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charts/chart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4.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5.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6.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7.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8.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9.xml" ContentType="application/vnd.openxmlformats-officedocument.drawingml.chart+xml"/>
  <Override PartName="/xl/drawings/drawing2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mc:AlternateContent xmlns:mc="http://schemas.openxmlformats.org/markup-compatibility/2006">
    <mc:Choice Requires="x15">
      <x15ac:absPath xmlns:x15ac="http://schemas.microsoft.com/office/spreadsheetml/2010/11/ac" url="C:\Users\sam.tremaine\Desktop\"/>
    </mc:Choice>
  </mc:AlternateContent>
  <xr:revisionPtr revIDLastSave="0" documentId="13_ncr:1_{519D54A3-D945-478E-84CA-78126FA8E38B}" xr6:coauthVersionLast="44" xr6:coauthVersionMax="44" xr10:uidLastSave="{00000000-0000-0000-0000-000000000000}"/>
  <bookViews>
    <workbookView xWindow="-110" yWindow="-110" windowWidth="19420" windowHeight="10420" tabRatio="848" xr2:uid="{00000000-000D-0000-FFFF-FFFF00000000}"/>
  </bookViews>
  <sheets>
    <sheet name="Inputs" sheetId="1" r:id="rId1"/>
    <sheet name="Disposal &amp; LFG Recovery" sheetId="26" r:id="rId2"/>
    <sheet name="Inputs-area with wells" sheetId="32" r:id="rId3"/>
    <sheet name="Disposal&amp;LFG Recovery-wells" sheetId="31" r:id="rId4"/>
    <sheet name="Lookup Tables" sheetId="25" state="hidden" r:id="rId5"/>
    <sheet name="Waste Composition" sheetId="24" r:id="rId6"/>
    <sheet name="Output-Table" sheetId="9" r:id="rId7"/>
    <sheet name="Output-Graph" sheetId="8" r:id="rId8"/>
    <sheet name="Serbia data" sheetId="38" r:id="rId9"/>
    <sheet name="Poland Map" sheetId="30" r:id="rId10"/>
    <sheet name="Amounts" sheetId="11" state="hidden" r:id="rId11"/>
    <sheet name="Calcs1" sheetId="17" state="hidden" r:id="rId12"/>
    <sheet name="Calcs2" sheetId="16" state="hidden" r:id="rId13"/>
    <sheet name="Calcs3" sheetId="28" state="hidden" r:id="rId14"/>
    <sheet name="Calcs4" sheetId="27" state="hidden" r:id="rId15"/>
    <sheet name="AmountsB" sheetId="37" state="hidden" r:id="rId16"/>
    <sheet name="Calcs1b" sheetId="36" state="hidden" r:id="rId17"/>
    <sheet name="Calcs2b" sheetId="35" state="hidden" r:id="rId18"/>
    <sheet name="Calcs3b" sheetId="34" state="hidden" r:id="rId19"/>
    <sheet name="Calcs4b" sheetId="33" state="hidden" r:id="rId20"/>
  </sheets>
  <definedNames>
    <definedName name="_Fill" hidden="1">#REF!</definedName>
    <definedName name="_xlnm._FilterDatabase" localSheetId="4" hidden="1">'Lookup Tables'!#REF!</definedName>
    <definedName name="Climate">'Lookup Tables'!$E$14:$E$18</definedName>
    <definedName name="Compdata?">'Lookup Tables'!$I$21:$I$22</definedName>
    <definedName name="COUNTRY">'Lookup Tables'!$A$6:$A$9</definedName>
    <definedName name="fire">'Lookup Tables'!$I$24:$I$27</definedName>
    <definedName name="MCF">'Lookup Tables'!$D$24:$D$27</definedName>
    <definedName name="_xlnm.Print_Area" localSheetId="1">'Disposal &amp; LFG Recovery'!$A$1:$G$105</definedName>
    <definedName name="_xlnm.Print_Area" localSheetId="0">Inputs!$E$1:$M$38</definedName>
    <definedName name="_xlnm.Print_Area" localSheetId="7">'Output-Graph'!$A$3:$J$28</definedName>
    <definedName name="_xlnm.Print_Area" localSheetId="6">'Output-Table'!$A$2:$N$119</definedName>
    <definedName name="_xlnm.Print_Area" localSheetId="5">'Waste Composition'!$A$2:$N$29</definedName>
    <definedName name="_xlnm.Print_Titles" localSheetId="1">'Disposal &amp; LFG Recovery'!$1:$5</definedName>
    <definedName name="_xlnm.Print_Titles" localSheetId="6">'Output-Table'!$2:$12</definedName>
    <definedName name="Wastecomp">'Lookup Tables'!$B$6:$B$16</definedName>
    <definedName name="Wasteshed" comment="Same as country except Serbia.  For Serbia, one of 6 waste sheds with defined waste composition">'Lookup Tables'!$B$6:$B$16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 i="32" l="1"/>
  <c r="J50" i="25" l="1"/>
  <c r="C50" i="25"/>
  <c r="J14" i="31" l="1"/>
  <c r="J14" i="26"/>
  <c r="H27" i="25"/>
  <c r="F25" i="25"/>
  <c r="N25" i="25" s="1"/>
  <c r="F26" i="25"/>
  <c r="N26" i="25" s="1"/>
  <c r="F27" i="25"/>
  <c r="N27" i="25" s="1"/>
  <c r="F24" i="25"/>
  <c r="N24" i="25" s="1"/>
  <c r="E13" i="32" l="1"/>
  <c r="E14" i="32"/>
  <c r="E22" i="32"/>
  <c r="E21" i="32"/>
  <c r="E20" i="32"/>
  <c r="E19" i="32"/>
  <c r="E18" i="32"/>
  <c r="E17" i="32"/>
  <c r="E16" i="32"/>
  <c r="E37" i="32"/>
  <c r="E36" i="32"/>
  <c r="E35" i="32"/>
  <c r="E34" i="32"/>
  <c r="E33" i="32"/>
  <c r="E32" i="32"/>
  <c r="E31" i="32"/>
  <c r="E30" i="32"/>
  <c r="E29" i="32"/>
  <c r="E28" i="32"/>
  <c r="E27" i="32"/>
  <c r="E26" i="32"/>
  <c r="E25" i="32"/>
  <c r="E24" i="32"/>
  <c r="E23" i="32"/>
  <c r="E38" i="32"/>
  <c r="K25" i="25" l="1"/>
  <c r="O25" i="25" s="1"/>
  <c r="G25" i="25" s="1"/>
  <c r="K26" i="25"/>
  <c r="O26" i="25" s="1"/>
  <c r="G26" i="25" s="1"/>
  <c r="K27" i="25"/>
  <c r="O27" i="25" s="1"/>
  <c r="G27" i="25" s="1"/>
  <c r="K24" i="25"/>
  <c r="O24" i="25" s="1"/>
  <c r="G24" i="25" s="1"/>
  <c r="J25" i="25"/>
  <c r="J26" i="25"/>
  <c r="J27" i="25"/>
  <c r="J24" i="25"/>
  <c r="H9" i="24" l="1"/>
  <c r="H21" i="24" s="1"/>
  <c r="H18" i="24"/>
  <c r="H15" i="24"/>
  <c r="H7" i="24"/>
  <c r="H20" i="24" s="1"/>
  <c r="H23" i="24"/>
  <c r="H22" i="24"/>
  <c r="G19" i="24"/>
  <c r="G22" i="24"/>
  <c r="G23" i="24"/>
  <c r="G18" i="24"/>
  <c r="G15" i="24"/>
  <c r="G9" i="24"/>
  <c r="G21" i="24" s="1"/>
  <c r="G7" i="24"/>
  <c r="G20" i="24" s="1"/>
  <c r="F18" i="24"/>
  <c r="F15" i="24"/>
  <c r="F9" i="24"/>
  <c r="F7" i="24"/>
  <c r="G24" i="24" l="1"/>
  <c r="G25" i="24" s="1"/>
  <c r="J49" i="25"/>
  <c r="H24" i="24"/>
  <c r="H25" i="24" s="1"/>
  <c r="H19" i="24"/>
  <c r="L4" i="38"/>
  <c r="L5" i="38"/>
  <c r="L6" i="38"/>
  <c r="L7" i="38"/>
  <c r="L8" i="38"/>
  <c r="L9" i="38"/>
  <c r="L10" i="38"/>
  <c r="L11" i="38"/>
  <c r="L12" i="38"/>
  <c r="L13" i="38"/>
  <c r="L14" i="38"/>
  <c r="L15" i="38"/>
  <c r="L16" i="38"/>
  <c r="L17" i="38"/>
  <c r="L18" i="38"/>
  <c r="L3" i="38"/>
  <c r="D12" i="24"/>
  <c r="D11" i="24"/>
  <c r="E22" i="24"/>
  <c r="E21" i="24"/>
  <c r="E20" i="24"/>
  <c r="D116" i="9" l="1"/>
  <c r="F19" i="38"/>
  <c r="F20" i="38"/>
  <c r="F21" i="38"/>
  <c r="F22" i="38"/>
  <c r="F23" i="38"/>
  <c r="F24" i="38"/>
  <c r="F25" i="38"/>
  <c r="F26" i="38"/>
  <c r="F27" i="38"/>
  <c r="F28" i="38"/>
  <c r="F29" i="38" l="1"/>
  <c r="D24" i="38"/>
  <c r="K13" i="24" s="1"/>
  <c r="D22" i="38"/>
  <c r="K12" i="24" s="1"/>
  <c r="K24" i="38"/>
  <c r="K22" i="38"/>
  <c r="D19" i="38"/>
  <c r="K9" i="24" s="1"/>
  <c r="K19" i="38"/>
  <c r="D20" i="38"/>
  <c r="K7" i="24" s="1"/>
  <c r="K20" i="38"/>
  <c r="D27" i="38"/>
  <c r="K16" i="24" s="1"/>
  <c r="K27" i="38"/>
  <c r="D23" i="38"/>
  <c r="K11" i="24" s="1"/>
  <c r="E24" i="38"/>
  <c r="J13" i="24" s="1"/>
  <c r="E22" i="38"/>
  <c r="J12" i="24" s="1"/>
  <c r="H24" i="38"/>
  <c r="H22" i="38"/>
  <c r="E19" i="38"/>
  <c r="J9" i="24" s="1"/>
  <c r="H19" i="38"/>
  <c r="E20" i="38"/>
  <c r="J7" i="24" s="1"/>
  <c r="H20" i="38"/>
  <c r="E27" i="38"/>
  <c r="J16" i="24" s="1"/>
  <c r="H27" i="38"/>
  <c r="E23" i="38"/>
  <c r="J11" i="24" s="1"/>
  <c r="H23" i="38"/>
  <c r="D26" i="38"/>
  <c r="K14" i="24" s="1"/>
  <c r="I24" i="38"/>
  <c r="I22" i="38"/>
  <c r="I19" i="38"/>
  <c r="I20" i="38"/>
  <c r="I27" i="38"/>
  <c r="E26" i="38"/>
  <c r="J14" i="24" s="1"/>
  <c r="I26" i="38"/>
  <c r="C24" i="38"/>
  <c r="L13" i="24" s="1"/>
  <c r="C22" i="38"/>
  <c r="L12" i="24" s="1"/>
  <c r="J24" i="38"/>
  <c r="J22" i="38"/>
  <c r="C19" i="38"/>
  <c r="L9" i="24" s="1"/>
  <c r="J19" i="38"/>
  <c r="C20" i="38"/>
  <c r="L7" i="24" s="1"/>
  <c r="J20" i="38"/>
  <c r="J21" i="38"/>
  <c r="C27" i="38"/>
  <c r="L16" i="24" s="1"/>
  <c r="J27" i="38"/>
  <c r="C23" i="38"/>
  <c r="L11" i="24" s="1"/>
  <c r="J23" i="38"/>
  <c r="K26" i="38"/>
  <c r="I23" i="38" l="1"/>
  <c r="B22" i="38"/>
  <c r="I12" i="24" s="1"/>
  <c r="K23" i="38"/>
  <c r="G19" i="38"/>
  <c r="L19" i="38" s="1"/>
  <c r="G24" i="38"/>
  <c r="L24" i="38" s="1"/>
  <c r="B23" i="38"/>
  <c r="I11" i="24" s="1"/>
  <c r="B27" i="38"/>
  <c r="I16" i="24" s="1"/>
  <c r="B20" i="38"/>
  <c r="I7" i="24" s="1"/>
  <c r="H26" i="38"/>
  <c r="E28" i="38"/>
  <c r="J18" i="24" s="1"/>
  <c r="E25" i="38"/>
  <c r="J17" i="24" s="1"/>
  <c r="G23" i="38"/>
  <c r="L23" i="38" s="1"/>
  <c r="K21" i="38"/>
  <c r="G20" i="38"/>
  <c r="L20" i="38" s="1"/>
  <c r="K28" i="38"/>
  <c r="K25" i="38"/>
  <c r="K29" i="38" s="1"/>
  <c r="G28" i="38"/>
  <c r="G25" i="38"/>
  <c r="D28" i="38"/>
  <c r="K18" i="24" s="1"/>
  <c r="D25" i="38"/>
  <c r="K17" i="24" s="1"/>
  <c r="C26" i="38"/>
  <c r="L14" i="24" s="1"/>
  <c r="C28" i="38"/>
  <c r="L18" i="24" s="1"/>
  <c r="C25" i="38"/>
  <c r="L17" i="24" s="1"/>
  <c r="I21" i="38"/>
  <c r="B24" i="38"/>
  <c r="I13" i="24" s="1"/>
  <c r="H21" i="38"/>
  <c r="H28" i="38"/>
  <c r="H25" i="38"/>
  <c r="G26" i="38"/>
  <c r="L26" i="38" s="1"/>
  <c r="G21" i="38"/>
  <c r="G22" i="38"/>
  <c r="L22" i="38" s="1"/>
  <c r="C21" i="38"/>
  <c r="J26" i="38"/>
  <c r="J28" i="38"/>
  <c r="J25" i="38"/>
  <c r="B21" i="38"/>
  <c r="I8" i="24" s="1"/>
  <c r="B19" i="38"/>
  <c r="I9" i="24" s="1"/>
  <c r="I28" i="38"/>
  <c r="I25" i="38"/>
  <c r="B28" i="38"/>
  <c r="I18" i="24" s="1"/>
  <c r="B25" i="38"/>
  <c r="I17" i="24" s="1"/>
  <c r="E21" i="38"/>
  <c r="J8" i="24" s="1"/>
  <c r="G27" i="38"/>
  <c r="L27" i="38" s="1"/>
  <c r="D21" i="38"/>
  <c r="K8" i="24" s="1"/>
  <c r="B26" i="38"/>
  <c r="I14" i="24" s="1"/>
  <c r="L21" i="38" l="1"/>
  <c r="M8" i="24" s="1"/>
  <c r="E29" i="38"/>
  <c r="L25" i="38"/>
  <c r="L28" i="38"/>
  <c r="M18" i="24" s="1"/>
  <c r="C29" i="38"/>
  <c r="L8" i="24"/>
  <c r="I29" i="38"/>
  <c r="M7" i="24"/>
  <c r="J29" i="38"/>
  <c r="M12" i="24"/>
  <c r="D29" i="38"/>
  <c r="M16" i="24"/>
  <c r="B29" i="38"/>
  <c r="M14" i="24"/>
  <c r="H29" i="38"/>
  <c r="M11" i="24"/>
  <c r="M13" i="24"/>
  <c r="G29" i="38"/>
  <c r="M9" i="24"/>
  <c r="M17" i="24" l="1"/>
  <c r="L29" i="38"/>
  <c r="C49" i="25" l="1"/>
  <c r="A3" i="9"/>
  <c r="A2" i="9"/>
  <c r="B12" i="8"/>
  <c r="A4" i="37"/>
  <c r="A5" i="37" s="1"/>
  <c r="F1008" i="33"/>
  <c r="E11" i="33"/>
  <c r="G11" i="33" s="1"/>
  <c r="E10" i="33"/>
  <c r="F10" i="33" s="1"/>
  <c r="G9" i="33"/>
  <c r="I9" i="33" s="1"/>
  <c r="E9" i="33"/>
  <c r="F9" i="33" s="1"/>
  <c r="E8" i="33"/>
  <c r="F8" i="33" s="1"/>
  <c r="E7" i="33"/>
  <c r="F7" i="33" s="1"/>
  <c r="F1" i="33"/>
  <c r="F1008" i="34"/>
  <c r="E11" i="34"/>
  <c r="G11" i="34" s="1"/>
  <c r="E10" i="34"/>
  <c r="F10" i="34" s="1"/>
  <c r="E9" i="34"/>
  <c r="G9" i="34" s="1"/>
  <c r="E8" i="34"/>
  <c r="F8" i="34" s="1"/>
  <c r="F7" i="34"/>
  <c r="E7" i="34"/>
  <c r="G7" i="34" s="1"/>
  <c r="I7" i="34" s="1"/>
  <c r="F1" i="34"/>
  <c r="F1008" i="35"/>
  <c r="E11" i="35"/>
  <c r="F11" i="35" s="1"/>
  <c r="E10" i="35"/>
  <c r="G10" i="35" s="1"/>
  <c r="E9" i="35"/>
  <c r="F9" i="35" s="1"/>
  <c r="E8" i="35"/>
  <c r="G8" i="35" s="1"/>
  <c r="E7" i="35"/>
  <c r="F7" i="35" s="1"/>
  <c r="F1" i="35"/>
  <c r="F1008" i="36"/>
  <c r="F11" i="36"/>
  <c r="E11" i="36"/>
  <c r="G11" i="36" s="1"/>
  <c r="I11" i="36" s="1"/>
  <c r="G10" i="36"/>
  <c r="E10" i="36"/>
  <c r="F10" i="36" s="1"/>
  <c r="E9" i="36"/>
  <c r="G9" i="36" s="1"/>
  <c r="I9" i="36" s="1"/>
  <c r="E8" i="36"/>
  <c r="F8" i="36" s="1"/>
  <c r="E7" i="36"/>
  <c r="F7" i="36" s="1"/>
  <c r="F1" i="36"/>
  <c r="G9" i="35" l="1"/>
  <c r="I9" i="35" s="1"/>
  <c r="G11" i="35"/>
  <c r="I11" i="35" s="1"/>
  <c r="G7" i="33"/>
  <c r="F9" i="36"/>
  <c r="G8" i="34"/>
  <c r="I8" i="34" s="1"/>
  <c r="G7" i="35"/>
  <c r="I7" i="35" s="1"/>
  <c r="G8" i="33"/>
  <c r="I8" i="33" s="1"/>
  <c r="F11" i="34"/>
  <c r="A6" i="37"/>
  <c r="I11" i="33"/>
  <c r="F11" i="33"/>
  <c r="I7" i="33"/>
  <c r="G10" i="33"/>
  <c r="I9" i="34"/>
  <c r="I11" i="34"/>
  <c r="F9" i="34"/>
  <c r="G10" i="34"/>
  <c r="I10" i="35"/>
  <c r="I8" i="35"/>
  <c r="F8" i="35"/>
  <c r="F10" i="35"/>
  <c r="G7" i="36"/>
  <c r="G8" i="36"/>
  <c r="I10" i="36"/>
  <c r="J15" i="31"/>
  <c r="J16" i="31" s="1"/>
  <c r="A7" i="37" l="1"/>
  <c r="I10" i="33"/>
  <c r="I10" i="34"/>
  <c r="I8" i="36"/>
  <c r="I7" i="36"/>
  <c r="C21" i="32"/>
  <c r="C20" i="32"/>
  <c r="C18" i="32"/>
  <c r="C16" i="32"/>
  <c r="D17" i="32" s="1"/>
  <c r="C19" i="32" s="1"/>
  <c r="K20" i="25" s="1"/>
  <c r="C15" i="32"/>
  <c r="C13" i="32"/>
  <c r="C11" i="32"/>
  <c r="C10" i="32"/>
  <c r="C9" i="32"/>
  <c r="C8" i="32"/>
  <c r="C7" i="32"/>
  <c r="C6" i="32"/>
  <c r="G7" i="31"/>
  <c r="G8" i="31" s="1"/>
  <c r="G9" i="31" s="1"/>
  <c r="G10" i="31" s="1"/>
  <c r="G11" i="31" s="1"/>
  <c r="G12" i="31" s="1"/>
  <c r="G13" i="31" s="1"/>
  <c r="G14" i="31" s="1"/>
  <c r="G15" i="31" s="1"/>
  <c r="G16" i="31" s="1"/>
  <c r="G17" i="31" s="1"/>
  <c r="G18" i="31" s="1"/>
  <c r="G19" i="31" s="1"/>
  <c r="G20" i="31" s="1"/>
  <c r="G21" i="31" s="1"/>
  <c r="G22" i="31" s="1"/>
  <c r="G23" i="31" s="1"/>
  <c r="G24" i="31" s="1"/>
  <c r="G25" i="31" s="1"/>
  <c r="G26" i="31" s="1"/>
  <c r="G27" i="31" s="1"/>
  <c r="G28" i="31" s="1"/>
  <c r="G29" i="31" s="1"/>
  <c r="G30" i="31" s="1"/>
  <c r="G31" i="31" s="1"/>
  <c r="G32" i="31" s="1"/>
  <c r="G33" i="31" s="1"/>
  <c r="G34" i="31" s="1"/>
  <c r="G35" i="31" s="1"/>
  <c r="G36" i="31" s="1"/>
  <c r="G37" i="31" s="1"/>
  <c r="G38" i="31" s="1"/>
  <c r="G39" i="31" s="1"/>
  <c r="G40" i="31" s="1"/>
  <c r="G41" i="31" s="1"/>
  <c r="G42" i="31" s="1"/>
  <c r="G43" i="31" s="1"/>
  <c r="G44" i="31" s="1"/>
  <c r="G45" i="31" s="1"/>
  <c r="G46" i="31" s="1"/>
  <c r="G47" i="31" s="1"/>
  <c r="G48" i="31" s="1"/>
  <c r="G49" i="31" s="1"/>
  <c r="G50" i="31" s="1"/>
  <c r="G51" i="31" s="1"/>
  <c r="G52" i="31" s="1"/>
  <c r="G53" i="31" s="1"/>
  <c r="G54" i="31" s="1"/>
  <c r="G55" i="31" s="1"/>
  <c r="G56" i="31" s="1"/>
  <c r="G57" i="31" s="1"/>
  <c r="G58" i="31" s="1"/>
  <c r="G59" i="31" s="1"/>
  <c r="G60" i="31" s="1"/>
  <c r="G61" i="31" s="1"/>
  <c r="G62" i="31" s="1"/>
  <c r="G63" i="31" s="1"/>
  <c r="G64" i="31" s="1"/>
  <c r="G65" i="31" s="1"/>
  <c r="G66" i="31" s="1"/>
  <c r="G67" i="31" s="1"/>
  <c r="G68" i="31" s="1"/>
  <c r="G69" i="31" s="1"/>
  <c r="G70" i="31" s="1"/>
  <c r="G71" i="31" s="1"/>
  <c r="G72" i="31" s="1"/>
  <c r="G73" i="31" s="1"/>
  <c r="G74" i="31" s="1"/>
  <c r="G75" i="31" s="1"/>
  <c r="G76" i="31" s="1"/>
  <c r="G77" i="31" s="1"/>
  <c r="G78" i="31" s="1"/>
  <c r="G79" i="31" s="1"/>
  <c r="G80" i="31" s="1"/>
  <c r="G81" i="31" s="1"/>
  <c r="G82" i="31" s="1"/>
  <c r="G83" i="31" s="1"/>
  <c r="G84" i="31" s="1"/>
  <c r="G85" i="31" s="1"/>
  <c r="G86" i="31" s="1"/>
  <c r="G87" i="31" s="1"/>
  <c r="G88" i="31" s="1"/>
  <c r="G89" i="31" s="1"/>
  <c r="G90" i="31" s="1"/>
  <c r="G91" i="31" s="1"/>
  <c r="G92" i="31" s="1"/>
  <c r="G93" i="31" s="1"/>
  <c r="G94" i="31" s="1"/>
  <c r="G95" i="31" s="1"/>
  <c r="G96" i="31" s="1"/>
  <c r="G97" i="31" s="1"/>
  <c r="G98" i="31" s="1"/>
  <c r="G99" i="31" s="1"/>
  <c r="G100" i="31" s="1"/>
  <c r="G101" i="31" s="1"/>
  <c r="G102" i="31" s="1"/>
  <c r="G103" i="31" s="1"/>
  <c r="G104" i="31" s="1"/>
  <c r="G105" i="31" s="1"/>
  <c r="A6" i="31"/>
  <c r="B6" i="31" s="1"/>
  <c r="A2" i="31"/>
  <c r="A1" i="31"/>
  <c r="C32" i="32"/>
  <c r="J17" i="31" s="1"/>
  <c r="J18" i="31" s="1"/>
  <c r="J19" i="31" s="1"/>
  <c r="J20" i="31" s="1"/>
  <c r="A12" i="32"/>
  <c r="A13" i="32" s="1"/>
  <c r="A14" i="32" s="1"/>
  <c r="A15" i="32" s="1"/>
  <c r="A16" i="32" s="1"/>
  <c r="A17" i="32" s="1"/>
  <c r="A18" i="32" s="1"/>
  <c r="A19" i="32" s="1"/>
  <c r="A20" i="32" s="1"/>
  <c r="A21" i="32" s="1"/>
  <c r="A22" i="32" s="1"/>
  <c r="A23" i="32" s="1"/>
  <c r="A2" i="25"/>
  <c r="A1" i="25"/>
  <c r="A7" i="9"/>
  <c r="A7" i="31" l="1"/>
  <c r="D6" i="31"/>
  <c r="A8" i="37"/>
  <c r="D7" i="31" l="1"/>
  <c r="B7" i="31"/>
  <c r="I13" i="9"/>
  <c r="A8" i="31"/>
  <c r="A9" i="37"/>
  <c r="D8" i="31" l="1"/>
  <c r="B8" i="31"/>
  <c r="A9" i="31"/>
  <c r="A10" i="37"/>
  <c r="A10" i="31"/>
  <c r="D9" i="31" l="1"/>
  <c r="B9" i="31"/>
  <c r="D10" i="31"/>
  <c r="B10" i="31"/>
  <c r="A11" i="37"/>
  <c r="A11" i="31"/>
  <c r="D11" i="31" l="1"/>
  <c r="B11" i="31"/>
  <c r="A12" i="37"/>
  <c r="A12" i="31"/>
  <c r="D12" i="31" l="1"/>
  <c r="B12" i="31"/>
  <c r="A13" i="37"/>
  <c r="A13" i="31"/>
  <c r="D13" i="31" l="1"/>
  <c r="B13" i="31"/>
  <c r="A14" i="37"/>
  <c r="A14" i="31"/>
  <c r="D14" i="31" l="1"/>
  <c r="B14" i="31"/>
  <c r="A15" i="37"/>
  <c r="A15" i="31"/>
  <c r="D15" i="31" l="1"/>
  <c r="B15" i="31"/>
  <c r="A16" i="37"/>
  <c r="A16" i="31"/>
  <c r="D16" i="31" l="1"/>
  <c r="A17" i="37"/>
  <c r="A17" i="31"/>
  <c r="D17" i="31" l="1"/>
  <c r="A18" i="37"/>
  <c r="A18" i="31"/>
  <c r="D18" i="31" l="1"/>
  <c r="A19" i="37"/>
  <c r="A19" i="31"/>
  <c r="D19" i="31" l="1"/>
  <c r="A20" i="37"/>
  <c r="A20" i="31"/>
  <c r="D20" i="31" l="1"/>
  <c r="A21" i="37"/>
  <c r="A21" i="31"/>
  <c r="D21" i="31" l="1"/>
  <c r="A22" i="37"/>
  <c r="A22" i="31"/>
  <c r="D22" i="31" l="1"/>
  <c r="A23" i="37"/>
  <c r="A23" i="31"/>
  <c r="D23" i="31" l="1"/>
  <c r="A24" i="37"/>
  <c r="A24" i="31"/>
  <c r="D24" i="31" l="1"/>
  <c r="A25" i="37"/>
  <c r="A25" i="31"/>
  <c r="D25" i="31" l="1"/>
  <c r="A26" i="37"/>
  <c r="A26" i="31"/>
  <c r="D26" i="31" l="1"/>
  <c r="A27" i="37"/>
  <c r="A27" i="31"/>
  <c r="D27" i="31" l="1"/>
  <c r="A28" i="37"/>
  <c r="A28" i="31"/>
  <c r="D28" i="31" l="1"/>
  <c r="A29" i="37"/>
  <c r="A29" i="31"/>
  <c r="D29" i="31" l="1"/>
  <c r="A30" i="37"/>
  <c r="A30" i="31"/>
  <c r="A31" i="37" l="1"/>
  <c r="A31" i="31"/>
  <c r="A32" i="37" l="1"/>
  <c r="A32" i="31"/>
  <c r="A33" i="37" l="1"/>
  <c r="A33" i="31"/>
  <c r="B33" i="31" s="1"/>
  <c r="A34" i="37" l="1"/>
  <c r="A34" i="31"/>
  <c r="B34" i="31" s="1"/>
  <c r="A35" i="37" l="1"/>
  <c r="A35" i="31"/>
  <c r="B35" i="31" s="1"/>
  <c r="A36" i="37" l="1"/>
  <c r="A36" i="31"/>
  <c r="B36" i="31" s="1"/>
  <c r="A37" i="37" l="1"/>
  <c r="A37" i="31"/>
  <c r="B37" i="31" s="1"/>
  <c r="A38" i="37" l="1"/>
  <c r="A38" i="31"/>
  <c r="B38" i="31" s="1"/>
  <c r="A39" i="37" l="1"/>
  <c r="A39" i="31"/>
  <c r="B39" i="31" s="1"/>
  <c r="A40" i="37" l="1"/>
  <c r="A40" i="31"/>
  <c r="B40" i="31" s="1"/>
  <c r="A41" i="37" l="1"/>
  <c r="A41" i="31"/>
  <c r="B41" i="31" s="1"/>
  <c r="A42" i="37" l="1"/>
  <c r="A42" i="31"/>
  <c r="B42" i="31" s="1"/>
  <c r="A43" i="37" l="1"/>
  <c r="A43" i="31"/>
  <c r="B43" i="31" s="1"/>
  <c r="A44" i="37" l="1"/>
  <c r="A44" i="31"/>
  <c r="B44" i="31" s="1"/>
  <c r="A45" i="37" l="1"/>
  <c r="A45" i="31"/>
  <c r="B45" i="31" s="1"/>
  <c r="A46" i="37" l="1"/>
  <c r="A46" i="31"/>
  <c r="B46" i="31" s="1"/>
  <c r="A47" i="37" l="1"/>
  <c r="A47" i="31"/>
  <c r="B47" i="31" s="1"/>
  <c r="A48" i="37" l="1"/>
  <c r="A48" i="31"/>
  <c r="B48" i="31" s="1"/>
  <c r="A49" i="37" l="1"/>
  <c r="A49" i="31"/>
  <c r="B49" i="31" s="1"/>
  <c r="A50" i="37" l="1"/>
  <c r="A50" i="31"/>
  <c r="B50" i="31" s="1"/>
  <c r="A51" i="37" l="1"/>
  <c r="A51" i="31"/>
  <c r="B51" i="31" s="1"/>
  <c r="A52" i="37" l="1"/>
  <c r="A52" i="31"/>
  <c r="B52" i="31" s="1"/>
  <c r="A53" i="37" l="1"/>
  <c r="A53" i="31"/>
  <c r="B53" i="31" s="1"/>
  <c r="A54" i="37" l="1"/>
  <c r="A54" i="31"/>
  <c r="B54" i="31" s="1"/>
  <c r="A55" i="37" l="1"/>
  <c r="A55" i="31"/>
  <c r="B55" i="31" s="1"/>
  <c r="A56" i="37" l="1"/>
  <c r="A56" i="31"/>
  <c r="B56" i="31" s="1"/>
  <c r="A57" i="37" l="1"/>
  <c r="A57" i="31"/>
  <c r="B6" i="37" l="1"/>
  <c r="B57" i="31"/>
  <c r="A58" i="37"/>
  <c r="A58" i="31"/>
  <c r="B7" i="37" l="1"/>
  <c r="B58" i="31"/>
  <c r="A59" i="37"/>
  <c r="A59" i="31"/>
  <c r="B8" i="37" l="1"/>
  <c r="B59" i="31"/>
  <c r="A60" i="37"/>
  <c r="A60" i="31"/>
  <c r="B9" i="37" l="1"/>
  <c r="B60" i="31"/>
  <c r="A61" i="37"/>
  <c r="A61" i="31"/>
  <c r="B10" i="37" l="1"/>
  <c r="B61" i="31"/>
  <c r="A62" i="37"/>
  <c r="A62" i="31"/>
  <c r="B11" i="37" l="1"/>
  <c r="B62" i="31"/>
  <c r="A63" i="37"/>
  <c r="A63" i="31"/>
  <c r="B12" i="37" l="1"/>
  <c r="B63" i="31"/>
  <c r="A64" i="37"/>
  <c r="A64" i="31"/>
  <c r="B13" i="37" l="1"/>
  <c r="B64" i="31"/>
  <c r="A65" i="37"/>
  <c r="A65" i="31"/>
  <c r="B65" i="31" s="1"/>
  <c r="A66" i="37" l="1"/>
  <c r="A66" i="31"/>
  <c r="B66" i="31" s="1"/>
  <c r="A67" i="37" l="1"/>
  <c r="A67" i="31"/>
  <c r="B67" i="31" s="1"/>
  <c r="A68" i="37" l="1"/>
  <c r="A68" i="31"/>
  <c r="B68" i="31" s="1"/>
  <c r="A69" i="37" l="1"/>
  <c r="A69" i="31"/>
  <c r="B69" i="31" s="1"/>
  <c r="A70" i="37" l="1"/>
  <c r="A70" i="31"/>
  <c r="B70" i="31" s="1"/>
  <c r="A71" i="37" l="1"/>
  <c r="A71" i="31"/>
  <c r="B71" i="31" s="1"/>
  <c r="A72" i="37" l="1"/>
  <c r="A72" i="31"/>
  <c r="B72" i="31" s="1"/>
  <c r="A73" i="37" l="1"/>
  <c r="A73" i="31"/>
  <c r="B73" i="31" s="1"/>
  <c r="A74" i="37" l="1"/>
  <c r="A74" i="31"/>
  <c r="B74" i="31" s="1"/>
  <c r="A75" i="37" l="1"/>
  <c r="A75" i="31"/>
  <c r="B75" i="31" s="1"/>
  <c r="A76" i="37" l="1"/>
  <c r="A76" i="31"/>
  <c r="B76" i="31" s="1"/>
  <c r="A77" i="37" l="1"/>
  <c r="A77" i="31"/>
  <c r="B77" i="31" s="1"/>
  <c r="A78" i="37" l="1"/>
  <c r="A78" i="31"/>
  <c r="B78" i="31" s="1"/>
  <c r="A79" i="37" l="1"/>
  <c r="A79" i="31"/>
  <c r="B79" i="31" s="1"/>
  <c r="A80" i="37" l="1"/>
  <c r="A80" i="31"/>
  <c r="B80" i="31" s="1"/>
  <c r="A81" i="37" l="1"/>
  <c r="A81" i="31"/>
  <c r="B81" i="31" s="1"/>
  <c r="B55" i="37" l="1"/>
  <c r="A82" i="37"/>
  <c r="A82" i="31"/>
  <c r="B82" i="31" s="1"/>
  <c r="B31" i="37" l="1"/>
  <c r="B56" i="37"/>
  <c r="A83" i="37"/>
  <c r="A83" i="31"/>
  <c r="B83" i="31" s="1"/>
  <c r="B32" i="37" l="1"/>
  <c r="B57" i="37"/>
  <c r="A84" i="37"/>
  <c r="A84" i="31"/>
  <c r="B84" i="31" s="1"/>
  <c r="B33" i="37" l="1"/>
  <c r="B58" i="37"/>
  <c r="A85" i="37"/>
  <c r="A85" i="31"/>
  <c r="B85" i="31" s="1"/>
  <c r="B34" i="37" l="1"/>
  <c r="B59" i="37"/>
  <c r="A86" i="37"/>
  <c r="A86" i="31"/>
  <c r="B86" i="31" s="1"/>
  <c r="B35" i="37" l="1"/>
  <c r="B60" i="37"/>
  <c r="A87" i="37"/>
  <c r="A87" i="31"/>
  <c r="B87" i="31" s="1"/>
  <c r="B36" i="37" l="1"/>
  <c r="B61" i="37"/>
  <c r="A88" i="37"/>
  <c r="A88" i="31"/>
  <c r="B88" i="31" s="1"/>
  <c r="B37" i="37" l="1"/>
  <c r="B62" i="37"/>
  <c r="A89" i="37"/>
  <c r="A89" i="31"/>
  <c r="B89" i="31" s="1"/>
  <c r="B38" i="37" l="1"/>
  <c r="B63" i="37"/>
  <c r="A90" i="37"/>
  <c r="A90" i="31"/>
  <c r="B90" i="31" s="1"/>
  <c r="B39" i="37" l="1"/>
  <c r="B64" i="37"/>
  <c r="A91" i="37"/>
  <c r="A91" i="31"/>
  <c r="B91" i="31" s="1"/>
  <c r="B40" i="37" l="1"/>
  <c r="B65" i="37"/>
  <c r="A92" i="37"/>
  <c r="A92" i="31"/>
  <c r="B92" i="31" s="1"/>
  <c r="B41" i="37" l="1"/>
  <c r="B66" i="37"/>
  <c r="A93" i="37"/>
  <c r="A93" i="31"/>
  <c r="B93" i="31" s="1"/>
  <c r="B42" i="37" l="1"/>
  <c r="B67" i="37"/>
  <c r="B80" i="37"/>
  <c r="A94" i="37"/>
  <c r="A94" i="31"/>
  <c r="B94" i="31" s="1"/>
  <c r="B43" i="37" l="1"/>
  <c r="B68" i="37"/>
  <c r="B81" i="37"/>
  <c r="A95" i="37"/>
  <c r="A95" i="31"/>
  <c r="B95" i="31" s="1"/>
  <c r="B44" i="37" l="1"/>
  <c r="B69" i="37"/>
  <c r="B82" i="37"/>
  <c r="A96" i="37"/>
  <c r="A96" i="31"/>
  <c r="B96" i="31" s="1"/>
  <c r="B45" i="37" l="1"/>
  <c r="B70" i="37"/>
  <c r="B83" i="37"/>
  <c r="A97" i="37"/>
  <c r="A97" i="31"/>
  <c r="B97" i="31" s="1"/>
  <c r="B46" i="37" l="1"/>
  <c r="B71" i="37"/>
  <c r="B84" i="37"/>
  <c r="A98" i="37"/>
  <c r="A98" i="31"/>
  <c r="B98" i="31" s="1"/>
  <c r="B47" i="37" l="1"/>
  <c r="B72" i="37"/>
  <c r="B85" i="37"/>
  <c r="A99" i="37"/>
  <c r="A99" i="31"/>
  <c r="B99" i="31" s="1"/>
  <c r="B48" i="37" l="1"/>
  <c r="B73" i="37"/>
  <c r="B86" i="37"/>
  <c r="A100" i="37"/>
  <c r="A100" i="31"/>
  <c r="B100" i="31" s="1"/>
  <c r="B49" i="37" l="1"/>
  <c r="B74" i="37"/>
  <c r="B87" i="37"/>
  <c r="B93" i="37"/>
  <c r="A101" i="37"/>
  <c r="A101" i="31"/>
  <c r="B101" i="31" s="1"/>
  <c r="B50" i="37" l="1"/>
  <c r="B75" i="37"/>
  <c r="B88" i="37"/>
  <c r="B94" i="37"/>
  <c r="A102" i="37"/>
  <c r="A102" i="31"/>
  <c r="B102" i="31" s="1"/>
  <c r="B51" i="37" l="1"/>
  <c r="B76" i="37"/>
  <c r="B89" i="37"/>
  <c r="B95" i="37"/>
  <c r="A103" i="37"/>
  <c r="A103" i="31"/>
  <c r="B103" i="31" s="1"/>
  <c r="B52" i="37" l="1"/>
  <c r="B77" i="37"/>
  <c r="B90" i="37"/>
  <c r="B96" i="37"/>
  <c r="B99" i="37"/>
  <c r="A104" i="31"/>
  <c r="B104" i="31" s="1"/>
  <c r="B53" i="37" l="1"/>
  <c r="B78" i="37"/>
  <c r="B91" i="37"/>
  <c r="B97" i="37"/>
  <c r="B100" i="37"/>
  <c r="A105" i="31"/>
  <c r="B105" i="31" s="1"/>
  <c r="B54" i="37" l="1"/>
  <c r="B79" i="37"/>
  <c r="B92" i="37"/>
  <c r="B98" i="37"/>
  <c r="B101" i="37"/>
  <c r="B102" i="37"/>
  <c r="B103" i="37" l="1"/>
  <c r="D20" i="24"/>
  <c r="F20" i="24"/>
  <c r="N20" i="24"/>
  <c r="I20" i="24"/>
  <c r="L20" i="24"/>
  <c r="K20" i="24"/>
  <c r="M20" i="24"/>
  <c r="D21" i="24"/>
  <c r="F21" i="24"/>
  <c r="N21" i="24"/>
  <c r="I21" i="24"/>
  <c r="L21" i="24"/>
  <c r="K21" i="24"/>
  <c r="M21" i="24"/>
  <c r="D22" i="24"/>
  <c r="F22" i="24"/>
  <c r="N22" i="24"/>
  <c r="I22" i="24"/>
  <c r="L22" i="24"/>
  <c r="K22" i="24"/>
  <c r="M22" i="24"/>
  <c r="D23" i="24"/>
  <c r="F23" i="24"/>
  <c r="N23" i="24"/>
  <c r="I23" i="24"/>
  <c r="L23" i="24"/>
  <c r="K23" i="24"/>
  <c r="M23" i="24"/>
  <c r="J21" i="24"/>
  <c r="J20" i="24"/>
  <c r="C6" i="24"/>
  <c r="C8" i="24" l="1"/>
  <c r="C12" i="24"/>
  <c r="C16" i="24"/>
  <c r="C9" i="24"/>
  <c r="C13" i="24"/>
  <c r="C17" i="24"/>
  <c r="C10" i="24"/>
  <c r="C14" i="24"/>
  <c r="C18" i="24"/>
  <c r="C11" i="24"/>
  <c r="C15" i="24"/>
  <c r="C7" i="24"/>
  <c r="J23" i="24"/>
  <c r="J22" i="24"/>
  <c r="F34" i="25"/>
  <c r="G16" i="25"/>
  <c r="G15" i="25"/>
  <c r="E17" i="25"/>
  <c r="E16" i="25"/>
  <c r="E15" i="25"/>
  <c r="E14" i="25"/>
  <c r="G14" i="25"/>
  <c r="G17" i="25"/>
  <c r="G18" i="25"/>
  <c r="E18" i="25"/>
  <c r="F34" i="24"/>
  <c r="F39" i="24"/>
  <c r="F40" i="24"/>
  <c r="F37" i="24"/>
  <c r="F35" i="24"/>
  <c r="F36" i="24"/>
  <c r="F38" i="24"/>
  <c r="D29" i="24"/>
  <c r="A6" i="26"/>
  <c r="D6" i="26" s="1"/>
  <c r="A12" i="1"/>
  <c r="A13" i="1" s="1"/>
  <c r="A14" i="1" s="1"/>
  <c r="A15" i="1" s="1"/>
  <c r="A16" i="1" s="1"/>
  <c r="A17" i="1" s="1"/>
  <c r="A18" i="1" s="1"/>
  <c r="A19" i="1" s="1"/>
  <c r="A20" i="1" s="1"/>
  <c r="A21" i="1" s="1"/>
  <c r="A22" i="1" s="1"/>
  <c r="A23" i="1" s="1"/>
  <c r="D17" i="1"/>
  <c r="C19" i="1" s="1"/>
  <c r="A2" i="26"/>
  <c r="A1" i="26"/>
  <c r="A3" i="24"/>
  <c r="A2" i="24"/>
  <c r="F19" i="24"/>
  <c r="D19" i="24"/>
  <c r="N19" i="24"/>
  <c r="I19" i="24"/>
  <c r="L19" i="24"/>
  <c r="K19" i="24"/>
  <c r="J19" i="24"/>
  <c r="M19" i="24"/>
  <c r="J15" i="26"/>
  <c r="J16" i="26" s="1"/>
  <c r="B11" i="8"/>
  <c r="B10" i="8"/>
  <c r="C32" i="1"/>
  <c r="G7" i="26"/>
  <c r="G8" i="26"/>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D24" i="24"/>
  <c r="D25" i="24" s="1"/>
  <c r="A6" i="9"/>
  <c r="A4" i="1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A259" i="17" s="1"/>
  <c r="A260" i="17" s="1"/>
  <c r="A261" i="17" s="1"/>
  <c r="A262" i="17" s="1"/>
  <c r="A263" i="17" s="1"/>
  <c r="A264" i="17" s="1"/>
  <c r="A265" i="17" s="1"/>
  <c r="A266" i="17" s="1"/>
  <c r="A267" i="17" s="1"/>
  <c r="A268" i="17" s="1"/>
  <c r="A269" i="17" s="1"/>
  <c r="A270" i="17" s="1"/>
  <c r="A271" i="17" s="1"/>
  <c r="A272" i="17" s="1"/>
  <c r="A273" i="17" s="1"/>
  <c r="A274" i="17" s="1"/>
  <c r="A275" i="17" s="1"/>
  <c r="A276" i="17" s="1"/>
  <c r="A277" i="17" s="1"/>
  <c r="A278" i="17" s="1"/>
  <c r="A279" i="17" s="1"/>
  <c r="A280" i="17" s="1"/>
  <c r="A281" i="17" s="1"/>
  <c r="A282" i="17" s="1"/>
  <c r="A283" i="17" s="1"/>
  <c r="A284" i="17" s="1"/>
  <c r="A285" i="17" s="1"/>
  <c r="A286" i="17" s="1"/>
  <c r="A287" i="17" s="1"/>
  <c r="A288" i="17" s="1"/>
  <c r="A289" i="17" s="1"/>
  <c r="A290" i="17" s="1"/>
  <c r="A291" i="17" s="1"/>
  <c r="A292" i="17" s="1"/>
  <c r="A293" i="17" s="1"/>
  <c r="A294" i="17" s="1"/>
  <c r="A295" i="17" s="1"/>
  <c r="A296" i="17" s="1"/>
  <c r="A297" i="17" s="1"/>
  <c r="A298" i="17" s="1"/>
  <c r="A299" i="17" s="1"/>
  <c r="A300" i="17" s="1"/>
  <c r="A301" i="17" s="1"/>
  <c r="A302" i="17" s="1"/>
  <c r="A303" i="17" s="1"/>
  <c r="A304" i="17" s="1"/>
  <c r="A305" i="17" s="1"/>
  <c r="A306" i="17" s="1"/>
  <c r="A307" i="17" s="1"/>
  <c r="A308" i="17" s="1"/>
  <c r="A309" i="17" s="1"/>
  <c r="A310" i="17" s="1"/>
  <c r="A311" i="17" s="1"/>
  <c r="A312" i="17" s="1"/>
  <c r="A313" i="17" s="1"/>
  <c r="A314" i="17" s="1"/>
  <c r="A315" i="17" s="1"/>
  <c r="A316" i="17" s="1"/>
  <c r="A317" i="17" s="1"/>
  <c r="A318" i="17" s="1"/>
  <c r="A319" i="17" s="1"/>
  <c r="A320" i="17" s="1"/>
  <c r="A321" i="17" s="1"/>
  <c r="A322" i="17" s="1"/>
  <c r="A323" i="17" s="1"/>
  <c r="A324" i="17" s="1"/>
  <c r="A325" i="17" s="1"/>
  <c r="A326" i="17" s="1"/>
  <c r="A327" i="17" s="1"/>
  <c r="A328" i="17" s="1"/>
  <c r="A329" i="17" s="1"/>
  <c r="A330" i="17" s="1"/>
  <c r="A331" i="17" s="1"/>
  <c r="A332" i="17" s="1"/>
  <c r="A333" i="17" s="1"/>
  <c r="A334" i="17" s="1"/>
  <c r="A335" i="17" s="1"/>
  <c r="A336" i="17" s="1"/>
  <c r="A337" i="17" s="1"/>
  <c r="A338" i="17" s="1"/>
  <c r="A339" i="17" s="1"/>
  <c r="A340" i="17" s="1"/>
  <c r="A341" i="17" s="1"/>
  <c r="A342" i="17" s="1"/>
  <c r="A343" i="17" s="1"/>
  <c r="A344" i="17" s="1"/>
  <c r="A345" i="17" s="1"/>
  <c r="A346" i="17" s="1"/>
  <c r="A347" i="17" s="1"/>
  <c r="A348" i="17" s="1"/>
  <c r="A349" i="17" s="1"/>
  <c r="A350" i="17" s="1"/>
  <c r="A351" i="17" s="1"/>
  <c r="A352" i="17" s="1"/>
  <c r="A353" i="17" s="1"/>
  <c r="A354" i="17" s="1"/>
  <c r="A355" i="17" s="1"/>
  <c r="A356" i="17" s="1"/>
  <c r="A357" i="17" s="1"/>
  <c r="A358" i="17" s="1"/>
  <c r="A359" i="17" s="1"/>
  <c r="A360" i="17" s="1"/>
  <c r="A361" i="17" s="1"/>
  <c r="A362" i="17" s="1"/>
  <c r="A363" i="17" s="1"/>
  <c r="A364" i="17" s="1"/>
  <c r="A365" i="17" s="1"/>
  <c r="A366" i="17" s="1"/>
  <c r="A367" i="17" s="1"/>
  <c r="A368" i="17" s="1"/>
  <c r="A369" i="17" s="1"/>
  <c r="A370" i="17" s="1"/>
  <c r="A371" i="17" s="1"/>
  <c r="A372" i="17" s="1"/>
  <c r="A373" i="17" s="1"/>
  <c r="A374" i="17" s="1"/>
  <c r="A375" i="17" s="1"/>
  <c r="A376" i="17" s="1"/>
  <c r="A377" i="17" s="1"/>
  <c r="A378" i="17" s="1"/>
  <c r="A379" i="17" s="1"/>
  <c r="A380" i="17" s="1"/>
  <c r="A381" i="17" s="1"/>
  <c r="A382" i="17" s="1"/>
  <c r="A383" i="17" s="1"/>
  <c r="A384" i="17" s="1"/>
  <c r="A385" i="17" s="1"/>
  <c r="A386" i="17" s="1"/>
  <c r="A387" i="17" s="1"/>
  <c r="A388" i="17" s="1"/>
  <c r="A389" i="17" s="1"/>
  <c r="A390" i="17" s="1"/>
  <c r="A391" i="17" s="1"/>
  <c r="A392" i="17" s="1"/>
  <c r="A393" i="17" s="1"/>
  <c r="A394" i="17" s="1"/>
  <c r="A395" i="17" s="1"/>
  <c r="A396" i="17" s="1"/>
  <c r="A397" i="17" s="1"/>
  <c r="A398" i="17" s="1"/>
  <c r="A399" i="17" s="1"/>
  <c r="A400" i="17" s="1"/>
  <c r="A401" i="17" s="1"/>
  <c r="A402" i="17" s="1"/>
  <c r="A403" i="17" s="1"/>
  <c r="A404" i="17" s="1"/>
  <c r="A405" i="17" s="1"/>
  <c r="A406" i="17" s="1"/>
  <c r="A407" i="17" s="1"/>
  <c r="A408" i="17" s="1"/>
  <c r="A409" i="17" s="1"/>
  <c r="A410" i="17" s="1"/>
  <c r="A411" i="17" s="1"/>
  <c r="A412" i="17" s="1"/>
  <c r="A413" i="17" s="1"/>
  <c r="A414" i="17" s="1"/>
  <c r="A415" i="17" s="1"/>
  <c r="A416" i="17" s="1"/>
  <c r="A417" i="17" s="1"/>
  <c r="A418" i="17" s="1"/>
  <c r="A419" i="17" s="1"/>
  <c r="A420" i="17" s="1"/>
  <c r="A421" i="17" s="1"/>
  <c r="A422" i="17" s="1"/>
  <c r="A423" i="17" s="1"/>
  <c r="A424" i="17" s="1"/>
  <c r="A425" i="17" s="1"/>
  <c r="A426" i="17" s="1"/>
  <c r="A427" i="17" s="1"/>
  <c r="A428" i="17" s="1"/>
  <c r="A429" i="17" s="1"/>
  <c r="A430" i="17" s="1"/>
  <c r="A431" i="17" s="1"/>
  <c r="A432" i="17" s="1"/>
  <c r="A433" i="17" s="1"/>
  <c r="A434" i="17" s="1"/>
  <c r="A435" i="17" s="1"/>
  <c r="A436" i="17" s="1"/>
  <c r="A437" i="17" s="1"/>
  <c r="A438" i="17" s="1"/>
  <c r="A439" i="17" s="1"/>
  <c r="A440" i="17" s="1"/>
  <c r="A441" i="17" s="1"/>
  <c r="A442" i="17" s="1"/>
  <c r="A443" i="17" s="1"/>
  <c r="A444" i="17" s="1"/>
  <c r="A445" i="17" s="1"/>
  <c r="A446" i="17" s="1"/>
  <c r="A447" i="17" s="1"/>
  <c r="A448" i="17" s="1"/>
  <c r="A449" i="17" s="1"/>
  <c r="A450" i="17" s="1"/>
  <c r="A451" i="17" s="1"/>
  <c r="A452" i="17" s="1"/>
  <c r="A453" i="17" s="1"/>
  <c r="A454" i="17" s="1"/>
  <c r="A455" i="17" s="1"/>
  <c r="A456" i="17" s="1"/>
  <c r="A457" i="17" s="1"/>
  <c r="A458" i="17" s="1"/>
  <c r="A459" i="17" s="1"/>
  <c r="A460" i="17" s="1"/>
  <c r="A461" i="17" s="1"/>
  <c r="A462" i="17" s="1"/>
  <c r="A463" i="17" s="1"/>
  <c r="A464" i="17" s="1"/>
  <c r="A465" i="17" s="1"/>
  <c r="A466" i="17" s="1"/>
  <c r="A467" i="17" s="1"/>
  <c r="A468" i="17" s="1"/>
  <c r="A469" i="17" s="1"/>
  <c r="A470" i="17" s="1"/>
  <c r="A471" i="17" s="1"/>
  <c r="A472" i="17" s="1"/>
  <c r="A473" i="17" s="1"/>
  <c r="A474" i="17" s="1"/>
  <c r="A475" i="17" s="1"/>
  <c r="A476" i="17" s="1"/>
  <c r="A477" i="17" s="1"/>
  <c r="A478" i="17" s="1"/>
  <c r="A479" i="17" s="1"/>
  <c r="A480" i="17" s="1"/>
  <c r="A481" i="17" s="1"/>
  <c r="A482" i="17" s="1"/>
  <c r="A483" i="17" s="1"/>
  <c r="A484" i="17" s="1"/>
  <c r="A485" i="17" s="1"/>
  <c r="A486" i="17" s="1"/>
  <c r="A487" i="17" s="1"/>
  <c r="A488" i="17" s="1"/>
  <c r="A489" i="17" s="1"/>
  <c r="A490" i="17" s="1"/>
  <c r="A491" i="17" s="1"/>
  <c r="A492" i="17" s="1"/>
  <c r="A493" i="17" s="1"/>
  <c r="A494" i="17" s="1"/>
  <c r="A495" i="17" s="1"/>
  <c r="A496" i="17" s="1"/>
  <c r="A497" i="17" s="1"/>
  <c r="A498" i="17" s="1"/>
  <c r="A499" i="17" s="1"/>
  <c r="A500" i="17" s="1"/>
  <c r="A501" i="17" s="1"/>
  <c r="A502" i="17" s="1"/>
  <c r="A503" i="17" s="1"/>
  <c r="A504" i="17" s="1"/>
  <c r="A505" i="17" s="1"/>
  <c r="A506" i="17" s="1"/>
  <c r="A507" i="17" s="1"/>
  <c r="A508" i="17" s="1"/>
  <c r="A509" i="17" s="1"/>
  <c r="A510" i="17" s="1"/>
  <c r="A511" i="17" s="1"/>
  <c r="A512" i="17" s="1"/>
  <c r="A513" i="17" s="1"/>
  <c r="A514" i="17" s="1"/>
  <c r="A515" i="17" s="1"/>
  <c r="A516" i="17" s="1"/>
  <c r="A517" i="17" s="1"/>
  <c r="A518" i="17" s="1"/>
  <c r="A519" i="17" s="1"/>
  <c r="A520" i="17" s="1"/>
  <c r="A521" i="17" s="1"/>
  <c r="A522" i="17" s="1"/>
  <c r="A523" i="17" s="1"/>
  <c r="A524" i="17" s="1"/>
  <c r="A525" i="17" s="1"/>
  <c r="A526" i="17" s="1"/>
  <c r="A527" i="17" s="1"/>
  <c r="A528" i="17" s="1"/>
  <c r="A529" i="17" s="1"/>
  <c r="A530" i="17" s="1"/>
  <c r="A531" i="17" s="1"/>
  <c r="A532" i="17" s="1"/>
  <c r="A533" i="17" s="1"/>
  <c r="A534" i="17" s="1"/>
  <c r="A535" i="17" s="1"/>
  <c r="A536" i="17" s="1"/>
  <c r="A537" i="17" s="1"/>
  <c r="A538" i="17" s="1"/>
  <c r="A539" i="17" s="1"/>
  <c r="A540" i="17" s="1"/>
  <c r="A541" i="17" s="1"/>
  <c r="A542" i="17" s="1"/>
  <c r="A543" i="17" s="1"/>
  <c r="A544" i="17" s="1"/>
  <c r="A545" i="17" s="1"/>
  <c r="A546" i="17" s="1"/>
  <c r="A547" i="17" s="1"/>
  <c r="A548" i="17" s="1"/>
  <c r="A549" i="17" s="1"/>
  <c r="A550" i="17" s="1"/>
  <c r="A551" i="17" s="1"/>
  <c r="A552" i="17" s="1"/>
  <c r="A553" i="17" s="1"/>
  <c r="A554" i="17" s="1"/>
  <c r="A555" i="17" s="1"/>
  <c r="A556" i="17" s="1"/>
  <c r="A557" i="17" s="1"/>
  <c r="A558" i="17" s="1"/>
  <c r="A559" i="17" s="1"/>
  <c r="A560" i="17" s="1"/>
  <c r="A561" i="17" s="1"/>
  <c r="A562" i="17" s="1"/>
  <c r="A563" i="17" s="1"/>
  <c r="A564" i="17" s="1"/>
  <c r="A565" i="17" s="1"/>
  <c r="A566" i="17" s="1"/>
  <c r="A567" i="17" s="1"/>
  <c r="A568" i="17" s="1"/>
  <c r="A569" i="17" s="1"/>
  <c r="A570" i="17" s="1"/>
  <c r="A571" i="17" s="1"/>
  <c r="A572" i="17" s="1"/>
  <c r="A573" i="17" s="1"/>
  <c r="A574" i="17" s="1"/>
  <c r="A575" i="17" s="1"/>
  <c r="A576" i="17" s="1"/>
  <c r="A577" i="17" s="1"/>
  <c r="A578" i="17" s="1"/>
  <c r="A579" i="17" s="1"/>
  <c r="A580" i="17" s="1"/>
  <c r="A581" i="17" s="1"/>
  <c r="A582" i="17" s="1"/>
  <c r="A583" i="17" s="1"/>
  <c r="A584" i="17" s="1"/>
  <c r="A585" i="17" s="1"/>
  <c r="A586" i="17" s="1"/>
  <c r="A587" i="17" s="1"/>
  <c r="A588" i="17" s="1"/>
  <c r="A589" i="17" s="1"/>
  <c r="A590" i="17" s="1"/>
  <c r="A591" i="17" s="1"/>
  <c r="A592" i="17" s="1"/>
  <c r="A593" i="17" s="1"/>
  <c r="A594" i="17" s="1"/>
  <c r="A595" i="17" s="1"/>
  <c r="A596" i="17" s="1"/>
  <c r="A597" i="17" s="1"/>
  <c r="A598" i="17" s="1"/>
  <c r="A599" i="17" s="1"/>
  <c r="A600" i="17" s="1"/>
  <c r="A601" i="17" s="1"/>
  <c r="A602" i="17" s="1"/>
  <c r="A603" i="17" s="1"/>
  <c r="A604" i="17" s="1"/>
  <c r="A605" i="17" s="1"/>
  <c r="A606" i="17" s="1"/>
  <c r="A607" i="17" s="1"/>
  <c r="A608" i="17" s="1"/>
  <c r="A609" i="17" s="1"/>
  <c r="A610" i="17" s="1"/>
  <c r="A611" i="17" s="1"/>
  <c r="A612" i="17" s="1"/>
  <c r="A613" i="17" s="1"/>
  <c r="A614" i="17" s="1"/>
  <c r="A615" i="17" s="1"/>
  <c r="A616" i="17" s="1"/>
  <c r="A617" i="17" s="1"/>
  <c r="A618" i="17" s="1"/>
  <c r="A619" i="17" s="1"/>
  <c r="A620" i="17" s="1"/>
  <c r="A621" i="17" s="1"/>
  <c r="A622" i="17" s="1"/>
  <c r="A623" i="17" s="1"/>
  <c r="A624" i="17" s="1"/>
  <c r="A625" i="17" s="1"/>
  <c r="A626" i="17" s="1"/>
  <c r="A627" i="17" s="1"/>
  <c r="A628" i="17" s="1"/>
  <c r="A629" i="17" s="1"/>
  <c r="A630" i="17" s="1"/>
  <c r="A631" i="17" s="1"/>
  <c r="A632" i="17" s="1"/>
  <c r="A633" i="17" s="1"/>
  <c r="A634" i="17" s="1"/>
  <c r="A635" i="17" s="1"/>
  <c r="A636" i="17" s="1"/>
  <c r="A637" i="17" s="1"/>
  <c r="A638" i="17" s="1"/>
  <c r="A639" i="17" s="1"/>
  <c r="A640" i="17" s="1"/>
  <c r="A641" i="17" s="1"/>
  <c r="A642" i="17" s="1"/>
  <c r="A643" i="17" s="1"/>
  <c r="A644" i="17" s="1"/>
  <c r="A645" i="17" s="1"/>
  <c r="A646" i="17" s="1"/>
  <c r="A647" i="17" s="1"/>
  <c r="A648" i="17" s="1"/>
  <c r="A649" i="17" s="1"/>
  <c r="A650" i="17" s="1"/>
  <c r="A651" i="17" s="1"/>
  <c r="A652" i="17" s="1"/>
  <c r="A653" i="17" s="1"/>
  <c r="A654" i="17" s="1"/>
  <c r="A655" i="17" s="1"/>
  <c r="A656" i="17" s="1"/>
  <c r="A657" i="17" s="1"/>
  <c r="A658" i="17" s="1"/>
  <c r="A659" i="17" s="1"/>
  <c r="A660" i="17" s="1"/>
  <c r="A661" i="17" s="1"/>
  <c r="A662" i="17" s="1"/>
  <c r="A663" i="17" s="1"/>
  <c r="A664" i="17" s="1"/>
  <c r="A665" i="17" s="1"/>
  <c r="A666" i="17" s="1"/>
  <c r="A667" i="17" s="1"/>
  <c r="A668" i="17" s="1"/>
  <c r="A669" i="17" s="1"/>
  <c r="A670" i="17" s="1"/>
  <c r="A671" i="17" s="1"/>
  <c r="A672" i="17" s="1"/>
  <c r="A673" i="17" s="1"/>
  <c r="A674" i="17" s="1"/>
  <c r="A675" i="17" s="1"/>
  <c r="A676" i="17" s="1"/>
  <c r="A677" i="17" s="1"/>
  <c r="A678" i="17" s="1"/>
  <c r="A679" i="17" s="1"/>
  <c r="A680" i="17" s="1"/>
  <c r="A681" i="17" s="1"/>
  <c r="A682" i="17" s="1"/>
  <c r="A683" i="17" s="1"/>
  <c r="A684" i="17" s="1"/>
  <c r="A685" i="17" s="1"/>
  <c r="A686" i="17" s="1"/>
  <c r="A687" i="17" s="1"/>
  <c r="A688" i="17" s="1"/>
  <c r="A689" i="17" s="1"/>
  <c r="A690" i="17" s="1"/>
  <c r="A691" i="17" s="1"/>
  <c r="A692" i="17" s="1"/>
  <c r="A693" i="17" s="1"/>
  <c r="A694" i="17" s="1"/>
  <c r="A695" i="17" s="1"/>
  <c r="A696" i="17" s="1"/>
  <c r="A697" i="17" s="1"/>
  <c r="A698" i="17" s="1"/>
  <c r="A699" i="17" s="1"/>
  <c r="A700" i="17" s="1"/>
  <c r="A701" i="17" s="1"/>
  <c r="A702" i="17" s="1"/>
  <c r="A703" i="17" s="1"/>
  <c r="A704" i="17" s="1"/>
  <c r="A705" i="17" s="1"/>
  <c r="A706" i="17" s="1"/>
  <c r="A707" i="17" s="1"/>
  <c r="A708" i="17" s="1"/>
  <c r="A709" i="17" s="1"/>
  <c r="A710" i="17" s="1"/>
  <c r="A711" i="17" s="1"/>
  <c r="A712" i="17" s="1"/>
  <c r="A713" i="17" s="1"/>
  <c r="A714" i="17" s="1"/>
  <c r="A715" i="17" s="1"/>
  <c r="A716" i="17" s="1"/>
  <c r="A717" i="17" s="1"/>
  <c r="A718" i="17" s="1"/>
  <c r="A719" i="17" s="1"/>
  <c r="A720" i="17" s="1"/>
  <c r="A721" i="17" s="1"/>
  <c r="A722" i="17" s="1"/>
  <c r="A723" i="17" s="1"/>
  <c r="A724" i="17" s="1"/>
  <c r="A725" i="17" s="1"/>
  <c r="A726" i="17" s="1"/>
  <c r="A727" i="17" s="1"/>
  <c r="A728" i="17" s="1"/>
  <c r="A729" i="17" s="1"/>
  <c r="A730" i="17" s="1"/>
  <c r="A731" i="17" s="1"/>
  <c r="A732" i="17" s="1"/>
  <c r="A733" i="17" s="1"/>
  <c r="A734" i="17" s="1"/>
  <c r="A735" i="17" s="1"/>
  <c r="A736" i="17" s="1"/>
  <c r="A737" i="17" s="1"/>
  <c r="A738" i="17" s="1"/>
  <c r="A739" i="17" s="1"/>
  <c r="A740" i="17" s="1"/>
  <c r="A741" i="17" s="1"/>
  <c r="A742" i="17" s="1"/>
  <c r="A743" i="17" s="1"/>
  <c r="A744" i="17" s="1"/>
  <c r="A745" i="17" s="1"/>
  <c r="A746" i="17" s="1"/>
  <c r="A747" i="17" s="1"/>
  <c r="A748" i="17" s="1"/>
  <c r="A749" i="17" s="1"/>
  <c r="A750" i="17" s="1"/>
  <c r="A751" i="17" s="1"/>
  <c r="A752" i="17" s="1"/>
  <c r="A753" i="17" s="1"/>
  <c r="A754" i="17" s="1"/>
  <c r="A755" i="17" s="1"/>
  <c r="A756" i="17" s="1"/>
  <c r="A757" i="17" s="1"/>
  <c r="A758" i="17" s="1"/>
  <c r="A759" i="17" s="1"/>
  <c r="A760" i="17" s="1"/>
  <c r="A761" i="17" s="1"/>
  <c r="A762" i="17" s="1"/>
  <c r="A763" i="17" s="1"/>
  <c r="A764" i="17" s="1"/>
  <c r="A765" i="17" s="1"/>
  <c r="A766" i="17" s="1"/>
  <c r="A767" i="17" s="1"/>
  <c r="A768" i="17" s="1"/>
  <c r="A769" i="17" s="1"/>
  <c r="A770" i="17" s="1"/>
  <c r="A771" i="17" s="1"/>
  <c r="A772" i="17" s="1"/>
  <c r="A773" i="17" s="1"/>
  <c r="A774" i="17" s="1"/>
  <c r="A775" i="17" s="1"/>
  <c r="A776" i="17" s="1"/>
  <c r="A777" i="17" s="1"/>
  <c r="A778" i="17" s="1"/>
  <c r="A779" i="17" s="1"/>
  <c r="A780" i="17" s="1"/>
  <c r="A781" i="17" s="1"/>
  <c r="A782" i="17" s="1"/>
  <c r="A783" i="17" s="1"/>
  <c r="A784" i="17" s="1"/>
  <c r="A785" i="17" s="1"/>
  <c r="A786" i="17" s="1"/>
  <c r="A787" i="17" s="1"/>
  <c r="A788" i="17" s="1"/>
  <c r="A789" i="17" s="1"/>
  <c r="A790" i="17" s="1"/>
  <c r="A791" i="17" s="1"/>
  <c r="A792" i="17" s="1"/>
  <c r="A793" i="17" s="1"/>
  <c r="A794" i="17" s="1"/>
  <c r="A795" i="17" s="1"/>
  <c r="A796" i="17" s="1"/>
  <c r="A797" i="17" s="1"/>
  <c r="A798" i="17" s="1"/>
  <c r="A799" i="17" s="1"/>
  <c r="A800" i="17" s="1"/>
  <c r="A801" i="17" s="1"/>
  <c r="A802" i="17" s="1"/>
  <c r="A803" i="17" s="1"/>
  <c r="A804" i="17" s="1"/>
  <c r="A805" i="17" s="1"/>
  <c r="A806" i="17" s="1"/>
  <c r="A807" i="17" s="1"/>
  <c r="A808" i="17" s="1"/>
  <c r="A809" i="17" s="1"/>
  <c r="A810" i="17" s="1"/>
  <c r="A811" i="17" s="1"/>
  <c r="A812" i="17" s="1"/>
  <c r="A813" i="17" s="1"/>
  <c r="A814" i="17" s="1"/>
  <c r="A815" i="17" s="1"/>
  <c r="A816" i="17" s="1"/>
  <c r="A817" i="17" s="1"/>
  <c r="A818" i="17" s="1"/>
  <c r="A819" i="17" s="1"/>
  <c r="A820" i="17" s="1"/>
  <c r="A821" i="17" s="1"/>
  <c r="A822" i="17" s="1"/>
  <c r="A823" i="17" s="1"/>
  <c r="A824" i="17" s="1"/>
  <c r="A825" i="17" s="1"/>
  <c r="A826" i="17" s="1"/>
  <c r="A827" i="17" s="1"/>
  <c r="A828" i="17" s="1"/>
  <c r="A829" i="17" s="1"/>
  <c r="A830" i="17" s="1"/>
  <c r="A831" i="17" s="1"/>
  <c r="A832" i="17" s="1"/>
  <c r="A833" i="17" s="1"/>
  <c r="A834" i="17" s="1"/>
  <c r="A835" i="17" s="1"/>
  <c r="A836" i="17" s="1"/>
  <c r="A837" i="17" s="1"/>
  <c r="A838" i="17" s="1"/>
  <c r="A839" i="17" s="1"/>
  <c r="A840" i="17" s="1"/>
  <c r="A841" i="17" s="1"/>
  <c r="A842" i="17" s="1"/>
  <c r="A843" i="17" s="1"/>
  <c r="A844" i="17" s="1"/>
  <c r="A845" i="17" s="1"/>
  <c r="A846" i="17" s="1"/>
  <c r="A847" i="17" s="1"/>
  <c r="A848" i="17" s="1"/>
  <c r="A849" i="17" s="1"/>
  <c r="A850" i="17" s="1"/>
  <c r="A851" i="17" s="1"/>
  <c r="A852" i="17" s="1"/>
  <c r="A853" i="17" s="1"/>
  <c r="A854" i="17" s="1"/>
  <c r="A855" i="17" s="1"/>
  <c r="A856" i="17" s="1"/>
  <c r="A857" i="17" s="1"/>
  <c r="A858" i="17" s="1"/>
  <c r="A859" i="17" s="1"/>
  <c r="A860" i="17" s="1"/>
  <c r="A861" i="17" s="1"/>
  <c r="A862" i="17" s="1"/>
  <c r="A863" i="17" s="1"/>
  <c r="A864" i="17" s="1"/>
  <c r="A865" i="17" s="1"/>
  <c r="A866" i="17" s="1"/>
  <c r="A867" i="17" s="1"/>
  <c r="A868" i="17" s="1"/>
  <c r="A869" i="17" s="1"/>
  <c r="A870" i="17" s="1"/>
  <c r="A871" i="17" s="1"/>
  <c r="A872" i="17" s="1"/>
  <c r="A873" i="17" s="1"/>
  <c r="A874" i="17" s="1"/>
  <c r="A875" i="17" s="1"/>
  <c r="A876" i="17" s="1"/>
  <c r="A877" i="17" s="1"/>
  <c r="A878" i="17" s="1"/>
  <c r="A879" i="17" s="1"/>
  <c r="A880" i="17" s="1"/>
  <c r="A881" i="17" s="1"/>
  <c r="A882" i="17" s="1"/>
  <c r="A883" i="17" s="1"/>
  <c r="A884" i="17" s="1"/>
  <c r="A885" i="17" s="1"/>
  <c r="A886" i="17" s="1"/>
  <c r="A887" i="17" s="1"/>
  <c r="A888" i="17" s="1"/>
  <c r="A889" i="17" s="1"/>
  <c r="A890" i="17" s="1"/>
  <c r="A891" i="17" s="1"/>
  <c r="A892" i="17" s="1"/>
  <c r="A893" i="17" s="1"/>
  <c r="A894" i="17" s="1"/>
  <c r="A895" i="17" s="1"/>
  <c r="A896" i="17" s="1"/>
  <c r="A897" i="17" s="1"/>
  <c r="A898" i="17" s="1"/>
  <c r="A899" i="17" s="1"/>
  <c r="A900" i="17" s="1"/>
  <c r="A901" i="17" s="1"/>
  <c r="A902" i="17" s="1"/>
  <c r="A903" i="17" s="1"/>
  <c r="A904" i="17" s="1"/>
  <c r="A905" i="17" s="1"/>
  <c r="A906" i="17" s="1"/>
  <c r="A907" i="17" s="1"/>
  <c r="A908" i="17" s="1"/>
  <c r="A909" i="17" s="1"/>
  <c r="A910" i="17" s="1"/>
  <c r="A911" i="17" s="1"/>
  <c r="A912" i="17" s="1"/>
  <c r="A913" i="17" s="1"/>
  <c r="A914" i="17" s="1"/>
  <c r="A915" i="17" s="1"/>
  <c r="A916" i="17" s="1"/>
  <c r="A917" i="17" s="1"/>
  <c r="A918" i="17" s="1"/>
  <c r="A919" i="17" s="1"/>
  <c r="A920" i="17" s="1"/>
  <c r="A921" i="17" s="1"/>
  <c r="A922" i="17" s="1"/>
  <c r="A923" i="17" s="1"/>
  <c r="A924" i="17" s="1"/>
  <c r="A925" i="17" s="1"/>
  <c r="A926" i="17" s="1"/>
  <c r="A927" i="17" s="1"/>
  <c r="A928" i="17" s="1"/>
  <c r="A929" i="17" s="1"/>
  <c r="A930" i="17" s="1"/>
  <c r="A931" i="17" s="1"/>
  <c r="A932" i="17" s="1"/>
  <c r="A933" i="17" s="1"/>
  <c r="A934" i="17" s="1"/>
  <c r="A935" i="17" s="1"/>
  <c r="A936" i="17" s="1"/>
  <c r="A937" i="17" s="1"/>
  <c r="A938" i="17" s="1"/>
  <c r="A939" i="17" s="1"/>
  <c r="A940" i="17" s="1"/>
  <c r="A941" i="17" s="1"/>
  <c r="A942" i="17" s="1"/>
  <c r="A943" i="17" s="1"/>
  <c r="A944" i="17" s="1"/>
  <c r="A945" i="17" s="1"/>
  <c r="A946" i="17" s="1"/>
  <c r="A947" i="17" s="1"/>
  <c r="A948" i="17" s="1"/>
  <c r="A949" i="17" s="1"/>
  <c r="A950" i="17" s="1"/>
  <c r="A951" i="17" s="1"/>
  <c r="A952" i="17" s="1"/>
  <c r="A953" i="17" s="1"/>
  <c r="A954" i="17" s="1"/>
  <c r="A955" i="17" s="1"/>
  <c r="A956" i="17" s="1"/>
  <c r="A957" i="17" s="1"/>
  <c r="A958" i="17" s="1"/>
  <c r="A959" i="17" s="1"/>
  <c r="A960" i="17" s="1"/>
  <c r="A961" i="17" s="1"/>
  <c r="A962" i="17" s="1"/>
  <c r="A963" i="17" s="1"/>
  <c r="A964" i="17" s="1"/>
  <c r="A965" i="17" s="1"/>
  <c r="A966" i="17" s="1"/>
  <c r="A967" i="17" s="1"/>
  <c r="A968" i="17" s="1"/>
  <c r="A969" i="17" s="1"/>
  <c r="A970" i="17" s="1"/>
  <c r="A971" i="17" s="1"/>
  <c r="A972" i="17" s="1"/>
  <c r="A973" i="17" s="1"/>
  <c r="A974" i="17" s="1"/>
  <c r="A975" i="17" s="1"/>
  <c r="A976" i="17" s="1"/>
  <c r="A977" i="17" s="1"/>
  <c r="A978" i="17" s="1"/>
  <c r="A979" i="17" s="1"/>
  <c r="A980" i="17" s="1"/>
  <c r="A981" i="17" s="1"/>
  <c r="A982" i="17" s="1"/>
  <c r="A983" i="17" s="1"/>
  <c r="A984" i="17" s="1"/>
  <c r="A985" i="17" s="1"/>
  <c r="A986" i="17" s="1"/>
  <c r="A987" i="17" s="1"/>
  <c r="A988" i="17" s="1"/>
  <c r="A989" i="17" s="1"/>
  <c r="A990" i="17" s="1"/>
  <c r="A991" i="17" s="1"/>
  <c r="A992" i="17" s="1"/>
  <c r="A993" i="17" s="1"/>
  <c r="A994" i="17" s="1"/>
  <c r="A995" i="17" s="1"/>
  <c r="A996" i="17" s="1"/>
  <c r="A997" i="17" s="1"/>
  <c r="A998" i="17" s="1"/>
  <c r="A999" i="17" s="1"/>
  <c r="A1000" i="17" s="1"/>
  <c r="A1001" i="17" s="1"/>
  <c r="A1002" i="17" s="1"/>
  <c r="A1003" i="17" s="1"/>
  <c r="A1004" i="17" s="1"/>
  <c r="A1005" i="17" s="1"/>
  <c r="A1006" i="17" s="1"/>
  <c r="A1007" i="17" s="1"/>
  <c r="F1" i="27"/>
  <c r="F1" i="28"/>
  <c r="F1" i="16"/>
  <c r="F1" i="17"/>
  <c r="E7" i="27"/>
  <c r="E8" i="27"/>
  <c r="E9" i="27"/>
  <c r="F9" i="27" s="1"/>
  <c r="E10" i="27"/>
  <c r="F10" i="27" s="1"/>
  <c r="E11" i="27"/>
  <c r="F1008" i="27"/>
  <c r="F1008" i="28"/>
  <c r="E11" i="28"/>
  <c r="F11" i="28" s="1"/>
  <c r="E10" i="28"/>
  <c r="G10" i="28" s="1"/>
  <c r="I10" i="28" s="1"/>
  <c r="E9" i="28"/>
  <c r="G9" i="28" s="1"/>
  <c r="I9" i="28" s="1"/>
  <c r="F9" i="28"/>
  <c r="E8" i="28"/>
  <c r="E7" i="28"/>
  <c r="F7" i="28" s="1"/>
  <c r="G7" i="28"/>
  <c r="I7" i="28" s="1"/>
  <c r="M24" i="24"/>
  <c r="M25" i="24" s="1"/>
  <c r="I24" i="24"/>
  <c r="I25" i="24" s="1"/>
  <c r="L24" i="24"/>
  <c r="L25" i="24" s="1"/>
  <c r="N24" i="24"/>
  <c r="N25" i="24" s="1"/>
  <c r="D13" i="9"/>
  <c r="F6" i="31" s="1"/>
  <c r="A5" i="9"/>
  <c r="D115" i="9"/>
  <c r="F1008" i="16"/>
  <c r="E11" i="16"/>
  <c r="F11" i="16" s="1"/>
  <c r="E10" i="16"/>
  <c r="F10" i="16" s="1"/>
  <c r="E9" i="16"/>
  <c r="E8" i="16"/>
  <c r="E7" i="16"/>
  <c r="F7" i="16" s="1"/>
  <c r="F1008" i="17"/>
  <c r="E11" i="17"/>
  <c r="E10" i="17"/>
  <c r="F10" i="17" s="1"/>
  <c r="E9" i="17"/>
  <c r="F9" i="17" s="1"/>
  <c r="E8" i="17"/>
  <c r="F8" i="17" s="1"/>
  <c r="E7" i="17"/>
  <c r="A7" i="27"/>
  <c r="A8" i="27" s="1"/>
  <c r="A9" i="27" s="1"/>
  <c r="J8" i="17"/>
  <c r="J9" i="17" s="1"/>
  <c r="J10" i="17" s="1"/>
  <c r="J11" i="17" s="1"/>
  <c r="J12" i="17" s="1"/>
  <c r="J13" i="17" s="1"/>
  <c r="J14" i="17" s="1"/>
  <c r="J15" i="17" s="1"/>
  <c r="J16" i="17" s="1"/>
  <c r="J17" i="17" s="1"/>
  <c r="J18" i="17" s="1"/>
  <c r="J19" i="17" s="1"/>
  <c r="J20" i="17" s="1"/>
  <c r="J21" i="17" s="1"/>
  <c r="J22" i="17" s="1"/>
  <c r="J23" i="17" s="1"/>
  <c r="J24" i="17" s="1"/>
  <c r="J25" i="17" s="1"/>
  <c r="J26" i="17" s="1"/>
  <c r="J27" i="17" s="1"/>
  <c r="J28" i="17" s="1"/>
  <c r="J29" i="17" s="1"/>
  <c r="J30" i="17" s="1"/>
  <c r="J31" i="17" s="1"/>
  <c r="J32" i="17" s="1"/>
  <c r="J33" i="17" s="1"/>
  <c r="J34" i="17" s="1"/>
  <c r="J35" i="17" s="1"/>
  <c r="J36" i="17" s="1"/>
  <c r="J37" i="17" s="1"/>
  <c r="J38" i="17" s="1"/>
  <c r="J39" i="17" s="1"/>
  <c r="J40" i="17" s="1"/>
  <c r="J41" i="17" s="1"/>
  <c r="J42" i="17" s="1"/>
  <c r="J43" i="17" s="1"/>
  <c r="J44" i="17" s="1"/>
  <c r="J45" i="17" s="1"/>
  <c r="J46" i="17" s="1"/>
  <c r="J47" i="17" s="1"/>
  <c r="J48" i="17" s="1"/>
  <c r="J49" i="17" s="1"/>
  <c r="J50" i="17" s="1"/>
  <c r="J51" i="17" s="1"/>
  <c r="J52" i="17" s="1"/>
  <c r="J53" i="17" s="1"/>
  <c r="J54" i="17" s="1"/>
  <c r="J55" i="17" s="1"/>
  <c r="J56" i="17" s="1"/>
  <c r="J57" i="17" s="1"/>
  <c r="J58" i="17" s="1"/>
  <c r="J59" i="17" s="1"/>
  <c r="J60" i="17" s="1"/>
  <c r="J61" i="17" s="1"/>
  <c r="J62" i="17" s="1"/>
  <c r="J63" i="17" s="1"/>
  <c r="J64" i="17" s="1"/>
  <c r="J65" i="17" s="1"/>
  <c r="J66" i="17" s="1"/>
  <c r="J67" i="17" s="1"/>
  <c r="J68" i="17" s="1"/>
  <c r="J69" i="17" s="1"/>
  <c r="J70" i="17" s="1"/>
  <c r="J71" i="17" s="1"/>
  <c r="J72" i="17" s="1"/>
  <c r="J73" i="17" s="1"/>
  <c r="J74" i="17" s="1"/>
  <c r="J75" i="17" s="1"/>
  <c r="J76" i="17" s="1"/>
  <c r="J77" i="17" s="1"/>
  <c r="J78" i="17" s="1"/>
  <c r="J79" i="17" s="1"/>
  <c r="J80" i="17" s="1"/>
  <c r="J81" i="17" s="1"/>
  <c r="J82" i="17" s="1"/>
  <c r="J83" i="17" s="1"/>
  <c r="J84" i="17" s="1"/>
  <c r="J85" i="17" s="1"/>
  <c r="J86" i="17" s="1"/>
  <c r="J87" i="17" s="1"/>
  <c r="J88" i="17" s="1"/>
  <c r="J89" i="17" s="1"/>
  <c r="J90" i="17" s="1"/>
  <c r="J91" i="17" s="1"/>
  <c r="J92" i="17" s="1"/>
  <c r="J93" i="17" s="1"/>
  <c r="J94" i="17" s="1"/>
  <c r="J95" i="17" s="1"/>
  <c r="J96" i="17" s="1"/>
  <c r="J97" i="17" s="1"/>
  <c r="J98" i="17" s="1"/>
  <c r="J99" i="17" s="1"/>
  <c r="J100" i="17" s="1"/>
  <c r="J101" i="17" s="1"/>
  <c r="J102" i="17" s="1"/>
  <c r="J103" i="17" s="1"/>
  <c r="J104" i="17" s="1"/>
  <c r="J105" i="17" s="1"/>
  <c r="J106" i="17" s="1"/>
  <c r="J107" i="17" s="1"/>
  <c r="G11" i="27"/>
  <c r="I11" i="27" s="1"/>
  <c r="F11" i="27"/>
  <c r="G9" i="27"/>
  <c r="I9" i="27" s="1"/>
  <c r="G7" i="27"/>
  <c r="I7" i="27" s="1"/>
  <c r="F7" i="27"/>
  <c r="A13" i="9"/>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G7" i="17"/>
  <c r="I7" i="17" s="1"/>
  <c r="F7" i="17"/>
  <c r="G7" i="16"/>
  <c r="G8" i="16"/>
  <c r="I8" i="16" s="1"/>
  <c r="F8" i="16"/>
  <c r="G9" i="16"/>
  <c r="F9" i="16"/>
  <c r="G10" i="16"/>
  <c r="I10" i="16" s="1"/>
  <c r="G11" i="16"/>
  <c r="G8" i="28"/>
  <c r="I8" i="28" s="1"/>
  <c r="F8" i="28"/>
  <c r="E26" i="24" l="1"/>
  <c r="G26" i="24"/>
  <c r="H26" i="24"/>
  <c r="G10" i="17"/>
  <c r="I10" i="17" s="1"/>
  <c r="E28" i="24"/>
  <c r="G28" i="24"/>
  <c r="H28" i="24"/>
  <c r="F36" i="25"/>
  <c r="F1009" i="36" s="1"/>
  <c r="J51" i="25"/>
  <c r="C51" i="25"/>
  <c r="B27" i="24"/>
  <c r="H27" i="24"/>
  <c r="G27" i="24"/>
  <c r="G8" i="17"/>
  <c r="I8" i="17" s="1"/>
  <c r="G29" i="24"/>
  <c r="H29" i="24"/>
  <c r="J20" i="25"/>
  <c r="B6" i="26"/>
  <c r="C6" i="26" s="1"/>
  <c r="J3" i="27"/>
  <c r="J4" i="27" s="1"/>
  <c r="J5" i="27" s="1"/>
  <c r="J6" i="27" s="1"/>
  <c r="J7" i="27" s="1"/>
  <c r="J8" i="27" s="1"/>
  <c r="J9" i="27" s="1"/>
  <c r="J10" i="27" s="1"/>
  <c r="J11" i="27" s="1"/>
  <c r="J12" i="27" s="1"/>
  <c r="J13" i="27" s="1"/>
  <c r="J14" i="27" s="1"/>
  <c r="J15" i="27" s="1"/>
  <c r="J16" i="27" s="1"/>
  <c r="J17" i="27" s="1"/>
  <c r="J18" i="27" s="1"/>
  <c r="J19" i="27" s="1"/>
  <c r="J20" i="27" s="1"/>
  <c r="J21" i="27" s="1"/>
  <c r="J22" i="27" s="1"/>
  <c r="J23" i="27" s="1"/>
  <c r="J24" i="27" s="1"/>
  <c r="J25" i="27" s="1"/>
  <c r="J26" i="27" s="1"/>
  <c r="J27" i="27" s="1"/>
  <c r="J28" i="27" s="1"/>
  <c r="J29" i="27" s="1"/>
  <c r="J30" i="27" s="1"/>
  <c r="J31" i="27" s="1"/>
  <c r="J32" i="27" s="1"/>
  <c r="J33" i="27" s="1"/>
  <c r="J34" i="27" s="1"/>
  <c r="J35" i="27" s="1"/>
  <c r="J36" i="27" s="1"/>
  <c r="J37" i="27" s="1"/>
  <c r="J38" i="27" s="1"/>
  <c r="J39" i="27" s="1"/>
  <c r="J40" i="27" s="1"/>
  <c r="J41" i="27" s="1"/>
  <c r="J42" i="27" s="1"/>
  <c r="J43" i="27" s="1"/>
  <c r="J44" i="27" s="1"/>
  <c r="J45" i="27" s="1"/>
  <c r="J46" i="27" s="1"/>
  <c r="J47" i="27" s="1"/>
  <c r="J48" i="27" s="1"/>
  <c r="J49" i="27" s="1"/>
  <c r="J50" i="27" s="1"/>
  <c r="J51" i="27" s="1"/>
  <c r="J52" i="27" s="1"/>
  <c r="J53" i="27" s="1"/>
  <c r="J54" i="27" s="1"/>
  <c r="J55" i="27" s="1"/>
  <c r="J56" i="27" s="1"/>
  <c r="J57" i="27" s="1"/>
  <c r="J58" i="27" s="1"/>
  <c r="J59" i="27" s="1"/>
  <c r="J60" i="27" s="1"/>
  <c r="J61" i="27" s="1"/>
  <c r="J62" i="27" s="1"/>
  <c r="J63" i="27" s="1"/>
  <c r="J64" i="27" s="1"/>
  <c r="J65" i="27" s="1"/>
  <c r="J66" i="27" s="1"/>
  <c r="J67" i="27" s="1"/>
  <c r="J68" i="27" s="1"/>
  <c r="J69" i="27" s="1"/>
  <c r="J70" i="27" s="1"/>
  <c r="J71" i="27" s="1"/>
  <c r="J72" i="27" s="1"/>
  <c r="J73" i="27" s="1"/>
  <c r="J74" i="27" s="1"/>
  <c r="J75" i="27" s="1"/>
  <c r="J76" i="27" s="1"/>
  <c r="J77" i="27" s="1"/>
  <c r="J78" i="27" s="1"/>
  <c r="J79" i="27" s="1"/>
  <c r="J80" i="27" s="1"/>
  <c r="J81" i="27" s="1"/>
  <c r="J82" i="27" s="1"/>
  <c r="J83" i="27" s="1"/>
  <c r="J84" i="27" s="1"/>
  <c r="J85" i="27" s="1"/>
  <c r="J86" i="27" s="1"/>
  <c r="J87" i="27" s="1"/>
  <c r="J88" i="27" s="1"/>
  <c r="J89" i="27" s="1"/>
  <c r="J90" i="27" s="1"/>
  <c r="J91" i="27" s="1"/>
  <c r="J92" i="27" s="1"/>
  <c r="J93" i="27" s="1"/>
  <c r="J94" i="27" s="1"/>
  <c r="J95" i="27" s="1"/>
  <c r="J96" i="27" s="1"/>
  <c r="J97" i="27" s="1"/>
  <c r="J98" i="27" s="1"/>
  <c r="J99" i="27" s="1"/>
  <c r="J100" i="27" s="1"/>
  <c r="J101" i="27" s="1"/>
  <c r="J102" i="27" s="1"/>
  <c r="C29" i="24"/>
  <c r="H39" i="25" s="1"/>
  <c r="E29" i="24"/>
  <c r="C27" i="24"/>
  <c r="H37" i="25" s="1"/>
  <c r="E27" i="24"/>
  <c r="J24" i="24"/>
  <c r="J25" i="24" s="1"/>
  <c r="L29" i="24"/>
  <c r="D28" i="24"/>
  <c r="A7" i="26"/>
  <c r="J8" i="36"/>
  <c r="J9" i="36" s="1"/>
  <c r="J10" i="36" s="1"/>
  <c r="J11" i="36" s="1"/>
  <c r="J12" i="36" s="1"/>
  <c r="J13" i="36" s="1"/>
  <c r="J14" i="36" s="1"/>
  <c r="J15" i="36" s="1"/>
  <c r="J16" i="36" s="1"/>
  <c r="J17" i="36" s="1"/>
  <c r="J18" i="36" s="1"/>
  <c r="J19" i="36" s="1"/>
  <c r="J20" i="36" s="1"/>
  <c r="J21" i="36" s="1"/>
  <c r="J22" i="36" s="1"/>
  <c r="J23" i="36" s="1"/>
  <c r="J24" i="36" s="1"/>
  <c r="J25" i="36" s="1"/>
  <c r="J26" i="36" s="1"/>
  <c r="J27" i="36" s="1"/>
  <c r="J28" i="36" s="1"/>
  <c r="J29" i="36" s="1"/>
  <c r="J30" i="36" s="1"/>
  <c r="J31" i="36" s="1"/>
  <c r="J32" i="36" s="1"/>
  <c r="J33" i="36" s="1"/>
  <c r="J34" i="36" s="1"/>
  <c r="J35" i="36" s="1"/>
  <c r="J36" i="36" s="1"/>
  <c r="J37" i="36" s="1"/>
  <c r="J38" i="36" s="1"/>
  <c r="J39" i="36" s="1"/>
  <c r="J40" i="36" s="1"/>
  <c r="J41" i="36" s="1"/>
  <c r="J42" i="36" s="1"/>
  <c r="J43" i="36" s="1"/>
  <c r="J44" i="36" s="1"/>
  <c r="J45" i="36" s="1"/>
  <c r="J46" i="36" s="1"/>
  <c r="J47" i="36" s="1"/>
  <c r="J48" i="36" s="1"/>
  <c r="J49" i="36" s="1"/>
  <c r="J50" i="36" s="1"/>
  <c r="J51" i="36" s="1"/>
  <c r="J52" i="36" s="1"/>
  <c r="J53" i="36" s="1"/>
  <c r="J54" i="36" s="1"/>
  <c r="J55" i="36" s="1"/>
  <c r="J56" i="36" s="1"/>
  <c r="J57" i="36" s="1"/>
  <c r="J58" i="36" s="1"/>
  <c r="J59" i="36" s="1"/>
  <c r="J60" i="36" s="1"/>
  <c r="J61" i="36" s="1"/>
  <c r="J62" i="36" s="1"/>
  <c r="J63" i="36" s="1"/>
  <c r="J64" i="36" s="1"/>
  <c r="J65" i="36" s="1"/>
  <c r="J66" i="36" s="1"/>
  <c r="J67" i="36" s="1"/>
  <c r="J68" i="36" s="1"/>
  <c r="J69" i="36" s="1"/>
  <c r="J70" i="36" s="1"/>
  <c r="J71" i="36" s="1"/>
  <c r="J72" i="36" s="1"/>
  <c r="J73" i="36" s="1"/>
  <c r="J74" i="36" s="1"/>
  <c r="J75" i="36" s="1"/>
  <c r="J76" i="36" s="1"/>
  <c r="J77" i="36" s="1"/>
  <c r="J78" i="36" s="1"/>
  <c r="J79" i="36" s="1"/>
  <c r="J80" i="36" s="1"/>
  <c r="J81" i="36" s="1"/>
  <c r="J82" i="36" s="1"/>
  <c r="J83" i="36" s="1"/>
  <c r="J84" i="36" s="1"/>
  <c r="J85" i="36" s="1"/>
  <c r="J86" i="36" s="1"/>
  <c r="J87" i="36" s="1"/>
  <c r="J88" i="36" s="1"/>
  <c r="J89" i="36" s="1"/>
  <c r="J90" i="36" s="1"/>
  <c r="J91" i="36" s="1"/>
  <c r="J92" i="36" s="1"/>
  <c r="J93" i="36" s="1"/>
  <c r="J94" i="36" s="1"/>
  <c r="J95" i="36" s="1"/>
  <c r="J96" i="36" s="1"/>
  <c r="J97" i="36" s="1"/>
  <c r="J98" i="36" s="1"/>
  <c r="J99" i="36" s="1"/>
  <c r="J100" i="36" s="1"/>
  <c r="J101" i="36" s="1"/>
  <c r="J102" i="36" s="1"/>
  <c r="J103" i="36" s="1"/>
  <c r="J104" i="36" s="1"/>
  <c r="J105" i="36" s="1"/>
  <c r="J106" i="36" s="1"/>
  <c r="J107" i="36" s="1"/>
  <c r="A7" i="28"/>
  <c r="J3" i="28" s="1"/>
  <c r="J4" i="28" s="1"/>
  <c r="J5" i="28" s="1"/>
  <c r="J6" i="28" s="1"/>
  <c r="J7" i="28" s="1"/>
  <c r="J8" i="28" s="1"/>
  <c r="J9" i="28" s="1"/>
  <c r="J10" i="28" s="1"/>
  <c r="J11" i="28" s="1"/>
  <c r="J12" i="28" s="1"/>
  <c r="J13" i="28" s="1"/>
  <c r="J14" i="28" s="1"/>
  <c r="J15" i="28" s="1"/>
  <c r="J16" i="28" s="1"/>
  <c r="J17" i="28" s="1"/>
  <c r="J18" i="28" s="1"/>
  <c r="J19" i="28" s="1"/>
  <c r="J20" i="28" s="1"/>
  <c r="J21" i="28" s="1"/>
  <c r="J22" i="28" s="1"/>
  <c r="J23" i="28" s="1"/>
  <c r="J24" i="28" s="1"/>
  <c r="J25" i="28" s="1"/>
  <c r="J26" i="28" s="1"/>
  <c r="J27" i="28" s="1"/>
  <c r="J28" i="28" s="1"/>
  <c r="J29" i="28" s="1"/>
  <c r="J30" i="28" s="1"/>
  <c r="J31" i="28" s="1"/>
  <c r="J32" i="28" s="1"/>
  <c r="J33" i="28" s="1"/>
  <c r="J34" i="28" s="1"/>
  <c r="J35" i="28" s="1"/>
  <c r="J36" i="28" s="1"/>
  <c r="J37" i="28" s="1"/>
  <c r="J38" i="28" s="1"/>
  <c r="J39" i="28" s="1"/>
  <c r="J40" i="28" s="1"/>
  <c r="J41" i="28" s="1"/>
  <c r="J42" i="28" s="1"/>
  <c r="J43" i="28" s="1"/>
  <c r="J44" i="28" s="1"/>
  <c r="J45" i="28" s="1"/>
  <c r="J46" i="28" s="1"/>
  <c r="J47" i="28" s="1"/>
  <c r="J48" i="28" s="1"/>
  <c r="J49" i="28" s="1"/>
  <c r="J50" i="28" s="1"/>
  <c r="J51" i="28" s="1"/>
  <c r="J52" i="28" s="1"/>
  <c r="J53" i="28" s="1"/>
  <c r="J54" i="28" s="1"/>
  <c r="J55" i="28" s="1"/>
  <c r="J56" i="28" s="1"/>
  <c r="J57" i="28" s="1"/>
  <c r="J58" i="28" s="1"/>
  <c r="J59" i="28" s="1"/>
  <c r="J60" i="28" s="1"/>
  <c r="J61" i="28" s="1"/>
  <c r="J62" i="28" s="1"/>
  <c r="J63" i="28" s="1"/>
  <c r="J64" i="28" s="1"/>
  <c r="J65" i="28" s="1"/>
  <c r="J66" i="28" s="1"/>
  <c r="J67" i="28" s="1"/>
  <c r="J68" i="28" s="1"/>
  <c r="J69" i="28" s="1"/>
  <c r="J70" i="28" s="1"/>
  <c r="J71" i="28" s="1"/>
  <c r="J72" i="28" s="1"/>
  <c r="J73" i="28" s="1"/>
  <c r="J74" i="28" s="1"/>
  <c r="J75" i="28" s="1"/>
  <c r="J76" i="28" s="1"/>
  <c r="J77" i="28" s="1"/>
  <c r="J78" i="28" s="1"/>
  <c r="J79" i="28" s="1"/>
  <c r="J80" i="28" s="1"/>
  <c r="J81" i="28" s="1"/>
  <c r="J82" i="28" s="1"/>
  <c r="J83" i="28" s="1"/>
  <c r="J84" i="28" s="1"/>
  <c r="J85" i="28" s="1"/>
  <c r="J86" i="28" s="1"/>
  <c r="J87" i="28" s="1"/>
  <c r="J88" i="28" s="1"/>
  <c r="J89" i="28" s="1"/>
  <c r="J90" i="28" s="1"/>
  <c r="J91" i="28" s="1"/>
  <c r="J92" i="28" s="1"/>
  <c r="J93" i="28" s="1"/>
  <c r="J94" i="28" s="1"/>
  <c r="J95" i="28" s="1"/>
  <c r="J96" i="28" s="1"/>
  <c r="J97" i="28" s="1"/>
  <c r="J98" i="28" s="1"/>
  <c r="J99" i="28" s="1"/>
  <c r="J100" i="28" s="1"/>
  <c r="J101" i="28" s="1"/>
  <c r="J102" i="28" s="1"/>
  <c r="A7" i="36"/>
  <c r="A7" i="33"/>
  <c r="A7" i="35"/>
  <c r="A7" i="34"/>
  <c r="G13" i="9"/>
  <c r="J13" i="9" s="1"/>
  <c r="F27" i="24"/>
  <c r="K27" i="24"/>
  <c r="N27" i="24"/>
  <c r="J27" i="24"/>
  <c r="M27" i="24"/>
  <c r="I27" i="24"/>
  <c r="L27" i="24"/>
  <c r="D27" i="24"/>
  <c r="F26" i="24"/>
  <c r="K26" i="24"/>
  <c r="D26" i="24"/>
  <c r="N26" i="24"/>
  <c r="J26" i="24"/>
  <c r="M26" i="24"/>
  <c r="I26" i="24"/>
  <c r="L26" i="24"/>
  <c r="B9" i="24"/>
  <c r="B21" i="24" s="1"/>
  <c r="C21" i="24"/>
  <c r="E2" i="11" s="1"/>
  <c r="K24" i="24"/>
  <c r="K25" i="24" s="1"/>
  <c r="F24" i="24"/>
  <c r="M28" i="24"/>
  <c r="M29" i="24"/>
  <c r="N29" i="24"/>
  <c r="B14" i="24"/>
  <c r="J29" i="24"/>
  <c r="N28" i="24"/>
  <c r="I29" i="24"/>
  <c r="B17" i="24"/>
  <c r="B12" i="24"/>
  <c r="B16" i="24"/>
  <c r="B11" i="24"/>
  <c r="G9" i="17"/>
  <c r="I9" i="17" s="1"/>
  <c r="F10" i="28"/>
  <c r="G11" i="28"/>
  <c r="I11" i="28" s="1"/>
  <c r="G10" i="27"/>
  <c r="I10" i="27" s="1"/>
  <c r="B15" i="24"/>
  <c r="B13" i="24"/>
  <c r="L28" i="24"/>
  <c r="F37" i="25"/>
  <c r="F1009" i="35" s="1"/>
  <c r="B18" i="24"/>
  <c r="F38" i="25"/>
  <c r="F1009" i="34" s="1"/>
  <c r="F39" i="25"/>
  <c r="F1009" i="33" s="1"/>
  <c r="J21" i="31"/>
  <c r="A7" i="16"/>
  <c r="J3" i="16" s="1"/>
  <c r="J4" i="16" s="1"/>
  <c r="J5" i="16" s="1"/>
  <c r="J6" i="16" s="1"/>
  <c r="J7" i="16" s="1"/>
  <c r="J8" i="16" s="1"/>
  <c r="J9" i="16" s="1"/>
  <c r="J10" i="16" s="1"/>
  <c r="J11" i="16" s="1"/>
  <c r="J12" i="16" s="1"/>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J58" i="16" s="1"/>
  <c r="J59" i="16" s="1"/>
  <c r="J60" i="16" s="1"/>
  <c r="J61" i="16" s="1"/>
  <c r="J62" i="16" s="1"/>
  <c r="J63" i="16" s="1"/>
  <c r="J64" i="16" s="1"/>
  <c r="J65" i="16" s="1"/>
  <c r="J66" i="16" s="1"/>
  <c r="J67" i="16" s="1"/>
  <c r="J68" i="16" s="1"/>
  <c r="J69" i="16" s="1"/>
  <c r="J70" i="16" s="1"/>
  <c r="J71" i="16" s="1"/>
  <c r="J72" i="16" s="1"/>
  <c r="J73" i="16" s="1"/>
  <c r="J74" i="16" s="1"/>
  <c r="J75" i="16" s="1"/>
  <c r="J76" i="16" s="1"/>
  <c r="J77" i="16" s="1"/>
  <c r="J78" i="16" s="1"/>
  <c r="J79" i="16" s="1"/>
  <c r="J80" i="16" s="1"/>
  <c r="J81" i="16" s="1"/>
  <c r="J82" i="16" s="1"/>
  <c r="J83" i="16" s="1"/>
  <c r="J84" i="16" s="1"/>
  <c r="J85" i="16" s="1"/>
  <c r="J86" i="16" s="1"/>
  <c r="J87" i="16" s="1"/>
  <c r="J88" i="16" s="1"/>
  <c r="J89" i="16" s="1"/>
  <c r="J90" i="16" s="1"/>
  <c r="J91" i="16" s="1"/>
  <c r="J92" i="16" s="1"/>
  <c r="J93" i="16" s="1"/>
  <c r="J94" i="16" s="1"/>
  <c r="J95" i="16" s="1"/>
  <c r="J96" i="16" s="1"/>
  <c r="J97" i="16" s="1"/>
  <c r="J98" i="16" s="1"/>
  <c r="J99" i="16" s="1"/>
  <c r="J100" i="16" s="1"/>
  <c r="J101" i="16" s="1"/>
  <c r="J102" i="16" s="1"/>
  <c r="J17" i="26"/>
  <c r="J18" i="26" s="1"/>
  <c r="A5" i="11"/>
  <c r="A6" i="11" s="1"/>
  <c r="A7" i="11" s="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I9" i="16"/>
  <c r="A10" i="27"/>
  <c r="I7" i="16"/>
  <c r="I11" i="16"/>
  <c r="G11" i="17"/>
  <c r="F11" i="17"/>
  <c r="G8" i="27"/>
  <c r="F8" i="27"/>
  <c r="F28" i="24"/>
  <c r="I28" i="24"/>
  <c r="K28" i="24"/>
  <c r="A8" i="26"/>
  <c r="J28" i="24"/>
  <c r="F29" i="24"/>
  <c r="B29" i="24" s="1"/>
  <c r="K29" i="24"/>
  <c r="A8" i="28" l="1"/>
  <c r="A9" i="28" s="1"/>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A100" i="28" s="1"/>
  <c r="A101" i="28" s="1"/>
  <c r="A102" i="28" s="1"/>
  <c r="A103" i="28" s="1"/>
  <c r="A104" i="28" s="1"/>
  <c r="A105" i="28" s="1"/>
  <c r="A106" i="28" s="1"/>
  <c r="A107" i="28" s="1"/>
  <c r="A108" i="28" s="1"/>
  <c r="A109" i="28" s="1"/>
  <c r="A110" i="28" s="1"/>
  <c r="A111" i="28" s="1"/>
  <c r="A112" i="28" s="1"/>
  <c r="A113" i="28" s="1"/>
  <c r="A114" i="28" s="1"/>
  <c r="A115" i="28" s="1"/>
  <c r="A116" i="28" s="1"/>
  <c r="A117" i="28" s="1"/>
  <c r="A118" i="28" s="1"/>
  <c r="A119" i="28" s="1"/>
  <c r="A120" i="28" s="1"/>
  <c r="A121" i="28" s="1"/>
  <c r="A122" i="28" s="1"/>
  <c r="A123" i="28" s="1"/>
  <c r="A124" i="28" s="1"/>
  <c r="A125" i="28" s="1"/>
  <c r="A126" i="28" s="1"/>
  <c r="A127" i="28" s="1"/>
  <c r="A128" i="28" s="1"/>
  <c r="A129" i="28" s="1"/>
  <c r="A130" i="28" s="1"/>
  <c r="A131" i="28" s="1"/>
  <c r="A132" i="28" s="1"/>
  <c r="A133" i="28" s="1"/>
  <c r="A134" i="28" s="1"/>
  <c r="A135" i="28" s="1"/>
  <c r="A136" i="28" s="1"/>
  <c r="A137" i="28" s="1"/>
  <c r="A138" i="28" s="1"/>
  <c r="A139" i="28" s="1"/>
  <c r="A140" i="28" s="1"/>
  <c r="A141" i="28" s="1"/>
  <c r="A142" i="28" s="1"/>
  <c r="A143" i="28" s="1"/>
  <c r="A144" i="28" s="1"/>
  <c r="A145" i="28" s="1"/>
  <c r="A146" i="28" s="1"/>
  <c r="A147" i="28" s="1"/>
  <c r="A148" i="28" s="1"/>
  <c r="A149" i="28" s="1"/>
  <c r="A150" i="28" s="1"/>
  <c r="A151" i="28" s="1"/>
  <c r="A152" i="28" s="1"/>
  <c r="A153" i="28" s="1"/>
  <c r="A154" i="28" s="1"/>
  <c r="A155" i="28" s="1"/>
  <c r="A156" i="28" s="1"/>
  <c r="A157" i="28" s="1"/>
  <c r="A158" i="28" s="1"/>
  <c r="A159" i="28" s="1"/>
  <c r="A160" i="28" s="1"/>
  <c r="A161" i="28" s="1"/>
  <c r="A162" i="28" s="1"/>
  <c r="A163" i="28" s="1"/>
  <c r="A164" i="28" s="1"/>
  <c r="A165" i="28" s="1"/>
  <c r="A166" i="28" s="1"/>
  <c r="A167" i="28" s="1"/>
  <c r="A168" i="28" s="1"/>
  <c r="A169" i="28" s="1"/>
  <c r="A170" i="28" s="1"/>
  <c r="A171" i="28" s="1"/>
  <c r="A172" i="28" s="1"/>
  <c r="A173" i="28" s="1"/>
  <c r="A174" i="28" s="1"/>
  <c r="A175" i="28" s="1"/>
  <c r="A176" i="28" s="1"/>
  <c r="A177" i="28" s="1"/>
  <c r="A178" i="28" s="1"/>
  <c r="A179" i="28" s="1"/>
  <c r="A180" i="28" s="1"/>
  <c r="A181" i="28" s="1"/>
  <c r="A182" i="28" s="1"/>
  <c r="A183" i="28" s="1"/>
  <c r="A184" i="28" s="1"/>
  <c r="A185" i="28" s="1"/>
  <c r="A186" i="28" s="1"/>
  <c r="A187" i="28" s="1"/>
  <c r="A188" i="28" s="1"/>
  <c r="A189" i="28" s="1"/>
  <c r="A190" i="28" s="1"/>
  <c r="A191" i="28" s="1"/>
  <c r="A192" i="28" s="1"/>
  <c r="A193" i="28" s="1"/>
  <c r="A194" i="28" s="1"/>
  <c r="A195" i="28" s="1"/>
  <c r="A196" i="28" s="1"/>
  <c r="A197" i="28" s="1"/>
  <c r="A198" i="28" s="1"/>
  <c r="A199" i="28" s="1"/>
  <c r="A200" i="28" s="1"/>
  <c r="A201" i="28" s="1"/>
  <c r="A202" i="28" s="1"/>
  <c r="A203" i="28" s="1"/>
  <c r="A204" i="28" s="1"/>
  <c r="A205" i="28" s="1"/>
  <c r="A206" i="28" s="1"/>
  <c r="A207" i="28" s="1"/>
  <c r="A208" i="28" s="1"/>
  <c r="A209" i="28" s="1"/>
  <c r="A210" i="28" s="1"/>
  <c r="A211" i="28" s="1"/>
  <c r="A212" i="28" s="1"/>
  <c r="A213" i="28" s="1"/>
  <c r="A214" i="28" s="1"/>
  <c r="A215" i="28" s="1"/>
  <c r="A216" i="28" s="1"/>
  <c r="A217" i="28" s="1"/>
  <c r="A218" i="28" s="1"/>
  <c r="A219" i="28" s="1"/>
  <c r="A220" i="28" s="1"/>
  <c r="A221" i="28" s="1"/>
  <c r="A222" i="28" s="1"/>
  <c r="A223" i="28" s="1"/>
  <c r="A224" i="28" s="1"/>
  <c r="A225" i="28" s="1"/>
  <c r="A226" i="28" s="1"/>
  <c r="A227" i="28" s="1"/>
  <c r="A228" i="28" s="1"/>
  <c r="A229" i="28" s="1"/>
  <c r="A230" i="28" s="1"/>
  <c r="A231" i="28" s="1"/>
  <c r="A232" i="28" s="1"/>
  <c r="A233" i="28" s="1"/>
  <c r="A234" i="28" s="1"/>
  <c r="A235" i="28" s="1"/>
  <c r="A236" i="28" s="1"/>
  <c r="A237" i="28" s="1"/>
  <c r="A238" i="28" s="1"/>
  <c r="A239" i="28" s="1"/>
  <c r="A240" i="28" s="1"/>
  <c r="A241" i="28" s="1"/>
  <c r="A242" i="28" s="1"/>
  <c r="A243" i="28" s="1"/>
  <c r="A244" i="28" s="1"/>
  <c r="A245" i="28" s="1"/>
  <c r="A246" i="28" s="1"/>
  <c r="A247" i="28" s="1"/>
  <c r="A248" i="28" s="1"/>
  <c r="A249" i="28" s="1"/>
  <c r="A250" i="28" s="1"/>
  <c r="A251" i="28" s="1"/>
  <c r="A252" i="28" s="1"/>
  <c r="A253" i="28" s="1"/>
  <c r="A254" i="28" s="1"/>
  <c r="A255" i="28" s="1"/>
  <c r="A256" i="28" s="1"/>
  <c r="A257" i="28" s="1"/>
  <c r="A258" i="28" s="1"/>
  <c r="A259" i="28" s="1"/>
  <c r="A260" i="28" s="1"/>
  <c r="A261" i="28" s="1"/>
  <c r="A262" i="28" s="1"/>
  <c r="A263" i="28" s="1"/>
  <c r="A264" i="28" s="1"/>
  <c r="A265" i="28" s="1"/>
  <c r="A266" i="28" s="1"/>
  <c r="A267" i="28" s="1"/>
  <c r="A268" i="28" s="1"/>
  <c r="A269" i="28" s="1"/>
  <c r="A270" i="28" s="1"/>
  <c r="A271" i="28" s="1"/>
  <c r="A272" i="28" s="1"/>
  <c r="A273" i="28" s="1"/>
  <c r="A274" i="28" s="1"/>
  <c r="A275" i="28" s="1"/>
  <c r="A276" i="28" s="1"/>
  <c r="A277" i="28" s="1"/>
  <c r="A278" i="28" s="1"/>
  <c r="A279" i="28" s="1"/>
  <c r="A280" i="28" s="1"/>
  <c r="A281" i="28" s="1"/>
  <c r="A282" i="28" s="1"/>
  <c r="A283" i="28" s="1"/>
  <c r="A284" i="28" s="1"/>
  <c r="A285" i="28" s="1"/>
  <c r="A286" i="28" s="1"/>
  <c r="A287" i="28" s="1"/>
  <c r="A288" i="28" s="1"/>
  <c r="A289" i="28" s="1"/>
  <c r="A290" i="28" s="1"/>
  <c r="A291" i="28" s="1"/>
  <c r="A292" i="28" s="1"/>
  <c r="A293" i="28" s="1"/>
  <c r="A294" i="28" s="1"/>
  <c r="A295" i="28" s="1"/>
  <c r="A296" i="28" s="1"/>
  <c r="A297" i="28" s="1"/>
  <c r="A298" i="28" s="1"/>
  <c r="A299" i="28" s="1"/>
  <c r="A300" i="28" s="1"/>
  <c r="A301" i="28" s="1"/>
  <c r="A302" i="28" s="1"/>
  <c r="A303" i="28" s="1"/>
  <c r="A304" i="28" s="1"/>
  <c r="A305" i="28" s="1"/>
  <c r="A306" i="28" s="1"/>
  <c r="A307" i="28" s="1"/>
  <c r="A308" i="28" s="1"/>
  <c r="A309" i="28" s="1"/>
  <c r="A310" i="28" s="1"/>
  <c r="A311" i="28" s="1"/>
  <c r="A312" i="28" s="1"/>
  <c r="A313" i="28" s="1"/>
  <c r="A314" i="28" s="1"/>
  <c r="A315" i="28" s="1"/>
  <c r="A316" i="28" s="1"/>
  <c r="A317" i="28" s="1"/>
  <c r="A318" i="28" s="1"/>
  <c r="A319" i="28" s="1"/>
  <c r="A320" i="28" s="1"/>
  <c r="A321" i="28" s="1"/>
  <c r="A322" i="28" s="1"/>
  <c r="A323" i="28" s="1"/>
  <c r="A324" i="28" s="1"/>
  <c r="A325" i="28" s="1"/>
  <c r="A326" i="28" s="1"/>
  <c r="A327" i="28" s="1"/>
  <c r="A328" i="28" s="1"/>
  <c r="A329" i="28" s="1"/>
  <c r="A330" i="28" s="1"/>
  <c r="A331" i="28" s="1"/>
  <c r="A332" i="28" s="1"/>
  <c r="A333" i="28" s="1"/>
  <c r="A334" i="28" s="1"/>
  <c r="A335" i="28" s="1"/>
  <c r="A336" i="28" s="1"/>
  <c r="A337" i="28" s="1"/>
  <c r="A338" i="28" s="1"/>
  <c r="A339" i="28" s="1"/>
  <c r="A340" i="28" s="1"/>
  <c r="A341" i="28" s="1"/>
  <c r="A342" i="28" s="1"/>
  <c r="A343" i="28" s="1"/>
  <c r="A344" i="28" s="1"/>
  <c r="A345" i="28" s="1"/>
  <c r="A346" i="28" s="1"/>
  <c r="A347" i="28" s="1"/>
  <c r="A348" i="28" s="1"/>
  <c r="A349" i="28" s="1"/>
  <c r="A350" i="28" s="1"/>
  <c r="A351" i="28" s="1"/>
  <c r="A352" i="28" s="1"/>
  <c r="A353" i="28" s="1"/>
  <c r="A354" i="28" s="1"/>
  <c r="A355" i="28" s="1"/>
  <c r="A356" i="28" s="1"/>
  <c r="A357" i="28" s="1"/>
  <c r="A358" i="28" s="1"/>
  <c r="A359" i="28" s="1"/>
  <c r="A360" i="28" s="1"/>
  <c r="A361" i="28" s="1"/>
  <c r="A362" i="28" s="1"/>
  <c r="A363" i="28" s="1"/>
  <c r="A364" i="28" s="1"/>
  <c r="A365" i="28" s="1"/>
  <c r="A366" i="28" s="1"/>
  <c r="A367" i="28" s="1"/>
  <c r="A368" i="28" s="1"/>
  <c r="A369" i="28" s="1"/>
  <c r="A370" i="28" s="1"/>
  <c r="A371" i="28" s="1"/>
  <c r="A372" i="28" s="1"/>
  <c r="A373" i="28" s="1"/>
  <c r="A374" i="28" s="1"/>
  <c r="A375" i="28" s="1"/>
  <c r="A376" i="28" s="1"/>
  <c r="A377" i="28" s="1"/>
  <c r="A378" i="28" s="1"/>
  <c r="A379" i="28" s="1"/>
  <c r="A380" i="28" s="1"/>
  <c r="A381" i="28" s="1"/>
  <c r="A382" i="28" s="1"/>
  <c r="A383" i="28" s="1"/>
  <c r="A384" i="28" s="1"/>
  <c r="A385" i="28" s="1"/>
  <c r="A386" i="28" s="1"/>
  <c r="A387" i="28" s="1"/>
  <c r="A388" i="28" s="1"/>
  <c r="A389" i="28" s="1"/>
  <c r="A390" i="28" s="1"/>
  <c r="A391" i="28" s="1"/>
  <c r="A392" i="28" s="1"/>
  <c r="A393" i="28" s="1"/>
  <c r="A394" i="28" s="1"/>
  <c r="A395" i="28" s="1"/>
  <c r="A396" i="28" s="1"/>
  <c r="A397" i="28" s="1"/>
  <c r="A398" i="28" s="1"/>
  <c r="A399" i="28" s="1"/>
  <c r="A400" i="28" s="1"/>
  <c r="A401" i="28" s="1"/>
  <c r="A402" i="28" s="1"/>
  <c r="A403" i="28" s="1"/>
  <c r="A404" i="28" s="1"/>
  <c r="A405" i="28" s="1"/>
  <c r="A406" i="28" s="1"/>
  <c r="A407" i="28" s="1"/>
  <c r="A408" i="28" s="1"/>
  <c r="A409" i="28" s="1"/>
  <c r="A410" i="28" s="1"/>
  <c r="A411" i="28" s="1"/>
  <c r="A412" i="28" s="1"/>
  <c r="A413" i="28" s="1"/>
  <c r="A414" i="28" s="1"/>
  <c r="A415" i="28" s="1"/>
  <c r="A416" i="28" s="1"/>
  <c r="A417" i="28" s="1"/>
  <c r="A418" i="28" s="1"/>
  <c r="A419" i="28" s="1"/>
  <c r="A420" i="28" s="1"/>
  <c r="A421" i="28" s="1"/>
  <c r="A422" i="28" s="1"/>
  <c r="A423" i="28" s="1"/>
  <c r="A424" i="28" s="1"/>
  <c r="A425" i="28" s="1"/>
  <c r="A426" i="28" s="1"/>
  <c r="A427" i="28" s="1"/>
  <c r="A428" i="28" s="1"/>
  <c r="A429" i="28" s="1"/>
  <c r="A430" i="28" s="1"/>
  <c r="A431" i="28" s="1"/>
  <c r="A432" i="28" s="1"/>
  <c r="A433" i="28" s="1"/>
  <c r="A434" i="28" s="1"/>
  <c r="A435" i="28" s="1"/>
  <c r="A436" i="28" s="1"/>
  <c r="A437" i="28" s="1"/>
  <c r="A438" i="28" s="1"/>
  <c r="A439" i="28" s="1"/>
  <c r="A440" i="28" s="1"/>
  <c r="A441" i="28" s="1"/>
  <c r="A442" i="28" s="1"/>
  <c r="A443" i="28" s="1"/>
  <c r="A444" i="28" s="1"/>
  <c r="A445" i="28" s="1"/>
  <c r="A446" i="28" s="1"/>
  <c r="A447" i="28" s="1"/>
  <c r="A448" i="28" s="1"/>
  <c r="A449" i="28" s="1"/>
  <c r="A450" i="28" s="1"/>
  <c r="A451" i="28" s="1"/>
  <c r="A452" i="28" s="1"/>
  <c r="A453" i="28" s="1"/>
  <c r="A454" i="28" s="1"/>
  <c r="A455" i="28" s="1"/>
  <c r="A456" i="28" s="1"/>
  <c r="A457" i="28" s="1"/>
  <c r="A458" i="28" s="1"/>
  <c r="A459" i="28" s="1"/>
  <c r="A460" i="28" s="1"/>
  <c r="A461" i="28" s="1"/>
  <c r="A462" i="28" s="1"/>
  <c r="A463" i="28" s="1"/>
  <c r="A464" i="28" s="1"/>
  <c r="A465" i="28" s="1"/>
  <c r="A466" i="28" s="1"/>
  <c r="A467" i="28" s="1"/>
  <c r="A468" i="28" s="1"/>
  <c r="A469" i="28" s="1"/>
  <c r="A470" i="28" s="1"/>
  <c r="A471" i="28" s="1"/>
  <c r="A472" i="28" s="1"/>
  <c r="A473" i="28" s="1"/>
  <c r="A474" i="28" s="1"/>
  <c r="A475" i="28" s="1"/>
  <c r="A476" i="28" s="1"/>
  <c r="A477" i="28" s="1"/>
  <c r="A478" i="28" s="1"/>
  <c r="A479" i="28" s="1"/>
  <c r="A480" i="28" s="1"/>
  <c r="A481" i="28" s="1"/>
  <c r="A482" i="28" s="1"/>
  <c r="A483" i="28" s="1"/>
  <c r="A484" i="28" s="1"/>
  <c r="A485" i="28" s="1"/>
  <c r="A486" i="28" s="1"/>
  <c r="A487" i="28" s="1"/>
  <c r="A488" i="28" s="1"/>
  <c r="A489" i="28" s="1"/>
  <c r="A490" i="28" s="1"/>
  <c r="A491" i="28" s="1"/>
  <c r="A492" i="28" s="1"/>
  <c r="A493" i="28" s="1"/>
  <c r="A494" i="28" s="1"/>
  <c r="A495" i="28" s="1"/>
  <c r="A496" i="28" s="1"/>
  <c r="A497" i="28" s="1"/>
  <c r="A498" i="28" s="1"/>
  <c r="A499" i="28" s="1"/>
  <c r="A500" i="28" s="1"/>
  <c r="A501" i="28" s="1"/>
  <c r="A502" i="28" s="1"/>
  <c r="A503" i="28" s="1"/>
  <c r="A504" i="28" s="1"/>
  <c r="A505" i="28" s="1"/>
  <c r="A506" i="28" s="1"/>
  <c r="A507" i="28" s="1"/>
  <c r="A508" i="28" s="1"/>
  <c r="A509" i="28" s="1"/>
  <c r="A510" i="28" s="1"/>
  <c r="A511" i="28" s="1"/>
  <c r="A512" i="28" s="1"/>
  <c r="A513" i="28" s="1"/>
  <c r="A514" i="28" s="1"/>
  <c r="A515" i="28" s="1"/>
  <c r="A516" i="28" s="1"/>
  <c r="A517" i="28" s="1"/>
  <c r="A518" i="28" s="1"/>
  <c r="A519" i="28" s="1"/>
  <c r="A520" i="28" s="1"/>
  <c r="A521" i="28" s="1"/>
  <c r="A522" i="28" s="1"/>
  <c r="A523" i="28" s="1"/>
  <c r="A524" i="28" s="1"/>
  <c r="A525" i="28" s="1"/>
  <c r="A526" i="28" s="1"/>
  <c r="A527" i="28" s="1"/>
  <c r="A528" i="28" s="1"/>
  <c r="A529" i="28" s="1"/>
  <c r="A530" i="28" s="1"/>
  <c r="A531" i="28" s="1"/>
  <c r="A532" i="28" s="1"/>
  <c r="A533" i="28" s="1"/>
  <c r="A534" i="28" s="1"/>
  <c r="A535" i="28" s="1"/>
  <c r="A536" i="28" s="1"/>
  <c r="A537" i="28" s="1"/>
  <c r="A538" i="28" s="1"/>
  <c r="A539" i="28" s="1"/>
  <c r="A540" i="28" s="1"/>
  <c r="A541" i="28" s="1"/>
  <c r="A542" i="28" s="1"/>
  <c r="A543" i="28" s="1"/>
  <c r="A544" i="28" s="1"/>
  <c r="A545" i="28" s="1"/>
  <c r="A546" i="28" s="1"/>
  <c r="A547" i="28" s="1"/>
  <c r="A548" i="28" s="1"/>
  <c r="A549" i="28" s="1"/>
  <c r="A550" i="28" s="1"/>
  <c r="A551" i="28" s="1"/>
  <c r="A552" i="28" s="1"/>
  <c r="A553" i="28" s="1"/>
  <c r="A554" i="28" s="1"/>
  <c r="A555" i="28" s="1"/>
  <c r="A556" i="28" s="1"/>
  <c r="A557" i="28" s="1"/>
  <c r="A558" i="28" s="1"/>
  <c r="A559" i="28" s="1"/>
  <c r="A560" i="28" s="1"/>
  <c r="A561" i="28" s="1"/>
  <c r="A562" i="28" s="1"/>
  <c r="A563" i="28" s="1"/>
  <c r="A564" i="28" s="1"/>
  <c r="A565" i="28" s="1"/>
  <c r="A566" i="28" s="1"/>
  <c r="A567" i="28" s="1"/>
  <c r="A568" i="28" s="1"/>
  <c r="A569" i="28" s="1"/>
  <c r="A570" i="28" s="1"/>
  <c r="A571" i="28" s="1"/>
  <c r="A572" i="28" s="1"/>
  <c r="A573" i="28" s="1"/>
  <c r="A574" i="28" s="1"/>
  <c r="A575" i="28" s="1"/>
  <c r="A576" i="28" s="1"/>
  <c r="A577" i="28" s="1"/>
  <c r="A578" i="28" s="1"/>
  <c r="A579" i="28" s="1"/>
  <c r="A580" i="28" s="1"/>
  <c r="A581" i="28" s="1"/>
  <c r="A582" i="28" s="1"/>
  <c r="A583" i="28" s="1"/>
  <c r="A584" i="28" s="1"/>
  <c r="A585" i="28" s="1"/>
  <c r="A586" i="28" s="1"/>
  <c r="A587" i="28" s="1"/>
  <c r="A588" i="28" s="1"/>
  <c r="A589" i="28" s="1"/>
  <c r="A590" i="28" s="1"/>
  <c r="A591" i="28" s="1"/>
  <c r="A592" i="28" s="1"/>
  <c r="A593" i="28" s="1"/>
  <c r="A594" i="28" s="1"/>
  <c r="A595" i="28" s="1"/>
  <c r="A596" i="28" s="1"/>
  <c r="A597" i="28" s="1"/>
  <c r="A598" i="28" s="1"/>
  <c r="A599" i="28" s="1"/>
  <c r="A600" i="28" s="1"/>
  <c r="A601" i="28" s="1"/>
  <c r="A602" i="28" s="1"/>
  <c r="A603" i="28" s="1"/>
  <c r="A604" i="28" s="1"/>
  <c r="A605" i="28" s="1"/>
  <c r="A606" i="28" s="1"/>
  <c r="A607" i="28" s="1"/>
  <c r="A608" i="28" s="1"/>
  <c r="A609" i="28" s="1"/>
  <c r="A610" i="28" s="1"/>
  <c r="A611" i="28" s="1"/>
  <c r="A612" i="28" s="1"/>
  <c r="A613" i="28" s="1"/>
  <c r="A614" i="28" s="1"/>
  <c r="A615" i="28" s="1"/>
  <c r="A616" i="28" s="1"/>
  <c r="A617" i="28" s="1"/>
  <c r="A618" i="28" s="1"/>
  <c r="A619" i="28" s="1"/>
  <c r="A620" i="28" s="1"/>
  <c r="A621" i="28" s="1"/>
  <c r="A622" i="28" s="1"/>
  <c r="A623" i="28" s="1"/>
  <c r="A624" i="28" s="1"/>
  <c r="A625" i="28" s="1"/>
  <c r="A626" i="28" s="1"/>
  <c r="A627" i="28" s="1"/>
  <c r="A628" i="28" s="1"/>
  <c r="A629" i="28" s="1"/>
  <c r="A630" i="28" s="1"/>
  <c r="A631" i="28" s="1"/>
  <c r="A632" i="28" s="1"/>
  <c r="A633" i="28" s="1"/>
  <c r="A634" i="28" s="1"/>
  <c r="A635" i="28" s="1"/>
  <c r="A636" i="28" s="1"/>
  <c r="A637" i="28" s="1"/>
  <c r="A638" i="28" s="1"/>
  <c r="A639" i="28" s="1"/>
  <c r="A640" i="28" s="1"/>
  <c r="A641" i="28" s="1"/>
  <c r="A642" i="28" s="1"/>
  <c r="A643" i="28" s="1"/>
  <c r="A644" i="28" s="1"/>
  <c r="A645" i="28" s="1"/>
  <c r="A646" i="28" s="1"/>
  <c r="A647" i="28" s="1"/>
  <c r="A648" i="28" s="1"/>
  <c r="A649" i="28" s="1"/>
  <c r="A650" i="28" s="1"/>
  <c r="A651" i="28" s="1"/>
  <c r="A652" i="28" s="1"/>
  <c r="A653" i="28" s="1"/>
  <c r="A654" i="28" s="1"/>
  <c r="A655" i="28" s="1"/>
  <c r="A656" i="28" s="1"/>
  <c r="A657" i="28" s="1"/>
  <c r="A658" i="28" s="1"/>
  <c r="A659" i="28" s="1"/>
  <c r="A660" i="28" s="1"/>
  <c r="A661" i="28" s="1"/>
  <c r="A662" i="28" s="1"/>
  <c r="A663" i="28" s="1"/>
  <c r="A664" i="28" s="1"/>
  <c r="A665" i="28" s="1"/>
  <c r="A666" i="28" s="1"/>
  <c r="A667" i="28" s="1"/>
  <c r="A668" i="28" s="1"/>
  <c r="A669" i="28" s="1"/>
  <c r="A670" i="28" s="1"/>
  <c r="A671" i="28" s="1"/>
  <c r="A672" i="28" s="1"/>
  <c r="A673" i="28" s="1"/>
  <c r="A674" i="28" s="1"/>
  <c r="A675" i="28" s="1"/>
  <c r="A676" i="28" s="1"/>
  <c r="A677" i="28" s="1"/>
  <c r="A678" i="28" s="1"/>
  <c r="A679" i="28" s="1"/>
  <c r="A680" i="28" s="1"/>
  <c r="A681" i="28" s="1"/>
  <c r="A682" i="28" s="1"/>
  <c r="A683" i="28" s="1"/>
  <c r="A684" i="28" s="1"/>
  <c r="A685" i="28" s="1"/>
  <c r="A686" i="28" s="1"/>
  <c r="A687" i="28" s="1"/>
  <c r="A688" i="28" s="1"/>
  <c r="A689" i="28" s="1"/>
  <c r="A690" i="28" s="1"/>
  <c r="A691" i="28" s="1"/>
  <c r="A692" i="28" s="1"/>
  <c r="A693" i="28" s="1"/>
  <c r="A694" i="28" s="1"/>
  <c r="A695" i="28" s="1"/>
  <c r="A696" i="28" s="1"/>
  <c r="A697" i="28" s="1"/>
  <c r="A698" i="28" s="1"/>
  <c r="A699" i="28" s="1"/>
  <c r="A700" i="28" s="1"/>
  <c r="A701" i="28" s="1"/>
  <c r="A702" i="28" s="1"/>
  <c r="A703" i="28" s="1"/>
  <c r="A704" i="28" s="1"/>
  <c r="A705" i="28" s="1"/>
  <c r="A706" i="28" s="1"/>
  <c r="A707" i="28" s="1"/>
  <c r="A708" i="28" s="1"/>
  <c r="A709" i="28" s="1"/>
  <c r="A710" i="28" s="1"/>
  <c r="A711" i="28" s="1"/>
  <c r="A712" i="28" s="1"/>
  <c r="A713" i="28" s="1"/>
  <c r="A714" i="28" s="1"/>
  <c r="A715" i="28" s="1"/>
  <c r="A716" i="28" s="1"/>
  <c r="A717" i="28" s="1"/>
  <c r="A718" i="28" s="1"/>
  <c r="A719" i="28" s="1"/>
  <c r="A720" i="28" s="1"/>
  <c r="A721" i="28" s="1"/>
  <c r="A722" i="28" s="1"/>
  <c r="A723" i="28" s="1"/>
  <c r="A724" i="28" s="1"/>
  <c r="A725" i="28" s="1"/>
  <c r="A726" i="28" s="1"/>
  <c r="A727" i="28" s="1"/>
  <c r="A728" i="28" s="1"/>
  <c r="A729" i="28" s="1"/>
  <c r="A730" i="28" s="1"/>
  <c r="A731" i="28" s="1"/>
  <c r="A732" i="28" s="1"/>
  <c r="A733" i="28" s="1"/>
  <c r="A734" i="28" s="1"/>
  <c r="A735" i="28" s="1"/>
  <c r="A736" i="28" s="1"/>
  <c r="A737" i="28" s="1"/>
  <c r="A738" i="28" s="1"/>
  <c r="A739" i="28" s="1"/>
  <c r="A740" i="28" s="1"/>
  <c r="A741" i="28" s="1"/>
  <c r="A742" i="28" s="1"/>
  <c r="A743" i="28" s="1"/>
  <c r="A744" i="28" s="1"/>
  <c r="A745" i="28" s="1"/>
  <c r="A746" i="28" s="1"/>
  <c r="A747" i="28" s="1"/>
  <c r="A748" i="28" s="1"/>
  <c r="A749" i="28" s="1"/>
  <c r="A750" i="28" s="1"/>
  <c r="A751" i="28" s="1"/>
  <c r="A752" i="28" s="1"/>
  <c r="A753" i="28" s="1"/>
  <c r="A754" i="28" s="1"/>
  <c r="A755" i="28" s="1"/>
  <c r="A756" i="28" s="1"/>
  <c r="A757" i="28" s="1"/>
  <c r="A758" i="28" s="1"/>
  <c r="A759" i="28" s="1"/>
  <c r="A760" i="28" s="1"/>
  <c r="A761" i="28" s="1"/>
  <c r="A762" i="28" s="1"/>
  <c r="A763" i="28" s="1"/>
  <c r="A764" i="28" s="1"/>
  <c r="A765" i="28" s="1"/>
  <c r="A766" i="28" s="1"/>
  <c r="A767" i="28" s="1"/>
  <c r="A768" i="28" s="1"/>
  <c r="A769" i="28" s="1"/>
  <c r="A770" i="28" s="1"/>
  <c r="A771" i="28" s="1"/>
  <c r="A772" i="28" s="1"/>
  <c r="A773" i="28" s="1"/>
  <c r="A774" i="28" s="1"/>
  <c r="A775" i="28" s="1"/>
  <c r="A776" i="28" s="1"/>
  <c r="A777" i="28" s="1"/>
  <c r="A778" i="28" s="1"/>
  <c r="A779" i="28" s="1"/>
  <c r="A780" i="28" s="1"/>
  <c r="A781" i="28" s="1"/>
  <c r="A782" i="28" s="1"/>
  <c r="A783" i="28" s="1"/>
  <c r="A784" i="28" s="1"/>
  <c r="A785" i="28" s="1"/>
  <c r="A786" i="28" s="1"/>
  <c r="A787" i="28" s="1"/>
  <c r="A788" i="28" s="1"/>
  <c r="A789" i="28" s="1"/>
  <c r="A790" i="28" s="1"/>
  <c r="A791" i="28" s="1"/>
  <c r="A792" i="28" s="1"/>
  <c r="A793" i="28" s="1"/>
  <c r="A794" i="28" s="1"/>
  <c r="A795" i="28" s="1"/>
  <c r="A796" i="28" s="1"/>
  <c r="A797" i="28" s="1"/>
  <c r="A798" i="28" s="1"/>
  <c r="A799" i="28" s="1"/>
  <c r="A800" i="28" s="1"/>
  <c r="A801" i="28" s="1"/>
  <c r="A802" i="28" s="1"/>
  <c r="A803" i="28" s="1"/>
  <c r="A804" i="28" s="1"/>
  <c r="A805" i="28" s="1"/>
  <c r="A806" i="28" s="1"/>
  <c r="A807" i="28" s="1"/>
  <c r="A808" i="28" s="1"/>
  <c r="A809" i="28" s="1"/>
  <c r="A810" i="28" s="1"/>
  <c r="A811" i="28" s="1"/>
  <c r="A812" i="28" s="1"/>
  <c r="A813" i="28" s="1"/>
  <c r="A814" i="28" s="1"/>
  <c r="A815" i="28" s="1"/>
  <c r="A816" i="28" s="1"/>
  <c r="A817" i="28" s="1"/>
  <c r="A818" i="28" s="1"/>
  <c r="A819" i="28" s="1"/>
  <c r="A820" i="28" s="1"/>
  <c r="A821" i="28" s="1"/>
  <c r="A822" i="28" s="1"/>
  <c r="A823" i="28" s="1"/>
  <c r="A824" i="28" s="1"/>
  <c r="A825" i="28" s="1"/>
  <c r="A826" i="28" s="1"/>
  <c r="A827" i="28" s="1"/>
  <c r="A828" i="28" s="1"/>
  <c r="A829" i="28" s="1"/>
  <c r="A830" i="28" s="1"/>
  <c r="A831" i="28" s="1"/>
  <c r="A832" i="28" s="1"/>
  <c r="A833" i="28" s="1"/>
  <c r="A834" i="28" s="1"/>
  <c r="A835" i="28" s="1"/>
  <c r="A836" i="28" s="1"/>
  <c r="A837" i="28" s="1"/>
  <c r="A838" i="28" s="1"/>
  <c r="A839" i="28" s="1"/>
  <c r="A840" i="28" s="1"/>
  <c r="A841" i="28" s="1"/>
  <c r="A842" i="28" s="1"/>
  <c r="A843" i="28" s="1"/>
  <c r="A844" i="28" s="1"/>
  <c r="A845" i="28" s="1"/>
  <c r="A846" i="28" s="1"/>
  <c r="A847" i="28" s="1"/>
  <c r="A848" i="28" s="1"/>
  <c r="A849" i="28" s="1"/>
  <c r="A850" i="28" s="1"/>
  <c r="A851" i="28" s="1"/>
  <c r="A852" i="28" s="1"/>
  <c r="A853" i="28" s="1"/>
  <c r="A854" i="28" s="1"/>
  <c r="A855" i="28" s="1"/>
  <c r="A856" i="28" s="1"/>
  <c r="A857" i="28" s="1"/>
  <c r="A858" i="28" s="1"/>
  <c r="A859" i="28" s="1"/>
  <c r="A860" i="28" s="1"/>
  <c r="A861" i="28" s="1"/>
  <c r="A862" i="28" s="1"/>
  <c r="A863" i="28" s="1"/>
  <c r="A864" i="28" s="1"/>
  <c r="A865" i="28" s="1"/>
  <c r="A866" i="28" s="1"/>
  <c r="A867" i="28" s="1"/>
  <c r="A868" i="28" s="1"/>
  <c r="A869" i="28" s="1"/>
  <c r="A870" i="28" s="1"/>
  <c r="A871" i="28" s="1"/>
  <c r="A872" i="28" s="1"/>
  <c r="A873" i="28" s="1"/>
  <c r="A874" i="28" s="1"/>
  <c r="A875" i="28" s="1"/>
  <c r="A876" i="28" s="1"/>
  <c r="A877" i="28" s="1"/>
  <c r="A878" i="28" s="1"/>
  <c r="A879" i="28" s="1"/>
  <c r="A880" i="28" s="1"/>
  <c r="A881" i="28" s="1"/>
  <c r="A882" i="28" s="1"/>
  <c r="A883" i="28" s="1"/>
  <c r="A884" i="28" s="1"/>
  <c r="A885" i="28" s="1"/>
  <c r="A886" i="28" s="1"/>
  <c r="A887" i="28" s="1"/>
  <c r="A888" i="28" s="1"/>
  <c r="A889" i="28" s="1"/>
  <c r="A890" i="28" s="1"/>
  <c r="A891" i="28" s="1"/>
  <c r="A892" i="28" s="1"/>
  <c r="A893" i="28" s="1"/>
  <c r="A894" i="28" s="1"/>
  <c r="A895" i="28" s="1"/>
  <c r="A896" i="28" s="1"/>
  <c r="A897" i="28" s="1"/>
  <c r="A898" i="28" s="1"/>
  <c r="A899" i="28" s="1"/>
  <c r="A900" i="28" s="1"/>
  <c r="A901" i="28" s="1"/>
  <c r="A902" i="28" s="1"/>
  <c r="A903" i="28" s="1"/>
  <c r="A904" i="28" s="1"/>
  <c r="A905" i="28" s="1"/>
  <c r="A906" i="28" s="1"/>
  <c r="A907" i="28" s="1"/>
  <c r="A908" i="28" s="1"/>
  <c r="A909" i="28" s="1"/>
  <c r="A910" i="28" s="1"/>
  <c r="A911" i="28" s="1"/>
  <c r="A912" i="28" s="1"/>
  <c r="A913" i="28" s="1"/>
  <c r="A914" i="28" s="1"/>
  <c r="A915" i="28" s="1"/>
  <c r="A916" i="28" s="1"/>
  <c r="A917" i="28" s="1"/>
  <c r="A918" i="28" s="1"/>
  <c r="A919" i="28" s="1"/>
  <c r="A920" i="28" s="1"/>
  <c r="A921" i="28" s="1"/>
  <c r="A922" i="28" s="1"/>
  <c r="A923" i="28" s="1"/>
  <c r="A924" i="28" s="1"/>
  <c r="A925" i="28" s="1"/>
  <c r="A926" i="28" s="1"/>
  <c r="A927" i="28" s="1"/>
  <c r="A928" i="28" s="1"/>
  <c r="A929" i="28" s="1"/>
  <c r="A930" i="28" s="1"/>
  <c r="A931" i="28" s="1"/>
  <c r="A932" i="28" s="1"/>
  <c r="A933" i="28" s="1"/>
  <c r="A934" i="28" s="1"/>
  <c r="A935" i="28" s="1"/>
  <c r="A936" i="28" s="1"/>
  <c r="A937" i="28" s="1"/>
  <c r="A938" i="28" s="1"/>
  <c r="A939" i="28" s="1"/>
  <c r="A940" i="28" s="1"/>
  <c r="A941" i="28" s="1"/>
  <c r="A942" i="28" s="1"/>
  <c r="A943" i="28" s="1"/>
  <c r="A944" i="28" s="1"/>
  <c r="A945" i="28" s="1"/>
  <c r="A946" i="28" s="1"/>
  <c r="A947" i="28" s="1"/>
  <c r="A948" i="28" s="1"/>
  <c r="A949" i="28" s="1"/>
  <c r="A950" i="28" s="1"/>
  <c r="A951" i="28" s="1"/>
  <c r="A952" i="28" s="1"/>
  <c r="A953" i="28" s="1"/>
  <c r="A954" i="28" s="1"/>
  <c r="A955" i="28" s="1"/>
  <c r="A956" i="28" s="1"/>
  <c r="A957" i="28" s="1"/>
  <c r="A958" i="28" s="1"/>
  <c r="A959" i="28" s="1"/>
  <c r="A960" i="28" s="1"/>
  <c r="A961" i="28" s="1"/>
  <c r="A962" i="28" s="1"/>
  <c r="A963" i="28" s="1"/>
  <c r="A964" i="28" s="1"/>
  <c r="A965" i="28" s="1"/>
  <c r="A966" i="28" s="1"/>
  <c r="A967" i="28" s="1"/>
  <c r="A968" i="28" s="1"/>
  <c r="A969" i="28" s="1"/>
  <c r="A970" i="28" s="1"/>
  <c r="A971" i="28" s="1"/>
  <c r="A972" i="28" s="1"/>
  <c r="A973" i="28" s="1"/>
  <c r="A974" i="28" s="1"/>
  <c r="A975" i="28" s="1"/>
  <c r="A976" i="28" s="1"/>
  <c r="A977" i="28" s="1"/>
  <c r="A978" i="28" s="1"/>
  <c r="A979" i="28" s="1"/>
  <c r="A980" i="28" s="1"/>
  <c r="A981" i="28" s="1"/>
  <c r="A982" i="28" s="1"/>
  <c r="A983" i="28" s="1"/>
  <c r="A984" i="28" s="1"/>
  <c r="A985" i="28" s="1"/>
  <c r="A986" i="28" s="1"/>
  <c r="A987" i="28" s="1"/>
  <c r="A988" i="28" s="1"/>
  <c r="A989" i="28" s="1"/>
  <c r="A990" i="28" s="1"/>
  <c r="A991" i="28" s="1"/>
  <c r="A992" i="28" s="1"/>
  <c r="A993" i="28" s="1"/>
  <c r="A994" i="28" s="1"/>
  <c r="A995" i="28" s="1"/>
  <c r="A996" i="28" s="1"/>
  <c r="A997" i="28" s="1"/>
  <c r="A998" i="28" s="1"/>
  <c r="A999" i="28" s="1"/>
  <c r="A1000" i="28" s="1"/>
  <c r="A1001" i="28" s="1"/>
  <c r="A1002" i="28" s="1"/>
  <c r="A1003" i="28" s="1"/>
  <c r="A1004" i="28" s="1"/>
  <c r="A1005" i="28" s="1"/>
  <c r="A1006" i="28" s="1"/>
  <c r="A1007" i="28" s="1"/>
  <c r="E119" i="9"/>
  <c r="F1010" i="35"/>
  <c r="G119" i="9"/>
  <c r="F1010" i="33"/>
  <c r="A8" i="16"/>
  <c r="A9" i="16" s="1"/>
  <c r="A10" i="16" s="1"/>
  <c r="A11" i="16" s="1"/>
  <c r="B13" i="9"/>
  <c r="C13" i="9" s="1"/>
  <c r="D7" i="26"/>
  <c r="B7" i="26"/>
  <c r="B8" i="26" s="1"/>
  <c r="E23" i="24"/>
  <c r="E24" i="24" s="1"/>
  <c r="E25" i="24" s="1"/>
  <c r="E19" i="24"/>
  <c r="E2" i="37"/>
  <c r="A8" i="36"/>
  <c r="A8" i="34"/>
  <c r="J3" i="34"/>
  <c r="J4" i="34" s="1"/>
  <c r="J5" i="34" s="1"/>
  <c r="J6" i="34" s="1"/>
  <c r="J7" i="34" s="1"/>
  <c r="J8" i="34" s="1"/>
  <c r="J9" i="34" s="1"/>
  <c r="J10" i="34" s="1"/>
  <c r="J11" i="34" s="1"/>
  <c r="J12" i="34" s="1"/>
  <c r="J13" i="34" s="1"/>
  <c r="J14" i="34" s="1"/>
  <c r="J15" i="34" s="1"/>
  <c r="J16" i="34" s="1"/>
  <c r="J17" i="34" s="1"/>
  <c r="J18" i="34" s="1"/>
  <c r="J19" i="34" s="1"/>
  <c r="J20" i="34" s="1"/>
  <c r="J21" i="34" s="1"/>
  <c r="J22" i="34" s="1"/>
  <c r="J23" i="34" s="1"/>
  <c r="J24" i="34" s="1"/>
  <c r="J25" i="34" s="1"/>
  <c r="J26" i="34" s="1"/>
  <c r="J27" i="34" s="1"/>
  <c r="J28" i="34" s="1"/>
  <c r="J29" i="34" s="1"/>
  <c r="J30" i="34" s="1"/>
  <c r="J31" i="34" s="1"/>
  <c r="J32" i="34" s="1"/>
  <c r="J33" i="34" s="1"/>
  <c r="J34" i="34" s="1"/>
  <c r="J35" i="34" s="1"/>
  <c r="J36" i="34" s="1"/>
  <c r="J37" i="34" s="1"/>
  <c r="J38" i="34" s="1"/>
  <c r="J39" i="34" s="1"/>
  <c r="J40" i="34" s="1"/>
  <c r="J41" i="34" s="1"/>
  <c r="J42" i="34" s="1"/>
  <c r="J43" i="34" s="1"/>
  <c r="J44" i="34" s="1"/>
  <c r="J45" i="34" s="1"/>
  <c r="J46" i="34" s="1"/>
  <c r="J47" i="34" s="1"/>
  <c r="J48" i="34" s="1"/>
  <c r="J49" i="34" s="1"/>
  <c r="J50" i="34" s="1"/>
  <c r="J51" i="34" s="1"/>
  <c r="J52" i="34" s="1"/>
  <c r="J53" i="34" s="1"/>
  <c r="J54" i="34" s="1"/>
  <c r="J55" i="34" s="1"/>
  <c r="J56" i="34" s="1"/>
  <c r="J57" i="34" s="1"/>
  <c r="J58" i="34" s="1"/>
  <c r="J59" i="34" s="1"/>
  <c r="J60" i="34" s="1"/>
  <c r="J61" i="34" s="1"/>
  <c r="J62" i="34" s="1"/>
  <c r="J63" i="34" s="1"/>
  <c r="J64" i="34" s="1"/>
  <c r="J65" i="34" s="1"/>
  <c r="J66" i="34" s="1"/>
  <c r="J67" i="34" s="1"/>
  <c r="J68" i="34" s="1"/>
  <c r="J69" i="34" s="1"/>
  <c r="J70" i="34" s="1"/>
  <c r="J71" i="34" s="1"/>
  <c r="J72" i="34" s="1"/>
  <c r="J73" i="34" s="1"/>
  <c r="J74" i="34" s="1"/>
  <c r="J75" i="34" s="1"/>
  <c r="J76" i="34" s="1"/>
  <c r="J77" i="34" s="1"/>
  <c r="J78" i="34" s="1"/>
  <c r="J79" i="34" s="1"/>
  <c r="J80" i="34" s="1"/>
  <c r="J81" i="34" s="1"/>
  <c r="J82" i="34" s="1"/>
  <c r="J83" i="34" s="1"/>
  <c r="J84" i="34" s="1"/>
  <c r="J85" i="34" s="1"/>
  <c r="J86" i="34" s="1"/>
  <c r="J87" i="34" s="1"/>
  <c r="J88" i="34" s="1"/>
  <c r="J89" i="34" s="1"/>
  <c r="J90" i="34" s="1"/>
  <c r="J91" i="34" s="1"/>
  <c r="J92" i="34" s="1"/>
  <c r="J93" i="34" s="1"/>
  <c r="J94" i="34" s="1"/>
  <c r="J95" i="34" s="1"/>
  <c r="J96" i="34" s="1"/>
  <c r="J97" i="34" s="1"/>
  <c r="J98" i="34" s="1"/>
  <c r="J99" i="34" s="1"/>
  <c r="J100" i="34" s="1"/>
  <c r="J101" i="34" s="1"/>
  <c r="J102" i="34" s="1"/>
  <c r="A8" i="35"/>
  <c r="J3" i="35"/>
  <c r="J4" i="35" s="1"/>
  <c r="J5" i="35" s="1"/>
  <c r="J6" i="35" s="1"/>
  <c r="J7" i="35" s="1"/>
  <c r="J8" i="35" s="1"/>
  <c r="J9" i="35" s="1"/>
  <c r="J10" i="35" s="1"/>
  <c r="J11" i="35" s="1"/>
  <c r="J12" i="35" s="1"/>
  <c r="J13" i="35" s="1"/>
  <c r="J14" i="35" s="1"/>
  <c r="J15" i="35" s="1"/>
  <c r="J16" i="35" s="1"/>
  <c r="J17" i="35" s="1"/>
  <c r="J18" i="35" s="1"/>
  <c r="J19" i="35" s="1"/>
  <c r="J20" i="35" s="1"/>
  <c r="J21" i="35" s="1"/>
  <c r="J22" i="35" s="1"/>
  <c r="J23" i="35" s="1"/>
  <c r="J24" i="35" s="1"/>
  <c r="J25" i="35" s="1"/>
  <c r="J26" i="35" s="1"/>
  <c r="J27" i="35" s="1"/>
  <c r="J28" i="35" s="1"/>
  <c r="J29" i="35" s="1"/>
  <c r="J30" i="35" s="1"/>
  <c r="J31" i="35" s="1"/>
  <c r="J32" i="35" s="1"/>
  <c r="J33" i="35" s="1"/>
  <c r="J34" i="35" s="1"/>
  <c r="J35" i="35" s="1"/>
  <c r="J36" i="35" s="1"/>
  <c r="J37" i="35" s="1"/>
  <c r="J38" i="35" s="1"/>
  <c r="J39" i="35" s="1"/>
  <c r="J40" i="35" s="1"/>
  <c r="J41" i="35" s="1"/>
  <c r="J42" i="35" s="1"/>
  <c r="J43" i="35" s="1"/>
  <c r="J44" i="35" s="1"/>
  <c r="J45" i="35" s="1"/>
  <c r="J46" i="35" s="1"/>
  <c r="J47" i="35" s="1"/>
  <c r="J48" i="35" s="1"/>
  <c r="J49" i="35" s="1"/>
  <c r="J50" i="35" s="1"/>
  <c r="J51" i="35" s="1"/>
  <c r="J52" i="35" s="1"/>
  <c r="J53" i="35" s="1"/>
  <c r="J54" i="35" s="1"/>
  <c r="J55" i="35" s="1"/>
  <c r="J56" i="35" s="1"/>
  <c r="J57" i="35" s="1"/>
  <c r="J58" i="35" s="1"/>
  <c r="J59" i="35" s="1"/>
  <c r="J60" i="35" s="1"/>
  <c r="J61" i="35" s="1"/>
  <c r="J62" i="35" s="1"/>
  <c r="J63" i="35" s="1"/>
  <c r="J64" i="35" s="1"/>
  <c r="J65" i="35" s="1"/>
  <c r="J66" i="35" s="1"/>
  <c r="J67" i="35" s="1"/>
  <c r="J68" i="35" s="1"/>
  <c r="J69" i="35" s="1"/>
  <c r="J70" i="35" s="1"/>
  <c r="J71" i="35" s="1"/>
  <c r="J72" i="35" s="1"/>
  <c r="J73" i="35" s="1"/>
  <c r="J74" i="35" s="1"/>
  <c r="J75" i="35" s="1"/>
  <c r="J76" i="35" s="1"/>
  <c r="J77" i="35" s="1"/>
  <c r="J78" i="35" s="1"/>
  <c r="J79" i="35" s="1"/>
  <c r="J80" i="35" s="1"/>
  <c r="J81" i="35" s="1"/>
  <c r="J82" i="35" s="1"/>
  <c r="J83" i="35" s="1"/>
  <c r="J84" i="35" s="1"/>
  <c r="J85" i="35" s="1"/>
  <c r="J86" i="35" s="1"/>
  <c r="J87" i="35" s="1"/>
  <c r="J88" i="35" s="1"/>
  <c r="J89" i="35" s="1"/>
  <c r="J90" i="35" s="1"/>
  <c r="J91" i="35" s="1"/>
  <c r="J92" i="35" s="1"/>
  <c r="J93" i="35" s="1"/>
  <c r="J94" i="35" s="1"/>
  <c r="J95" i="35" s="1"/>
  <c r="J96" i="35" s="1"/>
  <c r="J97" i="35" s="1"/>
  <c r="J98" i="35" s="1"/>
  <c r="J99" i="35" s="1"/>
  <c r="J100" i="35" s="1"/>
  <c r="J101" i="35" s="1"/>
  <c r="J102" i="35" s="1"/>
  <c r="A2" i="16"/>
  <c r="A2" i="35"/>
  <c r="A8" i="33"/>
  <c r="J3" i="33"/>
  <c r="J4" i="33" s="1"/>
  <c r="J5" i="33" s="1"/>
  <c r="J6" i="33" s="1"/>
  <c r="J7" i="33" s="1"/>
  <c r="J8" i="33" s="1"/>
  <c r="J9" i="33" s="1"/>
  <c r="J10" i="33" s="1"/>
  <c r="J11" i="33" s="1"/>
  <c r="J12" i="33" s="1"/>
  <c r="J13" i="33" s="1"/>
  <c r="J14" i="33" s="1"/>
  <c r="J15" i="33" s="1"/>
  <c r="J16" i="33" s="1"/>
  <c r="J17" i="33" s="1"/>
  <c r="J18" i="33" s="1"/>
  <c r="J19" i="33" s="1"/>
  <c r="J20" i="33" s="1"/>
  <c r="J21" i="33" s="1"/>
  <c r="J22" i="33" s="1"/>
  <c r="J23" i="33" s="1"/>
  <c r="J24" i="33" s="1"/>
  <c r="J25" i="33" s="1"/>
  <c r="J26" i="33" s="1"/>
  <c r="J27" i="33" s="1"/>
  <c r="J28" i="33" s="1"/>
  <c r="J29" i="33" s="1"/>
  <c r="J30" i="33" s="1"/>
  <c r="J31" i="33" s="1"/>
  <c r="J32" i="33" s="1"/>
  <c r="J33" i="33" s="1"/>
  <c r="J34" i="33" s="1"/>
  <c r="J35" i="33" s="1"/>
  <c r="J36" i="33" s="1"/>
  <c r="J37" i="33" s="1"/>
  <c r="J38" i="33" s="1"/>
  <c r="J39" i="33" s="1"/>
  <c r="J40" i="33" s="1"/>
  <c r="J41" i="33" s="1"/>
  <c r="J42" i="33" s="1"/>
  <c r="J43" i="33" s="1"/>
  <c r="J44" i="33" s="1"/>
  <c r="J45" i="33" s="1"/>
  <c r="J46" i="33" s="1"/>
  <c r="J47" i="33" s="1"/>
  <c r="J48" i="33" s="1"/>
  <c r="J49" i="33" s="1"/>
  <c r="J50" i="33" s="1"/>
  <c r="J51" i="33" s="1"/>
  <c r="J52" i="33" s="1"/>
  <c r="J53" i="33" s="1"/>
  <c r="J54" i="33" s="1"/>
  <c r="J55" i="33" s="1"/>
  <c r="J56" i="33" s="1"/>
  <c r="J57" i="33" s="1"/>
  <c r="J58" i="33" s="1"/>
  <c r="J59" i="33" s="1"/>
  <c r="J60" i="33" s="1"/>
  <c r="J61" i="33" s="1"/>
  <c r="J62" i="33" s="1"/>
  <c r="J63" i="33" s="1"/>
  <c r="J64" i="33" s="1"/>
  <c r="J65" i="33" s="1"/>
  <c r="J66" i="33" s="1"/>
  <c r="J67" i="33" s="1"/>
  <c r="J68" i="33" s="1"/>
  <c r="J69" i="33" s="1"/>
  <c r="J70" i="33" s="1"/>
  <c r="J71" i="33" s="1"/>
  <c r="J72" i="33" s="1"/>
  <c r="J73" i="33" s="1"/>
  <c r="J74" i="33" s="1"/>
  <c r="J75" i="33" s="1"/>
  <c r="J76" i="33" s="1"/>
  <c r="J77" i="33" s="1"/>
  <c r="J78" i="33" s="1"/>
  <c r="J79" i="33" s="1"/>
  <c r="J80" i="33" s="1"/>
  <c r="J81" i="33" s="1"/>
  <c r="J82" i="33" s="1"/>
  <c r="J83" i="33" s="1"/>
  <c r="J84" i="33" s="1"/>
  <c r="J85" i="33" s="1"/>
  <c r="J86" i="33" s="1"/>
  <c r="J87" i="33" s="1"/>
  <c r="J88" i="33" s="1"/>
  <c r="J89" i="33" s="1"/>
  <c r="J90" i="33" s="1"/>
  <c r="J91" i="33" s="1"/>
  <c r="J92" i="33" s="1"/>
  <c r="J93" i="33" s="1"/>
  <c r="J94" i="33" s="1"/>
  <c r="J95" i="33" s="1"/>
  <c r="J96" i="33" s="1"/>
  <c r="J97" i="33" s="1"/>
  <c r="J98" i="33" s="1"/>
  <c r="J99" i="33" s="1"/>
  <c r="J100" i="33" s="1"/>
  <c r="J101" i="33" s="1"/>
  <c r="J102" i="33" s="1"/>
  <c r="H13" i="9"/>
  <c r="J19" i="26"/>
  <c r="B7" i="24"/>
  <c r="C20" i="24"/>
  <c r="B10" i="24"/>
  <c r="B23" i="24" s="1"/>
  <c r="C23" i="24"/>
  <c r="F25" i="24"/>
  <c r="B8" i="24"/>
  <c r="C22" i="24"/>
  <c r="C28" i="24" s="1"/>
  <c r="C19" i="24"/>
  <c r="G37" i="25"/>
  <c r="G39" i="25"/>
  <c r="A12" i="16"/>
  <c r="I11" i="17"/>
  <c r="A55" i="11"/>
  <c r="A11" i="27"/>
  <c r="A9" i="26"/>
  <c r="D8" i="26"/>
  <c r="I8" i="27"/>
  <c r="B22" i="24" l="1"/>
  <c r="B28" i="24" s="1"/>
  <c r="C7" i="26"/>
  <c r="B20" i="24"/>
  <c r="B26" i="24"/>
  <c r="H38" i="25"/>
  <c r="B9" i="26"/>
  <c r="B16" i="9" s="1"/>
  <c r="B15" i="9"/>
  <c r="B14" i="9"/>
  <c r="C14" i="9" s="1"/>
  <c r="D2" i="37"/>
  <c r="D6" i="37" s="1"/>
  <c r="F6" i="26"/>
  <c r="C24" i="24"/>
  <c r="C25" i="24" s="1"/>
  <c r="C26" i="24"/>
  <c r="F2" i="37"/>
  <c r="F11" i="37" s="1"/>
  <c r="G2" i="37"/>
  <c r="G7" i="37" s="1"/>
  <c r="E54" i="37"/>
  <c r="E100" i="37"/>
  <c r="E77" i="37"/>
  <c r="E92" i="37"/>
  <c r="E53" i="37"/>
  <c r="E95" i="37"/>
  <c r="E101" i="37"/>
  <c r="E91" i="37"/>
  <c r="E94" i="37"/>
  <c r="E79" i="37"/>
  <c r="E98" i="37"/>
  <c r="E52" i="37"/>
  <c r="E40" i="37"/>
  <c r="E103" i="37"/>
  <c r="E102" i="37"/>
  <c r="E78" i="37"/>
  <c r="E90" i="37"/>
  <c r="E99" i="37"/>
  <c r="E72" i="37"/>
  <c r="E97" i="37"/>
  <c r="E96" i="37"/>
  <c r="E76" i="37"/>
  <c r="E83" i="37"/>
  <c r="E89" i="37"/>
  <c r="E50" i="37"/>
  <c r="E93" i="37"/>
  <c r="E84" i="37"/>
  <c r="E44" i="37"/>
  <c r="E37" i="37"/>
  <c r="E75" i="37"/>
  <c r="E49" i="37"/>
  <c r="E71" i="37"/>
  <c r="E43" i="37"/>
  <c r="E58" i="37"/>
  <c r="E51" i="37"/>
  <c r="E88" i="37"/>
  <c r="E73" i="37"/>
  <c r="E70" i="37"/>
  <c r="E67" i="37"/>
  <c r="E87" i="37"/>
  <c r="E86" i="37"/>
  <c r="E47" i="37"/>
  <c r="E46" i="37"/>
  <c r="E69" i="37"/>
  <c r="E68" i="37"/>
  <c r="E80" i="37"/>
  <c r="E65" i="37"/>
  <c r="E61" i="37"/>
  <c r="E57" i="37"/>
  <c r="E74" i="37"/>
  <c r="E48" i="37"/>
  <c r="E85" i="37"/>
  <c r="E45" i="37"/>
  <c r="E82" i="37"/>
  <c r="E81" i="37"/>
  <c r="E41" i="37"/>
  <c r="E64" i="37"/>
  <c r="E60" i="37"/>
  <c r="E31" i="37"/>
  <c r="E42" i="37"/>
  <c r="E66" i="37"/>
  <c r="E63" i="37"/>
  <c r="E34" i="37"/>
  <c r="E11" i="37"/>
  <c r="E39" i="37"/>
  <c r="E62" i="37"/>
  <c r="E35" i="37"/>
  <c r="E33" i="37"/>
  <c r="E56" i="37"/>
  <c r="E8" i="37"/>
  <c r="E7" i="37"/>
  <c r="E38" i="37"/>
  <c r="E36" i="37"/>
  <c r="E59" i="37"/>
  <c r="E32" i="37"/>
  <c r="E55" i="37"/>
  <c r="E12" i="37"/>
  <c r="E10" i="37"/>
  <c r="E6" i="37"/>
  <c r="E13" i="37"/>
  <c r="E9" i="37"/>
  <c r="B19" i="24"/>
  <c r="F2" i="11"/>
  <c r="A2" i="28" s="1"/>
  <c r="G2" i="11"/>
  <c r="A2" i="27" s="1"/>
  <c r="B24" i="24"/>
  <c r="B25" i="24" s="1"/>
  <c r="D11" i="37"/>
  <c r="D13" i="37"/>
  <c r="D31" i="37"/>
  <c r="D57" i="37"/>
  <c r="D33" i="37"/>
  <c r="D34" i="37"/>
  <c r="D60" i="37"/>
  <c r="D61" i="37"/>
  <c r="D62" i="37"/>
  <c r="D63" i="37"/>
  <c r="D39" i="37"/>
  <c r="D40" i="37"/>
  <c r="D66" i="37"/>
  <c r="D67" i="37"/>
  <c r="D43" i="37"/>
  <c r="D68" i="37"/>
  <c r="D82" i="37"/>
  <c r="D44" i="37"/>
  <c r="D45" i="37"/>
  <c r="D84" i="37"/>
  <c r="D85" i="37"/>
  <c r="D72" i="37"/>
  <c r="D48" i="37"/>
  <c r="D86" i="37"/>
  <c r="D74" i="37"/>
  <c r="D93" i="37"/>
  <c r="D75" i="37"/>
  <c r="D50" i="37"/>
  <c r="D95" i="37"/>
  <c r="D76" i="37"/>
  <c r="D77" i="37"/>
  <c r="D99" i="37"/>
  <c r="D78" i="37"/>
  <c r="D100" i="37"/>
  <c r="D101" i="37"/>
  <c r="D79" i="37"/>
  <c r="D92" i="37"/>
  <c r="D54" i="37"/>
  <c r="F32" i="37"/>
  <c r="F34" i="37"/>
  <c r="F40" i="37"/>
  <c r="F42" i="37"/>
  <c r="F46" i="37"/>
  <c r="F72" i="37"/>
  <c r="F51" i="37"/>
  <c r="F95" i="37"/>
  <c r="F102" i="37"/>
  <c r="F79" i="37"/>
  <c r="A9" i="33"/>
  <c r="A9" i="34"/>
  <c r="D2" i="11"/>
  <c r="A2" i="36" s="1"/>
  <c r="A9" i="35"/>
  <c r="A9" i="36"/>
  <c r="J20" i="26"/>
  <c r="J21" i="26" s="1"/>
  <c r="J22" i="26" s="1"/>
  <c r="J23" i="26" s="1"/>
  <c r="L13" i="9" s="1"/>
  <c r="M13" i="9" s="1"/>
  <c r="N13" i="9" s="1"/>
  <c r="J22" i="31"/>
  <c r="G38" i="25"/>
  <c r="G36" i="25"/>
  <c r="F1010" i="16"/>
  <c r="A13" i="16"/>
  <c r="A12" i="27"/>
  <c r="F1010" i="27"/>
  <c r="C8" i="26"/>
  <c r="A10" i="26"/>
  <c r="D9" i="26"/>
  <c r="A56" i="11"/>
  <c r="G71" i="37" l="1"/>
  <c r="F13" i="37"/>
  <c r="F103" i="37"/>
  <c r="F77" i="37"/>
  <c r="F85" i="37"/>
  <c r="F67" i="37"/>
  <c r="F59" i="37"/>
  <c r="G79" i="37"/>
  <c r="F101" i="37"/>
  <c r="F75" i="37"/>
  <c r="F84" i="37"/>
  <c r="F65" i="37"/>
  <c r="F57" i="37"/>
  <c r="G95" i="37"/>
  <c r="F78" i="37"/>
  <c r="F50" i="37"/>
  <c r="F70" i="37"/>
  <c r="F38" i="37"/>
  <c r="F55" i="37"/>
  <c r="F91" i="37"/>
  <c r="F93" i="37"/>
  <c r="F69" i="37"/>
  <c r="F63" i="37"/>
  <c r="G41" i="37"/>
  <c r="F52" i="37"/>
  <c r="F87" i="37"/>
  <c r="F81" i="37"/>
  <c r="F61" i="37"/>
  <c r="G58" i="37"/>
  <c r="F99" i="37"/>
  <c r="F73" i="37"/>
  <c r="F68" i="37"/>
  <c r="F36" i="37"/>
  <c r="C15" i="9"/>
  <c r="D30" i="31"/>
  <c r="D31" i="31"/>
  <c r="D32" i="31"/>
  <c r="D33" i="31"/>
  <c r="D34" i="31"/>
  <c r="D35" i="31"/>
  <c r="D36" i="31"/>
  <c r="D37" i="31"/>
  <c r="D38" i="31"/>
  <c r="D39" i="31"/>
  <c r="D40" i="31"/>
  <c r="D41" i="31"/>
  <c r="G88" i="37"/>
  <c r="G39" i="37"/>
  <c r="G90" i="37"/>
  <c r="G86" i="37"/>
  <c r="G42" i="37"/>
  <c r="G60" i="37"/>
  <c r="G8" i="37"/>
  <c r="F92" i="37"/>
  <c r="F53" i="37"/>
  <c r="F97" i="37"/>
  <c r="F96" i="37"/>
  <c r="F76" i="37"/>
  <c r="F94" i="37"/>
  <c r="F74" i="37"/>
  <c r="F48" i="37"/>
  <c r="F71" i="37"/>
  <c r="F83" i="37"/>
  <c r="F82" i="37"/>
  <c r="F80" i="37"/>
  <c r="F41" i="37"/>
  <c r="F39" i="37"/>
  <c r="F37" i="37"/>
  <c r="F60" i="37"/>
  <c r="F33" i="37"/>
  <c r="F56" i="37"/>
  <c r="D103" i="37"/>
  <c r="D98" i="37"/>
  <c r="D91" i="37"/>
  <c r="D96" i="37"/>
  <c r="D52" i="37"/>
  <c r="D89" i="37"/>
  <c r="D94" i="37"/>
  <c r="D87" i="37"/>
  <c r="D47" i="37"/>
  <c r="D71" i="37"/>
  <c r="D83" i="37"/>
  <c r="D81" i="37"/>
  <c r="D42" i="37"/>
  <c r="D65" i="37"/>
  <c r="D38" i="37"/>
  <c r="D36" i="37"/>
  <c r="D59" i="37"/>
  <c r="D32" i="37"/>
  <c r="D55" i="37"/>
  <c r="G97" i="37"/>
  <c r="G70" i="37"/>
  <c r="G56" i="37"/>
  <c r="F1010" i="34"/>
  <c r="F119" i="9"/>
  <c r="G78" i="37"/>
  <c r="G87" i="37"/>
  <c r="G82" i="37"/>
  <c r="G37" i="37"/>
  <c r="G12" i="37"/>
  <c r="F54" i="37"/>
  <c r="F98" i="37"/>
  <c r="F100" i="37"/>
  <c r="F90" i="37"/>
  <c r="F89" i="37"/>
  <c r="F88" i="37"/>
  <c r="F49" i="37"/>
  <c r="F86" i="37"/>
  <c r="F47" i="37"/>
  <c r="F45" i="37"/>
  <c r="F44" i="37"/>
  <c r="F43" i="37"/>
  <c r="F66" i="37"/>
  <c r="F64" i="37"/>
  <c r="F62" i="37"/>
  <c r="F35" i="37"/>
  <c r="F58" i="37"/>
  <c r="F31" i="37"/>
  <c r="D102" i="37"/>
  <c r="D53" i="37"/>
  <c r="D97" i="37"/>
  <c r="D90" i="37"/>
  <c r="D51" i="37"/>
  <c r="D88" i="37"/>
  <c r="D49" i="37"/>
  <c r="D73" i="37"/>
  <c r="D46" i="37"/>
  <c r="D70" i="37"/>
  <c r="D69" i="37"/>
  <c r="D80" i="37"/>
  <c r="D41" i="37"/>
  <c r="D64" i="37"/>
  <c r="D37" i="37"/>
  <c r="D35" i="37"/>
  <c r="D58" i="37"/>
  <c r="D56" i="37"/>
  <c r="D7" i="37"/>
  <c r="H36" i="25"/>
  <c r="B10" i="26"/>
  <c r="F9" i="37"/>
  <c r="D12" i="37"/>
  <c r="D9" i="37"/>
  <c r="D8" i="37"/>
  <c r="D10" i="37"/>
  <c r="G98" i="37"/>
  <c r="G102" i="37"/>
  <c r="G77" i="37"/>
  <c r="G51" i="37"/>
  <c r="G50" i="37"/>
  <c r="G93" i="37"/>
  <c r="G48" i="37"/>
  <c r="G47" i="37"/>
  <c r="G84" i="37"/>
  <c r="G69" i="37"/>
  <c r="G68" i="37"/>
  <c r="G67" i="37"/>
  <c r="G65" i="37"/>
  <c r="G38" i="37"/>
  <c r="G36" i="37"/>
  <c r="G59" i="37"/>
  <c r="G32" i="37"/>
  <c r="G55" i="37"/>
  <c r="G10" i="37"/>
  <c r="G6" i="37"/>
  <c r="G100" i="37"/>
  <c r="G54" i="37"/>
  <c r="G101" i="37"/>
  <c r="G91" i="37"/>
  <c r="G99" i="37"/>
  <c r="G89" i="37"/>
  <c r="G75" i="37"/>
  <c r="G49" i="37"/>
  <c r="G73" i="37"/>
  <c r="G72" i="37"/>
  <c r="G83" i="37"/>
  <c r="G44" i="37"/>
  <c r="G81" i="37"/>
  <c r="G66" i="37"/>
  <c r="G64" i="37"/>
  <c r="G62" i="37"/>
  <c r="G35" i="37"/>
  <c r="G33" i="37"/>
  <c r="G31" i="37"/>
  <c r="G13" i="37"/>
  <c r="G9" i="37"/>
  <c r="B2" i="37"/>
  <c r="G103" i="37"/>
  <c r="G92" i="37"/>
  <c r="G53" i="37"/>
  <c r="G52" i="37"/>
  <c r="G96" i="37"/>
  <c r="G76" i="37"/>
  <c r="G94" i="37"/>
  <c r="G74" i="37"/>
  <c r="G85" i="37"/>
  <c r="G46" i="37"/>
  <c r="G45" i="37"/>
  <c r="G43" i="37"/>
  <c r="G80" i="37"/>
  <c r="G40" i="37"/>
  <c r="G63" i="37"/>
  <c r="G61" i="37"/>
  <c r="G34" i="37"/>
  <c r="G57" i="37"/>
  <c r="G11" i="37"/>
  <c r="F8" i="37"/>
  <c r="F12" i="37"/>
  <c r="F7" i="37"/>
  <c r="F10" i="37"/>
  <c r="F6" i="37"/>
  <c r="A2" i="34"/>
  <c r="A2" i="33"/>
  <c r="B2" i="11"/>
  <c r="A2" i="17"/>
  <c r="A10" i="36"/>
  <c r="A10" i="33"/>
  <c r="A10" i="35"/>
  <c r="A10" i="34"/>
  <c r="C38" i="32"/>
  <c r="D44" i="31"/>
  <c r="D48" i="31"/>
  <c r="D52" i="31"/>
  <c r="D56" i="31"/>
  <c r="D60" i="31"/>
  <c r="D64" i="31"/>
  <c r="D68" i="31"/>
  <c r="D72" i="31"/>
  <c r="D76" i="31"/>
  <c r="D80" i="31"/>
  <c r="D84" i="31"/>
  <c r="D88" i="31"/>
  <c r="D92" i="31"/>
  <c r="D96" i="31"/>
  <c r="D100" i="31"/>
  <c r="D104" i="31"/>
  <c r="D45" i="31"/>
  <c r="D49" i="31"/>
  <c r="D53" i="31"/>
  <c r="D57" i="31"/>
  <c r="D61" i="31"/>
  <c r="D65" i="31"/>
  <c r="D69" i="31"/>
  <c r="D73" i="31"/>
  <c r="D77" i="31"/>
  <c r="D81" i="31"/>
  <c r="D85" i="31"/>
  <c r="D89" i="31"/>
  <c r="D93" i="31"/>
  <c r="D97" i="31"/>
  <c r="D101" i="31"/>
  <c r="D105" i="31"/>
  <c r="D42" i="31"/>
  <c r="D46" i="31"/>
  <c r="D50" i="31"/>
  <c r="D54" i="31"/>
  <c r="D58" i="31"/>
  <c r="D62" i="31"/>
  <c r="D66" i="31"/>
  <c r="D70" i="31"/>
  <c r="D74" i="31"/>
  <c r="D78" i="31"/>
  <c r="D82" i="31"/>
  <c r="D86" i="31"/>
  <c r="D90" i="31"/>
  <c r="D94" i="31"/>
  <c r="D98" i="31"/>
  <c r="D102" i="31"/>
  <c r="D43" i="31"/>
  <c r="D47" i="31"/>
  <c r="D51" i="31"/>
  <c r="D55" i="31"/>
  <c r="D59" i="31"/>
  <c r="D63" i="31"/>
  <c r="D67" i="31"/>
  <c r="D71" i="31"/>
  <c r="D75" i="31"/>
  <c r="D79" i="31"/>
  <c r="D83" i="31"/>
  <c r="D87" i="31"/>
  <c r="D91" i="31"/>
  <c r="D95" i="31"/>
  <c r="D99" i="31"/>
  <c r="D103" i="31"/>
  <c r="F1010" i="17"/>
  <c r="C38" i="1"/>
  <c r="C39" i="1" s="1"/>
  <c r="F1010" i="28"/>
  <c r="B17" i="9"/>
  <c r="A11" i="26"/>
  <c r="D10" i="26"/>
  <c r="A57" i="11"/>
  <c r="C9" i="26"/>
  <c r="A14" i="16"/>
  <c r="A13" i="27"/>
  <c r="C16" i="9"/>
  <c r="F1010" i="36" l="1"/>
  <c r="D119" i="9"/>
  <c r="B11" i="26"/>
  <c r="A11" i="34"/>
  <c r="A11" i="36"/>
  <c r="A11" i="35"/>
  <c r="A11" i="33"/>
  <c r="D118" i="9"/>
  <c r="F1009" i="17"/>
  <c r="C17" i="9"/>
  <c r="F1009" i="28"/>
  <c r="F118" i="9"/>
  <c r="A58" i="11"/>
  <c r="A15" i="16"/>
  <c r="A14" i="27"/>
  <c r="F1009" i="16"/>
  <c r="E118" i="9"/>
  <c r="C10" i="26"/>
  <c r="A12" i="26"/>
  <c r="D11" i="26"/>
  <c r="G118" i="9"/>
  <c r="F1009" i="27"/>
  <c r="B12" i="26" l="1"/>
  <c r="B19" i="9" s="1"/>
  <c r="B18" i="9"/>
  <c r="J23" i="31"/>
  <c r="A12" i="34"/>
  <c r="A12" i="33"/>
  <c r="A12" i="35"/>
  <c r="A12" i="36"/>
  <c r="A13" i="26"/>
  <c r="D12" i="26"/>
  <c r="C18" i="9"/>
  <c r="C11" i="26"/>
  <c r="A15" i="27"/>
  <c r="A59" i="11"/>
  <c r="A16" i="16"/>
  <c r="B13" i="26" l="1"/>
  <c r="B20" i="9" s="1"/>
  <c r="A13" i="35"/>
  <c r="A13" i="34"/>
  <c r="A13" i="36"/>
  <c r="A13" i="33"/>
  <c r="A60" i="11"/>
  <c r="C19" i="9"/>
  <c r="A17" i="16"/>
  <c r="A14" i="26"/>
  <c r="D13" i="26"/>
  <c r="A16" i="27"/>
  <c r="C12" i="26"/>
  <c r="B14" i="26" l="1"/>
  <c r="B21" i="9" s="1"/>
  <c r="A14" i="35"/>
  <c r="A14" i="36"/>
  <c r="A14" i="33"/>
  <c r="A14" i="34"/>
  <c r="C13" i="26"/>
  <c r="A15" i="26"/>
  <c r="D14" i="26"/>
  <c r="C20" i="9"/>
  <c r="A17" i="27"/>
  <c r="A18" i="16"/>
  <c r="A61" i="11"/>
  <c r="B15" i="26" l="1"/>
  <c r="B22" i="9" s="1"/>
  <c r="A15" i="34"/>
  <c r="A15" i="36"/>
  <c r="A15" i="33"/>
  <c r="A15" i="35"/>
  <c r="C21" i="9"/>
  <c r="A19" i="16"/>
  <c r="A18" i="27"/>
  <c r="A16" i="26"/>
  <c r="D15" i="26"/>
  <c r="A62" i="11"/>
  <c r="C14" i="26"/>
  <c r="B16" i="26" l="1"/>
  <c r="B16" i="31" s="1"/>
  <c r="B14" i="37" s="1"/>
  <c r="E14" i="37" s="1"/>
  <c r="A16" i="33"/>
  <c r="A16" i="34"/>
  <c r="A16" i="36"/>
  <c r="A16" i="35"/>
  <c r="C15" i="26"/>
  <c r="A17" i="26"/>
  <c r="D16" i="26"/>
  <c r="C22" i="9"/>
  <c r="A19" i="27"/>
  <c r="A20" i="16"/>
  <c r="A63" i="11"/>
  <c r="G14" i="37" l="1"/>
  <c r="B17" i="26"/>
  <c r="B17" i="31" s="1"/>
  <c r="B15" i="37" s="1"/>
  <c r="G15" i="37" s="1"/>
  <c r="F14" i="37"/>
  <c r="B23" i="9"/>
  <c r="D14" i="37"/>
  <c r="A17" i="35"/>
  <c r="A17" i="36"/>
  <c r="A17" i="34"/>
  <c r="A17" i="33"/>
  <c r="C16" i="26"/>
  <c r="A21" i="16"/>
  <c r="C23" i="9"/>
  <c r="A64" i="11"/>
  <c r="A20" i="27"/>
  <c r="A18" i="26"/>
  <c r="D17" i="26"/>
  <c r="B24" i="9" l="1"/>
  <c r="D15" i="37"/>
  <c r="E15" i="37"/>
  <c r="B18" i="26"/>
  <c r="B18" i="31" s="1"/>
  <c r="B16" i="37" s="1"/>
  <c r="E16" i="37" s="1"/>
  <c r="F15" i="37"/>
  <c r="A18" i="34"/>
  <c r="A18" i="33"/>
  <c r="A18" i="35"/>
  <c r="A18" i="36"/>
  <c r="A21" i="27"/>
  <c r="C24" i="9"/>
  <c r="A19" i="26"/>
  <c r="D18" i="26"/>
  <c r="A65" i="11"/>
  <c r="A22" i="16"/>
  <c r="C17" i="26"/>
  <c r="B19" i="26" l="1"/>
  <c r="B19" i="31" s="1"/>
  <c r="B17" i="37" s="1"/>
  <c r="E17" i="37" s="1"/>
  <c r="F16" i="37"/>
  <c r="B25" i="9"/>
  <c r="G16" i="37"/>
  <c r="D16" i="37"/>
  <c r="A19" i="34"/>
  <c r="A19" i="35"/>
  <c r="A19" i="36"/>
  <c r="A19" i="33"/>
  <c r="C18" i="26"/>
  <c r="C25" i="9"/>
  <c r="A23" i="16"/>
  <c r="B26" i="9"/>
  <c r="A20" i="26"/>
  <c r="B20" i="26" s="1"/>
  <c r="B20" i="31" s="1"/>
  <c r="B18" i="37" s="1"/>
  <c r="D19" i="26"/>
  <c r="A22" i="27"/>
  <c r="A66" i="11"/>
  <c r="D17" i="37" l="1"/>
  <c r="F17" i="37"/>
  <c r="G17" i="37"/>
  <c r="E18" i="37"/>
  <c r="D18" i="37"/>
  <c r="F18" i="37"/>
  <c r="G18" i="37"/>
  <c r="A20" i="35"/>
  <c r="A20" i="36"/>
  <c r="A20" i="34"/>
  <c r="A20" i="33"/>
  <c r="C26" i="9"/>
  <c r="C19" i="26"/>
  <c r="B27" i="9"/>
  <c r="A21" i="26"/>
  <c r="B21" i="26" s="1"/>
  <c r="B21" i="31" s="1"/>
  <c r="B19" i="37" s="1"/>
  <c r="D20" i="26"/>
  <c r="A23" i="27"/>
  <c r="A67" i="11"/>
  <c r="A24" i="16"/>
  <c r="D19" i="37" l="1"/>
  <c r="E19" i="37"/>
  <c r="F19" i="37"/>
  <c r="G19" i="37"/>
  <c r="C27" i="9"/>
  <c r="A21" i="35"/>
  <c r="A21" i="36"/>
  <c r="A21" i="34"/>
  <c r="A21" i="33"/>
  <c r="C20" i="26"/>
  <c r="A25" i="16"/>
  <c r="A24" i="27"/>
  <c r="A68" i="11"/>
  <c r="B28" i="9"/>
  <c r="A22" i="26"/>
  <c r="B22" i="26" s="1"/>
  <c r="B22" i="31" s="1"/>
  <c r="B20" i="37" s="1"/>
  <c r="D21" i="26"/>
  <c r="C28" i="9" l="1"/>
  <c r="E20" i="37"/>
  <c r="G20" i="37"/>
  <c r="D20" i="37"/>
  <c r="F20" i="37"/>
  <c r="A22" i="34"/>
  <c r="A22" i="33"/>
  <c r="A22" i="35"/>
  <c r="A22" i="36"/>
  <c r="A25" i="27"/>
  <c r="A69" i="11"/>
  <c r="B29" i="9"/>
  <c r="C29" i="9" s="1"/>
  <c r="A23" i="26"/>
  <c r="B23" i="26" s="1"/>
  <c r="B23" i="31" s="1"/>
  <c r="B21" i="37" s="1"/>
  <c r="D22" i="26"/>
  <c r="C21" i="26"/>
  <c r="A26" i="16"/>
  <c r="F21" i="37" l="1"/>
  <c r="E21" i="37"/>
  <c r="D21" i="37"/>
  <c r="G21" i="37"/>
  <c r="A23" i="36"/>
  <c r="A23" i="35"/>
  <c r="A23" i="34"/>
  <c r="A23" i="33"/>
  <c r="B30" i="9"/>
  <c r="C30" i="9" s="1"/>
  <c r="A24" i="26"/>
  <c r="B24" i="26" s="1"/>
  <c r="B24" i="31" s="1"/>
  <c r="B22" i="37" s="1"/>
  <c r="D23" i="26"/>
  <c r="A27" i="16"/>
  <c r="C22" i="26"/>
  <c r="A70" i="11"/>
  <c r="A26" i="27"/>
  <c r="D22" i="37" l="1"/>
  <c r="E22" i="37"/>
  <c r="F22" i="37"/>
  <c r="G22" i="37"/>
  <c r="A24" i="35"/>
  <c r="A24" i="33"/>
  <c r="A24" i="34"/>
  <c r="A24" i="36"/>
  <c r="A28" i="16"/>
  <c r="A71" i="11"/>
  <c r="A27" i="27"/>
  <c r="C23" i="26"/>
  <c r="B31" i="9"/>
  <c r="C31" i="9" s="1"/>
  <c r="A25" i="26"/>
  <c r="B25" i="26" s="1"/>
  <c r="B25" i="31" s="1"/>
  <c r="B23" i="37" s="1"/>
  <c r="D24" i="26"/>
  <c r="F23" i="37" l="1"/>
  <c r="E23" i="37"/>
  <c r="D23" i="37"/>
  <c r="G23" i="37"/>
  <c r="A25" i="36"/>
  <c r="A25" i="33"/>
  <c r="A25" i="34"/>
  <c r="A25" i="35"/>
  <c r="A26" i="26"/>
  <c r="B26" i="26" s="1"/>
  <c r="B26" i="31" s="1"/>
  <c r="B24" i="37" s="1"/>
  <c r="B32" i="9"/>
  <c r="C32" i="9" s="1"/>
  <c r="D25" i="26"/>
  <c r="A29" i="16"/>
  <c r="C24" i="26"/>
  <c r="A72" i="11"/>
  <c r="A28" i="27"/>
  <c r="F24" i="37" l="1"/>
  <c r="G24" i="37"/>
  <c r="E24" i="37"/>
  <c r="D24" i="37"/>
  <c r="A26" i="34"/>
  <c r="A26" i="36"/>
  <c r="A26" i="35"/>
  <c r="A26" i="33"/>
  <c r="C25" i="26"/>
  <c r="A30" i="16"/>
  <c r="A73" i="11"/>
  <c r="A29" i="27"/>
  <c r="B33" i="9"/>
  <c r="C33" i="9" s="1"/>
  <c r="A27" i="26"/>
  <c r="B27" i="26" s="1"/>
  <c r="B27" i="31" s="1"/>
  <c r="B25" i="37" s="1"/>
  <c r="D26" i="26"/>
  <c r="E25" i="37" l="1"/>
  <c r="D25" i="37"/>
  <c r="F25" i="37"/>
  <c r="G25" i="37"/>
  <c r="A27" i="34"/>
  <c r="A27" i="33"/>
  <c r="A27" i="36"/>
  <c r="A27" i="35"/>
  <c r="A74" i="11"/>
  <c r="A31" i="16"/>
  <c r="C26" i="26"/>
  <c r="A30" i="27"/>
  <c r="B34" i="9"/>
  <c r="C34" i="9" s="1"/>
  <c r="A28" i="26"/>
  <c r="B28" i="26" s="1"/>
  <c r="B28" i="31" s="1"/>
  <c r="B26" i="37" s="1"/>
  <c r="D27" i="26"/>
  <c r="D26" i="37" l="1"/>
  <c r="E26" i="37"/>
  <c r="F26" i="37"/>
  <c r="G26" i="37"/>
  <c r="B27" i="36"/>
  <c r="A28" i="36"/>
  <c r="B27" i="35"/>
  <c r="A28" i="35"/>
  <c r="B27" i="34"/>
  <c r="A28" i="34"/>
  <c r="B27" i="33"/>
  <c r="A28" i="33"/>
  <c r="C27" i="26"/>
  <c r="A75" i="11"/>
  <c r="A31" i="27"/>
  <c r="A32" i="16"/>
  <c r="B35" i="9"/>
  <c r="C35" i="9" s="1"/>
  <c r="A29" i="26"/>
  <c r="B29" i="26" s="1"/>
  <c r="B29" i="31" s="1"/>
  <c r="B27" i="37" s="1"/>
  <c r="D28" i="26"/>
  <c r="E27" i="37" l="1"/>
  <c r="F27" i="37"/>
  <c r="D27" i="37"/>
  <c r="G27" i="37"/>
  <c r="B28" i="33"/>
  <c r="A29" i="33"/>
  <c r="B28" i="35"/>
  <c r="A29" i="35"/>
  <c r="B28" i="34"/>
  <c r="A29" i="34"/>
  <c r="B28" i="36"/>
  <c r="A29" i="36"/>
  <c r="C28" i="26"/>
  <c r="A33" i="16"/>
  <c r="B36" i="9"/>
  <c r="C36" i="9" s="1"/>
  <c r="A30" i="26"/>
  <c r="B30" i="26" s="1"/>
  <c r="B30" i="31" s="1"/>
  <c r="B28" i="37" s="1"/>
  <c r="D29" i="26"/>
  <c r="A76" i="11"/>
  <c r="A32" i="27"/>
  <c r="F28" i="37" l="1"/>
  <c r="E28" i="37"/>
  <c r="D28" i="37"/>
  <c r="G28" i="37"/>
  <c r="B29" i="35"/>
  <c r="A30" i="35"/>
  <c r="B29" i="36"/>
  <c r="A30" i="36"/>
  <c r="B29" i="34"/>
  <c r="A30" i="34"/>
  <c r="B29" i="33"/>
  <c r="A30" i="33"/>
  <c r="C29" i="26"/>
  <c r="A33" i="27"/>
  <c r="A34" i="16"/>
  <c r="B37" i="9"/>
  <c r="C37" i="9" s="1"/>
  <c r="A31" i="26"/>
  <c r="B31" i="26" s="1"/>
  <c r="D30" i="26"/>
  <c r="A77" i="11"/>
  <c r="B31" i="31" l="1"/>
  <c r="B29" i="37" s="1"/>
  <c r="B30" i="33"/>
  <c r="A31" i="33"/>
  <c r="B30" i="34"/>
  <c r="A31" i="34"/>
  <c r="B30" i="36"/>
  <c r="A31" i="36"/>
  <c r="B30" i="35"/>
  <c r="A31" i="35"/>
  <c r="B38" i="9"/>
  <c r="C38" i="9" s="1"/>
  <c r="A32" i="26"/>
  <c r="B32" i="26" s="1"/>
  <c r="D31" i="26"/>
  <c r="A34" i="27"/>
  <c r="C30" i="26"/>
  <c r="A35" i="16"/>
  <c r="A78" i="11"/>
  <c r="E29" i="37" l="1"/>
  <c r="G29" i="37"/>
  <c r="D29" i="37"/>
  <c r="F29" i="37"/>
  <c r="B32" i="31"/>
  <c r="B30" i="37" s="1"/>
  <c r="B31" i="36"/>
  <c r="A32" i="36"/>
  <c r="B31" i="33"/>
  <c r="A32" i="33"/>
  <c r="B31" i="35"/>
  <c r="A32" i="35"/>
  <c r="B31" i="34"/>
  <c r="A32" i="34"/>
  <c r="A35" i="27"/>
  <c r="A36" i="16"/>
  <c r="A79" i="11"/>
  <c r="C31" i="26"/>
  <c r="B39" i="9"/>
  <c r="C39" i="9" s="1"/>
  <c r="A33" i="26"/>
  <c r="B33" i="26" s="1"/>
  <c r="D32" i="26"/>
  <c r="F30" i="37" l="1"/>
  <c r="G30" i="37"/>
  <c r="E30" i="37"/>
  <c r="D30" i="37"/>
  <c r="B32" i="34"/>
  <c r="A33" i="34"/>
  <c r="B32" i="33"/>
  <c r="A33" i="33"/>
  <c r="B32" i="35"/>
  <c r="A33" i="35"/>
  <c r="B32" i="36"/>
  <c r="A33" i="36"/>
  <c r="A34" i="26"/>
  <c r="B34" i="26" s="1"/>
  <c r="B40" i="9"/>
  <c r="C40" i="9" s="1"/>
  <c r="D33" i="26"/>
  <c r="A37" i="16"/>
  <c r="C32" i="26"/>
  <c r="A80" i="11"/>
  <c r="A36" i="27"/>
  <c r="B33" i="33" l="1"/>
  <c r="A34" i="33"/>
  <c r="B33" i="36"/>
  <c r="A34" i="36"/>
  <c r="B33" i="35"/>
  <c r="A34" i="35"/>
  <c r="B33" i="34"/>
  <c r="A34" i="34"/>
  <c r="C33" i="26"/>
  <c r="A38" i="16"/>
  <c r="A81" i="11"/>
  <c r="A37" i="27"/>
  <c r="B41" i="9"/>
  <c r="C41" i="9" s="1"/>
  <c r="A35" i="26"/>
  <c r="B35" i="26" s="1"/>
  <c r="D34" i="26"/>
  <c r="B34" i="36" l="1"/>
  <c r="A35" i="36"/>
  <c r="B34" i="34"/>
  <c r="A35" i="34"/>
  <c r="B34" i="35"/>
  <c r="A35" i="35"/>
  <c r="B34" i="33"/>
  <c r="A35" i="33"/>
  <c r="C34" i="26"/>
  <c r="A38" i="27"/>
  <c r="A39" i="16"/>
  <c r="B42" i="9"/>
  <c r="C42" i="9" s="1"/>
  <c r="A36" i="26"/>
  <c r="B36" i="26" s="1"/>
  <c r="D35" i="26"/>
  <c r="A82" i="11"/>
  <c r="B35" i="33" l="1"/>
  <c r="A36" i="33"/>
  <c r="B35" i="35"/>
  <c r="A36" i="35"/>
  <c r="B35" i="34"/>
  <c r="A36" i="34"/>
  <c r="B35" i="36"/>
  <c r="A36" i="36"/>
  <c r="B43" i="9"/>
  <c r="C43" i="9" s="1"/>
  <c r="A37" i="26"/>
  <c r="B37" i="26" s="1"/>
  <c r="D36" i="26"/>
  <c r="C35" i="26"/>
  <c r="A83" i="11"/>
  <c r="A39" i="27"/>
  <c r="A40" i="16"/>
  <c r="B36" i="33" l="1"/>
  <c r="A37" i="33"/>
  <c r="B36" i="35"/>
  <c r="A37" i="35"/>
  <c r="B36" i="36"/>
  <c r="A37" i="36"/>
  <c r="B36" i="34"/>
  <c r="A37" i="34"/>
  <c r="C36" i="26"/>
  <c r="A41" i="16"/>
  <c r="A40" i="27"/>
  <c r="B44" i="9"/>
  <c r="C44" i="9" s="1"/>
  <c r="A38" i="26"/>
  <c r="B38" i="26" s="1"/>
  <c r="D37" i="26"/>
  <c r="A84" i="11"/>
  <c r="B37" i="36" l="1"/>
  <c r="A38" i="36"/>
  <c r="B37" i="33"/>
  <c r="A38" i="33"/>
  <c r="B37" i="34"/>
  <c r="A38" i="34"/>
  <c r="B37" i="35"/>
  <c r="A38" i="35"/>
  <c r="C37" i="26"/>
  <c r="B45" i="9"/>
  <c r="C45" i="9" s="1"/>
  <c r="A39" i="26"/>
  <c r="B39" i="26" s="1"/>
  <c r="D38" i="26"/>
  <c r="A41" i="27"/>
  <c r="A42" i="16"/>
  <c r="A85" i="11"/>
  <c r="B38" i="33" l="1"/>
  <c r="A39" i="33"/>
  <c r="B38" i="34"/>
  <c r="A39" i="34"/>
  <c r="B38" i="35"/>
  <c r="A39" i="35"/>
  <c r="B38" i="36"/>
  <c r="A39" i="36"/>
  <c r="A42" i="27"/>
  <c r="A86" i="11"/>
  <c r="A43" i="16"/>
  <c r="B46" i="9"/>
  <c r="C46" i="9" s="1"/>
  <c r="A40" i="26"/>
  <c r="B40" i="26" s="1"/>
  <c r="D39" i="26"/>
  <c r="C38" i="26"/>
  <c r="B39" i="35" l="1"/>
  <c r="A40" i="35"/>
  <c r="B39" i="36"/>
  <c r="A40" i="36"/>
  <c r="B39" i="34"/>
  <c r="A40" i="34"/>
  <c r="B39" i="33"/>
  <c r="A40" i="33"/>
  <c r="C39" i="26"/>
  <c r="A43" i="27"/>
  <c r="B47" i="9"/>
  <c r="C47" i="9" s="1"/>
  <c r="A41" i="26"/>
  <c r="B41" i="26" s="1"/>
  <c r="D40" i="26"/>
  <c r="A87" i="11"/>
  <c r="A44" i="16"/>
  <c r="B40" i="35" l="1"/>
  <c r="A41" i="35"/>
  <c r="B40" i="34"/>
  <c r="A41" i="34"/>
  <c r="B40" i="33"/>
  <c r="A41" i="33"/>
  <c r="B40" i="36"/>
  <c r="A41" i="36"/>
  <c r="C40" i="26"/>
  <c r="A44" i="27"/>
  <c r="B48" i="9"/>
  <c r="C48" i="9" s="1"/>
  <c r="A42" i="26"/>
  <c r="B42" i="26" s="1"/>
  <c r="D41" i="26"/>
  <c r="A88" i="11"/>
  <c r="A45" i="16"/>
  <c r="B41" i="33" l="1"/>
  <c r="A42" i="33"/>
  <c r="B41" i="34"/>
  <c r="A42" i="34"/>
  <c r="B41" i="36"/>
  <c r="A42" i="36"/>
  <c r="B41" i="35"/>
  <c r="A42" i="35"/>
  <c r="A89" i="11"/>
  <c r="A45" i="27"/>
  <c r="B49" i="9"/>
  <c r="C49" i="9" s="1"/>
  <c r="A43" i="26"/>
  <c r="B43" i="26" s="1"/>
  <c r="D42" i="26"/>
  <c r="A46" i="16"/>
  <c r="C41" i="26"/>
  <c r="B42" i="36" l="1"/>
  <c r="A43" i="36"/>
  <c r="B42" i="34"/>
  <c r="A43" i="34"/>
  <c r="B42" i="35"/>
  <c r="A43" i="35"/>
  <c r="B42" i="33"/>
  <c r="A43" i="33"/>
  <c r="C42" i="26"/>
  <c r="A90" i="11"/>
  <c r="A46" i="27"/>
  <c r="B50" i="9"/>
  <c r="C50" i="9" s="1"/>
  <c r="A44" i="26"/>
  <c r="B44" i="26" s="1"/>
  <c r="D43" i="26"/>
  <c r="A47" i="16"/>
  <c r="B43" i="33" l="1"/>
  <c r="A44" i="33"/>
  <c r="B43" i="35"/>
  <c r="A44" i="35"/>
  <c r="B43" i="36"/>
  <c r="A44" i="36"/>
  <c r="B43" i="34"/>
  <c r="A44" i="34"/>
  <c r="A48" i="16"/>
  <c r="C43" i="26"/>
  <c r="A47" i="27"/>
  <c r="B51" i="9"/>
  <c r="C51" i="9" s="1"/>
  <c r="A45" i="26"/>
  <c r="B45" i="26" s="1"/>
  <c r="D44" i="26"/>
  <c r="A91" i="11"/>
  <c r="B44" i="34" l="1"/>
  <c r="A45" i="34"/>
  <c r="B44" i="36"/>
  <c r="A45" i="36"/>
  <c r="B44" i="33"/>
  <c r="A45" i="33"/>
  <c r="B44" i="35"/>
  <c r="A45" i="35"/>
  <c r="A92" i="11"/>
  <c r="A48" i="27"/>
  <c r="B52" i="9"/>
  <c r="C52" i="9" s="1"/>
  <c r="A46" i="26"/>
  <c r="B46" i="26" s="1"/>
  <c r="D45" i="26"/>
  <c r="C44" i="26"/>
  <c r="A49" i="16"/>
  <c r="B45" i="36" l="1"/>
  <c r="A46" i="36"/>
  <c r="B45" i="34"/>
  <c r="A46" i="34"/>
  <c r="B45" i="35"/>
  <c r="A46" i="35"/>
  <c r="B45" i="33"/>
  <c r="A46" i="33"/>
  <c r="C45" i="26"/>
  <c r="B53" i="9"/>
  <c r="C53" i="9" s="1"/>
  <c r="A47" i="26"/>
  <c r="B47" i="26" s="1"/>
  <c r="D46" i="26"/>
  <c r="A50" i="16"/>
  <c r="A49" i="27"/>
  <c r="A93" i="11"/>
  <c r="B46" i="35" l="1"/>
  <c r="A47" i="35"/>
  <c r="B46" i="34"/>
  <c r="A47" i="34"/>
  <c r="B46" i="33"/>
  <c r="A47" i="33"/>
  <c r="B46" i="36"/>
  <c r="A47" i="36"/>
  <c r="A51" i="16"/>
  <c r="A50" i="27"/>
  <c r="B54" i="9"/>
  <c r="C54" i="9" s="1"/>
  <c r="A48" i="26"/>
  <c r="B48" i="26" s="1"/>
  <c r="D47" i="26"/>
  <c r="A94" i="11"/>
  <c r="C46" i="26"/>
  <c r="B47" i="35" l="1"/>
  <c r="A48" i="35"/>
  <c r="B47" i="34"/>
  <c r="A48" i="34"/>
  <c r="B47" i="36"/>
  <c r="A48" i="36"/>
  <c r="B47" i="33"/>
  <c r="A48" i="33"/>
  <c r="C47" i="26"/>
  <c r="A95" i="11"/>
  <c r="A51" i="27"/>
  <c r="B55" i="9"/>
  <c r="C55" i="9" s="1"/>
  <c r="A49" i="26"/>
  <c r="B49" i="26" s="1"/>
  <c r="D48" i="26"/>
  <c r="A52" i="16"/>
  <c r="B48" i="33" l="1"/>
  <c r="A49" i="33"/>
  <c r="B48" i="35"/>
  <c r="A49" i="35"/>
  <c r="B48" i="36"/>
  <c r="A49" i="36"/>
  <c r="B48" i="34"/>
  <c r="A49" i="34"/>
  <c r="B56" i="9"/>
  <c r="C56" i="9" s="1"/>
  <c r="A50" i="26"/>
  <c r="B50" i="26" s="1"/>
  <c r="D49" i="26"/>
  <c r="A52" i="27"/>
  <c r="A53" i="16"/>
  <c r="C48" i="26"/>
  <c r="A96" i="11"/>
  <c r="B49" i="36" l="1"/>
  <c r="A50" i="36"/>
  <c r="B49" i="34"/>
  <c r="A50" i="34"/>
  <c r="B49" i="33"/>
  <c r="A50" i="33"/>
  <c r="B49" i="35"/>
  <c r="A50" i="35"/>
  <c r="A54" i="16"/>
  <c r="A97" i="11"/>
  <c r="A53" i="27"/>
  <c r="B57" i="9"/>
  <c r="C57" i="9" s="1"/>
  <c r="A51" i="26"/>
  <c r="B51" i="26" s="1"/>
  <c r="D50" i="26"/>
  <c r="C49" i="26"/>
  <c r="B50" i="34" l="1"/>
  <c r="A51" i="34"/>
  <c r="B50" i="33"/>
  <c r="A51" i="33"/>
  <c r="B50" i="36"/>
  <c r="A51" i="36"/>
  <c r="B50" i="35"/>
  <c r="A51" i="35"/>
  <c r="C50" i="26"/>
  <c r="A54" i="27"/>
  <c r="B58" i="9"/>
  <c r="C58" i="9" s="1"/>
  <c r="A52" i="26"/>
  <c r="B52" i="26" s="1"/>
  <c r="D51" i="26"/>
  <c r="A98" i="11"/>
  <c r="A55" i="16"/>
  <c r="B51" i="33" l="1"/>
  <c r="A52" i="33"/>
  <c r="B51" i="36"/>
  <c r="A52" i="36"/>
  <c r="B51" i="34"/>
  <c r="A52" i="34"/>
  <c r="B51" i="35"/>
  <c r="A52" i="35"/>
  <c r="C51" i="26"/>
  <c r="A56" i="16"/>
  <c r="A99" i="11"/>
  <c r="A55" i="27"/>
  <c r="B59" i="9"/>
  <c r="C59" i="9" s="1"/>
  <c r="A53" i="26"/>
  <c r="B53" i="26" s="1"/>
  <c r="D52" i="26"/>
  <c r="B52" i="36" l="1"/>
  <c r="A53" i="36"/>
  <c r="B52" i="34"/>
  <c r="A53" i="34"/>
  <c r="B52" i="33"/>
  <c r="A53" i="33"/>
  <c r="B52" i="35"/>
  <c r="A53" i="35"/>
  <c r="B60" i="9"/>
  <c r="C60" i="9" s="1"/>
  <c r="A54" i="26"/>
  <c r="B54" i="26" s="1"/>
  <c r="D53" i="26"/>
  <c r="A56" i="27"/>
  <c r="A57" i="16"/>
  <c r="C52" i="26"/>
  <c r="A100" i="11"/>
  <c r="B53" i="34" l="1"/>
  <c r="A54" i="34"/>
  <c r="B53" i="33"/>
  <c r="A54" i="33"/>
  <c r="B53" i="35"/>
  <c r="A54" i="35"/>
  <c r="B53" i="36"/>
  <c r="A54" i="36"/>
  <c r="A58" i="16"/>
  <c r="B61" i="9"/>
  <c r="C61" i="9" s="1"/>
  <c r="A55" i="26"/>
  <c r="B55" i="26" s="1"/>
  <c r="D54" i="26"/>
  <c r="A101" i="11"/>
  <c r="C53" i="26"/>
  <c r="A57" i="27"/>
  <c r="B54" i="36" l="1"/>
  <c r="A55" i="36"/>
  <c r="B54" i="34"/>
  <c r="A55" i="34"/>
  <c r="B54" i="33"/>
  <c r="A55" i="33"/>
  <c r="B54" i="35"/>
  <c r="A55" i="35"/>
  <c r="C54" i="26"/>
  <c r="A102" i="11"/>
  <c r="A58" i="27"/>
  <c r="A59" i="16"/>
  <c r="B62" i="9"/>
  <c r="C62" i="9" s="1"/>
  <c r="A56" i="26"/>
  <c r="B56" i="26" s="1"/>
  <c r="B4" i="11"/>
  <c r="D55" i="26"/>
  <c r="B55" i="35" l="1"/>
  <c r="A56" i="35"/>
  <c r="B55" i="34"/>
  <c r="A56" i="34"/>
  <c r="B55" i="36"/>
  <c r="A56" i="36"/>
  <c r="B55" i="33"/>
  <c r="A56" i="33"/>
  <c r="B63" i="9"/>
  <c r="C63" i="9" s="1"/>
  <c r="A57" i="26"/>
  <c r="B57" i="26" s="1"/>
  <c r="D56" i="26"/>
  <c r="D4" i="11"/>
  <c r="G4" i="11"/>
  <c r="E4" i="11"/>
  <c r="C4" i="11"/>
  <c r="B9" i="16"/>
  <c r="B7" i="27"/>
  <c r="F4" i="11"/>
  <c r="B14" i="28"/>
  <c r="B12" i="28"/>
  <c r="B10" i="28"/>
  <c r="B8" i="28"/>
  <c r="B16" i="28"/>
  <c r="B11" i="28"/>
  <c r="B14" i="17"/>
  <c r="B10" i="16"/>
  <c r="B8" i="16"/>
  <c r="B7" i="28"/>
  <c r="B15" i="28"/>
  <c r="B8" i="27"/>
  <c r="B11" i="17"/>
  <c r="B12" i="17"/>
  <c r="B9" i="27"/>
  <c r="B10" i="17"/>
  <c r="B7" i="16"/>
  <c r="B7" i="17"/>
  <c r="B9" i="28"/>
  <c r="B16" i="17"/>
  <c r="B8" i="17"/>
  <c r="B9" i="17"/>
  <c r="B13" i="17"/>
  <c r="B15" i="17"/>
  <c r="B13" i="28"/>
  <c r="B11" i="16"/>
  <c r="B10" i="27"/>
  <c r="B12" i="16"/>
  <c r="B11" i="27"/>
  <c r="B12" i="27"/>
  <c r="B13" i="16"/>
  <c r="B13" i="27"/>
  <c r="B14" i="16"/>
  <c r="B14" i="27"/>
  <c r="B15" i="16"/>
  <c r="B15" i="27"/>
  <c r="B16" i="16"/>
  <c r="B16" i="27"/>
  <c r="A60" i="16"/>
  <c r="A103" i="11"/>
  <c r="C55" i="26"/>
  <c r="C56" i="26" s="1"/>
  <c r="A59" i="27"/>
  <c r="B56" i="36" l="1"/>
  <c r="A57" i="36"/>
  <c r="B56" i="33"/>
  <c r="A57" i="33"/>
  <c r="B56" i="35"/>
  <c r="A57" i="35"/>
  <c r="B56" i="34"/>
  <c r="A57" i="34"/>
  <c r="A60" i="27"/>
  <c r="D17" i="16" a="1"/>
  <c r="D17" i="16" s="1"/>
  <c r="E17" i="16" s="1"/>
  <c r="D19" i="16" a="1"/>
  <c r="D19" i="16" s="1"/>
  <c r="E19" i="16" s="1"/>
  <c r="D12" i="16" a="1"/>
  <c r="D12" i="16" s="1"/>
  <c r="E12" i="16" s="1"/>
  <c r="D13" i="16" a="1"/>
  <c r="D13" i="16" s="1"/>
  <c r="E13" i="16" s="1"/>
  <c r="D20" i="16" a="1"/>
  <c r="D20" i="16" s="1"/>
  <c r="E20" i="16" s="1"/>
  <c r="C7" i="16"/>
  <c r="D21" i="16" a="1"/>
  <c r="D21" i="16" s="1"/>
  <c r="E21" i="16" s="1"/>
  <c r="D14" i="16" a="1"/>
  <c r="D14" i="16" s="1"/>
  <c r="E14" i="16" s="1"/>
  <c r="D16" i="16" a="1"/>
  <c r="D16" i="16" s="1"/>
  <c r="E16" i="16" s="1"/>
  <c r="D15" i="16" a="1"/>
  <c r="D15" i="16" s="1"/>
  <c r="E15" i="16" s="1"/>
  <c r="D18" i="16" a="1"/>
  <c r="D18" i="16" s="1"/>
  <c r="E18" i="16" s="1"/>
  <c r="B64" i="9"/>
  <c r="C64" i="9" s="1"/>
  <c r="A58" i="26"/>
  <c r="B58" i="26" s="1"/>
  <c r="D57" i="26"/>
  <c r="A61" i="16"/>
  <c r="D16" i="27" a="1"/>
  <c r="D16" i="27" s="1"/>
  <c r="E16" i="27" s="1"/>
  <c r="D17" i="27" a="1"/>
  <c r="D17" i="27" s="1"/>
  <c r="E17" i="27" s="1"/>
  <c r="D20" i="27" a="1"/>
  <c r="D20" i="27" s="1"/>
  <c r="E20" i="27" s="1"/>
  <c r="D12" i="27" a="1"/>
  <c r="D12" i="27" s="1"/>
  <c r="E12" i="27" s="1"/>
  <c r="D21" i="27" a="1"/>
  <c r="D21" i="27" s="1"/>
  <c r="E21" i="27" s="1"/>
  <c r="C7" i="27"/>
  <c r="D13" i="27" a="1"/>
  <c r="D13" i="27" s="1"/>
  <c r="E13" i="27" s="1"/>
  <c r="D19" i="27" a="1"/>
  <c r="D19" i="27" s="1"/>
  <c r="E19" i="27" s="1"/>
  <c r="D15" i="27" a="1"/>
  <c r="D15" i="27" s="1"/>
  <c r="E15" i="27" s="1"/>
  <c r="D18" i="27" a="1"/>
  <c r="D18" i="27" s="1"/>
  <c r="E18" i="27" s="1"/>
  <c r="D14" i="27" a="1"/>
  <c r="D14" i="27" s="1"/>
  <c r="E14" i="27" s="1"/>
  <c r="D13" i="17" a="1"/>
  <c r="D13" i="17" s="1"/>
  <c r="E13" i="17" s="1"/>
  <c r="D17" i="17" a="1"/>
  <c r="D17" i="17" s="1"/>
  <c r="E17" i="17" s="1"/>
  <c r="D12" i="17" a="1"/>
  <c r="D12" i="17" s="1"/>
  <c r="E12" i="17" s="1"/>
  <c r="D16" i="17" a="1"/>
  <c r="D16" i="17" s="1"/>
  <c r="E16" i="17" s="1"/>
  <c r="D18" i="17" a="1"/>
  <c r="D18" i="17" s="1"/>
  <c r="E18" i="17" s="1"/>
  <c r="D15" i="17" a="1"/>
  <c r="D15" i="17" s="1"/>
  <c r="E15" i="17" s="1"/>
  <c r="C7" i="17"/>
  <c r="D20" i="17" a="1"/>
  <c r="D20" i="17" s="1"/>
  <c r="E20" i="17" s="1"/>
  <c r="D14" i="17" a="1"/>
  <c r="D14" i="17" s="1"/>
  <c r="E14" i="17" s="1"/>
  <c r="D21" i="17" a="1"/>
  <c r="D21" i="17" s="1"/>
  <c r="E21" i="17" s="1"/>
  <c r="D19" i="17" a="1"/>
  <c r="D19" i="17" s="1"/>
  <c r="E19" i="17" s="1"/>
  <c r="D17" i="28" a="1"/>
  <c r="D17" i="28" s="1"/>
  <c r="E17" i="28" s="1"/>
  <c r="D12" i="28" a="1"/>
  <c r="D12" i="28" s="1"/>
  <c r="E12" i="28" s="1"/>
  <c r="C7" i="28"/>
  <c r="D19" i="28" a="1"/>
  <c r="D19" i="28" s="1"/>
  <c r="E19" i="28" s="1"/>
  <c r="D16" i="28" a="1"/>
  <c r="D16" i="28" s="1"/>
  <c r="E16" i="28" s="1"/>
  <c r="D15" i="28" a="1"/>
  <c r="D15" i="28" s="1"/>
  <c r="E15" i="28" s="1"/>
  <c r="D14" i="28" a="1"/>
  <c r="D14" i="28" s="1"/>
  <c r="E14" i="28" s="1"/>
  <c r="D20" i="28" a="1"/>
  <c r="D20" i="28" s="1"/>
  <c r="E20" i="28" s="1"/>
  <c r="D21" i="28" a="1"/>
  <c r="D21" i="28" s="1"/>
  <c r="E21" i="28" s="1"/>
  <c r="D18" i="28" a="1"/>
  <c r="D18" i="28" s="1"/>
  <c r="E18" i="28" s="1"/>
  <c r="D13" i="28" a="1"/>
  <c r="D13" i="28" s="1"/>
  <c r="E13" i="28" s="1"/>
  <c r="B57" i="35" l="1"/>
  <c r="A58" i="35"/>
  <c r="B57" i="34"/>
  <c r="A58" i="34"/>
  <c r="B57" i="36"/>
  <c r="A58" i="36"/>
  <c r="B57" i="33"/>
  <c r="A58" i="33"/>
  <c r="F13" i="28"/>
  <c r="G13" i="28"/>
  <c r="G21" i="28"/>
  <c r="F21" i="28"/>
  <c r="F17" i="28"/>
  <c r="G17" i="28"/>
  <c r="F20" i="17"/>
  <c r="G20" i="17"/>
  <c r="F18" i="17"/>
  <c r="G18" i="17"/>
  <c r="F17" i="17"/>
  <c r="G17" i="17"/>
  <c r="G14" i="27"/>
  <c r="F14" i="27"/>
  <c r="C8" i="27"/>
  <c r="H7" i="27"/>
  <c r="G20" i="27"/>
  <c r="F20" i="27"/>
  <c r="A62" i="16"/>
  <c r="F21" i="16"/>
  <c r="G21" i="16"/>
  <c r="C8" i="16"/>
  <c r="H7" i="16"/>
  <c r="F19" i="16"/>
  <c r="G19" i="16"/>
  <c r="C57" i="26"/>
  <c r="F20" i="28"/>
  <c r="G20" i="28"/>
  <c r="F16" i="28"/>
  <c r="G16" i="28"/>
  <c r="G21" i="17"/>
  <c r="K9" i="17" s="1"/>
  <c r="F21" i="17"/>
  <c r="C8" i="17"/>
  <c r="H7" i="17"/>
  <c r="F16" i="17"/>
  <c r="G16" i="17"/>
  <c r="F13" i="17"/>
  <c r="G13" i="17"/>
  <c r="F15" i="27"/>
  <c r="G15" i="27"/>
  <c r="F19" i="27"/>
  <c r="G19" i="27"/>
  <c r="G21" i="27"/>
  <c r="F21" i="27"/>
  <c r="F17" i="27"/>
  <c r="G17" i="27"/>
  <c r="G15" i="16"/>
  <c r="F15" i="16"/>
  <c r="F20" i="16"/>
  <c r="G20" i="16"/>
  <c r="G17" i="16"/>
  <c r="F17" i="16"/>
  <c r="G18" i="28"/>
  <c r="F18" i="28"/>
  <c r="F14" i="28"/>
  <c r="G14" i="28"/>
  <c r="G19" i="28"/>
  <c r="F19" i="28"/>
  <c r="C8" i="28"/>
  <c r="H7" i="28"/>
  <c r="G19" i="17"/>
  <c r="F19" i="17"/>
  <c r="F14" i="17"/>
  <c r="G14" i="17"/>
  <c r="F15" i="17"/>
  <c r="G15" i="17"/>
  <c r="F12" i="17"/>
  <c r="G12" i="17"/>
  <c r="F18" i="27"/>
  <c r="G18" i="27"/>
  <c r="F13" i="27"/>
  <c r="G13" i="27"/>
  <c r="G12" i="27"/>
  <c r="F12" i="27"/>
  <c r="F16" i="27"/>
  <c r="G16" i="27"/>
  <c r="B65" i="9"/>
  <c r="C65" i="9" s="1"/>
  <c r="A59" i="26"/>
  <c r="B59" i="26" s="1"/>
  <c r="D58" i="26"/>
  <c r="F18" i="16"/>
  <c r="G18" i="16"/>
  <c r="F13" i="16"/>
  <c r="G13" i="16"/>
  <c r="A61" i="27"/>
  <c r="G15" i="28"/>
  <c r="F15" i="28"/>
  <c r="G12" i="28"/>
  <c r="F12" i="28"/>
  <c r="F16" i="16"/>
  <c r="G16" i="16"/>
  <c r="G14" i="16"/>
  <c r="F14" i="16"/>
  <c r="F12" i="16"/>
  <c r="G12" i="16"/>
  <c r="B58" i="35" l="1"/>
  <c r="A59" i="35"/>
  <c r="B58" i="33"/>
  <c r="A59" i="33"/>
  <c r="B58" i="36"/>
  <c r="A59" i="36"/>
  <c r="B58" i="34"/>
  <c r="A59" i="34"/>
  <c r="C58" i="26"/>
  <c r="B66" i="9"/>
  <c r="C66" i="9" s="1"/>
  <c r="A60" i="26"/>
  <c r="B60" i="26" s="1"/>
  <c r="B5" i="11"/>
  <c r="D59" i="26"/>
  <c r="I19" i="27"/>
  <c r="C9" i="16"/>
  <c r="H8" i="16"/>
  <c r="I15" i="17"/>
  <c r="I20" i="16"/>
  <c r="A63" i="16"/>
  <c r="C9" i="27"/>
  <c r="H8" i="27"/>
  <c r="K4" i="28"/>
  <c r="M9" i="17" s="1"/>
  <c r="I21" i="28"/>
  <c r="I14" i="16"/>
  <c r="I12" i="27"/>
  <c r="I19" i="17"/>
  <c r="I19" i="28"/>
  <c r="I18" i="28"/>
  <c r="H8" i="17"/>
  <c r="C9" i="17"/>
  <c r="I19" i="16"/>
  <c r="I21" i="16"/>
  <c r="K4" i="16"/>
  <c r="L9" i="17" s="1"/>
  <c r="I18" i="17"/>
  <c r="I17" i="28"/>
  <c r="I13" i="28"/>
  <c r="I18" i="27"/>
  <c r="I13" i="17"/>
  <c r="I18" i="16"/>
  <c r="I12" i="16"/>
  <c r="I16" i="16"/>
  <c r="I12" i="28"/>
  <c r="A62" i="27"/>
  <c r="I16" i="27"/>
  <c r="I13" i="27"/>
  <c r="I12" i="17"/>
  <c r="I14" i="17"/>
  <c r="I14" i="28"/>
  <c r="I15" i="27"/>
  <c r="I16" i="17"/>
  <c r="I20" i="28"/>
  <c r="I20" i="27"/>
  <c r="I14" i="27"/>
  <c r="I15" i="28"/>
  <c r="I17" i="27"/>
  <c r="I16" i="28"/>
  <c r="I13" i="16"/>
  <c r="C9" i="28"/>
  <c r="H8" i="28"/>
  <c r="I17" i="16"/>
  <c r="I15" i="16"/>
  <c r="I21" i="27"/>
  <c r="K4" i="27"/>
  <c r="N9" i="17" s="1"/>
  <c r="I21" i="17"/>
  <c r="I17" i="17"/>
  <c r="I20" i="17"/>
  <c r="E14" i="9" l="1"/>
  <c r="F14" i="9" s="1"/>
  <c r="B59" i="36"/>
  <c r="A60" i="36"/>
  <c r="B59" i="33"/>
  <c r="A60" i="33"/>
  <c r="B59" i="35"/>
  <c r="A60" i="35"/>
  <c r="B59" i="34"/>
  <c r="A60" i="34"/>
  <c r="C59" i="26"/>
  <c r="C10" i="16"/>
  <c r="H9" i="16"/>
  <c r="E5" i="11"/>
  <c r="G5" i="11"/>
  <c r="F5" i="11"/>
  <c r="B23" i="17"/>
  <c r="B17" i="28"/>
  <c r="B26" i="28"/>
  <c r="B18" i="17"/>
  <c r="B24" i="28"/>
  <c r="B20" i="28"/>
  <c r="D5" i="11"/>
  <c r="B22" i="28"/>
  <c r="B20" i="17"/>
  <c r="B24" i="17"/>
  <c r="B26" i="17"/>
  <c r="B17" i="17"/>
  <c r="B21" i="17"/>
  <c r="B19" i="28"/>
  <c r="B18" i="28"/>
  <c r="B21" i="28"/>
  <c r="B19" i="17"/>
  <c r="B25" i="28"/>
  <c r="B22" i="17"/>
  <c r="B23" i="28"/>
  <c r="B25" i="17"/>
  <c r="B17" i="16"/>
  <c r="B18" i="16"/>
  <c r="B17" i="27"/>
  <c r="B18" i="27"/>
  <c r="B19" i="16"/>
  <c r="B19" i="27"/>
  <c r="B20" i="16"/>
  <c r="B20" i="27"/>
  <c r="B21" i="16"/>
  <c r="B22" i="16"/>
  <c r="B21" i="27"/>
  <c r="B23" i="16"/>
  <c r="B22" i="27"/>
  <c r="B24" i="16"/>
  <c r="B23" i="27"/>
  <c r="B24" i="27"/>
  <c r="B25" i="16"/>
  <c r="B26" i="16"/>
  <c r="B25" i="27"/>
  <c r="B26" i="27"/>
  <c r="C5" i="11"/>
  <c r="A64" i="16"/>
  <c r="B67" i="9"/>
  <c r="C67" i="9" s="1"/>
  <c r="A61" i="26"/>
  <c r="B61" i="26" s="1"/>
  <c r="D60" i="26"/>
  <c r="B6" i="11"/>
  <c r="A63" i="27"/>
  <c r="H9" i="17"/>
  <c r="C10" i="17"/>
  <c r="H9" i="27"/>
  <c r="C10" i="27"/>
  <c r="H9" i="28"/>
  <c r="C10" i="28"/>
  <c r="B60" i="34" l="1"/>
  <c r="A61" i="34"/>
  <c r="B60" i="33"/>
  <c r="A61" i="33"/>
  <c r="B60" i="35"/>
  <c r="A61" i="35"/>
  <c r="B60" i="36"/>
  <c r="A61" i="36"/>
  <c r="D14" i="9"/>
  <c r="C60" i="26"/>
  <c r="D6" i="11"/>
  <c r="F6" i="11"/>
  <c r="G6" i="11"/>
  <c r="B35" i="28"/>
  <c r="B33" i="17"/>
  <c r="B31" i="17"/>
  <c r="B34" i="28"/>
  <c r="B31" i="28"/>
  <c r="B36" i="17"/>
  <c r="E6" i="11"/>
  <c r="B27" i="28"/>
  <c r="B32" i="28"/>
  <c r="B28" i="28"/>
  <c r="B36" i="28"/>
  <c r="B35" i="17"/>
  <c r="B29" i="28"/>
  <c r="B30" i="17"/>
  <c r="B28" i="17"/>
  <c r="D36" i="17" s="1" a="1"/>
  <c r="B33" i="28"/>
  <c r="B27" i="17"/>
  <c r="B34" i="17"/>
  <c r="B29" i="17"/>
  <c r="B32" i="17"/>
  <c r="B30" i="28"/>
  <c r="B27" i="16"/>
  <c r="D37" i="16" s="1" a="1"/>
  <c r="B27" i="27"/>
  <c r="D39" i="27" s="1" a="1"/>
  <c r="B28" i="16"/>
  <c r="B29" i="16"/>
  <c r="B28" i="27"/>
  <c r="B29" i="27"/>
  <c r="B30" i="16"/>
  <c r="B31" i="16"/>
  <c r="B30" i="27"/>
  <c r="B31" i="27"/>
  <c r="B32" i="16"/>
  <c r="B32" i="27"/>
  <c r="B33" i="16"/>
  <c r="B33" i="27"/>
  <c r="B34" i="16"/>
  <c r="B35" i="16"/>
  <c r="B34" i="27"/>
  <c r="B35" i="27"/>
  <c r="B36" i="16"/>
  <c r="B36" i="27"/>
  <c r="C11" i="27"/>
  <c r="H10" i="27"/>
  <c r="C11" i="28"/>
  <c r="H10" i="28"/>
  <c r="B68" i="9"/>
  <c r="C68" i="9" s="1"/>
  <c r="A62" i="26"/>
  <c r="B62" i="26" s="1"/>
  <c r="B7" i="11"/>
  <c r="D61" i="26"/>
  <c r="A65" i="16"/>
  <c r="C6" i="11"/>
  <c r="D30" i="16" a="1"/>
  <c r="D30" i="16" s="1"/>
  <c r="E30" i="16" s="1"/>
  <c r="D26" i="16" a="1"/>
  <c r="D26" i="16" s="1"/>
  <c r="E26" i="16" s="1"/>
  <c r="D24" i="16" a="1"/>
  <c r="D24" i="16" s="1"/>
  <c r="E24" i="16" s="1"/>
  <c r="D27" i="16" a="1"/>
  <c r="D27" i="16" s="1"/>
  <c r="E27" i="16" s="1"/>
  <c r="D22" i="16" a="1"/>
  <c r="D22" i="16" s="1"/>
  <c r="E22" i="16" s="1"/>
  <c r="D23" i="16" a="1"/>
  <c r="D23" i="16" s="1"/>
  <c r="E23" i="16" s="1"/>
  <c r="D28" i="16" a="1"/>
  <c r="D28" i="16" s="1"/>
  <c r="E28" i="16" s="1"/>
  <c r="D29" i="16" a="1"/>
  <c r="D29" i="16" s="1"/>
  <c r="E29" i="16" s="1"/>
  <c r="D31" i="16" a="1"/>
  <c r="D31" i="16" s="1"/>
  <c r="E31" i="16" s="1"/>
  <c r="D25" i="16" a="1"/>
  <c r="D25" i="16" s="1"/>
  <c r="E25" i="16" s="1"/>
  <c r="D38" i="28" a="1"/>
  <c r="D30" i="28" a="1"/>
  <c r="D30" i="28" s="1"/>
  <c r="E30" i="28" s="1"/>
  <c r="D27" i="28" a="1"/>
  <c r="D27" i="28" s="1"/>
  <c r="E27" i="28" s="1"/>
  <c r="D32" i="28" a="1"/>
  <c r="D25" i="28" a="1"/>
  <c r="D25" i="28" s="1"/>
  <c r="E25" i="28" s="1"/>
  <c r="D34" i="28" a="1"/>
  <c r="D40" i="28" a="1"/>
  <c r="D36" i="28" a="1"/>
  <c r="D39" i="28" a="1"/>
  <c r="D22" i="28" a="1"/>
  <c r="D22" i="28" s="1"/>
  <c r="E22" i="28" s="1"/>
  <c r="D29" i="28" a="1"/>
  <c r="D29" i="28" s="1"/>
  <c r="E29" i="28" s="1"/>
  <c r="D24" i="28" a="1"/>
  <c r="D24" i="28" s="1"/>
  <c r="E24" i="28" s="1"/>
  <c r="D31" i="28" a="1"/>
  <c r="D31" i="28" s="1"/>
  <c r="E31" i="28" s="1"/>
  <c r="D41" i="28" a="1"/>
  <c r="D28" i="28" a="1"/>
  <c r="D28" i="28" s="1"/>
  <c r="E28" i="28" s="1"/>
  <c r="D37" i="28" a="1"/>
  <c r="D23" i="28" a="1"/>
  <c r="D23" i="28" s="1"/>
  <c r="E23" i="28" s="1"/>
  <c r="D26" i="28" a="1"/>
  <c r="D26" i="28" s="1"/>
  <c r="E26" i="28" s="1"/>
  <c r="D33" i="28" a="1"/>
  <c r="D35" i="28" a="1"/>
  <c r="H10" i="17"/>
  <c r="C11" i="17"/>
  <c r="A64" i="27"/>
  <c r="D24" i="27" a="1"/>
  <c r="D24" i="27" s="1"/>
  <c r="E24" i="27" s="1"/>
  <c r="D26" i="27" a="1"/>
  <c r="D26" i="27" s="1"/>
  <c r="E26" i="27" s="1"/>
  <c r="D25" i="27" a="1"/>
  <c r="D25" i="27" s="1"/>
  <c r="E25" i="27" s="1"/>
  <c r="D27" i="27" a="1"/>
  <c r="D27" i="27" s="1"/>
  <c r="E27" i="27" s="1"/>
  <c r="D38" i="27" a="1"/>
  <c r="D30" i="27" a="1"/>
  <c r="D30" i="27" s="1"/>
  <c r="E30" i="27" s="1"/>
  <c r="D29" i="27" a="1"/>
  <c r="D29" i="27" s="1"/>
  <c r="E29" i="27" s="1"/>
  <c r="D31" i="27" a="1"/>
  <c r="D31" i="27" s="1"/>
  <c r="E31" i="27" s="1"/>
  <c r="D28" i="27" a="1"/>
  <c r="D28" i="27" s="1"/>
  <c r="E28" i="27" s="1"/>
  <c r="D32" i="27" a="1"/>
  <c r="D32" i="27" s="1"/>
  <c r="E32" i="27" s="1"/>
  <c r="D23" i="27" a="1"/>
  <c r="D23" i="27" s="1"/>
  <c r="E23" i="27" s="1"/>
  <c r="D22" i="27" a="1"/>
  <c r="D22" i="27" s="1"/>
  <c r="E22" i="27" s="1"/>
  <c r="D25" i="17" a="1"/>
  <c r="D25" i="17" s="1"/>
  <c r="E25" i="17" s="1"/>
  <c r="D22" i="17" a="1"/>
  <c r="D22" i="17" s="1"/>
  <c r="E22" i="17" s="1"/>
  <c r="D28" i="17" a="1"/>
  <c r="D28" i="17" s="1"/>
  <c r="E28" i="17" s="1"/>
  <c r="D23" i="17" a="1"/>
  <c r="D23" i="17" s="1"/>
  <c r="E23" i="17" s="1"/>
  <c r="D24" i="17" a="1"/>
  <c r="D24" i="17" s="1"/>
  <c r="E24" i="17" s="1"/>
  <c r="D35" i="17" a="1"/>
  <c r="D26" i="17" a="1"/>
  <c r="D26" i="17" s="1"/>
  <c r="E26" i="17" s="1"/>
  <c r="D31" i="17" a="1"/>
  <c r="D31" i="17" s="1"/>
  <c r="E31" i="17" s="1"/>
  <c r="D29" i="17" a="1"/>
  <c r="D29" i="17" s="1"/>
  <c r="E29" i="17" s="1"/>
  <c r="D32" i="17" a="1"/>
  <c r="D30" i="17" a="1"/>
  <c r="D30" i="17" s="1"/>
  <c r="E30" i="17" s="1"/>
  <c r="D27" i="17" a="1"/>
  <c r="D27" i="17" s="1"/>
  <c r="E27" i="17" s="1"/>
  <c r="C11" i="16"/>
  <c r="H10" i="16"/>
  <c r="D35" i="27" l="1" a="1"/>
  <c r="D34" i="27" a="1"/>
  <c r="D34" i="27" s="1"/>
  <c r="E34" i="27" s="1"/>
  <c r="G34" i="27" s="1"/>
  <c r="D34" i="17" a="1"/>
  <c r="D39" i="17" a="1"/>
  <c r="D37" i="17" a="1"/>
  <c r="D36" i="27" a="1"/>
  <c r="D39" i="16" a="1"/>
  <c r="D39" i="16" s="1"/>
  <c r="E39" i="16" s="1"/>
  <c r="G39" i="16" s="1"/>
  <c r="D38" i="17" a="1"/>
  <c r="D38" i="17" s="1"/>
  <c r="E38" i="17" s="1"/>
  <c r="G38" i="17" s="1"/>
  <c r="D41" i="17" a="1"/>
  <c r="D37" i="27" a="1"/>
  <c r="D40" i="17" a="1"/>
  <c r="D33" i="17" a="1"/>
  <c r="D41" i="27" a="1"/>
  <c r="D41" i="27" s="1"/>
  <c r="E41" i="27" s="1"/>
  <c r="F41" i="27" s="1"/>
  <c r="D40" i="27" a="1"/>
  <c r="D33" i="27" a="1"/>
  <c r="D33" i="27" s="1"/>
  <c r="E33" i="27" s="1"/>
  <c r="F33" i="27" s="1"/>
  <c r="D36" i="17"/>
  <c r="E36" i="17" s="1"/>
  <c r="F36" i="17" s="1"/>
  <c r="D39" i="17"/>
  <c r="E39" i="17" s="1"/>
  <c r="F39" i="17" s="1"/>
  <c r="D33" i="28"/>
  <c r="E33" i="28" s="1"/>
  <c r="F33" i="28" s="1"/>
  <c r="D32" i="17"/>
  <c r="E32" i="17" s="1"/>
  <c r="F32" i="17" s="1"/>
  <c r="D37" i="17"/>
  <c r="E37" i="17" s="1"/>
  <c r="F37" i="17" s="1"/>
  <c r="D35" i="17"/>
  <c r="E35" i="17" s="1"/>
  <c r="F35" i="17" s="1"/>
  <c r="D37" i="27"/>
  <c r="E37" i="27" s="1"/>
  <c r="F37" i="27" s="1"/>
  <c r="D38" i="27"/>
  <c r="E38" i="27" s="1"/>
  <c r="F38" i="27" s="1"/>
  <c r="D40" i="17"/>
  <c r="E40" i="17" s="1"/>
  <c r="G40" i="17" s="1"/>
  <c r="D34" i="17"/>
  <c r="E34" i="17" s="1"/>
  <c r="F34" i="17" s="1"/>
  <c r="D33" i="17"/>
  <c r="E33" i="17" s="1"/>
  <c r="F33" i="17" s="1"/>
  <c r="D35" i="28"/>
  <c r="E35" i="28" s="1"/>
  <c r="F35" i="28" s="1"/>
  <c r="D40" i="27"/>
  <c r="E40" i="27" s="1"/>
  <c r="F40" i="27" s="1"/>
  <c r="D36" i="27"/>
  <c r="E36" i="27" s="1"/>
  <c r="G36" i="27" s="1"/>
  <c r="D39" i="27"/>
  <c r="E39" i="27" s="1"/>
  <c r="G39" i="27" s="1"/>
  <c r="D35" i="27"/>
  <c r="E35" i="27" s="1"/>
  <c r="F35" i="27" s="1"/>
  <c r="D37" i="28"/>
  <c r="E37" i="28" s="1"/>
  <c r="F37" i="28" s="1"/>
  <c r="D39" i="28"/>
  <c r="E39" i="28" s="1"/>
  <c r="F39" i="28" s="1"/>
  <c r="D36" i="28"/>
  <c r="E36" i="28" s="1"/>
  <c r="F36" i="28" s="1"/>
  <c r="D41" i="17"/>
  <c r="E41" i="17" s="1"/>
  <c r="G41" i="17" s="1"/>
  <c r="K11" i="17" s="1"/>
  <c r="D41" i="28"/>
  <c r="E41" i="28" s="1"/>
  <c r="G41" i="28" s="1"/>
  <c r="D34" i="28"/>
  <c r="E34" i="28" s="1"/>
  <c r="G34" i="28" s="1"/>
  <c r="D37" i="16"/>
  <c r="E37" i="16" s="1"/>
  <c r="G37" i="16" s="1"/>
  <c r="D40" i="28"/>
  <c r="E40" i="28" s="1"/>
  <c r="G40" i="28" s="1"/>
  <c r="B61" i="35"/>
  <c r="A62" i="35"/>
  <c r="B61" i="34"/>
  <c r="A62" i="34"/>
  <c r="B61" i="36"/>
  <c r="A62" i="36"/>
  <c r="B61" i="33"/>
  <c r="A62" i="33"/>
  <c r="F7" i="31"/>
  <c r="D32" i="28"/>
  <c r="E32" i="28" s="1"/>
  <c r="F32" i="28" s="1"/>
  <c r="D38" i="28"/>
  <c r="E38" i="28" s="1"/>
  <c r="G38" i="28" s="1"/>
  <c r="C12" i="16"/>
  <c r="H11" i="16"/>
  <c r="G25" i="17"/>
  <c r="F25" i="17"/>
  <c r="F28" i="27"/>
  <c r="G28" i="27"/>
  <c r="G31" i="27"/>
  <c r="F31" i="27"/>
  <c r="G23" i="28"/>
  <c r="F23" i="28"/>
  <c r="F31" i="28"/>
  <c r="G31" i="28"/>
  <c r="F22" i="28"/>
  <c r="G22" i="28"/>
  <c r="F31" i="16"/>
  <c r="G31" i="16"/>
  <c r="D40" i="16" a="1"/>
  <c r="D40" i="16" s="1"/>
  <c r="E40" i="16" s="1"/>
  <c r="D38" i="16" a="1"/>
  <c r="D38" i="16" s="1"/>
  <c r="E38" i="16" s="1"/>
  <c r="D34" i="16" a="1"/>
  <c r="D34" i="16" s="1"/>
  <c r="E34" i="16" s="1"/>
  <c r="D41" i="16" a="1"/>
  <c r="D41" i="16" s="1"/>
  <c r="E41" i="16" s="1"/>
  <c r="B69" i="9"/>
  <c r="C69" i="9" s="1"/>
  <c r="A63" i="26"/>
  <c r="B63" i="26" s="1"/>
  <c r="D62" i="26"/>
  <c r="B8" i="11"/>
  <c r="F29" i="17"/>
  <c r="G29" i="17"/>
  <c r="G23" i="17"/>
  <c r="F23" i="17"/>
  <c r="F22" i="27"/>
  <c r="G22" i="27"/>
  <c r="G29" i="27"/>
  <c r="F29" i="27"/>
  <c r="F27" i="27"/>
  <c r="G27" i="27"/>
  <c r="F25" i="27"/>
  <c r="G25" i="27"/>
  <c r="F24" i="27"/>
  <c r="G24" i="27"/>
  <c r="C12" i="17"/>
  <c r="H11" i="17"/>
  <c r="F24" i="28"/>
  <c r="G24" i="28"/>
  <c r="F29" i="28"/>
  <c r="G29" i="28"/>
  <c r="G27" i="28"/>
  <c r="F27" i="28"/>
  <c r="F25" i="16"/>
  <c r="G25" i="16"/>
  <c r="F29" i="16"/>
  <c r="G29" i="16"/>
  <c r="F23" i="16"/>
  <c r="G23" i="16"/>
  <c r="G22" i="16"/>
  <c r="F22" i="16"/>
  <c r="F26" i="16"/>
  <c r="G26" i="16"/>
  <c r="A66" i="16"/>
  <c r="C12" i="27"/>
  <c r="H11" i="27"/>
  <c r="G27" i="17"/>
  <c r="F27" i="17"/>
  <c r="G31" i="17"/>
  <c r="K10" i="17" s="1"/>
  <c r="F31" i="17"/>
  <c r="G28" i="17"/>
  <c r="F28" i="17"/>
  <c r="G26" i="28"/>
  <c r="F26" i="28"/>
  <c r="G28" i="28"/>
  <c r="F28" i="28"/>
  <c r="F30" i="28"/>
  <c r="G30" i="28"/>
  <c r="D36" i="16" a="1"/>
  <c r="D36" i="16" s="1"/>
  <c r="E36" i="16" s="1"/>
  <c r="G27" i="16"/>
  <c r="F27" i="16"/>
  <c r="D35" i="16" a="1"/>
  <c r="D35" i="16" s="1"/>
  <c r="E35" i="16" s="1"/>
  <c r="C7" i="11"/>
  <c r="C8" i="11" s="1"/>
  <c r="C61" i="26"/>
  <c r="C62" i="26" s="1"/>
  <c r="F30" i="17"/>
  <c r="G30" i="17"/>
  <c r="F26" i="17"/>
  <c r="G26" i="17"/>
  <c r="F24" i="17"/>
  <c r="G24" i="17"/>
  <c r="F22" i="17"/>
  <c r="G22" i="17"/>
  <c r="F23" i="27"/>
  <c r="G23" i="27"/>
  <c r="G32" i="27"/>
  <c r="F32" i="27"/>
  <c r="G30" i="27"/>
  <c r="F30" i="27"/>
  <c r="F26" i="27"/>
  <c r="G26" i="27"/>
  <c r="A65" i="27"/>
  <c r="F25" i="28"/>
  <c r="G25" i="28"/>
  <c r="G28" i="16"/>
  <c r="F28" i="16"/>
  <c r="D32" i="16" a="1"/>
  <c r="D32" i="16" s="1"/>
  <c r="E32" i="16" s="1"/>
  <c r="F24" i="16"/>
  <c r="G24" i="16"/>
  <c r="F30" i="16"/>
  <c r="G30" i="16"/>
  <c r="D33" i="16" a="1"/>
  <c r="D33" i="16" s="1"/>
  <c r="E33" i="16" s="1"/>
  <c r="E7" i="11"/>
  <c r="D7" i="11"/>
  <c r="F7" i="11"/>
  <c r="B42" i="17"/>
  <c r="B39" i="17"/>
  <c r="G7" i="11"/>
  <c r="B45" i="17"/>
  <c r="B43" i="17"/>
  <c r="B39" i="28"/>
  <c r="B38" i="17"/>
  <c r="B38" i="28"/>
  <c r="B37" i="28"/>
  <c r="B37" i="17"/>
  <c r="B45" i="28"/>
  <c r="B46" i="17"/>
  <c r="B43" i="28"/>
  <c r="B46" i="28"/>
  <c r="B41" i="28"/>
  <c r="B41" i="17"/>
  <c r="B42" i="28"/>
  <c r="B44" i="17"/>
  <c r="B44" i="28"/>
  <c r="B40" i="28"/>
  <c r="B40" i="17"/>
  <c r="B37" i="16"/>
  <c r="B37" i="27"/>
  <c r="B38" i="16"/>
  <c r="B39" i="16"/>
  <c r="B38" i="27"/>
  <c r="B40" i="16"/>
  <c r="B39" i="27"/>
  <c r="B40" i="27"/>
  <c r="B41" i="16"/>
  <c r="B42" i="16"/>
  <c r="B41" i="27"/>
  <c r="B42" i="27"/>
  <c r="B43" i="16"/>
  <c r="B44" i="16"/>
  <c r="B43" i="27"/>
  <c r="B44" i="27"/>
  <c r="B45" i="16"/>
  <c r="B46" i="16"/>
  <c r="B45" i="27"/>
  <c r="B46" i="27"/>
  <c r="C12" i="28"/>
  <c r="H11" i="28"/>
  <c r="D51" i="16" l="1" a="1"/>
  <c r="D51" i="16" s="1"/>
  <c r="E51" i="16" s="1"/>
  <c r="F51" i="16" s="1"/>
  <c r="G36" i="17"/>
  <c r="F34" i="27"/>
  <c r="F39" i="16"/>
  <c r="F40" i="17"/>
  <c r="G39" i="17"/>
  <c r="I39" i="17" s="1"/>
  <c r="F41" i="28"/>
  <c r="G40" i="27"/>
  <c r="I40" i="27" s="1"/>
  <c r="G36" i="28"/>
  <c r="I36" i="28" s="1"/>
  <c r="G32" i="17"/>
  <c r="I32" i="17" s="1"/>
  <c r="F41" i="17"/>
  <c r="G33" i="17"/>
  <c r="I33" i="17" s="1"/>
  <c r="G37" i="27"/>
  <c r="I37" i="27" s="1"/>
  <c r="G35" i="17"/>
  <c r="G33" i="28"/>
  <c r="I33" i="28" s="1"/>
  <c r="G33" i="27"/>
  <c r="I33" i="27" s="1"/>
  <c r="G35" i="28"/>
  <c r="I35" i="28" s="1"/>
  <c r="G37" i="17"/>
  <c r="I37" i="17" s="1"/>
  <c r="F39" i="27"/>
  <c r="F37" i="16"/>
  <c r="G37" i="28"/>
  <c r="I37" i="28" s="1"/>
  <c r="F36" i="27"/>
  <c r="G38" i="27"/>
  <c r="I38" i="27" s="1"/>
  <c r="F38" i="17"/>
  <c r="G39" i="28"/>
  <c r="I39" i="28" s="1"/>
  <c r="G34" i="17"/>
  <c r="I34" i="17" s="1"/>
  <c r="G35" i="27"/>
  <c r="I35" i="27" s="1"/>
  <c r="G41" i="27"/>
  <c r="I41" i="27" s="1"/>
  <c r="F34" i="28"/>
  <c r="F40" i="28"/>
  <c r="G32" i="28"/>
  <c r="I32" i="28" s="1"/>
  <c r="B62" i="33"/>
  <c r="A63" i="33"/>
  <c r="B62" i="35"/>
  <c r="A63" i="35"/>
  <c r="B62" i="36"/>
  <c r="A63" i="36"/>
  <c r="B62" i="34"/>
  <c r="A63" i="34"/>
  <c r="F38" i="28"/>
  <c r="I26" i="27"/>
  <c r="I26" i="17"/>
  <c r="F35" i="16"/>
  <c r="G35" i="16"/>
  <c r="G36" i="16"/>
  <c r="F36" i="16"/>
  <c r="D45" i="16" a="1"/>
  <c r="D45" i="16" s="1"/>
  <c r="E45" i="16" s="1"/>
  <c r="I28" i="17"/>
  <c r="I35" i="17"/>
  <c r="I27" i="17"/>
  <c r="I26" i="16"/>
  <c r="I23" i="16"/>
  <c r="I25" i="16"/>
  <c r="I29" i="28"/>
  <c r="I24" i="27"/>
  <c r="I27" i="27"/>
  <c r="I22" i="27"/>
  <c r="I29" i="17"/>
  <c r="B70" i="9"/>
  <c r="C70" i="9" s="1"/>
  <c r="A64" i="26"/>
  <c r="B64" i="26" s="1"/>
  <c r="B9" i="11"/>
  <c r="B66" i="16" s="1"/>
  <c r="D63" i="26"/>
  <c r="F41" i="16"/>
  <c r="G41" i="16"/>
  <c r="F40" i="16"/>
  <c r="G40" i="16"/>
  <c r="I34" i="28"/>
  <c r="I31" i="27"/>
  <c r="K5" i="27"/>
  <c r="N10" i="17" s="1"/>
  <c r="I25" i="17"/>
  <c r="C13" i="16"/>
  <c r="H12" i="16"/>
  <c r="I22" i="17"/>
  <c r="F33" i="16"/>
  <c r="G33" i="16"/>
  <c r="I28" i="16"/>
  <c r="I30" i="27"/>
  <c r="I32" i="27"/>
  <c r="I36" i="17"/>
  <c r="D43" i="16" a="1"/>
  <c r="D43" i="16" s="1"/>
  <c r="E43" i="16" s="1"/>
  <c r="D49" i="16" a="1"/>
  <c r="D49" i="16" s="1"/>
  <c r="E49" i="16" s="1"/>
  <c r="A67" i="16"/>
  <c r="I29" i="27"/>
  <c r="I23" i="17"/>
  <c r="F34" i="16"/>
  <c r="G34" i="16"/>
  <c r="D42" i="16" a="1"/>
  <c r="D42" i="16" s="1"/>
  <c r="E42" i="16" s="1"/>
  <c r="I38" i="28"/>
  <c r="I22" i="28"/>
  <c r="I39" i="27"/>
  <c r="I28" i="27"/>
  <c r="D48" i="27" a="1"/>
  <c r="D48" i="27" s="1"/>
  <c r="E48" i="27" s="1"/>
  <c r="D49" i="27" a="1"/>
  <c r="D49" i="27" s="1"/>
  <c r="E49" i="27" s="1"/>
  <c r="D51" i="27" a="1"/>
  <c r="D51" i="27" s="1"/>
  <c r="E51" i="27" s="1"/>
  <c r="D43" i="27" a="1"/>
  <c r="D43" i="27" s="1"/>
  <c r="E43" i="27" s="1"/>
  <c r="D44" i="27" a="1"/>
  <c r="D44" i="27" s="1"/>
  <c r="E44" i="27" s="1"/>
  <c r="D45" i="27" a="1"/>
  <c r="D45" i="27" s="1"/>
  <c r="E45" i="27" s="1"/>
  <c r="D50" i="27" a="1"/>
  <c r="D50" i="27" s="1"/>
  <c r="E50" i="27" s="1"/>
  <c r="D47" i="27" a="1"/>
  <c r="D47" i="27" s="1"/>
  <c r="E47" i="27" s="1"/>
  <c r="D42" i="27" a="1"/>
  <c r="D42" i="27" s="1"/>
  <c r="E42" i="27" s="1"/>
  <c r="D46" i="27" a="1"/>
  <c r="D46" i="27" s="1"/>
  <c r="E46" i="27" s="1"/>
  <c r="I30" i="16"/>
  <c r="D46" i="16" a="1"/>
  <c r="D46" i="16" s="1"/>
  <c r="E46" i="16" s="1"/>
  <c r="I40" i="28"/>
  <c r="I36" i="27"/>
  <c r="I23" i="27"/>
  <c r="I24" i="17"/>
  <c r="I38" i="17"/>
  <c r="I40" i="17"/>
  <c r="I28" i="28"/>
  <c r="I26" i="28"/>
  <c r="I31" i="17"/>
  <c r="C13" i="27"/>
  <c r="H12" i="27"/>
  <c r="I37" i="16"/>
  <c r="I29" i="16"/>
  <c r="I24" i="28"/>
  <c r="I25" i="27"/>
  <c r="D8" i="11"/>
  <c r="F8" i="11"/>
  <c r="B55" i="17"/>
  <c r="B47" i="28"/>
  <c r="D53" i="28" s="1" a="1"/>
  <c r="B48" i="17"/>
  <c r="D60" i="17" s="1" a="1"/>
  <c r="B52" i="28"/>
  <c r="G8" i="11"/>
  <c r="B48" i="28"/>
  <c r="B54" i="28"/>
  <c r="B51" i="17"/>
  <c r="B49" i="28"/>
  <c r="B53" i="17"/>
  <c r="E8" i="11"/>
  <c r="B50" i="17"/>
  <c r="B54" i="17"/>
  <c r="B56" i="28"/>
  <c r="B51" i="28"/>
  <c r="B56" i="17"/>
  <c r="B50" i="28"/>
  <c r="B49" i="17"/>
  <c r="B52" i="17"/>
  <c r="B47" i="17"/>
  <c r="B55" i="28"/>
  <c r="B53" i="28"/>
  <c r="B47" i="16"/>
  <c r="B48" i="16"/>
  <c r="B47" i="27"/>
  <c r="B48" i="27"/>
  <c r="B49" i="16"/>
  <c r="D54" i="16" s="1" a="1"/>
  <c r="B49" i="27"/>
  <c r="B50" i="16"/>
  <c r="B50" i="27"/>
  <c r="B51" i="16"/>
  <c r="B52" i="16"/>
  <c r="B51" i="27"/>
  <c r="B53" i="16"/>
  <c r="B52" i="27"/>
  <c r="B53" i="27"/>
  <c r="B54" i="16"/>
  <c r="B55" i="16"/>
  <c r="B54" i="27"/>
  <c r="B55" i="27"/>
  <c r="B56" i="16"/>
  <c r="B56" i="27"/>
  <c r="F38" i="16"/>
  <c r="G38" i="16"/>
  <c r="I31" i="16"/>
  <c r="K5" i="16"/>
  <c r="L10" i="17" s="1"/>
  <c r="I23" i="28"/>
  <c r="D42" i="28" a="1"/>
  <c r="D42" i="28" s="1"/>
  <c r="E42" i="28" s="1"/>
  <c r="D54" i="28" a="1"/>
  <c r="D45" i="28" a="1"/>
  <c r="D45" i="28" s="1"/>
  <c r="E45" i="28" s="1"/>
  <c r="D44" i="28" a="1"/>
  <c r="D44" i="28" s="1"/>
  <c r="E44" i="28" s="1"/>
  <c r="D50" i="28" a="1"/>
  <c r="D50" i="28" s="1"/>
  <c r="E50" i="28" s="1"/>
  <c r="D49" i="28" a="1"/>
  <c r="D49" i="28" s="1"/>
  <c r="E49" i="28" s="1"/>
  <c r="D46" i="28" a="1"/>
  <c r="D46" i="28" s="1"/>
  <c r="E46" i="28" s="1"/>
  <c r="D57" i="28" a="1"/>
  <c r="D47" i="28" a="1"/>
  <c r="D47" i="28" s="1"/>
  <c r="E47" i="28" s="1"/>
  <c r="D43" i="28" a="1"/>
  <c r="D43" i="28" s="1"/>
  <c r="E43" i="28" s="1"/>
  <c r="D48" i="28" a="1"/>
  <c r="D48" i="28" s="1"/>
  <c r="E48" i="28" s="1"/>
  <c r="D51" i="28" a="1"/>
  <c r="D51" i="28" s="1"/>
  <c r="E51" i="28" s="1"/>
  <c r="I24" i="16"/>
  <c r="I30" i="17"/>
  <c r="C13" i="28"/>
  <c r="H12" i="28"/>
  <c r="D53" i="16" a="1"/>
  <c r="D50" i="16" a="1"/>
  <c r="D50" i="16" s="1"/>
  <c r="E50" i="16" s="1"/>
  <c r="D48" i="16" a="1"/>
  <c r="D48" i="16" s="1"/>
  <c r="E48" i="16" s="1"/>
  <c r="D52" i="16" a="1"/>
  <c r="D46" i="17" a="1"/>
  <c r="D46" i="17" s="1"/>
  <c r="E46" i="17" s="1"/>
  <c r="D47" i="17" a="1"/>
  <c r="D47" i="17" s="1"/>
  <c r="E47" i="17" s="1"/>
  <c r="D42" i="17" a="1"/>
  <c r="D42" i="17" s="1"/>
  <c r="E42" i="17" s="1"/>
  <c r="D44" i="17" a="1"/>
  <c r="D44" i="17" s="1"/>
  <c r="E44" i="17" s="1"/>
  <c r="D48" i="17" a="1"/>
  <c r="D48" i="17" s="1"/>
  <c r="E48" i="17" s="1"/>
  <c r="D52" i="17" a="1"/>
  <c r="D43" i="17" a="1"/>
  <c r="D43" i="17" s="1"/>
  <c r="E43" i="17" s="1"/>
  <c r="D49" i="17" a="1"/>
  <c r="D49" i="17" s="1"/>
  <c r="E49" i="17" s="1"/>
  <c r="D45" i="17" a="1"/>
  <c r="D45" i="17" s="1"/>
  <c r="E45" i="17" s="1"/>
  <c r="D51" i="17" a="1"/>
  <c r="D51" i="17" s="1"/>
  <c r="E51" i="17" s="1"/>
  <c r="D50" i="17" a="1"/>
  <c r="D50" i="17" s="1"/>
  <c r="E50" i="17" s="1"/>
  <c r="F32" i="16"/>
  <c r="G32" i="16"/>
  <c r="I39" i="16"/>
  <c r="I25" i="28"/>
  <c r="I41" i="28"/>
  <c r="K6" i="28"/>
  <c r="M11" i="17" s="1"/>
  <c r="A66" i="27"/>
  <c r="B65" i="27"/>
  <c r="I27" i="16"/>
  <c r="D44" i="16" a="1"/>
  <c r="D44" i="16" s="1"/>
  <c r="E44" i="16" s="1"/>
  <c r="I30" i="28"/>
  <c r="I22" i="16"/>
  <c r="I27" i="28"/>
  <c r="C13" i="17"/>
  <c r="H12" i="17"/>
  <c r="I34" i="27"/>
  <c r="I41" i="17"/>
  <c r="D58" i="16" a="1"/>
  <c r="D47" i="16" a="1"/>
  <c r="D47" i="16" s="1"/>
  <c r="E47" i="16" s="1"/>
  <c r="K5" i="28"/>
  <c r="M10" i="17" s="1"/>
  <c r="I31" i="28"/>
  <c r="D56" i="17" l="1" a="1"/>
  <c r="D60" i="16" a="1"/>
  <c r="D58" i="28" a="1"/>
  <c r="D61" i="28" a="1"/>
  <c r="D55" i="28" a="1"/>
  <c r="D55" i="28" s="1"/>
  <c r="E55" i="28" s="1"/>
  <c r="F55" i="28" s="1"/>
  <c r="D61" i="16" a="1"/>
  <c r="D59" i="17" a="1"/>
  <c r="D59" i="17" s="1"/>
  <c r="E59" i="17" s="1"/>
  <c r="G59" i="17" s="1"/>
  <c r="D56" i="16" a="1"/>
  <c r="D56" i="16" s="1"/>
  <c r="E56" i="16" s="1"/>
  <c r="F56" i="16" s="1"/>
  <c r="D55" i="17" a="1"/>
  <c r="D53" i="17" a="1"/>
  <c r="D60" i="28" a="1"/>
  <c r="D57" i="17" a="1"/>
  <c r="D58" i="17" a="1"/>
  <c r="D58" i="17" s="1"/>
  <c r="E58" i="17" s="1"/>
  <c r="F58" i="17" s="1"/>
  <c r="D52" i="28" a="1"/>
  <c r="D59" i="28" a="1"/>
  <c r="D59" i="28" s="1"/>
  <c r="E59" i="28" s="1"/>
  <c r="F59" i="28" s="1"/>
  <c r="D61" i="17" a="1"/>
  <c r="D61" i="17" s="1"/>
  <c r="E61" i="17" s="1"/>
  <c r="G61" i="17" s="1"/>
  <c r="K13" i="17" s="1"/>
  <c r="D57" i="16" a="1"/>
  <c r="D54" i="17" a="1"/>
  <c r="D56" i="28" a="1"/>
  <c r="D56" i="28" s="1"/>
  <c r="E56" i="28" s="1"/>
  <c r="F56" i="28" s="1"/>
  <c r="D55" i="17"/>
  <c r="E55" i="17" s="1"/>
  <c r="D53" i="17"/>
  <c r="E53" i="17" s="1"/>
  <c r="G53" i="17" s="1"/>
  <c r="K6" i="27"/>
  <c r="N11" i="17" s="1"/>
  <c r="D54" i="17"/>
  <c r="E54" i="17" s="1"/>
  <c r="F54" i="17" s="1"/>
  <c r="D52" i="17"/>
  <c r="E52" i="17" s="1"/>
  <c r="G52" i="17" s="1"/>
  <c r="D60" i="17"/>
  <c r="E60" i="17" s="1"/>
  <c r="G60" i="17" s="1"/>
  <c r="D52" i="16"/>
  <c r="E52" i="16" s="1"/>
  <c r="F52" i="16" s="1"/>
  <c r="D53" i="28"/>
  <c r="E53" i="28" s="1"/>
  <c r="F53" i="28" s="1"/>
  <c r="D57" i="17"/>
  <c r="E57" i="17" s="1"/>
  <c r="G57" i="17" s="1"/>
  <c r="D56" i="17"/>
  <c r="E56" i="17" s="1"/>
  <c r="G56" i="17" s="1"/>
  <c r="D53" i="16"/>
  <c r="E53" i="16" s="1"/>
  <c r="G53" i="16" s="1"/>
  <c r="D58" i="16"/>
  <c r="E58" i="16" s="1"/>
  <c r="F58" i="16" s="1"/>
  <c r="D52" i="28"/>
  <c r="E52" i="28" s="1"/>
  <c r="G52" i="28" s="1"/>
  <c r="B63" i="34"/>
  <c r="A64" i="34"/>
  <c r="B63" i="33"/>
  <c r="A64" i="33"/>
  <c r="D60" i="28"/>
  <c r="E60" i="28" s="1"/>
  <c r="F60" i="28" s="1"/>
  <c r="D57" i="28"/>
  <c r="E57" i="28" s="1"/>
  <c r="F57" i="28" s="1"/>
  <c r="B63" i="36"/>
  <c r="A64" i="36"/>
  <c r="B63" i="35"/>
  <c r="A64" i="35"/>
  <c r="D54" i="16"/>
  <c r="E54" i="16" s="1"/>
  <c r="G54" i="16" s="1"/>
  <c r="D60" i="16"/>
  <c r="E60" i="16" s="1"/>
  <c r="F60" i="16" s="1"/>
  <c r="D54" i="28"/>
  <c r="E54" i="28" s="1"/>
  <c r="G54" i="28" s="1"/>
  <c r="D58" i="28"/>
  <c r="E58" i="28" s="1"/>
  <c r="G58" i="28" s="1"/>
  <c r="D61" i="28"/>
  <c r="E61" i="28" s="1"/>
  <c r="F61" i="28" s="1"/>
  <c r="D61" i="16"/>
  <c r="E61" i="16" s="1"/>
  <c r="G61" i="16" s="1"/>
  <c r="D57" i="16"/>
  <c r="E57" i="16" s="1"/>
  <c r="F57" i="16" s="1"/>
  <c r="G51" i="16"/>
  <c r="K7" i="16" s="1"/>
  <c r="L12" i="17" s="1"/>
  <c r="C9" i="11"/>
  <c r="G47" i="16"/>
  <c r="F47" i="16"/>
  <c r="C14" i="17"/>
  <c r="H13" i="17"/>
  <c r="A67" i="27"/>
  <c r="B66" i="27"/>
  <c r="I32" i="16"/>
  <c r="F50" i="17"/>
  <c r="G50" i="17"/>
  <c r="G51" i="17"/>
  <c r="K12" i="17" s="1"/>
  <c r="F51" i="17"/>
  <c r="G42" i="17"/>
  <c r="F42" i="17"/>
  <c r="G47" i="17"/>
  <c r="F47" i="17"/>
  <c r="G50" i="16"/>
  <c r="F50" i="16"/>
  <c r="C14" i="28"/>
  <c r="H13" i="28"/>
  <c r="F48" i="28"/>
  <c r="G48" i="28"/>
  <c r="G50" i="28"/>
  <c r="F50" i="28"/>
  <c r="D58" i="27" a="1"/>
  <c r="D58" i="27" s="1"/>
  <c r="E58" i="27" s="1"/>
  <c r="D56" i="27" a="1"/>
  <c r="D56" i="27" s="1"/>
  <c r="E56" i="27" s="1"/>
  <c r="D57" i="27" a="1"/>
  <c r="D57" i="27" s="1"/>
  <c r="E57" i="27" s="1"/>
  <c r="D54" i="27" a="1"/>
  <c r="D54" i="27" s="1"/>
  <c r="E54" i="27" s="1"/>
  <c r="F49" i="27"/>
  <c r="G49" i="27"/>
  <c r="I34" i="16"/>
  <c r="F43" i="16"/>
  <c r="G43" i="16"/>
  <c r="I33" i="16"/>
  <c r="I41" i="16"/>
  <c r="K6" i="16"/>
  <c r="L11" i="17" s="1"/>
  <c r="B71" i="9"/>
  <c r="C71" i="9" s="1"/>
  <c r="A65" i="26"/>
  <c r="B65" i="26" s="1"/>
  <c r="D64" i="26"/>
  <c r="B10" i="11"/>
  <c r="I36" i="16"/>
  <c r="F49" i="17"/>
  <c r="G49" i="17"/>
  <c r="F44" i="17"/>
  <c r="G44" i="17"/>
  <c r="F46" i="17"/>
  <c r="G46" i="17"/>
  <c r="F51" i="28"/>
  <c r="G51" i="28"/>
  <c r="F47" i="28"/>
  <c r="G47" i="28"/>
  <c r="F44" i="28"/>
  <c r="G44" i="28"/>
  <c r="F45" i="28"/>
  <c r="G45" i="28"/>
  <c r="C14" i="27"/>
  <c r="H13" i="27"/>
  <c r="F46" i="27"/>
  <c r="G46" i="27"/>
  <c r="G50" i="27"/>
  <c r="F50" i="27"/>
  <c r="F44" i="27"/>
  <c r="G44" i="27"/>
  <c r="D53" i="27" a="1"/>
  <c r="D53" i="27" s="1"/>
  <c r="E53" i="27" s="1"/>
  <c r="G48" i="27"/>
  <c r="F48" i="27"/>
  <c r="D55" i="16" a="1"/>
  <c r="D55" i="16" s="1"/>
  <c r="E55" i="16" s="1"/>
  <c r="C14" i="16"/>
  <c r="H13" i="16"/>
  <c r="I35" i="16"/>
  <c r="F44" i="16"/>
  <c r="G44" i="16"/>
  <c r="G55" i="17"/>
  <c r="F55" i="17"/>
  <c r="F48" i="17"/>
  <c r="G48" i="17"/>
  <c r="F52" i="28"/>
  <c r="F49" i="28"/>
  <c r="G49" i="28"/>
  <c r="F42" i="28"/>
  <c r="G42" i="28"/>
  <c r="I38" i="16"/>
  <c r="D59" i="16" a="1"/>
  <c r="D59" i="16" s="1"/>
  <c r="E59" i="16" s="1"/>
  <c r="D59" i="27" a="1"/>
  <c r="D59" i="27" s="1"/>
  <c r="E59" i="27" s="1"/>
  <c r="G42" i="27"/>
  <c r="F42" i="27"/>
  <c r="D61" i="27" a="1"/>
  <c r="D61" i="27" s="1"/>
  <c r="E61" i="27" s="1"/>
  <c r="D55" i="27" a="1"/>
  <c r="D55" i="27" s="1"/>
  <c r="E55" i="27" s="1"/>
  <c r="D52" i="27" a="1"/>
  <c r="D52" i="27" s="1"/>
  <c r="E52" i="27" s="1"/>
  <c r="I40" i="16"/>
  <c r="F45" i="16"/>
  <c r="G45" i="16"/>
  <c r="G45" i="17"/>
  <c r="F45" i="17"/>
  <c r="F43" i="17"/>
  <c r="G43" i="17"/>
  <c r="G48" i="16"/>
  <c r="F48" i="16"/>
  <c r="G43" i="28"/>
  <c r="F43" i="28"/>
  <c r="G46" i="28"/>
  <c r="F46" i="28"/>
  <c r="E15" i="9"/>
  <c r="F15" i="9" s="1"/>
  <c r="C63" i="26"/>
  <c r="C64" i="26" s="1"/>
  <c r="G46" i="16"/>
  <c r="F46" i="16"/>
  <c r="D60" i="27" a="1"/>
  <c r="D60" i="27" s="1"/>
  <c r="E60" i="27" s="1"/>
  <c r="G47" i="27"/>
  <c r="F47" i="27"/>
  <c r="G45" i="27"/>
  <c r="F45" i="27"/>
  <c r="F43" i="27"/>
  <c r="G43" i="27"/>
  <c r="G51" i="27"/>
  <c r="F51" i="27"/>
  <c r="G42" i="16"/>
  <c r="F42" i="16"/>
  <c r="A68" i="16"/>
  <c r="F49" i="16"/>
  <c r="G49" i="16"/>
  <c r="D9" i="11"/>
  <c r="F9" i="11"/>
  <c r="B62" i="17"/>
  <c r="B64" i="17"/>
  <c r="B63" i="28"/>
  <c r="B61" i="17"/>
  <c r="B65" i="28"/>
  <c r="B66" i="28"/>
  <c r="E9" i="11"/>
  <c r="B63" i="17"/>
  <c r="B64" i="28"/>
  <c r="B57" i="17"/>
  <c r="B60" i="17"/>
  <c r="B62" i="28"/>
  <c r="B61" i="28"/>
  <c r="B58" i="17"/>
  <c r="G9" i="11"/>
  <c r="B65" i="17"/>
  <c r="B59" i="28"/>
  <c r="B58" i="28"/>
  <c r="B59" i="17"/>
  <c r="B57" i="28"/>
  <c r="B60" i="28"/>
  <c r="B66" i="17"/>
  <c r="B57" i="16"/>
  <c r="B57" i="27"/>
  <c r="B58" i="16"/>
  <c r="B58" i="27"/>
  <c r="B59" i="16"/>
  <c r="B60" i="16"/>
  <c r="B59" i="27"/>
  <c r="B61" i="16"/>
  <c r="B60" i="27"/>
  <c r="B61" i="27"/>
  <c r="B62" i="16"/>
  <c r="B63" i="16"/>
  <c r="B62" i="27"/>
  <c r="B64" i="16"/>
  <c r="B63" i="27"/>
  <c r="B64" i="27"/>
  <c r="B65" i="16"/>
  <c r="D66" i="16" l="1" a="1"/>
  <c r="D64" i="27" a="1"/>
  <c r="D64" i="16" a="1"/>
  <c r="D64" i="16" s="1"/>
  <c r="E64" i="16" s="1"/>
  <c r="F64" i="16" s="1"/>
  <c r="F53" i="17"/>
  <c r="G56" i="28"/>
  <c r="I56" i="28" s="1"/>
  <c r="C10" i="11"/>
  <c r="B67" i="16"/>
  <c r="E16" i="9"/>
  <c r="F16" i="9" s="1"/>
  <c r="G54" i="17"/>
  <c r="I54" i="17" s="1"/>
  <c r="F52" i="17"/>
  <c r="G53" i="28"/>
  <c r="I53" i="28" s="1"/>
  <c r="G58" i="16"/>
  <c r="I58" i="16" s="1"/>
  <c r="F60" i="17"/>
  <c r="G60" i="28"/>
  <c r="I60" i="28" s="1"/>
  <c r="G52" i="16"/>
  <c r="I52" i="16" s="1"/>
  <c r="G59" i="28"/>
  <c r="I59" i="28" s="1"/>
  <c r="I51" i="16"/>
  <c r="F59" i="17"/>
  <c r="F56" i="17"/>
  <c r="F53" i="16"/>
  <c r="F57" i="17"/>
  <c r="F54" i="16"/>
  <c r="G57" i="28"/>
  <c r="I57" i="28" s="1"/>
  <c r="G58" i="17"/>
  <c r="I58" i="17" s="1"/>
  <c r="G60" i="16"/>
  <c r="I60" i="16" s="1"/>
  <c r="F61" i="17"/>
  <c r="G56" i="16"/>
  <c r="I56" i="16" s="1"/>
  <c r="F58" i="28"/>
  <c r="B64" i="35"/>
  <c r="A65" i="35"/>
  <c r="B64" i="34"/>
  <c r="A65" i="34"/>
  <c r="B64" i="36"/>
  <c r="A65" i="36"/>
  <c r="B64" i="33"/>
  <c r="A65" i="33"/>
  <c r="F54" i="28"/>
  <c r="G61" i="28"/>
  <c r="I61" i="28" s="1"/>
  <c r="G55" i="28"/>
  <c r="I55" i="28" s="1"/>
  <c r="G57" i="16"/>
  <c r="I57" i="16" s="1"/>
  <c r="F61" i="16"/>
  <c r="D66" i="16"/>
  <c r="E66" i="16" s="1"/>
  <c r="G66" i="16" s="1"/>
  <c r="D64" i="27"/>
  <c r="E64" i="27" s="1"/>
  <c r="F64" i="27" s="1"/>
  <c r="D62" i="27" a="1"/>
  <c r="D62" i="27" s="1"/>
  <c r="E62" i="27" s="1"/>
  <c r="D65" i="27" a="1"/>
  <c r="D65" i="27" s="1"/>
  <c r="E65" i="27" s="1"/>
  <c r="D67" i="28" a="1"/>
  <c r="D67" i="28" s="1"/>
  <c r="E67" i="28" s="1"/>
  <c r="D70" i="28" a="1"/>
  <c r="D70" i="28" s="1"/>
  <c r="E70" i="28" s="1"/>
  <c r="D64" i="28" a="1"/>
  <c r="D64" i="28" s="1"/>
  <c r="E64" i="28" s="1"/>
  <c r="D66" i="28" a="1"/>
  <c r="D66" i="28" s="1"/>
  <c r="E66" i="28" s="1"/>
  <c r="D65" i="28" a="1"/>
  <c r="D65" i="28" s="1"/>
  <c r="E65" i="28" s="1"/>
  <c r="D63" i="28" a="1"/>
  <c r="D63" i="28" s="1"/>
  <c r="E63" i="28" s="1"/>
  <c r="D69" i="28" a="1"/>
  <c r="D69" i="28" s="1"/>
  <c r="E69" i="28" s="1"/>
  <c r="D62" i="28" a="1"/>
  <c r="D62" i="28" s="1"/>
  <c r="E62" i="28" s="1"/>
  <c r="D71" i="28" a="1"/>
  <c r="D71" i="28" s="1"/>
  <c r="E71" i="28" s="1"/>
  <c r="D67" i="16" a="1"/>
  <c r="D67" i="16" s="1"/>
  <c r="E67" i="16" s="1"/>
  <c r="I42" i="16"/>
  <c r="I47" i="27"/>
  <c r="I43" i="17"/>
  <c r="D63" i="27" a="1"/>
  <c r="D63" i="27" s="1"/>
  <c r="E63" i="27" s="1"/>
  <c r="I42" i="27"/>
  <c r="I49" i="28"/>
  <c r="I58" i="28"/>
  <c r="I48" i="17"/>
  <c r="C15" i="16"/>
  <c r="H14" i="16"/>
  <c r="G53" i="27"/>
  <c r="F53" i="27"/>
  <c r="I50" i="27"/>
  <c r="C15" i="27"/>
  <c r="H14" i="27"/>
  <c r="I43" i="16"/>
  <c r="I49" i="27"/>
  <c r="F56" i="27"/>
  <c r="G56" i="27"/>
  <c r="I50" i="17"/>
  <c r="D66" i="27" a="1"/>
  <c r="D66" i="27" s="1"/>
  <c r="E66" i="27" s="1"/>
  <c r="I47" i="16"/>
  <c r="I52" i="28"/>
  <c r="I52" i="17"/>
  <c r="I55" i="17"/>
  <c r="F55" i="16"/>
  <c r="G55" i="16"/>
  <c r="I44" i="27"/>
  <c r="I46" i="27"/>
  <c r="I44" i="28"/>
  <c r="K7" i="28"/>
  <c r="M12" i="17" s="1"/>
  <c r="I51" i="28"/>
  <c r="I46" i="17"/>
  <c r="B72" i="9"/>
  <c r="C72" i="9" s="1"/>
  <c r="A66" i="26"/>
  <c r="B66" i="26" s="1"/>
  <c r="D65" i="26"/>
  <c r="B11" i="11"/>
  <c r="F58" i="27"/>
  <c r="G58" i="27"/>
  <c r="C15" i="28"/>
  <c r="H14" i="28"/>
  <c r="I47" i="17"/>
  <c r="I61" i="17"/>
  <c r="I43" i="28"/>
  <c r="F55" i="27"/>
  <c r="G55" i="27"/>
  <c r="G61" i="27"/>
  <c r="F61" i="27"/>
  <c r="F59" i="16"/>
  <c r="G59" i="16"/>
  <c r="I57" i="17"/>
  <c r="I44" i="16"/>
  <c r="I54" i="16"/>
  <c r="I60" i="17"/>
  <c r="G54" i="27"/>
  <c r="F54" i="27"/>
  <c r="I48" i="28"/>
  <c r="B67" i="27"/>
  <c r="A68" i="27"/>
  <c r="D67" i="27" a="1"/>
  <c r="D67" i="27" s="1"/>
  <c r="E67" i="27" s="1"/>
  <c r="C15" i="17"/>
  <c r="H14" i="17"/>
  <c r="D62" i="16" a="1"/>
  <c r="D62" i="16" s="1"/>
  <c r="E62" i="16" s="1"/>
  <c r="D65" i="16" a="1"/>
  <c r="D65" i="16" s="1"/>
  <c r="E65" i="16" s="1"/>
  <c r="B68" i="16"/>
  <c r="A69" i="16"/>
  <c r="D68" i="16" a="1"/>
  <c r="D68" i="16" s="1"/>
  <c r="E68" i="16" s="1"/>
  <c r="F60" i="27"/>
  <c r="G60" i="27"/>
  <c r="D15" i="9"/>
  <c r="I46" i="28"/>
  <c r="F59" i="27"/>
  <c r="G59" i="27"/>
  <c r="I42" i="28"/>
  <c r="D65" i="17" a="1"/>
  <c r="D65" i="17" s="1"/>
  <c r="E65" i="17" s="1"/>
  <c r="D63" i="17" a="1"/>
  <c r="D63" i="17" s="1"/>
  <c r="E63" i="17" s="1"/>
  <c r="D68" i="17" a="1"/>
  <c r="D68" i="17" s="1"/>
  <c r="E68" i="17" s="1"/>
  <c r="D66" i="17" a="1"/>
  <c r="D66" i="17" s="1"/>
  <c r="E66" i="17" s="1"/>
  <c r="D70" i="17" a="1"/>
  <c r="D70" i="17" s="1"/>
  <c r="E70" i="17" s="1"/>
  <c r="D62" i="17" a="1"/>
  <c r="D62" i="17" s="1"/>
  <c r="E62" i="17" s="1"/>
  <c r="D69" i="17" a="1"/>
  <c r="D69" i="17" s="1"/>
  <c r="E69" i="17" s="1"/>
  <c r="D64" i="17" a="1"/>
  <c r="D64" i="17" s="1"/>
  <c r="E64" i="17" s="1"/>
  <c r="D71" i="17" a="1"/>
  <c r="D71" i="17" s="1"/>
  <c r="E71" i="17" s="1"/>
  <c r="D67" i="17" a="1"/>
  <c r="D67" i="17" s="1"/>
  <c r="E67" i="17" s="1"/>
  <c r="I49" i="16"/>
  <c r="I51" i="27"/>
  <c r="K7" i="27"/>
  <c r="N12" i="17" s="1"/>
  <c r="I45" i="27"/>
  <c r="D63" i="16" a="1"/>
  <c r="D63" i="16" s="1"/>
  <c r="E63" i="16" s="1"/>
  <c r="I43" i="27"/>
  <c r="I46" i="16"/>
  <c r="I48" i="16"/>
  <c r="I45" i="17"/>
  <c r="I45" i="16"/>
  <c r="F52" i="27"/>
  <c r="G52" i="27"/>
  <c r="D68" i="28" a="1"/>
  <c r="D68" i="28" s="1"/>
  <c r="E68" i="28" s="1"/>
  <c r="I53" i="16"/>
  <c r="I59" i="17"/>
  <c r="I53" i="17"/>
  <c r="I48" i="27"/>
  <c r="I45" i="28"/>
  <c r="I47" i="28"/>
  <c r="I44" i="17"/>
  <c r="I56" i="17"/>
  <c r="I49" i="17"/>
  <c r="F10" i="11"/>
  <c r="B67" i="17"/>
  <c r="B71" i="28"/>
  <c r="B67" i="28"/>
  <c r="B74" i="17"/>
  <c r="E10" i="11"/>
  <c r="B68" i="17"/>
  <c r="B72" i="17"/>
  <c r="B69" i="28"/>
  <c r="B68" i="28"/>
  <c r="B76" i="17"/>
  <c r="B75" i="28"/>
  <c r="B74" i="28"/>
  <c r="G10" i="11"/>
  <c r="B73" i="17"/>
  <c r="B73" i="28"/>
  <c r="B69" i="17"/>
  <c r="B70" i="28"/>
  <c r="B72" i="28"/>
  <c r="D10" i="11"/>
  <c r="B71" i="17"/>
  <c r="B75" i="17"/>
  <c r="B70" i="17"/>
  <c r="B76" i="28"/>
  <c r="F57" i="27"/>
  <c r="G57" i="27"/>
  <c r="I54" i="28"/>
  <c r="I50" i="28"/>
  <c r="I50" i="16"/>
  <c r="I42" i="17"/>
  <c r="I51" i="17"/>
  <c r="I61" i="16"/>
  <c r="K8" i="16"/>
  <c r="L13" i="17" s="1"/>
  <c r="C11" i="11" l="1"/>
  <c r="D16" i="9"/>
  <c r="K8" i="28"/>
  <c r="M13" i="17" s="1"/>
  <c r="G64" i="16"/>
  <c r="I64" i="16" s="1"/>
  <c r="B65" i="36"/>
  <c r="A66" i="36"/>
  <c r="B65" i="33"/>
  <c r="A66" i="33"/>
  <c r="B65" i="35"/>
  <c r="A66" i="35"/>
  <c r="B65" i="34"/>
  <c r="A66" i="34"/>
  <c r="F8" i="31"/>
  <c r="F9" i="31"/>
  <c r="F66" i="16"/>
  <c r="G64" i="27"/>
  <c r="I64" i="27" s="1"/>
  <c r="C65" i="26"/>
  <c r="C66" i="26" s="1"/>
  <c r="I57" i="27"/>
  <c r="G62" i="17"/>
  <c r="F62" i="17"/>
  <c r="D80" i="17" a="1"/>
  <c r="D80" i="17" s="1"/>
  <c r="E80" i="17" s="1"/>
  <c r="F66" i="17"/>
  <c r="G66" i="17"/>
  <c r="F68" i="17"/>
  <c r="G68" i="17"/>
  <c r="D72" i="17" a="1"/>
  <c r="D72" i="17" s="1"/>
  <c r="E72" i="17" s="1"/>
  <c r="A70" i="16"/>
  <c r="B69" i="16"/>
  <c r="D69" i="16" a="1"/>
  <c r="D69" i="16" s="1"/>
  <c r="E69" i="16" s="1"/>
  <c r="I58" i="27"/>
  <c r="B73" i="9"/>
  <c r="C73" i="9" s="1"/>
  <c r="A67" i="26"/>
  <c r="B67" i="26" s="1"/>
  <c r="D66" i="26"/>
  <c r="B12" i="11"/>
  <c r="C16" i="16"/>
  <c r="H15" i="16"/>
  <c r="D75" i="28" a="1"/>
  <c r="D75" i="28" s="1"/>
  <c r="E75" i="28" s="1"/>
  <c r="F62" i="28"/>
  <c r="G62" i="28"/>
  <c r="G69" i="28"/>
  <c r="F69" i="28"/>
  <c r="D72" i="28" a="1"/>
  <c r="D72" i="28" s="1"/>
  <c r="E72" i="28" s="1"/>
  <c r="D78" i="28" a="1"/>
  <c r="D78" i="28" s="1"/>
  <c r="E78" i="28" s="1"/>
  <c r="D81" i="28" a="1"/>
  <c r="D81" i="28" s="1"/>
  <c r="E81" i="28" s="1"/>
  <c r="D74" i="28" a="1"/>
  <c r="D74" i="28" s="1"/>
  <c r="E74" i="28" s="1"/>
  <c r="D73" i="28" a="1"/>
  <c r="D73" i="28" s="1"/>
  <c r="E73" i="28" s="1"/>
  <c r="G65" i="27"/>
  <c r="F65" i="27"/>
  <c r="F63" i="16"/>
  <c r="G63" i="16"/>
  <c r="I52" i="27"/>
  <c r="E17" i="9"/>
  <c r="F17" i="9" s="1"/>
  <c r="D74" i="17" a="1"/>
  <c r="D74" i="17" s="1"/>
  <c r="E74" i="17" s="1"/>
  <c r="G70" i="17"/>
  <c r="F70" i="17"/>
  <c r="D75" i="17" a="1"/>
  <c r="D75" i="17" s="1"/>
  <c r="E75" i="17" s="1"/>
  <c r="D73" i="17" a="1"/>
  <c r="D73" i="17" s="1"/>
  <c r="E73" i="17" s="1"/>
  <c r="D76" i="17" a="1"/>
  <c r="D76" i="17" s="1"/>
  <c r="E76" i="17" s="1"/>
  <c r="D77" i="17" a="1"/>
  <c r="D77" i="17" s="1"/>
  <c r="E77" i="17" s="1"/>
  <c r="I60" i="27"/>
  <c r="C16" i="17"/>
  <c r="H15" i="17"/>
  <c r="K8" i="27"/>
  <c r="N13" i="17" s="1"/>
  <c r="E18" i="9" s="1"/>
  <c r="F18" i="9" s="1"/>
  <c r="I61" i="27"/>
  <c r="C16" i="28"/>
  <c r="H15" i="28"/>
  <c r="I56" i="27"/>
  <c r="G65" i="28"/>
  <c r="F65" i="28"/>
  <c r="D80" i="28" a="1"/>
  <c r="D80" i="28" s="1"/>
  <c r="E80" i="28" s="1"/>
  <c r="D77" i="28" a="1"/>
  <c r="D77" i="28" s="1"/>
  <c r="E77" i="28" s="1"/>
  <c r="F70" i="28"/>
  <c r="G70" i="28"/>
  <c r="G62" i="27"/>
  <c r="F62" i="27"/>
  <c r="G71" i="17"/>
  <c r="K14" i="17" s="1"/>
  <c r="F71" i="17"/>
  <c r="F64" i="17"/>
  <c r="G64" i="17"/>
  <c r="F69" i="17"/>
  <c r="G69" i="17"/>
  <c r="D81" i="17" a="1"/>
  <c r="D81" i="17" s="1"/>
  <c r="E81" i="17" s="1"/>
  <c r="I59" i="27"/>
  <c r="F65" i="16"/>
  <c r="G65" i="16"/>
  <c r="G67" i="27"/>
  <c r="F67" i="27"/>
  <c r="I54" i="27"/>
  <c r="I59" i="16"/>
  <c r="I55" i="27"/>
  <c r="D11" i="11"/>
  <c r="B79" i="17"/>
  <c r="D84" i="17" s="1" a="1"/>
  <c r="B86" i="28"/>
  <c r="B77" i="17"/>
  <c r="D82" i="17" s="1" a="1"/>
  <c r="D82" i="17" s="1"/>
  <c r="E82" i="17" s="1"/>
  <c r="B85" i="17"/>
  <c r="B82" i="28"/>
  <c r="F11" i="11"/>
  <c r="B80" i="17"/>
  <c r="B82" i="17"/>
  <c r="B83" i="28"/>
  <c r="D88" i="28" s="1" a="1"/>
  <c r="B84" i="17"/>
  <c r="B78" i="28"/>
  <c r="B77" i="28"/>
  <c r="E11" i="11"/>
  <c r="B81" i="17"/>
  <c r="B80" i="28"/>
  <c r="B79" i="28"/>
  <c r="D90" i="28" s="1" a="1"/>
  <c r="B78" i="17"/>
  <c r="D83" i="17" s="1" a="1"/>
  <c r="B85" i="28"/>
  <c r="B83" i="17"/>
  <c r="B81" i="28"/>
  <c r="B86" i="17"/>
  <c r="G11" i="11"/>
  <c r="B84" i="28"/>
  <c r="C16" i="27"/>
  <c r="H15" i="27"/>
  <c r="I53" i="27"/>
  <c r="F63" i="27"/>
  <c r="G63" i="27"/>
  <c r="D82" i="28" a="1"/>
  <c r="F63" i="28"/>
  <c r="G63" i="28"/>
  <c r="D83" i="28" a="1"/>
  <c r="F64" i="28"/>
  <c r="G64" i="28"/>
  <c r="D79" i="28" a="1"/>
  <c r="D79" i="28" s="1"/>
  <c r="E79" i="28" s="1"/>
  <c r="F67" i="28"/>
  <c r="G67" i="28"/>
  <c r="I66" i="16"/>
  <c r="F68" i="28"/>
  <c r="G68" i="28"/>
  <c r="F67" i="17"/>
  <c r="G67" i="17"/>
  <c r="D79" i="17" a="1"/>
  <c r="D79" i="17" s="1"/>
  <c r="E79" i="17" s="1"/>
  <c r="D78" i="17" a="1"/>
  <c r="D78" i="17" s="1"/>
  <c r="E78" i="17" s="1"/>
  <c r="F63" i="17"/>
  <c r="G63" i="17"/>
  <c r="F65" i="17"/>
  <c r="G65" i="17"/>
  <c r="G68" i="16"/>
  <c r="F68" i="16"/>
  <c r="F62" i="16"/>
  <c r="G62" i="16"/>
  <c r="A69" i="27"/>
  <c r="B68" i="27"/>
  <c r="D68" i="27" a="1"/>
  <c r="D68" i="27" s="1"/>
  <c r="E68" i="27" s="1"/>
  <c r="I55" i="16"/>
  <c r="F66" i="27"/>
  <c r="G66" i="27"/>
  <c r="F67" i="16"/>
  <c r="G67" i="16"/>
  <c r="G71" i="28"/>
  <c r="F71" i="28"/>
  <c r="G66" i="28"/>
  <c r="F66" i="28"/>
  <c r="D76" i="28" a="1"/>
  <c r="D76" i="28" s="1"/>
  <c r="E76" i="28" s="1"/>
  <c r="D89" i="28" l="1" a="1"/>
  <c r="D85" i="17" a="1"/>
  <c r="D91" i="28" a="1"/>
  <c r="D85" i="28" a="1"/>
  <c r="D86" i="17" a="1"/>
  <c r="D86" i="17" s="1"/>
  <c r="E86" i="17" s="1"/>
  <c r="G86" i="17" s="1"/>
  <c r="D87" i="17" a="1"/>
  <c r="D90" i="17" a="1"/>
  <c r="D91" i="17" a="1"/>
  <c r="D91" i="17" s="1"/>
  <c r="E91" i="17" s="1"/>
  <c r="G91" i="17" s="1"/>
  <c r="K16" i="17" s="1"/>
  <c r="D87" i="28" a="1"/>
  <c r="D84" i="28" a="1"/>
  <c r="D86" i="28" a="1"/>
  <c r="D88" i="17" a="1"/>
  <c r="D89" i="17" a="1"/>
  <c r="D85" i="17"/>
  <c r="E85" i="17" s="1"/>
  <c r="G85" i="17" s="1"/>
  <c r="B66" i="34"/>
  <c r="A67" i="34"/>
  <c r="B66" i="33"/>
  <c r="A67" i="33"/>
  <c r="B66" i="35"/>
  <c r="A67" i="35"/>
  <c r="B66" i="36"/>
  <c r="A67" i="36"/>
  <c r="D88" i="17"/>
  <c r="E88" i="17" s="1"/>
  <c r="F88" i="17" s="1"/>
  <c r="D85" i="28"/>
  <c r="E85" i="28" s="1"/>
  <c r="G85" i="28" s="1"/>
  <c r="D89" i="28"/>
  <c r="E89" i="28" s="1"/>
  <c r="G89" i="28" s="1"/>
  <c r="D90" i="28"/>
  <c r="E90" i="28" s="1"/>
  <c r="F90" i="28" s="1"/>
  <c r="D82" i="28"/>
  <c r="E82" i="28" s="1"/>
  <c r="G82" i="28" s="1"/>
  <c r="D87" i="28"/>
  <c r="E87" i="28" s="1"/>
  <c r="F87" i="28" s="1"/>
  <c r="D84" i="28"/>
  <c r="E84" i="28" s="1"/>
  <c r="G84" i="28" s="1"/>
  <c r="D91" i="28"/>
  <c r="E91" i="28" s="1"/>
  <c r="F91" i="28" s="1"/>
  <c r="D86" i="28"/>
  <c r="E86" i="28" s="1"/>
  <c r="G86" i="28" s="1"/>
  <c r="D87" i="17"/>
  <c r="E87" i="17" s="1"/>
  <c r="G87" i="17" s="1"/>
  <c r="D90" i="17"/>
  <c r="E90" i="17" s="1"/>
  <c r="G90" i="17" s="1"/>
  <c r="D89" i="17"/>
  <c r="E89" i="17" s="1"/>
  <c r="G89" i="17" s="1"/>
  <c r="D83" i="28"/>
  <c r="E83" i="28" s="1"/>
  <c r="G83" i="28" s="1"/>
  <c r="D83" i="17"/>
  <c r="E83" i="17" s="1"/>
  <c r="G83" i="17" s="1"/>
  <c r="D88" i="28"/>
  <c r="E88" i="28" s="1"/>
  <c r="G88" i="28" s="1"/>
  <c r="D84" i="17"/>
  <c r="E84" i="17" s="1"/>
  <c r="G84" i="17" s="1"/>
  <c r="F89" i="28"/>
  <c r="F85" i="17"/>
  <c r="F82" i="17"/>
  <c r="G82" i="17"/>
  <c r="I71" i="28"/>
  <c r="K9" i="28"/>
  <c r="M14" i="17" s="1"/>
  <c r="A70" i="27"/>
  <c r="B69" i="27"/>
  <c r="D69" i="27" a="1"/>
  <c r="D69" i="27" s="1"/>
  <c r="E69" i="27" s="1"/>
  <c r="I68" i="16"/>
  <c r="I63" i="28"/>
  <c r="I65" i="16"/>
  <c r="F80" i="28"/>
  <c r="G80" i="28"/>
  <c r="I65" i="28"/>
  <c r="F77" i="17"/>
  <c r="G77" i="17"/>
  <c r="G76" i="17"/>
  <c r="F76" i="17"/>
  <c r="F73" i="17"/>
  <c r="G73" i="17"/>
  <c r="F73" i="28"/>
  <c r="G73" i="28"/>
  <c r="F81" i="28"/>
  <c r="G81" i="28"/>
  <c r="F78" i="28"/>
  <c r="G78" i="28"/>
  <c r="F72" i="28"/>
  <c r="G72" i="28"/>
  <c r="I69" i="28"/>
  <c r="C17" i="16"/>
  <c r="H16" i="16"/>
  <c r="F80" i="17"/>
  <c r="G80" i="17"/>
  <c r="I66" i="27"/>
  <c r="D18" i="9"/>
  <c r="I62" i="16"/>
  <c r="F78" i="17"/>
  <c r="G78" i="17"/>
  <c r="I67" i="28"/>
  <c r="I69" i="17"/>
  <c r="I64" i="17"/>
  <c r="C17" i="28"/>
  <c r="H16" i="28"/>
  <c r="G74" i="17"/>
  <c r="F74" i="17"/>
  <c r="I65" i="27"/>
  <c r="G12" i="11"/>
  <c r="B93" i="28"/>
  <c r="B90" i="28"/>
  <c r="B91" i="17"/>
  <c r="B87" i="28"/>
  <c r="D92" i="28" s="1" a="1"/>
  <c r="D92" i="28" s="1"/>
  <c r="E92" i="28" s="1"/>
  <c r="B96" i="28"/>
  <c r="E12" i="11"/>
  <c r="B94" i="17"/>
  <c r="B93" i="17"/>
  <c r="B89" i="28"/>
  <c r="B89" i="17"/>
  <c r="B92" i="28"/>
  <c r="B94" i="28"/>
  <c r="F12" i="11"/>
  <c r="B87" i="17"/>
  <c r="D92" i="17" s="1" a="1"/>
  <c r="D92" i="17" s="1"/>
  <c r="E92" i="17" s="1"/>
  <c r="B96" i="17"/>
  <c r="B91" i="28"/>
  <c r="B92" i="17"/>
  <c r="B88" i="28"/>
  <c r="B95" i="28"/>
  <c r="B88" i="17"/>
  <c r="D93" i="17" s="1" a="1"/>
  <c r="D12" i="11"/>
  <c r="B95" i="17"/>
  <c r="B90" i="17"/>
  <c r="F69" i="16"/>
  <c r="G69" i="16"/>
  <c r="F76" i="28"/>
  <c r="G76" i="28"/>
  <c r="I66" i="28"/>
  <c r="G68" i="27"/>
  <c r="F68" i="27"/>
  <c r="I63" i="17"/>
  <c r="I68" i="28"/>
  <c r="I63" i="27"/>
  <c r="I71" i="17"/>
  <c r="I62" i="27"/>
  <c r="I70" i="28"/>
  <c r="C17" i="17"/>
  <c r="H16" i="17"/>
  <c r="I70" i="17"/>
  <c r="D17" i="9"/>
  <c r="I63" i="16"/>
  <c r="F72" i="17"/>
  <c r="G72" i="17"/>
  <c r="I68" i="17"/>
  <c r="C12" i="11"/>
  <c r="I67" i="16"/>
  <c r="I65" i="17"/>
  <c r="G79" i="17"/>
  <c r="F79" i="17"/>
  <c r="I67" i="17"/>
  <c r="F79" i="28"/>
  <c r="G79" i="28"/>
  <c r="I64" i="28"/>
  <c r="C17" i="27"/>
  <c r="H16" i="27"/>
  <c r="I67" i="27"/>
  <c r="G81" i="17"/>
  <c r="K15" i="17" s="1"/>
  <c r="F81" i="17"/>
  <c r="F77" i="28"/>
  <c r="G77" i="28"/>
  <c r="F75" i="17"/>
  <c r="G75" i="17"/>
  <c r="G74" i="28"/>
  <c r="F74" i="28"/>
  <c r="I62" i="28"/>
  <c r="G75" i="28"/>
  <c r="F75" i="28"/>
  <c r="B74" i="9"/>
  <c r="C74" i="9" s="1"/>
  <c r="A68" i="26"/>
  <c r="B68" i="26" s="1"/>
  <c r="B13" i="11"/>
  <c r="D67" i="26"/>
  <c r="B70" i="16"/>
  <c r="A71" i="16"/>
  <c r="D70" i="16" a="1"/>
  <c r="D70" i="16" s="1"/>
  <c r="E70" i="16" s="1"/>
  <c r="I66" i="17"/>
  <c r="I62" i="17"/>
  <c r="D100" i="28" l="1" a="1"/>
  <c r="D93" i="28" a="1"/>
  <c r="D96" i="28" a="1"/>
  <c r="D95" i="17" a="1"/>
  <c r="D94" i="28" a="1"/>
  <c r="D94" i="28" s="1"/>
  <c r="E94" i="28" s="1"/>
  <c r="G94" i="28" s="1"/>
  <c r="G90" i="28"/>
  <c r="G88" i="17"/>
  <c r="F86" i="28"/>
  <c r="F90" i="17"/>
  <c r="F85" i="28"/>
  <c r="G87" i="28"/>
  <c r="B67" i="36"/>
  <c r="A68" i="36"/>
  <c r="B67" i="35"/>
  <c r="A68" i="35"/>
  <c r="B67" i="34"/>
  <c r="A68" i="34"/>
  <c r="B67" i="33"/>
  <c r="A68" i="33"/>
  <c r="F87" i="17"/>
  <c r="F11" i="31"/>
  <c r="F10" i="31"/>
  <c r="D93" i="17"/>
  <c r="E93" i="17" s="1"/>
  <c r="F93" i="17" s="1"/>
  <c r="F89" i="17"/>
  <c r="F82" i="28"/>
  <c r="F84" i="17"/>
  <c r="G91" i="28"/>
  <c r="K11" i="28" s="1"/>
  <c r="M16" i="17" s="1"/>
  <c r="F86" i="17"/>
  <c r="F83" i="28"/>
  <c r="F91" i="17"/>
  <c r="F84" i="28"/>
  <c r="D96" i="28"/>
  <c r="E96" i="28" s="1"/>
  <c r="G96" i="28" s="1"/>
  <c r="D93" i="28"/>
  <c r="E93" i="28" s="1"/>
  <c r="G93" i="28" s="1"/>
  <c r="F83" i="17"/>
  <c r="F88" i="28"/>
  <c r="D95" i="17"/>
  <c r="E95" i="17" s="1"/>
  <c r="F95" i="17" s="1"/>
  <c r="D100" i="28"/>
  <c r="E100" i="28" s="1"/>
  <c r="F100" i="28" s="1"/>
  <c r="A72" i="16"/>
  <c r="B71" i="16"/>
  <c r="D71" i="16" a="1"/>
  <c r="D71" i="16" s="1"/>
  <c r="E71" i="16" s="1"/>
  <c r="B75" i="9"/>
  <c r="C75" i="9" s="1"/>
  <c r="A69" i="26"/>
  <c r="B69" i="26" s="1"/>
  <c r="D68" i="26"/>
  <c r="B14" i="11"/>
  <c r="I75" i="17"/>
  <c r="I87" i="28"/>
  <c r="D100" i="17" a="1"/>
  <c r="D100" i="17" s="1"/>
  <c r="E100" i="17" s="1"/>
  <c r="F92" i="17"/>
  <c r="G92" i="17"/>
  <c r="D94" i="17" a="1"/>
  <c r="D94" i="17" s="1"/>
  <c r="E94" i="17" s="1"/>
  <c r="D95" i="28" a="1"/>
  <c r="D95" i="28" s="1"/>
  <c r="E95" i="28" s="1"/>
  <c r="C18" i="28"/>
  <c r="H17" i="28"/>
  <c r="I76" i="17"/>
  <c r="I84" i="28"/>
  <c r="I84" i="17"/>
  <c r="I91" i="17"/>
  <c r="I86" i="17"/>
  <c r="F70" i="16"/>
  <c r="G70" i="16"/>
  <c r="I75" i="28"/>
  <c r="I79" i="17"/>
  <c r="I81" i="17"/>
  <c r="C18" i="27"/>
  <c r="H17" i="27"/>
  <c r="I90" i="17"/>
  <c r="I72" i="17"/>
  <c r="I69" i="16"/>
  <c r="D97" i="17" a="1"/>
  <c r="D97" i="17" s="1"/>
  <c r="E97" i="17" s="1"/>
  <c r="D101" i="28" a="1"/>
  <c r="D101" i="28" s="1"/>
  <c r="E101" i="28" s="1"/>
  <c r="D98" i="28" a="1"/>
  <c r="D98" i="28" s="1"/>
  <c r="E98" i="28" s="1"/>
  <c r="C67" i="26"/>
  <c r="I72" i="28"/>
  <c r="K10" i="28"/>
  <c r="M15" i="17" s="1"/>
  <c r="I81" i="28"/>
  <c r="I73" i="17"/>
  <c r="I77" i="17"/>
  <c r="I80" i="28"/>
  <c r="G69" i="27"/>
  <c r="F69" i="27"/>
  <c r="I82" i="17"/>
  <c r="I85" i="28"/>
  <c r="I77" i="28"/>
  <c r="I83" i="28"/>
  <c r="I79" i="28"/>
  <c r="I90" i="28"/>
  <c r="C13" i="11"/>
  <c r="I68" i="27"/>
  <c r="D99" i="28" a="1"/>
  <c r="D99" i="28" s="1"/>
  <c r="E99" i="28" s="1"/>
  <c r="D98" i="17" a="1"/>
  <c r="D98" i="17" s="1"/>
  <c r="E98" i="17" s="1"/>
  <c r="G92" i="28"/>
  <c r="F92" i="28"/>
  <c r="I74" i="17"/>
  <c r="I82" i="28"/>
  <c r="I78" i="17"/>
  <c r="C18" i="16"/>
  <c r="H17" i="16"/>
  <c r="I87" i="17"/>
  <c r="I83" i="17"/>
  <c r="I88" i="28"/>
  <c r="I89" i="17"/>
  <c r="G13" i="11"/>
  <c r="B97" i="17"/>
  <c r="D102" i="17" s="1" a="1"/>
  <c r="D102" i="17" s="1"/>
  <c r="E102" i="17" s="1"/>
  <c r="B98" i="28"/>
  <c r="B103" i="28"/>
  <c r="F13" i="11"/>
  <c r="B100" i="17"/>
  <c r="B103" i="17"/>
  <c r="B104" i="28"/>
  <c r="B105" i="17"/>
  <c r="B102" i="17"/>
  <c r="B100" i="28"/>
  <c r="E13" i="11"/>
  <c r="B101" i="17"/>
  <c r="B97" i="28"/>
  <c r="D102" i="28" s="1" a="1"/>
  <c r="D102" i="28" s="1"/>
  <c r="E102" i="28" s="1"/>
  <c r="B105" i="28"/>
  <c r="B98" i="17"/>
  <c r="B99" i="17"/>
  <c r="B102" i="28"/>
  <c r="B99" i="28"/>
  <c r="B101" i="28"/>
  <c r="D13" i="11"/>
  <c r="B104" i="17"/>
  <c r="D109" i="17" s="1" a="1"/>
  <c r="B106" i="17"/>
  <c r="B106" i="28"/>
  <c r="I74" i="28"/>
  <c r="C18" i="17"/>
  <c r="H17" i="17"/>
  <c r="I76" i="28"/>
  <c r="D101" i="17" a="1"/>
  <c r="D101" i="17" s="1"/>
  <c r="E101" i="17" s="1"/>
  <c r="D97" i="28" a="1"/>
  <c r="D97" i="28" s="1"/>
  <c r="E97" i="28" s="1"/>
  <c r="D99" i="17" a="1"/>
  <c r="D99" i="17" s="1"/>
  <c r="E99" i="17" s="1"/>
  <c r="D96" i="17" a="1"/>
  <c r="D96" i="17" s="1"/>
  <c r="E96" i="17" s="1"/>
  <c r="I80" i="17"/>
  <c r="I78" i="28"/>
  <c r="I73" i="28"/>
  <c r="A71" i="27"/>
  <c r="B70" i="27"/>
  <c r="D70" i="27" a="1"/>
  <c r="D70" i="27" s="1"/>
  <c r="E70" i="27" s="1"/>
  <c r="I85" i="17"/>
  <c r="I89" i="28"/>
  <c r="I86" i="28"/>
  <c r="I88" i="17"/>
  <c r="D107" i="28" l="1" a="1"/>
  <c r="D104" i="17" a="1"/>
  <c r="D103" i="17" a="1"/>
  <c r="D103" i="17" s="1"/>
  <c r="E103" i="17" s="1"/>
  <c r="F103" i="17" s="1"/>
  <c r="G93" i="17"/>
  <c r="I93" i="17" s="1"/>
  <c r="F96" i="28"/>
  <c r="G100" i="28"/>
  <c r="I100" i="28" s="1"/>
  <c r="D109" i="17"/>
  <c r="E109" i="17" s="1"/>
  <c r="G109" i="17" s="1"/>
  <c r="B68" i="36"/>
  <c r="A69" i="36"/>
  <c r="B68" i="33"/>
  <c r="A69" i="33"/>
  <c r="B68" i="35"/>
  <c r="A69" i="35"/>
  <c r="B68" i="34"/>
  <c r="A69" i="34"/>
  <c r="I91" i="28"/>
  <c r="F93" i="28"/>
  <c r="C14" i="11"/>
  <c r="F94" i="28"/>
  <c r="G95" i="17"/>
  <c r="I95" i="17" s="1"/>
  <c r="D107" i="28"/>
  <c r="E107" i="28" s="1"/>
  <c r="F107" i="28" s="1"/>
  <c r="D104" i="17"/>
  <c r="E104" i="17" s="1"/>
  <c r="F104" i="17" s="1"/>
  <c r="C68" i="26"/>
  <c r="F96" i="17"/>
  <c r="G96" i="17"/>
  <c r="D111" i="28" a="1"/>
  <c r="D111" i="28" s="1"/>
  <c r="E111" i="28" s="1"/>
  <c r="D106" i="28" a="1"/>
  <c r="D106" i="28" s="1"/>
  <c r="E106" i="28" s="1"/>
  <c r="D109" i="28" a="1"/>
  <c r="D109" i="28" s="1"/>
  <c r="E109" i="28" s="1"/>
  <c r="D108" i="28" a="1"/>
  <c r="D108" i="28" s="1"/>
  <c r="E108" i="28" s="1"/>
  <c r="G101" i="28"/>
  <c r="F101" i="28"/>
  <c r="F95" i="28"/>
  <c r="G95" i="28"/>
  <c r="I93" i="28"/>
  <c r="B76" i="9"/>
  <c r="C76" i="9" s="1"/>
  <c r="A70" i="26"/>
  <c r="B70" i="26" s="1"/>
  <c r="D69" i="26"/>
  <c r="B15" i="11"/>
  <c r="A73" i="16"/>
  <c r="B72" i="16"/>
  <c r="D72" i="16" a="1"/>
  <c r="D72" i="16" s="1"/>
  <c r="E72" i="16" s="1"/>
  <c r="G70" i="27"/>
  <c r="F70" i="27"/>
  <c r="F99" i="17"/>
  <c r="G99" i="17"/>
  <c r="C19" i="17"/>
  <c r="H18" i="17"/>
  <c r="D111" i="17" a="1"/>
  <c r="D111" i="17" s="1"/>
  <c r="E111" i="17" s="1"/>
  <c r="D104" i="28" a="1"/>
  <c r="D104" i="28" s="1"/>
  <c r="E104" i="28" s="1"/>
  <c r="D110" i="28" a="1"/>
  <c r="D110" i="28" s="1"/>
  <c r="E110" i="28" s="1"/>
  <c r="D105" i="28" a="1"/>
  <c r="D105" i="28" s="1"/>
  <c r="E105" i="28" s="1"/>
  <c r="D108" i="17" a="1"/>
  <c r="D108" i="17" s="1"/>
  <c r="E108" i="17" s="1"/>
  <c r="D103" i="28" a="1"/>
  <c r="D103" i="28" s="1"/>
  <c r="E103" i="28" s="1"/>
  <c r="C19" i="16"/>
  <c r="H18" i="16"/>
  <c r="I92" i="28"/>
  <c r="I96" i="28"/>
  <c r="C19" i="27"/>
  <c r="H18" i="27"/>
  <c r="I70" i="16"/>
  <c r="F94" i="17"/>
  <c r="G94" i="17"/>
  <c r="F97" i="28"/>
  <c r="G97" i="28"/>
  <c r="F102" i="28"/>
  <c r="G102" i="28"/>
  <c r="D107" i="17" a="1"/>
  <c r="D107" i="17" s="1"/>
  <c r="E107" i="17" s="1"/>
  <c r="D105" i="17" a="1"/>
  <c r="D105" i="17" s="1"/>
  <c r="E105" i="17" s="1"/>
  <c r="F102" i="17"/>
  <c r="G102" i="17"/>
  <c r="G98" i="17"/>
  <c r="F98" i="17"/>
  <c r="I69" i="27"/>
  <c r="C69" i="26"/>
  <c r="I94" i="28"/>
  <c r="I92" i="17"/>
  <c r="F100" i="17"/>
  <c r="G100" i="17"/>
  <c r="F14" i="11"/>
  <c r="B114" i="28"/>
  <c r="B115" i="17"/>
  <c r="E14" i="11"/>
  <c r="B113" i="17"/>
  <c r="B116" i="28"/>
  <c r="B111" i="17"/>
  <c r="B110" i="28"/>
  <c r="B113" i="28"/>
  <c r="D14" i="11"/>
  <c r="B107" i="17"/>
  <c r="D112" i="17" s="1" a="1"/>
  <c r="D112" i="17" s="1"/>
  <c r="E112" i="17" s="1"/>
  <c r="B114" i="17"/>
  <c r="B107" i="28"/>
  <c r="D112" i="28" s="1" a="1"/>
  <c r="D112" i="28" s="1"/>
  <c r="E112" i="28" s="1"/>
  <c r="B110" i="17"/>
  <c r="B116" i="17"/>
  <c r="B109" i="28"/>
  <c r="B111" i="28"/>
  <c r="G14" i="11"/>
  <c r="B115" i="28"/>
  <c r="B108" i="17"/>
  <c r="D113" i="17" s="1" a="1"/>
  <c r="B112" i="17"/>
  <c r="D117" i="17" s="1" a="1"/>
  <c r="B109" i="17"/>
  <c r="B108" i="28"/>
  <c r="B112" i="28"/>
  <c r="G71" i="16"/>
  <c r="F71" i="16"/>
  <c r="A72" i="27"/>
  <c r="B71" i="27"/>
  <c r="D71" i="27" a="1"/>
  <c r="D71" i="27" s="1"/>
  <c r="E71" i="27" s="1"/>
  <c r="F101" i="17"/>
  <c r="G101" i="17"/>
  <c r="K17" i="17" s="1"/>
  <c r="D106" i="17" a="1"/>
  <c r="D106" i="17" s="1"/>
  <c r="E106" i="17" s="1"/>
  <c r="D110" i="17" a="1"/>
  <c r="D110" i="17" s="1"/>
  <c r="E110" i="17" s="1"/>
  <c r="F99" i="28"/>
  <c r="G99" i="28"/>
  <c r="F98" i="28"/>
  <c r="G98" i="28"/>
  <c r="F97" i="17"/>
  <c r="G97" i="17"/>
  <c r="C19" i="28"/>
  <c r="H18" i="28"/>
  <c r="D116" i="28" l="1" a="1"/>
  <c r="D116" i="28" s="1"/>
  <c r="E116" i="28" s="1"/>
  <c r="F116" i="28" s="1"/>
  <c r="F109" i="17"/>
  <c r="G107" i="28"/>
  <c r="I107" i="28" s="1"/>
  <c r="G104" i="17"/>
  <c r="I104" i="17" s="1"/>
  <c r="B69" i="34"/>
  <c r="A70" i="34"/>
  <c r="B69" i="33"/>
  <c r="A70" i="33"/>
  <c r="B69" i="35"/>
  <c r="A70" i="35"/>
  <c r="B69" i="36"/>
  <c r="A70" i="36"/>
  <c r="G103" i="17"/>
  <c r="I103" i="17" s="1"/>
  <c r="D117" i="17"/>
  <c r="E117" i="17" s="1"/>
  <c r="F117" i="17" s="1"/>
  <c r="D113" i="17"/>
  <c r="E113" i="17" s="1"/>
  <c r="F113" i="17" s="1"/>
  <c r="F110" i="17"/>
  <c r="G110" i="17"/>
  <c r="I101" i="17"/>
  <c r="A73" i="27"/>
  <c r="B72" i="27"/>
  <c r="D72" i="27" a="1"/>
  <c r="D72" i="27" s="1"/>
  <c r="E72" i="27" s="1"/>
  <c r="I71" i="16"/>
  <c r="K9" i="16"/>
  <c r="L14" i="17" s="1"/>
  <c r="F106" i="17"/>
  <c r="G106" i="17"/>
  <c r="I109" i="17"/>
  <c r="D114" i="28" a="1"/>
  <c r="D114" i="28" s="1"/>
  <c r="E114" i="28" s="1"/>
  <c r="I97" i="17"/>
  <c r="I99" i="28"/>
  <c r="D113" i="28" a="1"/>
  <c r="D113" i="28" s="1"/>
  <c r="E113" i="28" s="1"/>
  <c r="D114" i="17" a="1"/>
  <c r="D114" i="17" s="1"/>
  <c r="E114" i="17" s="1"/>
  <c r="D115" i="17" a="1"/>
  <c r="D115" i="17" s="1"/>
  <c r="E115" i="17" s="1"/>
  <c r="D121" i="28" a="1"/>
  <c r="D121" i="28" s="1"/>
  <c r="E121" i="28" s="1"/>
  <c r="D119" i="28" a="1"/>
  <c r="D119" i="28" s="1"/>
  <c r="E119" i="28" s="1"/>
  <c r="C20" i="16"/>
  <c r="H19" i="16"/>
  <c r="F110" i="28"/>
  <c r="G110" i="28"/>
  <c r="C20" i="17"/>
  <c r="H19" i="17"/>
  <c r="I70" i="27"/>
  <c r="G15" i="11"/>
  <c r="B124" i="17"/>
  <c r="B119" i="28"/>
  <c r="B117" i="17"/>
  <c r="D122" i="17" s="1" a="1"/>
  <c r="D122" i="17" s="1"/>
  <c r="E122" i="17" s="1"/>
  <c r="B122" i="17"/>
  <c r="B120" i="28"/>
  <c r="F15" i="11"/>
  <c r="B126" i="17"/>
  <c r="B123" i="28"/>
  <c r="B125" i="17"/>
  <c r="B118" i="17"/>
  <c r="B126" i="28"/>
  <c r="D15" i="11"/>
  <c r="B119" i="17"/>
  <c r="B123" i="17"/>
  <c r="B117" i="28"/>
  <c r="D122" i="28" s="1" a="1"/>
  <c r="D122" i="28" s="1"/>
  <c r="E122" i="28" s="1"/>
  <c r="B120" i="17"/>
  <c r="B125" i="28"/>
  <c r="B122" i="28"/>
  <c r="B118" i="28"/>
  <c r="D123" i="28" s="1" a="1"/>
  <c r="D123" i="28" s="1"/>
  <c r="E123" i="28" s="1"/>
  <c r="B124" i="28"/>
  <c r="E15" i="11"/>
  <c r="B121" i="17"/>
  <c r="B121" i="28"/>
  <c r="C15" i="11"/>
  <c r="I98" i="28"/>
  <c r="G112" i="28"/>
  <c r="F112" i="28"/>
  <c r="D118" i="28" a="1"/>
  <c r="D118" i="28" s="1"/>
  <c r="E118" i="28" s="1"/>
  <c r="D118" i="17" a="1"/>
  <c r="D118" i="17" s="1"/>
  <c r="E118" i="17" s="1"/>
  <c r="G105" i="17"/>
  <c r="F105" i="17"/>
  <c r="F103" i="28"/>
  <c r="G103" i="28"/>
  <c r="G104" i="28"/>
  <c r="F104" i="28"/>
  <c r="I99" i="17"/>
  <c r="G72" i="16"/>
  <c r="F72" i="16"/>
  <c r="F108" i="28"/>
  <c r="G108" i="28"/>
  <c r="G106" i="28"/>
  <c r="F106" i="28"/>
  <c r="I96" i="17"/>
  <c r="C20" i="28"/>
  <c r="H19" i="28"/>
  <c r="D119" i="17" a="1"/>
  <c r="D119" i="17" s="1"/>
  <c r="E119" i="17" s="1"/>
  <c r="D115" i="28" a="1"/>
  <c r="D115" i="28" s="1"/>
  <c r="E115" i="28" s="1"/>
  <c r="I100" i="17"/>
  <c r="I98" i="17"/>
  <c r="G107" i="17"/>
  <c r="F107" i="17"/>
  <c r="C20" i="27"/>
  <c r="H19" i="27"/>
  <c r="F108" i="17"/>
  <c r="G108" i="17"/>
  <c r="G111" i="17"/>
  <c r="K18" i="17" s="1"/>
  <c r="F111" i="17"/>
  <c r="B77" i="9"/>
  <c r="C77" i="9" s="1"/>
  <c r="A71" i="26"/>
  <c r="B71" i="26" s="1"/>
  <c r="D70" i="26"/>
  <c r="B16" i="11"/>
  <c r="I95" i="28"/>
  <c r="F109" i="28"/>
  <c r="G109" i="28"/>
  <c r="G111" i="28"/>
  <c r="F111" i="28"/>
  <c r="D117" i="28" a="1"/>
  <c r="D117" i="28" s="1"/>
  <c r="E117" i="28" s="1"/>
  <c r="G71" i="27"/>
  <c r="F71" i="27"/>
  <c r="D120" i="28" a="1"/>
  <c r="D120" i="28" s="1"/>
  <c r="E120" i="28" s="1"/>
  <c r="D121" i="17" a="1"/>
  <c r="D121" i="17" s="1"/>
  <c r="E121" i="17" s="1"/>
  <c r="F112" i="17"/>
  <c r="G112" i="17"/>
  <c r="D116" i="17" a="1"/>
  <c r="D116" i="17" s="1"/>
  <c r="E116" i="17" s="1"/>
  <c r="D120" i="17" a="1"/>
  <c r="D120" i="17" s="1"/>
  <c r="E120" i="17" s="1"/>
  <c r="I102" i="17"/>
  <c r="I102" i="28"/>
  <c r="I97" i="28"/>
  <c r="I94" i="17"/>
  <c r="G105" i="28"/>
  <c r="F105" i="28"/>
  <c r="A74" i="16"/>
  <c r="B73" i="16"/>
  <c r="D73" i="16" a="1"/>
  <c r="D73" i="16" s="1"/>
  <c r="E73" i="16" s="1"/>
  <c r="I101" i="28"/>
  <c r="K12" i="28"/>
  <c r="M17" i="17" s="1"/>
  <c r="D126" i="28" l="1" a="1"/>
  <c r="D124" i="17" a="1"/>
  <c r="D126" i="17" a="1"/>
  <c r="D126" i="17" s="1"/>
  <c r="E126" i="17" s="1"/>
  <c r="F126" i="17" s="1"/>
  <c r="D123" i="17" a="1"/>
  <c r="D123" i="17" s="1"/>
  <c r="E123" i="17" s="1"/>
  <c r="F123" i="17" s="1"/>
  <c r="G113" i="17"/>
  <c r="G116" i="28"/>
  <c r="I116" i="28" s="1"/>
  <c r="G117" i="17"/>
  <c r="I117" i="17" s="1"/>
  <c r="D126" i="28"/>
  <c r="E126" i="28" s="1"/>
  <c r="G126" i="28" s="1"/>
  <c r="B70" i="35"/>
  <c r="A71" i="35"/>
  <c r="B70" i="36"/>
  <c r="A71" i="36"/>
  <c r="B70" i="33"/>
  <c r="A71" i="33"/>
  <c r="B70" i="34"/>
  <c r="A71" i="34"/>
  <c r="D124" i="17"/>
  <c r="E124" i="17" s="1"/>
  <c r="F124" i="17" s="1"/>
  <c r="F118" i="28"/>
  <c r="G118" i="28"/>
  <c r="A75" i="16"/>
  <c r="B74" i="16"/>
  <c r="D74" i="16" a="1"/>
  <c r="D74" i="16" s="1"/>
  <c r="E74" i="16" s="1"/>
  <c r="F115" i="28"/>
  <c r="G115" i="28"/>
  <c r="I103" i="28"/>
  <c r="D127" i="28" a="1"/>
  <c r="D127" i="28" s="1"/>
  <c r="E127" i="28" s="1"/>
  <c r="D128" i="17" a="1"/>
  <c r="D128" i="17" s="1"/>
  <c r="E128" i="17" s="1"/>
  <c r="D124" i="28" a="1"/>
  <c r="D124" i="28" s="1"/>
  <c r="E124" i="28" s="1"/>
  <c r="G119" i="28"/>
  <c r="F119" i="28"/>
  <c r="F113" i="28"/>
  <c r="G113" i="28"/>
  <c r="G121" i="17"/>
  <c r="K19" i="17" s="1"/>
  <c r="F121" i="17"/>
  <c r="F116" i="17"/>
  <c r="G116" i="17"/>
  <c r="F119" i="17"/>
  <c r="G119" i="17"/>
  <c r="C21" i="28"/>
  <c r="H20" i="28"/>
  <c r="I105" i="17"/>
  <c r="I112" i="28"/>
  <c r="D130" i="28" a="1"/>
  <c r="D130" i="28" s="1"/>
  <c r="E130" i="28" s="1"/>
  <c r="D130" i="17" a="1"/>
  <c r="D130" i="17" s="1"/>
  <c r="E130" i="17" s="1"/>
  <c r="D125" i="28" a="1"/>
  <c r="D125" i="28" s="1"/>
  <c r="E125" i="28" s="1"/>
  <c r="D129" i="17" a="1"/>
  <c r="D129" i="17" s="1"/>
  <c r="E129" i="17" s="1"/>
  <c r="G121" i="28"/>
  <c r="F121" i="28"/>
  <c r="B73" i="27"/>
  <c r="A74" i="27"/>
  <c r="D73" i="27" a="1"/>
  <c r="D73" i="27" s="1"/>
  <c r="E73" i="27" s="1"/>
  <c r="I110" i="17"/>
  <c r="F117" i="28"/>
  <c r="G117" i="28"/>
  <c r="K13" i="28"/>
  <c r="M18" i="17" s="1"/>
  <c r="I111" i="28"/>
  <c r="I107" i="17"/>
  <c r="I106" i="28"/>
  <c r="I72" i="16"/>
  <c r="I104" i="28"/>
  <c r="G120" i="28"/>
  <c r="F120" i="28"/>
  <c r="I109" i="28"/>
  <c r="D16" i="11"/>
  <c r="B131" i="17"/>
  <c r="B133" i="17"/>
  <c r="B127" i="28"/>
  <c r="D132" i="28" s="1" a="1"/>
  <c r="D132" i="28" s="1"/>
  <c r="E132" i="28" s="1"/>
  <c r="B128" i="17"/>
  <c r="B131" i="28"/>
  <c r="G16" i="11"/>
  <c r="B129" i="28"/>
  <c r="B133" i="28"/>
  <c r="B134" i="17"/>
  <c r="B132" i="17"/>
  <c r="E16" i="11"/>
  <c r="B135" i="17"/>
  <c r="B136" i="28"/>
  <c r="B132" i="28"/>
  <c r="B130" i="17"/>
  <c r="B130" i="28"/>
  <c r="B135" i="28"/>
  <c r="B129" i="17"/>
  <c r="B128" i="28"/>
  <c r="D133" i="28" s="1" a="1"/>
  <c r="D133" i="28" s="1"/>
  <c r="E133" i="28" s="1"/>
  <c r="B134" i="28"/>
  <c r="D139" i="28" s="1" a="1"/>
  <c r="F16" i="11"/>
  <c r="B127" i="17"/>
  <c r="D132" i="17" s="1" a="1"/>
  <c r="D132" i="17" s="1"/>
  <c r="E132" i="17" s="1"/>
  <c r="B136" i="17"/>
  <c r="I108" i="28"/>
  <c r="I112" i="17"/>
  <c r="I111" i="17"/>
  <c r="C21" i="27"/>
  <c r="H20" i="27"/>
  <c r="G73" i="16"/>
  <c r="F73" i="16"/>
  <c r="I105" i="28"/>
  <c r="I71" i="27"/>
  <c r="K9" i="27"/>
  <c r="N14" i="17" s="1"/>
  <c r="E19" i="9" s="1"/>
  <c r="F19" i="9" s="1"/>
  <c r="B78" i="9"/>
  <c r="C78" i="9" s="1"/>
  <c r="A72" i="26"/>
  <c r="B72" i="26" s="1"/>
  <c r="D71" i="26"/>
  <c r="B17" i="11"/>
  <c r="I108" i="17"/>
  <c r="I113" i="17"/>
  <c r="G118" i="17"/>
  <c r="F118" i="17"/>
  <c r="C16" i="11"/>
  <c r="D129" i="28" a="1"/>
  <c r="D129" i="28" s="1"/>
  <c r="E129" i="28" s="1"/>
  <c r="D125" i="17" a="1"/>
  <c r="D125" i="17" s="1"/>
  <c r="E125" i="17" s="1"/>
  <c r="D128" i="28" a="1"/>
  <c r="D128" i="28" s="1"/>
  <c r="E128" i="28" s="1"/>
  <c r="D127" i="17" a="1"/>
  <c r="D127" i="17" s="1"/>
  <c r="E127" i="17" s="1"/>
  <c r="C21" i="17"/>
  <c r="H20" i="17"/>
  <c r="C21" i="16"/>
  <c r="H20" i="16"/>
  <c r="F115" i="17"/>
  <c r="G115" i="17"/>
  <c r="I106" i="17"/>
  <c r="G120" i="17"/>
  <c r="F120" i="17"/>
  <c r="G123" i="28"/>
  <c r="F123" i="28"/>
  <c r="F122" i="28"/>
  <c r="G122" i="28"/>
  <c r="D131" i="28" a="1"/>
  <c r="D131" i="28" s="1"/>
  <c r="E131" i="28" s="1"/>
  <c r="D131" i="17" a="1"/>
  <c r="D131" i="17" s="1"/>
  <c r="E131" i="17" s="1"/>
  <c r="F122" i="17"/>
  <c r="G122" i="17"/>
  <c r="I110" i="28"/>
  <c r="C70" i="26"/>
  <c r="G114" i="17"/>
  <c r="F114" i="17"/>
  <c r="F114" i="28"/>
  <c r="G114" i="28"/>
  <c r="F72" i="27"/>
  <c r="G72" i="27"/>
  <c r="D135" i="28" l="1" a="1"/>
  <c r="D141" i="17" a="1"/>
  <c r="D135" i="17" a="1"/>
  <c r="D140" i="17" a="1"/>
  <c r="G123" i="17"/>
  <c r="I123" i="17" s="1"/>
  <c r="F126" i="28"/>
  <c r="D141" i="17"/>
  <c r="E141" i="17" s="1"/>
  <c r="G141" i="17" s="1"/>
  <c r="K21" i="17" s="1"/>
  <c r="B71" i="36"/>
  <c r="A72" i="36"/>
  <c r="B71" i="33"/>
  <c r="A72" i="33"/>
  <c r="B71" i="34"/>
  <c r="A72" i="34"/>
  <c r="B71" i="35"/>
  <c r="A72" i="35"/>
  <c r="C17" i="11"/>
  <c r="G126" i="17"/>
  <c r="I126" i="17" s="1"/>
  <c r="G124" i="17"/>
  <c r="I124" i="17" s="1"/>
  <c r="D139" i="28"/>
  <c r="E139" i="28" s="1"/>
  <c r="F139" i="28" s="1"/>
  <c r="D135" i="28"/>
  <c r="E135" i="28" s="1"/>
  <c r="F135" i="28" s="1"/>
  <c r="D140" i="17"/>
  <c r="E140" i="17" s="1"/>
  <c r="G140" i="17" s="1"/>
  <c r="D135" i="17"/>
  <c r="E135" i="17" s="1"/>
  <c r="G135" i="17" s="1"/>
  <c r="D19" i="9"/>
  <c r="F128" i="28"/>
  <c r="G128" i="28"/>
  <c r="E17" i="11"/>
  <c r="B144" i="17"/>
  <c r="B143" i="28"/>
  <c r="B142" i="17"/>
  <c r="B145" i="17"/>
  <c r="B144" i="28"/>
  <c r="G17" i="11"/>
  <c r="B140" i="17"/>
  <c r="B140" i="28"/>
  <c r="B137" i="17"/>
  <c r="D142" i="17" s="1" a="1"/>
  <c r="D142" i="17" s="1"/>
  <c r="E142" i="17" s="1"/>
  <c r="B145" i="28"/>
  <c r="D17" i="11"/>
  <c r="B139" i="17"/>
  <c r="B146" i="28"/>
  <c r="B139" i="28"/>
  <c r="B141" i="28"/>
  <c r="B138" i="28"/>
  <c r="D143" i="28" s="1" a="1"/>
  <c r="B146" i="17"/>
  <c r="B142" i="28"/>
  <c r="D147" i="28" s="1" a="1"/>
  <c r="B137" i="28"/>
  <c r="D142" i="28" s="1" a="1"/>
  <c r="D142" i="28" s="1"/>
  <c r="E142" i="28" s="1"/>
  <c r="F17" i="11"/>
  <c r="B143" i="17"/>
  <c r="D148" i="17" s="1" a="1"/>
  <c r="B141" i="17"/>
  <c r="B138" i="17"/>
  <c r="C22" i="27"/>
  <c r="H21" i="27"/>
  <c r="F131" i="17"/>
  <c r="G131" i="17"/>
  <c r="K20" i="17" s="1"/>
  <c r="I115" i="17"/>
  <c r="G125" i="17"/>
  <c r="F125" i="17"/>
  <c r="I118" i="17"/>
  <c r="G132" i="17"/>
  <c r="F132" i="17"/>
  <c r="D134" i="17" a="1"/>
  <c r="D134" i="17" s="1"/>
  <c r="E134" i="17" s="1"/>
  <c r="D137" i="28" a="1"/>
  <c r="D137" i="28" s="1"/>
  <c r="E137" i="28" s="1"/>
  <c r="D137" i="17" a="1"/>
  <c r="D137" i="17" s="1"/>
  <c r="E137" i="17" s="1"/>
  <c r="D138" i="17" a="1"/>
  <c r="D138" i="17" s="1"/>
  <c r="E138" i="17" s="1"/>
  <c r="I120" i="28"/>
  <c r="I117" i="28"/>
  <c r="G73" i="27"/>
  <c r="F73" i="27"/>
  <c r="I121" i="28"/>
  <c r="K14" i="28"/>
  <c r="M19" i="17" s="1"/>
  <c r="C22" i="28"/>
  <c r="H21" i="28"/>
  <c r="I115" i="28"/>
  <c r="B75" i="16"/>
  <c r="A76" i="16"/>
  <c r="D75" i="16" a="1"/>
  <c r="D75" i="16" s="1"/>
  <c r="E75" i="16" s="1"/>
  <c r="G127" i="17"/>
  <c r="F127" i="17"/>
  <c r="I72" i="27"/>
  <c r="G131" i="28"/>
  <c r="F131" i="28"/>
  <c r="I123" i="28"/>
  <c r="I120" i="17"/>
  <c r="C22" i="17"/>
  <c r="H21" i="17"/>
  <c r="F129" i="28"/>
  <c r="G129" i="28"/>
  <c r="B79" i="9"/>
  <c r="C79" i="9" s="1"/>
  <c r="A73" i="26"/>
  <c r="B73" i="26" s="1"/>
  <c r="B18" i="11"/>
  <c r="D72" i="26"/>
  <c r="I73" i="16"/>
  <c r="D140" i="28" a="1"/>
  <c r="D140" i="28" s="1"/>
  <c r="E140" i="28" s="1"/>
  <c r="D141" i="28" a="1"/>
  <c r="D141" i="28" s="1"/>
  <c r="E141" i="28" s="1"/>
  <c r="D139" i="17" a="1"/>
  <c r="D139" i="17" s="1"/>
  <c r="E139" i="17" s="1"/>
  <c r="D136" i="28" a="1"/>
  <c r="D136" i="28" s="1"/>
  <c r="E136" i="28" s="1"/>
  <c r="D136" i="17" a="1"/>
  <c r="D136" i="17" s="1"/>
  <c r="E136" i="17" s="1"/>
  <c r="B74" i="27"/>
  <c r="A75" i="27"/>
  <c r="D74" i="27" a="1"/>
  <c r="D74" i="27" s="1"/>
  <c r="E74" i="27" s="1"/>
  <c r="F129" i="17"/>
  <c r="G129" i="17"/>
  <c r="I119" i="17"/>
  <c r="I118" i="28"/>
  <c r="D138" i="28" a="1"/>
  <c r="D138" i="28" s="1"/>
  <c r="E138" i="28" s="1"/>
  <c r="D133" i="17" a="1"/>
  <c r="D133" i="17" s="1"/>
  <c r="E133" i="17" s="1"/>
  <c r="F125" i="28"/>
  <c r="G125" i="28"/>
  <c r="F130" i="28"/>
  <c r="G130" i="28"/>
  <c r="I121" i="17"/>
  <c r="I119" i="28"/>
  <c r="G128" i="17"/>
  <c r="F128" i="17"/>
  <c r="F74" i="16"/>
  <c r="G74" i="16"/>
  <c r="I114" i="17"/>
  <c r="I122" i="17"/>
  <c r="I122" i="28"/>
  <c r="I114" i="28"/>
  <c r="C71" i="26"/>
  <c r="C72" i="26" s="1"/>
  <c r="I126" i="28"/>
  <c r="C22" i="16"/>
  <c r="H21" i="16"/>
  <c r="G133" i="28"/>
  <c r="F133" i="28"/>
  <c r="D134" i="28" a="1"/>
  <c r="D134" i="28" s="1"/>
  <c r="E134" i="28" s="1"/>
  <c r="G132" i="28"/>
  <c r="F132" i="28"/>
  <c r="G130" i="17"/>
  <c r="F130" i="17"/>
  <c r="I116" i="17"/>
  <c r="I113" i="28"/>
  <c r="G124" i="28"/>
  <c r="F124" i="28"/>
  <c r="G127" i="28"/>
  <c r="F127" i="28"/>
  <c r="D143" i="17" l="1" a="1"/>
  <c r="D143" i="17" s="1"/>
  <c r="E143" i="17" s="1"/>
  <c r="F143" i="17" s="1"/>
  <c r="D146" i="17" a="1"/>
  <c r="D151" i="28" a="1"/>
  <c r="C18" i="11"/>
  <c r="F135" i="17"/>
  <c r="F141" i="17"/>
  <c r="G135" i="28"/>
  <c r="I135" i="28" s="1"/>
  <c r="B72" i="35"/>
  <c r="A73" i="35"/>
  <c r="B72" i="34"/>
  <c r="A73" i="34"/>
  <c r="B72" i="36"/>
  <c r="A73" i="36"/>
  <c r="B72" i="33"/>
  <c r="A73" i="33"/>
  <c r="F12" i="31"/>
  <c r="D148" i="17"/>
  <c r="E148" i="17" s="1"/>
  <c r="G148" i="17" s="1"/>
  <c r="F140" i="17"/>
  <c r="G139" i="28"/>
  <c r="I139" i="28" s="1"/>
  <c r="D143" i="28"/>
  <c r="E143" i="28" s="1"/>
  <c r="F143" i="28" s="1"/>
  <c r="D151" i="28"/>
  <c r="E151" i="28" s="1"/>
  <c r="G151" i="28" s="1"/>
  <c r="D146" i="17"/>
  <c r="E146" i="17" s="1"/>
  <c r="G146" i="17" s="1"/>
  <c r="D147" i="28"/>
  <c r="E147" i="28" s="1"/>
  <c r="G147" i="28" s="1"/>
  <c r="F136" i="28"/>
  <c r="G136" i="28"/>
  <c r="B80" i="9"/>
  <c r="C80" i="9" s="1"/>
  <c r="A74" i="26"/>
  <c r="B74" i="26" s="1"/>
  <c r="B19" i="11"/>
  <c r="C19" i="11" s="1"/>
  <c r="D73" i="26"/>
  <c r="F75" i="16"/>
  <c r="G75" i="16"/>
  <c r="F137" i="28"/>
  <c r="G137" i="28"/>
  <c r="D151" i="17" a="1"/>
  <c r="D151" i="17" s="1"/>
  <c r="E151" i="17" s="1"/>
  <c r="F142" i="17"/>
  <c r="G142" i="17"/>
  <c r="D149" i="28" a="1"/>
  <c r="D149" i="28" s="1"/>
  <c r="E149" i="28" s="1"/>
  <c r="D149" i="17" a="1"/>
  <c r="D149" i="17" s="1"/>
  <c r="E149" i="17" s="1"/>
  <c r="F74" i="27"/>
  <c r="G74" i="27"/>
  <c r="G134" i="28"/>
  <c r="F134" i="28"/>
  <c r="I133" i="28"/>
  <c r="C23" i="16"/>
  <c r="H22" i="16"/>
  <c r="I130" i="28"/>
  <c r="F133" i="17"/>
  <c r="G133" i="17"/>
  <c r="B75" i="27"/>
  <c r="A76" i="27"/>
  <c r="D75" i="27" a="1"/>
  <c r="D75" i="27" s="1"/>
  <c r="E75" i="27" s="1"/>
  <c r="F139" i="17"/>
  <c r="G139" i="17"/>
  <c r="C23" i="17"/>
  <c r="H22" i="17"/>
  <c r="A77" i="16"/>
  <c r="B76" i="16"/>
  <c r="D76" i="16" a="1"/>
  <c r="D76" i="16" s="1"/>
  <c r="E76" i="16" s="1"/>
  <c r="I73" i="27"/>
  <c r="G134" i="17"/>
  <c r="F134" i="17"/>
  <c r="C23" i="27"/>
  <c r="H22" i="27"/>
  <c r="D144" i="17" a="1"/>
  <c r="D144" i="17" s="1"/>
  <c r="E144" i="17" s="1"/>
  <c r="D145" i="28" a="1"/>
  <c r="D145" i="28" s="1"/>
  <c r="E145" i="28" s="1"/>
  <c r="D150" i="17" a="1"/>
  <c r="D150" i="17" s="1"/>
  <c r="E150" i="17" s="1"/>
  <c r="I124" i="28"/>
  <c r="I132" i="28"/>
  <c r="C73" i="26"/>
  <c r="I74" i="16"/>
  <c r="I135" i="17"/>
  <c r="F138" i="28"/>
  <c r="G138" i="28"/>
  <c r="I129" i="17"/>
  <c r="G141" i="28"/>
  <c r="F141" i="28"/>
  <c r="I129" i="28"/>
  <c r="C23" i="28"/>
  <c r="H22" i="28"/>
  <c r="G138" i="17"/>
  <c r="F138" i="17"/>
  <c r="I131" i="17"/>
  <c r="G142" i="28"/>
  <c r="F142" i="28"/>
  <c r="D146" i="28" a="1"/>
  <c r="D146" i="28" s="1"/>
  <c r="E146" i="28" s="1"/>
  <c r="D145" i="17" a="1"/>
  <c r="D145" i="17" s="1"/>
  <c r="E145" i="17" s="1"/>
  <c r="D147" i="17" a="1"/>
  <c r="D147" i="17" s="1"/>
  <c r="E147" i="17" s="1"/>
  <c r="I128" i="28"/>
  <c r="I140" i="17"/>
  <c r="I127" i="28"/>
  <c r="I130" i="17"/>
  <c r="I141" i="17"/>
  <c r="I128" i="17"/>
  <c r="I125" i="28"/>
  <c r="F136" i="17"/>
  <c r="G136" i="17"/>
  <c r="F140" i="28"/>
  <c r="G140" i="28"/>
  <c r="F18" i="11"/>
  <c r="B149" i="17"/>
  <c r="B153" i="28"/>
  <c r="B152" i="17"/>
  <c r="B153" i="17"/>
  <c r="B147" i="28"/>
  <c r="D152" i="28" s="1" a="1"/>
  <c r="D152" i="28" s="1"/>
  <c r="E152" i="28" s="1"/>
  <c r="B149" i="28"/>
  <c r="E18" i="11"/>
  <c r="B148" i="17"/>
  <c r="B152" i="28"/>
  <c r="B151" i="17"/>
  <c r="B156" i="17"/>
  <c r="B150" i="28"/>
  <c r="B156" i="28"/>
  <c r="G18" i="11"/>
  <c r="B154" i="17"/>
  <c r="B150" i="17"/>
  <c r="B155" i="28"/>
  <c r="B155" i="17"/>
  <c r="B151" i="28"/>
  <c r="B147" i="17"/>
  <c r="D152" i="17" s="1" a="1"/>
  <c r="D152" i="17" s="1"/>
  <c r="E152" i="17" s="1"/>
  <c r="B154" i="28"/>
  <c r="B148" i="28"/>
  <c r="D153" i="28" s="1" a="1"/>
  <c r="D18" i="11"/>
  <c r="I131" i="28"/>
  <c r="K15" i="28"/>
  <c r="M20" i="17" s="1"/>
  <c r="I127" i="17"/>
  <c r="F137" i="17"/>
  <c r="G137" i="17"/>
  <c r="I132" i="17"/>
  <c r="I125" i="17"/>
  <c r="D144" i="28" a="1"/>
  <c r="D144" i="28" s="1"/>
  <c r="E144" i="28" s="1"/>
  <c r="D150" i="28" a="1"/>
  <c r="D150" i="28" s="1"/>
  <c r="E150" i="28" s="1"/>
  <c r="D148" i="28" a="1"/>
  <c r="D148" i="28" s="1"/>
  <c r="E148" i="28" s="1"/>
  <c r="D159" i="28" l="1" a="1"/>
  <c r="D159" i="28" s="1"/>
  <c r="E159" i="28" s="1"/>
  <c r="F159" i="28" s="1"/>
  <c r="F147" i="28"/>
  <c r="G143" i="17"/>
  <c r="I143" i="17" s="1"/>
  <c r="F146" i="17"/>
  <c r="G143" i="28"/>
  <c r="I143" i="28" s="1"/>
  <c r="B73" i="33"/>
  <c r="A74" i="33"/>
  <c r="B73" i="36"/>
  <c r="A74" i="36"/>
  <c r="B73" i="35"/>
  <c r="A74" i="35"/>
  <c r="B73" i="34"/>
  <c r="A74" i="34"/>
  <c r="D153" i="28"/>
  <c r="E153" i="28" s="1"/>
  <c r="F153" i="28" s="1"/>
  <c r="F148" i="17"/>
  <c r="F151" i="28"/>
  <c r="G144" i="28"/>
  <c r="F144" i="28"/>
  <c r="I146" i="17"/>
  <c r="D156" i="28" a="1"/>
  <c r="D156" i="28" s="1"/>
  <c r="E156" i="28" s="1"/>
  <c r="D159" i="17" a="1"/>
  <c r="D159" i="17" s="1"/>
  <c r="E159" i="17" s="1"/>
  <c r="D161" i="17" a="1"/>
  <c r="D161" i="17" s="1"/>
  <c r="E161" i="17" s="1"/>
  <c r="D157" i="17" a="1"/>
  <c r="D157" i="17" s="1"/>
  <c r="E157" i="17" s="1"/>
  <c r="I140" i="28"/>
  <c r="F145" i="17"/>
  <c r="G145" i="17"/>
  <c r="C24" i="28"/>
  <c r="H23" i="28"/>
  <c r="K16" i="28"/>
  <c r="M21" i="17" s="1"/>
  <c r="I141" i="28"/>
  <c r="F144" i="17"/>
  <c r="G144" i="17"/>
  <c r="C24" i="27"/>
  <c r="H23" i="27"/>
  <c r="F75" i="27"/>
  <c r="G75" i="27"/>
  <c r="F149" i="17"/>
  <c r="G149" i="17"/>
  <c r="G148" i="28"/>
  <c r="F148" i="28"/>
  <c r="I147" i="28"/>
  <c r="I137" i="17"/>
  <c r="D160" i="17" a="1"/>
  <c r="D160" i="17" s="1"/>
  <c r="E160" i="17" s="1"/>
  <c r="D156" i="17" a="1"/>
  <c r="D156" i="17" s="1"/>
  <c r="E156" i="17" s="1"/>
  <c r="D154" i="28" a="1"/>
  <c r="D154" i="28" s="1"/>
  <c r="E154" i="28" s="1"/>
  <c r="D158" i="28" a="1"/>
  <c r="D158" i="28" s="1"/>
  <c r="E158" i="28" s="1"/>
  <c r="G146" i="28"/>
  <c r="F146" i="28"/>
  <c r="I138" i="28"/>
  <c r="G76" i="16"/>
  <c r="F76" i="16"/>
  <c r="C24" i="17"/>
  <c r="H23" i="17"/>
  <c r="B76" i="27"/>
  <c r="A77" i="27"/>
  <c r="D76" i="27" a="1"/>
  <c r="D76" i="27" s="1"/>
  <c r="E76" i="27" s="1"/>
  <c r="C24" i="16"/>
  <c r="H23" i="16"/>
  <c r="I134" i="28"/>
  <c r="F149" i="28"/>
  <c r="G149" i="28"/>
  <c r="I151" i="28"/>
  <c r="K17" i="28"/>
  <c r="M22" i="17" s="1"/>
  <c r="I137" i="28"/>
  <c r="I136" i="28"/>
  <c r="D160" i="28" a="1"/>
  <c r="D160" i="28" s="1"/>
  <c r="E160" i="28" s="1"/>
  <c r="D161" i="28" a="1"/>
  <c r="D161" i="28" s="1"/>
  <c r="E161" i="28" s="1"/>
  <c r="D157" i="28" a="1"/>
  <c r="D157" i="28" s="1"/>
  <c r="E157" i="28" s="1"/>
  <c r="G152" i="28"/>
  <c r="F152" i="28"/>
  <c r="D154" i="17" a="1"/>
  <c r="D154" i="17" s="1"/>
  <c r="E154" i="17" s="1"/>
  <c r="I136" i="17"/>
  <c r="I138" i="17"/>
  <c r="F150" i="17"/>
  <c r="G150" i="17"/>
  <c r="I134" i="17"/>
  <c r="I139" i="17"/>
  <c r="I74" i="27"/>
  <c r="I142" i="17"/>
  <c r="G151" i="17"/>
  <c r="K22" i="17" s="1"/>
  <c r="F151" i="17"/>
  <c r="F19" i="11"/>
  <c r="B157" i="17"/>
  <c r="D162" i="17" s="1" a="1"/>
  <c r="D162" i="17" s="1"/>
  <c r="E162" i="17" s="1"/>
  <c r="B158" i="28"/>
  <c r="B160" i="28"/>
  <c r="B165" i="17"/>
  <c r="B163" i="28"/>
  <c r="B166" i="28"/>
  <c r="G19" i="11"/>
  <c r="B162" i="17"/>
  <c r="B159" i="17"/>
  <c r="B163" i="17"/>
  <c r="B164" i="28"/>
  <c r="D19" i="11"/>
  <c r="B158" i="17"/>
  <c r="B162" i="28"/>
  <c r="B166" i="17"/>
  <c r="B164" i="17"/>
  <c r="B165" i="28"/>
  <c r="B160" i="17"/>
  <c r="D165" i="17" s="1" a="1"/>
  <c r="B159" i="28"/>
  <c r="B157" i="28"/>
  <c r="D162" i="28" s="1" a="1"/>
  <c r="D162" i="28" s="1"/>
  <c r="E162" i="28" s="1"/>
  <c r="E19" i="11"/>
  <c r="B161" i="28"/>
  <c r="B161" i="17"/>
  <c r="F150" i="28"/>
  <c r="G150" i="28"/>
  <c r="F152" i="17"/>
  <c r="G152" i="17"/>
  <c r="D155" i="17" a="1"/>
  <c r="D155" i="17" s="1"/>
  <c r="E155" i="17" s="1"/>
  <c r="D155" i="28" a="1"/>
  <c r="D155" i="28" s="1"/>
  <c r="E155" i="28" s="1"/>
  <c r="D153" i="17" a="1"/>
  <c r="D153" i="17" s="1"/>
  <c r="E153" i="17" s="1"/>
  <c r="D158" i="17" a="1"/>
  <c r="D158" i="17" s="1"/>
  <c r="E158" i="17" s="1"/>
  <c r="F147" i="17"/>
  <c r="G147" i="17"/>
  <c r="I142" i="28"/>
  <c r="F145" i="28"/>
  <c r="G145" i="28"/>
  <c r="B77" i="16"/>
  <c r="A78" i="16"/>
  <c r="D77" i="16" a="1"/>
  <c r="D77" i="16" s="1"/>
  <c r="E77" i="16" s="1"/>
  <c r="I133" i="17"/>
  <c r="I148" i="17"/>
  <c r="I75" i="16"/>
  <c r="B81" i="9"/>
  <c r="C81" i="9" s="1"/>
  <c r="A75" i="26"/>
  <c r="B75" i="26" s="1"/>
  <c r="B20" i="11"/>
  <c r="C20" i="11" s="1"/>
  <c r="D74" i="26"/>
  <c r="D166" i="28" l="1" a="1"/>
  <c r="D163" i="17" a="1"/>
  <c r="D163" i="17" s="1"/>
  <c r="E163" i="17" s="1"/>
  <c r="G159" i="28"/>
  <c r="G153" i="28"/>
  <c r="B74" i="36"/>
  <c r="A75" i="36"/>
  <c r="B74" i="34"/>
  <c r="A75" i="34"/>
  <c r="B74" i="35"/>
  <c r="A75" i="35"/>
  <c r="B74" i="33"/>
  <c r="A75" i="33"/>
  <c r="D166" i="28"/>
  <c r="E166" i="28" s="1"/>
  <c r="F166" i="28" s="1"/>
  <c r="D165" i="17"/>
  <c r="E165" i="17" s="1"/>
  <c r="G165" i="17" s="1"/>
  <c r="F153" i="17"/>
  <c r="G153" i="17"/>
  <c r="D170" i="28" a="1"/>
  <c r="D170" i="28" s="1"/>
  <c r="E170" i="28" s="1"/>
  <c r="F163" i="17"/>
  <c r="G163" i="17"/>
  <c r="D164" i="17" a="1"/>
  <c r="D164" i="17" s="1"/>
  <c r="E164" i="17" s="1"/>
  <c r="D168" i="28" a="1"/>
  <c r="D168" i="28" s="1"/>
  <c r="E168" i="28" s="1"/>
  <c r="F162" i="17"/>
  <c r="G162" i="17"/>
  <c r="G154" i="17"/>
  <c r="F154" i="17"/>
  <c r="F161" i="28"/>
  <c r="G161" i="28"/>
  <c r="C25" i="16"/>
  <c r="H24" i="16"/>
  <c r="G158" i="28"/>
  <c r="F158" i="28"/>
  <c r="I153" i="28"/>
  <c r="I149" i="17"/>
  <c r="C25" i="28"/>
  <c r="H24" i="28"/>
  <c r="F161" i="17"/>
  <c r="G161" i="17"/>
  <c r="K23" i="17" s="1"/>
  <c r="B82" i="9"/>
  <c r="C82" i="9" s="1"/>
  <c r="A76" i="26"/>
  <c r="B76" i="26" s="1"/>
  <c r="D75" i="26"/>
  <c r="B21" i="11"/>
  <c r="C21" i="11" s="1"/>
  <c r="I145" i="28"/>
  <c r="F77" i="16"/>
  <c r="G77" i="16"/>
  <c r="I147" i="17"/>
  <c r="G155" i="17"/>
  <c r="F155" i="17"/>
  <c r="G162" i="28"/>
  <c r="F162" i="28"/>
  <c r="D169" i="17" a="1"/>
  <c r="D169" i="17" s="1"/>
  <c r="E169" i="17" s="1"/>
  <c r="D167" i="17" a="1"/>
  <c r="D167" i="17" s="1"/>
  <c r="E167" i="17" s="1"/>
  <c r="D170" i="17" a="1"/>
  <c r="D170" i="17" s="1"/>
  <c r="E170" i="17" s="1"/>
  <c r="F160" i="28"/>
  <c r="G160" i="28"/>
  <c r="F76" i="27"/>
  <c r="G76" i="27"/>
  <c r="C25" i="17"/>
  <c r="H24" i="17"/>
  <c r="G154" i="28"/>
  <c r="F154" i="28"/>
  <c r="C25" i="27"/>
  <c r="H24" i="27"/>
  <c r="F159" i="17"/>
  <c r="G159" i="17"/>
  <c r="G155" i="28"/>
  <c r="F155" i="28"/>
  <c r="I150" i="28"/>
  <c r="A79" i="16"/>
  <c r="B78" i="16"/>
  <c r="D78" i="16" a="1"/>
  <c r="D78" i="16" s="1"/>
  <c r="E78" i="16" s="1"/>
  <c r="C74" i="26"/>
  <c r="D20" i="11"/>
  <c r="B167" i="17"/>
  <c r="D172" i="17" s="1" a="1"/>
  <c r="D172" i="17" s="1"/>
  <c r="E172" i="17" s="1"/>
  <c r="B175" i="28"/>
  <c r="B168" i="17"/>
  <c r="D173" i="17" s="1" a="1"/>
  <c r="B174" i="17"/>
  <c r="B167" i="28"/>
  <c r="D172" i="28" s="1" a="1"/>
  <c r="D172" i="28" s="1"/>
  <c r="E172" i="28" s="1"/>
  <c r="G20" i="11"/>
  <c r="B172" i="17"/>
  <c r="B176" i="17"/>
  <c r="B176" i="28"/>
  <c r="B171" i="17"/>
  <c r="B174" i="28"/>
  <c r="E20" i="11"/>
  <c r="B173" i="17"/>
  <c r="D178" i="17" s="1" a="1"/>
  <c r="B168" i="28"/>
  <c r="B171" i="28"/>
  <c r="B170" i="17"/>
  <c r="B173" i="28"/>
  <c r="B170" i="28"/>
  <c r="B175" i="17"/>
  <c r="B169" i="17"/>
  <c r="D174" i="17" s="1" a="1"/>
  <c r="B172" i="28"/>
  <c r="B169" i="28"/>
  <c r="D174" i="28" s="1" a="1"/>
  <c r="F20" i="11"/>
  <c r="F158" i="17"/>
  <c r="G158" i="17"/>
  <c r="I152" i="17"/>
  <c r="D166" i="17" a="1"/>
  <c r="D166" i="17" s="1"/>
  <c r="E166" i="17" s="1"/>
  <c r="D164" i="28" a="1"/>
  <c r="D164" i="28" s="1"/>
  <c r="E164" i="28" s="1"/>
  <c r="D171" i="17" a="1"/>
  <c r="D171" i="17" s="1"/>
  <c r="E171" i="17" s="1"/>
  <c r="D169" i="28" a="1"/>
  <c r="D169" i="28" s="1"/>
  <c r="E169" i="28" s="1"/>
  <c r="D165" i="28" a="1"/>
  <c r="D165" i="28" s="1"/>
  <c r="E165" i="28" s="1"/>
  <c r="I150" i="17"/>
  <c r="I152" i="28"/>
  <c r="B77" i="27"/>
  <c r="A78" i="27"/>
  <c r="D77" i="27" a="1"/>
  <c r="D77" i="27" s="1"/>
  <c r="E77" i="27" s="1"/>
  <c r="G156" i="17"/>
  <c r="F156" i="17"/>
  <c r="I75" i="27"/>
  <c r="I144" i="17"/>
  <c r="F156" i="28"/>
  <c r="G156" i="28"/>
  <c r="I144" i="28"/>
  <c r="D167" i="28" a="1"/>
  <c r="D167" i="28" s="1"/>
  <c r="E167" i="28" s="1"/>
  <c r="D168" i="17" a="1"/>
  <c r="D168" i="17" s="1"/>
  <c r="E168" i="17" s="1"/>
  <c r="D171" i="28" a="1"/>
  <c r="D171" i="28" s="1"/>
  <c r="E171" i="28" s="1"/>
  <c r="D163" i="28" a="1"/>
  <c r="D163" i="28" s="1"/>
  <c r="E163" i="28" s="1"/>
  <c r="I151" i="17"/>
  <c r="F157" i="28"/>
  <c r="G157" i="28"/>
  <c r="I159" i="28"/>
  <c r="I149" i="28"/>
  <c r="I76" i="16"/>
  <c r="I146" i="28"/>
  <c r="F160" i="17"/>
  <c r="G160" i="17"/>
  <c r="I148" i="28"/>
  <c r="I145" i="17"/>
  <c r="G157" i="17"/>
  <c r="F157" i="17"/>
  <c r="D180" i="17" l="1" a="1"/>
  <c r="D180" i="17" s="1"/>
  <c r="E180" i="17" s="1"/>
  <c r="F180" i="17" s="1"/>
  <c r="D173" i="28" a="1"/>
  <c r="F165" i="17"/>
  <c r="G166" i="28"/>
  <c r="I166" i="28" s="1"/>
  <c r="D178" i="17"/>
  <c r="E178" i="17" s="1"/>
  <c r="F178" i="17" s="1"/>
  <c r="B75" i="36"/>
  <c r="A76" i="36"/>
  <c r="B75" i="33"/>
  <c r="A76" i="33"/>
  <c r="B75" i="34"/>
  <c r="A76" i="34"/>
  <c r="B75" i="35"/>
  <c r="A76" i="35"/>
  <c r="C75" i="26"/>
  <c r="D174" i="17"/>
  <c r="E174" i="17" s="1"/>
  <c r="G174" i="17" s="1"/>
  <c r="D173" i="17"/>
  <c r="E173" i="17" s="1"/>
  <c r="F173" i="17" s="1"/>
  <c r="D174" i="28"/>
  <c r="E174" i="28" s="1"/>
  <c r="F174" i="28" s="1"/>
  <c r="D173" i="28"/>
  <c r="E173" i="28" s="1"/>
  <c r="F173" i="28" s="1"/>
  <c r="F77" i="27"/>
  <c r="G77" i="27"/>
  <c r="F169" i="28"/>
  <c r="G169" i="28"/>
  <c r="D176" i="28" a="1"/>
  <c r="D176" i="28" s="1"/>
  <c r="E176" i="28" s="1"/>
  <c r="D179" i="28" a="1"/>
  <c r="D179" i="28" s="1"/>
  <c r="E179" i="28" s="1"/>
  <c r="D177" i="17" a="1"/>
  <c r="D177" i="17" s="1"/>
  <c r="E177" i="17" s="1"/>
  <c r="I155" i="28"/>
  <c r="C26" i="27"/>
  <c r="H25" i="27"/>
  <c r="C26" i="17"/>
  <c r="H25" i="17"/>
  <c r="B83" i="9"/>
  <c r="C83" i="9" s="1"/>
  <c r="A77" i="26"/>
  <c r="B77" i="26" s="1"/>
  <c r="B22" i="11"/>
  <c r="C22" i="11" s="1"/>
  <c r="D76" i="26"/>
  <c r="G168" i="28"/>
  <c r="F168" i="28"/>
  <c r="G170" i="28"/>
  <c r="F170" i="28"/>
  <c r="F168" i="17"/>
  <c r="G168" i="17"/>
  <c r="I156" i="28"/>
  <c r="I157" i="28"/>
  <c r="F171" i="17"/>
  <c r="G171" i="17"/>
  <c r="K24" i="17" s="1"/>
  <c r="D175" i="28" a="1"/>
  <c r="D175" i="28" s="1"/>
  <c r="E175" i="28" s="1"/>
  <c r="D176" i="17" a="1"/>
  <c r="D176" i="17" s="1"/>
  <c r="E176" i="17" s="1"/>
  <c r="D180" i="28" a="1"/>
  <c r="D180" i="28" s="1"/>
  <c r="E180" i="28" s="1"/>
  <c r="F78" i="16"/>
  <c r="G78" i="16"/>
  <c r="I159" i="17"/>
  <c r="I76" i="27"/>
  <c r="F170" i="17"/>
  <c r="G170" i="17"/>
  <c r="I162" i="28"/>
  <c r="C26" i="28"/>
  <c r="H25" i="28"/>
  <c r="C26" i="16"/>
  <c r="H25" i="16"/>
  <c r="I154" i="17"/>
  <c r="G164" i="17"/>
  <c r="F164" i="17"/>
  <c r="I153" i="17"/>
  <c r="G167" i="28"/>
  <c r="F167" i="28"/>
  <c r="A79" i="27"/>
  <c r="B78" i="27"/>
  <c r="D78" i="27" a="1"/>
  <c r="D78" i="27" s="1"/>
  <c r="E78" i="27" s="1"/>
  <c r="I157" i="17"/>
  <c r="G164" i="28"/>
  <c r="F164" i="28"/>
  <c r="I158" i="17"/>
  <c r="D177" i="28" a="1"/>
  <c r="D177" i="28" s="1"/>
  <c r="E177" i="28" s="1"/>
  <c r="D178" i="28" a="1"/>
  <c r="D178" i="28" s="1"/>
  <c r="E178" i="28" s="1"/>
  <c r="D181" i="28" a="1"/>
  <c r="D181" i="28" s="1"/>
  <c r="E181" i="28" s="1"/>
  <c r="F172" i="28"/>
  <c r="G172" i="28"/>
  <c r="G172" i="17"/>
  <c r="F172" i="17"/>
  <c r="I154" i="28"/>
  <c r="G167" i="17"/>
  <c r="F167" i="17"/>
  <c r="I77" i="16"/>
  <c r="G21" i="11"/>
  <c r="B181" i="17"/>
  <c r="B179" i="28"/>
  <c r="B180" i="17"/>
  <c r="B186" i="17"/>
  <c r="B177" i="28"/>
  <c r="D182" i="28" s="1" a="1"/>
  <c r="D182" i="28" s="1"/>
  <c r="E182" i="28" s="1"/>
  <c r="F21" i="11"/>
  <c r="B185" i="17"/>
  <c r="B178" i="17"/>
  <c r="B181" i="28"/>
  <c r="B177" i="17"/>
  <c r="D182" i="17" s="1" a="1"/>
  <c r="D182" i="17" s="1"/>
  <c r="E182" i="17" s="1"/>
  <c r="B182" i="17"/>
  <c r="B185" i="28"/>
  <c r="B186" i="28"/>
  <c r="D21" i="11"/>
  <c r="B179" i="17"/>
  <c r="D184" i="17" s="1" a="1"/>
  <c r="B182" i="28"/>
  <c r="B178" i="28"/>
  <c r="D183" i="28" s="1" a="1"/>
  <c r="D183" i="28" s="1"/>
  <c r="E183" i="28" s="1"/>
  <c r="B183" i="28"/>
  <c r="B180" i="28"/>
  <c r="B184" i="28"/>
  <c r="B183" i="17"/>
  <c r="E21" i="11"/>
  <c r="B184" i="17"/>
  <c r="I161" i="17"/>
  <c r="K18" i="28"/>
  <c r="M23" i="17" s="1"/>
  <c r="I161" i="28"/>
  <c r="I162" i="17"/>
  <c r="I163" i="17"/>
  <c r="F163" i="28"/>
  <c r="G163" i="28"/>
  <c r="I165" i="17"/>
  <c r="I160" i="17"/>
  <c r="G171" i="28"/>
  <c r="F171" i="28"/>
  <c r="I156" i="17"/>
  <c r="F165" i="28"/>
  <c r="G165" i="28"/>
  <c r="G166" i="17"/>
  <c r="F166" i="17"/>
  <c r="D175" i="17" a="1"/>
  <c r="D175" i="17" s="1"/>
  <c r="E175" i="17" s="1"/>
  <c r="D181" i="17" a="1"/>
  <c r="D181" i="17" s="1"/>
  <c r="E181" i="17" s="1"/>
  <c r="D179" i="17" a="1"/>
  <c r="D179" i="17" s="1"/>
  <c r="E179" i="17" s="1"/>
  <c r="A80" i="16"/>
  <c r="B79" i="16"/>
  <c r="D79" i="16" a="1"/>
  <c r="D79" i="16" s="1"/>
  <c r="E79" i="16" s="1"/>
  <c r="I160" i="28"/>
  <c r="F169" i="17"/>
  <c r="G169" i="17"/>
  <c r="I155" i="17"/>
  <c r="I158" i="28"/>
  <c r="D188" i="17" l="1" a="1"/>
  <c r="D188" i="17" s="1"/>
  <c r="E188" i="17" s="1"/>
  <c r="F188" i="17" s="1"/>
  <c r="G178" i="17"/>
  <c r="F174" i="17"/>
  <c r="B76" i="33"/>
  <c r="A77" i="33"/>
  <c r="B76" i="35"/>
  <c r="A77" i="35"/>
  <c r="B76" i="36"/>
  <c r="A77" i="36"/>
  <c r="B76" i="34"/>
  <c r="A77" i="34"/>
  <c r="G173" i="17"/>
  <c r="G174" i="28"/>
  <c r="I174" i="28" s="1"/>
  <c r="G173" i="28"/>
  <c r="I173" i="28" s="1"/>
  <c r="G180" i="17"/>
  <c r="I180" i="17" s="1"/>
  <c r="D184" i="17"/>
  <c r="E184" i="17" s="1"/>
  <c r="F184" i="17" s="1"/>
  <c r="F183" i="28"/>
  <c r="G183" i="28"/>
  <c r="I169" i="17"/>
  <c r="F79" i="16"/>
  <c r="G79" i="16"/>
  <c r="D189" i="17" a="1"/>
  <c r="D189" i="17" s="1"/>
  <c r="E189" i="17" s="1"/>
  <c r="D185" i="28" a="1"/>
  <c r="D185" i="28" s="1"/>
  <c r="E185" i="28" s="1"/>
  <c r="D187" i="17" a="1"/>
  <c r="D187" i="17" s="1"/>
  <c r="E187" i="17" s="1"/>
  <c r="D190" i="17" a="1"/>
  <c r="D190" i="17" s="1"/>
  <c r="E190" i="17" s="1"/>
  <c r="D185" i="17" a="1"/>
  <c r="D185" i="17" s="1"/>
  <c r="E185" i="17" s="1"/>
  <c r="I172" i="28"/>
  <c r="I78" i="16"/>
  <c r="I168" i="28"/>
  <c r="C27" i="27"/>
  <c r="H26" i="27"/>
  <c r="C76" i="26"/>
  <c r="F179" i="28"/>
  <c r="G179" i="28"/>
  <c r="I169" i="28"/>
  <c r="G181" i="17"/>
  <c r="K25" i="17" s="1"/>
  <c r="F181" i="17"/>
  <c r="I163" i="28"/>
  <c r="F175" i="17"/>
  <c r="G175" i="17"/>
  <c r="I166" i="17"/>
  <c r="D188" i="28" a="1"/>
  <c r="D188" i="28" s="1"/>
  <c r="E188" i="28" s="1"/>
  <c r="F182" i="17"/>
  <c r="G182" i="17"/>
  <c r="D184" i="28" a="1"/>
  <c r="D184" i="28" s="1"/>
  <c r="E184" i="28" s="1"/>
  <c r="F178" i="28"/>
  <c r="G178" i="28"/>
  <c r="G78" i="27"/>
  <c r="F78" i="27"/>
  <c r="I167" i="28"/>
  <c r="I164" i="17"/>
  <c r="C27" i="16"/>
  <c r="H26" i="16"/>
  <c r="I171" i="17"/>
  <c r="I173" i="17"/>
  <c r="F176" i="28"/>
  <c r="G176" i="28"/>
  <c r="B80" i="16"/>
  <c r="A81" i="16"/>
  <c r="D80" i="16" a="1"/>
  <c r="D80" i="16" s="1"/>
  <c r="E80" i="16" s="1"/>
  <c r="I165" i="28"/>
  <c r="D191" i="28" a="1"/>
  <c r="D191" i="28" s="1"/>
  <c r="E191" i="28" s="1"/>
  <c r="D186" i="28" a="1"/>
  <c r="D186" i="28" s="1"/>
  <c r="E186" i="28" s="1"/>
  <c r="G182" i="28"/>
  <c r="F182" i="28"/>
  <c r="D186" i="17" a="1"/>
  <c r="D186" i="17" s="1"/>
  <c r="E186" i="17" s="1"/>
  <c r="F181" i="28"/>
  <c r="G181" i="28"/>
  <c r="F177" i="28"/>
  <c r="G177" i="28"/>
  <c r="I164" i="28"/>
  <c r="I170" i="17"/>
  <c r="G180" i="28"/>
  <c r="F180" i="28"/>
  <c r="F175" i="28"/>
  <c r="G175" i="28"/>
  <c r="I170" i="28"/>
  <c r="F22" i="11"/>
  <c r="B193" i="17"/>
  <c r="B190" i="17"/>
  <c r="B191" i="28"/>
  <c r="B195" i="17"/>
  <c r="B194" i="28"/>
  <c r="B196" i="28"/>
  <c r="E22" i="11"/>
  <c r="B191" i="17"/>
  <c r="B193" i="28"/>
  <c r="B188" i="28"/>
  <c r="D193" i="28" s="1" a="1"/>
  <c r="D22" i="11"/>
  <c r="B188" i="17"/>
  <c r="B195" i="28"/>
  <c r="B187" i="17"/>
  <c r="D192" i="17" s="1" a="1"/>
  <c r="D192" i="17" s="1"/>
  <c r="E192" i="17" s="1"/>
  <c r="B196" i="17"/>
  <c r="B189" i="28"/>
  <c r="B192" i="17"/>
  <c r="B194" i="17"/>
  <c r="B187" i="28"/>
  <c r="D192" i="28" s="1" a="1"/>
  <c r="D192" i="28" s="1"/>
  <c r="E192" i="28" s="1"/>
  <c r="G22" i="11"/>
  <c r="B189" i="17"/>
  <c r="B190" i="28"/>
  <c r="B192" i="28"/>
  <c r="C27" i="17"/>
  <c r="H26" i="17"/>
  <c r="I77" i="27"/>
  <c r="I174" i="17"/>
  <c r="F179" i="17"/>
  <c r="G179" i="17"/>
  <c r="I171" i="28"/>
  <c r="K19" i="28"/>
  <c r="M24" i="17" s="1"/>
  <c r="D189" i="28" a="1"/>
  <c r="D189" i="28" s="1"/>
  <c r="E189" i="28" s="1"/>
  <c r="D187" i="28" a="1"/>
  <c r="D187" i="28" s="1"/>
  <c r="E187" i="28" s="1"/>
  <c r="D190" i="28" a="1"/>
  <c r="D190" i="28" s="1"/>
  <c r="E190" i="28" s="1"/>
  <c r="D183" i="17" a="1"/>
  <c r="D183" i="17" s="1"/>
  <c r="E183" i="17" s="1"/>
  <c r="D191" i="17" a="1"/>
  <c r="D191" i="17" s="1"/>
  <c r="E191" i="17" s="1"/>
  <c r="I167" i="17"/>
  <c r="I172" i="17"/>
  <c r="I178" i="17"/>
  <c r="B79" i="27"/>
  <c r="A80" i="27"/>
  <c r="D79" i="27" a="1"/>
  <c r="D79" i="27" s="1"/>
  <c r="E79" i="27" s="1"/>
  <c r="C27" i="28"/>
  <c r="H26" i="28"/>
  <c r="F176" i="17"/>
  <c r="G176" i="17"/>
  <c r="I168" i="17"/>
  <c r="B84" i="9"/>
  <c r="C84" i="9" s="1"/>
  <c r="A78" i="26"/>
  <c r="B78" i="26" s="1"/>
  <c r="D77" i="26"/>
  <c r="B23" i="11"/>
  <c r="F177" i="17"/>
  <c r="G177" i="17"/>
  <c r="D199" i="17" l="1" a="1"/>
  <c r="D199" i="17" s="1"/>
  <c r="E199" i="17" s="1"/>
  <c r="G199" i="17" s="1"/>
  <c r="D194" i="17" a="1"/>
  <c r="D194" i="17" s="1"/>
  <c r="E194" i="17" s="1"/>
  <c r="F194" i="17" s="1"/>
  <c r="D195" i="28" a="1"/>
  <c r="D195" i="28" s="1"/>
  <c r="E195" i="28" s="1"/>
  <c r="F195" i="28" s="1"/>
  <c r="G184" i="17"/>
  <c r="I184" i="17" s="1"/>
  <c r="B77" i="35"/>
  <c r="A78" i="35"/>
  <c r="B77" i="33"/>
  <c r="A78" i="33"/>
  <c r="B77" i="34"/>
  <c r="A78" i="34"/>
  <c r="B77" i="36"/>
  <c r="A78" i="36"/>
  <c r="G188" i="17"/>
  <c r="I188" i="17" s="1"/>
  <c r="D193" i="28"/>
  <c r="E193" i="28" s="1"/>
  <c r="G193" i="28" s="1"/>
  <c r="G192" i="17"/>
  <c r="F192" i="17"/>
  <c r="D201" i="28" a="1"/>
  <c r="D201" i="28" s="1"/>
  <c r="E201" i="28" s="1"/>
  <c r="D195" i="17" a="1"/>
  <c r="D195" i="17" s="1"/>
  <c r="E195" i="17" s="1"/>
  <c r="I180" i="28"/>
  <c r="G186" i="28"/>
  <c r="F186" i="28"/>
  <c r="I176" i="28"/>
  <c r="C28" i="16"/>
  <c r="H27" i="16"/>
  <c r="F188" i="28"/>
  <c r="G188" i="28"/>
  <c r="I181" i="17"/>
  <c r="G187" i="17"/>
  <c r="F187" i="17"/>
  <c r="F189" i="17"/>
  <c r="G189" i="17"/>
  <c r="D23" i="11"/>
  <c r="B206" i="17"/>
  <c r="B197" i="28"/>
  <c r="D202" i="28" s="1" a="1"/>
  <c r="D202" i="28" s="1"/>
  <c r="E202" i="28" s="1"/>
  <c r="B206" i="28"/>
  <c r="B198" i="17"/>
  <c r="B203" i="28"/>
  <c r="F23" i="11"/>
  <c r="B203" i="17"/>
  <c r="B205" i="28"/>
  <c r="B200" i="17"/>
  <c r="B201" i="17"/>
  <c r="B198" i="28"/>
  <c r="G23" i="11"/>
  <c r="B204" i="17"/>
  <c r="B202" i="17"/>
  <c r="B199" i="28"/>
  <c r="B199" i="17"/>
  <c r="B205" i="17"/>
  <c r="B204" i="28"/>
  <c r="E23" i="11"/>
  <c r="B200" i="28"/>
  <c r="B201" i="28"/>
  <c r="B197" i="17"/>
  <c r="D202" i="17" s="1" a="1"/>
  <c r="D202" i="17" s="1"/>
  <c r="E202" i="17" s="1"/>
  <c r="B202" i="28"/>
  <c r="I176" i="17"/>
  <c r="F79" i="27"/>
  <c r="G79" i="27"/>
  <c r="F191" i="17"/>
  <c r="G191" i="17"/>
  <c r="K26" i="17" s="1"/>
  <c r="D197" i="17" a="1"/>
  <c r="D197" i="17" s="1"/>
  <c r="E197" i="17" s="1"/>
  <c r="D198" i="28" a="1"/>
  <c r="D198" i="28" s="1"/>
  <c r="E198" i="28" s="1"/>
  <c r="D199" i="28" a="1"/>
  <c r="D199" i="28" s="1"/>
  <c r="E199" i="28" s="1"/>
  <c r="D198" i="17" a="1"/>
  <c r="D198" i="17" s="1"/>
  <c r="E198" i="17" s="1"/>
  <c r="I175" i="28"/>
  <c r="I177" i="28"/>
  <c r="F186" i="17"/>
  <c r="G186" i="17"/>
  <c r="F191" i="28"/>
  <c r="G191" i="28"/>
  <c r="G80" i="16"/>
  <c r="F80" i="16"/>
  <c r="F184" i="28"/>
  <c r="G184" i="28"/>
  <c r="I179" i="28"/>
  <c r="C28" i="27"/>
  <c r="H27" i="27"/>
  <c r="I79" i="16"/>
  <c r="I183" i="28"/>
  <c r="I177" i="17"/>
  <c r="F189" i="28"/>
  <c r="G189" i="28"/>
  <c r="I179" i="17"/>
  <c r="D200" i="28" a="1"/>
  <c r="D200" i="28" s="1"/>
  <c r="E200" i="28" s="1"/>
  <c r="B85" i="9"/>
  <c r="C85" i="9" s="1"/>
  <c r="A79" i="26"/>
  <c r="B79" i="26" s="1"/>
  <c r="D78" i="26"/>
  <c r="B24" i="11"/>
  <c r="F183" i="17"/>
  <c r="G183" i="17"/>
  <c r="C28" i="17"/>
  <c r="H27" i="17"/>
  <c r="D194" i="28" a="1"/>
  <c r="D194" i="28" s="1"/>
  <c r="E194" i="28" s="1"/>
  <c r="D193" i="17" a="1"/>
  <c r="D193" i="17" s="1"/>
  <c r="E193" i="17" s="1"/>
  <c r="D196" i="17" a="1"/>
  <c r="D196" i="17" s="1"/>
  <c r="E196" i="17" s="1"/>
  <c r="D200" i="17" a="1"/>
  <c r="D200" i="17" s="1"/>
  <c r="E200" i="17" s="1"/>
  <c r="B81" i="16"/>
  <c r="A82" i="16"/>
  <c r="D81" i="16" a="1"/>
  <c r="D81" i="16" s="1"/>
  <c r="E81" i="16" s="1"/>
  <c r="I78" i="27"/>
  <c r="I182" i="17"/>
  <c r="G185" i="17"/>
  <c r="F185" i="17"/>
  <c r="F187" i="28"/>
  <c r="G187" i="28"/>
  <c r="A81" i="27"/>
  <c r="B80" i="27"/>
  <c r="D80" i="27" a="1"/>
  <c r="D80" i="27" s="1"/>
  <c r="E80" i="27" s="1"/>
  <c r="C23" i="11"/>
  <c r="C28" i="28"/>
  <c r="H27" i="28"/>
  <c r="F190" i="28"/>
  <c r="G190" i="28"/>
  <c r="D197" i="28" a="1"/>
  <c r="D197" i="28" s="1"/>
  <c r="E197" i="28" s="1"/>
  <c r="F192" i="28"/>
  <c r="G192" i="28"/>
  <c r="D201" i="17" a="1"/>
  <c r="D201" i="17" s="1"/>
  <c r="E201" i="17" s="1"/>
  <c r="D196" i="28" a="1"/>
  <c r="D196" i="28" s="1"/>
  <c r="E196" i="28" s="1"/>
  <c r="K20" i="28"/>
  <c r="M25" i="17" s="1"/>
  <c r="I181" i="28"/>
  <c r="I182" i="28"/>
  <c r="I178" i="28"/>
  <c r="I175" i="17"/>
  <c r="C77" i="26"/>
  <c r="F190" i="17"/>
  <c r="G190" i="17"/>
  <c r="F185" i="28"/>
  <c r="G185" i="28"/>
  <c r="D210" i="17" l="1" a="1"/>
  <c r="D204" i="28" a="1"/>
  <c r="D204" i="28" s="1"/>
  <c r="E204" i="28" s="1"/>
  <c r="G204" i="28" s="1"/>
  <c r="D206" i="28" a="1"/>
  <c r="D205" i="28" a="1"/>
  <c r="D203" i="28" a="1"/>
  <c r="C24" i="11"/>
  <c r="G194" i="17"/>
  <c r="I194" i="17" s="1"/>
  <c r="B78" i="34"/>
  <c r="A79" i="34"/>
  <c r="B78" i="35"/>
  <c r="A79" i="35"/>
  <c r="B78" i="36"/>
  <c r="A79" i="36"/>
  <c r="B78" i="33"/>
  <c r="A79" i="33"/>
  <c r="F193" i="28"/>
  <c r="F199" i="17"/>
  <c r="D210" i="17"/>
  <c r="E210" i="17" s="1"/>
  <c r="G210" i="17" s="1"/>
  <c r="G195" i="28"/>
  <c r="I195" i="28" s="1"/>
  <c r="D206" i="28"/>
  <c r="E206" i="28" s="1"/>
  <c r="G206" i="28" s="1"/>
  <c r="D203" i="28"/>
  <c r="E203" i="28" s="1"/>
  <c r="G203" i="28" s="1"/>
  <c r="D205" i="28"/>
  <c r="E205" i="28" s="1"/>
  <c r="F205" i="28" s="1"/>
  <c r="F197" i="28"/>
  <c r="G197" i="28"/>
  <c r="F198" i="17"/>
  <c r="G198" i="17"/>
  <c r="I191" i="17"/>
  <c r="D209" i="17" a="1"/>
  <c r="D209" i="17" s="1"/>
  <c r="E209" i="17" s="1"/>
  <c r="D205" i="17" a="1"/>
  <c r="D205" i="17" s="1"/>
  <c r="E205" i="17" s="1"/>
  <c r="D208" i="28" a="1"/>
  <c r="D208" i="28" s="1"/>
  <c r="E208" i="28" s="1"/>
  <c r="D211" i="17" a="1"/>
  <c r="D211" i="17" s="1"/>
  <c r="E211" i="17" s="1"/>
  <c r="C29" i="16"/>
  <c r="H28" i="16"/>
  <c r="I186" i="28"/>
  <c r="G201" i="28"/>
  <c r="F201" i="28"/>
  <c r="I192" i="17"/>
  <c r="F196" i="28"/>
  <c r="G196" i="28"/>
  <c r="C29" i="28"/>
  <c r="H28" i="28"/>
  <c r="I185" i="17"/>
  <c r="F201" i="17"/>
  <c r="G201" i="17"/>
  <c r="K27" i="17" s="1"/>
  <c r="I190" i="28"/>
  <c r="G200" i="17"/>
  <c r="F200" i="17"/>
  <c r="E24" i="11"/>
  <c r="B212" i="17"/>
  <c r="B213" i="17"/>
  <c r="B207" i="17"/>
  <c r="D212" i="17" s="1" a="1"/>
  <c r="D212" i="17" s="1"/>
  <c r="E212" i="17" s="1"/>
  <c r="B208" i="17"/>
  <c r="D213" i="17" s="1" a="1"/>
  <c r="B211" i="28"/>
  <c r="F24" i="11"/>
  <c r="B216" i="17"/>
  <c r="B215" i="28"/>
  <c r="B212" i="28"/>
  <c r="B211" i="17"/>
  <c r="B210" i="28"/>
  <c r="B216" i="28"/>
  <c r="D24" i="11"/>
  <c r="B209" i="28"/>
  <c r="B213" i="28"/>
  <c r="B214" i="17"/>
  <c r="B214" i="28"/>
  <c r="B215" i="17"/>
  <c r="B209" i="17"/>
  <c r="B208" i="28"/>
  <c r="D213" i="28" s="1" a="1"/>
  <c r="G24" i="11"/>
  <c r="B207" i="28"/>
  <c r="D212" i="28" s="1" a="1"/>
  <c r="D212" i="28" s="1"/>
  <c r="E212" i="28" s="1"/>
  <c r="B210" i="17"/>
  <c r="F200" i="28"/>
  <c r="G200" i="28"/>
  <c r="G199" i="28"/>
  <c r="F199" i="28"/>
  <c r="D204" i="17" a="1"/>
  <c r="D204" i="17" s="1"/>
  <c r="E204" i="17" s="1"/>
  <c r="D210" i="28" a="1"/>
  <c r="D210" i="28" s="1"/>
  <c r="E210" i="28" s="1"/>
  <c r="D203" i="17" a="1"/>
  <c r="D203" i="17" s="1"/>
  <c r="E203" i="17" s="1"/>
  <c r="I187" i="17"/>
  <c r="I188" i="28"/>
  <c r="I193" i="28"/>
  <c r="I199" i="17"/>
  <c r="G194" i="28"/>
  <c r="F194" i="28"/>
  <c r="I189" i="28"/>
  <c r="I184" i="28"/>
  <c r="I191" i="28"/>
  <c r="K21" i="28"/>
  <c r="M26" i="17" s="1"/>
  <c r="I185" i="28"/>
  <c r="C78" i="26"/>
  <c r="I192" i="28"/>
  <c r="A82" i="27"/>
  <c r="B81" i="27"/>
  <c r="D81" i="27" a="1"/>
  <c r="D81" i="27" s="1"/>
  <c r="E81" i="27" s="1"/>
  <c r="G81" i="16"/>
  <c r="F81" i="16"/>
  <c r="G196" i="17"/>
  <c r="F196" i="17"/>
  <c r="C29" i="17"/>
  <c r="H28" i="17"/>
  <c r="I186" i="17"/>
  <c r="F198" i="28"/>
  <c r="G198" i="28"/>
  <c r="I79" i="27"/>
  <c r="D207" i="28" a="1"/>
  <c r="D207" i="28" s="1"/>
  <c r="E207" i="28" s="1"/>
  <c r="D208" i="17" a="1"/>
  <c r="D208" i="17" s="1"/>
  <c r="E208" i="17" s="1"/>
  <c r="D211" i="28" a="1"/>
  <c r="D211" i="28" s="1"/>
  <c r="E211" i="28" s="1"/>
  <c r="I189" i="17"/>
  <c r="I190" i="17"/>
  <c r="F80" i="27"/>
  <c r="G80" i="27"/>
  <c r="I187" i="28"/>
  <c r="A83" i="16"/>
  <c r="B82" i="16"/>
  <c r="D82" i="16" a="1"/>
  <c r="D82" i="16" s="1"/>
  <c r="E82" i="16" s="1"/>
  <c r="G193" i="17"/>
  <c r="F193" i="17"/>
  <c r="I183" i="17"/>
  <c r="B86" i="9"/>
  <c r="C86" i="9" s="1"/>
  <c r="A80" i="26"/>
  <c r="B80" i="26" s="1"/>
  <c r="D79" i="26"/>
  <c r="B25" i="11"/>
  <c r="C25" i="11" s="1"/>
  <c r="B52" i="11"/>
  <c r="C29" i="27"/>
  <c r="H28" i="27"/>
  <c r="I80" i="16"/>
  <c r="F197" i="17"/>
  <c r="G197" i="17"/>
  <c r="F202" i="17"/>
  <c r="G202" i="17"/>
  <c r="D209" i="28" a="1"/>
  <c r="D209" i="28" s="1"/>
  <c r="E209" i="28" s="1"/>
  <c r="D207" i="17" a="1"/>
  <c r="D207" i="17" s="1"/>
  <c r="E207" i="17" s="1"/>
  <c r="D206" i="17" a="1"/>
  <c r="D206" i="17" s="1"/>
  <c r="E206" i="17" s="1"/>
  <c r="G202" i="28"/>
  <c r="F202" i="28"/>
  <c r="G195" i="17"/>
  <c r="F195" i="17"/>
  <c r="D214" i="17" l="1" a="1"/>
  <c r="D215" i="17" a="1"/>
  <c r="D215" i="17" s="1"/>
  <c r="E215" i="17" s="1"/>
  <c r="F215" i="17" s="1"/>
  <c r="F204" i="28"/>
  <c r="F203" i="28"/>
  <c r="D214" i="17"/>
  <c r="E214" i="17" s="1"/>
  <c r="F214" i="17" s="1"/>
  <c r="B79" i="33"/>
  <c r="A80" i="33"/>
  <c r="B79" i="34"/>
  <c r="A80" i="34"/>
  <c r="B79" i="36"/>
  <c r="A80" i="36"/>
  <c r="B79" i="35"/>
  <c r="A80" i="35"/>
  <c r="F210" i="17"/>
  <c r="G205" i="28"/>
  <c r="I205" i="28" s="1"/>
  <c r="F206" i="28"/>
  <c r="D213" i="28"/>
  <c r="E213" i="28" s="1"/>
  <c r="F213" i="28" s="1"/>
  <c r="D213" i="17"/>
  <c r="E213" i="17" s="1"/>
  <c r="F213" i="17" s="1"/>
  <c r="F82" i="16"/>
  <c r="G82" i="16"/>
  <c r="G207" i="17"/>
  <c r="F207" i="17"/>
  <c r="I197" i="17"/>
  <c r="I80" i="27"/>
  <c r="F204" i="17"/>
  <c r="G204" i="17"/>
  <c r="I199" i="28"/>
  <c r="F212" i="28"/>
  <c r="G212" i="28"/>
  <c r="D220" i="17" a="1"/>
  <c r="D220" i="17" s="1"/>
  <c r="E220" i="17" s="1"/>
  <c r="D214" i="28" a="1"/>
  <c r="D214" i="28" s="1"/>
  <c r="E214" i="28" s="1"/>
  <c r="D216" i="17" a="1"/>
  <c r="D216" i="17" s="1"/>
  <c r="E216" i="17" s="1"/>
  <c r="D218" i="17" a="1"/>
  <c r="D218" i="17" s="1"/>
  <c r="E218" i="17" s="1"/>
  <c r="I200" i="17"/>
  <c r="I201" i="17"/>
  <c r="G211" i="17"/>
  <c r="K28" i="17" s="1"/>
  <c r="F211" i="17"/>
  <c r="F208" i="17"/>
  <c r="G208" i="17"/>
  <c r="I204" i="28"/>
  <c r="I198" i="28"/>
  <c r="A83" i="27"/>
  <c r="B82" i="27"/>
  <c r="D82" i="27" a="1"/>
  <c r="D82" i="27" s="1"/>
  <c r="E82" i="27" s="1"/>
  <c r="G207" i="28"/>
  <c r="F207" i="28"/>
  <c r="C30" i="17"/>
  <c r="H29" i="17"/>
  <c r="I81" i="16"/>
  <c r="K10" i="16"/>
  <c r="L15" i="17" s="1"/>
  <c r="C79" i="26"/>
  <c r="F209" i="28"/>
  <c r="G209" i="28"/>
  <c r="C30" i="27"/>
  <c r="H29" i="27"/>
  <c r="B87" i="9"/>
  <c r="C87" i="9" s="1"/>
  <c r="A81" i="26"/>
  <c r="B81" i="26" s="1"/>
  <c r="B53" i="11"/>
  <c r="B26" i="11"/>
  <c r="D80" i="26"/>
  <c r="A84" i="16"/>
  <c r="B83" i="16"/>
  <c r="D83" i="16" a="1"/>
  <c r="D83" i="16" s="1"/>
  <c r="E83" i="16" s="1"/>
  <c r="I203" i="28"/>
  <c r="F81" i="27"/>
  <c r="G81" i="27"/>
  <c r="I194" i="28"/>
  <c r="I200" i="28"/>
  <c r="D219" i="28" a="1"/>
  <c r="D219" i="28" s="1"/>
  <c r="E219" i="28" s="1"/>
  <c r="D217" i="28" a="1"/>
  <c r="D217" i="28" s="1"/>
  <c r="E217" i="28" s="1"/>
  <c r="D216" i="28" a="1"/>
  <c r="D216" i="28" s="1"/>
  <c r="E216" i="28" s="1"/>
  <c r="D217" i="17" a="1"/>
  <c r="D217" i="17" s="1"/>
  <c r="E217" i="17" s="1"/>
  <c r="C30" i="28"/>
  <c r="H29" i="28"/>
  <c r="F208" i="28"/>
  <c r="G208" i="28"/>
  <c r="I210" i="17"/>
  <c r="I197" i="28"/>
  <c r="I195" i="17"/>
  <c r="I202" i="28"/>
  <c r="I202" i="17"/>
  <c r="D52" i="11"/>
  <c r="B494" i="17"/>
  <c r="B496" i="28"/>
  <c r="B489" i="17"/>
  <c r="B496" i="17"/>
  <c r="B492" i="28"/>
  <c r="G52" i="11"/>
  <c r="B491" i="17"/>
  <c r="B494" i="28"/>
  <c r="B493" i="17"/>
  <c r="B488" i="28"/>
  <c r="B488" i="17"/>
  <c r="B490" i="28"/>
  <c r="B492" i="17"/>
  <c r="B487" i="28"/>
  <c r="F52" i="11"/>
  <c r="B490" i="17"/>
  <c r="B489" i="28"/>
  <c r="B487" i="17"/>
  <c r="B491" i="28"/>
  <c r="E52" i="11"/>
  <c r="B495" i="17"/>
  <c r="B495" i="28"/>
  <c r="B493" i="28"/>
  <c r="I193" i="17"/>
  <c r="G211" i="28"/>
  <c r="F211" i="28"/>
  <c r="I196" i="17"/>
  <c r="G203" i="17"/>
  <c r="F203" i="17"/>
  <c r="D219" i="17" a="1"/>
  <c r="D219" i="17" s="1"/>
  <c r="E219" i="17" s="1"/>
  <c r="D221" i="28" a="1"/>
  <c r="D221" i="28" s="1"/>
  <c r="E221" i="28" s="1"/>
  <c r="D220" i="28" a="1"/>
  <c r="D220" i="28" s="1"/>
  <c r="E220" i="28" s="1"/>
  <c r="I196" i="28"/>
  <c r="F205" i="17"/>
  <c r="G205" i="17"/>
  <c r="F206" i="17"/>
  <c r="G206" i="17"/>
  <c r="G25" i="11"/>
  <c r="B217" i="17"/>
  <c r="D222" i="17" s="1" a="1"/>
  <c r="D222" i="17" s="1"/>
  <c r="E222" i="17" s="1"/>
  <c r="B220" i="28"/>
  <c r="B218" i="28"/>
  <c r="B217" i="28"/>
  <c r="D222" i="28" s="1" a="1"/>
  <c r="D222" i="28" s="1"/>
  <c r="E222" i="28" s="1"/>
  <c r="B226" i="17"/>
  <c r="B222" i="28"/>
  <c r="B220" i="17"/>
  <c r="B224" i="17"/>
  <c r="B225" i="28"/>
  <c r="E25" i="11"/>
  <c r="B223" i="28"/>
  <c r="B219" i="17"/>
  <c r="B225" i="17"/>
  <c r="B226" i="28"/>
  <c r="D25" i="11"/>
  <c r="B218" i="17"/>
  <c r="B224" i="28"/>
  <c r="B222" i="17"/>
  <c r="B221" i="28"/>
  <c r="F25" i="11"/>
  <c r="B221" i="17"/>
  <c r="B223" i="17"/>
  <c r="B219" i="28"/>
  <c r="D224" i="28" s="1" a="1"/>
  <c r="F210" i="28"/>
  <c r="G210" i="28"/>
  <c r="D218" i="28" a="1"/>
  <c r="D218" i="28" s="1"/>
  <c r="E218" i="28" s="1"/>
  <c r="D215" i="28" a="1"/>
  <c r="D215" i="28" s="1"/>
  <c r="E215" i="28" s="1"/>
  <c r="D221" i="17" a="1"/>
  <c r="D221" i="17" s="1"/>
  <c r="E221" i="17" s="1"/>
  <c r="F212" i="17"/>
  <c r="G212" i="17"/>
  <c r="I201" i="28"/>
  <c r="K22" i="28"/>
  <c r="M27" i="17" s="1"/>
  <c r="C30" i="16"/>
  <c r="H29" i="16"/>
  <c r="G209" i="17"/>
  <c r="F209" i="17"/>
  <c r="I206" i="28"/>
  <c r="I198" i="17"/>
  <c r="D223" i="28" l="1" a="1"/>
  <c r="D229" i="28" a="1"/>
  <c r="D223" i="17" a="1"/>
  <c r="D223" i="17" s="1"/>
  <c r="E223" i="17" s="1"/>
  <c r="F223" i="17" s="1"/>
  <c r="D226" i="17" a="1"/>
  <c r="D226" i="17" s="1"/>
  <c r="E226" i="17" s="1"/>
  <c r="G226" i="17" s="1"/>
  <c r="G214" i="17"/>
  <c r="I214" i="17" s="1"/>
  <c r="G215" i="17"/>
  <c r="I215" i="17" s="1"/>
  <c r="G213" i="17"/>
  <c r="I213" i="17" s="1"/>
  <c r="B80" i="33"/>
  <c r="A81" i="33"/>
  <c r="B80" i="34"/>
  <c r="A81" i="34"/>
  <c r="B80" i="36"/>
  <c r="A81" i="36"/>
  <c r="B80" i="35"/>
  <c r="A81" i="35"/>
  <c r="G213" i="28"/>
  <c r="I213" i="28" s="1"/>
  <c r="D224" i="28"/>
  <c r="E224" i="28" s="1"/>
  <c r="F224" i="28" s="1"/>
  <c r="D223" i="28"/>
  <c r="E223" i="28" s="1"/>
  <c r="F223" i="28" s="1"/>
  <c r="D229" i="28"/>
  <c r="E229" i="28" s="1"/>
  <c r="G229" i="28" s="1"/>
  <c r="C80" i="26"/>
  <c r="D230" i="17" a="1"/>
  <c r="D230" i="17" s="1"/>
  <c r="E230" i="17" s="1"/>
  <c r="D230" i="28" a="1"/>
  <c r="D230" i="28" s="1"/>
  <c r="E230" i="28" s="1"/>
  <c r="D231" i="17" a="1"/>
  <c r="D231" i="17" s="1"/>
  <c r="E231" i="17" s="1"/>
  <c r="F222" i="17"/>
  <c r="G222" i="17"/>
  <c r="G221" i="28"/>
  <c r="F221" i="28"/>
  <c r="G217" i="28"/>
  <c r="F217" i="28"/>
  <c r="I81" i="27"/>
  <c r="K10" i="27"/>
  <c r="N15" i="17" s="1"/>
  <c r="E20" i="9" s="1"/>
  <c r="F20" i="9" s="1"/>
  <c r="F83" i="16"/>
  <c r="G83" i="16"/>
  <c r="E26" i="11"/>
  <c r="B235" i="17"/>
  <c r="B232" i="17"/>
  <c r="B230" i="28"/>
  <c r="B231" i="17"/>
  <c r="B233" i="28"/>
  <c r="B234" i="17"/>
  <c r="B229" i="28"/>
  <c r="B230" i="17"/>
  <c r="B228" i="17"/>
  <c r="B232" i="28"/>
  <c r="D26" i="11"/>
  <c r="B227" i="17"/>
  <c r="D232" i="17" s="1" a="1"/>
  <c r="D232" i="17" s="1"/>
  <c r="E232" i="17" s="1"/>
  <c r="B233" i="17"/>
  <c r="B235" i="28"/>
  <c r="B228" i="28"/>
  <c r="G26" i="11"/>
  <c r="B234" i="28"/>
  <c r="B236" i="28"/>
  <c r="F26" i="11"/>
  <c r="B231" i="28"/>
  <c r="B236" i="17"/>
  <c r="B227" i="28"/>
  <c r="D232" i="28" s="1" a="1"/>
  <c r="D232" i="28" s="1"/>
  <c r="E232" i="28" s="1"/>
  <c r="B229" i="17"/>
  <c r="D234" i="17" s="1" a="1"/>
  <c r="G82" i="27"/>
  <c r="F82" i="27"/>
  <c r="G218" i="17"/>
  <c r="F218" i="17"/>
  <c r="I212" i="28"/>
  <c r="I204" i="17"/>
  <c r="I82" i="16"/>
  <c r="I210" i="28"/>
  <c r="F221" i="17"/>
  <c r="G221" i="17"/>
  <c r="K29" i="17" s="1"/>
  <c r="D224" i="17" a="1"/>
  <c r="D224" i="17" s="1"/>
  <c r="E224" i="17" s="1"/>
  <c r="D229" i="17" a="1"/>
  <c r="D229" i="17" s="1"/>
  <c r="E229" i="17" s="1"/>
  <c r="G222" i="28"/>
  <c r="F222" i="28"/>
  <c r="I205" i="17"/>
  <c r="F219" i="17"/>
  <c r="G219" i="17"/>
  <c r="I203" i="17"/>
  <c r="K23" i="28"/>
  <c r="M28" i="17" s="1"/>
  <c r="I211" i="28"/>
  <c r="C31" i="28"/>
  <c r="H30" i="28"/>
  <c r="G219" i="28"/>
  <c r="F219" i="28"/>
  <c r="G53" i="11"/>
  <c r="F53" i="11"/>
  <c r="E53" i="11"/>
  <c r="D53" i="11"/>
  <c r="B498" i="17"/>
  <c r="B506" i="17"/>
  <c r="B504" i="17"/>
  <c r="B500" i="17"/>
  <c r="B500" i="28"/>
  <c r="B505" i="28"/>
  <c r="B503" i="28"/>
  <c r="B501" i="28"/>
  <c r="B497" i="17"/>
  <c r="B502" i="28"/>
  <c r="B503" i="17"/>
  <c r="B506" i="28"/>
  <c r="B501" i="17"/>
  <c r="B502" i="17"/>
  <c r="B498" i="28"/>
  <c r="B499" i="17"/>
  <c r="B505" i="17"/>
  <c r="B497" i="28"/>
  <c r="B499" i="28"/>
  <c r="B504" i="28"/>
  <c r="C31" i="27"/>
  <c r="H30" i="27"/>
  <c r="C31" i="17"/>
  <c r="H30" i="17"/>
  <c r="F216" i="17"/>
  <c r="G216" i="17"/>
  <c r="F215" i="28"/>
  <c r="G215" i="28"/>
  <c r="D226" i="28" a="1"/>
  <c r="D226" i="28" s="1"/>
  <c r="E226" i="28" s="1"/>
  <c r="D228" i="28" a="1"/>
  <c r="D228" i="28" s="1"/>
  <c r="E228" i="28" s="1"/>
  <c r="D225" i="17" a="1"/>
  <c r="D225" i="17" s="1"/>
  <c r="E225" i="17" s="1"/>
  <c r="I206" i="17"/>
  <c r="I208" i="28"/>
  <c r="F217" i="17"/>
  <c r="G217" i="17"/>
  <c r="A85" i="16"/>
  <c r="B84" i="16"/>
  <c r="D84" i="16" a="1"/>
  <c r="D84" i="16" s="1"/>
  <c r="E84" i="16" s="1"/>
  <c r="B88" i="9"/>
  <c r="C88" i="9" s="1"/>
  <c r="A82" i="26"/>
  <c r="B82" i="26" s="1"/>
  <c r="D81" i="26"/>
  <c r="B27" i="11"/>
  <c r="B54" i="11"/>
  <c r="I209" i="28"/>
  <c r="B83" i="27"/>
  <c r="A84" i="27"/>
  <c r="D83" i="27" a="1"/>
  <c r="D83" i="27" s="1"/>
  <c r="E83" i="27" s="1"/>
  <c r="I211" i="17"/>
  <c r="G214" i="28"/>
  <c r="F214" i="28"/>
  <c r="I209" i="17"/>
  <c r="C31" i="16"/>
  <c r="H30" i="16"/>
  <c r="I212" i="17"/>
  <c r="F218" i="28"/>
  <c r="G218" i="28"/>
  <c r="D228" i="17" a="1"/>
  <c r="D228" i="17" s="1"/>
  <c r="E228" i="17" s="1"/>
  <c r="D227" i="17" a="1"/>
  <c r="D227" i="17" s="1"/>
  <c r="E227" i="17" s="1"/>
  <c r="D231" i="28" a="1"/>
  <c r="D231" i="28" s="1"/>
  <c r="E231" i="28" s="1"/>
  <c r="D227" i="28" a="1"/>
  <c r="D227" i="28" s="1"/>
  <c r="E227" i="28" s="1"/>
  <c r="D225" i="28" a="1"/>
  <c r="D225" i="28" s="1"/>
  <c r="E225" i="28" s="1"/>
  <c r="G220" i="28"/>
  <c r="F220" i="28"/>
  <c r="G216" i="28"/>
  <c r="F216" i="28"/>
  <c r="I207" i="28"/>
  <c r="I208" i="17"/>
  <c r="F220" i="17"/>
  <c r="G220" i="17"/>
  <c r="I207" i="17"/>
  <c r="C26" i="11"/>
  <c r="D241" i="17" l="1" a="1"/>
  <c r="D241" i="17" s="1"/>
  <c r="E241" i="17" s="1"/>
  <c r="G241" i="17" s="1"/>
  <c r="K31" i="17" s="1"/>
  <c r="D238" i="17" a="1"/>
  <c r="C27" i="11"/>
  <c r="G223" i="17"/>
  <c r="I223" i="17" s="1"/>
  <c r="F226" i="17"/>
  <c r="G223" i="28"/>
  <c r="I223" i="28" s="1"/>
  <c r="G224" i="28"/>
  <c r="I224" i="28" s="1"/>
  <c r="B81" i="34"/>
  <c r="A82" i="34"/>
  <c r="B81" i="33"/>
  <c r="A82" i="33"/>
  <c r="B81" i="35"/>
  <c r="A82" i="35"/>
  <c r="B81" i="36"/>
  <c r="A82" i="36"/>
  <c r="D234" i="17"/>
  <c r="E234" i="17" s="1"/>
  <c r="G234" i="17" s="1"/>
  <c r="F229" i="28"/>
  <c r="D238" i="17"/>
  <c r="E238" i="17" s="1"/>
  <c r="G238" i="17" s="1"/>
  <c r="I220" i="28"/>
  <c r="G227" i="17"/>
  <c r="F227" i="17"/>
  <c r="I226" i="17"/>
  <c r="B84" i="27"/>
  <c r="A85" i="27"/>
  <c r="D84" i="27" a="1"/>
  <c r="D84" i="27" s="1"/>
  <c r="E84" i="27" s="1"/>
  <c r="G54" i="11"/>
  <c r="D54" i="11"/>
  <c r="E54" i="11"/>
  <c r="F54" i="11"/>
  <c r="B507" i="28"/>
  <c r="B510" i="17"/>
  <c r="B510" i="28"/>
  <c r="B512" i="28"/>
  <c r="B516" i="28"/>
  <c r="B515" i="28"/>
  <c r="B511" i="17"/>
  <c r="B509" i="28"/>
  <c r="B515" i="17"/>
  <c r="B514" i="17"/>
  <c r="B508" i="17"/>
  <c r="B514" i="28"/>
  <c r="B513" i="28"/>
  <c r="B509" i="17"/>
  <c r="B508" i="28"/>
  <c r="B511" i="28"/>
  <c r="B516" i="17"/>
  <c r="B512" i="17"/>
  <c r="B507" i="17"/>
  <c r="B513" i="17"/>
  <c r="I217" i="17"/>
  <c r="F225" i="17"/>
  <c r="G225" i="17"/>
  <c r="D20" i="9"/>
  <c r="I219" i="28"/>
  <c r="I222" i="28"/>
  <c r="I82" i="27"/>
  <c r="D239" i="28" a="1"/>
  <c r="D239" i="28" s="1"/>
  <c r="E239" i="28" s="1"/>
  <c r="D233" i="17" a="1"/>
  <c r="D233" i="17" s="1"/>
  <c r="E233" i="17" s="1"/>
  <c r="D238" i="28" a="1"/>
  <c r="D238" i="28" s="1"/>
  <c r="E238" i="28" s="1"/>
  <c r="D240" i="17" a="1"/>
  <c r="D240" i="17" s="1"/>
  <c r="E240" i="17" s="1"/>
  <c r="I217" i="28"/>
  <c r="I222" i="17"/>
  <c r="G230" i="17"/>
  <c r="F230" i="17"/>
  <c r="F228" i="17"/>
  <c r="G228" i="17"/>
  <c r="G27" i="11"/>
  <c r="B244" i="17"/>
  <c r="F27" i="11"/>
  <c r="B238" i="17"/>
  <c r="B238" i="28"/>
  <c r="B246" i="28"/>
  <c r="E27" i="11"/>
  <c r="B242" i="17"/>
  <c r="B237" i="28"/>
  <c r="B241" i="28"/>
  <c r="B241" i="17"/>
  <c r="B240" i="17"/>
  <c r="D27" i="11"/>
  <c r="B246" i="17"/>
  <c r="B244" i="28"/>
  <c r="B240" i="28"/>
  <c r="B239" i="17"/>
  <c r="B242" i="28"/>
  <c r="B239" i="28"/>
  <c r="B237" i="17"/>
  <c r="B243" i="17"/>
  <c r="B245" i="17"/>
  <c r="B243" i="28"/>
  <c r="B245" i="28"/>
  <c r="G228" i="28"/>
  <c r="F228" i="28"/>
  <c r="I215" i="28"/>
  <c r="I219" i="17"/>
  <c r="F229" i="17"/>
  <c r="G229" i="17"/>
  <c r="I221" i="17"/>
  <c r="C81" i="26"/>
  <c r="D236" i="28" a="1"/>
  <c r="D236" i="28" s="1"/>
  <c r="E236" i="28" s="1"/>
  <c r="F232" i="17"/>
  <c r="G232" i="17"/>
  <c r="D235" i="17" a="1"/>
  <c r="D235" i="17" s="1"/>
  <c r="E235" i="17" s="1"/>
  <c r="D236" i="17" a="1"/>
  <c r="D236" i="17" s="1"/>
  <c r="E236" i="17" s="1"/>
  <c r="I229" i="28"/>
  <c r="F225" i="28"/>
  <c r="G225" i="28"/>
  <c r="F84" i="16"/>
  <c r="G84" i="16"/>
  <c r="I220" i="17"/>
  <c r="I216" i="28"/>
  <c r="G227" i="28"/>
  <c r="F227" i="28"/>
  <c r="I218" i="28"/>
  <c r="F226" i="28"/>
  <c r="G226" i="28"/>
  <c r="C32" i="17"/>
  <c r="H31" i="17"/>
  <c r="C32" i="27"/>
  <c r="H31" i="27"/>
  <c r="C32" i="28"/>
  <c r="H31" i="28"/>
  <c r="G224" i="17"/>
  <c r="F224" i="17"/>
  <c r="I218" i="17"/>
  <c r="D233" i="28" a="1"/>
  <c r="D233" i="28" s="1"/>
  <c r="E233" i="28" s="1"/>
  <c r="D234" i="28" a="1"/>
  <c r="D234" i="28" s="1"/>
  <c r="E234" i="28" s="1"/>
  <c r="D235" i="28" a="1"/>
  <c r="D235" i="28" s="1"/>
  <c r="E235" i="28" s="1"/>
  <c r="I83" i="16"/>
  <c r="G231" i="17"/>
  <c r="K30" i="17" s="1"/>
  <c r="F231" i="17"/>
  <c r="F231" i="28"/>
  <c r="G231" i="28"/>
  <c r="C32" i="16"/>
  <c r="H31" i="16"/>
  <c r="I214" i="28"/>
  <c r="F83" i="27"/>
  <c r="G83" i="27"/>
  <c r="B89" i="9"/>
  <c r="C89" i="9" s="1"/>
  <c r="A83" i="26"/>
  <c r="B83" i="26" s="1"/>
  <c r="B28" i="11"/>
  <c r="D82" i="26"/>
  <c r="B55" i="11"/>
  <c r="A86" i="16"/>
  <c r="B85" i="16"/>
  <c r="D85" i="16" a="1"/>
  <c r="D85" i="16" s="1"/>
  <c r="E85" i="16" s="1"/>
  <c r="I216" i="17"/>
  <c r="F232" i="28"/>
  <c r="G232" i="28"/>
  <c r="D241" i="28" a="1"/>
  <c r="D241" i="28" s="1"/>
  <c r="E241" i="28" s="1"/>
  <c r="D240" i="28" a="1"/>
  <c r="D240" i="28" s="1"/>
  <c r="E240" i="28" s="1"/>
  <c r="D237" i="28" a="1"/>
  <c r="D237" i="28" s="1"/>
  <c r="E237" i="28" s="1"/>
  <c r="D239" i="17" a="1"/>
  <c r="D239" i="17" s="1"/>
  <c r="E239" i="17" s="1"/>
  <c r="D237" i="17" a="1"/>
  <c r="D237" i="17" s="1"/>
  <c r="E237" i="17" s="1"/>
  <c r="I221" i="28"/>
  <c r="K24" i="28"/>
  <c r="M29" i="17" s="1"/>
  <c r="F230" i="28"/>
  <c r="G230" i="28"/>
  <c r="D245" i="28" l="1" a="1"/>
  <c r="D245" i="28" s="1"/>
  <c r="E245" i="28" s="1"/>
  <c r="D250" i="28" a="1"/>
  <c r="D250" i="28" s="1"/>
  <c r="E250" i="28" s="1"/>
  <c r="F250" i="28" s="1"/>
  <c r="D244" i="28" a="1"/>
  <c r="D244" i="28" s="1"/>
  <c r="E244" i="28" s="1"/>
  <c r="F244" i="28" s="1"/>
  <c r="F234" i="17"/>
  <c r="B82" i="33"/>
  <c r="A83" i="33"/>
  <c r="B82" i="35"/>
  <c r="A83" i="35"/>
  <c r="B82" i="34"/>
  <c r="A83" i="34"/>
  <c r="B82" i="36"/>
  <c r="A83" i="36"/>
  <c r="F13" i="31"/>
  <c r="F241" i="17"/>
  <c r="F238" i="17"/>
  <c r="F237" i="17"/>
  <c r="G237" i="17"/>
  <c r="F85" i="16"/>
  <c r="G85" i="16"/>
  <c r="I83" i="27"/>
  <c r="I234" i="17"/>
  <c r="C33" i="17"/>
  <c r="H32" i="17"/>
  <c r="I227" i="28"/>
  <c r="D248" i="28" a="1"/>
  <c r="D248" i="28" s="1"/>
  <c r="E248" i="28" s="1"/>
  <c r="D249" i="28" a="1"/>
  <c r="D249" i="28" s="1"/>
  <c r="E249" i="28" s="1"/>
  <c r="D246" i="17" a="1"/>
  <c r="D246" i="17" s="1"/>
  <c r="E246" i="17" s="1"/>
  <c r="I228" i="17"/>
  <c r="I230" i="17"/>
  <c r="G233" i="17"/>
  <c r="F233" i="17"/>
  <c r="I241" i="17"/>
  <c r="I225" i="17"/>
  <c r="G84" i="27"/>
  <c r="F84" i="27"/>
  <c r="I227" i="17"/>
  <c r="F241" i="28"/>
  <c r="G241" i="28"/>
  <c r="D28" i="11"/>
  <c r="B255" i="17"/>
  <c r="B254" i="28"/>
  <c r="B253" i="17"/>
  <c r="B252" i="28"/>
  <c r="G28" i="11"/>
  <c r="B252" i="17"/>
  <c r="B247" i="28"/>
  <c r="B250" i="28"/>
  <c r="B256" i="17"/>
  <c r="B249" i="28"/>
  <c r="E28" i="11"/>
  <c r="B254" i="17"/>
  <c r="B255" i="28"/>
  <c r="B248" i="17"/>
  <c r="B250" i="17"/>
  <c r="B253" i="28"/>
  <c r="B248" i="28"/>
  <c r="D253" i="28" s="1" a="1"/>
  <c r="B251" i="28"/>
  <c r="B251" i="17"/>
  <c r="F28" i="11"/>
  <c r="B249" i="17"/>
  <c r="D254" i="17" s="1" a="1"/>
  <c r="B247" i="17"/>
  <c r="B256" i="28"/>
  <c r="C33" i="16"/>
  <c r="H32" i="16"/>
  <c r="I231" i="17"/>
  <c r="G235" i="28"/>
  <c r="F235" i="28"/>
  <c r="I224" i="17"/>
  <c r="I226" i="28"/>
  <c r="I84" i="16"/>
  <c r="F236" i="17"/>
  <c r="G236" i="17"/>
  <c r="G236" i="28"/>
  <c r="F236" i="28"/>
  <c r="D250" i="17" a="1"/>
  <c r="D250" i="17" s="1"/>
  <c r="E250" i="17" s="1"/>
  <c r="D247" i="28" a="1"/>
  <c r="D247" i="28" s="1"/>
  <c r="E247" i="28" s="1"/>
  <c r="D251" i="17" a="1"/>
  <c r="D251" i="17" s="1"/>
  <c r="E251" i="17" s="1"/>
  <c r="D246" i="28" a="1"/>
  <c r="D246" i="28" s="1"/>
  <c r="E246" i="28" s="1"/>
  <c r="D251" i="28" a="1"/>
  <c r="D251" i="28" s="1"/>
  <c r="E251" i="28" s="1"/>
  <c r="D249" i="17" a="1"/>
  <c r="D249" i="17" s="1"/>
  <c r="E249" i="17" s="1"/>
  <c r="I238" i="17"/>
  <c r="B85" i="27"/>
  <c r="A86" i="27"/>
  <c r="D85" i="27" a="1"/>
  <c r="D85" i="27" s="1"/>
  <c r="E85" i="27" s="1"/>
  <c r="G240" i="28"/>
  <c r="F240" i="28"/>
  <c r="G239" i="17"/>
  <c r="F239" i="17"/>
  <c r="I232" i="28"/>
  <c r="I230" i="28"/>
  <c r="F237" i="28"/>
  <c r="G237" i="28"/>
  <c r="B86" i="16"/>
  <c r="A87" i="16"/>
  <c r="D86" i="16" a="1"/>
  <c r="D86" i="16" s="1"/>
  <c r="E86" i="16" s="1"/>
  <c r="B90" i="9"/>
  <c r="C90" i="9" s="1"/>
  <c r="A84" i="26"/>
  <c r="B84" i="26" s="1"/>
  <c r="D83" i="26"/>
  <c r="B29" i="11"/>
  <c r="B56" i="11"/>
  <c r="I231" i="28"/>
  <c r="K25" i="28"/>
  <c r="M30" i="17" s="1"/>
  <c r="F234" i="28"/>
  <c r="G234" i="28"/>
  <c r="C33" i="27"/>
  <c r="H32" i="27"/>
  <c r="F235" i="17"/>
  <c r="G235" i="17"/>
  <c r="C82" i="26"/>
  <c r="I229" i="17"/>
  <c r="I228" i="28"/>
  <c r="D248" i="17" a="1"/>
  <c r="D248" i="17" s="1"/>
  <c r="E248" i="17" s="1"/>
  <c r="D244" i="17" a="1"/>
  <c r="D244" i="17" s="1"/>
  <c r="E244" i="17" s="1"/>
  <c r="D242" i="28" a="1"/>
  <c r="D242" i="28" s="1"/>
  <c r="E242" i="28" s="1"/>
  <c r="D243" i="28" a="1"/>
  <c r="D243" i="28" s="1"/>
  <c r="E243" i="28" s="1"/>
  <c r="C28" i="11"/>
  <c r="F240" i="17"/>
  <c r="G240" i="17"/>
  <c r="G55" i="11"/>
  <c r="D55" i="11"/>
  <c r="E55" i="11"/>
  <c r="F55" i="11"/>
  <c r="B519" i="17"/>
  <c r="B518" i="28"/>
  <c r="B526" i="17"/>
  <c r="B517" i="28"/>
  <c r="B525" i="17"/>
  <c r="B524" i="17"/>
  <c r="B522" i="28"/>
  <c r="B517" i="17"/>
  <c r="B523" i="28"/>
  <c r="B525" i="28"/>
  <c r="B519" i="28"/>
  <c r="B522" i="17"/>
  <c r="B520" i="17"/>
  <c r="B521" i="17"/>
  <c r="B524" i="28"/>
  <c r="B518" i="17"/>
  <c r="B526" i="28"/>
  <c r="B523" i="17"/>
  <c r="B520" i="28"/>
  <c r="B521" i="28"/>
  <c r="G233" i="28"/>
  <c r="F233" i="28"/>
  <c r="C33" i="28"/>
  <c r="H32" i="28"/>
  <c r="I225" i="28"/>
  <c r="I232" i="17"/>
  <c r="D242" i="17" a="1"/>
  <c r="D242" i="17" s="1"/>
  <c r="E242" i="17" s="1"/>
  <c r="D245" i="17" a="1"/>
  <c r="D245" i="17" s="1"/>
  <c r="E245" i="17" s="1"/>
  <c r="D247" i="17" a="1"/>
  <c r="D247" i="17" s="1"/>
  <c r="E247" i="17" s="1"/>
  <c r="D243" i="17" a="1"/>
  <c r="D243" i="17" s="1"/>
  <c r="E243" i="17" s="1"/>
  <c r="F238" i="28"/>
  <c r="G238" i="28"/>
  <c r="F239" i="28"/>
  <c r="G239" i="28"/>
  <c r="F245" i="28" l="1"/>
  <c r="G245" i="28"/>
  <c r="D256" i="28" a="1"/>
  <c r="B83" i="34"/>
  <c r="A84" i="34"/>
  <c r="B83" i="33"/>
  <c r="A84" i="33"/>
  <c r="B83" i="36"/>
  <c r="A84" i="36"/>
  <c r="B83" i="35"/>
  <c r="A84" i="35"/>
  <c r="G244" i="28"/>
  <c r="I244" i="28" s="1"/>
  <c r="G250" i="28"/>
  <c r="I250" i="28" s="1"/>
  <c r="D254" i="17"/>
  <c r="E254" i="17" s="1"/>
  <c r="G254" i="17" s="1"/>
  <c r="D256" i="28"/>
  <c r="E256" i="28" s="1"/>
  <c r="G256" i="28" s="1"/>
  <c r="D253" i="28"/>
  <c r="E253" i="28" s="1"/>
  <c r="F253" i="28" s="1"/>
  <c r="C83" i="26"/>
  <c r="F247" i="17"/>
  <c r="G247" i="17"/>
  <c r="C34" i="28"/>
  <c r="H33" i="28"/>
  <c r="I240" i="17"/>
  <c r="F242" i="28"/>
  <c r="G242" i="28"/>
  <c r="F29" i="11"/>
  <c r="B258" i="17"/>
  <c r="B260" i="28"/>
  <c r="B259" i="28"/>
  <c r="B259" i="17"/>
  <c r="B266" i="28"/>
  <c r="B265" i="28"/>
  <c r="E29" i="11"/>
  <c r="B257" i="17"/>
  <c r="B263" i="17"/>
  <c r="B263" i="28"/>
  <c r="B265" i="17"/>
  <c r="B261" i="17"/>
  <c r="B262" i="28"/>
  <c r="G29" i="11"/>
  <c r="B262" i="17"/>
  <c r="B266" i="17"/>
  <c r="B261" i="28"/>
  <c r="B264" i="17"/>
  <c r="B260" i="17"/>
  <c r="D29" i="11"/>
  <c r="B257" i="28"/>
  <c r="B258" i="28"/>
  <c r="B264" i="28"/>
  <c r="G86" i="16"/>
  <c r="F86" i="16"/>
  <c r="I240" i="28"/>
  <c r="F251" i="28"/>
  <c r="G251" i="28"/>
  <c r="G250" i="17"/>
  <c r="F250" i="17"/>
  <c r="I236" i="17"/>
  <c r="D252" i="17" a="1"/>
  <c r="D252" i="17" s="1"/>
  <c r="E252" i="17" s="1"/>
  <c r="D253" i="17" a="1"/>
  <c r="D253" i="17" s="1"/>
  <c r="E253" i="17" s="1"/>
  <c r="D254" i="28" a="1"/>
  <c r="D254" i="28" s="1"/>
  <c r="E254" i="28" s="1"/>
  <c r="D257" i="17" a="1"/>
  <c r="D257" i="17" s="1"/>
  <c r="E257" i="17" s="1"/>
  <c r="D259" i="28" a="1"/>
  <c r="D259" i="28" s="1"/>
  <c r="E259" i="28" s="1"/>
  <c r="I84" i="27"/>
  <c r="G249" i="28"/>
  <c r="F249" i="28"/>
  <c r="C34" i="17"/>
  <c r="H33" i="17"/>
  <c r="F244" i="17"/>
  <c r="G244" i="17"/>
  <c r="C34" i="27"/>
  <c r="H33" i="27"/>
  <c r="A88" i="16"/>
  <c r="B87" i="16"/>
  <c r="D87" i="16" a="1"/>
  <c r="D87" i="16" s="1"/>
  <c r="E87" i="16" s="1"/>
  <c r="G85" i="27"/>
  <c r="F85" i="27"/>
  <c r="G246" i="28"/>
  <c r="F246" i="28"/>
  <c r="I235" i="28"/>
  <c r="D260" i="28" a="1"/>
  <c r="D260" i="28" s="1"/>
  <c r="E260" i="28" s="1"/>
  <c r="D261" i="17" a="1"/>
  <c r="D261" i="17" s="1"/>
  <c r="E261" i="17" s="1"/>
  <c r="D260" i="17" a="1"/>
  <c r="D260" i="17" s="1"/>
  <c r="E260" i="17" s="1"/>
  <c r="I85" i="16"/>
  <c r="I238" i="28"/>
  <c r="I239" i="28"/>
  <c r="I233" i="28"/>
  <c r="C29" i="11"/>
  <c r="F248" i="17"/>
  <c r="G248" i="17"/>
  <c r="I235" i="17"/>
  <c r="I234" i="28"/>
  <c r="B91" i="9"/>
  <c r="C91" i="9" s="1"/>
  <c r="A85" i="26"/>
  <c r="B85" i="26" s="1"/>
  <c r="D84" i="26"/>
  <c r="B30" i="11"/>
  <c r="B57" i="11"/>
  <c r="I239" i="17"/>
  <c r="B86" i="27"/>
  <c r="A87" i="27"/>
  <c r="D86" i="27" a="1"/>
  <c r="D86" i="27" s="1"/>
  <c r="E86" i="27" s="1"/>
  <c r="G251" i="17"/>
  <c r="K32" i="17" s="1"/>
  <c r="F251" i="17"/>
  <c r="C34" i="16"/>
  <c r="H33" i="16"/>
  <c r="D258" i="28" a="1"/>
  <c r="D258" i="28" s="1"/>
  <c r="E258" i="28" s="1"/>
  <c r="D259" i="17" a="1"/>
  <c r="D259" i="17" s="1"/>
  <c r="E259" i="17" s="1"/>
  <c r="D255" i="28" a="1"/>
  <c r="D255" i="28" s="1"/>
  <c r="E255" i="28" s="1"/>
  <c r="D257" i="28" a="1"/>
  <c r="D257" i="28" s="1"/>
  <c r="E257" i="28" s="1"/>
  <c r="I233" i="17"/>
  <c r="F245" i="17"/>
  <c r="G245" i="17"/>
  <c r="F243" i="17"/>
  <c r="G243" i="17"/>
  <c r="I245" i="28"/>
  <c r="G242" i="17"/>
  <c r="F242" i="17"/>
  <c r="F243" i="28"/>
  <c r="G243" i="28"/>
  <c r="F56" i="11"/>
  <c r="E56" i="11"/>
  <c r="G56" i="11"/>
  <c r="D56" i="11"/>
  <c r="B529" i="17"/>
  <c r="B529" i="28"/>
  <c r="B531" i="17"/>
  <c r="B533" i="28"/>
  <c r="B535" i="17"/>
  <c r="B532" i="17"/>
  <c r="B531" i="28"/>
  <c r="B528" i="17"/>
  <c r="B534" i="28"/>
  <c r="B535" i="28"/>
  <c r="B528" i="28"/>
  <c r="B527" i="28"/>
  <c r="B530" i="17"/>
  <c r="B536" i="28"/>
  <c r="B530" i="28"/>
  <c r="B536" i="17"/>
  <c r="B532" i="28"/>
  <c r="B534" i="17"/>
  <c r="B527" i="17"/>
  <c r="B533" i="17"/>
  <c r="I237" i="28"/>
  <c r="F249" i="17"/>
  <c r="G249" i="17"/>
  <c r="F247" i="28"/>
  <c r="G247" i="28"/>
  <c r="I236" i="28"/>
  <c r="D261" i="28" a="1"/>
  <c r="D261" i="28" s="1"/>
  <c r="E261" i="28" s="1"/>
  <c r="D256" i="17" a="1"/>
  <c r="D256" i="17" s="1"/>
  <c r="E256" i="17" s="1"/>
  <c r="D255" i="17" a="1"/>
  <c r="D255" i="17" s="1"/>
  <c r="E255" i="17" s="1"/>
  <c r="D252" i="28" a="1"/>
  <c r="D252" i="28" s="1"/>
  <c r="E252" i="28" s="1"/>
  <c r="D258" i="17" a="1"/>
  <c r="D258" i="17" s="1"/>
  <c r="E258" i="17" s="1"/>
  <c r="I241" i="28"/>
  <c r="K26" i="28"/>
  <c r="M31" i="17" s="1"/>
  <c r="F246" i="17"/>
  <c r="G246" i="17"/>
  <c r="F248" i="28"/>
  <c r="G248" i="28"/>
  <c r="I237" i="17"/>
  <c r="D265" i="17" l="1" a="1"/>
  <c r="D269" i="28" a="1"/>
  <c r="F256" i="28"/>
  <c r="G253" i="28"/>
  <c r="I253" i="28" s="1"/>
  <c r="B84" i="36"/>
  <c r="A85" i="36"/>
  <c r="B84" i="34"/>
  <c r="A85" i="34"/>
  <c r="B84" i="35"/>
  <c r="A85" i="35"/>
  <c r="B84" i="33"/>
  <c r="A85" i="33"/>
  <c r="F254" i="17"/>
  <c r="D269" i="28"/>
  <c r="E269" i="28" s="1"/>
  <c r="G269" i="28" s="1"/>
  <c r="D265" i="17"/>
  <c r="E265" i="17" s="1"/>
  <c r="F265" i="17" s="1"/>
  <c r="G255" i="17"/>
  <c r="F255" i="17"/>
  <c r="I249" i="17"/>
  <c r="F256" i="17"/>
  <c r="G256" i="17"/>
  <c r="I245" i="17"/>
  <c r="F257" i="28"/>
  <c r="G257" i="28"/>
  <c r="I248" i="17"/>
  <c r="F260" i="28"/>
  <c r="G260" i="28"/>
  <c r="I254" i="17"/>
  <c r="I246" i="28"/>
  <c r="C84" i="26"/>
  <c r="I249" i="28"/>
  <c r="F253" i="17"/>
  <c r="G253" i="17"/>
  <c r="F252" i="17"/>
  <c r="G252" i="17"/>
  <c r="I250" i="17"/>
  <c r="D263" i="28" a="1"/>
  <c r="D263" i="28" s="1"/>
  <c r="E263" i="28" s="1"/>
  <c r="D269" i="17" a="1"/>
  <c r="D269" i="17" s="1"/>
  <c r="E269" i="17" s="1"/>
  <c r="D268" i="28" a="1"/>
  <c r="D268" i="28" s="1"/>
  <c r="E268" i="28" s="1"/>
  <c r="D270" i="28" a="1"/>
  <c r="D270" i="28" s="1"/>
  <c r="E270" i="28" s="1"/>
  <c r="D265" i="28" a="1"/>
  <c r="D265" i="28" s="1"/>
  <c r="E265" i="28" s="1"/>
  <c r="I247" i="17"/>
  <c r="G258" i="17"/>
  <c r="F258" i="17"/>
  <c r="F261" i="28"/>
  <c r="G261" i="28"/>
  <c r="I247" i="28"/>
  <c r="F255" i="28"/>
  <c r="G255" i="28"/>
  <c r="C35" i="16"/>
  <c r="H34" i="16"/>
  <c r="F86" i="27"/>
  <c r="G86" i="27"/>
  <c r="B92" i="9"/>
  <c r="C92" i="9" s="1"/>
  <c r="A86" i="26"/>
  <c r="B86" i="26" s="1"/>
  <c r="D85" i="26"/>
  <c r="B31" i="11"/>
  <c r="B58" i="11"/>
  <c r="A89" i="16"/>
  <c r="B88" i="16"/>
  <c r="D88" i="16" a="1"/>
  <c r="D88" i="16" s="1"/>
  <c r="E88" i="16" s="1"/>
  <c r="I244" i="17"/>
  <c r="C35" i="17"/>
  <c r="H34" i="17"/>
  <c r="F259" i="28"/>
  <c r="G259" i="28"/>
  <c r="I251" i="28"/>
  <c r="K27" i="28"/>
  <c r="M32" i="17" s="1"/>
  <c r="D262" i="28" a="1"/>
  <c r="D262" i="28" s="1"/>
  <c r="E262" i="28" s="1"/>
  <c r="D266" i="28" a="1"/>
  <c r="D266" i="28" s="1"/>
  <c r="E266" i="28" s="1"/>
  <c r="D267" i="28" a="1"/>
  <c r="D267" i="28" s="1"/>
  <c r="E267" i="28" s="1"/>
  <c r="D268" i="17" a="1"/>
  <c r="D268" i="17" s="1"/>
  <c r="E268" i="17" s="1"/>
  <c r="D271" i="28" a="1"/>
  <c r="D271" i="28" s="1"/>
  <c r="E271" i="28" s="1"/>
  <c r="D263" i="17" a="1"/>
  <c r="D263" i="17" s="1"/>
  <c r="E263" i="17" s="1"/>
  <c r="C35" i="28"/>
  <c r="H34" i="28"/>
  <c r="I246" i="17"/>
  <c r="I248" i="28"/>
  <c r="G252" i="28"/>
  <c r="F252" i="28"/>
  <c r="I243" i="17"/>
  <c r="F259" i="17"/>
  <c r="G259" i="17"/>
  <c r="B87" i="27"/>
  <c r="A88" i="27"/>
  <c r="D87" i="27" a="1"/>
  <c r="D87" i="27" s="1"/>
  <c r="E87" i="27" s="1"/>
  <c r="E57" i="11"/>
  <c r="G57" i="11"/>
  <c r="F57" i="11"/>
  <c r="D57" i="11"/>
  <c r="B545" i="28"/>
  <c r="B544" i="17"/>
  <c r="B541" i="17"/>
  <c r="B540" i="28"/>
  <c r="B539" i="17"/>
  <c r="B542" i="28"/>
  <c r="B540" i="17"/>
  <c r="B546" i="28"/>
  <c r="B537" i="17"/>
  <c r="B541" i="28"/>
  <c r="B545" i="17"/>
  <c r="B542" i="17"/>
  <c r="B544" i="28"/>
  <c r="B538" i="17"/>
  <c r="B543" i="28"/>
  <c r="B546" i="17"/>
  <c r="B537" i="28"/>
  <c r="B539" i="28"/>
  <c r="B543" i="17"/>
  <c r="B538" i="28"/>
  <c r="C30" i="11"/>
  <c r="F260" i="17"/>
  <c r="G260" i="17"/>
  <c r="I85" i="27"/>
  <c r="G257" i="17"/>
  <c r="F257" i="17"/>
  <c r="I256" i="28"/>
  <c r="I86" i="16"/>
  <c r="D271" i="17" a="1"/>
  <c r="D271" i="17" s="1"/>
  <c r="E271" i="17" s="1"/>
  <c r="D266" i="17" a="1"/>
  <c r="D266" i="17" s="1"/>
  <c r="E266" i="17" s="1"/>
  <c r="D262" i="17" a="1"/>
  <c r="D262" i="17" s="1"/>
  <c r="E262" i="17" s="1"/>
  <c r="D264" i="17" a="1"/>
  <c r="D264" i="17" s="1"/>
  <c r="E264" i="17" s="1"/>
  <c r="I243" i="28"/>
  <c r="I242" i="17"/>
  <c r="F258" i="28"/>
  <c r="G258" i="28"/>
  <c r="I251" i="17"/>
  <c r="D30" i="11"/>
  <c r="B274" i="17"/>
  <c r="B274" i="28"/>
  <c r="B272" i="28"/>
  <c r="B268" i="17"/>
  <c r="B271" i="28"/>
  <c r="E30" i="11"/>
  <c r="B272" i="17"/>
  <c r="B276" i="28"/>
  <c r="B267" i="17"/>
  <c r="B269" i="17"/>
  <c r="B270" i="28"/>
  <c r="F30" i="11"/>
  <c r="B273" i="17"/>
  <c r="B267" i="28"/>
  <c r="B271" i="17"/>
  <c r="B275" i="17"/>
  <c r="B269" i="28"/>
  <c r="G30" i="11"/>
  <c r="B276" i="17"/>
  <c r="B268" i="28"/>
  <c r="B273" i="28"/>
  <c r="B275" i="28"/>
  <c r="B270" i="17"/>
  <c r="F261" i="17"/>
  <c r="G261" i="17"/>
  <c r="K33" i="17" s="1"/>
  <c r="G87" i="16"/>
  <c r="F87" i="16"/>
  <c r="C35" i="27"/>
  <c r="H34" i="27"/>
  <c r="F254" i="28"/>
  <c r="G254" i="28"/>
  <c r="D267" i="17" a="1"/>
  <c r="D267" i="17" s="1"/>
  <c r="E267" i="17" s="1"/>
  <c r="D270" i="17" a="1"/>
  <c r="D270" i="17" s="1"/>
  <c r="E270" i="17" s="1"/>
  <c r="D264" i="28" a="1"/>
  <c r="D264" i="28" s="1"/>
  <c r="E264" i="28" s="1"/>
  <c r="I242" i="28"/>
  <c r="D273" i="28" l="1" a="1"/>
  <c r="D273" i="17" a="1"/>
  <c r="D273" i="17" s="1"/>
  <c r="E273" i="17" s="1"/>
  <c r="G273" i="17" s="1"/>
  <c r="D275" i="17" a="1"/>
  <c r="D275" i="17" s="1"/>
  <c r="E275" i="17" s="1"/>
  <c r="G275" i="17" s="1"/>
  <c r="C31" i="11"/>
  <c r="F269" i="28"/>
  <c r="G265" i="17"/>
  <c r="I265" i="17" s="1"/>
  <c r="D273" i="28"/>
  <c r="E273" i="28" s="1"/>
  <c r="G273" i="28" s="1"/>
  <c r="B85" i="35"/>
  <c r="A86" i="35"/>
  <c r="B85" i="34"/>
  <c r="A86" i="34"/>
  <c r="B85" i="36"/>
  <c r="A86" i="36"/>
  <c r="B85" i="33"/>
  <c r="A86" i="33"/>
  <c r="D281" i="17" a="1"/>
  <c r="D281" i="17" s="1"/>
  <c r="E281" i="17" s="1"/>
  <c r="D276" i="17" a="1"/>
  <c r="D276" i="17" s="1"/>
  <c r="E276" i="17" s="1"/>
  <c r="D275" i="28" a="1"/>
  <c r="D275" i="28" s="1"/>
  <c r="E275" i="28" s="1"/>
  <c r="D277" i="17" a="1"/>
  <c r="D277" i="17" s="1"/>
  <c r="E277" i="17" s="1"/>
  <c r="D277" i="28" a="1"/>
  <c r="D277" i="28" s="1"/>
  <c r="E277" i="28" s="1"/>
  <c r="F262" i="17"/>
  <c r="G262" i="17"/>
  <c r="I257" i="17"/>
  <c r="G87" i="27"/>
  <c r="F87" i="27"/>
  <c r="C36" i="28"/>
  <c r="H35" i="28"/>
  <c r="G268" i="17"/>
  <c r="F268" i="17"/>
  <c r="G262" i="28"/>
  <c r="F262" i="28"/>
  <c r="I259" i="28"/>
  <c r="B89" i="16"/>
  <c r="A90" i="16"/>
  <c r="D89" i="16" a="1"/>
  <c r="D89" i="16" s="1"/>
  <c r="E89" i="16" s="1"/>
  <c r="B93" i="9"/>
  <c r="C93" i="9" s="1"/>
  <c r="A87" i="26"/>
  <c r="B87" i="26" s="1"/>
  <c r="B32" i="11"/>
  <c r="C32" i="11" s="1"/>
  <c r="D86" i="26"/>
  <c r="B59" i="11"/>
  <c r="F269" i="17"/>
  <c r="G269" i="17"/>
  <c r="I252" i="17"/>
  <c r="I256" i="17"/>
  <c r="I254" i="28"/>
  <c r="G264" i="28"/>
  <c r="F264" i="28"/>
  <c r="I87" i="16"/>
  <c r="D280" i="28" a="1"/>
  <c r="D280" i="28" s="1"/>
  <c r="E280" i="28" s="1"/>
  <c r="D272" i="28" a="1"/>
  <c r="D272" i="28" s="1"/>
  <c r="E272" i="28" s="1"/>
  <c r="D274" i="17" a="1"/>
  <c r="D274" i="17" s="1"/>
  <c r="E274" i="17" s="1"/>
  <c r="D279" i="28" a="1"/>
  <c r="D279" i="28" s="1"/>
  <c r="E279" i="28" s="1"/>
  <c r="F266" i="17"/>
  <c r="G266" i="17"/>
  <c r="I260" i="17"/>
  <c r="B88" i="27"/>
  <c r="A89" i="27"/>
  <c r="D88" i="27" a="1"/>
  <c r="D88" i="27" s="1"/>
  <c r="E88" i="27" s="1"/>
  <c r="I252" i="28"/>
  <c r="G267" i="28"/>
  <c r="F267" i="28"/>
  <c r="E58" i="11"/>
  <c r="F58" i="11"/>
  <c r="G58" i="11"/>
  <c r="D58" i="11"/>
  <c r="B553" i="17"/>
  <c r="B555" i="17"/>
  <c r="B552" i="28"/>
  <c r="B547" i="28"/>
  <c r="B548" i="28"/>
  <c r="B555" i="28"/>
  <c r="B553" i="28"/>
  <c r="B556" i="28"/>
  <c r="B554" i="28"/>
  <c r="B550" i="17"/>
  <c r="B551" i="17"/>
  <c r="B547" i="17"/>
  <c r="B548" i="17"/>
  <c r="B549" i="17"/>
  <c r="B549" i="28"/>
  <c r="B556" i="17"/>
  <c r="B551" i="28"/>
  <c r="B550" i="28"/>
  <c r="B552" i="17"/>
  <c r="B554" i="17"/>
  <c r="C36" i="16"/>
  <c r="H35" i="16"/>
  <c r="F265" i="28"/>
  <c r="G265" i="28"/>
  <c r="G263" i="28"/>
  <c r="F263" i="28"/>
  <c r="I255" i="17"/>
  <c r="G270" i="17"/>
  <c r="F270" i="17"/>
  <c r="I269" i="28"/>
  <c r="I261" i="17"/>
  <c r="D278" i="28" a="1"/>
  <c r="D278" i="28" s="1"/>
  <c r="E278" i="28" s="1"/>
  <c r="D274" i="28" a="1"/>
  <c r="D274" i="28" s="1"/>
  <c r="E274" i="28" s="1"/>
  <c r="D278" i="17" a="1"/>
  <c r="D278" i="17" s="1"/>
  <c r="E278" i="17" s="1"/>
  <c r="D272" i="17" a="1"/>
  <c r="D272" i="17" s="1"/>
  <c r="E272" i="17" s="1"/>
  <c r="D276" i="28" a="1"/>
  <c r="D276" i="28" s="1"/>
  <c r="E276" i="28" s="1"/>
  <c r="D279" i="17" a="1"/>
  <c r="D279" i="17" s="1"/>
  <c r="E279" i="17" s="1"/>
  <c r="G271" i="17"/>
  <c r="K34" i="17" s="1"/>
  <c r="F271" i="17"/>
  <c r="G263" i="17"/>
  <c r="F263" i="17"/>
  <c r="G266" i="28"/>
  <c r="F266" i="28"/>
  <c r="F88" i="16"/>
  <c r="G88" i="16"/>
  <c r="E31" i="11"/>
  <c r="B281" i="17"/>
  <c r="B282" i="28"/>
  <c r="B285" i="28"/>
  <c r="B278" i="17"/>
  <c r="D283" i="17" s="1" a="1"/>
  <c r="B279" i="28"/>
  <c r="G31" i="11"/>
  <c r="B277" i="17"/>
  <c r="B286" i="28"/>
  <c r="B283" i="17"/>
  <c r="B285" i="17"/>
  <c r="B277" i="28"/>
  <c r="D282" i="28" s="1" a="1"/>
  <c r="D282" i="28" s="1"/>
  <c r="E282" i="28" s="1"/>
  <c r="F31" i="11"/>
  <c r="B284" i="17"/>
  <c r="B278" i="28"/>
  <c r="B280" i="28"/>
  <c r="B286" i="17"/>
  <c r="B279" i="17"/>
  <c r="B284" i="28"/>
  <c r="B282" i="17"/>
  <c r="B283" i="28"/>
  <c r="B281" i="28"/>
  <c r="B280" i="17"/>
  <c r="D31" i="11"/>
  <c r="I86" i="27"/>
  <c r="I255" i="28"/>
  <c r="I258" i="17"/>
  <c r="F270" i="28"/>
  <c r="G270" i="28"/>
  <c r="I253" i="17"/>
  <c r="C85" i="26"/>
  <c r="C86" i="26" s="1"/>
  <c r="F267" i="17"/>
  <c r="G267" i="17"/>
  <c r="C36" i="27"/>
  <c r="H35" i="27"/>
  <c r="D280" i="17" a="1"/>
  <c r="D280" i="17" s="1"/>
  <c r="E280" i="17" s="1"/>
  <c r="D281" i="28" a="1"/>
  <c r="D281" i="28" s="1"/>
  <c r="E281" i="28" s="1"/>
  <c r="I258" i="28"/>
  <c r="F264" i="17"/>
  <c r="G264" i="17"/>
  <c r="I259" i="17"/>
  <c r="G271" i="28"/>
  <c r="F271" i="28"/>
  <c r="C36" i="17"/>
  <c r="H35" i="17"/>
  <c r="K28" i="28"/>
  <c r="M33" i="17" s="1"/>
  <c r="I261" i="28"/>
  <c r="F268" i="28"/>
  <c r="G268" i="28"/>
  <c r="I260" i="28"/>
  <c r="I257" i="28"/>
  <c r="D284" i="17" l="1" a="1"/>
  <c r="D286" i="28" a="1"/>
  <c r="D286" i="28" s="1"/>
  <c r="E286" i="28" s="1"/>
  <c r="G286" i="28" s="1"/>
  <c r="D284" i="28" a="1"/>
  <c r="F273" i="28"/>
  <c r="F273" i="17"/>
  <c r="B86" i="33"/>
  <c r="A87" i="33"/>
  <c r="B86" i="35"/>
  <c r="A87" i="35"/>
  <c r="B86" i="34"/>
  <c r="A87" i="34"/>
  <c r="B86" i="36"/>
  <c r="A87" i="36"/>
  <c r="D284" i="17"/>
  <c r="E284" i="17" s="1"/>
  <c r="F284" i="17" s="1"/>
  <c r="F275" i="17"/>
  <c r="D284" i="28"/>
  <c r="E284" i="28" s="1"/>
  <c r="G284" i="28" s="1"/>
  <c r="D283" i="17"/>
  <c r="E283" i="17" s="1"/>
  <c r="G283" i="17" s="1"/>
  <c r="I271" i="28"/>
  <c r="K29" i="28"/>
  <c r="M34" i="17" s="1"/>
  <c r="I273" i="17"/>
  <c r="I270" i="28"/>
  <c r="D288" i="28" a="1"/>
  <c r="D288" i="28" s="1"/>
  <c r="E288" i="28" s="1"/>
  <c r="D291" i="17" a="1"/>
  <c r="D291" i="17" s="1"/>
  <c r="E291" i="17" s="1"/>
  <c r="D291" i="28" a="1"/>
  <c r="D291" i="28" s="1"/>
  <c r="E291" i="28" s="1"/>
  <c r="I266" i="28"/>
  <c r="F274" i="28"/>
  <c r="G274" i="28"/>
  <c r="I270" i="17"/>
  <c r="G88" i="27"/>
  <c r="F88" i="27"/>
  <c r="I273" i="28"/>
  <c r="F32" i="11"/>
  <c r="B296" i="17"/>
  <c r="B295" i="17"/>
  <c r="B295" i="28"/>
  <c r="B287" i="17"/>
  <c r="B292" i="28"/>
  <c r="D32" i="11"/>
  <c r="B294" i="17"/>
  <c r="B296" i="28"/>
  <c r="B291" i="17"/>
  <c r="E32" i="11"/>
  <c r="B289" i="17"/>
  <c r="B287" i="28"/>
  <c r="B289" i="28"/>
  <c r="B290" i="17"/>
  <c r="B294" i="28"/>
  <c r="B293" i="28"/>
  <c r="B293" i="17"/>
  <c r="B291" i="28"/>
  <c r="B288" i="28"/>
  <c r="D293" i="28" s="1" a="1"/>
  <c r="G32" i="11"/>
  <c r="B288" i="17"/>
  <c r="B292" i="17"/>
  <c r="B290" i="28"/>
  <c r="B90" i="16"/>
  <c r="A91" i="16"/>
  <c r="D90" i="16" a="1"/>
  <c r="D90" i="16" s="1"/>
  <c r="E90" i="16" s="1"/>
  <c r="C37" i="28"/>
  <c r="H36" i="28"/>
  <c r="G275" i="28"/>
  <c r="F275" i="28"/>
  <c r="I275" i="17"/>
  <c r="C37" i="27"/>
  <c r="H36" i="27"/>
  <c r="D287" i="17" a="1"/>
  <c r="D287" i="17" s="1"/>
  <c r="E287" i="17" s="1"/>
  <c r="D285" i="28" a="1"/>
  <c r="D285" i="28" s="1"/>
  <c r="E285" i="28" s="1"/>
  <c r="G282" i="28"/>
  <c r="F282" i="28"/>
  <c r="D282" i="17" a="1"/>
  <c r="D282" i="17" s="1"/>
  <c r="E282" i="17" s="1"/>
  <c r="D290" i="28" a="1"/>
  <c r="D290" i="28" s="1"/>
  <c r="E290" i="28" s="1"/>
  <c r="I88" i="16"/>
  <c r="F278" i="28"/>
  <c r="G278" i="28"/>
  <c r="I263" i="28"/>
  <c r="C37" i="16"/>
  <c r="H36" i="16"/>
  <c r="A90" i="27"/>
  <c r="B89" i="27"/>
  <c r="D89" i="27" a="1"/>
  <c r="D89" i="27" s="1"/>
  <c r="E89" i="27" s="1"/>
  <c r="F272" i="28"/>
  <c r="G272" i="28"/>
  <c r="B94" i="9"/>
  <c r="C94" i="9" s="1"/>
  <c r="A88" i="26"/>
  <c r="B88" i="26" s="1"/>
  <c r="D87" i="26"/>
  <c r="B33" i="11"/>
  <c r="C33" i="11" s="1"/>
  <c r="B60" i="11"/>
  <c r="I262" i="28"/>
  <c r="F276" i="17"/>
  <c r="G276" i="17"/>
  <c r="C37" i="17"/>
  <c r="H36" i="17"/>
  <c r="I268" i="28"/>
  <c r="F281" i="28"/>
  <c r="G281" i="28"/>
  <c r="I267" i="17"/>
  <c r="D285" i="17" a="1"/>
  <c r="D285" i="17" s="1"/>
  <c r="E285" i="17" s="1"/>
  <c r="D289" i="28" a="1"/>
  <c r="D289" i="28" s="1"/>
  <c r="E289" i="28" s="1"/>
  <c r="D283" i="28" a="1"/>
  <c r="D283" i="28" s="1"/>
  <c r="E283" i="28" s="1"/>
  <c r="D290" i="17" a="1"/>
  <c r="D290" i="17" s="1"/>
  <c r="E290" i="17" s="1"/>
  <c r="D287" i="28" a="1"/>
  <c r="D287" i="28" s="1"/>
  <c r="E287" i="28" s="1"/>
  <c r="I263" i="17"/>
  <c r="G279" i="17"/>
  <c r="F279" i="17"/>
  <c r="G272" i="17"/>
  <c r="F272" i="17"/>
  <c r="I265" i="28"/>
  <c r="I266" i="17"/>
  <c r="F279" i="28"/>
  <c r="G279" i="28"/>
  <c r="G280" i="28"/>
  <c r="F280" i="28"/>
  <c r="I264" i="28"/>
  <c r="I269" i="17"/>
  <c r="F59" i="11"/>
  <c r="D59" i="11"/>
  <c r="E59" i="11"/>
  <c r="G59" i="11"/>
  <c r="B557" i="17"/>
  <c r="B564" i="28"/>
  <c r="B559" i="28"/>
  <c r="B558" i="28"/>
  <c r="B562" i="28"/>
  <c r="B566" i="17"/>
  <c r="B563" i="28"/>
  <c r="B558" i="17"/>
  <c r="B560" i="17"/>
  <c r="B564" i="17"/>
  <c r="B565" i="28"/>
  <c r="B562" i="17"/>
  <c r="B557" i="28"/>
  <c r="B560" i="28"/>
  <c r="B561" i="17"/>
  <c r="B561" i="28"/>
  <c r="B565" i="17"/>
  <c r="B563" i="17"/>
  <c r="B559" i="17"/>
  <c r="B566" i="28"/>
  <c r="I268" i="17"/>
  <c r="G277" i="28"/>
  <c r="F277" i="28"/>
  <c r="F281" i="17"/>
  <c r="G281" i="17"/>
  <c r="K35" i="17" s="1"/>
  <c r="I264" i="17"/>
  <c r="G280" i="17"/>
  <c r="F280" i="17"/>
  <c r="D289" i="17" a="1"/>
  <c r="D289" i="17" s="1"/>
  <c r="E289" i="17" s="1"/>
  <c r="D288" i="17" a="1"/>
  <c r="D288" i="17" s="1"/>
  <c r="E288" i="17" s="1"/>
  <c r="D286" i="17" a="1"/>
  <c r="D286" i="17" s="1"/>
  <c r="E286" i="17" s="1"/>
  <c r="I271" i="17"/>
  <c r="F276" i="28"/>
  <c r="G276" i="28"/>
  <c r="G278" i="17"/>
  <c r="F278" i="17"/>
  <c r="I267" i="28"/>
  <c r="F274" i="17"/>
  <c r="G274" i="17"/>
  <c r="F89" i="16"/>
  <c r="G89" i="16"/>
  <c r="I87" i="27"/>
  <c r="I262" i="17"/>
  <c r="F277" i="17"/>
  <c r="G277" i="17"/>
  <c r="D295" i="28" l="1" a="1"/>
  <c r="D295" i="28" s="1"/>
  <c r="E295" i="28" s="1"/>
  <c r="F295" i="28" s="1"/>
  <c r="D293" i="17" a="1"/>
  <c r="D294" i="28" a="1"/>
  <c r="F284" i="28"/>
  <c r="G284" i="17"/>
  <c r="I284" i="17" s="1"/>
  <c r="F286" i="28"/>
  <c r="F283" i="17"/>
  <c r="B87" i="34"/>
  <c r="A88" i="34"/>
  <c r="B87" i="36"/>
  <c r="A88" i="36"/>
  <c r="B87" i="33"/>
  <c r="A88" i="33"/>
  <c r="B87" i="35"/>
  <c r="A88" i="35"/>
  <c r="D293" i="17"/>
  <c r="E293" i="17" s="1"/>
  <c r="G293" i="17" s="1"/>
  <c r="D293" i="28"/>
  <c r="E293" i="28" s="1"/>
  <c r="F293" i="28" s="1"/>
  <c r="D294" i="28"/>
  <c r="E294" i="28" s="1"/>
  <c r="F294" i="28" s="1"/>
  <c r="I284" i="28"/>
  <c r="I280" i="17"/>
  <c r="I281" i="17"/>
  <c r="I278" i="17"/>
  <c r="G288" i="17"/>
  <c r="F288" i="17"/>
  <c r="I286" i="28"/>
  <c r="I280" i="28"/>
  <c r="I272" i="17"/>
  <c r="G290" i="17"/>
  <c r="F290" i="17"/>
  <c r="I276" i="17"/>
  <c r="D60" i="11"/>
  <c r="G60" i="11"/>
  <c r="F60" i="11"/>
  <c r="E60" i="11"/>
  <c r="B569" i="17"/>
  <c r="B569" i="28"/>
  <c r="B576" i="17"/>
  <c r="B574" i="28"/>
  <c r="B576" i="28"/>
  <c r="B568" i="17"/>
  <c r="B570" i="28"/>
  <c r="B574" i="17"/>
  <c r="B572" i="28"/>
  <c r="B567" i="28"/>
  <c r="B571" i="17"/>
  <c r="B573" i="28"/>
  <c r="B571" i="28"/>
  <c r="B567" i="17"/>
  <c r="B575" i="17"/>
  <c r="B568" i="28"/>
  <c r="B570" i="17"/>
  <c r="B573" i="17"/>
  <c r="B575" i="28"/>
  <c r="B572" i="17"/>
  <c r="F89" i="27"/>
  <c r="G89" i="27"/>
  <c r="I278" i="28"/>
  <c r="G285" i="28"/>
  <c r="F285" i="28"/>
  <c r="C38" i="27"/>
  <c r="H37" i="27"/>
  <c r="F90" i="16"/>
  <c r="G90" i="16"/>
  <c r="D297" i="17" a="1"/>
  <c r="D297" i="17" s="1"/>
  <c r="E297" i="17" s="1"/>
  <c r="D296" i="28" a="1"/>
  <c r="D296" i="28" s="1"/>
  <c r="E296" i="28" s="1"/>
  <c r="D295" i="17" a="1"/>
  <c r="D295" i="17" s="1"/>
  <c r="E295" i="17" s="1"/>
  <c r="D300" i="17" a="1"/>
  <c r="D300" i="17" s="1"/>
  <c r="E300" i="17" s="1"/>
  <c r="I88" i="27"/>
  <c r="G291" i="28"/>
  <c r="F291" i="28"/>
  <c r="I276" i="28"/>
  <c r="F286" i="17"/>
  <c r="G286" i="17"/>
  <c r="F289" i="17"/>
  <c r="G289" i="17"/>
  <c r="I279" i="28"/>
  <c r="G283" i="28"/>
  <c r="F283" i="28"/>
  <c r="D33" i="11"/>
  <c r="B302" i="17"/>
  <c r="B305" i="17"/>
  <c r="B298" i="28"/>
  <c r="B300" i="17"/>
  <c r="B303" i="28"/>
  <c r="G33" i="11"/>
  <c r="B297" i="17"/>
  <c r="B302" i="28"/>
  <c r="B306" i="17"/>
  <c r="B300" i="28"/>
  <c r="F33" i="11"/>
  <c r="B304" i="17"/>
  <c r="B299" i="28"/>
  <c r="B303" i="17"/>
  <c r="B299" i="17"/>
  <c r="D304" i="17" s="1" a="1"/>
  <c r="B297" i="28"/>
  <c r="E33" i="11"/>
  <c r="B298" i="17"/>
  <c r="B301" i="17"/>
  <c r="B305" i="28"/>
  <c r="B301" i="28"/>
  <c r="B306" i="28"/>
  <c r="B304" i="28"/>
  <c r="C38" i="16"/>
  <c r="H37" i="16"/>
  <c r="F282" i="17"/>
  <c r="G282" i="17"/>
  <c r="G287" i="17"/>
  <c r="F287" i="17"/>
  <c r="A92" i="16"/>
  <c r="B91" i="16"/>
  <c r="D91" i="16" a="1"/>
  <c r="D91" i="16" s="1"/>
  <c r="E91" i="16" s="1"/>
  <c r="F293" i="17"/>
  <c r="D298" i="17" a="1"/>
  <c r="D298" i="17" s="1"/>
  <c r="E298" i="17" s="1"/>
  <c r="D296" i="17" a="1"/>
  <c r="D296" i="17" s="1"/>
  <c r="E296" i="17" s="1"/>
  <c r="D297" i="28" a="1"/>
  <c r="D297" i="28" s="1"/>
  <c r="E297" i="28" s="1"/>
  <c r="D301" i="17" a="1"/>
  <c r="D301" i="17" s="1"/>
  <c r="E301" i="17" s="1"/>
  <c r="I274" i="28"/>
  <c r="G291" i="17"/>
  <c r="K36" i="17" s="1"/>
  <c r="F291" i="17"/>
  <c r="I274" i="17"/>
  <c r="I277" i="28"/>
  <c r="I279" i="17"/>
  <c r="F289" i="28"/>
  <c r="G289" i="28"/>
  <c r="I281" i="28"/>
  <c r="K30" i="28"/>
  <c r="M35" i="17" s="1"/>
  <c r="I272" i="28"/>
  <c r="B90" i="27"/>
  <c r="A91" i="27"/>
  <c r="D90" i="27" a="1"/>
  <c r="D90" i="27" s="1"/>
  <c r="E90" i="27" s="1"/>
  <c r="C87" i="26"/>
  <c r="D298" i="28" a="1"/>
  <c r="D298" i="28" s="1"/>
  <c r="E298" i="28" s="1"/>
  <c r="D292" i="28" a="1"/>
  <c r="D292" i="28" s="1"/>
  <c r="E292" i="28" s="1"/>
  <c r="D301" i="28" a="1"/>
  <c r="D301" i="28" s="1"/>
  <c r="E301" i="28" s="1"/>
  <c r="D292" i="17" a="1"/>
  <c r="D292" i="17" s="1"/>
  <c r="E292" i="17" s="1"/>
  <c r="I283" i="17"/>
  <c r="F288" i="28"/>
  <c r="G288" i="28"/>
  <c r="I277" i="17"/>
  <c r="I89" i="16"/>
  <c r="F287" i="28"/>
  <c r="G287" i="28"/>
  <c r="F285" i="17"/>
  <c r="G285" i="17"/>
  <c r="C38" i="17"/>
  <c r="H37" i="17"/>
  <c r="B95" i="9"/>
  <c r="C95" i="9" s="1"/>
  <c r="A89" i="26"/>
  <c r="B89" i="26" s="1"/>
  <c r="D88" i="26"/>
  <c r="B34" i="11"/>
  <c r="C34" i="11" s="1"/>
  <c r="B61" i="11"/>
  <c r="F290" i="28"/>
  <c r="G290" i="28"/>
  <c r="I282" i="28"/>
  <c r="I275" i="28"/>
  <c r="C38" i="28"/>
  <c r="H37" i="28"/>
  <c r="D299" i="28" a="1"/>
  <c r="D299" i="28" s="1"/>
  <c r="E299" i="28" s="1"/>
  <c r="D294" i="17" a="1"/>
  <c r="D294" i="17" s="1"/>
  <c r="E294" i="17" s="1"/>
  <c r="D299" i="17" a="1"/>
  <c r="D299" i="17" s="1"/>
  <c r="E299" i="17" s="1"/>
  <c r="D300" i="28" a="1"/>
  <c r="D300" i="28" s="1"/>
  <c r="E300" i="28" s="1"/>
  <c r="D306" i="17" l="1" a="1"/>
  <c r="D309" i="28" a="1"/>
  <c r="D306" i="28" a="1"/>
  <c r="D306" i="28" s="1"/>
  <c r="E306" i="28" s="1"/>
  <c r="G306" i="28" s="1"/>
  <c r="G295" i="28"/>
  <c r="I295" i="28" s="1"/>
  <c r="G294" i="28"/>
  <c r="I294" i="28" s="1"/>
  <c r="G293" i="28"/>
  <c r="I293" i="28" s="1"/>
  <c r="B88" i="36"/>
  <c r="A89" i="36"/>
  <c r="B88" i="34"/>
  <c r="A89" i="34"/>
  <c r="B88" i="35"/>
  <c r="A89" i="35"/>
  <c r="B88" i="33"/>
  <c r="A89" i="33"/>
  <c r="D306" i="17"/>
  <c r="E306" i="17" s="1"/>
  <c r="G306" i="17" s="1"/>
  <c r="D304" i="17"/>
  <c r="E304" i="17" s="1"/>
  <c r="G304" i="17" s="1"/>
  <c r="D309" i="28"/>
  <c r="E309" i="28" s="1"/>
  <c r="G309" i="28" s="1"/>
  <c r="F294" i="17"/>
  <c r="G294" i="17"/>
  <c r="I290" i="28"/>
  <c r="C39" i="17"/>
  <c r="H38" i="17"/>
  <c r="F292" i="17"/>
  <c r="G292" i="17"/>
  <c r="G298" i="28"/>
  <c r="F298" i="28"/>
  <c r="A92" i="27"/>
  <c r="B91" i="27"/>
  <c r="D91" i="27" a="1"/>
  <c r="D91" i="27" s="1"/>
  <c r="E91" i="27" s="1"/>
  <c r="G297" i="28"/>
  <c r="F297" i="28"/>
  <c r="F298" i="17"/>
  <c r="G298" i="17"/>
  <c r="I282" i="17"/>
  <c r="D302" i="17" a="1"/>
  <c r="D302" i="17" s="1"/>
  <c r="E302" i="17" s="1"/>
  <c r="D303" i="28" a="1"/>
  <c r="D303" i="28" s="1"/>
  <c r="E303" i="28" s="1"/>
  <c r="F296" i="28"/>
  <c r="G296" i="28"/>
  <c r="I285" i="28"/>
  <c r="I89" i="27"/>
  <c r="F299" i="28"/>
  <c r="G299" i="28"/>
  <c r="B96" i="9"/>
  <c r="C96" i="9" s="1"/>
  <c r="A90" i="26"/>
  <c r="B90" i="26" s="1"/>
  <c r="D89" i="26"/>
  <c r="B35" i="11"/>
  <c r="B62" i="11"/>
  <c r="I285" i="17"/>
  <c r="F301" i="28"/>
  <c r="G301" i="28"/>
  <c r="C88" i="26"/>
  <c r="C89" i="26" s="1"/>
  <c r="G296" i="17"/>
  <c r="F296" i="17"/>
  <c r="I293" i="17"/>
  <c r="B92" i="16"/>
  <c r="A93" i="16"/>
  <c r="D92" i="16" a="1"/>
  <c r="D92" i="16" s="1"/>
  <c r="E92" i="16" s="1"/>
  <c r="D311" i="28" a="1"/>
  <c r="D311" i="28" s="1"/>
  <c r="E311" i="28" s="1"/>
  <c r="D303" i="17" a="1"/>
  <c r="D303" i="17" s="1"/>
  <c r="E303" i="17" s="1"/>
  <c r="D308" i="17" a="1"/>
  <c r="D308" i="17" s="1"/>
  <c r="E308" i="17" s="1"/>
  <c r="D305" i="28" a="1"/>
  <c r="D305" i="28" s="1"/>
  <c r="E305" i="28" s="1"/>
  <c r="D310" i="17" a="1"/>
  <c r="D310" i="17" s="1"/>
  <c r="E310" i="17" s="1"/>
  <c r="I283" i="28"/>
  <c r="I289" i="17"/>
  <c r="K31" i="28"/>
  <c r="M36" i="17" s="1"/>
  <c r="I291" i="28"/>
  <c r="G297" i="17"/>
  <c r="F297" i="17"/>
  <c r="I290" i="17"/>
  <c r="I288" i="28"/>
  <c r="D304" i="28" a="1"/>
  <c r="D304" i="28" s="1"/>
  <c r="E304" i="28" s="1"/>
  <c r="D311" i="17" a="1"/>
  <c r="D311" i="17" s="1"/>
  <c r="E311" i="17" s="1"/>
  <c r="D308" i="28" a="1"/>
  <c r="D308" i="28" s="1"/>
  <c r="E308" i="28" s="1"/>
  <c r="D307" i="17" a="1"/>
  <c r="D307" i="17" s="1"/>
  <c r="E307" i="17" s="1"/>
  <c r="F300" i="17"/>
  <c r="G300" i="17"/>
  <c r="I90" i="16"/>
  <c r="C39" i="27"/>
  <c r="H38" i="27"/>
  <c r="I288" i="17"/>
  <c r="F300" i="28"/>
  <c r="G300" i="28"/>
  <c r="D61" i="11"/>
  <c r="F61" i="11"/>
  <c r="G61" i="11"/>
  <c r="E61" i="11"/>
  <c r="B585" i="28"/>
  <c r="B579" i="17"/>
  <c r="B583" i="17"/>
  <c r="B577" i="28"/>
  <c r="B586" i="17"/>
  <c r="B579" i="28"/>
  <c r="B584" i="17"/>
  <c r="B580" i="28"/>
  <c r="B585" i="17"/>
  <c r="B580" i="17"/>
  <c r="B583" i="28"/>
  <c r="B577" i="17"/>
  <c r="B582" i="17"/>
  <c r="B578" i="28"/>
  <c r="B581" i="28"/>
  <c r="B581" i="17"/>
  <c r="B586" i="28"/>
  <c r="B584" i="28"/>
  <c r="B578" i="17"/>
  <c r="B582" i="28"/>
  <c r="F299" i="17"/>
  <c r="G299" i="17"/>
  <c r="C39" i="28"/>
  <c r="H38" i="28"/>
  <c r="E34" i="11"/>
  <c r="B311" i="17"/>
  <c r="B312" i="28"/>
  <c r="B312" i="17"/>
  <c r="B316" i="28"/>
  <c r="B315" i="28"/>
  <c r="F34" i="11"/>
  <c r="B307" i="17"/>
  <c r="B310" i="28"/>
  <c r="B310" i="17"/>
  <c r="B314" i="28"/>
  <c r="G34" i="11"/>
  <c r="B309" i="17"/>
  <c r="D314" i="17" s="1" a="1"/>
  <c r="B307" i="28"/>
  <c r="B308" i="17"/>
  <c r="B316" i="17"/>
  <c r="B313" i="28"/>
  <c r="B309" i="28"/>
  <c r="B308" i="28"/>
  <c r="B311" i="28"/>
  <c r="D34" i="11"/>
  <c r="B314" i="17"/>
  <c r="B315" i="17"/>
  <c r="B313" i="17"/>
  <c r="I287" i="28"/>
  <c r="F292" i="28"/>
  <c r="G292" i="28"/>
  <c r="F90" i="27"/>
  <c r="G90" i="27"/>
  <c r="I289" i="28"/>
  <c r="I291" i="17"/>
  <c r="F301" i="17"/>
  <c r="G301" i="17"/>
  <c r="K37" i="17" s="1"/>
  <c r="G91" i="16"/>
  <c r="F91" i="16"/>
  <c r="I287" i="17"/>
  <c r="C39" i="16"/>
  <c r="H38" i="16"/>
  <c r="D310" i="28" a="1"/>
  <c r="D310" i="28" s="1"/>
  <c r="E310" i="28" s="1"/>
  <c r="D302" i="28" a="1"/>
  <c r="D302" i="28" s="1"/>
  <c r="E302" i="28" s="1"/>
  <c r="D309" i="17" a="1"/>
  <c r="D309" i="17" s="1"/>
  <c r="E309" i="17" s="1"/>
  <c r="D307" i="28" a="1"/>
  <c r="D307" i="28" s="1"/>
  <c r="E307" i="28" s="1"/>
  <c r="D305" i="17" a="1"/>
  <c r="D305" i="17" s="1"/>
  <c r="E305" i="17" s="1"/>
  <c r="I286" i="17"/>
  <c r="F295" i="17"/>
  <c r="G295" i="17"/>
  <c r="D318" i="28" l="1" a="1"/>
  <c r="D314" i="28" a="1"/>
  <c r="D314" i="28" s="1"/>
  <c r="E314" i="28" s="1"/>
  <c r="G314" i="28" s="1"/>
  <c r="D319" i="17" a="1"/>
  <c r="D319" i="17" s="1"/>
  <c r="E319" i="17" s="1"/>
  <c r="F319" i="17" s="1"/>
  <c r="F304" i="17"/>
  <c r="B89" i="35"/>
  <c r="A90" i="35"/>
  <c r="B89" i="36"/>
  <c r="A90" i="36"/>
  <c r="B89" i="34"/>
  <c r="A90" i="34"/>
  <c r="B89" i="33"/>
  <c r="A90" i="33"/>
  <c r="F306" i="17"/>
  <c r="D314" i="17"/>
  <c r="E314" i="17" s="1"/>
  <c r="G314" i="17" s="1"/>
  <c r="F306" i="28"/>
  <c r="D318" i="28"/>
  <c r="E318" i="28" s="1"/>
  <c r="F318" i="28" s="1"/>
  <c r="F309" i="28"/>
  <c r="I295" i="17"/>
  <c r="F309" i="17"/>
  <c r="G309" i="17"/>
  <c r="G310" i="28"/>
  <c r="F310" i="28"/>
  <c r="I90" i="27"/>
  <c r="D312" i="28" a="1"/>
  <c r="D312" i="28" s="1"/>
  <c r="E312" i="28" s="1"/>
  <c r="D315" i="17" a="1"/>
  <c r="D315" i="17" s="1"/>
  <c r="E315" i="17" s="1"/>
  <c r="D320" i="28" a="1"/>
  <c r="D320" i="28" s="1"/>
  <c r="E320" i="28" s="1"/>
  <c r="D316" i="17" a="1"/>
  <c r="D316" i="17" s="1"/>
  <c r="E316" i="17" s="1"/>
  <c r="I299" i="17"/>
  <c r="I300" i="28"/>
  <c r="G304" i="28"/>
  <c r="F304" i="28"/>
  <c r="F310" i="17"/>
  <c r="G310" i="17"/>
  <c r="G311" i="28"/>
  <c r="F311" i="28"/>
  <c r="B97" i="9"/>
  <c r="C97" i="9" s="1"/>
  <c r="A91" i="26"/>
  <c r="B91" i="26" s="1"/>
  <c r="B36" i="11"/>
  <c r="D90" i="26"/>
  <c r="B63" i="11"/>
  <c r="I299" i="28"/>
  <c r="I304" i="17"/>
  <c r="I298" i="17"/>
  <c r="G91" i="27"/>
  <c r="F91" i="27"/>
  <c r="I298" i="28"/>
  <c r="C40" i="17"/>
  <c r="H39" i="17"/>
  <c r="I301" i="17"/>
  <c r="D315" i="28" a="1"/>
  <c r="D315" i="28" s="1"/>
  <c r="E315" i="28" s="1"/>
  <c r="D321" i="28" a="1"/>
  <c r="D321" i="28" s="1"/>
  <c r="E321" i="28" s="1"/>
  <c r="G307" i="17"/>
  <c r="F307" i="17"/>
  <c r="I306" i="28"/>
  <c r="G305" i="28"/>
  <c r="F305" i="28"/>
  <c r="F92" i="16"/>
  <c r="G92" i="16"/>
  <c r="I301" i="28"/>
  <c r="K32" i="28"/>
  <c r="M37" i="17" s="1"/>
  <c r="F62" i="11"/>
  <c r="E62" i="11"/>
  <c r="D62" i="11"/>
  <c r="G62" i="11"/>
  <c r="B594" i="28"/>
  <c r="B590" i="17"/>
  <c r="B589" i="28"/>
  <c r="B595" i="28"/>
  <c r="B588" i="17"/>
  <c r="B592" i="17"/>
  <c r="B587" i="17"/>
  <c r="B596" i="28"/>
  <c r="B591" i="17"/>
  <c r="B591" i="28"/>
  <c r="B588" i="28"/>
  <c r="B594" i="17"/>
  <c r="B593" i="17"/>
  <c r="B595" i="17"/>
  <c r="B592" i="28"/>
  <c r="B596" i="17"/>
  <c r="B590" i="28"/>
  <c r="B593" i="28"/>
  <c r="B589" i="17"/>
  <c r="B587" i="28"/>
  <c r="I309" i="28"/>
  <c r="I292" i="17"/>
  <c r="G305" i="17"/>
  <c r="F305" i="17"/>
  <c r="C40" i="16"/>
  <c r="H39" i="16"/>
  <c r="I91" i="16"/>
  <c r="K11" i="16"/>
  <c r="L16" i="17" s="1"/>
  <c r="I292" i="28"/>
  <c r="D318" i="17" a="1"/>
  <c r="D318" i="17" s="1"/>
  <c r="E318" i="17" s="1"/>
  <c r="D316" i="28" a="1"/>
  <c r="D316" i="28" s="1"/>
  <c r="E316" i="28" s="1"/>
  <c r="D321" i="17" a="1"/>
  <c r="D321" i="17" s="1"/>
  <c r="E321" i="17" s="1"/>
  <c r="D312" i="17" a="1"/>
  <c r="D312" i="17" s="1"/>
  <c r="E312" i="17" s="1"/>
  <c r="D317" i="17" a="1"/>
  <c r="D317" i="17" s="1"/>
  <c r="E317" i="17" s="1"/>
  <c r="I300" i="17"/>
  <c r="G308" i="28"/>
  <c r="F308" i="28"/>
  <c r="G308" i="17"/>
  <c r="F308" i="17"/>
  <c r="B93" i="16"/>
  <c r="A94" i="16"/>
  <c r="D93" i="16" a="1"/>
  <c r="D93" i="16" s="1"/>
  <c r="E93" i="16" s="1"/>
  <c r="D35" i="11"/>
  <c r="B320" i="17"/>
  <c r="B320" i="28"/>
  <c r="B326" i="28"/>
  <c r="B321" i="17"/>
  <c r="B318" i="28"/>
  <c r="G35" i="11"/>
  <c r="B322" i="17"/>
  <c r="B325" i="28"/>
  <c r="B318" i="17"/>
  <c r="B317" i="17"/>
  <c r="B322" i="28"/>
  <c r="F35" i="11"/>
  <c r="B325" i="17"/>
  <c r="B321" i="28"/>
  <c r="B323" i="28"/>
  <c r="B326" i="17"/>
  <c r="B323" i="17"/>
  <c r="B319" i="28"/>
  <c r="E35" i="11"/>
  <c r="B319" i="17"/>
  <c r="B324" i="28"/>
  <c r="B317" i="28"/>
  <c r="B324" i="17"/>
  <c r="D329" i="17" s="1" a="1"/>
  <c r="I296" i="28"/>
  <c r="G303" i="28"/>
  <c r="F303" i="28"/>
  <c r="A93" i="27"/>
  <c r="B92" i="27"/>
  <c r="D92" i="27" a="1"/>
  <c r="D92" i="27" s="1"/>
  <c r="E92" i="27" s="1"/>
  <c r="G307" i="28"/>
  <c r="F307" i="28"/>
  <c r="G302" i="28"/>
  <c r="F302" i="28"/>
  <c r="D320" i="17" a="1"/>
  <c r="D320" i="17" s="1"/>
  <c r="E320" i="17" s="1"/>
  <c r="D313" i="28" a="1"/>
  <c r="D313" i="28" s="1"/>
  <c r="E313" i="28" s="1"/>
  <c r="D313" i="17" a="1"/>
  <c r="D313" i="17" s="1"/>
  <c r="E313" i="17" s="1"/>
  <c r="D319" i="28" a="1"/>
  <c r="D319" i="28" s="1"/>
  <c r="E319" i="28" s="1"/>
  <c r="D317" i="28" a="1"/>
  <c r="D317" i="28" s="1"/>
  <c r="E317" i="28" s="1"/>
  <c r="C40" i="28"/>
  <c r="H39" i="28"/>
  <c r="C40" i="27"/>
  <c r="H39" i="27"/>
  <c r="G311" i="17"/>
  <c r="K38" i="17" s="1"/>
  <c r="F311" i="17"/>
  <c r="I297" i="17"/>
  <c r="F303" i="17"/>
  <c r="G303" i="17"/>
  <c r="I296" i="17"/>
  <c r="F302" i="17"/>
  <c r="G302" i="17"/>
  <c r="I306" i="17"/>
  <c r="I297" i="28"/>
  <c r="I294" i="17"/>
  <c r="C35" i="11"/>
  <c r="C36" i="11" s="1"/>
  <c r="D328" i="28" l="1" a="1"/>
  <c r="D327" i="17" a="1"/>
  <c r="D324" i="17" a="1"/>
  <c r="D327" i="28" a="1"/>
  <c r="D323" i="17" a="1"/>
  <c r="D323" i="17" s="1"/>
  <c r="E323" i="17" s="1"/>
  <c r="G323" i="17" s="1"/>
  <c r="F314" i="28"/>
  <c r="D328" i="28"/>
  <c r="E328" i="28" s="1"/>
  <c r="F328" i="28" s="1"/>
  <c r="B90" i="33"/>
  <c r="A91" i="33"/>
  <c r="D329" i="17"/>
  <c r="E329" i="17" s="1"/>
  <c r="G329" i="17" s="1"/>
  <c r="B90" i="34"/>
  <c r="A91" i="34"/>
  <c r="B90" i="36"/>
  <c r="A91" i="36"/>
  <c r="B90" i="35"/>
  <c r="A91" i="35"/>
  <c r="F314" i="17"/>
  <c r="D327" i="17"/>
  <c r="E327" i="17" s="1"/>
  <c r="G327" i="17" s="1"/>
  <c r="G319" i="17"/>
  <c r="I319" i="17" s="1"/>
  <c r="D324" i="17"/>
  <c r="E324" i="17" s="1"/>
  <c r="F324" i="17" s="1"/>
  <c r="G318" i="28"/>
  <c r="I318" i="28" s="1"/>
  <c r="D327" i="28"/>
  <c r="E327" i="28" s="1"/>
  <c r="F327" i="28" s="1"/>
  <c r="C90" i="26"/>
  <c r="I302" i="17"/>
  <c r="I311" i="17"/>
  <c r="F319" i="28"/>
  <c r="G319" i="28"/>
  <c r="D331" i="17" a="1"/>
  <c r="D331" i="17" s="1"/>
  <c r="E331" i="17" s="1"/>
  <c r="D330" i="28" a="1"/>
  <c r="D330" i="28" s="1"/>
  <c r="E330" i="28" s="1"/>
  <c r="D326" i="17" a="1"/>
  <c r="D326" i="17" s="1"/>
  <c r="E326" i="17" s="1"/>
  <c r="F316" i="28"/>
  <c r="G316" i="28"/>
  <c r="C41" i="16"/>
  <c r="H40" i="16"/>
  <c r="I305" i="17"/>
  <c r="I92" i="16"/>
  <c r="I314" i="17"/>
  <c r="C41" i="17"/>
  <c r="H40" i="17"/>
  <c r="K11" i="27"/>
  <c r="N16" i="17" s="1"/>
  <c r="E21" i="9" s="1"/>
  <c r="F21" i="9" s="1"/>
  <c r="I91" i="27"/>
  <c r="F316" i="17"/>
  <c r="G316" i="17"/>
  <c r="F312" i="28"/>
  <c r="G312" i="28"/>
  <c r="G313" i="17"/>
  <c r="F313" i="17"/>
  <c r="I302" i="28"/>
  <c r="I307" i="28"/>
  <c r="B93" i="27"/>
  <c r="A94" i="27"/>
  <c r="D93" i="27" a="1"/>
  <c r="D93" i="27" s="1"/>
  <c r="E93" i="27" s="1"/>
  <c r="I303" i="28"/>
  <c r="D331" i="28" a="1"/>
  <c r="D331" i="28" s="1"/>
  <c r="E331" i="28" s="1"/>
  <c r="F93" i="16"/>
  <c r="G93" i="16"/>
  <c r="I308" i="17"/>
  <c r="I308" i="28"/>
  <c r="G318" i="17"/>
  <c r="F318" i="17"/>
  <c r="F36" i="11"/>
  <c r="B329" i="17"/>
  <c r="B327" i="28"/>
  <c r="B336" i="28"/>
  <c r="B331" i="17"/>
  <c r="B333" i="17"/>
  <c r="B331" i="28"/>
  <c r="E36" i="11"/>
  <c r="B327" i="17"/>
  <c r="B332" i="17"/>
  <c r="B335" i="17"/>
  <c r="B330" i="28"/>
  <c r="B333" i="28"/>
  <c r="D36" i="11"/>
  <c r="B328" i="17"/>
  <c r="B334" i="17"/>
  <c r="B329" i="28"/>
  <c r="B336" i="17"/>
  <c r="B334" i="28"/>
  <c r="B330" i="17"/>
  <c r="B328" i="28"/>
  <c r="B332" i="28"/>
  <c r="D337" i="28" s="1" a="1"/>
  <c r="B335" i="28"/>
  <c r="G36" i="11"/>
  <c r="G320" i="28"/>
  <c r="F320" i="28"/>
  <c r="I314" i="28"/>
  <c r="I310" i="28"/>
  <c r="I303" i="17"/>
  <c r="C41" i="27"/>
  <c r="H40" i="27"/>
  <c r="C41" i="28"/>
  <c r="H40" i="28"/>
  <c r="F313" i="28"/>
  <c r="G313" i="28"/>
  <c r="D322" i="28" a="1"/>
  <c r="D322" i="28" s="1"/>
  <c r="E322" i="28" s="1"/>
  <c r="D324" i="28" a="1"/>
  <c r="D324" i="28" s="1"/>
  <c r="E324" i="28" s="1"/>
  <c r="D326" i="28" a="1"/>
  <c r="D326" i="28" s="1"/>
  <c r="E326" i="28" s="1"/>
  <c r="D322" i="17" a="1"/>
  <c r="D322" i="17" s="1"/>
  <c r="E322" i="17" s="1"/>
  <c r="D325" i="28" a="1"/>
  <c r="D325" i="28" s="1"/>
  <c r="E325" i="28" s="1"/>
  <c r="B94" i="16"/>
  <c r="A95" i="16"/>
  <c r="D94" i="16" a="1"/>
  <c r="D94" i="16" s="1"/>
  <c r="E94" i="16" s="1"/>
  <c r="F317" i="17"/>
  <c r="G317" i="17"/>
  <c r="F312" i="17"/>
  <c r="G312" i="17"/>
  <c r="I307" i="17"/>
  <c r="F321" i="28"/>
  <c r="G321" i="28"/>
  <c r="B98" i="9"/>
  <c r="C98" i="9" s="1"/>
  <c r="A92" i="26"/>
  <c r="B92" i="26" s="1"/>
  <c r="D91" i="26"/>
  <c r="B37" i="11"/>
  <c r="C37" i="11" s="1"/>
  <c r="B64" i="11"/>
  <c r="K33" i="28"/>
  <c r="M38" i="17" s="1"/>
  <c r="I311" i="28"/>
  <c r="F315" i="17"/>
  <c r="G315" i="17"/>
  <c r="I309" i="17"/>
  <c r="F317" i="28"/>
  <c r="G317" i="28"/>
  <c r="F320" i="17"/>
  <c r="G320" i="17"/>
  <c r="F92" i="27"/>
  <c r="G92" i="27"/>
  <c r="D329" i="28" a="1"/>
  <c r="D329" i="28" s="1"/>
  <c r="E329" i="28" s="1"/>
  <c r="D328" i="17" a="1"/>
  <c r="D328" i="17" s="1"/>
  <c r="E328" i="17" s="1"/>
  <c r="D330" i="17" a="1"/>
  <c r="D330" i="17" s="1"/>
  <c r="E330" i="17" s="1"/>
  <c r="D323" i="28" a="1"/>
  <c r="D323" i="28" s="1"/>
  <c r="E323" i="28" s="1"/>
  <c r="D325" i="17" a="1"/>
  <c r="D325" i="17" s="1"/>
  <c r="E325" i="17" s="1"/>
  <c r="F321" i="17"/>
  <c r="G321" i="17"/>
  <c r="K39" i="17" s="1"/>
  <c r="I305" i="28"/>
  <c r="G315" i="28"/>
  <c r="F315" i="28"/>
  <c r="G63" i="11"/>
  <c r="E63" i="11"/>
  <c r="F63" i="11"/>
  <c r="D63" i="11"/>
  <c r="B597" i="17"/>
  <c r="B597" i="28"/>
  <c r="B600" i="28"/>
  <c r="B601" i="17"/>
  <c r="B606" i="17"/>
  <c r="B605" i="17"/>
  <c r="B599" i="17"/>
  <c r="B602" i="28"/>
  <c r="B603" i="28"/>
  <c r="B598" i="17"/>
  <c r="B598" i="28"/>
  <c r="B599" i="28"/>
  <c r="B604" i="28"/>
  <c r="B600" i="17"/>
  <c r="B606" i="28"/>
  <c r="B605" i="28"/>
  <c r="B602" i="17"/>
  <c r="B604" i="17"/>
  <c r="B603" i="17"/>
  <c r="B601" i="28"/>
  <c r="I310" i="17"/>
  <c r="I304" i="28"/>
  <c r="D340" i="28" l="1" a="1"/>
  <c r="D340" i="28" s="1"/>
  <c r="E340" i="28" s="1"/>
  <c r="F340" i="28" s="1"/>
  <c r="D333" i="17" a="1"/>
  <c r="D333" i="28" a="1"/>
  <c r="D335" i="17" a="1"/>
  <c r="D341" i="17" a="1"/>
  <c r="F323" i="17"/>
  <c r="G328" i="28"/>
  <c r="I328" i="28" s="1"/>
  <c r="F329" i="17"/>
  <c r="B91" i="34"/>
  <c r="A92" i="34"/>
  <c r="B91" i="36"/>
  <c r="A92" i="36"/>
  <c r="B91" i="35"/>
  <c r="A92" i="35"/>
  <c r="B91" i="33"/>
  <c r="A92" i="33"/>
  <c r="F327" i="17"/>
  <c r="G324" i="17"/>
  <c r="I324" i="17" s="1"/>
  <c r="D333" i="17"/>
  <c r="E333" i="17" s="1"/>
  <c r="G333" i="17" s="1"/>
  <c r="G327" i="28"/>
  <c r="I327" i="28" s="1"/>
  <c r="D337" i="28"/>
  <c r="E337" i="28" s="1"/>
  <c r="F337" i="28" s="1"/>
  <c r="D333" i="28"/>
  <c r="E333" i="28" s="1"/>
  <c r="G333" i="28" s="1"/>
  <c r="D335" i="17"/>
  <c r="E335" i="17" s="1"/>
  <c r="F335" i="17" s="1"/>
  <c r="D341" i="17"/>
  <c r="E341" i="17" s="1"/>
  <c r="F341" i="17" s="1"/>
  <c r="G323" i="28"/>
  <c r="F323" i="28"/>
  <c r="G328" i="17"/>
  <c r="F328" i="17"/>
  <c r="E64" i="11"/>
  <c r="F64" i="11"/>
  <c r="G64" i="11"/>
  <c r="D64" i="11"/>
  <c r="B613" i="17"/>
  <c r="B612" i="17"/>
  <c r="B610" i="28"/>
  <c r="B614" i="17"/>
  <c r="B615" i="17"/>
  <c r="B610" i="17"/>
  <c r="B613" i="28"/>
  <c r="B609" i="28"/>
  <c r="B611" i="28"/>
  <c r="B612" i="28"/>
  <c r="B607" i="28"/>
  <c r="B608" i="17"/>
  <c r="B615" i="28"/>
  <c r="B611" i="17"/>
  <c r="B616" i="28"/>
  <c r="B608" i="28"/>
  <c r="B614" i="28"/>
  <c r="B616" i="17"/>
  <c r="B609" i="17"/>
  <c r="B607" i="17"/>
  <c r="G324" i="28"/>
  <c r="F324" i="28"/>
  <c r="G322" i="28"/>
  <c r="F322" i="28"/>
  <c r="I320" i="28"/>
  <c r="D339" i="17" a="1"/>
  <c r="D339" i="17" s="1"/>
  <c r="E339" i="17" s="1"/>
  <c r="D335" i="28" a="1"/>
  <c r="D335" i="28" s="1"/>
  <c r="E335" i="28" s="1"/>
  <c r="D341" i="28" a="1"/>
  <c r="D341" i="28" s="1"/>
  <c r="E341" i="28" s="1"/>
  <c r="D21" i="9"/>
  <c r="G93" i="27"/>
  <c r="F93" i="27"/>
  <c r="I313" i="17"/>
  <c r="I316" i="17"/>
  <c r="C91" i="26"/>
  <c r="C42" i="16"/>
  <c r="H41" i="16"/>
  <c r="F330" i="28"/>
  <c r="G330" i="28"/>
  <c r="I321" i="17"/>
  <c r="F329" i="28"/>
  <c r="G329" i="28"/>
  <c r="I320" i="17"/>
  <c r="I315" i="17"/>
  <c r="D37" i="11"/>
  <c r="B344" i="17"/>
  <c r="B343" i="17"/>
  <c r="B346" i="28"/>
  <c r="B345" i="17"/>
  <c r="B342" i="28"/>
  <c r="F37" i="11"/>
  <c r="B342" i="17"/>
  <c r="B337" i="28"/>
  <c r="B338" i="17"/>
  <c r="B338" i="28"/>
  <c r="B337" i="17"/>
  <c r="B343" i="28"/>
  <c r="B340" i="17"/>
  <c r="B340" i="28"/>
  <c r="E37" i="11"/>
  <c r="B339" i="17"/>
  <c r="D344" i="17" s="1" a="1"/>
  <c r="B344" i="28"/>
  <c r="B346" i="17"/>
  <c r="B339" i="28"/>
  <c r="G37" i="11"/>
  <c r="B341" i="17"/>
  <c r="B345" i="28"/>
  <c r="B341" i="28"/>
  <c r="K34" i="28"/>
  <c r="M39" i="17" s="1"/>
  <c r="I321" i="28"/>
  <c r="G325" i="28"/>
  <c r="F325" i="28"/>
  <c r="C42" i="28"/>
  <c r="H41" i="28"/>
  <c r="D339" i="28" a="1"/>
  <c r="D339" i="28" s="1"/>
  <c r="E339" i="28" s="1"/>
  <c r="D340" i="17" a="1"/>
  <c r="D340" i="17" s="1"/>
  <c r="E340" i="17" s="1"/>
  <c r="D336" i="28" a="1"/>
  <c r="D336" i="28" s="1"/>
  <c r="E336" i="28" s="1"/>
  <c r="D332" i="28" a="1"/>
  <c r="D332" i="28" s="1"/>
  <c r="E332" i="28" s="1"/>
  <c r="F331" i="28"/>
  <c r="G331" i="28"/>
  <c r="I329" i="17"/>
  <c r="A95" i="27"/>
  <c r="B94" i="27"/>
  <c r="D94" i="27" a="1"/>
  <c r="D94" i="27" s="1"/>
  <c r="E94" i="27" s="1"/>
  <c r="I316" i="28"/>
  <c r="G331" i="17"/>
  <c r="K40" i="17" s="1"/>
  <c r="F331" i="17"/>
  <c r="I319" i="28"/>
  <c r="I315" i="28"/>
  <c r="I323" i="17"/>
  <c r="I312" i="17"/>
  <c r="I317" i="17"/>
  <c r="F94" i="16"/>
  <c r="G94" i="16"/>
  <c r="F322" i="17"/>
  <c r="G322" i="17"/>
  <c r="I313" i="28"/>
  <c r="G337" i="28"/>
  <c r="D337" i="17" a="1"/>
  <c r="D337" i="17" s="1"/>
  <c r="E337" i="17" s="1"/>
  <c r="D338" i="17" a="1"/>
  <c r="D338" i="17" s="1"/>
  <c r="E338" i="17" s="1"/>
  <c r="D334" i="17" a="1"/>
  <c r="D334" i="17" s="1"/>
  <c r="E334" i="17" s="1"/>
  <c r="C42" i="17"/>
  <c r="H41" i="17"/>
  <c r="G325" i="17"/>
  <c r="F325" i="17"/>
  <c r="G330" i="17"/>
  <c r="F330" i="17"/>
  <c r="I92" i="27"/>
  <c r="I317" i="28"/>
  <c r="B99" i="9"/>
  <c r="C99" i="9" s="1"/>
  <c r="A93" i="26"/>
  <c r="B93" i="26" s="1"/>
  <c r="D92" i="26"/>
  <c r="B38" i="11"/>
  <c r="B65" i="11"/>
  <c r="A96" i="16"/>
  <c r="B95" i="16"/>
  <c r="D95" i="16" a="1"/>
  <c r="D95" i="16" s="1"/>
  <c r="E95" i="16" s="1"/>
  <c r="F326" i="28"/>
  <c r="G326" i="28"/>
  <c r="C42" i="27"/>
  <c r="H41" i="27"/>
  <c r="D334" i="28" a="1"/>
  <c r="D334" i="28" s="1"/>
  <c r="E334" i="28" s="1"/>
  <c r="D338" i="28" a="1"/>
  <c r="D338" i="28" s="1"/>
  <c r="E338" i="28" s="1"/>
  <c r="D332" i="17" a="1"/>
  <c r="D332" i="17" s="1"/>
  <c r="E332" i="17" s="1"/>
  <c r="D336" i="17" a="1"/>
  <c r="D336" i="17" s="1"/>
  <c r="E336" i="17" s="1"/>
  <c r="I318" i="17"/>
  <c r="I93" i="16"/>
  <c r="I327" i="17"/>
  <c r="I312" i="28"/>
  <c r="G326" i="17"/>
  <c r="F326" i="17"/>
  <c r="D346" i="28" l="1" a="1"/>
  <c r="D346" i="28" s="1"/>
  <c r="E346" i="28" s="1"/>
  <c r="G346" i="28" s="1"/>
  <c r="D346" i="17" a="1"/>
  <c r="D344" i="28" a="1"/>
  <c r="D349" i="28" a="1"/>
  <c r="F333" i="28"/>
  <c r="F333" i="17"/>
  <c r="G340" i="28"/>
  <c r="B92" i="33"/>
  <c r="A93" i="33"/>
  <c r="B92" i="35"/>
  <c r="A93" i="35"/>
  <c r="B92" i="36"/>
  <c r="A93" i="36"/>
  <c r="B92" i="34"/>
  <c r="A93" i="34"/>
  <c r="F14" i="31"/>
  <c r="D344" i="17"/>
  <c r="E344" i="17" s="1"/>
  <c r="G344" i="17" s="1"/>
  <c r="G341" i="17"/>
  <c r="K41" i="17" s="1"/>
  <c r="G335" i="17"/>
  <c r="I335" i="17" s="1"/>
  <c r="D346" i="17"/>
  <c r="E346" i="17" s="1"/>
  <c r="G346" i="17" s="1"/>
  <c r="D344" i="28"/>
  <c r="E344" i="28" s="1"/>
  <c r="F344" i="28" s="1"/>
  <c r="D349" i="28"/>
  <c r="E349" i="28" s="1"/>
  <c r="F349" i="28" s="1"/>
  <c r="F332" i="17"/>
  <c r="G332" i="17"/>
  <c r="I333" i="28"/>
  <c r="G65" i="11"/>
  <c r="F65" i="11"/>
  <c r="E65" i="11"/>
  <c r="D65" i="11"/>
  <c r="B626" i="17"/>
  <c r="B624" i="28"/>
  <c r="B622" i="28"/>
  <c r="B620" i="28"/>
  <c r="B619" i="17"/>
  <c r="B625" i="17"/>
  <c r="B617" i="28"/>
  <c r="B617" i="17"/>
  <c r="B620" i="17"/>
  <c r="B622" i="17"/>
  <c r="B623" i="28"/>
  <c r="B625" i="28"/>
  <c r="B621" i="17"/>
  <c r="B621" i="28"/>
  <c r="B623" i="17"/>
  <c r="B619" i="28"/>
  <c r="B626" i="28"/>
  <c r="B618" i="17"/>
  <c r="B624" i="17"/>
  <c r="B618" i="28"/>
  <c r="I325" i="17"/>
  <c r="F337" i="17"/>
  <c r="G337" i="17"/>
  <c r="I337" i="28"/>
  <c r="I331" i="28"/>
  <c r="K35" i="28"/>
  <c r="M40" i="17" s="1"/>
  <c r="G340" i="17"/>
  <c r="F340" i="17"/>
  <c r="I340" i="28"/>
  <c r="D348" i="28" a="1"/>
  <c r="D348" i="28" s="1"/>
  <c r="E348" i="28" s="1"/>
  <c r="D342" i="28" a="1"/>
  <c r="D342" i="28" s="1"/>
  <c r="E342" i="28" s="1"/>
  <c r="D350" i="17" a="1"/>
  <c r="D350" i="17" s="1"/>
  <c r="E350" i="17" s="1"/>
  <c r="C43" i="16"/>
  <c r="H42" i="16"/>
  <c r="F339" i="17"/>
  <c r="G339" i="17"/>
  <c r="I324" i="28"/>
  <c r="I323" i="28"/>
  <c r="F338" i="28"/>
  <c r="G338" i="28"/>
  <c r="F95" i="16"/>
  <c r="G95" i="16"/>
  <c r="G38" i="11"/>
  <c r="B355" i="17"/>
  <c r="B356" i="28"/>
  <c r="B354" i="17"/>
  <c r="B349" i="17"/>
  <c r="D354" i="17" s="1" a="1"/>
  <c r="B349" i="28"/>
  <c r="E38" i="11"/>
  <c r="B353" i="17"/>
  <c r="B351" i="28"/>
  <c r="B348" i="17"/>
  <c r="B354" i="28"/>
  <c r="B348" i="28"/>
  <c r="D38" i="11"/>
  <c r="B351" i="17"/>
  <c r="B347" i="28"/>
  <c r="B353" i="28"/>
  <c r="B350" i="17"/>
  <c r="B352" i="28"/>
  <c r="F38" i="11"/>
  <c r="B356" i="17"/>
  <c r="B355" i="28"/>
  <c r="B352" i="17"/>
  <c r="B347" i="17"/>
  <c r="B350" i="28"/>
  <c r="I94" i="16"/>
  <c r="I331" i="17"/>
  <c r="A96" i="27"/>
  <c r="B95" i="27"/>
  <c r="D95" i="27" a="1"/>
  <c r="D95" i="27" s="1"/>
  <c r="E95" i="27" s="1"/>
  <c r="I333" i="17"/>
  <c r="I325" i="28"/>
  <c r="D342" i="17" a="1"/>
  <c r="D342" i="17" s="1"/>
  <c r="E342" i="17" s="1"/>
  <c r="D347" i="17" a="1"/>
  <c r="D347" i="17" s="1"/>
  <c r="E347" i="17" s="1"/>
  <c r="D351" i="28" a="1"/>
  <c r="D351" i="28" s="1"/>
  <c r="E351" i="28" s="1"/>
  <c r="I330" i="28"/>
  <c r="I93" i="27"/>
  <c r="I326" i="17"/>
  <c r="G336" i="17"/>
  <c r="F336" i="17"/>
  <c r="G334" i="28"/>
  <c r="F334" i="28"/>
  <c r="C43" i="27"/>
  <c r="H42" i="27"/>
  <c r="I330" i="17"/>
  <c r="G334" i="17"/>
  <c r="F334" i="17"/>
  <c r="F332" i="28"/>
  <c r="G332" i="28"/>
  <c r="D350" i="28" a="1"/>
  <c r="D350" i="28" s="1"/>
  <c r="E350" i="28" s="1"/>
  <c r="D351" i="17" a="1"/>
  <c r="D351" i="17" s="1"/>
  <c r="E351" i="17" s="1"/>
  <c r="D345" i="28" a="1"/>
  <c r="D345" i="28" s="1"/>
  <c r="E345" i="28" s="1"/>
  <c r="D343" i="28" a="1"/>
  <c r="D343" i="28" s="1"/>
  <c r="E343" i="28" s="1"/>
  <c r="D348" i="17" a="1"/>
  <c r="D348" i="17" s="1"/>
  <c r="E348" i="17" s="1"/>
  <c r="I329" i="28"/>
  <c r="G341" i="28"/>
  <c r="F341" i="28"/>
  <c r="I322" i="28"/>
  <c r="I328" i="17"/>
  <c r="I326" i="28"/>
  <c r="A97" i="16"/>
  <c r="B96" i="16"/>
  <c r="D96" i="16" a="1"/>
  <c r="D96" i="16" s="1"/>
  <c r="E96" i="16" s="1"/>
  <c r="B100" i="9"/>
  <c r="C100" i="9" s="1"/>
  <c r="A94" i="26"/>
  <c r="B94" i="26" s="1"/>
  <c r="D93" i="26"/>
  <c r="B39" i="11"/>
  <c r="B66" i="11"/>
  <c r="B79" i="11"/>
  <c r="C43" i="17"/>
  <c r="H42" i="17"/>
  <c r="F338" i="17"/>
  <c r="G338" i="17"/>
  <c r="I322" i="17"/>
  <c r="G94" i="27"/>
  <c r="F94" i="27"/>
  <c r="F336" i="28"/>
  <c r="G336" i="28"/>
  <c r="F339" i="28"/>
  <c r="G339" i="28"/>
  <c r="C43" i="28"/>
  <c r="H42" i="28"/>
  <c r="D345" i="17" a="1"/>
  <c r="D345" i="17" s="1"/>
  <c r="E345" i="17" s="1"/>
  <c r="D343" i="17" a="1"/>
  <c r="D343" i="17" s="1"/>
  <c r="E343" i="17" s="1"/>
  <c r="D347" i="28" a="1"/>
  <c r="D347" i="28" s="1"/>
  <c r="E347" i="28" s="1"/>
  <c r="D349" i="17" a="1"/>
  <c r="D349" i="17" s="1"/>
  <c r="E349" i="17" s="1"/>
  <c r="C38" i="11"/>
  <c r="C39" i="11" s="1"/>
  <c r="C92" i="26"/>
  <c r="G335" i="28"/>
  <c r="F335" i="28"/>
  <c r="D361" i="17" l="1" a="1"/>
  <c r="D353" i="28" a="1"/>
  <c r="D355" i="17" a="1"/>
  <c r="D355" i="17" s="1"/>
  <c r="E355" i="17" s="1"/>
  <c r="G355" i="17" s="1"/>
  <c r="D358" i="17" a="1"/>
  <c r="D355" i="28" a="1"/>
  <c r="D355" i="28" s="1"/>
  <c r="E355" i="28" s="1"/>
  <c r="G355" i="28" s="1"/>
  <c r="I341" i="17"/>
  <c r="G349" i="28"/>
  <c r="I349" i="28" s="1"/>
  <c r="F346" i="17"/>
  <c r="B93" i="35"/>
  <c r="A94" i="35"/>
  <c r="B93" i="36"/>
  <c r="A94" i="36"/>
  <c r="B93" i="34"/>
  <c r="A94" i="34"/>
  <c r="B93" i="33"/>
  <c r="A94" i="33"/>
  <c r="F344" i="17"/>
  <c r="D354" i="17"/>
  <c r="E354" i="17" s="1"/>
  <c r="G354" i="17" s="1"/>
  <c r="D353" i="28"/>
  <c r="E353" i="28" s="1"/>
  <c r="G353" i="28" s="1"/>
  <c r="D361" i="17"/>
  <c r="E361" i="17" s="1"/>
  <c r="F361" i="17" s="1"/>
  <c r="G344" i="28"/>
  <c r="I344" i="28" s="1"/>
  <c r="F346" i="28"/>
  <c r="D358" i="17"/>
  <c r="E358" i="17" s="1"/>
  <c r="G358" i="17" s="1"/>
  <c r="I335" i="28"/>
  <c r="G348" i="17"/>
  <c r="F348" i="17"/>
  <c r="G350" i="28"/>
  <c r="F350" i="28"/>
  <c r="I334" i="17"/>
  <c r="C44" i="27"/>
  <c r="H43" i="27"/>
  <c r="I336" i="17"/>
  <c r="D357" i="17" a="1"/>
  <c r="D357" i="17" s="1"/>
  <c r="E357" i="17" s="1"/>
  <c r="D357" i="28" a="1"/>
  <c r="D357" i="28" s="1"/>
  <c r="E357" i="28" s="1"/>
  <c r="D356" i="17" a="1"/>
  <c r="D356" i="17" s="1"/>
  <c r="E356" i="17" s="1"/>
  <c r="D353" i="17" a="1"/>
  <c r="D353" i="17" s="1"/>
  <c r="E353" i="17" s="1"/>
  <c r="D354" i="28" a="1"/>
  <c r="D354" i="28" s="1"/>
  <c r="E354" i="28" s="1"/>
  <c r="D360" i="17" a="1"/>
  <c r="D360" i="17" s="1"/>
  <c r="E360" i="17" s="1"/>
  <c r="I338" i="28"/>
  <c r="I339" i="17"/>
  <c r="C44" i="16"/>
  <c r="H43" i="16"/>
  <c r="I340" i="17"/>
  <c r="I332" i="17"/>
  <c r="F347" i="28"/>
  <c r="G347" i="28"/>
  <c r="C44" i="28"/>
  <c r="H43" i="28"/>
  <c r="C44" i="17"/>
  <c r="H43" i="17"/>
  <c r="F343" i="17"/>
  <c r="G343" i="17"/>
  <c r="I346" i="17"/>
  <c r="I339" i="28"/>
  <c r="I338" i="17"/>
  <c r="G79" i="11"/>
  <c r="E79" i="11"/>
  <c r="F79" i="11"/>
  <c r="D79" i="11"/>
  <c r="B765" i="17"/>
  <c r="B761" i="28"/>
  <c r="B757" i="17"/>
  <c r="B759" i="17"/>
  <c r="B765" i="28"/>
  <c r="B759" i="28"/>
  <c r="B764" i="17"/>
  <c r="B761" i="17"/>
  <c r="B766" i="28"/>
  <c r="B758" i="28"/>
  <c r="B763" i="28"/>
  <c r="B763" i="17"/>
  <c r="B760" i="17"/>
  <c r="B762" i="28"/>
  <c r="B760" i="28"/>
  <c r="B758" i="17"/>
  <c r="B764" i="28"/>
  <c r="B757" i="28"/>
  <c r="B766" i="17"/>
  <c r="B762" i="17"/>
  <c r="B101" i="9"/>
  <c r="C101" i="9" s="1"/>
  <c r="A95" i="26"/>
  <c r="B95" i="26" s="1"/>
  <c r="D94" i="26"/>
  <c r="B40" i="11"/>
  <c r="B67" i="11"/>
  <c r="B80" i="11"/>
  <c r="B97" i="16"/>
  <c r="A98" i="16"/>
  <c r="D97" i="16" a="1"/>
  <c r="D97" i="16" s="1"/>
  <c r="E97" i="16" s="1"/>
  <c r="F343" i="28"/>
  <c r="G343" i="28"/>
  <c r="I332" i="28"/>
  <c r="A97" i="27"/>
  <c r="B96" i="27"/>
  <c r="D96" i="27" a="1"/>
  <c r="D96" i="27" s="1"/>
  <c r="E96" i="27" s="1"/>
  <c r="D360" i="28" a="1"/>
  <c r="D360" i="28" s="1"/>
  <c r="E360" i="28" s="1"/>
  <c r="D356" i="28" a="1"/>
  <c r="D356" i="28" s="1"/>
  <c r="E356" i="28" s="1"/>
  <c r="F342" i="28"/>
  <c r="G342" i="28"/>
  <c r="G345" i="28"/>
  <c r="F345" i="28"/>
  <c r="I334" i="28"/>
  <c r="F351" i="28"/>
  <c r="G351" i="28"/>
  <c r="F342" i="17"/>
  <c r="G342" i="17"/>
  <c r="I346" i="28"/>
  <c r="D358" i="28" a="1"/>
  <c r="D358" i="28" s="1"/>
  <c r="E358" i="28" s="1"/>
  <c r="D359" i="17" a="1"/>
  <c r="D359" i="17" s="1"/>
  <c r="E359" i="17" s="1"/>
  <c r="I95" i="16"/>
  <c r="F350" i="17"/>
  <c r="G350" i="17"/>
  <c r="F348" i="28"/>
  <c r="G348" i="28"/>
  <c r="I337" i="17"/>
  <c r="C40" i="11"/>
  <c r="F345" i="17"/>
  <c r="G345" i="17"/>
  <c r="I94" i="27"/>
  <c r="E66" i="11"/>
  <c r="D66" i="11"/>
  <c r="F66" i="11"/>
  <c r="G66" i="11"/>
  <c r="B630" i="28"/>
  <c r="B630" i="17"/>
  <c r="B627" i="28"/>
  <c r="B636" i="17"/>
  <c r="B635" i="17"/>
  <c r="B628" i="17"/>
  <c r="B632" i="28"/>
  <c r="B628" i="28"/>
  <c r="B634" i="17"/>
  <c r="B633" i="28"/>
  <c r="B631" i="17"/>
  <c r="B631" i="28"/>
  <c r="B634" i="28"/>
  <c r="B629" i="28"/>
  <c r="B636" i="28"/>
  <c r="B635" i="28"/>
  <c r="B629" i="17"/>
  <c r="B627" i="17"/>
  <c r="B632" i="17"/>
  <c r="B633" i="17"/>
  <c r="C93" i="26"/>
  <c r="C94" i="26" s="1"/>
  <c r="F349" i="17"/>
  <c r="G349" i="17"/>
  <c r="I336" i="28"/>
  <c r="G39" i="11"/>
  <c r="B359" i="17"/>
  <c r="B363" i="28"/>
  <c r="B357" i="28"/>
  <c r="B358" i="17"/>
  <c r="B361" i="28"/>
  <c r="F39" i="11"/>
  <c r="B361" i="17"/>
  <c r="B364" i="28"/>
  <c r="B360" i="17"/>
  <c r="D365" i="17" s="1" a="1"/>
  <c r="B358" i="28"/>
  <c r="E39" i="11"/>
  <c r="B357" i="17"/>
  <c r="B362" i="17"/>
  <c r="B365" i="28"/>
  <c r="B366" i="17"/>
  <c r="B362" i="28"/>
  <c r="D39" i="11"/>
  <c r="B364" i="17"/>
  <c r="B363" i="17"/>
  <c r="B366" i="28"/>
  <c r="B365" i="17"/>
  <c r="B359" i="28"/>
  <c r="B360" i="28"/>
  <c r="F96" i="16"/>
  <c r="G96" i="16"/>
  <c r="I341" i="28"/>
  <c r="K36" i="28"/>
  <c r="M41" i="17" s="1"/>
  <c r="F351" i="17"/>
  <c r="G351" i="17"/>
  <c r="K42" i="17" s="1"/>
  <c r="F347" i="17"/>
  <c r="G347" i="17"/>
  <c r="F95" i="27"/>
  <c r="G95" i="27"/>
  <c r="D352" i="17" a="1"/>
  <c r="D352" i="17" s="1"/>
  <c r="E352" i="17" s="1"/>
  <c r="D352" i="28" a="1"/>
  <c r="D352" i="28" s="1"/>
  <c r="E352" i="28" s="1"/>
  <c r="D359" i="28" a="1"/>
  <c r="D359" i="28" s="1"/>
  <c r="E359" i="28" s="1"/>
  <c r="D361" i="28" a="1"/>
  <c r="D361" i="28" s="1"/>
  <c r="E361" i="28" s="1"/>
  <c r="I344" i="17"/>
  <c r="D369" i="17" l="1" a="1"/>
  <c r="D369" i="17" s="1"/>
  <c r="E369" i="17" s="1"/>
  <c r="F369" i="17" s="1"/>
  <c r="D363" i="28" a="1"/>
  <c r="D364" i="28" a="1"/>
  <c r="D364" i="28" s="1"/>
  <c r="E364" i="28" s="1"/>
  <c r="G364" i="28" s="1"/>
  <c r="D367" i="17" a="1"/>
  <c r="F355" i="17"/>
  <c r="F353" i="28"/>
  <c r="F355" i="28"/>
  <c r="F354" i="17"/>
  <c r="B94" i="33"/>
  <c r="A95" i="33"/>
  <c r="B94" i="34"/>
  <c r="A95" i="34"/>
  <c r="B94" i="36"/>
  <c r="A95" i="36"/>
  <c r="B94" i="35"/>
  <c r="A95" i="35"/>
  <c r="G361" i="17"/>
  <c r="K43" i="17" s="1"/>
  <c r="F358" i="17"/>
  <c r="D363" i="28"/>
  <c r="E363" i="28" s="1"/>
  <c r="F363" i="28" s="1"/>
  <c r="D367" i="17"/>
  <c r="E367" i="17" s="1"/>
  <c r="G367" i="17" s="1"/>
  <c r="D365" i="17"/>
  <c r="E365" i="17" s="1"/>
  <c r="F365" i="17" s="1"/>
  <c r="F359" i="28"/>
  <c r="G359" i="28"/>
  <c r="G361" i="28"/>
  <c r="F361" i="28"/>
  <c r="D365" i="28" a="1"/>
  <c r="D365" i="28" s="1"/>
  <c r="E365" i="28" s="1"/>
  <c r="D368" i="17" a="1"/>
  <c r="D368" i="17" s="1"/>
  <c r="E368" i="17" s="1"/>
  <c r="D371" i="17" a="1"/>
  <c r="D371" i="17" s="1"/>
  <c r="E371" i="17" s="1"/>
  <c r="D366" i="17" a="1"/>
  <c r="D366" i="17" s="1"/>
  <c r="E366" i="17" s="1"/>
  <c r="D362" i="28" a="1"/>
  <c r="D362" i="28" s="1"/>
  <c r="E362" i="28" s="1"/>
  <c r="I349" i="17"/>
  <c r="I345" i="28"/>
  <c r="A98" i="27"/>
  <c r="B97" i="27"/>
  <c r="D97" i="27" a="1"/>
  <c r="D97" i="27" s="1"/>
  <c r="E97" i="27" s="1"/>
  <c r="B98" i="16"/>
  <c r="A99" i="16"/>
  <c r="D98" i="16" a="1"/>
  <c r="D98" i="16" s="1"/>
  <c r="E98" i="16" s="1"/>
  <c r="D40" i="11"/>
  <c r="B372" i="17"/>
  <c r="B373" i="17"/>
  <c r="B371" i="28"/>
  <c r="B370" i="17"/>
  <c r="B375" i="28"/>
  <c r="E40" i="11"/>
  <c r="B374" i="17"/>
  <c r="B370" i="28"/>
  <c r="B373" i="28"/>
  <c r="B367" i="17"/>
  <c r="B368" i="28"/>
  <c r="G40" i="11"/>
  <c r="B369" i="17"/>
  <c r="B374" i="28"/>
  <c r="B368" i="17"/>
  <c r="D373" i="17" s="1" a="1"/>
  <c r="B376" i="28"/>
  <c r="F40" i="11"/>
  <c r="B376" i="17"/>
  <c r="B375" i="17"/>
  <c r="B372" i="28"/>
  <c r="B371" i="17"/>
  <c r="D376" i="17" s="1" a="1"/>
  <c r="B367" i="28"/>
  <c r="B369" i="28"/>
  <c r="D374" i="28" s="1" a="1"/>
  <c r="I347" i="28"/>
  <c r="C45" i="16"/>
  <c r="H44" i="16"/>
  <c r="F353" i="17"/>
  <c r="G353" i="17"/>
  <c r="C45" i="27"/>
  <c r="H44" i="27"/>
  <c r="I350" i="28"/>
  <c r="F352" i="28"/>
  <c r="G352" i="28"/>
  <c r="I95" i="27"/>
  <c r="I351" i="17"/>
  <c r="D370" i="28" a="1"/>
  <c r="D370" i="28" s="1"/>
  <c r="E370" i="28" s="1"/>
  <c r="D368" i="28" a="1"/>
  <c r="D368" i="28" s="1"/>
  <c r="E368" i="28" s="1"/>
  <c r="I345" i="17"/>
  <c r="F359" i="17"/>
  <c r="G359" i="17"/>
  <c r="I353" i="28"/>
  <c r="I355" i="28"/>
  <c r="I342" i="17"/>
  <c r="I354" i="17"/>
  <c r="F360" i="28"/>
  <c r="G360" i="28"/>
  <c r="I343" i="28"/>
  <c r="C45" i="17"/>
  <c r="H44" i="17"/>
  <c r="F356" i="17"/>
  <c r="G356" i="17"/>
  <c r="I96" i="16"/>
  <c r="D370" i="17" a="1"/>
  <c r="D370" i="17" s="1"/>
  <c r="E370" i="17" s="1"/>
  <c r="D366" i="28" a="1"/>
  <c r="D366" i="28" s="1"/>
  <c r="E366" i="28" s="1"/>
  <c r="D364" i="17" a="1"/>
  <c r="D364" i="17" s="1"/>
  <c r="E364" i="17" s="1"/>
  <c r="I350" i="17"/>
  <c r="F358" i="28"/>
  <c r="G358" i="28"/>
  <c r="I342" i="28"/>
  <c r="G356" i="28"/>
  <c r="F356" i="28"/>
  <c r="G96" i="27"/>
  <c r="F96" i="27"/>
  <c r="D80" i="11"/>
  <c r="G80" i="11"/>
  <c r="F80" i="11"/>
  <c r="E80" i="11"/>
  <c r="B768" i="17"/>
  <c r="B767" i="28"/>
  <c r="B776" i="17"/>
  <c r="B770" i="28"/>
  <c r="B773" i="17"/>
  <c r="B774" i="28"/>
  <c r="B774" i="17"/>
  <c r="B769" i="28"/>
  <c r="B768" i="28"/>
  <c r="B771" i="17"/>
  <c r="B776" i="28"/>
  <c r="B773" i="28"/>
  <c r="B771" i="28"/>
  <c r="B775" i="28"/>
  <c r="B775" i="17"/>
  <c r="B767" i="17"/>
  <c r="B772" i="17"/>
  <c r="B769" i="17"/>
  <c r="B770" i="17"/>
  <c r="B772" i="28"/>
  <c r="B102" i="9"/>
  <c r="C102" i="9" s="1"/>
  <c r="A96" i="26"/>
  <c r="B96" i="26" s="1"/>
  <c r="D95" i="26"/>
  <c r="B41" i="11"/>
  <c r="C41" i="11" s="1"/>
  <c r="B68" i="11"/>
  <c r="B81" i="11"/>
  <c r="I343" i="17"/>
  <c r="G360" i="17"/>
  <c r="F360" i="17"/>
  <c r="F357" i="28"/>
  <c r="G357" i="28"/>
  <c r="I348" i="17"/>
  <c r="G352" i="17"/>
  <c r="F352" i="17"/>
  <c r="I347" i="17"/>
  <c r="D371" i="28" a="1"/>
  <c r="D371" i="28" s="1"/>
  <c r="E371" i="28" s="1"/>
  <c r="D367" i="28" a="1"/>
  <c r="D367" i="28" s="1"/>
  <c r="E367" i="28" s="1"/>
  <c r="D362" i="17" a="1"/>
  <c r="D362" i="17" s="1"/>
  <c r="E362" i="17" s="1"/>
  <c r="D369" i="28" a="1"/>
  <c r="D369" i="28" s="1"/>
  <c r="E369" i="28" s="1"/>
  <c r="D363" i="17" a="1"/>
  <c r="D363" i="17" s="1"/>
  <c r="E363" i="17" s="1"/>
  <c r="I348" i="28"/>
  <c r="I358" i="17"/>
  <c r="K37" i="28"/>
  <c r="M42" i="17" s="1"/>
  <c r="I351" i="28"/>
  <c r="I355" i="17"/>
  <c r="F97" i="16"/>
  <c r="G97" i="16"/>
  <c r="E67" i="11"/>
  <c r="F67" i="11"/>
  <c r="G67" i="11"/>
  <c r="D67" i="11"/>
  <c r="B641" i="28"/>
  <c r="B639" i="17"/>
  <c r="B639" i="28"/>
  <c r="B637" i="28"/>
  <c r="B637" i="17"/>
  <c r="B642" i="17"/>
  <c r="B638" i="17"/>
  <c r="B640" i="17"/>
  <c r="B646" i="28"/>
  <c r="B645" i="17"/>
  <c r="B642" i="28"/>
  <c r="B643" i="17"/>
  <c r="B638" i="28"/>
  <c r="B646" i="17"/>
  <c r="B645" i="28"/>
  <c r="B640" i="28"/>
  <c r="B644" i="17"/>
  <c r="B643" i="28"/>
  <c r="B641" i="17"/>
  <c r="B644" i="28"/>
  <c r="C45" i="28"/>
  <c r="H44" i="28"/>
  <c r="F354" i="28"/>
  <c r="G354" i="28"/>
  <c r="F357" i="17"/>
  <c r="G357" i="17"/>
  <c r="D377" i="28" l="1" a="1"/>
  <c r="D378" i="28" a="1"/>
  <c r="D374" i="17" a="1"/>
  <c r="I361" i="17"/>
  <c r="G369" i="17"/>
  <c r="F367" i="17"/>
  <c r="D374" i="28"/>
  <c r="E374" i="28" s="1"/>
  <c r="F374" i="28" s="1"/>
  <c r="D373" i="17"/>
  <c r="E373" i="17" s="1"/>
  <c r="G373" i="17" s="1"/>
  <c r="G365" i="17"/>
  <c r="I365" i="17" s="1"/>
  <c r="B95" i="34"/>
  <c r="A96" i="34"/>
  <c r="B95" i="36"/>
  <c r="A96" i="36"/>
  <c r="B95" i="33"/>
  <c r="A96" i="33"/>
  <c r="B95" i="35"/>
  <c r="A96" i="35"/>
  <c r="D376" i="17"/>
  <c r="E376" i="17" s="1"/>
  <c r="F376" i="17" s="1"/>
  <c r="G363" i="28"/>
  <c r="I363" i="28" s="1"/>
  <c r="F364" i="28"/>
  <c r="D374" i="17"/>
  <c r="E374" i="17" s="1"/>
  <c r="G374" i="17" s="1"/>
  <c r="D377" i="28"/>
  <c r="E377" i="28" s="1"/>
  <c r="F377" i="28" s="1"/>
  <c r="D378" i="28"/>
  <c r="E378" i="28" s="1"/>
  <c r="G378" i="28" s="1"/>
  <c r="I357" i="17"/>
  <c r="C46" i="28"/>
  <c r="H45" i="28"/>
  <c r="G371" i="28"/>
  <c r="F371" i="28"/>
  <c r="I352" i="17"/>
  <c r="I357" i="28"/>
  <c r="G68" i="11"/>
  <c r="E68" i="11"/>
  <c r="F68" i="11"/>
  <c r="D68" i="11"/>
  <c r="B647" i="17"/>
  <c r="B653" i="28"/>
  <c r="B654" i="28"/>
  <c r="B654" i="17"/>
  <c r="B649" i="28"/>
  <c r="B656" i="17"/>
  <c r="B647" i="28"/>
  <c r="B649" i="17"/>
  <c r="B655" i="28"/>
  <c r="B648" i="28"/>
  <c r="B650" i="28"/>
  <c r="B651" i="28"/>
  <c r="B652" i="17"/>
  <c r="B651" i="17"/>
  <c r="B650" i="17"/>
  <c r="B653" i="17"/>
  <c r="B655" i="17"/>
  <c r="B656" i="28"/>
  <c r="B648" i="17"/>
  <c r="B652" i="28"/>
  <c r="I356" i="28"/>
  <c r="C95" i="26"/>
  <c r="I356" i="17"/>
  <c r="C46" i="27"/>
  <c r="H45" i="27"/>
  <c r="C46" i="16"/>
  <c r="H45" i="16"/>
  <c r="D372" i="28" a="1"/>
  <c r="D372" i="28" s="1"/>
  <c r="E372" i="28" s="1"/>
  <c r="D381" i="17" a="1"/>
  <c r="D381" i="17" s="1"/>
  <c r="E381" i="17" s="1"/>
  <c r="D379" i="28" a="1"/>
  <c r="D379" i="28" s="1"/>
  <c r="E379" i="28" s="1"/>
  <c r="D372" i="17" a="1"/>
  <c r="D372" i="17" s="1"/>
  <c r="E372" i="17" s="1"/>
  <c r="D378" i="17" a="1"/>
  <c r="D378" i="17" s="1"/>
  <c r="E378" i="17" s="1"/>
  <c r="B99" i="16"/>
  <c r="A100" i="16"/>
  <c r="D99" i="16" a="1"/>
  <c r="D99" i="16" s="1"/>
  <c r="E99" i="16" s="1"/>
  <c r="A99" i="27"/>
  <c r="B98" i="27"/>
  <c r="D98" i="27" a="1"/>
  <c r="D98" i="27" s="1"/>
  <c r="E98" i="27" s="1"/>
  <c r="G368" i="17"/>
  <c r="F368" i="17"/>
  <c r="I359" i="28"/>
  <c r="G363" i="17"/>
  <c r="F363" i="17"/>
  <c r="F41" i="11"/>
  <c r="B383" i="17"/>
  <c r="B380" i="28"/>
  <c r="B384" i="28"/>
  <c r="B379" i="17"/>
  <c r="B386" i="28"/>
  <c r="D41" i="11"/>
  <c r="B385" i="17"/>
  <c r="B381" i="28"/>
  <c r="B378" i="17"/>
  <c r="B386" i="17"/>
  <c r="B379" i="28"/>
  <c r="G41" i="11"/>
  <c r="B377" i="17"/>
  <c r="B378" i="28"/>
  <c r="B381" i="17"/>
  <c r="B377" i="28"/>
  <c r="B382" i="28"/>
  <c r="E41" i="11"/>
  <c r="B384" i="17"/>
  <c r="B383" i="28"/>
  <c r="B382" i="17"/>
  <c r="B380" i="17"/>
  <c r="D385" i="17" s="1" a="1"/>
  <c r="B385" i="28"/>
  <c r="I358" i="28"/>
  <c r="F364" i="17"/>
  <c r="G364" i="17"/>
  <c r="I367" i="17"/>
  <c r="C46" i="17"/>
  <c r="H45" i="17"/>
  <c r="F370" i="28"/>
  <c r="G370" i="28"/>
  <c r="I364" i="28"/>
  <c r="I353" i="17"/>
  <c r="D380" i="28" a="1"/>
  <c r="D380" i="28" s="1"/>
  <c r="E380" i="28" s="1"/>
  <c r="D377" i="17" a="1"/>
  <c r="D377" i="17" s="1"/>
  <c r="E377" i="17" s="1"/>
  <c r="F362" i="28"/>
  <c r="G362" i="28"/>
  <c r="F365" i="28"/>
  <c r="G365" i="28"/>
  <c r="I354" i="28"/>
  <c r="G369" i="28"/>
  <c r="F369" i="28"/>
  <c r="F362" i="17"/>
  <c r="G362" i="17"/>
  <c r="I96" i="27"/>
  <c r="F366" i="28"/>
  <c r="G366" i="28"/>
  <c r="I360" i="28"/>
  <c r="F368" i="28"/>
  <c r="G368" i="28"/>
  <c r="I369" i="17"/>
  <c r="D381" i="28" a="1"/>
  <c r="D381" i="28" s="1"/>
  <c r="E381" i="28" s="1"/>
  <c r="D375" i="28" a="1"/>
  <c r="D375" i="28" s="1"/>
  <c r="E375" i="28" s="1"/>
  <c r="D375" i="17" a="1"/>
  <c r="D375" i="17" s="1"/>
  <c r="E375" i="17" s="1"/>
  <c r="F97" i="27"/>
  <c r="G97" i="27"/>
  <c r="F366" i="17"/>
  <c r="G366" i="17"/>
  <c r="I97" i="16"/>
  <c r="F367" i="28"/>
  <c r="G367" i="28"/>
  <c r="I360" i="17"/>
  <c r="F81" i="11"/>
  <c r="D81" i="11"/>
  <c r="G81" i="11"/>
  <c r="E81" i="11"/>
  <c r="B784" i="17"/>
  <c r="B779" i="17"/>
  <c r="B785" i="28"/>
  <c r="B777" i="28"/>
  <c r="B779" i="28"/>
  <c r="B778" i="28"/>
  <c r="B780" i="28"/>
  <c r="B785" i="17"/>
  <c r="B781" i="17"/>
  <c r="B781" i="28"/>
  <c r="B782" i="17"/>
  <c r="B777" i="17"/>
  <c r="B786" i="17"/>
  <c r="B778" i="17"/>
  <c r="B780" i="17"/>
  <c r="B786" i="28"/>
  <c r="B783" i="17"/>
  <c r="B782" i="28"/>
  <c r="B783" i="28"/>
  <c r="B784" i="28"/>
  <c r="B103" i="9"/>
  <c r="C103" i="9" s="1"/>
  <c r="A97" i="26"/>
  <c r="B97" i="26" s="1"/>
  <c r="D96" i="26"/>
  <c r="B42" i="11"/>
  <c r="B69" i="11"/>
  <c r="B82" i="11"/>
  <c r="F370" i="17"/>
  <c r="G370" i="17"/>
  <c r="I359" i="17"/>
  <c r="I352" i="28"/>
  <c r="D380" i="17" a="1"/>
  <c r="D380" i="17" s="1"/>
  <c r="E380" i="17" s="1"/>
  <c r="D373" i="28" a="1"/>
  <c r="D373" i="28" s="1"/>
  <c r="E373" i="28" s="1"/>
  <c r="D379" i="17" a="1"/>
  <c r="D379" i="17" s="1"/>
  <c r="E379" i="17" s="1"/>
  <c r="D376" i="28" a="1"/>
  <c r="D376" i="28" s="1"/>
  <c r="E376" i="28" s="1"/>
  <c r="F98" i="16"/>
  <c r="G98" i="16"/>
  <c r="G371" i="17"/>
  <c r="K44" i="17" s="1"/>
  <c r="F371" i="17"/>
  <c r="K38" i="28"/>
  <c r="M43" i="17" s="1"/>
  <c r="I361" i="28"/>
  <c r="D387" i="17" l="1" a="1"/>
  <c r="D387" i="17" s="1"/>
  <c r="E387" i="17" s="1"/>
  <c r="F387" i="17" s="1"/>
  <c r="D388" i="28" a="1"/>
  <c r="G374" i="28"/>
  <c r="I374" i="28" s="1"/>
  <c r="F373" i="17"/>
  <c r="B96" i="36"/>
  <c r="A97" i="36"/>
  <c r="B96" i="34"/>
  <c r="A97" i="34"/>
  <c r="B96" i="35"/>
  <c r="A97" i="35"/>
  <c r="B96" i="33"/>
  <c r="A97" i="33"/>
  <c r="D388" i="28"/>
  <c r="E388" i="28" s="1"/>
  <c r="G388" i="28" s="1"/>
  <c r="F374" i="17"/>
  <c r="G376" i="17"/>
  <c r="F378" i="28"/>
  <c r="G377" i="28"/>
  <c r="I377" i="28" s="1"/>
  <c r="D385" i="17"/>
  <c r="E385" i="17" s="1"/>
  <c r="F385" i="17" s="1"/>
  <c r="G82" i="11"/>
  <c r="D82" i="11"/>
  <c r="E82" i="11"/>
  <c r="F82" i="11"/>
  <c r="B792" i="17"/>
  <c r="B793" i="17"/>
  <c r="B787" i="28"/>
  <c r="B796" i="17"/>
  <c r="B793" i="28"/>
  <c r="B794" i="28"/>
  <c r="B788" i="28"/>
  <c r="B795" i="17"/>
  <c r="B790" i="28"/>
  <c r="B791" i="17"/>
  <c r="B796" i="28"/>
  <c r="B789" i="17"/>
  <c r="B791" i="28"/>
  <c r="B795" i="28"/>
  <c r="B788" i="17"/>
  <c r="B789" i="28"/>
  <c r="B794" i="17"/>
  <c r="B792" i="28"/>
  <c r="B790" i="17"/>
  <c r="B787" i="17"/>
  <c r="B104" i="9"/>
  <c r="C104" i="9" s="1"/>
  <c r="A98" i="26"/>
  <c r="B98" i="26" s="1"/>
  <c r="D97" i="26"/>
  <c r="B43" i="11"/>
  <c r="B70" i="11"/>
  <c r="B83" i="11"/>
  <c r="I367" i="28"/>
  <c r="F375" i="17"/>
  <c r="G375" i="17"/>
  <c r="I368" i="28"/>
  <c r="I366" i="28"/>
  <c r="I369" i="28"/>
  <c r="F380" i="28"/>
  <c r="G380" i="28"/>
  <c r="I374" i="17"/>
  <c r="D387" i="28" a="1"/>
  <c r="D387" i="28" s="1"/>
  <c r="E387" i="28" s="1"/>
  <c r="D382" i="17" a="1"/>
  <c r="D382" i="17" s="1"/>
  <c r="E382" i="17" s="1"/>
  <c r="D383" i="17" a="1"/>
  <c r="D383" i="17" s="1"/>
  <c r="E383" i="17" s="1"/>
  <c r="D391" i="28" a="1"/>
  <c r="D391" i="28" s="1"/>
  <c r="E391" i="28" s="1"/>
  <c r="D388" i="17" a="1"/>
  <c r="D388" i="17" s="1"/>
  <c r="E388" i="17" s="1"/>
  <c r="I368" i="17"/>
  <c r="A100" i="27"/>
  <c r="B99" i="27"/>
  <c r="D99" i="27" a="1"/>
  <c r="D99" i="27" s="1"/>
  <c r="E99" i="27" s="1"/>
  <c r="F378" i="17"/>
  <c r="G378" i="17"/>
  <c r="C96" i="26"/>
  <c r="C97" i="26" s="1"/>
  <c r="G376" i="28"/>
  <c r="F376" i="28"/>
  <c r="I371" i="17"/>
  <c r="F375" i="28"/>
  <c r="G375" i="28"/>
  <c r="I362" i="17"/>
  <c r="I365" i="28"/>
  <c r="I378" i="28"/>
  <c r="I376" i="17"/>
  <c r="I364" i="17"/>
  <c r="D382" i="28" a="1"/>
  <c r="D382" i="28" s="1"/>
  <c r="E382" i="28" s="1"/>
  <c r="D386" i="28" a="1"/>
  <c r="D386" i="28" s="1"/>
  <c r="E386" i="28" s="1"/>
  <c r="D384" i="17" a="1"/>
  <c r="D384" i="17" s="1"/>
  <c r="E384" i="17" s="1"/>
  <c r="F99" i="16"/>
  <c r="G99" i="16"/>
  <c r="F372" i="17"/>
  <c r="G372" i="17"/>
  <c r="C47" i="16"/>
  <c r="H46" i="16"/>
  <c r="K39" i="28"/>
  <c r="M44" i="17" s="1"/>
  <c r="I371" i="28"/>
  <c r="C47" i="28"/>
  <c r="H46" i="28"/>
  <c r="G69" i="11"/>
  <c r="D69" i="11"/>
  <c r="E69" i="11"/>
  <c r="F69" i="11"/>
  <c r="B658" i="28"/>
  <c r="B661" i="17"/>
  <c r="B662" i="28"/>
  <c r="B664" i="28"/>
  <c r="B660" i="17"/>
  <c r="B659" i="17"/>
  <c r="B666" i="17"/>
  <c r="B663" i="17"/>
  <c r="B657" i="28"/>
  <c r="B664" i="17"/>
  <c r="B665" i="28"/>
  <c r="B665" i="17"/>
  <c r="B660" i="28"/>
  <c r="B658" i="17"/>
  <c r="B659" i="28"/>
  <c r="B661" i="28"/>
  <c r="B657" i="17"/>
  <c r="B663" i="28"/>
  <c r="B662" i="17"/>
  <c r="B666" i="28"/>
  <c r="I98" i="16"/>
  <c r="G373" i="28"/>
  <c r="F373" i="28"/>
  <c r="D42" i="11"/>
  <c r="B390" i="17"/>
  <c r="B395" i="28"/>
  <c r="B391" i="17"/>
  <c r="B392" i="28"/>
  <c r="G42" i="11"/>
  <c r="B392" i="17"/>
  <c r="B387" i="17"/>
  <c r="B396" i="28"/>
  <c r="B393" i="17"/>
  <c r="B390" i="28"/>
  <c r="E42" i="11"/>
  <c r="B394" i="17"/>
  <c r="B389" i="17"/>
  <c r="B391" i="28"/>
  <c r="B396" i="17"/>
  <c r="B389" i="28"/>
  <c r="F42" i="11"/>
  <c r="B388" i="17"/>
  <c r="D393" i="17" s="1" a="1"/>
  <c r="B387" i="28"/>
  <c r="B393" i="28"/>
  <c r="B395" i="17"/>
  <c r="B394" i="28"/>
  <c r="B388" i="28"/>
  <c r="C42" i="11"/>
  <c r="C43" i="11" s="1"/>
  <c r="I97" i="27"/>
  <c r="F381" i="28"/>
  <c r="G381" i="28"/>
  <c r="C47" i="17"/>
  <c r="H46" i="17"/>
  <c r="D390" i="28" a="1"/>
  <c r="D390" i="28" s="1"/>
  <c r="E390" i="28" s="1"/>
  <c r="D389" i="17" a="1"/>
  <c r="D389" i="17" s="1"/>
  <c r="E389" i="17" s="1"/>
  <c r="D386" i="17" a="1"/>
  <c r="D386" i="17" s="1"/>
  <c r="E386" i="17" s="1"/>
  <c r="D384" i="28" a="1"/>
  <c r="D384" i="28" s="1"/>
  <c r="E384" i="28" s="1"/>
  <c r="D390" i="17" a="1"/>
  <c r="D390" i="17" s="1"/>
  <c r="E390" i="17" s="1"/>
  <c r="D389" i="28" a="1"/>
  <c r="D389" i="28" s="1"/>
  <c r="E389" i="28" s="1"/>
  <c r="G98" i="27"/>
  <c r="F98" i="27"/>
  <c r="B100" i="16"/>
  <c r="A101" i="16"/>
  <c r="D100" i="16" a="1"/>
  <c r="D100" i="16" s="1"/>
  <c r="E100" i="16" s="1"/>
  <c r="F379" i="28"/>
  <c r="G379" i="28"/>
  <c r="F372" i="28"/>
  <c r="G372" i="28"/>
  <c r="G379" i="17"/>
  <c r="F379" i="17"/>
  <c r="F380" i="17"/>
  <c r="G380" i="17"/>
  <c r="I373" i="17"/>
  <c r="I370" i="17"/>
  <c r="I366" i="17"/>
  <c r="I362" i="28"/>
  <c r="F377" i="17"/>
  <c r="G377" i="17"/>
  <c r="I370" i="28"/>
  <c r="D383" i="28" a="1"/>
  <c r="D383" i="28" s="1"/>
  <c r="E383" i="28" s="1"/>
  <c r="D391" i="17" a="1"/>
  <c r="D391" i="17" s="1"/>
  <c r="E391" i="17" s="1"/>
  <c r="D385" i="28" a="1"/>
  <c r="D385" i="28" s="1"/>
  <c r="E385" i="28" s="1"/>
  <c r="I363" i="17"/>
  <c r="F381" i="17"/>
  <c r="G381" i="17"/>
  <c r="K45" i="17" s="1"/>
  <c r="C47" i="27"/>
  <c r="H46" i="27"/>
  <c r="D393" i="28" l="1" a="1"/>
  <c r="D393" i="28" s="1"/>
  <c r="E393" i="28" s="1"/>
  <c r="D399" i="28" a="1"/>
  <c r="D394" i="28" a="1"/>
  <c r="D394" i="28" s="1"/>
  <c r="E394" i="28" s="1"/>
  <c r="D400" i="17" a="1"/>
  <c r="D398" i="28" a="1"/>
  <c r="D398" i="28" s="1"/>
  <c r="E398" i="28" s="1"/>
  <c r="F398" i="28" s="1"/>
  <c r="F388" i="28"/>
  <c r="B97" i="35"/>
  <c r="A98" i="35"/>
  <c r="B97" i="34"/>
  <c r="A98" i="34"/>
  <c r="B97" i="36"/>
  <c r="A98" i="36"/>
  <c r="B97" i="33"/>
  <c r="A98" i="33"/>
  <c r="G387" i="17"/>
  <c r="I387" i="17" s="1"/>
  <c r="D393" i="17"/>
  <c r="E393" i="17" s="1"/>
  <c r="F393" i="17" s="1"/>
  <c r="G385" i="17"/>
  <c r="I385" i="17" s="1"/>
  <c r="D399" i="28"/>
  <c r="E399" i="28" s="1"/>
  <c r="F399" i="28" s="1"/>
  <c r="D400" i="17"/>
  <c r="E400" i="17" s="1"/>
  <c r="F400" i="17" s="1"/>
  <c r="C48" i="27"/>
  <c r="H47" i="27"/>
  <c r="F383" i="28"/>
  <c r="G383" i="28"/>
  <c r="F386" i="17"/>
  <c r="G386" i="17"/>
  <c r="C48" i="17"/>
  <c r="H47" i="17"/>
  <c r="D396" i="28" a="1"/>
  <c r="D396" i="28" s="1"/>
  <c r="E396" i="28" s="1"/>
  <c r="D395" i="28" a="1"/>
  <c r="D395" i="28" s="1"/>
  <c r="E395" i="28" s="1"/>
  <c r="D397" i="17" a="1"/>
  <c r="D397" i="17" s="1"/>
  <c r="E397" i="17" s="1"/>
  <c r="D400" i="28" a="1"/>
  <c r="D400" i="28" s="1"/>
  <c r="E400" i="28" s="1"/>
  <c r="C48" i="16"/>
  <c r="H47" i="16"/>
  <c r="F384" i="17"/>
  <c r="G384" i="17"/>
  <c r="D83" i="11"/>
  <c r="G83" i="11"/>
  <c r="E83" i="11"/>
  <c r="F83" i="11"/>
  <c r="B805" i="28"/>
  <c r="B797" i="17"/>
  <c r="B797" i="28"/>
  <c r="B804" i="17"/>
  <c r="B802" i="28"/>
  <c r="B804" i="28"/>
  <c r="B805" i="17"/>
  <c r="B806" i="17"/>
  <c r="B798" i="17"/>
  <c r="B803" i="17"/>
  <c r="B799" i="17"/>
  <c r="B800" i="17"/>
  <c r="B801" i="28"/>
  <c r="B800" i="28"/>
  <c r="B803" i="28"/>
  <c r="B806" i="28"/>
  <c r="B798" i="28"/>
  <c r="B802" i="17"/>
  <c r="B799" i="28"/>
  <c r="B801" i="17"/>
  <c r="B105" i="9"/>
  <c r="C105" i="9" s="1"/>
  <c r="A99" i="26"/>
  <c r="B99" i="26" s="1"/>
  <c r="D98" i="26"/>
  <c r="B44" i="11"/>
  <c r="C44" i="11" s="1"/>
  <c r="B71" i="11"/>
  <c r="B84" i="11"/>
  <c r="I377" i="17"/>
  <c r="F389" i="28"/>
  <c r="G389" i="28"/>
  <c r="F389" i="17"/>
  <c r="G389" i="17"/>
  <c r="I381" i="28"/>
  <c r="K40" i="28"/>
  <c r="M45" i="17" s="1"/>
  <c r="D394" i="17" a="1"/>
  <c r="D394" i="17" s="1"/>
  <c r="E394" i="17" s="1"/>
  <c r="D398" i="17" a="1"/>
  <c r="D398" i="17" s="1"/>
  <c r="E398" i="17" s="1"/>
  <c r="D395" i="17" a="1"/>
  <c r="D395" i="17" s="1"/>
  <c r="E395" i="17" s="1"/>
  <c r="F386" i="28"/>
  <c r="G386" i="28"/>
  <c r="I376" i="28"/>
  <c r="C98" i="26"/>
  <c r="F99" i="27"/>
  <c r="G99" i="27"/>
  <c r="F388" i="17"/>
  <c r="G388" i="17"/>
  <c r="F382" i="17"/>
  <c r="G382" i="17"/>
  <c r="D70" i="11"/>
  <c r="E70" i="11"/>
  <c r="G70" i="11"/>
  <c r="F70" i="11"/>
  <c r="B669" i="17"/>
  <c r="B668" i="28"/>
  <c r="B676" i="28"/>
  <c r="B676" i="17"/>
  <c r="B672" i="28"/>
  <c r="B674" i="17"/>
  <c r="B674" i="28"/>
  <c r="B667" i="28"/>
  <c r="B675" i="28"/>
  <c r="B671" i="28"/>
  <c r="B673" i="28"/>
  <c r="B672" i="17"/>
  <c r="B670" i="17"/>
  <c r="B673" i="17"/>
  <c r="B667" i="17"/>
  <c r="B669" i="28"/>
  <c r="B668" i="17"/>
  <c r="B670" i="28"/>
  <c r="B671" i="17"/>
  <c r="B675" i="17"/>
  <c r="F385" i="28"/>
  <c r="G385" i="28"/>
  <c r="I379" i="17"/>
  <c r="I379" i="28"/>
  <c r="F100" i="16"/>
  <c r="G100" i="16"/>
  <c r="I98" i="27"/>
  <c r="G390" i="17"/>
  <c r="F390" i="17"/>
  <c r="G390" i="28"/>
  <c r="F390" i="28"/>
  <c r="D399" i="17" a="1"/>
  <c r="D399" i="17" s="1"/>
  <c r="E399" i="17" s="1"/>
  <c r="D401" i="28" a="1"/>
  <c r="D401" i="28" s="1"/>
  <c r="E401" i="28" s="1"/>
  <c r="D397" i="28" a="1"/>
  <c r="D397" i="28" s="1"/>
  <c r="E397" i="28" s="1"/>
  <c r="I373" i="28"/>
  <c r="G382" i="28"/>
  <c r="F382" i="28"/>
  <c r="G391" i="28"/>
  <c r="F391" i="28"/>
  <c r="F387" i="28"/>
  <c r="G387" i="28"/>
  <c r="F43" i="11"/>
  <c r="B404" i="17"/>
  <c r="B403" i="17"/>
  <c r="B400" i="28"/>
  <c r="B399" i="17"/>
  <c r="B405" i="17"/>
  <c r="B401" i="28"/>
  <c r="E43" i="11"/>
  <c r="B401" i="17"/>
  <c r="B403" i="28"/>
  <c r="B404" i="28"/>
  <c r="B399" i="28"/>
  <c r="D43" i="11"/>
  <c r="B402" i="17"/>
  <c r="B402" i="28"/>
  <c r="B405" i="28"/>
  <c r="B398" i="17"/>
  <c r="D403" i="17" s="1" a="1"/>
  <c r="B406" i="17"/>
  <c r="G43" i="11"/>
  <c r="B397" i="17"/>
  <c r="B398" i="28"/>
  <c r="B400" i="17"/>
  <c r="B397" i="28"/>
  <c r="B406" i="28"/>
  <c r="I381" i="17"/>
  <c r="G391" i="17"/>
  <c r="K46" i="17" s="1"/>
  <c r="F391" i="17"/>
  <c r="I380" i="17"/>
  <c r="I372" i="28"/>
  <c r="A102" i="16"/>
  <c r="B101" i="16"/>
  <c r="D101" i="16" a="1"/>
  <c r="D101" i="16" s="1"/>
  <c r="E101" i="16" s="1"/>
  <c r="F384" i="28"/>
  <c r="G384" i="28"/>
  <c r="F393" i="28"/>
  <c r="G393" i="28"/>
  <c r="D392" i="28" a="1"/>
  <c r="D392" i="28" s="1"/>
  <c r="E392" i="28" s="1"/>
  <c r="D401" i="17" a="1"/>
  <c r="D401" i="17" s="1"/>
  <c r="E401" i="17" s="1"/>
  <c r="D392" i="17" a="1"/>
  <c r="D392" i="17" s="1"/>
  <c r="E392" i="17" s="1"/>
  <c r="D396" i="17" a="1"/>
  <c r="D396" i="17" s="1"/>
  <c r="E396" i="17" s="1"/>
  <c r="C48" i="28"/>
  <c r="H47" i="28"/>
  <c r="I372" i="17"/>
  <c r="I99" i="16"/>
  <c r="I388" i="28"/>
  <c r="I375" i="28"/>
  <c r="I378" i="17"/>
  <c r="A101" i="27"/>
  <c r="B100" i="27"/>
  <c r="D100" i="27" a="1"/>
  <c r="D100" i="27" s="1"/>
  <c r="E100" i="27" s="1"/>
  <c r="G383" i="17"/>
  <c r="F383" i="17"/>
  <c r="I380" i="28"/>
  <c r="I375" i="17"/>
  <c r="G394" i="28" l="1"/>
  <c r="F394" i="28"/>
  <c r="D405" i="17" a="1"/>
  <c r="D403" i="28" a="1"/>
  <c r="D403" i="28" s="1"/>
  <c r="E403" i="28" s="1"/>
  <c r="F403" i="28" s="1"/>
  <c r="G398" i="28"/>
  <c r="B98" i="36"/>
  <c r="A99" i="36"/>
  <c r="B98" i="35"/>
  <c r="A99" i="35"/>
  <c r="B98" i="34"/>
  <c r="A99" i="34"/>
  <c r="B98" i="33"/>
  <c r="A99" i="33"/>
  <c r="G393" i="17"/>
  <c r="G400" i="17"/>
  <c r="I400" i="17" s="1"/>
  <c r="D405" i="17"/>
  <c r="E405" i="17" s="1"/>
  <c r="G405" i="17" s="1"/>
  <c r="G399" i="28"/>
  <c r="D403" i="17"/>
  <c r="E403" i="17" s="1"/>
  <c r="F403" i="17" s="1"/>
  <c r="C49" i="28"/>
  <c r="H48" i="28"/>
  <c r="G392" i="17"/>
  <c r="F392" i="17"/>
  <c r="G392" i="28"/>
  <c r="F392" i="28"/>
  <c r="I384" i="28"/>
  <c r="A103" i="16"/>
  <c r="B102" i="16"/>
  <c r="D102" i="16" a="1"/>
  <c r="D102" i="16" s="1"/>
  <c r="E102" i="16" s="1"/>
  <c r="D402" i="28" a="1"/>
  <c r="D402" i="28" s="1"/>
  <c r="E402" i="28" s="1"/>
  <c r="D407" i="28" a="1"/>
  <c r="D407" i="28" s="1"/>
  <c r="E407" i="28" s="1"/>
  <c r="D409" i="28" a="1"/>
  <c r="D409" i="28" s="1"/>
  <c r="E409" i="28" s="1"/>
  <c r="D406" i="28" a="1"/>
  <c r="D406" i="28" s="1"/>
  <c r="E406" i="28" s="1"/>
  <c r="D408" i="17" a="1"/>
  <c r="D408" i="17" s="1"/>
  <c r="E408" i="17" s="1"/>
  <c r="K41" i="28"/>
  <c r="M46" i="17" s="1"/>
  <c r="I391" i="28"/>
  <c r="I394" i="28"/>
  <c r="F398" i="17"/>
  <c r="G398" i="17"/>
  <c r="I389" i="17"/>
  <c r="F71" i="11"/>
  <c r="G71" i="11"/>
  <c r="D71" i="11"/>
  <c r="E71" i="11"/>
  <c r="B677" i="17"/>
  <c r="B678" i="17"/>
  <c r="B686" i="28"/>
  <c r="B682" i="28"/>
  <c r="B684" i="28"/>
  <c r="B682" i="17"/>
  <c r="B685" i="17"/>
  <c r="B681" i="17"/>
  <c r="B684" i="17"/>
  <c r="B679" i="17"/>
  <c r="B681" i="28"/>
  <c r="B683" i="28"/>
  <c r="B685" i="28"/>
  <c r="B686" i="17"/>
  <c r="B680" i="28"/>
  <c r="B679" i="28"/>
  <c r="B680" i="17"/>
  <c r="B678" i="28"/>
  <c r="B683" i="17"/>
  <c r="B677" i="28"/>
  <c r="C49" i="16"/>
  <c r="H48" i="16"/>
  <c r="F396" i="28"/>
  <c r="G396" i="28"/>
  <c r="C49" i="27"/>
  <c r="H48" i="27"/>
  <c r="I383" i="17"/>
  <c r="A102" i="27"/>
  <c r="B101" i="27"/>
  <c r="D101" i="27" a="1"/>
  <c r="D101" i="27" s="1"/>
  <c r="E101" i="27" s="1"/>
  <c r="F401" i="17"/>
  <c r="G401" i="17"/>
  <c r="K47" i="17" s="1"/>
  <c r="I393" i="28"/>
  <c r="D411" i="17" a="1"/>
  <c r="D411" i="17" s="1"/>
  <c r="E411" i="17" s="1"/>
  <c r="D407" i="17" a="1"/>
  <c r="D407" i="17" s="1"/>
  <c r="E407" i="17" s="1"/>
  <c r="D408" i="28" a="1"/>
  <c r="D408" i="28" s="1"/>
  <c r="E408" i="28" s="1"/>
  <c r="D410" i="17" a="1"/>
  <c r="D410" i="17" s="1"/>
  <c r="E410" i="17" s="1"/>
  <c r="D409" i="17" a="1"/>
  <c r="D409" i="17" s="1"/>
  <c r="E409" i="17" s="1"/>
  <c r="I382" i="28"/>
  <c r="F397" i="28"/>
  <c r="G397" i="28"/>
  <c r="I390" i="28"/>
  <c r="I99" i="27"/>
  <c r="I386" i="28"/>
  <c r="G394" i="17"/>
  <c r="F394" i="17"/>
  <c r="G44" i="11"/>
  <c r="B410" i="17"/>
  <c r="B415" i="28"/>
  <c r="B409" i="17"/>
  <c r="B412" i="28"/>
  <c r="D44" i="11"/>
  <c r="B407" i="17"/>
  <c r="B408" i="28"/>
  <c r="D413" i="28" s="1" a="1"/>
  <c r="B416" i="17"/>
  <c r="B410" i="28"/>
  <c r="B411" i="28"/>
  <c r="E44" i="11"/>
  <c r="B408" i="17"/>
  <c r="D413" i="17" s="1" a="1"/>
  <c r="B416" i="28"/>
  <c r="B412" i="17"/>
  <c r="B415" i="17"/>
  <c r="F44" i="11"/>
  <c r="B411" i="17"/>
  <c r="B407" i="28"/>
  <c r="B409" i="28"/>
  <c r="D414" i="28" s="1" a="1"/>
  <c r="B414" i="17"/>
  <c r="D419" i="17" s="1" a="1"/>
  <c r="B413" i="17"/>
  <c r="B414" i="28"/>
  <c r="B413" i="28"/>
  <c r="I384" i="17"/>
  <c r="G400" i="28"/>
  <c r="F400" i="28"/>
  <c r="I393" i="17"/>
  <c r="I383" i="28"/>
  <c r="F396" i="17"/>
  <c r="G396" i="17"/>
  <c r="G101" i="16"/>
  <c r="F101" i="16"/>
  <c r="I391" i="17"/>
  <c r="D406" i="17" a="1"/>
  <c r="D406" i="17" s="1"/>
  <c r="E406" i="17" s="1"/>
  <c r="D404" i="17" a="1"/>
  <c r="D404" i="17" s="1"/>
  <c r="E404" i="17" s="1"/>
  <c r="G401" i="28"/>
  <c r="F401" i="28"/>
  <c r="I100" i="16"/>
  <c r="I385" i="28"/>
  <c r="I382" i="17"/>
  <c r="I389" i="28"/>
  <c r="G397" i="17"/>
  <c r="F397" i="17"/>
  <c r="C49" i="17"/>
  <c r="H48" i="17"/>
  <c r="F100" i="27"/>
  <c r="G100" i="27"/>
  <c r="D411" i="28" a="1"/>
  <c r="D411" i="28" s="1"/>
  <c r="E411" i="28" s="1"/>
  <c r="D402" i="17" a="1"/>
  <c r="D402" i="17" s="1"/>
  <c r="E402" i="17" s="1"/>
  <c r="D410" i="28" a="1"/>
  <c r="D410" i="28" s="1"/>
  <c r="E410" i="28" s="1"/>
  <c r="D404" i="28" a="1"/>
  <c r="D404" i="28" s="1"/>
  <c r="E404" i="28" s="1"/>
  <c r="D405" i="28" a="1"/>
  <c r="D405" i="28" s="1"/>
  <c r="E405" i="28" s="1"/>
  <c r="I387" i="28"/>
  <c r="F399" i="17"/>
  <c r="G399" i="17"/>
  <c r="I398" i="28"/>
  <c r="I390" i="17"/>
  <c r="I388" i="17"/>
  <c r="F395" i="17"/>
  <c r="G395" i="17"/>
  <c r="G84" i="11"/>
  <c r="D84" i="11"/>
  <c r="E84" i="11"/>
  <c r="F84" i="11"/>
  <c r="B809" i="28"/>
  <c r="B808" i="28"/>
  <c r="B814" i="28"/>
  <c r="B813" i="17"/>
  <c r="B807" i="17"/>
  <c r="B814" i="17"/>
  <c r="B811" i="17"/>
  <c r="B807" i="28"/>
  <c r="B815" i="28"/>
  <c r="B816" i="17"/>
  <c r="B808" i="17"/>
  <c r="B816" i="28"/>
  <c r="B810" i="17"/>
  <c r="B812" i="28"/>
  <c r="B815" i="17"/>
  <c r="B811" i="28"/>
  <c r="B809" i="17"/>
  <c r="B813" i="28"/>
  <c r="B810" i="28"/>
  <c r="B812" i="17"/>
  <c r="B106" i="9"/>
  <c r="C106" i="9" s="1"/>
  <c r="A100" i="26"/>
  <c r="B100" i="26" s="1"/>
  <c r="D99" i="26"/>
  <c r="B45" i="11"/>
  <c r="B72" i="11"/>
  <c r="B85" i="11"/>
  <c r="B92" i="11"/>
  <c r="F395" i="28"/>
  <c r="G395" i="28"/>
  <c r="I399" i="28"/>
  <c r="I386" i="17"/>
  <c r="D418" i="28" l="1" a="1"/>
  <c r="D418" i="28" s="1"/>
  <c r="E418" i="28" s="1"/>
  <c r="F418" i="28" s="1"/>
  <c r="G403" i="17"/>
  <c r="I403" i="17" s="1"/>
  <c r="G403" i="28"/>
  <c r="I403" i="28" s="1"/>
  <c r="D414" i="28"/>
  <c r="E414" i="28" s="1"/>
  <c r="F414" i="28" s="1"/>
  <c r="D413" i="28"/>
  <c r="E413" i="28" s="1"/>
  <c r="F413" i="28" s="1"/>
  <c r="B99" i="33"/>
  <c r="A100" i="33"/>
  <c r="B99" i="34"/>
  <c r="A100" i="34"/>
  <c r="B99" i="35"/>
  <c r="A100" i="35"/>
  <c r="B99" i="36"/>
  <c r="A100" i="36"/>
  <c r="F405" i="17"/>
  <c r="D419" i="17"/>
  <c r="E419" i="17" s="1"/>
  <c r="G419" i="17" s="1"/>
  <c r="D413" i="17"/>
  <c r="E413" i="17" s="1"/>
  <c r="G413" i="17" s="1"/>
  <c r="I399" i="17"/>
  <c r="F405" i="28"/>
  <c r="G405" i="28"/>
  <c r="I397" i="17"/>
  <c r="G404" i="17"/>
  <c r="F404" i="17"/>
  <c r="I396" i="17"/>
  <c r="D421" i="17" a="1"/>
  <c r="D421" i="17" s="1"/>
  <c r="E421" i="17" s="1"/>
  <c r="D417" i="28" a="1"/>
  <c r="D417" i="28" s="1"/>
  <c r="E417" i="28" s="1"/>
  <c r="F409" i="17"/>
  <c r="G409" i="17"/>
  <c r="G411" i="17"/>
  <c r="K48" i="17" s="1"/>
  <c r="F411" i="17"/>
  <c r="F408" i="17"/>
  <c r="G408" i="17"/>
  <c r="F45" i="11"/>
  <c r="B418" i="17"/>
  <c r="B420" i="17"/>
  <c r="B418" i="28"/>
  <c r="D423" i="28" s="1" a="1"/>
  <c r="B425" i="17"/>
  <c r="B417" i="28"/>
  <c r="D45" i="11"/>
  <c r="B422" i="17"/>
  <c r="B426" i="17"/>
  <c r="B423" i="28"/>
  <c r="B417" i="17"/>
  <c r="B425" i="28"/>
  <c r="B422" i="28"/>
  <c r="G45" i="11"/>
  <c r="B419" i="17"/>
  <c r="B420" i="28"/>
  <c r="B424" i="28"/>
  <c r="B424" i="17"/>
  <c r="B426" i="28"/>
  <c r="E45" i="11"/>
  <c r="B421" i="17"/>
  <c r="D426" i="17" s="1" a="1"/>
  <c r="B421" i="28"/>
  <c r="B423" i="17"/>
  <c r="B419" i="28"/>
  <c r="I395" i="28"/>
  <c r="G92" i="11"/>
  <c r="D92" i="11"/>
  <c r="E92" i="11"/>
  <c r="F92" i="11"/>
  <c r="B889" i="17"/>
  <c r="B888" i="28"/>
  <c r="B889" i="28"/>
  <c r="B887" i="28"/>
  <c r="B891" i="17"/>
  <c r="B895" i="17"/>
  <c r="B894" i="28"/>
  <c r="B891" i="28"/>
  <c r="B888" i="17"/>
  <c r="B892" i="17"/>
  <c r="B890" i="28"/>
  <c r="B894" i="17"/>
  <c r="B893" i="17"/>
  <c r="B893" i="28"/>
  <c r="B887" i="17"/>
  <c r="B896" i="17"/>
  <c r="B892" i="28"/>
  <c r="B895" i="28"/>
  <c r="B890" i="17"/>
  <c r="B896" i="28"/>
  <c r="I395" i="17"/>
  <c r="F404" i="28"/>
  <c r="G404" i="28"/>
  <c r="K42" i="28"/>
  <c r="M47" i="17" s="1"/>
  <c r="I401" i="28"/>
  <c r="F406" i="17"/>
  <c r="G406" i="17"/>
  <c r="D420" i="17" a="1"/>
  <c r="D420" i="17" s="1"/>
  <c r="E420" i="17" s="1"/>
  <c r="D414" i="17" a="1"/>
  <c r="D414" i="17" s="1"/>
  <c r="E414" i="17" s="1"/>
  <c r="I397" i="28"/>
  <c r="F410" i="17"/>
  <c r="G410" i="17"/>
  <c r="I405" i="17"/>
  <c r="I401" i="17"/>
  <c r="A103" i="27"/>
  <c r="B102" i="27"/>
  <c r="D102" i="27" a="1"/>
  <c r="D102" i="27" s="1"/>
  <c r="E102" i="27" s="1"/>
  <c r="C50" i="27"/>
  <c r="H49" i="27"/>
  <c r="C45" i="11"/>
  <c r="G406" i="28"/>
  <c r="F406" i="28"/>
  <c r="G402" i="28"/>
  <c r="F402" i="28"/>
  <c r="A104" i="16"/>
  <c r="B103" i="16"/>
  <c r="D103" i="16" a="1"/>
  <c r="D103" i="16" s="1"/>
  <c r="E103" i="16" s="1"/>
  <c r="I392" i="28"/>
  <c r="C50" i="28"/>
  <c r="H49" i="28"/>
  <c r="D85" i="11"/>
  <c r="F85" i="11"/>
  <c r="E85" i="11"/>
  <c r="G85" i="11"/>
  <c r="B826" i="17"/>
  <c r="B825" i="17"/>
  <c r="B819" i="17"/>
  <c r="B820" i="17"/>
  <c r="B818" i="28"/>
  <c r="B821" i="17"/>
  <c r="B823" i="17"/>
  <c r="B823" i="28"/>
  <c r="B818" i="17"/>
  <c r="B819" i="28"/>
  <c r="B821" i="28"/>
  <c r="B817" i="17"/>
  <c r="B824" i="17"/>
  <c r="B824" i="28"/>
  <c r="B817" i="28"/>
  <c r="B820" i="28"/>
  <c r="B822" i="17"/>
  <c r="B826" i="28"/>
  <c r="B825" i="28"/>
  <c r="B822" i="28"/>
  <c r="B107" i="9"/>
  <c r="C107" i="9" s="1"/>
  <c r="A101" i="26"/>
  <c r="B101" i="26" s="1"/>
  <c r="D100" i="26"/>
  <c r="B46" i="11"/>
  <c r="B73" i="11"/>
  <c r="B86" i="11"/>
  <c r="B93" i="11"/>
  <c r="F410" i="28"/>
  <c r="G410" i="28"/>
  <c r="F402" i="17"/>
  <c r="G402" i="17"/>
  <c r="C50" i="17"/>
  <c r="H49" i="17"/>
  <c r="D419" i="28" a="1"/>
  <c r="D419" i="28" s="1"/>
  <c r="E419" i="28" s="1"/>
  <c r="D412" i="28" a="1"/>
  <c r="D412" i="28" s="1"/>
  <c r="E412" i="28" s="1"/>
  <c r="D417" i="17" a="1"/>
  <c r="D417" i="17" s="1"/>
  <c r="E417" i="17" s="1"/>
  <c r="D416" i="28" a="1"/>
  <c r="D416" i="28" s="1"/>
  <c r="E416" i="28" s="1"/>
  <c r="D412" i="17" a="1"/>
  <c r="D412" i="17" s="1"/>
  <c r="E412" i="17" s="1"/>
  <c r="D420" i="28" a="1"/>
  <c r="D420" i="28" s="1"/>
  <c r="E420" i="28" s="1"/>
  <c r="F408" i="28"/>
  <c r="G408" i="28"/>
  <c r="I396" i="28"/>
  <c r="I398" i="17"/>
  <c r="F409" i="28"/>
  <c r="G409" i="28"/>
  <c r="G72" i="11"/>
  <c r="F72" i="11"/>
  <c r="D72" i="11"/>
  <c r="E72" i="11"/>
  <c r="B692" i="17"/>
  <c r="B688" i="17"/>
  <c r="B695" i="28"/>
  <c r="B689" i="17"/>
  <c r="B691" i="17"/>
  <c r="B694" i="17"/>
  <c r="B692" i="28"/>
  <c r="B696" i="17"/>
  <c r="B687" i="17"/>
  <c r="B693" i="17"/>
  <c r="B691" i="28"/>
  <c r="B689" i="28"/>
  <c r="B690" i="17"/>
  <c r="B687" i="28"/>
  <c r="B695" i="17"/>
  <c r="B690" i="28"/>
  <c r="B694" i="28"/>
  <c r="B688" i="28"/>
  <c r="B693" i="28"/>
  <c r="B696" i="28"/>
  <c r="C99" i="26"/>
  <c r="C100" i="26" s="1"/>
  <c r="F411" i="28"/>
  <c r="G411" i="28"/>
  <c r="I100" i="27"/>
  <c r="I101" i="16"/>
  <c r="K12" i="16"/>
  <c r="L17" i="17" s="1"/>
  <c r="I400" i="28"/>
  <c r="D418" i="17" a="1"/>
  <c r="D418" i="17" s="1"/>
  <c r="E418" i="17" s="1"/>
  <c r="D416" i="17" a="1"/>
  <c r="D416" i="17" s="1"/>
  <c r="E416" i="17" s="1"/>
  <c r="D421" i="28" a="1"/>
  <c r="D421" i="28" s="1"/>
  <c r="E421" i="28" s="1"/>
  <c r="D415" i="28" a="1"/>
  <c r="D415" i="28" s="1"/>
  <c r="E415" i="28" s="1"/>
  <c r="D415" i="17" a="1"/>
  <c r="D415" i="17" s="1"/>
  <c r="E415" i="17" s="1"/>
  <c r="I394" i="17"/>
  <c r="F407" i="17"/>
  <c r="G407" i="17"/>
  <c r="F101" i="27"/>
  <c r="G101" i="27"/>
  <c r="C50" i="16"/>
  <c r="H49" i="16"/>
  <c r="G407" i="28"/>
  <c r="F407" i="28"/>
  <c r="G102" i="16"/>
  <c r="F102" i="16"/>
  <c r="I392" i="17"/>
  <c r="D424" i="28" l="1" a="1"/>
  <c r="D424" i="28" s="1"/>
  <c r="E424" i="28" s="1"/>
  <c r="F424" i="28" s="1"/>
  <c r="D428" i="17" a="1"/>
  <c r="D428" i="17" s="1"/>
  <c r="E428" i="17" s="1"/>
  <c r="F428" i="17" s="1"/>
  <c r="D424" i="17" a="1"/>
  <c r="D424" i="17" s="1"/>
  <c r="E424" i="17" s="1"/>
  <c r="G424" i="17" s="1"/>
  <c r="G414" i="28"/>
  <c r="I414" i="28" s="1"/>
  <c r="G413" i="28"/>
  <c r="I413" i="28" s="1"/>
  <c r="G418" i="28"/>
  <c r="I418" i="28" s="1"/>
  <c r="B100" i="36"/>
  <c r="A101" i="36"/>
  <c r="B100" i="34"/>
  <c r="A101" i="34"/>
  <c r="B100" i="33"/>
  <c r="A101" i="33"/>
  <c r="B100" i="35"/>
  <c r="A101" i="35"/>
  <c r="D426" i="17"/>
  <c r="E426" i="17" s="1"/>
  <c r="F426" i="17" s="1"/>
  <c r="D423" i="28"/>
  <c r="E423" i="28" s="1"/>
  <c r="G423" i="28" s="1"/>
  <c r="F413" i="17"/>
  <c r="F419" i="17"/>
  <c r="I407" i="28"/>
  <c r="I101" i="27"/>
  <c r="K12" i="27"/>
  <c r="N17" i="17" s="1"/>
  <c r="E22" i="9" s="1"/>
  <c r="F22" i="9" s="1"/>
  <c r="F415" i="17"/>
  <c r="G415" i="17"/>
  <c r="F418" i="17"/>
  <c r="G418" i="17"/>
  <c r="G416" i="28"/>
  <c r="F416" i="28"/>
  <c r="I402" i="17"/>
  <c r="D46" i="11"/>
  <c r="B428" i="17"/>
  <c r="B432" i="28"/>
  <c r="B430" i="28"/>
  <c r="B429" i="28"/>
  <c r="F46" i="11"/>
  <c r="B432" i="17"/>
  <c r="B433" i="17"/>
  <c r="B433" i="28"/>
  <c r="B436" i="28"/>
  <c r="B427" i="17"/>
  <c r="B435" i="28"/>
  <c r="G46" i="11"/>
  <c r="B429" i="17"/>
  <c r="B431" i="17"/>
  <c r="B428" i="28"/>
  <c r="B436" i="17"/>
  <c r="B435" i="17"/>
  <c r="B431" i="28"/>
  <c r="E46" i="11"/>
  <c r="B434" i="17"/>
  <c r="B427" i="28"/>
  <c r="B430" i="17"/>
  <c r="D435" i="17" s="1" a="1"/>
  <c r="B434" i="28"/>
  <c r="D439" i="28" s="1" a="1"/>
  <c r="F103" i="16"/>
  <c r="G103" i="16"/>
  <c r="I402" i="28"/>
  <c r="I406" i="28"/>
  <c r="A104" i="27"/>
  <c r="B103" i="27"/>
  <c r="D103" i="27" a="1"/>
  <c r="D103" i="27" s="1"/>
  <c r="E103" i="27" s="1"/>
  <c r="G420" i="17"/>
  <c r="F420" i="17"/>
  <c r="D426" i="28" a="1"/>
  <c r="D426" i="28" s="1"/>
  <c r="E426" i="28" s="1"/>
  <c r="D429" i="17" a="1"/>
  <c r="D429" i="17" s="1"/>
  <c r="E429" i="17" s="1"/>
  <c r="D428" i="28" a="1"/>
  <c r="D428" i="28" s="1"/>
  <c r="E428" i="28" s="1"/>
  <c r="D422" i="28" a="1"/>
  <c r="D422" i="28" s="1"/>
  <c r="E422" i="28" s="1"/>
  <c r="D423" i="17" a="1"/>
  <c r="D423" i="17" s="1"/>
  <c r="E423" i="17" s="1"/>
  <c r="I409" i="17"/>
  <c r="I405" i="28"/>
  <c r="F415" i="28"/>
  <c r="G415" i="28"/>
  <c r="K43" i="28"/>
  <c r="M48" i="17" s="1"/>
  <c r="I411" i="28"/>
  <c r="I409" i="28"/>
  <c r="I408" i="28"/>
  <c r="F420" i="28"/>
  <c r="G420" i="28"/>
  <c r="F417" i="17"/>
  <c r="G417" i="17"/>
  <c r="F412" i="28"/>
  <c r="G412" i="28"/>
  <c r="G93" i="11"/>
  <c r="E93" i="11"/>
  <c r="F93" i="11"/>
  <c r="D93" i="11"/>
  <c r="B899" i="28"/>
  <c r="B900" i="17"/>
  <c r="B905" i="28"/>
  <c r="B904" i="28"/>
  <c r="B905" i="17"/>
  <c r="B902" i="28"/>
  <c r="B897" i="17"/>
  <c r="B901" i="28"/>
  <c r="B903" i="17"/>
  <c r="B906" i="17"/>
  <c r="B906" i="28"/>
  <c r="B903" i="28"/>
  <c r="B901" i="17"/>
  <c r="B898" i="17"/>
  <c r="B897" i="28"/>
  <c r="B898" i="28"/>
  <c r="B904" i="17"/>
  <c r="B902" i="17"/>
  <c r="B899" i="17"/>
  <c r="B900" i="28"/>
  <c r="C51" i="28"/>
  <c r="H50" i="28"/>
  <c r="C51" i="27"/>
  <c r="H50" i="27"/>
  <c r="G414" i="17"/>
  <c r="F414" i="17"/>
  <c r="D429" i="28" a="1"/>
  <c r="D429" i="28" s="1"/>
  <c r="E429" i="28" s="1"/>
  <c r="D427" i="28" a="1"/>
  <c r="D427" i="28" s="1"/>
  <c r="E427" i="28" s="1"/>
  <c r="D431" i="17" a="1"/>
  <c r="D431" i="17" s="1"/>
  <c r="E431" i="17" s="1"/>
  <c r="D430" i="17" a="1"/>
  <c r="D430" i="17" s="1"/>
  <c r="E430" i="17" s="1"/>
  <c r="I413" i="17"/>
  <c r="I404" i="17"/>
  <c r="I102" i="16"/>
  <c r="I407" i="17"/>
  <c r="F421" i="28"/>
  <c r="G421" i="28"/>
  <c r="G419" i="28"/>
  <c r="F419" i="28"/>
  <c r="I410" i="28"/>
  <c r="E86" i="11"/>
  <c r="F86" i="11"/>
  <c r="G86" i="11"/>
  <c r="D86" i="11"/>
  <c r="B836" i="28"/>
  <c r="B827" i="28"/>
  <c r="B833" i="17"/>
  <c r="B835" i="17"/>
  <c r="B831" i="17"/>
  <c r="B829" i="17"/>
  <c r="B835" i="28"/>
  <c r="B828" i="17"/>
  <c r="B833" i="28"/>
  <c r="B830" i="17"/>
  <c r="B829" i="28"/>
  <c r="B827" i="17"/>
  <c r="B834" i="28"/>
  <c r="B831" i="28"/>
  <c r="B832" i="17"/>
  <c r="B828" i="28"/>
  <c r="B836" i="17"/>
  <c r="B830" i="28"/>
  <c r="B832" i="28"/>
  <c r="B834" i="17"/>
  <c r="B108" i="9"/>
  <c r="C108" i="9" s="1"/>
  <c r="A102" i="26"/>
  <c r="B102" i="26" s="1"/>
  <c r="B47" i="11"/>
  <c r="D101" i="26"/>
  <c r="B74" i="11"/>
  <c r="B87" i="11"/>
  <c r="B94" i="11"/>
  <c r="A105" i="16"/>
  <c r="B104" i="16"/>
  <c r="D104" i="16" a="1"/>
  <c r="D104" i="16" s="1"/>
  <c r="E104" i="16" s="1"/>
  <c r="F102" i="27"/>
  <c r="G102" i="27"/>
  <c r="I410" i="17"/>
  <c r="I406" i="17"/>
  <c r="D425" i="28" a="1"/>
  <c r="D425" i="28" s="1"/>
  <c r="E425" i="28" s="1"/>
  <c r="D430" i="28" a="1"/>
  <c r="D430" i="28" s="1"/>
  <c r="E430" i="28" s="1"/>
  <c r="D427" i="17" a="1"/>
  <c r="D427" i="17" s="1"/>
  <c r="E427" i="17" s="1"/>
  <c r="G417" i="28"/>
  <c r="F417" i="28"/>
  <c r="C51" i="16"/>
  <c r="H50" i="16"/>
  <c r="F416" i="17"/>
  <c r="G416" i="17"/>
  <c r="F412" i="17"/>
  <c r="G412" i="17"/>
  <c r="C51" i="17"/>
  <c r="H50" i="17"/>
  <c r="F73" i="11"/>
  <c r="G73" i="11"/>
  <c r="D73" i="11"/>
  <c r="E73" i="11"/>
  <c r="B700" i="28"/>
  <c r="B703" i="17"/>
  <c r="B704" i="28"/>
  <c r="B698" i="28"/>
  <c r="B699" i="17"/>
  <c r="B698" i="17"/>
  <c r="B706" i="17"/>
  <c r="B700" i="17"/>
  <c r="B697" i="17"/>
  <c r="B701" i="17"/>
  <c r="B697" i="28"/>
  <c r="B702" i="28"/>
  <c r="B706" i="28"/>
  <c r="B705" i="17"/>
  <c r="B699" i="28"/>
  <c r="B703" i="28"/>
  <c r="B702" i="17"/>
  <c r="B701" i="28"/>
  <c r="B704" i="17"/>
  <c r="B705" i="28"/>
  <c r="C46" i="11"/>
  <c r="I404" i="28"/>
  <c r="D431" i="28" a="1"/>
  <c r="D431" i="28" s="1"/>
  <c r="E431" i="28" s="1"/>
  <c r="D422" i="17" a="1"/>
  <c r="D422" i="17" s="1"/>
  <c r="E422" i="17" s="1"/>
  <c r="D425" i="17" a="1"/>
  <c r="D425" i="17" s="1"/>
  <c r="E425" i="17" s="1"/>
  <c r="I408" i="17"/>
  <c r="I411" i="17"/>
  <c r="F421" i="17"/>
  <c r="G421" i="17"/>
  <c r="K49" i="17" s="1"/>
  <c r="I419" i="17"/>
  <c r="D436" i="28" l="1" a="1"/>
  <c r="D436" i="28" s="1"/>
  <c r="E436" i="28" s="1"/>
  <c r="F436" i="28" s="1"/>
  <c r="D433" i="28" a="1"/>
  <c r="D433" i="28" s="1"/>
  <c r="E433" i="28" s="1"/>
  <c r="F433" i="28" s="1"/>
  <c r="G426" i="17"/>
  <c r="I426" i="17" s="1"/>
  <c r="G424" i="28"/>
  <c r="I424" i="28" s="1"/>
  <c r="F423" i="28"/>
  <c r="F424" i="17"/>
  <c r="D439" i="28"/>
  <c r="E439" i="28" s="1"/>
  <c r="G439" i="28" s="1"/>
  <c r="B101" i="34"/>
  <c r="A102" i="34"/>
  <c r="B101" i="33"/>
  <c r="A102" i="33"/>
  <c r="B101" i="36"/>
  <c r="A102" i="36"/>
  <c r="B101" i="35"/>
  <c r="A102" i="35"/>
  <c r="C47" i="11"/>
  <c r="D435" i="17"/>
  <c r="E435" i="17" s="1"/>
  <c r="F435" i="17" s="1"/>
  <c r="G428" i="17"/>
  <c r="I428" i="17" s="1"/>
  <c r="C101" i="26"/>
  <c r="D22" i="9"/>
  <c r="F431" i="28"/>
  <c r="G431" i="28"/>
  <c r="I417" i="28"/>
  <c r="F429" i="28"/>
  <c r="G429" i="28"/>
  <c r="C52" i="28"/>
  <c r="H51" i="28"/>
  <c r="I417" i="17"/>
  <c r="I415" i="28"/>
  <c r="G426" i="28"/>
  <c r="F426" i="28"/>
  <c r="G103" i="27"/>
  <c r="F103" i="27"/>
  <c r="D432" i="28" a="1"/>
  <c r="D432" i="28" s="1"/>
  <c r="E432" i="28" s="1"/>
  <c r="D440" i="17" a="1"/>
  <c r="D440" i="17" s="1"/>
  <c r="E440" i="17" s="1"/>
  <c r="D434" i="17" a="1"/>
  <c r="D434" i="17" s="1"/>
  <c r="E434" i="17" s="1"/>
  <c r="D441" i="28" a="1"/>
  <c r="D441" i="28" s="1"/>
  <c r="E441" i="28" s="1"/>
  <c r="D433" i="17" a="1"/>
  <c r="D433" i="17" s="1"/>
  <c r="E433" i="17" s="1"/>
  <c r="G425" i="17"/>
  <c r="F425" i="17"/>
  <c r="F422" i="17"/>
  <c r="G422" i="17"/>
  <c r="C52" i="17"/>
  <c r="H51" i="17"/>
  <c r="C52" i="16"/>
  <c r="H51" i="16"/>
  <c r="G427" i="17"/>
  <c r="F427" i="17"/>
  <c r="G104" i="16"/>
  <c r="F104" i="16"/>
  <c r="E94" i="11"/>
  <c r="D94" i="11"/>
  <c r="G94" i="11"/>
  <c r="F94" i="11"/>
  <c r="B911" i="17"/>
  <c r="B909" i="17"/>
  <c r="B911" i="28"/>
  <c r="B912" i="17"/>
  <c r="B907" i="28"/>
  <c r="B914" i="17"/>
  <c r="B910" i="17"/>
  <c r="B916" i="17"/>
  <c r="B915" i="28"/>
  <c r="B908" i="28"/>
  <c r="B913" i="17"/>
  <c r="B908" i="17"/>
  <c r="B907" i="17"/>
  <c r="B916" i="28"/>
  <c r="B913" i="28"/>
  <c r="B915" i="17"/>
  <c r="B910" i="28"/>
  <c r="B912" i="28"/>
  <c r="B909" i="28"/>
  <c r="B914" i="28"/>
  <c r="E47" i="11"/>
  <c r="B446" i="17"/>
  <c r="B443" i="28"/>
  <c r="B442" i="28"/>
  <c r="B443" i="17"/>
  <c r="B439" i="28"/>
  <c r="B438" i="28"/>
  <c r="D47" i="11"/>
  <c r="B441" i="17"/>
  <c r="B444" i="28"/>
  <c r="F47" i="11"/>
  <c r="B445" i="17"/>
  <c r="B444" i="17"/>
  <c r="B440" i="28"/>
  <c r="B440" i="17"/>
  <c r="B437" i="28"/>
  <c r="B446" i="28"/>
  <c r="B445" i="28"/>
  <c r="B439" i="17"/>
  <c r="B441" i="28"/>
  <c r="D446" i="28" s="1" a="1"/>
  <c r="G47" i="11"/>
  <c r="B437" i="17"/>
  <c r="B438" i="17"/>
  <c r="D443" i="17" s="1" a="1"/>
  <c r="B442" i="17"/>
  <c r="I421" i="28"/>
  <c r="K44" i="28"/>
  <c r="M49" i="17" s="1"/>
  <c r="F430" i="17"/>
  <c r="G430" i="17"/>
  <c r="G422" i="28"/>
  <c r="F422" i="28"/>
  <c r="D439" i="17" a="1"/>
  <c r="D439" i="17" s="1"/>
  <c r="E439" i="17" s="1"/>
  <c r="D441" i="17" a="1"/>
  <c r="D441" i="17" s="1"/>
  <c r="E441" i="17" s="1"/>
  <c r="D438" i="28" a="1"/>
  <c r="D438" i="28" s="1"/>
  <c r="E438" i="28" s="1"/>
  <c r="D434" i="28" a="1"/>
  <c r="D434" i="28" s="1"/>
  <c r="E434" i="28" s="1"/>
  <c r="I416" i="28"/>
  <c r="I418" i="17"/>
  <c r="I421" i="17"/>
  <c r="I424" i="17"/>
  <c r="I412" i="17"/>
  <c r="I416" i="17"/>
  <c r="F430" i="28"/>
  <c r="G430" i="28"/>
  <c r="D87" i="11"/>
  <c r="G87" i="11"/>
  <c r="E87" i="11"/>
  <c r="F87" i="11"/>
  <c r="B842" i="28"/>
  <c r="B845" i="17"/>
  <c r="B840" i="17"/>
  <c r="B839" i="17"/>
  <c r="B841" i="17"/>
  <c r="B845" i="28"/>
  <c r="B846" i="17"/>
  <c r="B839" i="28"/>
  <c r="B837" i="28"/>
  <c r="B846" i="28"/>
  <c r="B841" i="28"/>
  <c r="B842" i="17"/>
  <c r="B838" i="28"/>
  <c r="B843" i="17"/>
  <c r="B844" i="28"/>
  <c r="B843" i="28"/>
  <c r="B840" i="28"/>
  <c r="B837" i="17"/>
  <c r="B838" i="17"/>
  <c r="B844" i="17"/>
  <c r="B109" i="9"/>
  <c r="C109" i="9" s="1"/>
  <c r="A103" i="26"/>
  <c r="B103" i="26" s="1"/>
  <c r="D102" i="26"/>
  <c r="B48" i="11"/>
  <c r="B75" i="11"/>
  <c r="B88" i="11"/>
  <c r="B95" i="11"/>
  <c r="G431" i="17"/>
  <c r="K50" i="17" s="1"/>
  <c r="F431" i="17"/>
  <c r="C52" i="27"/>
  <c r="H51" i="27"/>
  <c r="I412" i="28"/>
  <c r="I420" i="28"/>
  <c r="G423" i="17"/>
  <c r="F423" i="17"/>
  <c r="F428" i="28"/>
  <c r="G428" i="28"/>
  <c r="A105" i="27"/>
  <c r="B104" i="27"/>
  <c r="D104" i="27" a="1"/>
  <c r="D104" i="27" s="1"/>
  <c r="E104" i="27" s="1"/>
  <c r="D440" i="28" a="1"/>
  <c r="D440" i="28" s="1"/>
  <c r="E440" i="28" s="1"/>
  <c r="D438" i="17" a="1"/>
  <c r="D438" i="17" s="1"/>
  <c r="E438" i="17" s="1"/>
  <c r="D435" i="28" a="1"/>
  <c r="D435" i="28" s="1"/>
  <c r="E435" i="28" s="1"/>
  <c r="I423" i="28"/>
  <c r="F425" i="28"/>
  <c r="G425" i="28"/>
  <c r="I102" i="27"/>
  <c r="B105" i="16"/>
  <c r="A106" i="16"/>
  <c r="D105" i="16" a="1"/>
  <c r="D105" i="16" s="1"/>
  <c r="E105" i="16" s="1"/>
  <c r="F74" i="11"/>
  <c r="G74" i="11"/>
  <c r="E74" i="11"/>
  <c r="D74" i="11"/>
  <c r="B716" i="17"/>
  <c r="B709" i="28"/>
  <c r="B711" i="28"/>
  <c r="B710" i="28"/>
  <c r="B716" i="28"/>
  <c r="B709" i="17"/>
  <c r="B707" i="17"/>
  <c r="B714" i="28"/>
  <c r="B715" i="17"/>
  <c r="B707" i="28"/>
  <c r="B713" i="17"/>
  <c r="B715" i="28"/>
  <c r="B712" i="17"/>
  <c r="B710" i="17"/>
  <c r="B712" i="28"/>
  <c r="B711" i="17"/>
  <c r="B713" i="28"/>
  <c r="B708" i="17"/>
  <c r="B708" i="28"/>
  <c r="B714" i="17"/>
  <c r="I419" i="28"/>
  <c r="F427" i="28"/>
  <c r="G427" i="28"/>
  <c r="I414" i="17"/>
  <c r="G429" i="17"/>
  <c r="F429" i="17"/>
  <c r="I420" i="17"/>
  <c r="I103" i="16"/>
  <c r="D436" i="17" a="1"/>
  <c r="D436" i="17" s="1"/>
  <c r="E436" i="17" s="1"/>
  <c r="D432" i="17" a="1"/>
  <c r="D432" i="17" s="1"/>
  <c r="E432" i="17" s="1"/>
  <c r="D437" i="17" a="1"/>
  <c r="D437" i="17" s="1"/>
  <c r="E437" i="17" s="1"/>
  <c r="D437" i="28" a="1"/>
  <c r="D437" i="28" s="1"/>
  <c r="E437" i="28" s="1"/>
  <c r="I415" i="17"/>
  <c r="D447" i="17" l="1" a="1"/>
  <c r="D447" i="17" s="1"/>
  <c r="E447" i="17" s="1"/>
  <c r="F447" i="17" s="1"/>
  <c r="C48" i="11"/>
  <c r="F439" i="28"/>
  <c r="G433" i="28"/>
  <c r="G436" i="28"/>
  <c r="I436" i="28" s="1"/>
  <c r="G435" i="17"/>
  <c r="I435" i="17" s="1"/>
  <c r="B102" i="35"/>
  <c r="A103" i="35"/>
  <c r="B102" i="33"/>
  <c r="A103" i="33"/>
  <c r="B102" i="36"/>
  <c r="A103" i="36"/>
  <c r="B102" i="34"/>
  <c r="A103" i="34"/>
  <c r="F15" i="31"/>
  <c r="D446" i="28"/>
  <c r="E446" i="28" s="1"/>
  <c r="F446" i="28" s="1"/>
  <c r="D443" i="17"/>
  <c r="E443" i="17" s="1"/>
  <c r="G443" i="17" s="1"/>
  <c r="F436" i="17"/>
  <c r="G436" i="17"/>
  <c r="A107" i="16"/>
  <c r="B106" i="16"/>
  <c r="D106" i="16" a="1"/>
  <c r="D106" i="16" s="1"/>
  <c r="E106" i="16" s="1"/>
  <c r="I425" i="28"/>
  <c r="F440" i="28"/>
  <c r="G440" i="28"/>
  <c r="I428" i="28"/>
  <c r="F95" i="11"/>
  <c r="D95" i="11"/>
  <c r="E95" i="11"/>
  <c r="G95" i="11"/>
  <c r="B921" i="17"/>
  <c r="B917" i="28"/>
  <c r="B923" i="17"/>
  <c r="B918" i="17"/>
  <c r="B925" i="17"/>
  <c r="B925" i="28"/>
  <c r="B921" i="28"/>
  <c r="B926" i="28"/>
  <c r="B920" i="28"/>
  <c r="B919" i="28"/>
  <c r="B923" i="28"/>
  <c r="B922" i="17"/>
  <c r="B926" i="17"/>
  <c r="B924" i="28"/>
  <c r="B922" i="28"/>
  <c r="B918" i="28"/>
  <c r="B917" i="17"/>
  <c r="B924" i="17"/>
  <c r="B919" i="17"/>
  <c r="B920" i="17"/>
  <c r="F439" i="17"/>
  <c r="G439" i="17"/>
  <c r="D444" i="17" a="1"/>
  <c r="D444" i="17" s="1"/>
  <c r="E444" i="17" s="1"/>
  <c r="D445" i="17" a="1"/>
  <c r="D445" i="17" s="1"/>
  <c r="E445" i="17" s="1"/>
  <c r="D443" i="28" a="1"/>
  <c r="D443" i="28" s="1"/>
  <c r="E443" i="28" s="1"/>
  <c r="D448" i="28" a="1"/>
  <c r="D448" i="28" s="1"/>
  <c r="E448" i="28" s="1"/>
  <c r="I104" i="16"/>
  <c r="I427" i="17"/>
  <c r="I425" i="17"/>
  <c r="G434" i="17"/>
  <c r="F434" i="17"/>
  <c r="I103" i="27"/>
  <c r="I431" i="28"/>
  <c r="K45" i="28"/>
  <c r="M50" i="17" s="1"/>
  <c r="F437" i="28"/>
  <c r="G437" i="28"/>
  <c r="I433" i="28"/>
  <c r="F104" i="27"/>
  <c r="G104" i="27"/>
  <c r="D88" i="11"/>
  <c r="G88" i="11"/>
  <c r="E88" i="11"/>
  <c r="F88" i="11"/>
  <c r="B848" i="28"/>
  <c r="B852" i="17"/>
  <c r="B854" i="17"/>
  <c r="B854" i="28"/>
  <c r="B853" i="28"/>
  <c r="B855" i="17"/>
  <c r="B853" i="17"/>
  <c r="B851" i="17"/>
  <c r="B849" i="17"/>
  <c r="B850" i="28"/>
  <c r="B852" i="28"/>
  <c r="B855" i="28"/>
  <c r="B851" i="28"/>
  <c r="B848" i="17"/>
  <c r="B847" i="28"/>
  <c r="B850" i="17"/>
  <c r="B856" i="28"/>
  <c r="B849" i="28"/>
  <c r="B856" i="17"/>
  <c r="B847" i="17"/>
  <c r="B110" i="9"/>
  <c r="C110" i="9" s="1"/>
  <c r="A104" i="26"/>
  <c r="B104" i="26" s="1"/>
  <c r="D103" i="26"/>
  <c r="B49" i="11"/>
  <c r="B76" i="11"/>
  <c r="B89" i="11"/>
  <c r="B96" i="11"/>
  <c r="B99" i="11"/>
  <c r="G434" i="28"/>
  <c r="F434" i="28"/>
  <c r="I430" i="17"/>
  <c r="D442" i="17" a="1"/>
  <c r="D442" i="17" s="1"/>
  <c r="E442" i="17" s="1"/>
  <c r="D450" i="28" a="1"/>
  <c r="D450" i="28" s="1"/>
  <c r="E450" i="28" s="1"/>
  <c r="D445" i="28" a="1"/>
  <c r="D445" i="28" s="1"/>
  <c r="E445" i="28" s="1"/>
  <c r="D449" i="28" a="1"/>
  <c r="D449" i="28" s="1"/>
  <c r="E449" i="28" s="1"/>
  <c r="D444" i="28" a="1"/>
  <c r="D444" i="28" s="1"/>
  <c r="E444" i="28" s="1"/>
  <c r="D451" i="17" a="1"/>
  <c r="D451" i="17" s="1"/>
  <c r="E451" i="17" s="1"/>
  <c r="C53" i="17"/>
  <c r="H52" i="17"/>
  <c r="I422" i="17"/>
  <c r="G440" i="17"/>
  <c r="F440" i="17"/>
  <c r="F432" i="28"/>
  <c r="G432" i="28"/>
  <c r="C53" i="28"/>
  <c r="H52" i="28"/>
  <c r="G437" i="17"/>
  <c r="F437" i="17"/>
  <c r="I429" i="17"/>
  <c r="I427" i="28"/>
  <c r="G435" i="28"/>
  <c r="F435" i="28"/>
  <c r="C53" i="27"/>
  <c r="H52" i="27"/>
  <c r="I431" i="17"/>
  <c r="G75" i="11"/>
  <c r="D75" i="11"/>
  <c r="E75" i="11"/>
  <c r="F75" i="11"/>
  <c r="B726" i="17"/>
  <c r="B720" i="28"/>
  <c r="B723" i="28"/>
  <c r="B724" i="28"/>
  <c r="B721" i="28"/>
  <c r="B718" i="28"/>
  <c r="B724" i="17"/>
  <c r="B725" i="17"/>
  <c r="B720" i="17"/>
  <c r="B717" i="17"/>
  <c r="B721" i="17"/>
  <c r="B719" i="28"/>
  <c r="B726" i="28"/>
  <c r="B722" i="17"/>
  <c r="B717" i="28"/>
  <c r="B719" i="17"/>
  <c r="B722" i="28"/>
  <c r="B723" i="17"/>
  <c r="B725" i="28"/>
  <c r="B718" i="17"/>
  <c r="G438" i="28"/>
  <c r="F438" i="28"/>
  <c r="D451" i="28" a="1"/>
  <c r="D451" i="28" s="1"/>
  <c r="E451" i="28" s="1"/>
  <c r="D449" i="17" a="1"/>
  <c r="D449" i="17" s="1"/>
  <c r="E449" i="17" s="1"/>
  <c r="D446" i="17" a="1"/>
  <c r="D446" i="17" s="1"/>
  <c r="E446" i="17" s="1"/>
  <c r="D448" i="17" a="1"/>
  <c r="D448" i="17" s="1"/>
  <c r="E448" i="17" s="1"/>
  <c r="C53" i="16"/>
  <c r="H52" i="16"/>
  <c r="G433" i="17"/>
  <c r="F433" i="17"/>
  <c r="I426" i="28"/>
  <c r="I429" i="28"/>
  <c r="F432" i="17"/>
  <c r="G432" i="17"/>
  <c r="F105" i="16"/>
  <c r="G105" i="16"/>
  <c r="F438" i="17"/>
  <c r="G438" i="17"/>
  <c r="I439" i="28"/>
  <c r="B105" i="27"/>
  <c r="A106" i="27"/>
  <c r="D105" i="27" a="1"/>
  <c r="D105" i="27" s="1"/>
  <c r="E105" i="27" s="1"/>
  <c r="I423" i="17"/>
  <c r="D48" i="11"/>
  <c r="B448" i="17"/>
  <c r="B454" i="28"/>
  <c r="B453" i="28"/>
  <c r="B452" i="17"/>
  <c r="B456" i="28"/>
  <c r="B450" i="28"/>
  <c r="G48" i="11"/>
  <c r="B449" i="17"/>
  <c r="B447" i="28"/>
  <c r="B456" i="17"/>
  <c r="B451" i="28"/>
  <c r="F48" i="11"/>
  <c r="B451" i="17"/>
  <c r="B455" i="28"/>
  <c r="B454" i="17"/>
  <c r="B453" i="17"/>
  <c r="B448" i="28"/>
  <c r="D453" i="28" s="1" a="1"/>
  <c r="D453" i="28" s="1"/>
  <c r="E453" i="28" s="1"/>
  <c r="E48" i="11"/>
  <c r="B450" i="17"/>
  <c r="B455" i="17"/>
  <c r="B449" i="28"/>
  <c r="D454" i="28" s="1" a="1"/>
  <c r="D454" i="28" s="1"/>
  <c r="E454" i="28" s="1"/>
  <c r="B447" i="17"/>
  <c r="B452" i="28"/>
  <c r="I430" i="28"/>
  <c r="F441" i="17"/>
  <c r="G441" i="17"/>
  <c r="K51" i="17" s="1"/>
  <c r="I422" i="28"/>
  <c r="G446" i="28"/>
  <c r="D442" i="28" a="1"/>
  <c r="D442" i="28" s="1"/>
  <c r="E442" i="28" s="1"/>
  <c r="D450" i="17" a="1"/>
  <c r="D450" i="17" s="1"/>
  <c r="E450" i="17" s="1"/>
  <c r="D447" i="28" a="1"/>
  <c r="D447" i="28" s="1"/>
  <c r="E447" i="28" s="1"/>
  <c r="C102" i="26"/>
  <c r="C103" i="26" s="1"/>
  <c r="F441" i="28"/>
  <c r="G441" i="28"/>
  <c r="D455" i="17" l="1" a="1"/>
  <c r="D456" i="28" a="1"/>
  <c r="D456" i="28" s="1"/>
  <c r="E456" i="28" s="1"/>
  <c r="G456" i="28" s="1"/>
  <c r="D457" i="28" a="1"/>
  <c r="G447" i="17"/>
  <c r="F443" i="17"/>
  <c r="B103" i="35"/>
  <c r="A104" i="35"/>
  <c r="B103" i="33"/>
  <c r="A104" i="33"/>
  <c r="B103" i="34"/>
  <c r="A104" i="34"/>
  <c r="B103" i="36"/>
  <c r="A104" i="36"/>
  <c r="D457" i="28"/>
  <c r="E457" i="28" s="1"/>
  <c r="G457" i="28" s="1"/>
  <c r="D455" i="17"/>
  <c r="E455" i="17" s="1"/>
  <c r="G455" i="17" s="1"/>
  <c r="G442" i="28"/>
  <c r="F442" i="28"/>
  <c r="D459" i="17" a="1"/>
  <c r="D459" i="17" s="1"/>
  <c r="E459" i="17" s="1"/>
  <c r="D458" i="28" a="1"/>
  <c r="D458" i="28" s="1"/>
  <c r="E458" i="28" s="1"/>
  <c r="G448" i="17"/>
  <c r="F448" i="17"/>
  <c r="C54" i="28"/>
  <c r="H53" i="28"/>
  <c r="I440" i="17"/>
  <c r="G451" i="17"/>
  <c r="K52" i="17" s="1"/>
  <c r="F451" i="17"/>
  <c r="F450" i="28"/>
  <c r="G450" i="28"/>
  <c r="F76" i="11"/>
  <c r="D76" i="11"/>
  <c r="E76" i="11"/>
  <c r="G76" i="11"/>
  <c r="B727" i="17"/>
  <c r="B732" i="17"/>
  <c r="B727" i="28"/>
  <c r="B734" i="17"/>
  <c r="B730" i="28"/>
  <c r="B733" i="17"/>
  <c r="B731" i="17"/>
  <c r="B728" i="28"/>
  <c r="B736" i="17"/>
  <c r="B735" i="28"/>
  <c r="B729" i="17"/>
  <c r="B736" i="28"/>
  <c r="B730" i="17"/>
  <c r="B733" i="28"/>
  <c r="B729" i="28"/>
  <c r="B734" i="28"/>
  <c r="B732" i="28"/>
  <c r="B728" i="17"/>
  <c r="B731" i="28"/>
  <c r="B735" i="17"/>
  <c r="I437" i="28"/>
  <c r="F443" i="28"/>
  <c r="G443" i="28"/>
  <c r="B107" i="16"/>
  <c r="A108" i="16"/>
  <c r="D107" i="16" a="1"/>
  <c r="D107" i="16" s="1"/>
  <c r="E107" i="16" s="1"/>
  <c r="I441" i="28"/>
  <c r="K46" i="28"/>
  <c r="M51" i="17" s="1"/>
  <c r="G447" i="28"/>
  <c r="F447" i="28"/>
  <c r="D452" i="17" a="1"/>
  <c r="D452" i="17" s="1"/>
  <c r="E452" i="17" s="1"/>
  <c r="D460" i="28" a="1"/>
  <c r="D460" i="28" s="1"/>
  <c r="E460" i="28" s="1"/>
  <c r="D461" i="17" a="1"/>
  <c r="D461" i="17" s="1"/>
  <c r="E461" i="17" s="1"/>
  <c r="D455" i="28" a="1"/>
  <c r="D455" i="28" s="1"/>
  <c r="E455" i="28" s="1"/>
  <c r="D459" i="28" a="1"/>
  <c r="D459" i="28" s="1"/>
  <c r="E459" i="28" s="1"/>
  <c r="I105" i="16"/>
  <c r="F446" i="17"/>
  <c r="G446" i="17"/>
  <c r="C54" i="27"/>
  <c r="H53" i="27"/>
  <c r="G444" i="28"/>
  <c r="F444" i="28"/>
  <c r="F442" i="17"/>
  <c r="G442" i="17"/>
  <c r="F99" i="11"/>
  <c r="D99" i="11"/>
  <c r="G99" i="11"/>
  <c r="E99" i="11"/>
  <c r="B957" i="17"/>
  <c r="B958" i="17"/>
  <c r="B965" i="17"/>
  <c r="B962" i="17"/>
  <c r="B963" i="28"/>
  <c r="B961" i="28"/>
  <c r="B963" i="17"/>
  <c r="B961" i="17"/>
  <c r="B958" i="28"/>
  <c r="B964" i="17"/>
  <c r="B957" i="28"/>
  <c r="B966" i="17"/>
  <c r="B962" i="28"/>
  <c r="B964" i="28"/>
  <c r="B966" i="28"/>
  <c r="B960" i="28"/>
  <c r="B959" i="28"/>
  <c r="B959" i="17"/>
  <c r="B960" i="17"/>
  <c r="B965" i="28"/>
  <c r="G49" i="11"/>
  <c r="B466" i="17"/>
  <c r="B463" i="28"/>
  <c r="B458" i="17"/>
  <c r="B459" i="28"/>
  <c r="B460" i="28"/>
  <c r="D49" i="11"/>
  <c r="B461" i="17"/>
  <c r="B465" i="28"/>
  <c r="B457" i="17"/>
  <c r="F49" i="11"/>
  <c r="B463" i="17"/>
  <c r="B459" i="17"/>
  <c r="B461" i="28"/>
  <c r="B460" i="17"/>
  <c r="D465" i="17" s="1" a="1"/>
  <c r="B462" i="17"/>
  <c r="B464" i="28"/>
  <c r="E49" i="11"/>
  <c r="B464" i="17"/>
  <c r="B457" i="28"/>
  <c r="B458" i="28"/>
  <c r="B465" i="17"/>
  <c r="B462" i="28"/>
  <c r="D467" i="28" s="1" a="1"/>
  <c r="B466" i="28"/>
  <c r="I104" i="27"/>
  <c r="F445" i="17"/>
  <c r="G445" i="17"/>
  <c r="I439" i="17"/>
  <c r="C49" i="11"/>
  <c r="F450" i="17"/>
  <c r="G450" i="17"/>
  <c r="I446" i="28"/>
  <c r="F454" i="28"/>
  <c r="G454" i="28"/>
  <c r="G453" i="28"/>
  <c r="F453" i="28"/>
  <c r="D456" i="17" a="1"/>
  <c r="D456" i="17" s="1"/>
  <c r="E456" i="17" s="1"/>
  <c r="D452" i="28" a="1"/>
  <c r="D452" i="28" s="1"/>
  <c r="E452" i="28" s="1"/>
  <c r="D461" i="28" a="1"/>
  <c r="D461" i="28" s="1"/>
  <c r="E461" i="28" s="1"/>
  <c r="D453" i="17" a="1"/>
  <c r="D453" i="17" s="1"/>
  <c r="E453" i="17" s="1"/>
  <c r="G105" i="27"/>
  <c r="F105" i="27"/>
  <c r="I432" i="17"/>
  <c r="I433" i="17"/>
  <c r="C54" i="16"/>
  <c r="H53" i="16"/>
  <c r="F449" i="17"/>
  <c r="G449" i="17"/>
  <c r="I438" i="28"/>
  <c r="I437" i="17"/>
  <c r="I432" i="28"/>
  <c r="C54" i="17"/>
  <c r="H53" i="17"/>
  <c r="F449" i="28"/>
  <c r="G449" i="28"/>
  <c r="F96" i="11"/>
  <c r="G96" i="11"/>
  <c r="D96" i="11"/>
  <c r="E96" i="11"/>
  <c r="B933" i="17"/>
  <c r="B930" i="28"/>
  <c r="B934" i="17"/>
  <c r="B934" i="28"/>
  <c r="B927" i="17"/>
  <c r="B928" i="28"/>
  <c r="B936" i="28"/>
  <c r="B928" i="17"/>
  <c r="B929" i="28"/>
  <c r="B936" i="17"/>
  <c r="B932" i="17"/>
  <c r="B931" i="28"/>
  <c r="B931" i="17"/>
  <c r="B927" i="28"/>
  <c r="B930" i="17"/>
  <c r="B929" i="17"/>
  <c r="B935" i="28"/>
  <c r="B935" i="17"/>
  <c r="B932" i="28"/>
  <c r="B933" i="28"/>
  <c r="I434" i="17"/>
  <c r="G444" i="17"/>
  <c r="F444" i="17"/>
  <c r="I440" i="28"/>
  <c r="F106" i="16"/>
  <c r="G106" i="16"/>
  <c r="I436" i="17"/>
  <c r="I447" i="17"/>
  <c r="I441" i="17"/>
  <c r="D460" i="17" a="1"/>
  <c r="D460" i="17" s="1"/>
  <c r="E460" i="17" s="1"/>
  <c r="D458" i="17" a="1"/>
  <c r="D458" i="17" s="1"/>
  <c r="E458" i="17" s="1"/>
  <c r="D454" i="17" a="1"/>
  <c r="D454" i="17" s="1"/>
  <c r="E454" i="17" s="1"/>
  <c r="D457" i="17" a="1"/>
  <c r="D457" i="17" s="1"/>
  <c r="E457" i="17" s="1"/>
  <c r="B106" i="27"/>
  <c r="A107" i="27"/>
  <c r="D106" i="27" a="1"/>
  <c r="D106" i="27" s="1"/>
  <c r="E106" i="27" s="1"/>
  <c r="I438" i="17"/>
  <c r="F451" i="28"/>
  <c r="G451" i="28"/>
  <c r="I435" i="28"/>
  <c r="G445" i="28"/>
  <c r="F445" i="28"/>
  <c r="I434" i="28"/>
  <c r="G89" i="11"/>
  <c r="F89" i="11"/>
  <c r="E89" i="11"/>
  <c r="D89" i="11"/>
  <c r="B862" i="17"/>
  <c r="B861" i="28"/>
  <c r="B866" i="17"/>
  <c r="B858" i="17"/>
  <c r="B860" i="17"/>
  <c r="B863" i="28"/>
  <c r="B864" i="28"/>
  <c r="B864" i="17"/>
  <c r="B858" i="28"/>
  <c r="B861" i="17"/>
  <c r="B859" i="28"/>
  <c r="B866" i="28"/>
  <c r="B859" i="17"/>
  <c r="B862" i="28"/>
  <c r="B865" i="28"/>
  <c r="B857" i="17"/>
  <c r="B857" i="28"/>
  <c r="B860" i="28"/>
  <c r="B863" i="17"/>
  <c r="B865" i="17"/>
  <c r="B111" i="9"/>
  <c r="C111" i="9" s="1"/>
  <c r="A105" i="26"/>
  <c r="B105" i="26" s="1"/>
  <c r="D104" i="26"/>
  <c r="B50" i="11"/>
  <c r="B77" i="11"/>
  <c r="B90" i="11"/>
  <c r="B97" i="11"/>
  <c r="B100" i="11"/>
  <c r="F448" i="28"/>
  <c r="G448" i="28"/>
  <c r="I443" i="17"/>
  <c r="D469" i="17" l="1" a="1"/>
  <c r="D469" i="17" s="1"/>
  <c r="E469" i="17" s="1"/>
  <c r="G469" i="17" s="1"/>
  <c r="D465" i="17"/>
  <c r="E465" i="17" s="1"/>
  <c r="G465" i="17" s="1"/>
  <c r="B104" i="34"/>
  <c r="A105" i="34"/>
  <c r="B104" i="36"/>
  <c r="A105" i="36"/>
  <c r="B104" i="35"/>
  <c r="A105" i="35"/>
  <c r="B104" i="33"/>
  <c r="A105" i="33"/>
  <c r="D467" i="28"/>
  <c r="E467" i="28" s="1"/>
  <c r="F467" i="28" s="1"/>
  <c r="F457" i="28"/>
  <c r="F456" i="28"/>
  <c r="F455" i="17"/>
  <c r="B102" i="11"/>
  <c r="G102" i="11" s="1"/>
  <c r="G457" i="17"/>
  <c r="F457" i="17"/>
  <c r="I106" i="16"/>
  <c r="G461" i="28"/>
  <c r="F461" i="28"/>
  <c r="G456" i="17"/>
  <c r="F456" i="17"/>
  <c r="D471" i="28" a="1"/>
  <c r="D471" i="28" s="1"/>
  <c r="E471" i="28" s="1"/>
  <c r="D462" i="28" a="1"/>
  <c r="D462" i="28" s="1"/>
  <c r="E462" i="28" s="1"/>
  <c r="D467" i="17" a="1"/>
  <c r="D467" i="17" s="1"/>
  <c r="E467" i="17" s="1"/>
  <c r="D468" i="17" a="1"/>
  <c r="D468" i="17" s="1"/>
  <c r="E468" i="17" s="1"/>
  <c r="D466" i="17" a="1"/>
  <c r="D466" i="17" s="1"/>
  <c r="E466" i="17" s="1"/>
  <c r="D463" i="17" a="1"/>
  <c r="D463" i="17" s="1"/>
  <c r="E463" i="17" s="1"/>
  <c r="C55" i="27"/>
  <c r="H54" i="27"/>
  <c r="G460" i="28"/>
  <c r="F460" i="28"/>
  <c r="F107" i="16"/>
  <c r="G107" i="16"/>
  <c r="I456" i="28"/>
  <c r="I455" i="17"/>
  <c r="I442" i="28"/>
  <c r="I445" i="28"/>
  <c r="I451" i="28"/>
  <c r="K47" i="28"/>
  <c r="M52" i="17" s="1"/>
  <c r="F106" i="27"/>
  <c r="G106" i="27"/>
  <c r="F454" i="17"/>
  <c r="G454" i="17"/>
  <c r="I450" i="17"/>
  <c r="I445" i="17"/>
  <c r="D468" i="28" a="1"/>
  <c r="D468" i="28" s="1"/>
  <c r="E468" i="28" s="1"/>
  <c r="F459" i="28"/>
  <c r="G459" i="28"/>
  <c r="A109" i="16"/>
  <c r="B108" i="16"/>
  <c r="D108" i="16" a="1"/>
  <c r="D108" i="16" s="1"/>
  <c r="E108" i="16" s="1"/>
  <c r="I443" i="28"/>
  <c r="I451" i="17"/>
  <c r="C55" i="28"/>
  <c r="H54" i="28"/>
  <c r="I448" i="17"/>
  <c r="I448" i="28"/>
  <c r="F77" i="11"/>
  <c r="G77" i="11"/>
  <c r="D77" i="11"/>
  <c r="E77" i="11"/>
  <c r="B738" i="17"/>
  <c r="B740" i="17"/>
  <c r="B742" i="17"/>
  <c r="B739" i="17"/>
  <c r="B737" i="17"/>
  <c r="B737" i="28"/>
  <c r="B745" i="17"/>
  <c r="B746" i="28"/>
  <c r="B746" i="17"/>
  <c r="B740" i="28"/>
  <c r="B739" i="28"/>
  <c r="B741" i="17"/>
  <c r="B744" i="28"/>
  <c r="B745" i="28"/>
  <c r="B743" i="17"/>
  <c r="B738" i="28"/>
  <c r="B742" i="28"/>
  <c r="B744" i="17"/>
  <c r="B743" i="28"/>
  <c r="B741" i="28"/>
  <c r="D100" i="11"/>
  <c r="G100" i="11"/>
  <c r="F100" i="11"/>
  <c r="E100" i="11"/>
  <c r="D50" i="11"/>
  <c r="B474" i="17"/>
  <c r="B476" i="28"/>
  <c r="B472" i="28"/>
  <c r="B467" i="17"/>
  <c r="B470" i="28"/>
  <c r="B473" i="28"/>
  <c r="E50" i="11"/>
  <c r="B473" i="17"/>
  <c r="B469" i="28"/>
  <c r="B468" i="17"/>
  <c r="D473" i="17" s="1" a="1"/>
  <c r="B476" i="17"/>
  <c r="F50" i="11"/>
  <c r="B469" i="17"/>
  <c r="B468" i="28"/>
  <c r="B470" i="17"/>
  <c r="B467" i="28"/>
  <c r="B475" i="28"/>
  <c r="G50" i="11"/>
  <c r="B475" i="17"/>
  <c r="B472" i="17"/>
  <c r="B474" i="28"/>
  <c r="B471" i="17"/>
  <c r="B471" i="28"/>
  <c r="A108" i="27"/>
  <c r="B107" i="27"/>
  <c r="D107" i="27" a="1"/>
  <c r="D107" i="27" s="1"/>
  <c r="E107" i="27" s="1"/>
  <c r="F458" i="17"/>
  <c r="G458" i="17"/>
  <c r="I449" i="28"/>
  <c r="C55" i="17"/>
  <c r="H54" i="17"/>
  <c r="I449" i="17"/>
  <c r="C55" i="16"/>
  <c r="H54" i="16"/>
  <c r="I105" i="27"/>
  <c r="I453" i="28"/>
  <c r="D470" i="17" a="1"/>
  <c r="D470" i="17" s="1"/>
  <c r="E470" i="17" s="1"/>
  <c r="D466" i="28" a="1"/>
  <c r="D466" i="28" s="1"/>
  <c r="E466" i="28" s="1"/>
  <c r="D462" i="17" a="1"/>
  <c r="D462" i="17" s="1"/>
  <c r="E462" i="17" s="1"/>
  <c r="D465" i="28" a="1"/>
  <c r="D465" i="28" s="1"/>
  <c r="E465" i="28" s="1"/>
  <c r="D471" i="17" a="1"/>
  <c r="D471" i="17" s="1"/>
  <c r="E471" i="17" s="1"/>
  <c r="I442" i="17"/>
  <c r="F455" i="28"/>
  <c r="G455" i="28"/>
  <c r="I450" i="28"/>
  <c r="F459" i="17"/>
  <c r="G459" i="17"/>
  <c r="I457" i="28"/>
  <c r="E90" i="11"/>
  <c r="F90" i="11"/>
  <c r="G90" i="11"/>
  <c r="D90" i="11"/>
  <c r="B872" i="28"/>
  <c r="B868" i="17"/>
  <c r="B870" i="28"/>
  <c r="B869" i="28"/>
  <c r="B875" i="28"/>
  <c r="B876" i="17"/>
  <c r="B870" i="17"/>
  <c r="B871" i="17"/>
  <c r="B874" i="17"/>
  <c r="B868" i="28"/>
  <c r="B873" i="17"/>
  <c r="B873" i="28"/>
  <c r="B875" i="17"/>
  <c r="B872" i="17"/>
  <c r="B876" i="28"/>
  <c r="B867" i="28"/>
  <c r="B874" i="28"/>
  <c r="B867" i="17"/>
  <c r="B869" i="17"/>
  <c r="B871" i="28"/>
  <c r="B112" i="9"/>
  <c r="C112" i="9" s="1"/>
  <c r="D105" i="26"/>
  <c r="B51" i="11"/>
  <c r="B78" i="11"/>
  <c r="B91" i="11"/>
  <c r="B98" i="11"/>
  <c r="B101" i="11"/>
  <c r="G97" i="11"/>
  <c r="E97" i="11"/>
  <c r="F97" i="11"/>
  <c r="D97" i="11"/>
  <c r="B946" i="28"/>
  <c r="B939" i="28"/>
  <c r="B939" i="17"/>
  <c r="B938" i="28"/>
  <c r="B943" i="17"/>
  <c r="B940" i="28"/>
  <c r="B943" i="28"/>
  <c r="B945" i="28"/>
  <c r="B944" i="17"/>
  <c r="B944" i="28"/>
  <c r="B942" i="28"/>
  <c r="B940" i="17"/>
  <c r="B941" i="28"/>
  <c r="B941" i="17"/>
  <c r="B937" i="28"/>
  <c r="B938" i="17"/>
  <c r="B937" i="17"/>
  <c r="B946" i="17"/>
  <c r="B945" i="17"/>
  <c r="B942" i="17"/>
  <c r="F460" i="17"/>
  <c r="G460" i="17"/>
  <c r="C104" i="26"/>
  <c r="I444" i="17"/>
  <c r="G453" i="17"/>
  <c r="F453" i="17"/>
  <c r="G452" i="28"/>
  <c r="F452" i="28"/>
  <c r="I454" i="28"/>
  <c r="C50" i="11"/>
  <c r="D463" i="28" a="1"/>
  <c r="D463" i="28" s="1"/>
  <c r="E463" i="28" s="1"/>
  <c r="D469" i="28" a="1"/>
  <c r="D469" i="28" s="1"/>
  <c r="E469" i="28" s="1"/>
  <c r="D464" i="17" a="1"/>
  <c r="D464" i="17" s="1"/>
  <c r="E464" i="17" s="1"/>
  <c r="D470" i="28" a="1"/>
  <c r="D470" i="28" s="1"/>
  <c r="E470" i="28" s="1"/>
  <c r="D464" i="28" a="1"/>
  <c r="D464" i="28" s="1"/>
  <c r="E464" i="28" s="1"/>
  <c r="I444" i="28"/>
  <c r="I446" i="17"/>
  <c r="F461" i="17"/>
  <c r="G461" i="17"/>
  <c r="K53" i="17" s="1"/>
  <c r="F452" i="17"/>
  <c r="G452" i="17"/>
  <c r="I447" i="28"/>
  <c r="F458" i="28"/>
  <c r="G458" i="28"/>
  <c r="D480" i="17" l="1" a="1"/>
  <c r="D476" i="28" a="1"/>
  <c r="D476" i="28" s="1"/>
  <c r="E476" i="28" s="1"/>
  <c r="F476" i="28" s="1"/>
  <c r="D475" i="17" a="1"/>
  <c r="D475" i="17" s="1"/>
  <c r="E475" i="17" s="1"/>
  <c r="F475" i="17" s="1"/>
  <c r="D473" i="28" a="1"/>
  <c r="F469" i="17"/>
  <c r="F465" i="17"/>
  <c r="B105" i="33"/>
  <c r="A106" i="33"/>
  <c r="B105" i="36"/>
  <c r="A106" i="36"/>
  <c r="B105" i="35"/>
  <c r="A106" i="35"/>
  <c r="B105" i="34"/>
  <c r="A106" i="34"/>
  <c r="C105" i="26"/>
  <c r="D473" i="17"/>
  <c r="E473" i="17" s="1"/>
  <c r="G473" i="17" s="1"/>
  <c r="D473" i="28"/>
  <c r="E473" i="28" s="1"/>
  <c r="F473" i="28" s="1"/>
  <c r="G467" i="28"/>
  <c r="I467" i="28" s="1"/>
  <c r="D480" i="17"/>
  <c r="E480" i="17" s="1"/>
  <c r="G480" i="17" s="1"/>
  <c r="F102" i="11"/>
  <c r="D102" i="11"/>
  <c r="E102" i="11"/>
  <c r="C51" i="11"/>
  <c r="C52" i="11" s="1"/>
  <c r="C53" i="11" s="1"/>
  <c r="C54" i="11" s="1"/>
  <c r="C55" i="11" s="1"/>
  <c r="C56" i="11" s="1"/>
  <c r="C57" i="11" s="1"/>
  <c r="C58" i="11" s="1"/>
  <c r="C59" i="11" s="1"/>
  <c r="C60" i="11" s="1"/>
  <c r="C61" i="11" s="1"/>
  <c r="C62" i="11" s="1"/>
  <c r="C63" i="11" s="1"/>
  <c r="C64" i="11" s="1"/>
  <c r="C65" i="11" s="1"/>
  <c r="C66" i="11" s="1"/>
  <c r="C67" i="11" s="1"/>
  <c r="C68" i="11" s="1"/>
  <c r="C69" i="11" s="1"/>
  <c r="C70" i="11" s="1"/>
  <c r="C71" i="11" s="1"/>
  <c r="C72" i="11" s="1"/>
  <c r="C73" i="11" s="1"/>
  <c r="C74" i="11" s="1"/>
  <c r="C75" i="11" s="1"/>
  <c r="C76" i="11" s="1"/>
  <c r="C77" i="11" s="1"/>
  <c r="C78" i="11" s="1"/>
  <c r="C79" i="11" s="1"/>
  <c r="C80" i="11" s="1"/>
  <c r="C81" i="11" s="1"/>
  <c r="C82" i="11" s="1"/>
  <c r="C83" i="11" s="1"/>
  <c r="C84" i="11" s="1"/>
  <c r="C85" i="11" s="1"/>
  <c r="C86" i="11" s="1"/>
  <c r="C87" i="11" s="1"/>
  <c r="C88" i="11" s="1"/>
  <c r="C89" i="11" s="1"/>
  <c r="C90" i="11" s="1"/>
  <c r="C91" i="11" s="1"/>
  <c r="C92" i="11" s="1"/>
  <c r="C93" i="11" s="1"/>
  <c r="C94" i="11" s="1"/>
  <c r="C95" i="11" s="1"/>
  <c r="C96" i="11" s="1"/>
  <c r="C97" i="11" s="1"/>
  <c r="C98" i="11" s="1"/>
  <c r="C99" i="11" s="1"/>
  <c r="C100" i="11" s="1"/>
  <c r="C101" i="11" s="1"/>
  <c r="C102" i="11" s="1"/>
  <c r="B103" i="11"/>
  <c r="G103" i="11" s="1"/>
  <c r="I452" i="17"/>
  <c r="I461" i="17"/>
  <c r="G464" i="28"/>
  <c r="F464" i="28"/>
  <c r="F463" i="28"/>
  <c r="G463" i="28"/>
  <c r="D91" i="11"/>
  <c r="G91" i="11"/>
  <c r="E91" i="11"/>
  <c r="F91" i="11"/>
  <c r="B886" i="28"/>
  <c r="B883" i="17"/>
  <c r="B885" i="28"/>
  <c r="B883" i="28"/>
  <c r="B880" i="17"/>
  <c r="B878" i="17"/>
  <c r="B877" i="17"/>
  <c r="B879" i="17"/>
  <c r="B877" i="28"/>
  <c r="B884" i="17"/>
  <c r="B878" i="28"/>
  <c r="B881" i="28"/>
  <c r="B880" i="28"/>
  <c r="B884" i="28"/>
  <c r="B879" i="28"/>
  <c r="B885" i="17"/>
  <c r="B882" i="17"/>
  <c r="B881" i="17"/>
  <c r="B882" i="28"/>
  <c r="B886" i="17"/>
  <c r="G465" i="28"/>
  <c r="F465" i="28"/>
  <c r="G462" i="17"/>
  <c r="F462" i="17"/>
  <c r="D477" i="17" a="1"/>
  <c r="D477" i="17" s="1"/>
  <c r="E477" i="17" s="1"/>
  <c r="D472" i="28" a="1"/>
  <c r="D472" i="28" s="1"/>
  <c r="E472" i="28" s="1"/>
  <c r="D478" i="17" a="1"/>
  <c r="D478" i="17" s="1"/>
  <c r="E478" i="17" s="1"/>
  <c r="D472" i="17" a="1"/>
  <c r="D472" i="17" s="1"/>
  <c r="E472" i="17" s="1"/>
  <c r="I465" i="17"/>
  <c r="I106" i="27"/>
  <c r="C56" i="27"/>
  <c r="H55" i="27"/>
  <c r="G467" i="17"/>
  <c r="F467" i="17"/>
  <c r="I461" i="28"/>
  <c r="K48" i="28"/>
  <c r="M53" i="17" s="1"/>
  <c r="G470" i="28"/>
  <c r="F470" i="28"/>
  <c r="I453" i="17"/>
  <c r="B984" i="28"/>
  <c r="B987" i="17"/>
  <c r="B997" i="17"/>
  <c r="B978" i="17"/>
  <c r="B995" i="17"/>
  <c r="B986" i="28"/>
  <c r="B997" i="28"/>
  <c r="B968" i="28"/>
  <c r="B971" i="17"/>
  <c r="B982" i="17"/>
  <c r="B984" i="17"/>
  <c r="B977" i="17"/>
  <c r="B979" i="28"/>
  <c r="B967" i="28"/>
  <c r="B971" i="28"/>
  <c r="B994" i="28"/>
  <c r="B974" i="17"/>
  <c r="B985" i="17"/>
  <c r="B976" i="17"/>
  <c r="B994" i="17"/>
  <c r="B983" i="17"/>
  <c r="B981" i="17"/>
  <c r="B995" i="28"/>
  <c r="B986" i="17"/>
  <c r="B976" i="28"/>
  <c r="B996" i="17"/>
  <c r="B975" i="28"/>
  <c r="B969" i="28"/>
  <c r="B978" i="28"/>
  <c r="B967" i="17"/>
  <c r="B979" i="17"/>
  <c r="B988" i="28"/>
  <c r="B993" i="17"/>
  <c r="B996" i="28"/>
  <c r="B985" i="28"/>
  <c r="B970" i="17"/>
  <c r="B973" i="28"/>
  <c r="B968" i="17"/>
  <c r="B991" i="17"/>
  <c r="B975" i="17"/>
  <c r="B989" i="17"/>
  <c r="B974" i="28"/>
  <c r="B982" i="28"/>
  <c r="B972" i="28"/>
  <c r="B970" i="28"/>
  <c r="B977" i="28"/>
  <c r="B980" i="17"/>
  <c r="B981" i="28"/>
  <c r="B989" i="28"/>
  <c r="B1005" i="28"/>
  <c r="B992" i="17"/>
  <c r="B993" i="28"/>
  <c r="B990" i="28"/>
  <c r="B972" i="17"/>
  <c r="B987" i="28"/>
  <c r="B973" i="17"/>
  <c r="B992" i="28"/>
  <c r="B1003" i="28"/>
  <c r="B969" i="17"/>
  <c r="B991" i="28"/>
  <c r="B983" i="28"/>
  <c r="B990" i="17"/>
  <c r="B988" i="17"/>
  <c r="B980" i="28"/>
  <c r="F78" i="11"/>
  <c r="G78" i="11"/>
  <c r="E78" i="11"/>
  <c r="D78" i="11"/>
  <c r="B751" i="17"/>
  <c r="B755" i="17"/>
  <c r="B756" i="28"/>
  <c r="B754" i="17"/>
  <c r="B753" i="17"/>
  <c r="B750" i="17"/>
  <c r="B752" i="28"/>
  <c r="B749" i="17"/>
  <c r="B752" i="17"/>
  <c r="B747" i="17"/>
  <c r="B751" i="28"/>
  <c r="B756" i="17"/>
  <c r="B747" i="28"/>
  <c r="B755" i="28"/>
  <c r="B749" i="28"/>
  <c r="B753" i="28"/>
  <c r="B754" i="28"/>
  <c r="B748" i="28"/>
  <c r="B750" i="28"/>
  <c r="B748" i="17"/>
  <c r="F466" i="28"/>
  <c r="G466" i="28"/>
  <c r="G107" i="27"/>
  <c r="F107" i="27"/>
  <c r="D481" i="17" a="1"/>
  <c r="D481" i="17" s="1"/>
  <c r="E481" i="17" s="1"/>
  <c r="D477" i="28" a="1"/>
  <c r="D477" i="28" s="1"/>
  <c r="E477" i="28" s="1"/>
  <c r="A110" i="16"/>
  <c r="B109" i="16"/>
  <c r="D109" i="16" a="1"/>
  <c r="D109" i="16" s="1"/>
  <c r="E109" i="16" s="1"/>
  <c r="I469" i="17"/>
  <c r="I460" i="28"/>
  <c r="F463" i="17"/>
  <c r="G463" i="17"/>
  <c r="G462" i="28"/>
  <c r="F462" i="28"/>
  <c r="I457" i="17"/>
  <c r="I458" i="28"/>
  <c r="F464" i="17"/>
  <c r="G464" i="17"/>
  <c r="I460" i="17"/>
  <c r="G101" i="11"/>
  <c r="D101" i="11"/>
  <c r="F101" i="11"/>
  <c r="E101" i="11"/>
  <c r="G51" i="11"/>
  <c r="B482" i="17"/>
  <c r="B486" i="17"/>
  <c r="B482" i="28"/>
  <c r="B484" i="17"/>
  <c r="B486" i="28"/>
  <c r="E51" i="11"/>
  <c r="B478" i="17"/>
  <c r="D927" i="17" s="1" a="1"/>
  <c r="B483" i="28"/>
  <c r="B481" i="17"/>
  <c r="B483" i="17"/>
  <c r="B477" i="28"/>
  <c r="B478" i="28"/>
  <c r="D483" i="28" s="1" a="1"/>
  <c r="F51" i="11"/>
  <c r="B477" i="17"/>
  <c r="D874" i="17" s="1" a="1"/>
  <c r="B480" i="28"/>
  <c r="D931" i="28" s="1" a="1"/>
  <c r="B479" i="17"/>
  <c r="D51" i="11"/>
  <c r="B485" i="17"/>
  <c r="B481" i="28"/>
  <c r="B480" i="17"/>
  <c r="B479" i="28"/>
  <c r="B484" i="28"/>
  <c r="B485" i="28"/>
  <c r="I455" i="28"/>
  <c r="F470" i="17"/>
  <c r="G470" i="17"/>
  <c r="C56" i="16"/>
  <c r="H55" i="16"/>
  <c r="C56" i="17"/>
  <c r="H55" i="17"/>
  <c r="D476" i="17" a="1"/>
  <c r="D476" i="17" s="1"/>
  <c r="E476" i="17" s="1"/>
  <c r="D478" i="28" a="1"/>
  <c r="D478" i="28" s="1"/>
  <c r="E478" i="28" s="1"/>
  <c r="D481" i="28" a="1"/>
  <c r="D481" i="28" s="1"/>
  <c r="E481" i="28" s="1"/>
  <c r="D751" i="28" a="1"/>
  <c r="G468" i="28"/>
  <c r="F468" i="28"/>
  <c r="I454" i="17"/>
  <c r="D731" i="17" a="1"/>
  <c r="F466" i="17"/>
  <c r="G466" i="17"/>
  <c r="D696" i="28" a="1"/>
  <c r="F471" i="28"/>
  <c r="G471" i="28"/>
  <c r="I456" i="17"/>
  <c r="F469" i="28"/>
  <c r="G469" i="28"/>
  <c r="I452" i="28"/>
  <c r="F98" i="11"/>
  <c r="E98" i="11"/>
  <c r="D98" i="11"/>
  <c r="G98" i="11"/>
  <c r="B948" i="17"/>
  <c r="B953" i="17"/>
  <c r="B955" i="17"/>
  <c r="B954" i="28"/>
  <c r="B949" i="17"/>
  <c r="B952" i="28"/>
  <c r="B950" i="17"/>
  <c r="B951" i="17"/>
  <c r="B952" i="17"/>
  <c r="B949" i="28"/>
  <c r="B947" i="17"/>
  <c r="B955" i="28"/>
  <c r="B947" i="28"/>
  <c r="B953" i="28"/>
  <c r="B956" i="17"/>
  <c r="D961" i="17" s="1" a="1"/>
  <c r="B956" i="28"/>
  <c r="B951" i="28"/>
  <c r="B948" i="28"/>
  <c r="B950" i="28"/>
  <c r="B954" i="17"/>
  <c r="D873" i="28" a="1"/>
  <c r="I459" i="17"/>
  <c r="G471" i="17"/>
  <c r="K54" i="17" s="1"/>
  <c r="F471" i="17"/>
  <c r="D941" i="17" a="1"/>
  <c r="I458" i="17"/>
  <c r="B108" i="27"/>
  <c r="A109" i="27"/>
  <c r="D108" i="27" a="1"/>
  <c r="D108" i="27" s="1"/>
  <c r="E108" i="27" s="1"/>
  <c r="D479" i="28" a="1"/>
  <c r="D479" i="28" s="1"/>
  <c r="E479" i="28" s="1"/>
  <c r="D480" i="28" a="1"/>
  <c r="D480" i="28" s="1"/>
  <c r="E480" i="28" s="1"/>
  <c r="D474" i="17" a="1"/>
  <c r="D474" i="17" s="1"/>
  <c r="E474" i="17" s="1"/>
  <c r="D474" i="28" a="1"/>
  <c r="D474" i="28" s="1"/>
  <c r="E474" i="28" s="1"/>
  <c r="D475" i="28" a="1"/>
  <c r="D475" i="28" s="1"/>
  <c r="E475" i="28" s="1"/>
  <c r="D479" i="17" a="1"/>
  <c r="D479" i="17" s="1"/>
  <c r="E479" i="17" s="1"/>
  <c r="D747" i="17" a="1"/>
  <c r="C56" i="28"/>
  <c r="H55" i="28"/>
  <c r="F108" i="16"/>
  <c r="G108" i="16"/>
  <c r="I459" i="28"/>
  <c r="I107" i="16"/>
  <c r="D835" i="17" a="1"/>
  <c r="G468" i="17"/>
  <c r="F468" i="17"/>
  <c r="D693" i="28" a="1"/>
  <c r="D856" i="17" a="1"/>
  <c r="D868" i="28" a="1"/>
  <c r="D823" i="28" l="1" a="1"/>
  <c r="D741" i="17" a="1"/>
  <c r="D896" i="28" a="1"/>
  <c r="D850" i="28" a="1"/>
  <c r="D729" i="28" a="1"/>
  <c r="D881" i="17" a="1"/>
  <c r="D951" i="17" a="1"/>
  <c r="D919" i="28" a="1"/>
  <c r="D737" i="17" a="1"/>
  <c r="D861" i="28" a="1"/>
  <c r="D861" i="28" s="1"/>
  <c r="E861" i="28" s="1"/>
  <c r="F861" i="28" s="1"/>
  <c r="D484" i="17" a="1"/>
  <c r="D900" i="17" a="1"/>
  <c r="D936" i="28" a="1"/>
  <c r="D826" i="28" a="1"/>
  <c r="D838" i="17" a="1"/>
  <c r="D750" i="17" a="1"/>
  <c r="D855" i="17" a="1"/>
  <c r="D877" i="17" a="1"/>
  <c r="D877" i="17" s="1"/>
  <c r="E877" i="17" s="1"/>
  <c r="F877" i="17" s="1"/>
  <c r="D898" i="28" a="1"/>
  <c r="D746" i="17" a="1"/>
  <c r="D949" i="17" a="1"/>
  <c r="D893" i="28" a="1"/>
  <c r="D892" i="28" a="1"/>
  <c r="D856" i="28" a="1"/>
  <c r="D744" i="28" a="1"/>
  <c r="D920" i="17" a="1"/>
  <c r="D920" i="17" s="1"/>
  <c r="E920" i="17" s="1"/>
  <c r="F920" i="17" s="1"/>
  <c r="D872" i="17" a="1"/>
  <c r="D952" i="28" a="1"/>
  <c r="D824" i="28" a="1"/>
  <c r="D913" i="28" a="1"/>
  <c r="D941" i="28" a="1"/>
  <c r="D484" i="28" a="1"/>
  <c r="D714" i="28" a="1"/>
  <c r="D738" i="17" a="1"/>
  <c r="D738" i="17" s="1"/>
  <c r="E738" i="17" s="1"/>
  <c r="F738" i="17" s="1"/>
  <c r="D748" i="17" a="1"/>
  <c r="D862" i="17" a="1"/>
  <c r="D959" i="17" a="1"/>
  <c r="D944" i="28" a="1"/>
  <c r="D866" i="28" a="1"/>
  <c r="D703" i="28" a="1"/>
  <c r="D724" i="17" a="1"/>
  <c r="D485" i="17" a="1"/>
  <c r="D485" i="17" s="1"/>
  <c r="E485" i="17" s="1"/>
  <c r="G485" i="17" s="1"/>
  <c r="D700" i="28" a="1"/>
  <c r="D867" i="17" a="1"/>
  <c r="D853" i="28" a="1"/>
  <c r="D748" i="28" a="1"/>
  <c r="D955" i="28" a="1"/>
  <c r="D952" i="17" a="1"/>
  <c r="D945" i="28" a="1"/>
  <c r="D933" i="17" a="1"/>
  <c r="D933" i="17" s="1"/>
  <c r="E933" i="17" s="1"/>
  <c r="G933" i="17" s="1"/>
  <c r="D895" i="28" a="1"/>
  <c r="D710" i="17" a="1"/>
  <c r="D897" i="28" a="1"/>
  <c r="D937" i="17" a="1"/>
  <c r="D953" i="28" a="1"/>
  <c r="D949" i="28" a="1"/>
  <c r="D833" i="28" a="1"/>
  <c r="D836" i="17" a="1"/>
  <c r="D723" i="17" a="1"/>
  <c r="D933" i="28" a="1"/>
  <c r="D875" i="28" a="1"/>
  <c r="D700" i="17" a="1"/>
  <c r="D700" i="17" s="1"/>
  <c r="E700" i="17" s="1"/>
  <c r="F700" i="17" s="1"/>
  <c r="D828" i="28" a="1"/>
  <c r="D830" i="28" a="1"/>
  <c r="D965" i="28" a="1"/>
  <c r="D965" i="28" s="1"/>
  <c r="E965" i="28" s="1"/>
  <c r="G965" i="28" s="1"/>
  <c r="D962" i="28" a="1"/>
  <c r="D962" i="28" s="1"/>
  <c r="E962" i="28" s="1"/>
  <c r="G962" i="28" s="1"/>
  <c r="D873" i="17" a="1"/>
  <c r="D946" i="17" a="1"/>
  <c r="D946" i="17" s="1"/>
  <c r="E946" i="17" s="1"/>
  <c r="F946" i="17" s="1"/>
  <c r="D692" i="28" a="1"/>
  <c r="D692" i="28" s="1"/>
  <c r="E692" i="28" s="1"/>
  <c r="F692" i="28" s="1"/>
  <c r="D881" i="28" a="1"/>
  <c r="B1000" i="17"/>
  <c r="G475" i="17"/>
  <c r="B1006" i="17"/>
  <c r="B1001" i="17"/>
  <c r="G473" i="28"/>
  <c r="D892" i="28"/>
  <c r="E892" i="28" s="1"/>
  <c r="F892" i="28" s="1"/>
  <c r="D856" i="17"/>
  <c r="E856" i="17" s="1"/>
  <c r="G856" i="17" s="1"/>
  <c r="D830" i="28"/>
  <c r="E830" i="28" s="1"/>
  <c r="F830" i="28" s="1"/>
  <c r="B1007" i="28"/>
  <c r="D103" i="11"/>
  <c r="D838" i="17"/>
  <c r="E838" i="17" s="1"/>
  <c r="G838" i="17" s="1"/>
  <c r="B999" i="17"/>
  <c r="D1004" i="17" s="1" a="1"/>
  <c r="B998" i="17"/>
  <c r="B1003" i="17"/>
  <c r="B998" i="28"/>
  <c r="B1001" i="28"/>
  <c r="B1004" i="17"/>
  <c r="F103" i="11"/>
  <c r="B1005" i="17"/>
  <c r="B1004" i="28"/>
  <c r="B1006" i="28"/>
  <c r="B1002" i="28"/>
  <c r="B1000" i="28"/>
  <c r="B1007" i="17"/>
  <c r="B999" i="28"/>
  <c r="B1002" i="17"/>
  <c r="E103" i="11"/>
  <c r="D823" i="28"/>
  <c r="E823" i="28" s="1"/>
  <c r="G823" i="28" s="1"/>
  <c r="D896" i="28"/>
  <c r="E896" i="28" s="1"/>
  <c r="F896" i="28" s="1"/>
  <c r="D744" i="28"/>
  <c r="E744" i="28" s="1"/>
  <c r="G744" i="28" s="1"/>
  <c r="D897" i="28"/>
  <c r="E897" i="28" s="1"/>
  <c r="F897" i="28" s="1"/>
  <c r="D850" i="28"/>
  <c r="E850" i="28" s="1"/>
  <c r="G850" i="28" s="1"/>
  <c r="D741" i="17"/>
  <c r="E741" i="17" s="1"/>
  <c r="F741" i="17" s="1"/>
  <c r="D750" i="17"/>
  <c r="E750" i="17" s="1"/>
  <c r="G750" i="17" s="1"/>
  <c r="F473" i="17"/>
  <c r="D484" i="17"/>
  <c r="E484" i="17" s="1"/>
  <c r="F484" i="17" s="1"/>
  <c r="D856" i="28"/>
  <c r="E856" i="28" s="1"/>
  <c r="G856" i="28" s="1"/>
  <c r="G476" i="28"/>
  <c r="I476" i="28" s="1"/>
  <c r="D855" i="17"/>
  <c r="E855" i="17" s="1"/>
  <c r="F855" i="17" s="1"/>
  <c r="D483" i="28"/>
  <c r="E483" i="28" s="1"/>
  <c r="G483" i="28" s="1"/>
  <c r="D873" i="17"/>
  <c r="E873" i="17" s="1"/>
  <c r="F873" i="17" s="1"/>
  <c r="D952" i="28"/>
  <c r="E952" i="28" s="1"/>
  <c r="F952" i="28" s="1"/>
  <c r="D874" i="17"/>
  <c r="E874" i="17" s="1"/>
  <c r="G874" i="17" s="1"/>
  <c r="D872" i="17"/>
  <c r="E872" i="17" s="1"/>
  <c r="F872" i="17" s="1"/>
  <c r="D824" i="28"/>
  <c r="E824" i="28" s="1"/>
  <c r="F824" i="28" s="1"/>
  <c r="D868" i="28"/>
  <c r="E868" i="28" s="1"/>
  <c r="F868" i="28" s="1"/>
  <c r="D913" i="28"/>
  <c r="E913" i="28" s="1"/>
  <c r="F913" i="28" s="1"/>
  <c r="D931" i="28"/>
  <c r="E931" i="28" s="1"/>
  <c r="G931" i="28" s="1"/>
  <c r="D700" i="28"/>
  <c r="E700" i="28" s="1"/>
  <c r="F700" i="28" s="1"/>
  <c r="D693" i="28"/>
  <c r="E693" i="28" s="1"/>
  <c r="F693" i="28" s="1"/>
  <c r="D941" i="28"/>
  <c r="E941" i="28" s="1"/>
  <c r="F941" i="28" s="1"/>
  <c r="D729" i="28"/>
  <c r="E729" i="28" s="1"/>
  <c r="G729" i="28" s="1"/>
  <c r="B106" i="34"/>
  <c r="A107" i="34"/>
  <c r="B106" i="35"/>
  <c r="A107" i="35"/>
  <c r="B106" i="33"/>
  <c r="A107" i="33"/>
  <c r="C103" i="11"/>
  <c r="B106" i="36"/>
  <c r="A107" i="36"/>
  <c r="F480" i="17"/>
  <c r="D835" i="17"/>
  <c r="E835" i="17" s="1"/>
  <c r="G835" i="17" s="1"/>
  <c r="D867" i="17"/>
  <c r="E867" i="17" s="1"/>
  <c r="F867" i="17" s="1"/>
  <c r="D748" i="17"/>
  <c r="E748" i="17" s="1"/>
  <c r="G748" i="17" s="1"/>
  <c r="D881" i="17"/>
  <c r="E881" i="17" s="1"/>
  <c r="F881" i="17" s="1"/>
  <c r="D862" i="17"/>
  <c r="E862" i="17" s="1"/>
  <c r="G862" i="17" s="1"/>
  <c r="D944" i="28"/>
  <c r="E944" i="28" s="1"/>
  <c r="F944" i="28" s="1"/>
  <c r="D937" i="17"/>
  <c r="E937" i="17" s="1"/>
  <c r="G937" i="17" s="1"/>
  <c r="D747" i="17"/>
  <c r="E747" i="17" s="1"/>
  <c r="F747" i="17" s="1"/>
  <c r="D951" i="17"/>
  <c r="E951" i="17" s="1"/>
  <c r="F951" i="17" s="1"/>
  <c r="D866" i="28"/>
  <c r="E866" i="28" s="1"/>
  <c r="G866" i="28" s="1"/>
  <c r="D927" i="17"/>
  <c r="E927" i="17" s="1"/>
  <c r="F927" i="17" s="1"/>
  <c r="D703" i="28"/>
  <c r="E703" i="28" s="1"/>
  <c r="F703" i="28" s="1"/>
  <c r="D959" i="17"/>
  <c r="E959" i="17" s="1"/>
  <c r="G959" i="17" s="1"/>
  <c r="D724" i="17"/>
  <c r="E724" i="17" s="1"/>
  <c r="G724" i="17" s="1"/>
  <c r="D737" i="17"/>
  <c r="E737" i="17" s="1"/>
  <c r="G737" i="17" s="1"/>
  <c r="D941" i="17"/>
  <c r="E941" i="17" s="1"/>
  <c r="F941" i="17" s="1"/>
  <c r="D952" i="17"/>
  <c r="E952" i="17" s="1"/>
  <c r="F952" i="17" s="1"/>
  <c r="D836" i="17"/>
  <c r="E836" i="17" s="1"/>
  <c r="F836" i="17" s="1"/>
  <c r="D919" i="28"/>
  <c r="E919" i="28" s="1"/>
  <c r="F919" i="28" s="1"/>
  <c r="D936" i="28"/>
  <c r="E936" i="28" s="1"/>
  <c r="F936" i="28" s="1"/>
  <c r="D828" i="28"/>
  <c r="E828" i="28" s="1"/>
  <c r="F828" i="28" s="1"/>
  <c r="D826" i="28"/>
  <c r="E826" i="28" s="1"/>
  <c r="G826" i="28" s="1"/>
  <c r="D853" i="28"/>
  <c r="E853" i="28" s="1"/>
  <c r="G853" i="28" s="1"/>
  <c r="D748" i="28"/>
  <c r="E748" i="28" s="1"/>
  <c r="F748" i="28" s="1"/>
  <c r="D873" i="28"/>
  <c r="E873" i="28" s="1"/>
  <c r="F873" i="28" s="1"/>
  <c r="D949" i="28"/>
  <c r="E949" i="28" s="1"/>
  <c r="F949" i="28" s="1"/>
  <c r="D898" i="28"/>
  <c r="E898" i="28" s="1"/>
  <c r="G898" i="28" s="1"/>
  <c r="D833" i="28"/>
  <c r="E833" i="28" s="1"/>
  <c r="G833" i="28" s="1"/>
  <c r="D881" i="28"/>
  <c r="E881" i="28" s="1"/>
  <c r="F881" i="28" s="1"/>
  <c r="D945" i="28"/>
  <c r="E945" i="28" s="1"/>
  <c r="F945" i="28" s="1"/>
  <c r="D696" i="28"/>
  <c r="E696" i="28" s="1"/>
  <c r="G696" i="28" s="1"/>
  <c r="D723" i="17"/>
  <c r="E723" i="17" s="1"/>
  <c r="F723" i="17" s="1"/>
  <c r="D746" i="17"/>
  <c r="E746" i="17" s="1"/>
  <c r="G746" i="17" s="1"/>
  <c r="D933" i="28"/>
  <c r="E933" i="28" s="1"/>
  <c r="F933" i="28" s="1"/>
  <c r="D484" i="28"/>
  <c r="E484" i="28" s="1"/>
  <c r="F484" i="28" s="1"/>
  <c r="D895" i="28"/>
  <c r="E895" i="28" s="1"/>
  <c r="F895" i="28" s="1"/>
  <c r="D955" i="28"/>
  <c r="E955" i="28" s="1"/>
  <c r="F955" i="28" s="1"/>
  <c r="D961" i="17"/>
  <c r="E961" i="17" s="1"/>
  <c r="G961" i="17" s="1"/>
  <c r="K103" i="17" s="1"/>
  <c r="D710" i="17"/>
  <c r="E710" i="17" s="1"/>
  <c r="F710" i="17" s="1"/>
  <c r="D731" i="17"/>
  <c r="E731" i="17" s="1"/>
  <c r="F731" i="17" s="1"/>
  <c r="D751" i="28"/>
  <c r="E751" i="28" s="1"/>
  <c r="G751" i="28" s="1"/>
  <c r="D953" i="28"/>
  <c r="E953" i="28" s="1"/>
  <c r="F953" i="28" s="1"/>
  <c r="D875" i="28"/>
  <c r="E875" i="28" s="1"/>
  <c r="F875" i="28" s="1"/>
  <c r="D949" i="17"/>
  <c r="E949" i="17" s="1"/>
  <c r="F949" i="17" s="1"/>
  <c r="D714" i="28"/>
  <c r="E714" i="28" s="1"/>
  <c r="F714" i="28" s="1"/>
  <c r="D900" i="17"/>
  <c r="E900" i="17" s="1"/>
  <c r="F900" i="17" s="1"/>
  <c r="D893" i="28"/>
  <c r="E893" i="28" s="1"/>
  <c r="F893" i="28" s="1"/>
  <c r="I468" i="17"/>
  <c r="F475" i="28"/>
  <c r="G475" i="28"/>
  <c r="C57" i="28"/>
  <c r="H56" i="28"/>
  <c r="G474" i="28"/>
  <c r="F474" i="28"/>
  <c r="D958" i="28" a="1"/>
  <c r="D958" i="28" s="1"/>
  <c r="E958" i="28" s="1"/>
  <c r="D954" i="28" a="1"/>
  <c r="D954" i="28" s="1"/>
  <c r="E954" i="28" s="1"/>
  <c r="D957" i="28" a="1"/>
  <c r="D957" i="28" s="1"/>
  <c r="E957" i="28" s="1"/>
  <c r="D958" i="17" a="1"/>
  <c r="D958" i="17" s="1"/>
  <c r="E958" i="17" s="1"/>
  <c r="D862" i="28" a="1"/>
  <c r="D862" i="28" s="1"/>
  <c r="E862" i="28" s="1"/>
  <c r="D708" i="17" a="1"/>
  <c r="D708" i="17" s="1"/>
  <c r="E708" i="17" s="1"/>
  <c r="D735" i="28" a="1"/>
  <c r="D735" i="28" s="1"/>
  <c r="E735" i="28" s="1"/>
  <c r="D743" i="28" a="1"/>
  <c r="D743" i="28" s="1"/>
  <c r="E743" i="28" s="1"/>
  <c r="I473" i="17"/>
  <c r="G476" i="17"/>
  <c r="F476" i="17"/>
  <c r="C57" i="17"/>
  <c r="H56" i="17"/>
  <c r="D875" i="17" a="1"/>
  <c r="D875" i="17" s="1"/>
  <c r="E875" i="17" s="1"/>
  <c r="D490" i="28" a="1"/>
  <c r="D490" i="28" s="1"/>
  <c r="E490" i="28" s="1"/>
  <c r="D486" i="28" a="1"/>
  <c r="D486" i="28" s="1"/>
  <c r="E486" i="28" s="1"/>
  <c r="D485" i="28" a="1"/>
  <c r="D485" i="28" s="1"/>
  <c r="E485" i="28" s="1"/>
  <c r="D482" i="28" a="1"/>
  <c r="D482" i="28" s="1"/>
  <c r="E482" i="28" s="1"/>
  <c r="D966" i="28" a="1"/>
  <c r="D966" i="28" s="1"/>
  <c r="E966" i="28" s="1"/>
  <c r="D721" i="28" a="1"/>
  <c r="D721" i="28" s="1"/>
  <c r="E721" i="28" s="1"/>
  <c r="D847" i="28" a="1"/>
  <c r="D847" i="28" s="1"/>
  <c r="E847" i="28" s="1"/>
  <c r="D870" i="28" a="1"/>
  <c r="D870" i="28" s="1"/>
  <c r="E870" i="28" s="1"/>
  <c r="D964" i="28" a="1"/>
  <c r="D964" i="28" s="1"/>
  <c r="E964" i="28" s="1"/>
  <c r="D734" i="28" a="1"/>
  <c r="D734" i="28" s="1"/>
  <c r="E734" i="28" s="1"/>
  <c r="D731" i="28" a="1"/>
  <c r="D731" i="28" s="1"/>
  <c r="E731" i="28" s="1"/>
  <c r="D739" i="28" a="1"/>
  <c r="D739" i="28" s="1"/>
  <c r="E739" i="28" s="1"/>
  <c r="D912" i="28" a="1"/>
  <c r="D912" i="28" s="1"/>
  <c r="E912" i="28" s="1"/>
  <c r="D864" i="28" a="1"/>
  <c r="D864" i="28" s="1"/>
  <c r="E864" i="28" s="1"/>
  <c r="D940" i="28" a="1"/>
  <c r="D940" i="28" s="1"/>
  <c r="E940" i="28" s="1"/>
  <c r="D859" i="28" a="1"/>
  <c r="D859" i="28" s="1"/>
  <c r="E859" i="28" s="1"/>
  <c r="D967" i="28" a="1"/>
  <c r="D967" i="28" s="1"/>
  <c r="E967" i="28" s="1"/>
  <c r="D935" i="28" a="1"/>
  <c r="D935" i="28" s="1"/>
  <c r="E935" i="28" s="1"/>
  <c r="D969" i="28" a="1"/>
  <c r="D969" i="28" s="1"/>
  <c r="E969" i="28" s="1"/>
  <c r="D923" i="28" a="1"/>
  <c r="D923" i="28" s="1"/>
  <c r="E923" i="28" s="1"/>
  <c r="D741" i="28" a="1"/>
  <c r="D741" i="28" s="1"/>
  <c r="E741" i="28" s="1"/>
  <c r="D718" i="28" a="1"/>
  <c r="D718" i="28" s="1"/>
  <c r="E718" i="28" s="1"/>
  <c r="D719" i="28" a="1"/>
  <c r="D719" i="28" s="1"/>
  <c r="E719" i="28" s="1"/>
  <c r="D869" i="28" a="1"/>
  <c r="D869" i="28" s="1"/>
  <c r="E869" i="28" s="1"/>
  <c r="D963" i="28" a="1"/>
  <c r="D963" i="28" s="1"/>
  <c r="E963" i="28" s="1"/>
  <c r="D717" i="28" a="1"/>
  <c r="D717" i="28" s="1"/>
  <c r="E717" i="28" s="1"/>
  <c r="D720" i="28" a="1"/>
  <c r="D720" i="28" s="1"/>
  <c r="E720" i="28" s="1"/>
  <c r="D858" i="28" a="1"/>
  <c r="D858" i="28" s="1"/>
  <c r="E858" i="28" s="1"/>
  <c r="D733" i="28" a="1"/>
  <c r="D733" i="28" s="1"/>
  <c r="E733" i="28" s="1"/>
  <c r="D934" i="28" a="1"/>
  <c r="D934" i="28" s="1"/>
  <c r="E934" i="28" s="1"/>
  <c r="D968" i="28" a="1"/>
  <c r="D968" i="28" s="1"/>
  <c r="E968" i="28" s="1"/>
  <c r="D724" i="28" a="1"/>
  <c r="D724" i="28" s="1"/>
  <c r="E724" i="28" s="1"/>
  <c r="D736" i="28" a="1"/>
  <c r="D736" i="28" s="1"/>
  <c r="E736" i="28" s="1"/>
  <c r="D732" i="28" a="1"/>
  <c r="D732" i="28" s="1"/>
  <c r="E732" i="28" s="1"/>
  <c r="D483" i="17" a="1"/>
  <c r="D483" i="17" s="1"/>
  <c r="E483" i="17" s="1"/>
  <c r="D487" i="28" a="1"/>
  <c r="D487" i="28" s="1"/>
  <c r="E487" i="28" s="1"/>
  <c r="D944" i="17" a="1"/>
  <c r="D944" i="17" s="1"/>
  <c r="E944" i="17" s="1"/>
  <c r="D950" i="17" a="1"/>
  <c r="D950" i="17" s="1"/>
  <c r="E950" i="17" s="1"/>
  <c r="D695" i="28" a="1"/>
  <c r="D695" i="28" s="1"/>
  <c r="E695" i="28" s="1"/>
  <c r="I463" i="17"/>
  <c r="D738" i="28" a="1"/>
  <c r="D738" i="28" s="1"/>
  <c r="E738" i="28" s="1"/>
  <c r="D939" i="17" a="1"/>
  <c r="D939" i="17" s="1"/>
  <c r="E939" i="17" s="1"/>
  <c r="D970" i="17" a="1"/>
  <c r="D970" i="17" s="1"/>
  <c r="E970" i="17" s="1"/>
  <c r="D751" i="17" a="1"/>
  <c r="D751" i="17" s="1"/>
  <c r="E751" i="17" s="1"/>
  <c r="F477" i="28"/>
  <c r="G477" i="28"/>
  <c r="I480" i="17"/>
  <c r="D874" i="28" a="1"/>
  <c r="D874" i="28" s="1"/>
  <c r="E874" i="28" s="1"/>
  <c r="D876" i="28" a="1"/>
  <c r="D876" i="28" s="1"/>
  <c r="E876" i="28" s="1"/>
  <c r="D759" i="28" a="1"/>
  <c r="D759" i="28" s="1"/>
  <c r="E759" i="28" s="1"/>
  <c r="D752" i="28" a="1"/>
  <c r="D752" i="28" s="1"/>
  <c r="E752" i="28" s="1"/>
  <c r="D757" i="17" a="1"/>
  <c r="D757" i="17" s="1"/>
  <c r="E757" i="17" s="1"/>
  <c r="D758" i="17" a="1"/>
  <c r="D758" i="17" s="1"/>
  <c r="E758" i="17" s="1"/>
  <c r="D756" i="17" a="1"/>
  <c r="D756" i="17" s="1"/>
  <c r="E756" i="17" s="1"/>
  <c r="D996" i="28" a="1"/>
  <c r="D996" i="28" s="1"/>
  <c r="E996" i="28" s="1"/>
  <c r="D978" i="17" a="1"/>
  <c r="D978" i="17" s="1"/>
  <c r="E978" i="17" s="1"/>
  <c r="D1003" i="17" a="1"/>
  <c r="D982" i="28" a="1"/>
  <c r="D982" i="28" s="1"/>
  <c r="E982" i="28" s="1"/>
  <c r="D987" i="28" a="1"/>
  <c r="D987" i="28" s="1"/>
  <c r="E987" i="28" s="1"/>
  <c r="D994" i="17" a="1"/>
  <c r="D994" i="17" s="1"/>
  <c r="E994" i="17" s="1"/>
  <c r="D978" i="28" a="1"/>
  <c r="D978" i="28" s="1"/>
  <c r="E978" i="28" s="1"/>
  <c r="D1001" i="28" a="1"/>
  <c r="D1001" i="28" s="1"/>
  <c r="E1001" i="28" s="1"/>
  <c r="D984" i="17" a="1"/>
  <c r="D984" i="17" s="1"/>
  <c r="E984" i="17" s="1"/>
  <c r="D983" i="28" a="1"/>
  <c r="D983" i="28" s="1"/>
  <c r="E983" i="28" s="1"/>
  <c r="D981" i="28" a="1"/>
  <c r="D981" i="28" s="1"/>
  <c r="E981" i="28" s="1"/>
  <c r="D986" i="17" a="1"/>
  <c r="D986" i="17" s="1"/>
  <c r="E986" i="17" s="1"/>
  <c r="D999" i="17" a="1"/>
  <c r="D999" i="17" s="1"/>
  <c r="E999" i="17" s="1"/>
  <c r="D979" i="17" a="1"/>
  <c r="D979" i="17" s="1"/>
  <c r="E979" i="17" s="1"/>
  <c r="D984" i="28" a="1"/>
  <c r="D984" i="28" s="1"/>
  <c r="E984" i="28" s="1"/>
  <c r="D976" i="17" a="1"/>
  <c r="D976" i="17" s="1"/>
  <c r="E976" i="17" s="1"/>
  <c r="D991" i="28" a="1"/>
  <c r="D991" i="28" s="1"/>
  <c r="E991" i="28" s="1"/>
  <c r="D950" i="28" a="1"/>
  <c r="D950" i="28" s="1"/>
  <c r="E950" i="28" s="1"/>
  <c r="D866" i="17" a="1"/>
  <c r="D866" i="17" s="1"/>
  <c r="E866" i="17" s="1"/>
  <c r="D831" i="28" a="1"/>
  <c r="D831" i="28" s="1"/>
  <c r="E831" i="28" s="1"/>
  <c r="D844" i="28" a="1"/>
  <c r="D844" i="28" s="1"/>
  <c r="E844" i="28" s="1"/>
  <c r="I467" i="17"/>
  <c r="C57" i="27"/>
  <c r="H56" i="27"/>
  <c r="D865" i="17" a="1"/>
  <c r="D865" i="17" s="1"/>
  <c r="E865" i="17" s="1"/>
  <c r="D702" i="17" a="1"/>
  <c r="D702" i="17" s="1"/>
  <c r="E702" i="17" s="1"/>
  <c r="D745" i="17" a="1"/>
  <c r="D745" i="17" s="1"/>
  <c r="E745" i="17" s="1"/>
  <c r="D749" i="17" a="1"/>
  <c r="D749" i="17" s="1"/>
  <c r="E749" i="17" s="1"/>
  <c r="D903" i="17" a="1"/>
  <c r="D903" i="17" s="1"/>
  <c r="E903" i="17" s="1"/>
  <c r="D823" i="17" a="1"/>
  <c r="D823" i="17" s="1"/>
  <c r="E823" i="17" s="1"/>
  <c r="D716" i="17" a="1"/>
  <c r="D716" i="17" s="1"/>
  <c r="E716" i="17" s="1"/>
  <c r="D694" i="17" a="1"/>
  <c r="D694" i="17" s="1"/>
  <c r="E694" i="17" s="1"/>
  <c r="D844" i="17" a="1"/>
  <c r="D844" i="17" s="1"/>
  <c r="E844" i="17" s="1"/>
  <c r="D830" i="17" a="1"/>
  <c r="D830" i="17" s="1"/>
  <c r="E830" i="17" s="1"/>
  <c r="D843" i="17" a="1"/>
  <c r="D843" i="17" s="1"/>
  <c r="E843" i="17" s="1"/>
  <c r="D926" i="17" a="1"/>
  <c r="D926" i="17" s="1"/>
  <c r="E926" i="17" s="1"/>
  <c r="D853" i="17" a="1"/>
  <c r="D853" i="17" s="1"/>
  <c r="E853" i="17" s="1"/>
  <c r="D728" i="17" a="1"/>
  <c r="D728" i="17" s="1"/>
  <c r="E728" i="17" s="1"/>
  <c r="F472" i="17"/>
  <c r="G472" i="17"/>
  <c r="D922" i="28" a="1"/>
  <c r="D922" i="28" s="1"/>
  <c r="E922" i="28" s="1"/>
  <c r="D905" i="28" a="1"/>
  <c r="D905" i="28" s="1"/>
  <c r="E905" i="28" s="1"/>
  <c r="D832" i="28" a="1"/>
  <c r="D832" i="28" s="1"/>
  <c r="E832" i="28" s="1"/>
  <c r="D930" i="28" a="1"/>
  <c r="D930" i="28" s="1"/>
  <c r="E930" i="28" s="1"/>
  <c r="D722" i="28" a="1"/>
  <c r="D722" i="28" s="1"/>
  <c r="E722" i="28" s="1"/>
  <c r="D902" i="28" a="1"/>
  <c r="D902" i="28" s="1"/>
  <c r="E902" i="28" s="1"/>
  <c r="D860" i="28" a="1"/>
  <c r="D860" i="28" s="1"/>
  <c r="E860" i="28" s="1"/>
  <c r="D917" i="28" a="1"/>
  <c r="D917" i="28" s="1"/>
  <c r="E917" i="28" s="1"/>
  <c r="D728" i="28" a="1"/>
  <c r="D728" i="28" s="1"/>
  <c r="E728" i="28" s="1"/>
  <c r="D906" i="28" a="1"/>
  <c r="D906" i="28" s="1"/>
  <c r="E906" i="28" s="1"/>
  <c r="D926" i="28" a="1"/>
  <c r="D926" i="28" s="1"/>
  <c r="E926" i="28" s="1"/>
  <c r="D725" i="28" a="1"/>
  <c r="D725" i="28" s="1"/>
  <c r="E725" i="28" s="1"/>
  <c r="D909" i="28" a="1"/>
  <c r="D909" i="28" s="1"/>
  <c r="E909" i="28" s="1"/>
  <c r="D903" i="28" a="1"/>
  <c r="D903" i="28" s="1"/>
  <c r="E903" i="28" s="1"/>
  <c r="F477" i="17"/>
  <c r="G477" i="17"/>
  <c r="I465" i="28"/>
  <c r="D880" i="17" a="1"/>
  <c r="D880" i="17" s="1"/>
  <c r="E880" i="17" s="1"/>
  <c r="D886" i="17" a="1"/>
  <c r="D886" i="17" s="1"/>
  <c r="E886" i="17" s="1"/>
  <c r="D889" i="28" a="1"/>
  <c r="D889" i="28" s="1"/>
  <c r="E889" i="28" s="1"/>
  <c r="D889" i="17" a="1"/>
  <c r="D889" i="17" s="1"/>
  <c r="E889" i="17" s="1"/>
  <c r="D883" i="17" a="1"/>
  <c r="D883" i="17" s="1"/>
  <c r="E883" i="17" s="1"/>
  <c r="D888" i="17" a="1"/>
  <c r="D888" i="17" s="1"/>
  <c r="E888" i="17" s="1"/>
  <c r="I108" i="16"/>
  <c r="F479" i="28"/>
  <c r="G479" i="28"/>
  <c r="G474" i="17"/>
  <c r="F474" i="17"/>
  <c r="F108" i="27"/>
  <c r="G108" i="27"/>
  <c r="D956" i="28" a="1"/>
  <c r="D956" i="28" s="1"/>
  <c r="E956" i="28" s="1"/>
  <c r="D957" i="17" a="1"/>
  <c r="D957" i="17" s="1"/>
  <c r="E957" i="17" s="1"/>
  <c r="D954" i="17" a="1"/>
  <c r="D954" i="17" s="1"/>
  <c r="E954" i="17" s="1"/>
  <c r="D953" i="17" a="1"/>
  <c r="D953" i="17" s="1"/>
  <c r="E953" i="17" s="1"/>
  <c r="I469" i="28"/>
  <c r="I466" i="17"/>
  <c r="D733" i="17" a="1"/>
  <c r="D733" i="17" s="1"/>
  <c r="E733" i="17" s="1"/>
  <c r="I468" i="28"/>
  <c r="D706" i="17" a="1"/>
  <c r="D706" i="17" s="1"/>
  <c r="E706" i="17" s="1"/>
  <c r="D744" i="17" a="1"/>
  <c r="D744" i="17" s="1"/>
  <c r="E744" i="17" s="1"/>
  <c r="D746" i="28" a="1"/>
  <c r="D746" i="28" s="1"/>
  <c r="E746" i="28" s="1"/>
  <c r="D871" i="28" a="1"/>
  <c r="D871" i="28" s="1"/>
  <c r="E871" i="28" s="1"/>
  <c r="D878" i="17" a="1"/>
  <c r="D878" i="17" s="1"/>
  <c r="E878" i="17" s="1"/>
  <c r="D489" i="28" a="1"/>
  <c r="D489" i="28" s="1"/>
  <c r="E489" i="28" s="1"/>
  <c r="D490" i="17" a="1"/>
  <c r="D490" i="17" s="1"/>
  <c r="E490" i="17" s="1"/>
  <c r="D482" i="17" a="1"/>
  <c r="D482" i="17" s="1"/>
  <c r="E482" i="17" s="1"/>
  <c r="D907" i="17" a="1"/>
  <c r="D907" i="17" s="1"/>
  <c r="E907" i="17" s="1"/>
  <c r="D740" i="17" a="1"/>
  <c r="D740" i="17" s="1"/>
  <c r="E740" i="17" s="1"/>
  <c r="D739" i="17" a="1"/>
  <c r="D739" i="17" s="1"/>
  <c r="E739" i="17" s="1"/>
  <c r="D932" i="17" a="1"/>
  <c r="D932" i="17" s="1"/>
  <c r="E932" i="17" s="1"/>
  <c r="D962" i="17" a="1"/>
  <c r="D962" i="17" s="1"/>
  <c r="E962" i="17" s="1"/>
  <c r="D834" i="17" a="1"/>
  <c r="D834" i="17" s="1"/>
  <c r="E834" i="17" s="1"/>
  <c r="D925" i="17" a="1"/>
  <c r="D925" i="17" s="1"/>
  <c r="E925" i="17" s="1"/>
  <c r="D721" i="17" a="1"/>
  <c r="D721" i="17" s="1"/>
  <c r="E721" i="17" s="1"/>
  <c r="D734" i="17" a="1"/>
  <c r="D734" i="17" s="1"/>
  <c r="E734" i="17" s="1"/>
  <c r="D736" i="17" a="1"/>
  <c r="D736" i="17" s="1"/>
  <c r="E736" i="17" s="1"/>
  <c r="D905" i="17" a="1"/>
  <c r="D905" i="17" s="1"/>
  <c r="E905" i="17" s="1"/>
  <c r="D921" i="17" a="1"/>
  <c r="D921" i="17" s="1"/>
  <c r="E921" i="17" s="1"/>
  <c r="D964" i="17" a="1"/>
  <c r="D964" i="17" s="1"/>
  <c r="E964" i="17" s="1"/>
  <c r="D963" i="17" a="1"/>
  <c r="D963" i="17" s="1"/>
  <c r="E963" i="17" s="1"/>
  <c r="D730" i="17" a="1"/>
  <c r="D730" i="17" s="1"/>
  <c r="E730" i="17" s="1"/>
  <c r="D906" i="17" a="1"/>
  <c r="D906" i="17" s="1"/>
  <c r="E906" i="17" s="1"/>
  <c r="D842" i="17" a="1"/>
  <c r="D842" i="17" s="1"/>
  <c r="E842" i="17" s="1"/>
  <c r="D919" i="17" a="1"/>
  <c r="D919" i="17" s="1"/>
  <c r="E919" i="17" s="1"/>
  <c r="D938" i="17" a="1"/>
  <c r="D938" i="17" s="1"/>
  <c r="E938" i="17" s="1"/>
  <c r="D918" i="17" a="1"/>
  <c r="D918" i="17" s="1"/>
  <c r="E918" i="17" s="1"/>
  <c r="D704" i="17" a="1"/>
  <c r="D704" i="17" s="1"/>
  <c r="E704" i="17" s="1"/>
  <c r="D869" i="17" a="1"/>
  <c r="D869" i="17" s="1"/>
  <c r="E869" i="17" s="1"/>
  <c r="D940" i="17" a="1"/>
  <c r="D940" i="17" s="1"/>
  <c r="E940" i="17" s="1"/>
  <c r="D913" i="17" a="1"/>
  <c r="D913" i="17" s="1"/>
  <c r="E913" i="17" s="1"/>
  <c r="D917" i="17" a="1"/>
  <c r="D917" i="17" s="1"/>
  <c r="E917" i="17" s="1"/>
  <c r="D846" i="17" a="1"/>
  <c r="D846" i="17" s="1"/>
  <c r="E846" i="17" s="1"/>
  <c r="D707" i="17" a="1"/>
  <c r="D707" i="17" s="1"/>
  <c r="E707" i="17" s="1"/>
  <c r="D936" i="17" a="1"/>
  <c r="D936" i="17" s="1"/>
  <c r="E936" i="17" s="1"/>
  <c r="D852" i="17" a="1"/>
  <c r="D852" i="17" s="1"/>
  <c r="E852" i="17" s="1"/>
  <c r="D969" i="17" a="1"/>
  <c r="D969" i="17" s="1"/>
  <c r="E969" i="17" s="1"/>
  <c r="D703" i="17" a="1"/>
  <c r="D703" i="17" s="1"/>
  <c r="E703" i="17" s="1"/>
  <c r="D725" i="17" a="1"/>
  <c r="D725" i="17" s="1"/>
  <c r="E725" i="17" s="1"/>
  <c r="D868" i="17" a="1"/>
  <c r="D868" i="17" s="1"/>
  <c r="E868" i="17" s="1"/>
  <c r="D871" i="17" a="1"/>
  <c r="D871" i="17" s="1"/>
  <c r="E871" i="17" s="1"/>
  <c r="D923" i="17" a="1"/>
  <c r="D923" i="17" s="1"/>
  <c r="E923" i="17" s="1"/>
  <c r="D850" i="17" a="1"/>
  <c r="D850" i="17" s="1"/>
  <c r="E850" i="17" s="1"/>
  <c r="D904" i="17" a="1"/>
  <c r="D904" i="17" s="1"/>
  <c r="E904" i="17" s="1"/>
  <c r="D854" i="17" a="1"/>
  <c r="D854" i="17" s="1"/>
  <c r="E854" i="17" s="1"/>
  <c r="D488" i="17" a="1"/>
  <c r="D488" i="17" s="1"/>
  <c r="E488" i="17" s="1"/>
  <c r="D491" i="17" a="1"/>
  <c r="D491" i="17" s="1"/>
  <c r="E491" i="17" s="1"/>
  <c r="D508" i="17" a="1"/>
  <c r="D508" i="17" s="1"/>
  <c r="E508" i="17" s="1"/>
  <c r="D492" i="17" a="1"/>
  <c r="D492" i="17" s="1"/>
  <c r="E492" i="17" s="1"/>
  <c r="D511" i="17" a="1"/>
  <c r="D511" i="17" s="1"/>
  <c r="E511" i="17" s="1"/>
  <c r="D500" i="17" a="1"/>
  <c r="D500" i="17" s="1"/>
  <c r="E500" i="17" s="1"/>
  <c r="D496" i="17" a="1"/>
  <c r="D496" i="17" s="1"/>
  <c r="E496" i="17" s="1"/>
  <c r="D507" i="17" a="1"/>
  <c r="D507" i="17" s="1"/>
  <c r="E507" i="17" s="1"/>
  <c r="D501" i="17" a="1"/>
  <c r="D501" i="17" s="1"/>
  <c r="E501" i="17" s="1"/>
  <c r="D509" i="17" a="1"/>
  <c r="D509" i="17" s="1"/>
  <c r="E509" i="17" s="1"/>
  <c r="D493" i="17" a="1"/>
  <c r="D493" i="17" s="1"/>
  <c r="E493" i="17" s="1"/>
  <c r="D495" i="17" a="1"/>
  <c r="D495" i="17" s="1"/>
  <c r="E495" i="17" s="1"/>
  <c r="D499" i="17" a="1"/>
  <c r="D499" i="17" s="1"/>
  <c r="E499" i="17" s="1"/>
  <c r="D498" i="17" a="1"/>
  <c r="D498" i="17" s="1"/>
  <c r="E498" i="17" s="1"/>
  <c r="D494" i="17" a="1"/>
  <c r="D494" i="17" s="1"/>
  <c r="E494" i="17" s="1"/>
  <c r="D497" i="17" a="1"/>
  <c r="D497" i="17" s="1"/>
  <c r="E497" i="17" s="1"/>
  <c r="D539" i="17" a="1"/>
  <c r="D539" i="17" s="1"/>
  <c r="E539" i="17" s="1"/>
  <c r="D505" i="17" a="1"/>
  <c r="D505" i="17" s="1"/>
  <c r="E505" i="17" s="1"/>
  <c r="D514" i="17" a="1"/>
  <c r="D514" i="17" s="1"/>
  <c r="E514" i="17" s="1"/>
  <c r="D516" i="17" a="1"/>
  <c r="D516" i="17" s="1"/>
  <c r="E516" i="17" s="1"/>
  <c r="D512" i="17" a="1"/>
  <c r="D512" i="17" s="1"/>
  <c r="E512" i="17" s="1"/>
  <c r="D520" i="17" a="1"/>
  <c r="D520" i="17" s="1"/>
  <c r="E520" i="17" s="1"/>
  <c r="D506" i="17" a="1"/>
  <c r="D506" i="17" s="1"/>
  <c r="E506" i="17" s="1"/>
  <c r="D521" i="17" a="1"/>
  <c r="D521" i="17" s="1"/>
  <c r="E521" i="17" s="1"/>
  <c r="D537" i="17" a="1"/>
  <c r="D537" i="17" s="1"/>
  <c r="E537" i="17" s="1"/>
  <c r="D515" i="17" a="1"/>
  <c r="D515" i="17" s="1"/>
  <c r="E515" i="17" s="1"/>
  <c r="D502" i="17" a="1"/>
  <c r="D502" i="17" s="1"/>
  <c r="E502" i="17" s="1"/>
  <c r="D513" i="17" a="1"/>
  <c r="D513" i="17" s="1"/>
  <c r="E513" i="17" s="1"/>
  <c r="D504" i="17" a="1"/>
  <c r="D504" i="17" s="1"/>
  <c r="E504" i="17" s="1"/>
  <c r="D503" i="17" a="1"/>
  <c r="D503" i="17" s="1"/>
  <c r="E503" i="17" s="1"/>
  <c r="D518" i="17" a="1"/>
  <c r="D518" i="17" s="1"/>
  <c r="E518" i="17" s="1"/>
  <c r="D510" i="17" a="1"/>
  <c r="D510" i="17" s="1"/>
  <c r="E510" i="17" s="1"/>
  <c r="D519" i="17" a="1"/>
  <c r="D519" i="17" s="1"/>
  <c r="E519" i="17" s="1"/>
  <c r="D517" i="17" a="1"/>
  <c r="D517" i="17" s="1"/>
  <c r="E517" i="17" s="1"/>
  <c r="D529" i="17" a="1"/>
  <c r="D529" i="17" s="1"/>
  <c r="E529" i="17" s="1"/>
  <c r="D524" i="17" a="1"/>
  <c r="D524" i="17" s="1"/>
  <c r="E524" i="17" s="1"/>
  <c r="D533" i="17" a="1"/>
  <c r="D533" i="17" s="1"/>
  <c r="E533" i="17" s="1"/>
  <c r="D535" i="17" a="1"/>
  <c r="D535" i="17" s="1"/>
  <c r="E535" i="17" s="1"/>
  <c r="D531" i="17" a="1"/>
  <c r="D531" i="17" s="1"/>
  <c r="E531" i="17" s="1"/>
  <c r="D523" i="17" a="1"/>
  <c r="D523" i="17" s="1"/>
  <c r="E523" i="17" s="1"/>
  <c r="D525" i="17" a="1"/>
  <c r="D525" i="17" s="1"/>
  <c r="E525" i="17" s="1"/>
  <c r="D528" i="17" a="1"/>
  <c r="D528" i="17" s="1"/>
  <c r="E528" i="17" s="1"/>
  <c r="D522" i="17" a="1"/>
  <c r="D522" i="17" s="1"/>
  <c r="E522" i="17" s="1"/>
  <c r="D541" i="17" a="1"/>
  <c r="D541" i="17" s="1"/>
  <c r="E541" i="17" s="1"/>
  <c r="D526" i="17" a="1"/>
  <c r="D526" i="17" s="1"/>
  <c r="E526" i="17" s="1"/>
  <c r="D530" i="17" a="1"/>
  <c r="D530" i="17" s="1"/>
  <c r="E530" i="17" s="1"/>
  <c r="D554" i="17" a="1"/>
  <c r="D554" i="17" s="1"/>
  <c r="E554" i="17" s="1"/>
  <c r="D534" i="17" a="1"/>
  <c r="D534" i="17" s="1"/>
  <c r="E534" i="17" s="1"/>
  <c r="D540" i="17" a="1"/>
  <c r="D540" i="17" s="1"/>
  <c r="E540" i="17" s="1"/>
  <c r="D538" i="17" a="1"/>
  <c r="D538" i="17" s="1"/>
  <c r="E538" i="17" s="1"/>
  <c r="D527" i="17" a="1"/>
  <c r="D527" i="17" s="1"/>
  <c r="E527" i="17" s="1"/>
  <c r="D558" i="17" a="1"/>
  <c r="D558" i="17" s="1"/>
  <c r="E558" i="17" s="1"/>
  <c r="D544" i="17" a="1"/>
  <c r="D544" i="17" s="1"/>
  <c r="E544" i="17" s="1"/>
  <c r="D532" i="17" a="1"/>
  <c r="D532" i="17" s="1"/>
  <c r="E532" i="17" s="1"/>
  <c r="D548" i="17" a="1"/>
  <c r="D548" i="17" s="1"/>
  <c r="E548" i="17" s="1"/>
  <c r="D550" i="17" a="1"/>
  <c r="D550" i="17" s="1"/>
  <c r="E550" i="17" s="1"/>
  <c r="D547" i="17" a="1"/>
  <c r="D547" i="17" s="1"/>
  <c r="E547" i="17" s="1"/>
  <c r="D545" i="17" a="1"/>
  <c r="D545" i="17" s="1"/>
  <c r="E545" i="17" s="1"/>
  <c r="D536" i="17" a="1"/>
  <c r="D536" i="17" s="1"/>
  <c r="E536" i="17" s="1"/>
  <c r="D551" i="17" a="1"/>
  <c r="D551" i="17" s="1"/>
  <c r="E551" i="17" s="1"/>
  <c r="D546" i="17" a="1"/>
  <c r="D546" i="17" s="1"/>
  <c r="E546" i="17" s="1"/>
  <c r="D543" i="17" a="1"/>
  <c r="D543" i="17" s="1"/>
  <c r="E543" i="17" s="1"/>
  <c r="D549" i="17" a="1"/>
  <c r="D549" i="17" s="1"/>
  <c r="E549" i="17" s="1"/>
  <c r="D569" i="17" a="1"/>
  <c r="D569" i="17" s="1"/>
  <c r="E569" i="17" s="1"/>
  <c r="D555" i="17" a="1"/>
  <c r="D555" i="17" s="1"/>
  <c r="E555" i="17" s="1"/>
  <c r="D556" i="17" a="1"/>
  <c r="D556" i="17" s="1"/>
  <c r="E556" i="17" s="1"/>
  <c r="D552" i="17" a="1"/>
  <c r="D552" i="17" s="1"/>
  <c r="E552" i="17" s="1"/>
  <c r="D566" i="17" a="1"/>
  <c r="D566" i="17" s="1"/>
  <c r="E566" i="17" s="1"/>
  <c r="D559" i="17" a="1"/>
  <c r="D559" i="17" s="1"/>
  <c r="E559" i="17" s="1"/>
  <c r="D568" i="17" a="1"/>
  <c r="D568" i="17" s="1"/>
  <c r="E568" i="17" s="1"/>
  <c r="D560" i="17" a="1"/>
  <c r="D560" i="17" s="1"/>
  <c r="E560" i="17" s="1"/>
  <c r="D571" i="17" a="1"/>
  <c r="D571" i="17" s="1"/>
  <c r="E571" i="17" s="1"/>
  <c r="D542" i="17" a="1"/>
  <c r="D542" i="17" s="1"/>
  <c r="E542" i="17" s="1"/>
  <c r="D557" i="17" a="1"/>
  <c r="D557" i="17" s="1"/>
  <c r="E557" i="17" s="1"/>
  <c r="D564" i="17" a="1"/>
  <c r="D564" i="17" s="1"/>
  <c r="E564" i="17" s="1"/>
  <c r="D579" i="17" a="1"/>
  <c r="D579" i="17" s="1"/>
  <c r="E579" i="17" s="1"/>
  <c r="D561" i="17" a="1"/>
  <c r="D561" i="17" s="1"/>
  <c r="E561" i="17" s="1"/>
  <c r="D553" i="17" a="1"/>
  <c r="D553" i="17" s="1"/>
  <c r="E553" i="17" s="1"/>
  <c r="D573" i="17" a="1"/>
  <c r="D573" i="17" s="1"/>
  <c r="E573" i="17" s="1"/>
  <c r="D575" i="17" a="1"/>
  <c r="D575" i="17" s="1"/>
  <c r="E575" i="17" s="1"/>
  <c r="D570" i="17" a="1"/>
  <c r="D570" i="17" s="1"/>
  <c r="E570" i="17" s="1"/>
  <c r="D584" i="17" a="1"/>
  <c r="D584" i="17" s="1"/>
  <c r="E584" i="17" s="1"/>
  <c r="D562" i="17" a="1"/>
  <c r="D562" i="17" s="1"/>
  <c r="E562" i="17" s="1"/>
  <c r="D567" i="17" a="1"/>
  <c r="D567" i="17" s="1"/>
  <c r="E567" i="17" s="1"/>
  <c r="D574" i="17" a="1"/>
  <c r="D574" i="17" s="1"/>
  <c r="E574" i="17" s="1"/>
  <c r="D565" i="17" a="1"/>
  <c r="D565" i="17" s="1"/>
  <c r="E565" i="17" s="1"/>
  <c r="D563" i="17" a="1"/>
  <c r="D563" i="17" s="1"/>
  <c r="E563" i="17" s="1"/>
  <c r="D577" i="17" a="1"/>
  <c r="D577" i="17" s="1"/>
  <c r="E577" i="17" s="1"/>
  <c r="D578" i="17" a="1"/>
  <c r="D578" i="17" s="1"/>
  <c r="E578" i="17" s="1"/>
  <c r="D604" i="17" a="1"/>
  <c r="D604" i="17" s="1"/>
  <c r="E604" i="17" s="1"/>
  <c r="D591" i="17" a="1"/>
  <c r="D591" i="17" s="1"/>
  <c r="E591" i="17" s="1"/>
  <c r="D586" i="17" a="1"/>
  <c r="D586" i="17" s="1"/>
  <c r="E586" i="17" s="1"/>
  <c r="D590" i="17" a="1"/>
  <c r="D590" i="17" s="1"/>
  <c r="E590" i="17" s="1"/>
  <c r="D587" i="17" a="1"/>
  <c r="D587" i="17" s="1"/>
  <c r="E587" i="17" s="1"/>
  <c r="D576" i="17" a="1"/>
  <c r="D576" i="17" s="1"/>
  <c r="E576" i="17" s="1"/>
  <c r="D572" i="17" a="1"/>
  <c r="D572" i="17" s="1"/>
  <c r="E572" i="17" s="1"/>
  <c r="D583" i="17" a="1"/>
  <c r="D583" i="17" s="1"/>
  <c r="E583" i="17" s="1"/>
  <c r="D582" i="17" a="1"/>
  <c r="D582" i="17" s="1"/>
  <c r="E582" i="17" s="1"/>
  <c r="D581" i="17" a="1"/>
  <c r="D581" i="17" s="1"/>
  <c r="E581" i="17" s="1"/>
  <c r="D593" i="17" a="1"/>
  <c r="D593" i="17" s="1"/>
  <c r="E593" i="17" s="1"/>
  <c r="D599" i="17" a="1"/>
  <c r="D599" i="17" s="1"/>
  <c r="E599" i="17" s="1"/>
  <c r="D585" i="17" a="1"/>
  <c r="D585" i="17" s="1"/>
  <c r="E585" i="17" s="1"/>
  <c r="D594" i="17" a="1"/>
  <c r="D594" i="17" s="1"/>
  <c r="E594" i="17" s="1"/>
  <c r="D596" i="17" a="1"/>
  <c r="D596" i="17" s="1"/>
  <c r="E596" i="17" s="1"/>
  <c r="D580" i="17" a="1"/>
  <c r="D580" i="17" s="1"/>
  <c r="E580" i="17" s="1"/>
  <c r="D598" i="17" a="1"/>
  <c r="D598" i="17" s="1"/>
  <c r="E598" i="17" s="1"/>
  <c r="D601" i="17" a="1"/>
  <c r="D601" i="17" s="1"/>
  <c r="E601" i="17" s="1"/>
  <c r="D627" i="17" a="1"/>
  <c r="D627" i="17" s="1"/>
  <c r="E627" i="17" s="1"/>
  <c r="D589" i="17" a="1"/>
  <c r="D589" i="17" s="1"/>
  <c r="E589" i="17" s="1"/>
  <c r="D588" i="17" a="1"/>
  <c r="D588" i="17" s="1"/>
  <c r="E588" i="17" s="1"/>
  <c r="D608" i="17" a="1"/>
  <c r="D608" i="17" s="1"/>
  <c r="E608" i="17" s="1"/>
  <c r="D606" i="17" a="1"/>
  <c r="D606" i="17" s="1"/>
  <c r="E606" i="17" s="1"/>
  <c r="D600" i="17" a="1"/>
  <c r="D600" i="17" s="1"/>
  <c r="E600" i="17" s="1"/>
  <c r="D605" i="17" a="1"/>
  <c r="D605" i="17" s="1"/>
  <c r="E605" i="17" s="1"/>
  <c r="D597" i="17" a="1"/>
  <c r="D597" i="17" s="1"/>
  <c r="E597" i="17" s="1"/>
  <c r="D595" i="17" a="1"/>
  <c r="D595" i="17" s="1"/>
  <c r="E595" i="17" s="1"/>
  <c r="D631" i="17" a="1"/>
  <c r="D631" i="17" s="1"/>
  <c r="E631" i="17" s="1"/>
  <c r="D607" i="17" a="1"/>
  <c r="D607" i="17" s="1"/>
  <c r="E607" i="17" s="1"/>
  <c r="D592" i="17" a="1"/>
  <c r="D592" i="17" s="1"/>
  <c r="E592" i="17" s="1"/>
  <c r="D620" i="17" a="1"/>
  <c r="D620" i="17" s="1"/>
  <c r="E620" i="17" s="1"/>
  <c r="D602" i="17" a="1"/>
  <c r="D602" i="17" s="1"/>
  <c r="E602" i="17" s="1"/>
  <c r="D610" i="17" a="1"/>
  <c r="D610" i="17" s="1"/>
  <c r="E610" i="17" s="1"/>
  <c r="D611" i="17" a="1"/>
  <c r="D611" i="17" s="1"/>
  <c r="E611" i="17" s="1"/>
  <c r="D609" i="17" a="1"/>
  <c r="D609" i="17" s="1"/>
  <c r="E609" i="17" s="1"/>
  <c r="D618" i="17" a="1"/>
  <c r="D618" i="17" s="1"/>
  <c r="E618" i="17" s="1"/>
  <c r="D603" i="17" a="1"/>
  <c r="D603" i="17" s="1"/>
  <c r="E603" i="17" s="1"/>
  <c r="D614" i="17" a="1"/>
  <c r="D614" i="17" s="1"/>
  <c r="E614" i="17" s="1"/>
  <c r="D613" i="17" a="1"/>
  <c r="D613" i="17" s="1"/>
  <c r="E613" i="17" s="1"/>
  <c r="D636" i="17" a="1"/>
  <c r="D636" i="17" s="1"/>
  <c r="E636" i="17" s="1"/>
  <c r="D612" i="17" a="1"/>
  <c r="D612" i="17" s="1"/>
  <c r="E612" i="17" s="1"/>
  <c r="D623" i="17" a="1"/>
  <c r="D623" i="17" s="1"/>
  <c r="E623" i="17" s="1"/>
  <c r="D622" i="17" a="1"/>
  <c r="D622" i="17" s="1"/>
  <c r="E622" i="17" s="1"/>
  <c r="D630" i="17" a="1"/>
  <c r="D630" i="17" s="1"/>
  <c r="E630" i="17" s="1"/>
  <c r="D615" i="17" a="1"/>
  <c r="D615" i="17" s="1"/>
  <c r="E615" i="17" s="1"/>
  <c r="D616" i="17" a="1"/>
  <c r="D616" i="17" s="1"/>
  <c r="E616" i="17" s="1"/>
  <c r="D629" i="17" a="1"/>
  <c r="D629" i="17" s="1"/>
  <c r="E629" i="17" s="1"/>
  <c r="D617" i="17" a="1"/>
  <c r="D617" i="17" s="1"/>
  <c r="E617" i="17" s="1"/>
  <c r="D625" i="17" a="1"/>
  <c r="D625" i="17" s="1"/>
  <c r="E625" i="17" s="1"/>
  <c r="D626" i="17" a="1"/>
  <c r="D626" i="17" s="1"/>
  <c r="E626" i="17" s="1"/>
  <c r="D619" i="17" a="1"/>
  <c r="D619" i="17" s="1"/>
  <c r="E619" i="17" s="1"/>
  <c r="D624" i="17" a="1"/>
  <c r="D624" i="17" s="1"/>
  <c r="E624" i="17" s="1"/>
  <c r="D628" i="17" a="1"/>
  <c r="D628" i="17" s="1"/>
  <c r="E628" i="17" s="1"/>
  <c r="D621" i="17" a="1"/>
  <c r="D621" i="17" s="1"/>
  <c r="E621" i="17" s="1"/>
  <c r="D640" i="17" a="1"/>
  <c r="D640" i="17" s="1"/>
  <c r="E640" i="17" s="1"/>
  <c r="D641" i="17" a="1"/>
  <c r="D641" i="17" s="1"/>
  <c r="E641" i="17" s="1"/>
  <c r="D639" i="17" a="1"/>
  <c r="D639" i="17" s="1"/>
  <c r="E639" i="17" s="1"/>
  <c r="D650" i="17" a="1"/>
  <c r="D650" i="17" s="1"/>
  <c r="E650" i="17" s="1"/>
  <c r="D646" i="17" a="1"/>
  <c r="D646" i="17" s="1"/>
  <c r="E646" i="17" s="1"/>
  <c r="D635" i="17" a="1"/>
  <c r="D635" i="17" s="1"/>
  <c r="E635" i="17" s="1"/>
  <c r="D634" i="17" a="1"/>
  <c r="D634" i="17" s="1"/>
  <c r="E634" i="17" s="1"/>
  <c r="D647" i="17" a="1"/>
  <c r="D647" i="17" s="1"/>
  <c r="E647" i="17" s="1"/>
  <c r="D633" i="17" a="1"/>
  <c r="D633" i="17" s="1"/>
  <c r="E633" i="17" s="1"/>
  <c r="D637" i="17" a="1"/>
  <c r="D637" i="17" s="1"/>
  <c r="E637" i="17" s="1"/>
  <c r="D632" i="17" a="1"/>
  <c r="D632" i="17" s="1"/>
  <c r="E632" i="17" s="1"/>
  <c r="D649" i="17" a="1"/>
  <c r="D649" i="17" s="1"/>
  <c r="E649" i="17" s="1"/>
  <c r="D642" i="17" a="1"/>
  <c r="D642" i="17" s="1"/>
  <c r="E642" i="17" s="1"/>
  <c r="D638" i="17" a="1"/>
  <c r="D638" i="17" s="1"/>
  <c r="E638" i="17" s="1"/>
  <c r="D653" i="17" a="1"/>
  <c r="D653" i="17" s="1"/>
  <c r="E653" i="17" s="1"/>
  <c r="D644" i="17" a="1"/>
  <c r="D644" i="17" s="1"/>
  <c r="E644" i="17" s="1"/>
  <c r="D673" i="17" a="1"/>
  <c r="D673" i="17" s="1"/>
  <c r="E673" i="17" s="1"/>
  <c r="D662" i="17" a="1"/>
  <c r="D662" i="17" s="1"/>
  <c r="E662" i="17" s="1"/>
  <c r="D670" i="17" a="1"/>
  <c r="D670" i="17" s="1"/>
  <c r="E670" i="17" s="1"/>
  <c r="D654" i="17" a="1"/>
  <c r="D654" i="17" s="1"/>
  <c r="E654" i="17" s="1"/>
  <c r="D658" i="17" a="1"/>
  <c r="D658" i="17" s="1"/>
  <c r="E658" i="17" s="1"/>
  <c r="D651" i="17" a="1"/>
  <c r="D651" i="17" s="1"/>
  <c r="E651" i="17" s="1"/>
  <c r="D648" i="17" a="1"/>
  <c r="D648" i="17" s="1"/>
  <c r="E648" i="17" s="1"/>
  <c r="D655" i="17" a="1"/>
  <c r="D655" i="17" s="1"/>
  <c r="E655" i="17" s="1"/>
  <c r="D643" i="17" a="1"/>
  <c r="D643" i="17" s="1"/>
  <c r="E643" i="17" s="1"/>
  <c r="D691" i="17" a="1"/>
  <c r="D691" i="17" s="1"/>
  <c r="E691" i="17" s="1"/>
  <c r="D645" i="17" a="1"/>
  <c r="D645" i="17" s="1"/>
  <c r="E645" i="17" s="1"/>
  <c r="D659" i="17" a="1"/>
  <c r="D659" i="17" s="1"/>
  <c r="E659" i="17" s="1"/>
  <c r="D671" i="17" a="1"/>
  <c r="D671" i="17" s="1"/>
  <c r="E671" i="17" s="1"/>
  <c r="D660" i="17" a="1"/>
  <c r="D660" i="17" s="1"/>
  <c r="E660" i="17" s="1"/>
  <c r="D668" i="17" a="1"/>
  <c r="D668" i="17" s="1"/>
  <c r="E668" i="17" s="1"/>
  <c r="D657" i="17" a="1"/>
  <c r="D657" i="17" s="1"/>
  <c r="E657" i="17" s="1"/>
  <c r="D661" i="17" a="1"/>
  <c r="D661" i="17" s="1"/>
  <c r="E661" i="17" s="1"/>
  <c r="D652" i="17" a="1"/>
  <c r="D652" i="17" s="1"/>
  <c r="E652" i="17" s="1"/>
  <c r="D665" i="17" a="1"/>
  <c r="D665" i="17" s="1"/>
  <c r="E665" i="17" s="1"/>
  <c r="D697" i="17" a="1"/>
  <c r="D697" i="17" s="1"/>
  <c r="E697" i="17" s="1"/>
  <c r="D675" i="17" a="1"/>
  <c r="D675" i="17" s="1"/>
  <c r="E675" i="17" s="1"/>
  <c r="D667" i="17" a="1"/>
  <c r="D667" i="17" s="1"/>
  <c r="E667" i="17" s="1"/>
  <c r="D656" i="17" a="1"/>
  <c r="D656" i="17" s="1"/>
  <c r="E656" i="17" s="1"/>
  <c r="D705" i="17" a="1"/>
  <c r="D705" i="17" s="1"/>
  <c r="E705" i="17" s="1"/>
  <c r="D681" i="17" a="1"/>
  <c r="D681" i="17" s="1"/>
  <c r="E681" i="17" s="1"/>
  <c r="D674" i="17" a="1"/>
  <c r="D674" i="17" s="1"/>
  <c r="E674" i="17" s="1"/>
  <c r="D664" i="17" a="1"/>
  <c r="D664" i="17" s="1"/>
  <c r="E664" i="17" s="1"/>
  <c r="D666" i="17" a="1"/>
  <c r="D666" i="17" s="1"/>
  <c r="E666" i="17" s="1"/>
  <c r="D683" i="17" a="1"/>
  <c r="D683" i="17" s="1"/>
  <c r="E683" i="17" s="1"/>
  <c r="D680" i="17" a="1"/>
  <c r="D680" i="17" s="1"/>
  <c r="E680" i="17" s="1"/>
  <c r="D672" i="17" a="1"/>
  <c r="D672" i="17" s="1"/>
  <c r="E672" i="17" s="1"/>
  <c r="D679" i="17" a="1"/>
  <c r="D679" i="17" s="1"/>
  <c r="E679" i="17" s="1"/>
  <c r="D676" i="17" a="1"/>
  <c r="D676" i="17" s="1"/>
  <c r="E676" i="17" s="1"/>
  <c r="D687" i="17" a="1"/>
  <c r="D687" i="17" s="1"/>
  <c r="E687" i="17" s="1"/>
  <c r="D669" i="17" a="1"/>
  <c r="D669" i="17" s="1"/>
  <c r="E669" i="17" s="1"/>
  <c r="D677" i="17" a="1"/>
  <c r="D677" i="17" s="1"/>
  <c r="E677" i="17" s="1"/>
  <c r="D692" i="17" a="1"/>
  <c r="D692" i="17" s="1"/>
  <c r="E692" i="17" s="1"/>
  <c r="D663" i="17" a="1"/>
  <c r="D663" i="17" s="1"/>
  <c r="E663" i="17" s="1"/>
  <c r="D678" i="17" a="1"/>
  <c r="D678" i="17" s="1"/>
  <c r="E678" i="17" s="1"/>
  <c r="D684" i="17" a="1"/>
  <c r="D684" i="17" s="1"/>
  <c r="E684" i="17" s="1"/>
  <c r="D693" i="17" a="1"/>
  <c r="D693" i="17" s="1"/>
  <c r="E693" i="17" s="1"/>
  <c r="D688" i="17" a="1"/>
  <c r="D688" i="17" s="1"/>
  <c r="E688" i="17" s="1"/>
  <c r="D690" i="17" a="1"/>
  <c r="D690" i="17" s="1"/>
  <c r="E690" i="17" s="1"/>
  <c r="D686" i="17" a="1"/>
  <c r="D686" i="17" s="1"/>
  <c r="E686" i="17" s="1"/>
  <c r="D682" i="17" a="1"/>
  <c r="D682" i="17" s="1"/>
  <c r="E682" i="17" s="1"/>
  <c r="D685" i="17" a="1"/>
  <c r="D685" i="17" s="1"/>
  <c r="E685" i="17" s="1"/>
  <c r="D689" i="17" a="1"/>
  <c r="D689" i="17" s="1"/>
  <c r="E689" i="17" s="1"/>
  <c r="D696" i="17" a="1"/>
  <c r="D696" i="17" s="1"/>
  <c r="E696" i="17" s="1"/>
  <c r="D695" i="17" a="1"/>
  <c r="D695" i="17" s="1"/>
  <c r="E695" i="17" s="1"/>
  <c r="D948" i="28" a="1"/>
  <c r="D948" i="28" s="1"/>
  <c r="E948" i="28" s="1"/>
  <c r="I462" i="28"/>
  <c r="D900" i="28" a="1"/>
  <c r="D900" i="28" s="1"/>
  <c r="E900" i="28" s="1"/>
  <c r="D841" i="17" a="1"/>
  <c r="D841" i="17" s="1"/>
  <c r="E841" i="17" s="1"/>
  <c r="D727" i="28" a="1"/>
  <c r="D727" i="28" s="1"/>
  <c r="E727" i="28" s="1"/>
  <c r="D920" i="28" a="1"/>
  <c r="D920" i="28" s="1"/>
  <c r="E920" i="28" s="1"/>
  <c r="A111" i="16"/>
  <c r="B110" i="16"/>
  <c r="D110" i="16" a="1"/>
  <c r="D110" i="16" s="1"/>
  <c r="E110" i="16" s="1"/>
  <c r="D726" i="28" a="1"/>
  <c r="D726" i="28" s="1"/>
  <c r="E726" i="28" s="1"/>
  <c r="D749" i="28" a="1"/>
  <c r="D749" i="28" s="1"/>
  <c r="E749" i="28" s="1"/>
  <c r="F481" i="17"/>
  <c r="G481" i="17"/>
  <c r="K55" i="17" s="1"/>
  <c r="I107" i="27"/>
  <c r="D876" i="17" a="1"/>
  <c r="D876" i="17" s="1"/>
  <c r="E876" i="17" s="1"/>
  <c r="D753" i="17" a="1"/>
  <c r="D753" i="17" s="1"/>
  <c r="E753" i="17" s="1"/>
  <c r="D758" i="28" a="1"/>
  <c r="D758" i="28" s="1"/>
  <c r="E758" i="28" s="1"/>
  <c r="D761" i="17" a="1"/>
  <c r="D761" i="17" s="1"/>
  <c r="E761" i="17" s="1"/>
  <c r="D783" i="17" a="1"/>
  <c r="D783" i="17" s="1"/>
  <c r="E783" i="17" s="1"/>
  <c r="D763" i="17" a="1"/>
  <c r="D763" i="17" s="1"/>
  <c r="E763" i="17" s="1"/>
  <c r="D764" i="17" a="1"/>
  <c r="D764" i="17" s="1"/>
  <c r="E764" i="17" s="1"/>
  <c r="D771" i="17" a="1"/>
  <c r="D771" i="17" s="1"/>
  <c r="E771" i="17" s="1"/>
  <c r="D762" i="17" a="1"/>
  <c r="D762" i="17" s="1"/>
  <c r="E762" i="17" s="1"/>
  <c r="D778" i="17" a="1"/>
  <c r="D778" i="17" s="1"/>
  <c r="E778" i="17" s="1"/>
  <c r="D765" i="17" a="1"/>
  <c r="D765" i="17" s="1"/>
  <c r="E765" i="17" s="1"/>
  <c r="D768" i="17" a="1"/>
  <c r="D768" i="17" s="1"/>
  <c r="E768" i="17" s="1"/>
  <c r="D769" i="17" a="1"/>
  <c r="D769" i="17" s="1"/>
  <c r="E769" i="17" s="1"/>
  <c r="D766" i="17" a="1"/>
  <c r="D766" i="17" s="1"/>
  <c r="E766" i="17" s="1"/>
  <c r="D770" i="17" a="1"/>
  <c r="D770" i="17" s="1"/>
  <c r="E770" i="17" s="1"/>
  <c r="D767" i="17" a="1"/>
  <c r="D767" i="17" s="1"/>
  <c r="E767" i="17" s="1"/>
  <c r="D790" i="17" a="1"/>
  <c r="D790" i="17" s="1"/>
  <c r="E790" i="17" s="1"/>
  <c r="D773" i="17" a="1"/>
  <c r="D773" i="17" s="1"/>
  <c r="E773" i="17" s="1"/>
  <c r="D789" i="17" a="1"/>
  <c r="D789" i="17" s="1"/>
  <c r="E789" i="17" s="1"/>
  <c r="D777" i="17" a="1"/>
  <c r="D777" i="17" s="1"/>
  <c r="E777" i="17" s="1"/>
  <c r="D788" i="17" a="1"/>
  <c r="D788" i="17" s="1"/>
  <c r="E788" i="17" s="1"/>
  <c r="D784" i="17" a="1"/>
  <c r="D784" i="17" s="1"/>
  <c r="E784" i="17" s="1"/>
  <c r="D786" i="17" a="1"/>
  <c r="D786" i="17" s="1"/>
  <c r="E786" i="17" s="1"/>
  <c r="D794" i="17" a="1"/>
  <c r="D794" i="17" s="1"/>
  <c r="E794" i="17" s="1"/>
  <c r="D775" i="17" a="1"/>
  <c r="D775" i="17" s="1"/>
  <c r="E775" i="17" s="1"/>
  <c r="D772" i="17" a="1"/>
  <c r="D772" i="17" s="1"/>
  <c r="E772" i="17" s="1"/>
  <c r="D796" i="17" a="1"/>
  <c r="D796" i="17" s="1"/>
  <c r="E796" i="17" s="1"/>
  <c r="D779" i="17" a="1"/>
  <c r="D779" i="17" s="1"/>
  <c r="E779" i="17" s="1"/>
  <c r="D781" i="17" a="1"/>
  <c r="D781" i="17" s="1"/>
  <c r="E781" i="17" s="1"/>
  <c r="D799" i="17" a="1"/>
  <c r="D799" i="17" s="1"/>
  <c r="E799" i="17" s="1"/>
  <c r="D774" i="17" a="1"/>
  <c r="D774" i="17" s="1"/>
  <c r="E774" i="17" s="1"/>
  <c r="D780" i="17" a="1"/>
  <c r="D780" i="17" s="1"/>
  <c r="E780" i="17" s="1"/>
  <c r="D797" i="17" a="1"/>
  <c r="D797" i="17" s="1"/>
  <c r="E797" i="17" s="1"/>
  <c r="D776" i="17" a="1"/>
  <c r="D776" i="17" s="1"/>
  <c r="E776" i="17" s="1"/>
  <c r="D792" i="17" a="1"/>
  <c r="D792" i="17" s="1"/>
  <c r="E792" i="17" s="1"/>
  <c r="D787" i="17" a="1"/>
  <c r="D787" i="17" s="1"/>
  <c r="E787" i="17" s="1"/>
  <c r="D798" i="17" a="1"/>
  <c r="D798" i="17" s="1"/>
  <c r="E798" i="17" s="1"/>
  <c r="D791" i="17" a="1"/>
  <c r="D791" i="17" s="1"/>
  <c r="E791" i="17" s="1"/>
  <c r="D782" i="17" a="1"/>
  <c r="D782" i="17" s="1"/>
  <c r="E782" i="17" s="1"/>
  <c r="D800" i="17" a="1"/>
  <c r="D800" i="17" s="1"/>
  <c r="E800" i="17" s="1"/>
  <c r="D785" i="17" a="1"/>
  <c r="D785" i="17" s="1"/>
  <c r="E785" i="17" s="1"/>
  <c r="D801" i="17" a="1"/>
  <c r="D801" i="17" s="1"/>
  <c r="E801" i="17" s="1"/>
  <c r="D802" i="17" a="1"/>
  <c r="D802" i="17" s="1"/>
  <c r="E802" i="17" s="1"/>
  <c r="D806" i="17" a="1"/>
  <c r="D806" i="17" s="1"/>
  <c r="E806" i="17" s="1"/>
  <c r="D807" i="17" a="1"/>
  <c r="D807" i="17" s="1"/>
  <c r="E807" i="17" s="1"/>
  <c r="D810" i="17" a="1"/>
  <c r="D810" i="17" s="1"/>
  <c r="E810" i="17" s="1"/>
  <c r="D793" i="17" a="1"/>
  <c r="D793" i="17" s="1"/>
  <c r="E793" i="17" s="1"/>
  <c r="D805" i="17" a="1"/>
  <c r="D805" i="17" s="1"/>
  <c r="E805" i="17" s="1"/>
  <c r="D803" i="17" a="1"/>
  <c r="D803" i="17" s="1"/>
  <c r="E803" i="17" s="1"/>
  <c r="D808" i="17" a="1"/>
  <c r="D808" i="17" s="1"/>
  <c r="E808" i="17" s="1"/>
  <c r="D818" i="17" a="1"/>
  <c r="D818" i="17" s="1"/>
  <c r="E818" i="17" s="1"/>
  <c r="D811" i="17" a="1"/>
  <c r="D811" i="17" s="1"/>
  <c r="E811" i="17" s="1"/>
  <c r="D795" i="17" a="1"/>
  <c r="D795" i="17" s="1"/>
  <c r="E795" i="17" s="1"/>
  <c r="D804" i="17" a="1"/>
  <c r="D804" i="17" s="1"/>
  <c r="E804" i="17" s="1"/>
  <c r="D809" i="17" a="1"/>
  <c r="D809" i="17" s="1"/>
  <c r="E809" i="17" s="1"/>
  <c r="D817" i="17" a="1"/>
  <c r="D817" i="17" s="1"/>
  <c r="E817" i="17" s="1"/>
  <c r="D820" i="17" a="1"/>
  <c r="D820" i="17" s="1"/>
  <c r="E820" i="17" s="1"/>
  <c r="D813" i="17" a="1"/>
  <c r="D813" i="17" s="1"/>
  <c r="E813" i="17" s="1"/>
  <c r="D827" i="17" a="1"/>
  <c r="D827" i="17" s="1"/>
  <c r="E827" i="17" s="1"/>
  <c r="D815" i="17" a="1"/>
  <c r="D815" i="17" s="1"/>
  <c r="E815" i="17" s="1"/>
  <c r="D826" i="17" a="1"/>
  <c r="D826" i="17" s="1"/>
  <c r="E826" i="17" s="1"/>
  <c r="D819" i="17" a="1"/>
  <c r="D819" i="17" s="1"/>
  <c r="E819" i="17" s="1"/>
  <c r="D832" i="17" a="1"/>
  <c r="D832" i="17" s="1"/>
  <c r="E832" i="17" s="1"/>
  <c r="D816" i="17" a="1"/>
  <c r="D816" i="17" s="1"/>
  <c r="E816" i="17" s="1"/>
  <c r="D829" i="17" a="1"/>
  <c r="D829" i="17" s="1"/>
  <c r="E829" i="17" s="1"/>
  <c r="D814" i="17" a="1"/>
  <c r="D814" i="17" s="1"/>
  <c r="E814" i="17" s="1"/>
  <c r="D828" i="17" a="1"/>
  <c r="D828" i="17" s="1"/>
  <c r="E828" i="17" s="1"/>
  <c r="D822" i="17" a="1"/>
  <c r="D822" i="17" s="1"/>
  <c r="E822" i="17" s="1"/>
  <c r="D812" i="17" a="1"/>
  <c r="D812" i="17" s="1"/>
  <c r="E812" i="17" s="1"/>
  <c r="D824" i="17" a="1"/>
  <c r="D824" i="17" s="1"/>
  <c r="E824" i="17" s="1"/>
  <c r="D821" i="17" a="1"/>
  <c r="D821" i="17" s="1"/>
  <c r="E821" i="17" s="1"/>
  <c r="D825" i="17" a="1"/>
  <c r="D825" i="17" s="1"/>
  <c r="E825" i="17" s="1"/>
  <c r="D831" i="17" a="1"/>
  <c r="D831" i="17" s="1"/>
  <c r="E831" i="17" s="1"/>
  <c r="D839" i="17" a="1"/>
  <c r="D839" i="17" s="1"/>
  <c r="E839" i="17" s="1"/>
  <c r="D754" i="17" a="1"/>
  <c r="D754" i="17" s="1"/>
  <c r="E754" i="17" s="1"/>
  <c r="D759" i="17" a="1"/>
  <c r="D759" i="17" s="1"/>
  <c r="E759" i="17" s="1"/>
  <c r="D985" i="28" a="1"/>
  <c r="D985" i="28" s="1"/>
  <c r="E985" i="28" s="1"/>
  <c r="D995" i="17" a="1"/>
  <c r="D995" i="17" s="1"/>
  <c r="E995" i="17" s="1"/>
  <c r="D974" i="17" a="1"/>
  <c r="D974" i="17" s="1"/>
  <c r="E974" i="17" s="1"/>
  <c r="D992" i="28" a="1"/>
  <c r="D992" i="28" s="1"/>
  <c r="E992" i="28" s="1"/>
  <c r="D994" i="28" a="1"/>
  <c r="D994" i="28" s="1"/>
  <c r="E994" i="28" s="1"/>
  <c r="D980" i="17" a="1"/>
  <c r="D980" i="17" s="1"/>
  <c r="E980" i="17" s="1"/>
  <c r="D1007" i="28" a="1"/>
  <c r="D1005" i="28" a="1"/>
  <c r="D974" i="28" a="1"/>
  <c r="D974" i="28" s="1"/>
  <c r="E974" i="28" s="1"/>
  <c r="D991" i="17" a="1"/>
  <c r="D991" i="17" s="1"/>
  <c r="E991" i="17" s="1"/>
  <c r="D988" i="17" a="1"/>
  <c r="D988" i="17" s="1"/>
  <c r="E988" i="17" s="1"/>
  <c r="D1004" i="28" a="1"/>
  <c r="D999" i="28" a="1"/>
  <c r="D999" i="28" s="1"/>
  <c r="E999" i="28" s="1"/>
  <c r="D982" i="17" a="1"/>
  <c r="D982" i="17" s="1"/>
  <c r="E982" i="17" s="1"/>
  <c r="D1007" i="17" a="1"/>
  <c r="D1000" i="17" a="1"/>
  <c r="D1000" i="17" s="1"/>
  <c r="E1000" i="17" s="1"/>
  <c r="D992" i="17" a="1"/>
  <c r="D992" i="17" s="1"/>
  <c r="E992" i="17" s="1"/>
  <c r="D945" i="17" a="1"/>
  <c r="D945" i="17" s="1"/>
  <c r="E945" i="17" s="1"/>
  <c r="D934" i="17" a="1"/>
  <c r="D934" i="17" s="1"/>
  <c r="E934" i="17" s="1"/>
  <c r="D829" i="28" a="1"/>
  <c r="D829" i="28" s="1"/>
  <c r="E829" i="28" s="1"/>
  <c r="D970" i="28" a="1"/>
  <c r="D970" i="28" s="1"/>
  <c r="E970" i="28" s="1"/>
  <c r="D908" i="17" a="1"/>
  <c r="D908" i="17" s="1"/>
  <c r="E908" i="17" s="1"/>
  <c r="D735" i="17" a="1"/>
  <c r="D735" i="17" s="1"/>
  <c r="E735" i="17" s="1"/>
  <c r="D742" i="28" a="1"/>
  <c r="D742" i="28" s="1"/>
  <c r="E742" i="28" s="1"/>
  <c r="D922" i="17" a="1"/>
  <c r="D922" i="17" s="1"/>
  <c r="E922" i="17" s="1"/>
  <c r="D849" i="17" a="1"/>
  <c r="D849" i="17" s="1"/>
  <c r="E849" i="17" s="1"/>
  <c r="D720" i="17" a="1"/>
  <c r="D720" i="17" s="1"/>
  <c r="E720" i="17" s="1"/>
  <c r="D857" i="17" a="1"/>
  <c r="D857" i="17" s="1"/>
  <c r="E857" i="17" s="1"/>
  <c r="D722" i="17" a="1"/>
  <c r="D722" i="17" s="1"/>
  <c r="E722" i="17" s="1"/>
  <c r="D840" i="17" a="1"/>
  <c r="D840" i="17" s="1"/>
  <c r="E840" i="17" s="1"/>
  <c r="D833" i="17" a="1"/>
  <c r="D833" i="17" s="1"/>
  <c r="E833" i="17" s="1"/>
  <c r="D860" i="17" a="1"/>
  <c r="D860" i="17" s="1"/>
  <c r="E860" i="17" s="1"/>
  <c r="D896" i="17" a="1"/>
  <c r="D896" i="17" s="1"/>
  <c r="E896" i="17" s="1"/>
  <c r="D718" i="17" a="1"/>
  <c r="D718" i="17" s="1"/>
  <c r="E718" i="17" s="1"/>
  <c r="D894" i="17" a="1"/>
  <c r="D894" i="17" s="1"/>
  <c r="E894" i="17" s="1"/>
  <c r="D712" i="17" a="1"/>
  <c r="D712" i="17" s="1"/>
  <c r="E712" i="17" s="1"/>
  <c r="D701" i="17" a="1"/>
  <c r="D701" i="17" s="1"/>
  <c r="E701" i="17" s="1"/>
  <c r="G478" i="17"/>
  <c r="F478" i="17"/>
  <c r="D914" i="28" a="1"/>
  <c r="D914" i="28" s="1"/>
  <c r="E914" i="28" s="1"/>
  <c r="D839" i="28" a="1"/>
  <c r="D839" i="28" s="1"/>
  <c r="E839" i="28" s="1"/>
  <c r="D716" i="28" a="1"/>
  <c r="D716" i="28" s="1"/>
  <c r="E716" i="28" s="1"/>
  <c r="D849" i="28" a="1"/>
  <c r="D849" i="28" s="1"/>
  <c r="E849" i="28" s="1"/>
  <c r="D838" i="28" a="1"/>
  <c r="D838" i="28" s="1"/>
  <c r="E838" i="28" s="1"/>
  <c r="D910" i="28" a="1"/>
  <c r="D910" i="28" s="1"/>
  <c r="E910" i="28" s="1"/>
  <c r="D925" i="28" a="1"/>
  <c r="D925" i="28" s="1"/>
  <c r="E925" i="28" s="1"/>
  <c r="D715" i="28" a="1"/>
  <c r="D715" i="28" s="1"/>
  <c r="E715" i="28" s="1"/>
  <c r="D730" i="28" a="1"/>
  <c r="D730" i="28" s="1"/>
  <c r="E730" i="28" s="1"/>
  <c r="D841" i="28" a="1"/>
  <c r="D841" i="28" s="1"/>
  <c r="E841" i="28" s="1"/>
  <c r="D846" i="28" a="1"/>
  <c r="D846" i="28" s="1"/>
  <c r="E846" i="28" s="1"/>
  <c r="D915" i="28" a="1"/>
  <c r="D915" i="28" s="1"/>
  <c r="E915" i="28" s="1"/>
  <c r="D911" i="28" a="1"/>
  <c r="D911" i="28" s="1"/>
  <c r="E911" i="28" s="1"/>
  <c r="D928" i="28" a="1"/>
  <c r="D928" i="28" s="1"/>
  <c r="E928" i="28" s="1"/>
  <c r="D870" i="17" a="1"/>
  <c r="D870" i="17" s="1"/>
  <c r="E870" i="17" s="1"/>
  <c r="I462" i="17"/>
  <c r="D877" i="28" a="1"/>
  <c r="D877" i="28" s="1"/>
  <c r="E877" i="28" s="1"/>
  <c r="D879" i="28" a="1"/>
  <c r="D879" i="28" s="1"/>
  <c r="E879" i="28" s="1"/>
  <c r="D887" i="17" a="1"/>
  <c r="D887" i="17" s="1"/>
  <c r="E887" i="17" s="1"/>
  <c r="D885" i="28" a="1"/>
  <c r="D885" i="28" s="1"/>
  <c r="E885" i="28" s="1"/>
  <c r="D882" i="28" a="1"/>
  <c r="D882" i="28" s="1"/>
  <c r="E882" i="28" s="1"/>
  <c r="D885" i="17" a="1"/>
  <c r="D885" i="17" s="1"/>
  <c r="E885" i="17" s="1"/>
  <c r="D891" i="28" a="1"/>
  <c r="D891" i="28" s="1"/>
  <c r="E891" i="28" s="1"/>
  <c r="D946" i="28" a="1"/>
  <c r="D946" i="28" s="1"/>
  <c r="E946" i="28" s="1"/>
  <c r="F479" i="17"/>
  <c r="G479" i="17"/>
  <c r="F480" i="28"/>
  <c r="G480" i="28"/>
  <c r="B109" i="27"/>
  <c r="A110" i="27"/>
  <c r="D109" i="27" a="1"/>
  <c r="D109" i="27" s="1"/>
  <c r="E109" i="27" s="1"/>
  <c r="I471" i="17"/>
  <c r="D961" i="28" a="1"/>
  <c r="D961" i="28" s="1"/>
  <c r="E961" i="28" s="1"/>
  <c r="D960" i="28" a="1"/>
  <c r="D960" i="28" s="1"/>
  <c r="E960" i="28" s="1"/>
  <c r="D956" i="17" a="1"/>
  <c r="D956" i="17" s="1"/>
  <c r="E956" i="17" s="1"/>
  <c r="D959" i="28" a="1"/>
  <c r="D959" i="28" s="1"/>
  <c r="E959" i="28" s="1"/>
  <c r="D968" i="17" a="1"/>
  <c r="D968" i="17" s="1"/>
  <c r="E968" i="17" s="1"/>
  <c r="G481" i="28"/>
  <c r="F481" i="28"/>
  <c r="I473" i="28"/>
  <c r="C57" i="16"/>
  <c r="H56" i="16"/>
  <c r="D486" i="17" a="1"/>
  <c r="D486" i="17" s="1"/>
  <c r="E486" i="17" s="1"/>
  <c r="D491" i="28" a="1"/>
  <c r="D491" i="28" s="1"/>
  <c r="E491" i="28" s="1"/>
  <c r="D508" i="28" a="1"/>
  <c r="D508" i="28" s="1"/>
  <c r="E508" i="28" s="1"/>
  <c r="D514" i="28" a="1"/>
  <c r="D514" i="28" s="1"/>
  <c r="E514" i="28" s="1"/>
  <c r="D496" i="28" a="1"/>
  <c r="D496" i="28" s="1"/>
  <c r="E496" i="28" s="1"/>
  <c r="D494" i="28" a="1"/>
  <c r="D494" i="28" s="1"/>
  <c r="E494" i="28" s="1"/>
  <c r="D493" i="28" a="1"/>
  <c r="D493" i="28" s="1"/>
  <c r="E493" i="28" s="1"/>
  <c r="D500" i="28" a="1"/>
  <c r="D500" i="28" s="1"/>
  <c r="E500" i="28" s="1"/>
  <c r="D527" i="28" a="1"/>
  <c r="D527" i="28" s="1"/>
  <c r="E527" i="28" s="1"/>
  <c r="D497" i="28" a="1"/>
  <c r="D497" i="28" s="1"/>
  <c r="E497" i="28" s="1"/>
  <c r="D504" i="28" a="1"/>
  <c r="D504" i="28" s="1"/>
  <c r="E504" i="28" s="1"/>
  <c r="D498" i="28" a="1"/>
  <c r="D498" i="28" s="1"/>
  <c r="E498" i="28" s="1"/>
  <c r="D492" i="28" a="1"/>
  <c r="D492" i="28" s="1"/>
  <c r="E492" i="28" s="1"/>
  <c r="D502" i="28" a="1"/>
  <c r="D502" i="28" s="1"/>
  <c r="E502" i="28" s="1"/>
  <c r="D503" i="28" a="1"/>
  <c r="D503" i="28" s="1"/>
  <c r="E503" i="28" s="1"/>
  <c r="D499" i="28" a="1"/>
  <c r="D499" i="28" s="1"/>
  <c r="E499" i="28" s="1"/>
  <c r="D507" i="28" a="1"/>
  <c r="D507" i="28" s="1"/>
  <c r="E507" i="28" s="1"/>
  <c r="D495" i="28" a="1"/>
  <c r="D495" i="28" s="1"/>
  <c r="E495" i="28" s="1"/>
  <c r="D501" i="28" a="1"/>
  <c r="D501" i="28" s="1"/>
  <c r="E501" i="28" s="1"/>
  <c r="D520" i="28" a="1"/>
  <c r="D520" i="28" s="1"/>
  <c r="E520" i="28" s="1"/>
  <c r="D525" i="28" a="1"/>
  <c r="D525" i="28" s="1"/>
  <c r="E525" i="28" s="1"/>
  <c r="D515" i="28" a="1"/>
  <c r="D515" i="28" s="1"/>
  <c r="E515" i="28" s="1"/>
  <c r="D519" i="28" a="1"/>
  <c r="D519" i="28" s="1"/>
  <c r="E519" i="28" s="1"/>
  <c r="D521" i="28" a="1"/>
  <c r="D521" i="28" s="1"/>
  <c r="E521" i="28" s="1"/>
  <c r="D536" i="28" a="1"/>
  <c r="D536" i="28" s="1"/>
  <c r="E536" i="28" s="1"/>
  <c r="D524" i="28" a="1"/>
  <c r="D524" i="28" s="1"/>
  <c r="E524" i="28" s="1"/>
  <c r="D511" i="28" a="1"/>
  <c r="D511" i="28" s="1"/>
  <c r="E511" i="28" s="1"/>
  <c r="D510" i="28" a="1"/>
  <c r="D510" i="28" s="1"/>
  <c r="E510" i="28" s="1"/>
  <c r="D529" i="28" a="1"/>
  <c r="D529" i="28" s="1"/>
  <c r="E529" i="28" s="1"/>
  <c r="D509" i="28" a="1"/>
  <c r="D509" i="28" s="1"/>
  <c r="E509" i="28" s="1"/>
  <c r="D516" i="28" a="1"/>
  <c r="D516" i="28" s="1"/>
  <c r="E516" i="28" s="1"/>
  <c r="D505" i="28" a="1"/>
  <c r="D505" i="28" s="1"/>
  <c r="E505" i="28" s="1"/>
  <c r="D517" i="28" a="1"/>
  <c r="D517" i="28" s="1"/>
  <c r="E517" i="28" s="1"/>
  <c r="D506" i="28" a="1"/>
  <c r="D506" i="28" s="1"/>
  <c r="E506" i="28" s="1"/>
  <c r="D538" i="28" a="1"/>
  <c r="D538" i="28" s="1"/>
  <c r="E538" i="28" s="1"/>
  <c r="D530" i="28" a="1"/>
  <c r="D530" i="28" s="1"/>
  <c r="E530" i="28" s="1"/>
  <c r="D523" i="28" a="1"/>
  <c r="D523" i="28" s="1"/>
  <c r="E523" i="28" s="1"/>
  <c r="D518" i="28" a="1"/>
  <c r="D518" i="28" s="1"/>
  <c r="E518" i="28" s="1"/>
  <c r="D512" i="28" a="1"/>
  <c r="D512" i="28" s="1"/>
  <c r="E512" i="28" s="1"/>
  <c r="D513" i="28" a="1"/>
  <c r="D513" i="28" s="1"/>
  <c r="E513" i="28" s="1"/>
  <c r="D522" i="28" a="1"/>
  <c r="D522" i="28" s="1"/>
  <c r="E522" i="28" s="1"/>
  <c r="D533" i="28" a="1"/>
  <c r="D533" i="28" s="1"/>
  <c r="E533" i="28" s="1"/>
  <c r="D534" i="28" a="1"/>
  <c r="D534" i="28" s="1"/>
  <c r="E534" i="28" s="1"/>
  <c r="D532" i="28" a="1"/>
  <c r="D532" i="28" s="1"/>
  <c r="E532" i="28" s="1"/>
  <c r="D543" i="28" a="1"/>
  <c r="D543" i="28" s="1"/>
  <c r="E543" i="28" s="1"/>
  <c r="D528" i="28" a="1"/>
  <c r="D528" i="28" s="1"/>
  <c r="E528" i="28" s="1"/>
  <c r="D539" i="28" a="1"/>
  <c r="D539" i="28" s="1"/>
  <c r="E539" i="28" s="1"/>
  <c r="D531" i="28" a="1"/>
  <c r="D531" i="28" s="1"/>
  <c r="E531" i="28" s="1"/>
  <c r="D526" i="28" a="1"/>
  <c r="D526" i="28" s="1"/>
  <c r="E526" i="28" s="1"/>
  <c r="D541" i="28" a="1"/>
  <c r="D541" i="28" s="1"/>
  <c r="E541" i="28" s="1"/>
  <c r="D545" i="28" a="1"/>
  <c r="D545" i="28" s="1"/>
  <c r="E545" i="28" s="1"/>
  <c r="D535" i="28" a="1"/>
  <c r="D535" i="28" s="1"/>
  <c r="E535" i="28" s="1"/>
  <c r="D537" i="28" a="1"/>
  <c r="D537" i="28" s="1"/>
  <c r="E537" i="28" s="1"/>
  <c r="D564" i="28" a="1"/>
  <c r="D564" i="28" s="1"/>
  <c r="E564" i="28" s="1"/>
  <c r="D547" i="28" a="1"/>
  <c r="D547" i="28" s="1"/>
  <c r="E547" i="28" s="1"/>
  <c r="D540" i="28" a="1"/>
  <c r="D540" i="28" s="1"/>
  <c r="E540" i="28" s="1"/>
  <c r="D542" i="28" a="1"/>
  <c r="D542" i="28" s="1"/>
  <c r="E542" i="28" s="1"/>
  <c r="D555" i="28" a="1"/>
  <c r="D555" i="28" s="1"/>
  <c r="E555" i="28" s="1"/>
  <c r="D548" i="28" a="1"/>
  <c r="D548" i="28" s="1"/>
  <c r="E548" i="28" s="1"/>
  <c r="D562" i="28" a="1"/>
  <c r="D562" i="28" s="1"/>
  <c r="E562" i="28" s="1"/>
  <c r="D560" i="28" a="1"/>
  <c r="D560" i="28" s="1"/>
  <c r="E560" i="28" s="1"/>
  <c r="D551" i="28" a="1"/>
  <c r="D551" i="28" s="1"/>
  <c r="E551" i="28" s="1"/>
  <c r="D549" i="28" a="1"/>
  <c r="D549" i="28" s="1"/>
  <c r="E549" i="28" s="1"/>
  <c r="D546" i="28" a="1"/>
  <c r="D546" i="28" s="1"/>
  <c r="E546" i="28" s="1"/>
  <c r="D552" i="28" a="1"/>
  <c r="D552" i="28" s="1"/>
  <c r="E552" i="28" s="1"/>
  <c r="D544" i="28" a="1"/>
  <c r="D544" i="28" s="1"/>
  <c r="E544" i="28" s="1"/>
  <c r="D569" i="28" a="1"/>
  <c r="D569" i="28" s="1"/>
  <c r="E569" i="28" s="1"/>
  <c r="D550" i="28" a="1"/>
  <c r="D550" i="28" s="1"/>
  <c r="E550" i="28" s="1"/>
  <c r="D579" i="28" a="1"/>
  <c r="D579" i="28" s="1"/>
  <c r="E579" i="28" s="1"/>
  <c r="D574" i="28" a="1"/>
  <c r="D574" i="28" s="1"/>
  <c r="E574" i="28" s="1"/>
  <c r="D572" i="28" a="1"/>
  <c r="D572" i="28" s="1"/>
  <c r="E572" i="28" s="1"/>
  <c r="D570" i="28" a="1"/>
  <c r="D570" i="28" s="1"/>
  <c r="E570" i="28" s="1"/>
  <c r="D561" i="28" a="1"/>
  <c r="D561" i="28" s="1"/>
  <c r="E561" i="28" s="1"/>
  <c r="D566" i="28" a="1"/>
  <c r="D566" i="28" s="1"/>
  <c r="E566" i="28" s="1"/>
  <c r="D568" i="28" a="1"/>
  <c r="D568" i="28" s="1"/>
  <c r="E568" i="28" s="1"/>
  <c r="D571" i="28" a="1"/>
  <c r="D571" i="28" s="1"/>
  <c r="E571" i="28" s="1"/>
  <c r="D591" i="28" a="1"/>
  <c r="D591" i="28" s="1"/>
  <c r="E591" i="28" s="1"/>
  <c r="D557" i="28" a="1"/>
  <c r="D557" i="28" s="1"/>
  <c r="E557" i="28" s="1"/>
  <c r="D554" i="28" a="1"/>
  <c r="D554" i="28" s="1"/>
  <c r="E554" i="28" s="1"/>
  <c r="D567" i="28" a="1"/>
  <c r="D567" i="28" s="1"/>
  <c r="E567" i="28" s="1"/>
  <c r="D558" i="28" a="1"/>
  <c r="D558" i="28" s="1"/>
  <c r="E558" i="28" s="1"/>
  <c r="D559" i="28" a="1"/>
  <c r="D559" i="28" s="1"/>
  <c r="E559" i="28" s="1"/>
  <c r="D573" i="28" a="1"/>
  <c r="D573" i="28" s="1"/>
  <c r="E573" i="28" s="1"/>
  <c r="D553" i="28" a="1"/>
  <c r="D553" i="28" s="1"/>
  <c r="E553" i="28" s="1"/>
  <c r="D581" i="28" a="1"/>
  <c r="D581" i="28" s="1"/>
  <c r="E581" i="28" s="1"/>
  <c r="D556" i="28" a="1"/>
  <c r="D556" i="28" s="1"/>
  <c r="E556" i="28" s="1"/>
  <c r="D576" i="28" a="1"/>
  <c r="D576" i="28" s="1"/>
  <c r="E576" i="28" s="1"/>
  <c r="D563" i="28" a="1"/>
  <c r="D563" i="28" s="1"/>
  <c r="E563" i="28" s="1"/>
  <c r="D565" i="28" a="1"/>
  <c r="D565" i="28" s="1"/>
  <c r="E565" i="28" s="1"/>
  <c r="D587" i="28" a="1"/>
  <c r="D587" i="28" s="1"/>
  <c r="E587" i="28" s="1"/>
  <c r="D578" i="28" a="1"/>
  <c r="D578" i="28" s="1"/>
  <c r="E578" i="28" s="1"/>
  <c r="D583" i="28" a="1"/>
  <c r="D583" i="28" s="1"/>
  <c r="E583" i="28" s="1"/>
  <c r="D580" i="28" a="1"/>
  <c r="D580" i="28" s="1"/>
  <c r="E580" i="28" s="1"/>
  <c r="D585" i="28" a="1"/>
  <c r="D585" i="28" s="1"/>
  <c r="E585" i="28" s="1"/>
  <c r="D582" i="28" a="1"/>
  <c r="D582" i="28" s="1"/>
  <c r="E582" i="28" s="1"/>
  <c r="D598" i="28" a="1"/>
  <c r="D598" i="28" s="1"/>
  <c r="E598" i="28" s="1"/>
  <c r="D575" i="28" a="1"/>
  <c r="D575" i="28" s="1"/>
  <c r="E575" i="28" s="1"/>
  <c r="D589" i="28" a="1"/>
  <c r="D589" i="28" s="1"/>
  <c r="E589" i="28" s="1"/>
  <c r="D601" i="28" a="1"/>
  <c r="D601" i="28" s="1"/>
  <c r="E601" i="28" s="1"/>
  <c r="D577" i="28" a="1"/>
  <c r="D577" i="28" s="1"/>
  <c r="E577" i="28" s="1"/>
  <c r="D590" i="28" a="1"/>
  <c r="D590" i="28" s="1"/>
  <c r="E590" i="28" s="1"/>
  <c r="D584" i="28" a="1"/>
  <c r="D584" i="28" s="1"/>
  <c r="E584" i="28" s="1"/>
  <c r="D610" i="28" a="1"/>
  <c r="D610" i="28" s="1"/>
  <c r="E610" i="28" s="1"/>
  <c r="D606" i="28" a="1"/>
  <c r="D606" i="28" s="1"/>
  <c r="E606" i="28" s="1"/>
  <c r="D593" i="28" a="1"/>
  <c r="D593" i="28" s="1"/>
  <c r="E593" i="28" s="1"/>
  <c r="D597" i="28" a="1"/>
  <c r="D597" i="28" s="1"/>
  <c r="E597" i="28" s="1"/>
  <c r="D594" i="28" a="1"/>
  <c r="D594" i="28" s="1"/>
  <c r="E594" i="28" s="1"/>
  <c r="D596" i="28" a="1"/>
  <c r="D596" i="28" s="1"/>
  <c r="E596" i="28" s="1"/>
  <c r="D592" i="28" a="1"/>
  <c r="D592" i="28" s="1"/>
  <c r="E592" i="28" s="1"/>
  <c r="D603" i="28" a="1"/>
  <c r="D603" i="28" s="1"/>
  <c r="E603" i="28" s="1"/>
  <c r="D607" i="28" a="1"/>
  <c r="D607" i="28" s="1"/>
  <c r="E607" i="28" s="1"/>
  <c r="D611" i="28" a="1"/>
  <c r="D611" i="28" s="1"/>
  <c r="E611" i="28" s="1"/>
  <c r="D599" i="28" a="1"/>
  <c r="D599" i="28" s="1"/>
  <c r="E599" i="28" s="1"/>
  <c r="D588" i="28" a="1"/>
  <c r="D588" i="28" s="1"/>
  <c r="E588" i="28" s="1"/>
  <c r="D605" i="28" a="1"/>
  <c r="D605" i="28" s="1"/>
  <c r="E605" i="28" s="1"/>
  <c r="D595" i="28" a="1"/>
  <c r="D595" i="28" s="1"/>
  <c r="E595" i="28" s="1"/>
  <c r="D586" i="28" a="1"/>
  <c r="D586" i="28" s="1"/>
  <c r="E586" i="28" s="1"/>
  <c r="D604" i="28" a="1"/>
  <c r="D604" i="28" s="1"/>
  <c r="E604" i="28" s="1"/>
  <c r="D600" i="28" a="1"/>
  <c r="D600" i="28" s="1"/>
  <c r="E600" i="28" s="1"/>
  <c r="D609" i="28" a="1"/>
  <c r="D609" i="28" s="1"/>
  <c r="E609" i="28" s="1"/>
  <c r="D620" i="28" a="1"/>
  <c r="D620" i="28" s="1"/>
  <c r="E620" i="28" s="1"/>
  <c r="D614" i="28" a="1"/>
  <c r="D614" i="28" s="1"/>
  <c r="E614" i="28" s="1"/>
  <c r="D616" i="28" a="1"/>
  <c r="D616" i="28" s="1"/>
  <c r="E616" i="28" s="1"/>
  <c r="D613" i="28" a="1"/>
  <c r="D613" i="28" s="1"/>
  <c r="E613" i="28" s="1"/>
  <c r="D608" i="28" a="1"/>
  <c r="D608" i="28" s="1"/>
  <c r="E608" i="28" s="1"/>
  <c r="D619" i="28" a="1"/>
  <c r="D619" i="28" s="1"/>
  <c r="E619" i="28" s="1"/>
  <c r="D623" i="28" a="1"/>
  <c r="D623" i="28" s="1"/>
  <c r="E623" i="28" s="1"/>
  <c r="D602" i="28" a="1"/>
  <c r="D602" i="28" s="1"/>
  <c r="E602" i="28" s="1"/>
  <c r="D627" i="28" a="1"/>
  <c r="D627" i="28" s="1"/>
  <c r="E627" i="28" s="1"/>
  <c r="D626" i="28" a="1"/>
  <c r="D626" i="28" s="1"/>
  <c r="E626" i="28" s="1"/>
  <c r="D624" i="28" a="1"/>
  <c r="D624" i="28" s="1"/>
  <c r="E624" i="28" s="1"/>
  <c r="D617" i="28" a="1"/>
  <c r="D617" i="28" s="1"/>
  <c r="E617" i="28" s="1"/>
  <c r="D615" i="28" a="1"/>
  <c r="D615" i="28" s="1"/>
  <c r="E615" i="28" s="1"/>
  <c r="D625" i="28" a="1"/>
  <c r="D625" i="28" s="1"/>
  <c r="E625" i="28" s="1"/>
  <c r="D618" i="28" a="1"/>
  <c r="D618" i="28" s="1"/>
  <c r="E618" i="28" s="1"/>
  <c r="D630" i="28" a="1"/>
  <c r="D630" i="28" s="1"/>
  <c r="E630" i="28" s="1"/>
  <c r="D621" i="28" a="1"/>
  <c r="D621" i="28" s="1"/>
  <c r="E621" i="28" s="1"/>
  <c r="D629" i="28" a="1"/>
  <c r="D629" i="28" s="1"/>
  <c r="E629" i="28" s="1"/>
  <c r="D612" i="28" a="1"/>
  <c r="D612" i="28" s="1"/>
  <c r="E612" i="28" s="1"/>
  <c r="D631" i="28" a="1"/>
  <c r="D631" i="28" s="1"/>
  <c r="E631" i="28" s="1"/>
  <c r="D647" i="28" a="1"/>
  <c r="D647" i="28" s="1"/>
  <c r="E647" i="28" s="1"/>
  <c r="D622" i="28" a="1"/>
  <c r="D622" i="28" s="1"/>
  <c r="E622" i="28" s="1"/>
  <c r="D638" i="28" a="1"/>
  <c r="D638" i="28" s="1"/>
  <c r="E638" i="28" s="1"/>
  <c r="D628" i="28" a="1"/>
  <c r="D628" i="28" s="1"/>
  <c r="E628" i="28" s="1"/>
  <c r="D640" i="28" a="1"/>
  <c r="D640" i="28" s="1"/>
  <c r="E640" i="28" s="1"/>
  <c r="D646" i="28" a="1"/>
  <c r="D646" i="28" s="1"/>
  <c r="E646" i="28" s="1"/>
  <c r="D635" i="28" a="1"/>
  <c r="D635" i="28" s="1"/>
  <c r="E635" i="28" s="1"/>
  <c r="D639" i="28" a="1"/>
  <c r="D639" i="28" s="1"/>
  <c r="E639" i="28" s="1"/>
  <c r="D636" i="28" a="1"/>
  <c r="D636" i="28" s="1"/>
  <c r="E636" i="28" s="1"/>
  <c r="D634" i="28" a="1"/>
  <c r="D634" i="28" s="1"/>
  <c r="E634" i="28" s="1"/>
  <c r="D656" i="28" a="1"/>
  <c r="D656" i="28" s="1"/>
  <c r="E656" i="28" s="1"/>
  <c r="D643" i="28" a="1"/>
  <c r="D643" i="28" s="1"/>
  <c r="E643" i="28" s="1"/>
  <c r="D655" i="28" a="1"/>
  <c r="D655" i="28" s="1"/>
  <c r="E655" i="28" s="1"/>
  <c r="D648" i="28" a="1"/>
  <c r="D648" i="28" s="1"/>
  <c r="E648" i="28" s="1"/>
  <c r="D652" i="28" a="1"/>
  <c r="D652" i="28" s="1"/>
  <c r="E652" i="28" s="1"/>
  <c r="D651" i="28" a="1"/>
  <c r="D651" i="28" s="1"/>
  <c r="E651" i="28" s="1"/>
  <c r="D637" i="28" a="1"/>
  <c r="D637" i="28" s="1"/>
  <c r="E637" i="28" s="1"/>
  <c r="D633" i="28" a="1"/>
  <c r="D633" i="28" s="1"/>
  <c r="E633" i="28" s="1"/>
  <c r="D641" i="28" a="1"/>
  <c r="D641" i="28" s="1"/>
  <c r="E641" i="28" s="1"/>
  <c r="D632" i="28" a="1"/>
  <c r="D632" i="28" s="1"/>
  <c r="E632" i="28" s="1"/>
  <c r="D659" i="28" a="1"/>
  <c r="D659" i="28" s="1"/>
  <c r="E659" i="28" s="1"/>
  <c r="D653" i="28" a="1"/>
  <c r="D653" i="28" s="1"/>
  <c r="E653" i="28" s="1"/>
  <c r="D658" i="28" a="1"/>
  <c r="D658" i="28" s="1"/>
  <c r="E658" i="28" s="1"/>
  <c r="D666" i="28" a="1"/>
  <c r="D666" i="28" s="1"/>
  <c r="E666" i="28" s="1"/>
  <c r="D660" i="28" a="1"/>
  <c r="D660" i="28" s="1"/>
  <c r="E660" i="28" s="1"/>
  <c r="D661" i="28" a="1"/>
  <c r="D661" i="28" s="1"/>
  <c r="E661" i="28" s="1"/>
  <c r="D650" i="28" a="1"/>
  <c r="D650" i="28" s="1"/>
  <c r="E650" i="28" s="1"/>
  <c r="D664" i="28" a="1"/>
  <c r="D664" i="28" s="1"/>
  <c r="E664" i="28" s="1"/>
  <c r="D663" i="28" a="1"/>
  <c r="D663" i="28" s="1"/>
  <c r="E663" i="28" s="1"/>
  <c r="D657" i="28" a="1"/>
  <c r="D657" i="28" s="1"/>
  <c r="E657" i="28" s="1"/>
  <c r="D644" i="28" a="1"/>
  <c r="D644" i="28" s="1"/>
  <c r="E644" i="28" s="1"/>
  <c r="D654" i="28" a="1"/>
  <c r="D654" i="28" s="1"/>
  <c r="E654" i="28" s="1"/>
  <c r="D649" i="28" a="1"/>
  <c r="D649" i="28" s="1"/>
  <c r="E649" i="28" s="1"/>
  <c r="D642" i="28" a="1"/>
  <c r="D642" i="28" s="1"/>
  <c r="E642" i="28" s="1"/>
  <c r="D670" i="28" a="1"/>
  <c r="D670" i="28" s="1"/>
  <c r="E670" i="28" s="1"/>
  <c r="D645" i="28" a="1"/>
  <c r="D645" i="28" s="1"/>
  <c r="E645" i="28" s="1"/>
  <c r="D667" i="28" a="1"/>
  <c r="D667" i="28" s="1"/>
  <c r="E667" i="28" s="1"/>
  <c r="D669" i="28" a="1"/>
  <c r="D669" i="28" s="1"/>
  <c r="E669" i="28" s="1"/>
  <c r="D672" i="28" a="1"/>
  <c r="D672" i="28" s="1"/>
  <c r="E672" i="28" s="1"/>
  <c r="D668" i="28" a="1"/>
  <c r="D668" i="28" s="1"/>
  <c r="E668" i="28" s="1"/>
  <c r="D662" i="28" a="1"/>
  <c r="D662" i="28" s="1"/>
  <c r="E662" i="28" s="1"/>
  <c r="D674" i="28" a="1"/>
  <c r="D674" i="28" s="1"/>
  <c r="E674" i="28" s="1"/>
  <c r="D680" i="28" a="1"/>
  <c r="D680" i="28" s="1"/>
  <c r="E680" i="28" s="1"/>
  <c r="D671" i="28" a="1"/>
  <c r="D671" i="28" s="1"/>
  <c r="E671" i="28" s="1"/>
  <c r="D677" i="28" a="1"/>
  <c r="D677" i="28" s="1"/>
  <c r="E677" i="28" s="1"/>
  <c r="D665" i="28" a="1"/>
  <c r="D665" i="28" s="1"/>
  <c r="E665" i="28" s="1"/>
  <c r="D690" i="28" a="1"/>
  <c r="D690" i="28" s="1"/>
  <c r="E690" i="28" s="1"/>
  <c r="D688" i="28" a="1"/>
  <c r="D688" i="28" s="1"/>
  <c r="E688" i="28" s="1"/>
  <c r="D685" i="28" a="1"/>
  <c r="D685" i="28" s="1"/>
  <c r="E685" i="28" s="1"/>
  <c r="D682" i="28" a="1"/>
  <c r="D682" i="28" s="1"/>
  <c r="E682" i="28" s="1"/>
  <c r="D691" i="28" a="1"/>
  <c r="D691" i="28" s="1"/>
  <c r="E691" i="28" s="1"/>
  <c r="D687" i="28" a="1"/>
  <c r="D687" i="28" s="1"/>
  <c r="E687" i="28" s="1"/>
  <c r="D681" i="28" a="1"/>
  <c r="D681" i="28" s="1"/>
  <c r="E681" i="28" s="1"/>
  <c r="D689" i="28" a="1"/>
  <c r="D689" i="28" s="1"/>
  <c r="E689" i="28" s="1"/>
  <c r="D684" i="28" a="1"/>
  <c r="D684" i="28" s="1"/>
  <c r="E684" i="28" s="1"/>
  <c r="D708" i="28" a="1"/>
  <c r="D708" i="28" s="1"/>
  <c r="E708" i="28" s="1"/>
  <c r="D675" i="28" a="1"/>
  <c r="D675" i="28" s="1"/>
  <c r="E675" i="28" s="1"/>
  <c r="D678" i="28" a="1"/>
  <c r="D678" i="28" s="1"/>
  <c r="E678" i="28" s="1"/>
  <c r="D673" i="28" a="1"/>
  <c r="D673" i="28" s="1"/>
  <c r="E673" i="28" s="1"/>
  <c r="D683" i="28" a="1"/>
  <c r="D683" i="28" s="1"/>
  <c r="E683" i="28" s="1"/>
  <c r="D676" i="28" a="1"/>
  <c r="D676" i="28" s="1"/>
  <c r="E676" i="28" s="1"/>
  <c r="D686" i="28" a="1"/>
  <c r="D686" i="28" s="1"/>
  <c r="E686" i="28" s="1"/>
  <c r="D713" i="28" a="1"/>
  <c r="D713" i="28" s="1"/>
  <c r="E713" i="28" s="1"/>
  <c r="D679" i="28" a="1"/>
  <c r="D679" i="28" s="1"/>
  <c r="E679" i="28" s="1"/>
  <c r="D707" i="28" a="1"/>
  <c r="D707" i="28" s="1"/>
  <c r="E707" i="28" s="1"/>
  <c r="D704" i="28" a="1"/>
  <c r="D704" i="28" s="1"/>
  <c r="E704" i="28" s="1"/>
  <c r="D709" i="28" a="1"/>
  <c r="D709" i="28" s="1"/>
  <c r="E709" i="28" s="1"/>
  <c r="D487" i="17" a="1"/>
  <c r="D487" i="17" s="1"/>
  <c r="E487" i="17" s="1"/>
  <c r="D947" i="28" a="1"/>
  <c r="D947" i="28" s="1"/>
  <c r="E947" i="28" s="1"/>
  <c r="D938" i="28" a="1"/>
  <c r="D938" i="28" s="1"/>
  <c r="E938" i="28" s="1"/>
  <c r="D710" i="28" a="1"/>
  <c r="D710" i="28" s="1"/>
  <c r="E710" i="28" s="1"/>
  <c r="D694" i="28" a="1"/>
  <c r="D694" i="28" s="1"/>
  <c r="E694" i="28" s="1"/>
  <c r="D966" i="17" a="1"/>
  <c r="D966" i="17" s="1"/>
  <c r="E966" i="17" s="1"/>
  <c r="D847" i="17" a="1"/>
  <c r="D847" i="17" s="1"/>
  <c r="E847" i="17" s="1"/>
  <c r="D863" i="28" a="1"/>
  <c r="D863" i="28" s="1"/>
  <c r="E863" i="28" s="1"/>
  <c r="D902" i="17" a="1"/>
  <c r="D902" i="17" s="1"/>
  <c r="E902" i="17" s="1"/>
  <c r="D737" i="28" a="1"/>
  <c r="D737" i="28" s="1"/>
  <c r="E737" i="28" s="1"/>
  <c r="D743" i="17" a="1"/>
  <c r="D743" i="17" s="1"/>
  <c r="E743" i="17" s="1"/>
  <c r="D747" i="28" a="1"/>
  <c r="D747" i="28" s="1"/>
  <c r="E747" i="28" s="1"/>
  <c r="I466" i="28"/>
  <c r="D878" i="28" a="1"/>
  <c r="D878" i="28" s="1"/>
  <c r="E878" i="28" s="1"/>
  <c r="D755" i="28" a="1"/>
  <c r="D755" i="28" s="1"/>
  <c r="E755" i="28" s="1"/>
  <c r="D754" i="28" a="1"/>
  <c r="D754" i="28" s="1"/>
  <c r="E754" i="28" s="1"/>
  <c r="D756" i="28" a="1"/>
  <c r="D756" i="28" s="1"/>
  <c r="E756" i="28" s="1"/>
  <c r="D757" i="28" a="1"/>
  <c r="D757" i="28" s="1"/>
  <c r="E757" i="28" s="1"/>
  <c r="D761" i="28" a="1"/>
  <c r="D761" i="28" s="1"/>
  <c r="E761" i="28" s="1"/>
  <c r="D766" i="28" a="1"/>
  <c r="D766" i="28" s="1"/>
  <c r="E766" i="28" s="1"/>
  <c r="D770" i="28" a="1"/>
  <c r="D770" i="28" s="1"/>
  <c r="E770" i="28" s="1"/>
  <c r="D768" i="28" a="1"/>
  <c r="D768" i="28" s="1"/>
  <c r="E768" i="28" s="1"/>
  <c r="D765" i="28" a="1"/>
  <c r="D765" i="28" s="1"/>
  <c r="E765" i="28" s="1"/>
  <c r="D767" i="28" a="1"/>
  <c r="D767" i="28" s="1"/>
  <c r="E767" i="28" s="1"/>
  <c r="D784" i="28" a="1"/>
  <c r="D784" i="28" s="1"/>
  <c r="E784" i="28" s="1"/>
  <c r="D763" i="28" a="1"/>
  <c r="D763" i="28" s="1"/>
  <c r="E763" i="28" s="1"/>
  <c r="D764" i="28" a="1"/>
  <c r="D764" i="28" s="1"/>
  <c r="E764" i="28" s="1"/>
  <c r="D773" i="28" a="1"/>
  <c r="D773" i="28" s="1"/>
  <c r="E773" i="28" s="1"/>
  <c r="D762" i="28" a="1"/>
  <c r="D762" i="28" s="1"/>
  <c r="E762" i="28" s="1"/>
  <c r="D771" i="28" a="1"/>
  <c r="D771" i="28" s="1"/>
  <c r="E771" i="28" s="1"/>
  <c r="D782" i="28" a="1"/>
  <c r="D782" i="28" s="1"/>
  <c r="E782" i="28" s="1"/>
  <c r="D769" i="28" a="1"/>
  <c r="D769" i="28" s="1"/>
  <c r="E769" i="28" s="1"/>
  <c r="D786" i="28" a="1"/>
  <c r="D786" i="28" s="1"/>
  <c r="E786" i="28" s="1"/>
  <c r="D776" i="28" a="1"/>
  <c r="D776" i="28" s="1"/>
  <c r="E776" i="28" s="1"/>
  <c r="D783" i="28" a="1"/>
  <c r="D783" i="28" s="1"/>
  <c r="E783" i="28" s="1"/>
  <c r="D774" i="28" a="1"/>
  <c r="D774" i="28" s="1"/>
  <c r="E774" i="28" s="1"/>
  <c r="D789" i="28" a="1"/>
  <c r="D789" i="28" s="1"/>
  <c r="E789" i="28" s="1"/>
  <c r="D777" i="28" a="1"/>
  <c r="D777" i="28" s="1"/>
  <c r="E777" i="28" s="1"/>
  <c r="D779" i="28" a="1"/>
  <c r="D779" i="28" s="1"/>
  <c r="E779" i="28" s="1"/>
  <c r="D798" i="28" a="1"/>
  <c r="D798" i="28" s="1"/>
  <c r="E798" i="28" s="1"/>
  <c r="D780" i="28" a="1"/>
  <c r="D780" i="28" s="1"/>
  <c r="E780" i="28" s="1"/>
  <c r="D775" i="28" a="1"/>
  <c r="D775" i="28" s="1"/>
  <c r="E775" i="28" s="1"/>
  <c r="D781" i="28" a="1"/>
  <c r="D781" i="28" s="1"/>
  <c r="E781" i="28" s="1"/>
  <c r="D788" i="28" a="1"/>
  <c r="D788" i="28" s="1"/>
  <c r="E788" i="28" s="1"/>
  <c r="D785" i="28" a="1"/>
  <c r="D785" i="28" s="1"/>
  <c r="E785" i="28" s="1"/>
  <c r="D778" i="28" a="1"/>
  <c r="D778" i="28" s="1"/>
  <c r="E778" i="28" s="1"/>
  <c r="D790" i="28" a="1"/>
  <c r="D790" i="28" s="1"/>
  <c r="E790" i="28" s="1"/>
  <c r="D791" i="28" a="1"/>
  <c r="D791" i="28" s="1"/>
  <c r="E791" i="28" s="1"/>
  <c r="D772" i="28" a="1"/>
  <c r="D772" i="28" s="1"/>
  <c r="E772" i="28" s="1"/>
  <c r="D800" i="28" a="1"/>
  <c r="D800" i="28" s="1"/>
  <c r="E800" i="28" s="1"/>
  <c r="D787" i="28" a="1"/>
  <c r="D787" i="28" s="1"/>
  <c r="E787" i="28" s="1"/>
  <c r="D803" i="28" a="1"/>
  <c r="D803" i="28" s="1"/>
  <c r="E803" i="28" s="1"/>
  <c r="D796" i="28" a="1"/>
  <c r="D796" i="28" s="1"/>
  <c r="E796" i="28" s="1"/>
  <c r="D792" i="28" a="1"/>
  <c r="D792" i="28" s="1"/>
  <c r="E792" i="28" s="1"/>
  <c r="D794" i="28" a="1"/>
  <c r="D794" i="28" s="1"/>
  <c r="E794" i="28" s="1"/>
  <c r="D801" i="28" a="1"/>
  <c r="D801" i="28" s="1"/>
  <c r="E801" i="28" s="1"/>
  <c r="D811" i="28" a="1"/>
  <c r="D811" i="28" s="1"/>
  <c r="E811" i="28" s="1"/>
  <c r="D799" i="28" a="1"/>
  <c r="D799" i="28" s="1"/>
  <c r="E799" i="28" s="1"/>
  <c r="D810" i="28" a="1"/>
  <c r="D810" i="28" s="1"/>
  <c r="E810" i="28" s="1"/>
  <c r="D793" i="28" a="1"/>
  <c r="D793" i="28" s="1"/>
  <c r="E793" i="28" s="1"/>
  <c r="D807" i="28" a="1"/>
  <c r="D807" i="28" s="1"/>
  <c r="E807" i="28" s="1"/>
  <c r="D797" i="28" a="1"/>
  <c r="D797" i="28" s="1"/>
  <c r="E797" i="28" s="1"/>
  <c r="D795" i="28" a="1"/>
  <c r="D795" i="28" s="1"/>
  <c r="E795" i="28" s="1"/>
  <c r="D806" i="28" a="1"/>
  <c r="D806" i="28" s="1"/>
  <c r="E806" i="28" s="1"/>
  <c r="D813" i="28" a="1"/>
  <c r="D813" i="28" s="1"/>
  <c r="E813" i="28" s="1"/>
  <c r="D820" i="28" a="1"/>
  <c r="D820" i="28" s="1"/>
  <c r="E820" i="28" s="1"/>
  <c r="D825" i="28" a="1"/>
  <c r="D825" i="28" s="1"/>
  <c r="E825" i="28" s="1"/>
  <c r="D817" i="28" a="1"/>
  <c r="D817" i="28" s="1"/>
  <c r="E817" i="28" s="1"/>
  <c r="D814" i="28" a="1"/>
  <c r="D814" i="28" s="1"/>
  <c r="E814" i="28" s="1"/>
  <c r="D808" i="28" a="1"/>
  <c r="D808" i="28" s="1"/>
  <c r="E808" i="28" s="1"/>
  <c r="D815" i="28" a="1"/>
  <c r="D815" i="28" s="1"/>
  <c r="E815" i="28" s="1"/>
  <c r="D802" i="28" a="1"/>
  <c r="D802" i="28" s="1"/>
  <c r="E802" i="28" s="1"/>
  <c r="D818" i="28" a="1"/>
  <c r="D818" i="28" s="1"/>
  <c r="E818" i="28" s="1"/>
  <c r="D816" i="28" a="1"/>
  <c r="D816" i="28" s="1"/>
  <c r="E816" i="28" s="1"/>
  <c r="D804" i="28" a="1"/>
  <c r="D804" i="28" s="1"/>
  <c r="E804" i="28" s="1"/>
  <c r="D809" i="28" a="1"/>
  <c r="D809" i="28" s="1"/>
  <c r="E809" i="28" s="1"/>
  <c r="D821" i="28" a="1"/>
  <c r="D821" i="28" s="1"/>
  <c r="E821" i="28" s="1"/>
  <c r="D819" i="28" a="1"/>
  <c r="D819" i="28" s="1"/>
  <c r="E819" i="28" s="1"/>
  <c r="D837" i="28" a="1"/>
  <c r="D837" i="28" s="1"/>
  <c r="E837" i="28" s="1"/>
  <c r="D812" i="28" a="1"/>
  <c r="D812" i="28" s="1"/>
  <c r="E812" i="28" s="1"/>
  <c r="D805" i="28" a="1"/>
  <c r="D805" i="28" s="1"/>
  <c r="E805" i="28" s="1"/>
  <c r="D988" i="28" a="1"/>
  <c r="D988" i="28" s="1"/>
  <c r="E988" i="28" s="1"/>
  <c r="D977" i="17" a="1"/>
  <c r="D977" i="17" s="1"/>
  <c r="E977" i="17" s="1"/>
  <c r="D998" i="28" a="1"/>
  <c r="D998" i="28" s="1"/>
  <c r="E998" i="28" s="1"/>
  <c r="D986" i="28" a="1"/>
  <c r="D986" i="28" s="1"/>
  <c r="E986" i="28" s="1"/>
  <c r="D975" i="28" a="1"/>
  <c r="D975" i="28" s="1"/>
  <c r="E975" i="28" s="1"/>
  <c r="D979" i="28" a="1"/>
  <c r="D979" i="28" s="1"/>
  <c r="E979" i="28" s="1"/>
  <c r="D996" i="17" a="1"/>
  <c r="D996" i="17" s="1"/>
  <c r="E996" i="17" s="1"/>
  <c r="D975" i="17" a="1"/>
  <c r="D975" i="17" s="1"/>
  <c r="E975" i="17" s="1"/>
  <c r="D998" i="17" a="1"/>
  <c r="D998" i="17" s="1"/>
  <c r="E998" i="17" s="1"/>
  <c r="D1003" i="28" a="1"/>
  <c r="D980" i="28" a="1"/>
  <c r="D980" i="28" s="1"/>
  <c r="E980" i="28" s="1"/>
  <c r="D1000" i="28" a="1"/>
  <c r="D1000" i="28" s="1"/>
  <c r="E1000" i="28" s="1"/>
  <c r="D1006" i="28" a="1"/>
  <c r="D981" i="17" a="1"/>
  <c r="D981" i="17" s="1"/>
  <c r="E981" i="17" s="1"/>
  <c r="D976" i="28" a="1"/>
  <c r="D976" i="28" s="1"/>
  <c r="E976" i="28" s="1"/>
  <c r="D989" i="17" a="1"/>
  <c r="D989" i="17" s="1"/>
  <c r="E989" i="17" s="1"/>
  <c r="D973" i="28" a="1"/>
  <c r="D973" i="28" s="1"/>
  <c r="E973" i="28" s="1"/>
  <c r="D983" i="17" a="1"/>
  <c r="D983" i="17" s="1"/>
  <c r="E983" i="17" s="1"/>
  <c r="D989" i="28" a="1"/>
  <c r="D989" i="28" s="1"/>
  <c r="E989" i="28" s="1"/>
  <c r="D943" i="17" a="1"/>
  <c r="D943" i="17" s="1"/>
  <c r="E943" i="17" s="1"/>
  <c r="D894" i="28" a="1"/>
  <c r="D894" i="28" s="1"/>
  <c r="E894" i="28" s="1"/>
  <c r="D901" i="28" a="1"/>
  <c r="D901" i="28" s="1"/>
  <c r="E901" i="28" s="1"/>
  <c r="D698" i="28" a="1"/>
  <c r="D698" i="28" s="1"/>
  <c r="E698" i="28" s="1"/>
  <c r="D967" i="17" a="1"/>
  <c r="D967" i="17" s="1"/>
  <c r="E967" i="17" s="1"/>
  <c r="D715" i="17" a="1"/>
  <c r="D715" i="17" s="1"/>
  <c r="E715" i="17" s="1"/>
  <c r="D971" i="28" a="1"/>
  <c r="D971" i="28" s="1"/>
  <c r="E971" i="28" s="1"/>
  <c r="D845" i="28" a="1"/>
  <c r="D845" i="28" s="1"/>
  <c r="E845" i="28" s="1"/>
  <c r="D745" i="28" a="1"/>
  <c r="D745" i="28" s="1"/>
  <c r="E745" i="28" s="1"/>
  <c r="D717" i="17" a="1"/>
  <c r="D717" i="17" s="1"/>
  <c r="E717" i="17" s="1"/>
  <c r="D929" i="17" a="1"/>
  <c r="D929" i="17" s="1"/>
  <c r="E929" i="17" s="1"/>
  <c r="D726" i="17" a="1"/>
  <c r="D726" i="17" s="1"/>
  <c r="E726" i="17" s="1"/>
  <c r="D930" i="17" a="1"/>
  <c r="D930" i="17" s="1"/>
  <c r="E930" i="17" s="1"/>
  <c r="D709" i="17" a="1"/>
  <c r="D709" i="17" s="1"/>
  <c r="E709" i="17" s="1"/>
  <c r="D837" i="17" a="1"/>
  <c r="D837" i="17" s="1"/>
  <c r="E837" i="17" s="1"/>
  <c r="D928" i="17" a="1"/>
  <c r="D928" i="17" s="1"/>
  <c r="E928" i="17" s="1"/>
  <c r="D845" i="17" a="1"/>
  <c r="D845" i="17" s="1"/>
  <c r="E845" i="17" s="1"/>
  <c r="D727" i="17" a="1"/>
  <c r="D727" i="17" s="1"/>
  <c r="E727" i="17" s="1"/>
  <c r="D931" i="17" a="1"/>
  <c r="D931" i="17" s="1"/>
  <c r="E931" i="17" s="1"/>
  <c r="D699" i="17" a="1"/>
  <c r="D699" i="17" s="1"/>
  <c r="E699" i="17" s="1"/>
  <c r="D859" i="17" a="1"/>
  <c r="D859" i="17" s="1"/>
  <c r="E859" i="17" s="1"/>
  <c r="D729" i="17" a="1"/>
  <c r="D729" i="17" s="1"/>
  <c r="E729" i="17" s="1"/>
  <c r="D723" i="28" a="1"/>
  <c r="D723" i="28" s="1"/>
  <c r="E723" i="28" s="1"/>
  <c r="D851" i="28" a="1"/>
  <c r="D851" i="28" s="1"/>
  <c r="E851" i="28" s="1"/>
  <c r="D827" i="28" a="1"/>
  <c r="D827" i="28" s="1"/>
  <c r="E827" i="28" s="1"/>
  <c r="D927" i="28" a="1"/>
  <c r="D927" i="28" s="1"/>
  <c r="E927" i="28" s="1"/>
  <c r="D916" i="28" a="1"/>
  <c r="D916" i="28" s="1"/>
  <c r="E916" i="28" s="1"/>
  <c r="D904" i="28" a="1"/>
  <c r="D904" i="28" s="1"/>
  <c r="E904" i="28" s="1"/>
  <c r="D835" i="28" a="1"/>
  <c r="D835" i="28" s="1"/>
  <c r="E835" i="28" s="1"/>
  <c r="D907" i="28" a="1"/>
  <c r="D907" i="28" s="1"/>
  <c r="E907" i="28" s="1"/>
  <c r="D924" i="28" a="1"/>
  <c r="D924" i="28" s="1"/>
  <c r="E924" i="28" s="1"/>
  <c r="D705" i="28" a="1"/>
  <c r="D705" i="28" s="1"/>
  <c r="E705" i="28" s="1"/>
  <c r="D711" i="28" a="1"/>
  <c r="D711" i="28" s="1"/>
  <c r="E711" i="28" s="1"/>
  <c r="D854" i="28" a="1"/>
  <c r="D854" i="28" s="1"/>
  <c r="E854" i="28" s="1"/>
  <c r="D929" i="28" a="1"/>
  <c r="D929" i="28" s="1"/>
  <c r="E929" i="28" s="1"/>
  <c r="D706" i="28" a="1"/>
  <c r="D706" i="28" s="1"/>
  <c r="E706" i="28" s="1"/>
  <c r="D918" i="28" a="1"/>
  <c r="D918" i="28" s="1"/>
  <c r="E918" i="28" s="1"/>
  <c r="D863" i="17" a="1"/>
  <c r="D863" i="17" s="1"/>
  <c r="E863" i="17" s="1"/>
  <c r="D711" i="17" a="1"/>
  <c r="D711" i="17" s="1"/>
  <c r="E711" i="17" s="1"/>
  <c r="D880" i="28" a="1"/>
  <c r="D880" i="28" s="1"/>
  <c r="E880" i="28" s="1"/>
  <c r="D891" i="17" a="1"/>
  <c r="D891" i="17" s="1"/>
  <c r="E891" i="17" s="1"/>
  <c r="D897" i="17" a="1"/>
  <c r="D897" i="17" s="1"/>
  <c r="E897" i="17" s="1"/>
  <c r="D895" i="17" a="1"/>
  <c r="D895" i="17" s="1"/>
  <c r="E895" i="17" s="1"/>
  <c r="D901" i="17" a="1"/>
  <c r="D901" i="17" s="1"/>
  <c r="E901" i="17" s="1"/>
  <c r="D911" i="17" a="1"/>
  <c r="D911" i="17" s="1"/>
  <c r="E911" i="17" s="1"/>
  <c r="D893" i="17" a="1"/>
  <c r="D893" i="17" s="1"/>
  <c r="E893" i="17" s="1"/>
  <c r="D892" i="17" a="1"/>
  <c r="D892" i="17" s="1"/>
  <c r="E892" i="17" s="1"/>
  <c r="D910" i="17" a="1"/>
  <c r="D910" i="17" s="1"/>
  <c r="E910" i="17" s="1"/>
  <c r="D898" i="17" a="1"/>
  <c r="D898" i="17" s="1"/>
  <c r="E898" i="17" s="1"/>
  <c r="D890" i="17" a="1"/>
  <c r="D890" i="17" s="1"/>
  <c r="E890" i="17" s="1"/>
  <c r="D886" i="28" a="1"/>
  <c r="D886" i="28" s="1"/>
  <c r="E886" i="28" s="1"/>
  <c r="D884" i="17" a="1"/>
  <c r="D884" i="17" s="1"/>
  <c r="E884" i="17" s="1"/>
  <c r="D888" i="28" a="1"/>
  <c r="D888" i="28" s="1"/>
  <c r="E888" i="28" s="1"/>
  <c r="D951" i="28" a="1"/>
  <c r="D951" i="28" s="1"/>
  <c r="E951" i="28" s="1"/>
  <c r="D942" i="17" a="1"/>
  <c r="D942" i="17" s="1"/>
  <c r="E942" i="17" s="1"/>
  <c r="I464" i="28"/>
  <c r="F856" i="17"/>
  <c r="G892" i="28"/>
  <c r="D955" i="17" a="1"/>
  <c r="D955" i="17" s="1"/>
  <c r="E955" i="17" s="1"/>
  <c r="D960" i="17" a="1"/>
  <c r="D960" i="17" s="1"/>
  <c r="E960" i="17" s="1"/>
  <c r="I471" i="28"/>
  <c r="K49" i="28"/>
  <c r="M54" i="17" s="1"/>
  <c r="D971" i="17" a="1"/>
  <c r="D971" i="17" s="1"/>
  <c r="E971" i="17" s="1"/>
  <c r="G478" i="28"/>
  <c r="F478" i="28"/>
  <c r="I470" i="17"/>
  <c r="D488" i="28" a="1"/>
  <c r="D488" i="28" s="1"/>
  <c r="E488" i="28" s="1"/>
  <c r="D489" i="17" a="1"/>
  <c r="D489" i="17" s="1"/>
  <c r="E489" i="17" s="1"/>
  <c r="D942" i="28" a="1"/>
  <c r="D942" i="28" s="1"/>
  <c r="E942" i="28" s="1"/>
  <c r="I464" i="17"/>
  <c r="D865" i="28" a="1"/>
  <c r="D865" i="28" s="1"/>
  <c r="E865" i="28" s="1"/>
  <c r="D939" i="28" a="1"/>
  <c r="D939" i="28" s="1"/>
  <c r="E939" i="28" s="1"/>
  <c r="D822" i="28" a="1"/>
  <c r="D822" i="28" s="1"/>
  <c r="E822" i="28" s="1"/>
  <c r="D697" i="28" a="1"/>
  <c r="D697" i="28" s="1"/>
  <c r="E697" i="28" s="1"/>
  <c r="D851" i="17" a="1"/>
  <c r="D851" i="17" s="1"/>
  <c r="E851" i="17" s="1"/>
  <c r="D937" i="28" a="1"/>
  <c r="D937" i="28" s="1"/>
  <c r="E937" i="28" s="1"/>
  <c r="D965" i="17" a="1"/>
  <c r="D965" i="17" s="1"/>
  <c r="E965" i="17" s="1"/>
  <c r="F109" i="16"/>
  <c r="G109" i="16"/>
  <c r="D732" i="17" a="1"/>
  <c r="D732" i="17" s="1"/>
  <c r="E732" i="17" s="1"/>
  <c r="D742" i="17" a="1"/>
  <c r="D742" i="17" s="1"/>
  <c r="E742" i="17" s="1"/>
  <c r="D864" i="17" a="1"/>
  <c r="D864" i="17" s="1"/>
  <c r="E864" i="17" s="1"/>
  <c r="I475" i="17"/>
  <c r="D872" i="28" a="1"/>
  <c r="D872" i="28" s="1"/>
  <c r="E872" i="28" s="1"/>
  <c r="D753" i="28" a="1"/>
  <c r="D753" i="28" s="1"/>
  <c r="E753" i="28" s="1"/>
  <c r="D760" i="28" a="1"/>
  <c r="D760" i="28" s="1"/>
  <c r="E760" i="28" s="1"/>
  <c r="D752" i="17" a="1"/>
  <c r="D752" i="17" s="1"/>
  <c r="E752" i="17" s="1"/>
  <c r="D755" i="17" a="1"/>
  <c r="D755" i="17" s="1"/>
  <c r="E755" i="17" s="1"/>
  <c r="D760" i="17" a="1"/>
  <c r="D760" i="17" s="1"/>
  <c r="E760" i="17" s="1"/>
  <c r="D993" i="17" a="1"/>
  <c r="D993" i="17" s="1"/>
  <c r="E993" i="17" s="1"/>
  <c r="D1006" i="17" a="1"/>
  <c r="D997" i="28" a="1"/>
  <c r="D997" i="28" s="1"/>
  <c r="E997" i="28" s="1"/>
  <c r="D995" i="28" a="1"/>
  <c r="D995" i="28" s="1"/>
  <c r="E995" i="28" s="1"/>
  <c r="D997" i="17" a="1"/>
  <c r="D997" i="17" s="1"/>
  <c r="E997" i="17" s="1"/>
  <c r="D985" i="17" a="1"/>
  <c r="D985" i="17" s="1"/>
  <c r="E985" i="17" s="1"/>
  <c r="D977" i="28" a="1"/>
  <c r="D977" i="28" s="1"/>
  <c r="E977" i="28" s="1"/>
  <c r="D973" i="17" a="1"/>
  <c r="D973" i="17" s="1"/>
  <c r="E973" i="17" s="1"/>
  <c r="D990" i="28" a="1"/>
  <c r="D990" i="28" s="1"/>
  <c r="E990" i="28" s="1"/>
  <c r="D993" i="28" a="1"/>
  <c r="D993" i="28" s="1"/>
  <c r="E993" i="28" s="1"/>
  <c r="D972" i="17" a="1"/>
  <c r="D972" i="17" s="1"/>
  <c r="E972" i="17" s="1"/>
  <c r="D1001" i="17" a="1"/>
  <c r="D1001" i="17" s="1"/>
  <c r="E1001" i="17" s="1"/>
  <c r="D1005" i="17" a="1"/>
  <c r="D990" i="17" a="1"/>
  <c r="D990" i="17" s="1"/>
  <c r="E990" i="17" s="1"/>
  <c r="D972" i="28" a="1"/>
  <c r="D972" i="28" s="1"/>
  <c r="E972" i="28" s="1"/>
  <c r="D987" i="17" a="1"/>
  <c r="D987" i="17" s="1"/>
  <c r="E987" i="17" s="1"/>
  <c r="D1002" i="28" a="1"/>
  <c r="D1002" i="28" s="1"/>
  <c r="E1002" i="28" s="1"/>
  <c r="D1002" i="17" a="1"/>
  <c r="D1002" i="17" s="1"/>
  <c r="E1002" i="17" s="1"/>
  <c r="D943" i="28" a="1"/>
  <c r="D943" i="28" s="1"/>
  <c r="E943" i="28" s="1"/>
  <c r="D947" i="17" a="1"/>
  <c r="D947" i="17" s="1"/>
  <c r="E947" i="17" s="1"/>
  <c r="I470" i="28"/>
  <c r="D701" i="28" a="1"/>
  <c r="D701" i="28" s="1"/>
  <c r="E701" i="28" s="1"/>
  <c r="D899" i="28" a="1"/>
  <c r="D899" i="28" s="1"/>
  <c r="E899" i="28" s="1"/>
  <c r="D740" i="28" a="1"/>
  <c r="D740" i="28" s="1"/>
  <c r="E740" i="28" s="1"/>
  <c r="D935" i="17" a="1"/>
  <c r="D935" i="17" s="1"/>
  <c r="E935" i="17" s="1"/>
  <c r="D909" i="17" a="1"/>
  <c r="D909" i="17" s="1"/>
  <c r="E909" i="17" s="1"/>
  <c r="D867" i="28" a="1"/>
  <c r="D867" i="28" s="1"/>
  <c r="E867" i="28" s="1"/>
  <c r="D750" i="28" a="1"/>
  <c r="D750" i="28" s="1"/>
  <c r="E750" i="28" s="1"/>
  <c r="D916" i="17" a="1"/>
  <c r="D916" i="17" s="1"/>
  <c r="E916" i="17" s="1"/>
  <c r="D858" i="17" a="1"/>
  <c r="D858" i="17" s="1"/>
  <c r="E858" i="17" s="1"/>
  <c r="D912" i="17" a="1"/>
  <c r="D912" i="17" s="1"/>
  <c r="E912" i="17" s="1"/>
  <c r="D899" i="17" a="1"/>
  <c r="D899" i="17" s="1"/>
  <c r="E899" i="17" s="1"/>
  <c r="D719" i="17" a="1"/>
  <c r="D719" i="17" s="1"/>
  <c r="E719" i="17" s="1"/>
  <c r="D698" i="17" a="1"/>
  <c r="D698" i="17" s="1"/>
  <c r="E698" i="17" s="1"/>
  <c r="D924" i="17" a="1"/>
  <c r="D924" i="17" s="1"/>
  <c r="E924" i="17" s="1"/>
  <c r="D848" i="17" a="1"/>
  <c r="D848" i="17" s="1"/>
  <c r="E848" i="17" s="1"/>
  <c r="D714" i="17" a="1"/>
  <c r="D714" i="17" s="1"/>
  <c r="E714" i="17" s="1"/>
  <c r="D915" i="17" a="1"/>
  <c r="D915" i="17" s="1"/>
  <c r="E915" i="17" s="1"/>
  <c r="D914" i="17" a="1"/>
  <c r="D914" i="17" s="1"/>
  <c r="E914" i="17" s="1"/>
  <c r="D861" i="17" a="1"/>
  <c r="D861" i="17" s="1"/>
  <c r="E861" i="17" s="1"/>
  <c r="D713" i="17" a="1"/>
  <c r="D713" i="17" s="1"/>
  <c r="E713" i="17" s="1"/>
  <c r="D843" i="28" a="1"/>
  <c r="D843" i="28" s="1"/>
  <c r="E843" i="28" s="1"/>
  <c r="D921" i="28" a="1"/>
  <c r="D921" i="28" s="1"/>
  <c r="E921" i="28" s="1"/>
  <c r="D836" i="28" a="1"/>
  <c r="D836" i="28" s="1"/>
  <c r="E836" i="28" s="1"/>
  <c r="D702" i="28" a="1"/>
  <c r="D702" i="28" s="1"/>
  <c r="E702" i="28" s="1"/>
  <c r="D857" i="28" a="1"/>
  <c r="D857" i="28" s="1"/>
  <c r="E857" i="28" s="1"/>
  <c r="D699" i="28" a="1"/>
  <c r="D699" i="28" s="1"/>
  <c r="E699" i="28" s="1"/>
  <c r="D848" i="28" a="1"/>
  <c r="D848" i="28" s="1"/>
  <c r="E848" i="28" s="1"/>
  <c r="D855" i="28" a="1"/>
  <c r="D855" i="28" s="1"/>
  <c r="E855" i="28" s="1"/>
  <c r="D852" i="28" a="1"/>
  <c r="D852" i="28" s="1"/>
  <c r="E852" i="28" s="1"/>
  <c r="D834" i="28" a="1"/>
  <c r="D834" i="28" s="1"/>
  <c r="E834" i="28" s="1"/>
  <c r="D840" i="28" a="1"/>
  <c r="D840" i="28" s="1"/>
  <c r="E840" i="28" s="1"/>
  <c r="D712" i="28" a="1"/>
  <c r="D712" i="28" s="1"/>
  <c r="E712" i="28" s="1"/>
  <c r="D842" i="28" a="1"/>
  <c r="D842" i="28" s="1"/>
  <c r="E842" i="28" s="1"/>
  <c r="D908" i="28" a="1"/>
  <c r="D908" i="28" s="1"/>
  <c r="E908" i="28" s="1"/>
  <c r="F472" i="28"/>
  <c r="G472" i="28"/>
  <c r="D932" i="28" a="1"/>
  <c r="D932" i="28" s="1"/>
  <c r="E932" i="28" s="1"/>
  <c r="D879" i="17" a="1"/>
  <c r="D879" i="17" s="1"/>
  <c r="E879" i="17" s="1"/>
  <c r="D887" i="28" a="1"/>
  <c r="D887" i="28" s="1"/>
  <c r="E887" i="28" s="1"/>
  <c r="D884" i="28" a="1"/>
  <c r="D884" i="28" s="1"/>
  <c r="E884" i="28" s="1"/>
  <c r="D883" i="28" a="1"/>
  <c r="D883" i="28" s="1"/>
  <c r="E883" i="28" s="1"/>
  <c r="D882" i="17" a="1"/>
  <c r="D882" i="17" s="1"/>
  <c r="E882" i="17" s="1"/>
  <c r="D890" i="28" a="1"/>
  <c r="D890" i="28" s="1"/>
  <c r="E890" i="28" s="1"/>
  <c r="D948" i="17" a="1"/>
  <c r="D948" i="17" s="1"/>
  <c r="E948" i="17" s="1"/>
  <c r="I463" i="28"/>
  <c r="D1003" i="28" l="1"/>
  <c r="E1003" i="28" s="1"/>
  <c r="G1003" i="28" s="1"/>
  <c r="D1003" i="17"/>
  <c r="E1003" i="17" s="1"/>
  <c r="G1003" i="17" s="1"/>
  <c r="D1006" i="17"/>
  <c r="E1006" i="17" s="1"/>
  <c r="G1006" i="17" s="1"/>
  <c r="G830" i="28"/>
  <c r="I830" i="28" s="1"/>
  <c r="D1005" i="17"/>
  <c r="E1005" i="17" s="1"/>
  <c r="G1005" i="17" s="1"/>
  <c r="D1004" i="28"/>
  <c r="E1004" i="28" s="1"/>
  <c r="F1004" i="28" s="1"/>
  <c r="D1005" i="28"/>
  <c r="E1005" i="28" s="1"/>
  <c r="G1005" i="28" s="1"/>
  <c r="D1007" i="17"/>
  <c r="E1007" i="17" s="1"/>
  <c r="F1007" i="17" s="1"/>
  <c r="D1007" i="28"/>
  <c r="E1007" i="28" s="1"/>
  <c r="G1007" i="28" s="1"/>
  <c r="D1006" i="28"/>
  <c r="E1006" i="28" s="1"/>
  <c r="F1006" i="28" s="1"/>
  <c r="D1004" i="17"/>
  <c r="E1004" i="17" s="1"/>
  <c r="F1004" i="17" s="1"/>
  <c r="F838" i="17"/>
  <c r="F874" i="17"/>
  <c r="G731" i="17"/>
  <c r="K80" i="17" s="1"/>
  <c r="G941" i="17"/>
  <c r="K101" i="17" s="1"/>
  <c r="F961" i="17"/>
  <c r="F850" i="28"/>
  <c r="G855" i="17"/>
  <c r="I855" i="17" s="1"/>
  <c r="G723" i="17"/>
  <c r="I723" i="17" s="1"/>
  <c r="G836" i="17"/>
  <c r="I836" i="17" s="1"/>
  <c r="G873" i="28"/>
  <c r="I873" i="28" s="1"/>
  <c r="G828" i="28"/>
  <c r="I828" i="28" s="1"/>
  <c r="G881" i="17"/>
  <c r="K95" i="17" s="1"/>
  <c r="G873" i="17"/>
  <c r="I873" i="17" s="1"/>
  <c r="G703" i="28"/>
  <c r="I703" i="28" s="1"/>
  <c r="F823" i="28"/>
  <c r="G881" i="28"/>
  <c r="I881" i="28" s="1"/>
  <c r="G484" i="17"/>
  <c r="I484" i="17" s="1"/>
  <c r="G692" i="28"/>
  <c r="I692" i="28" s="1"/>
  <c r="G897" i="28"/>
  <c r="I897" i="28" s="1"/>
  <c r="G700" i="17"/>
  <c r="I700" i="17" s="1"/>
  <c r="F746" i="17"/>
  <c r="G941" i="28"/>
  <c r="I941" i="28" s="1"/>
  <c r="G952" i="28"/>
  <c r="I952" i="28" s="1"/>
  <c r="G861" i="28"/>
  <c r="I861" i="28" s="1"/>
  <c r="G896" i="28"/>
  <c r="I896" i="28" s="1"/>
  <c r="F898" i="28"/>
  <c r="F744" i="28"/>
  <c r="G927" i="17"/>
  <c r="I927" i="17" s="1"/>
  <c r="F485" i="17"/>
  <c r="G875" i="28"/>
  <c r="I875" i="28" s="1"/>
  <c r="F737" i="17"/>
  <c r="F833" i="28"/>
  <c r="G955" i="28"/>
  <c r="I955" i="28" s="1"/>
  <c r="F959" i="17"/>
  <c r="G741" i="17"/>
  <c r="K81" i="17" s="1"/>
  <c r="F483" i="28"/>
  <c r="G824" i="28"/>
  <c r="I824" i="28" s="1"/>
  <c r="G945" i="28"/>
  <c r="I945" i="28" s="1"/>
  <c r="G952" i="17"/>
  <c r="I952" i="17" s="1"/>
  <c r="G951" i="17"/>
  <c r="K102" i="17" s="1"/>
  <c r="F750" i="17"/>
  <c r="F853" i="28"/>
  <c r="F724" i="17"/>
  <c r="F965" i="28"/>
  <c r="F866" i="28"/>
  <c r="G933" i="28"/>
  <c r="I933" i="28" s="1"/>
  <c r="G944" i="28"/>
  <c r="I944" i="28" s="1"/>
  <c r="G867" i="17"/>
  <c r="I867" i="17" s="1"/>
  <c r="G700" i="28"/>
  <c r="I700" i="28" s="1"/>
  <c r="F962" i="28"/>
  <c r="G710" i="17"/>
  <c r="I710" i="17" s="1"/>
  <c r="F748" i="17"/>
  <c r="G484" i="28"/>
  <c r="I484" i="28" s="1"/>
  <c r="G920" i="17"/>
  <c r="I920" i="17" s="1"/>
  <c r="F931" i="28"/>
  <c r="G919" i="28"/>
  <c r="I919" i="28" s="1"/>
  <c r="F856" i="28"/>
  <c r="F933" i="17"/>
  <c r="G946" i="17"/>
  <c r="I946" i="17" s="1"/>
  <c r="G895" i="28"/>
  <c r="I895" i="28" s="1"/>
  <c r="G747" i="17"/>
  <c r="I747" i="17" s="1"/>
  <c r="G738" i="17"/>
  <c r="I738" i="17" s="1"/>
  <c r="G936" i="28"/>
  <c r="I936" i="28" s="1"/>
  <c r="F937" i="17"/>
  <c r="F696" i="28"/>
  <c r="G748" i="28"/>
  <c r="I748" i="28" s="1"/>
  <c r="G693" i="28"/>
  <c r="I693" i="28" s="1"/>
  <c r="G868" i="28"/>
  <c r="I868" i="28" s="1"/>
  <c r="G872" i="17"/>
  <c r="I872" i="17" s="1"/>
  <c r="F862" i="17"/>
  <c r="F729" i="28"/>
  <c r="G877" i="17"/>
  <c r="I877" i="17" s="1"/>
  <c r="F751" i="28"/>
  <c r="F835" i="17"/>
  <c r="F826" i="28"/>
  <c r="G913" i="28"/>
  <c r="I913" i="28" s="1"/>
  <c r="G949" i="28"/>
  <c r="I949" i="28" s="1"/>
  <c r="B107" i="33"/>
  <c r="A108" i="33"/>
  <c r="B107" i="36"/>
  <c r="A108" i="36"/>
  <c r="B107" i="34"/>
  <c r="A108" i="34"/>
  <c r="B107" i="35"/>
  <c r="A108" i="35"/>
  <c r="G949" i="17"/>
  <c r="I949" i="17" s="1"/>
  <c r="G893" i="28"/>
  <c r="I893" i="28" s="1"/>
  <c r="G953" i="28"/>
  <c r="I953" i="28" s="1"/>
  <c r="G900" i="17"/>
  <c r="I900" i="17" s="1"/>
  <c r="G714" i="28"/>
  <c r="I714" i="28" s="1"/>
  <c r="F883" i="28"/>
  <c r="G883" i="28"/>
  <c r="F890" i="28"/>
  <c r="G890" i="28"/>
  <c r="F887" i="28"/>
  <c r="G887" i="28"/>
  <c r="F840" i="28"/>
  <c r="G840" i="28"/>
  <c r="F848" i="28"/>
  <c r="G848" i="28"/>
  <c r="F836" i="28"/>
  <c r="G836" i="28"/>
  <c r="F861" i="17"/>
  <c r="G861" i="17"/>
  <c r="K93" i="17" s="1"/>
  <c r="F848" i="17"/>
  <c r="G848" i="17"/>
  <c r="F899" i="17"/>
  <c r="G899" i="17"/>
  <c r="F750" i="28"/>
  <c r="G750" i="28"/>
  <c r="F740" i="28"/>
  <c r="G740" i="28"/>
  <c r="F1002" i="28"/>
  <c r="G1002" i="28"/>
  <c r="F990" i="28"/>
  <c r="G990" i="28"/>
  <c r="F997" i="17"/>
  <c r="G997" i="17"/>
  <c r="F993" i="17"/>
  <c r="G993" i="17"/>
  <c r="F760" i="28"/>
  <c r="G760" i="28"/>
  <c r="I109" i="16"/>
  <c r="G851" i="17"/>
  <c r="K92" i="17" s="1"/>
  <c r="F851" i="17"/>
  <c r="F865" i="28"/>
  <c r="G865" i="28"/>
  <c r="F489" i="17"/>
  <c r="G489" i="17"/>
  <c r="I874" i="17"/>
  <c r="I746" i="17"/>
  <c r="G971" i="17"/>
  <c r="K104" i="17" s="1"/>
  <c r="F971" i="17"/>
  <c r="I866" i="28"/>
  <c r="F960" i="17"/>
  <c r="G960" i="17"/>
  <c r="I961" i="17"/>
  <c r="I744" i="28"/>
  <c r="I856" i="17"/>
  <c r="F888" i="28"/>
  <c r="G888" i="28"/>
  <c r="F898" i="17"/>
  <c r="G898" i="17"/>
  <c r="G911" i="17"/>
  <c r="K98" i="17" s="1"/>
  <c r="F911" i="17"/>
  <c r="G891" i="17"/>
  <c r="K96" i="17" s="1"/>
  <c r="F891" i="17"/>
  <c r="F918" i="28"/>
  <c r="G918" i="28"/>
  <c r="F711" i="28"/>
  <c r="G711" i="28"/>
  <c r="F835" i="28"/>
  <c r="G835" i="28"/>
  <c r="F827" i="28"/>
  <c r="G827" i="28"/>
  <c r="F859" i="17"/>
  <c r="G859" i="17"/>
  <c r="F845" i="17"/>
  <c r="G845" i="17"/>
  <c r="F930" i="17"/>
  <c r="G930" i="17"/>
  <c r="G745" i="28"/>
  <c r="F745" i="28"/>
  <c r="F967" i="17"/>
  <c r="G967" i="17"/>
  <c r="F943" i="17"/>
  <c r="G943" i="17"/>
  <c r="F989" i="17"/>
  <c r="G989" i="17"/>
  <c r="F1000" i="28"/>
  <c r="G1000" i="28"/>
  <c r="F975" i="17"/>
  <c r="G975" i="17"/>
  <c r="F986" i="28"/>
  <c r="G986" i="28"/>
  <c r="F805" i="28"/>
  <c r="G805" i="28"/>
  <c r="F821" i="28"/>
  <c r="G821" i="28"/>
  <c r="F818" i="28"/>
  <c r="G818" i="28"/>
  <c r="F814" i="28"/>
  <c r="G814" i="28"/>
  <c r="F813" i="28"/>
  <c r="G813" i="28"/>
  <c r="F807" i="28"/>
  <c r="G807" i="28"/>
  <c r="F811" i="28"/>
  <c r="G811" i="28"/>
  <c r="F796" i="28"/>
  <c r="G796" i="28"/>
  <c r="F772" i="28"/>
  <c r="G772" i="28"/>
  <c r="F785" i="28"/>
  <c r="G785" i="28"/>
  <c r="F780" i="28"/>
  <c r="G780" i="28"/>
  <c r="F789" i="28"/>
  <c r="G789" i="28"/>
  <c r="F786" i="28"/>
  <c r="G786" i="28"/>
  <c r="F762" i="28"/>
  <c r="G762" i="28"/>
  <c r="F784" i="28"/>
  <c r="G784" i="28"/>
  <c r="G770" i="28"/>
  <c r="F770" i="28"/>
  <c r="F756" i="28"/>
  <c r="G756" i="28"/>
  <c r="F747" i="28"/>
  <c r="G747" i="28"/>
  <c r="F863" i="28"/>
  <c r="G863" i="28"/>
  <c r="F710" i="28"/>
  <c r="G710" i="28"/>
  <c r="F709" i="28"/>
  <c r="G709" i="28"/>
  <c r="F713" i="28"/>
  <c r="G713" i="28"/>
  <c r="F673" i="28"/>
  <c r="G673" i="28"/>
  <c r="F684" i="28"/>
  <c r="G684" i="28"/>
  <c r="F691" i="28"/>
  <c r="G691" i="28"/>
  <c r="F690" i="28"/>
  <c r="G690" i="28"/>
  <c r="F680" i="28"/>
  <c r="G680" i="28"/>
  <c r="F672" i="28"/>
  <c r="G672" i="28"/>
  <c r="F670" i="28"/>
  <c r="G670" i="28"/>
  <c r="F644" i="28"/>
  <c r="G644" i="28"/>
  <c r="F650" i="28"/>
  <c r="G650" i="28"/>
  <c r="F658" i="28"/>
  <c r="G658" i="28"/>
  <c r="F641" i="28"/>
  <c r="G641" i="28"/>
  <c r="F652" i="28"/>
  <c r="G652" i="28"/>
  <c r="F656" i="28"/>
  <c r="G656" i="28"/>
  <c r="F635" i="28"/>
  <c r="G635" i="28"/>
  <c r="F638" i="28"/>
  <c r="G638" i="28"/>
  <c r="F612" i="28"/>
  <c r="G612" i="28"/>
  <c r="G618" i="28"/>
  <c r="F618" i="28"/>
  <c r="F624" i="28"/>
  <c r="G624" i="28"/>
  <c r="F623" i="28"/>
  <c r="G623" i="28"/>
  <c r="G616" i="28"/>
  <c r="F616" i="28"/>
  <c r="F600" i="28"/>
  <c r="G600" i="28"/>
  <c r="F605" i="28"/>
  <c r="G605" i="28"/>
  <c r="F607" i="28"/>
  <c r="G607" i="28"/>
  <c r="G594" i="28"/>
  <c r="F594" i="28"/>
  <c r="F610" i="28"/>
  <c r="G610" i="28"/>
  <c r="F601" i="28"/>
  <c r="G601" i="28"/>
  <c r="F582" i="28"/>
  <c r="G582" i="28"/>
  <c r="F578" i="28"/>
  <c r="G578" i="28"/>
  <c r="F576" i="28"/>
  <c r="G576" i="28"/>
  <c r="G573" i="28"/>
  <c r="F573" i="28"/>
  <c r="F554" i="28"/>
  <c r="G554" i="28"/>
  <c r="F568" i="28"/>
  <c r="G568" i="28"/>
  <c r="F572" i="28"/>
  <c r="G572" i="28"/>
  <c r="F569" i="28"/>
  <c r="G569" i="28"/>
  <c r="F549" i="28"/>
  <c r="G549" i="28"/>
  <c r="F548" i="28"/>
  <c r="G548" i="28"/>
  <c r="F547" i="28"/>
  <c r="G547" i="28"/>
  <c r="F545" i="28"/>
  <c r="G545" i="28"/>
  <c r="F539" i="28"/>
  <c r="G539" i="28"/>
  <c r="G534" i="28"/>
  <c r="F534" i="28"/>
  <c r="G512" i="28"/>
  <c r="F512" i="28"/>
  <c r="F538" i="28"/>
  <c r="G538" i="28"/>
  <c r="F516" i="28"/>
  <c r="G516" i="28"/>
  <c r="F511" i="28"/>
  <c r="G511" i="28"/>
  <c r="F519" i="28"/>
  <c r="G519" i="28"/>
  <c r="F501" i="28"/>
  <c r="G501" i="28"/>
  <c r="G503" i="28"/>
  <c r="F503" i="28"/>
  <c r="F504" i="28"/>
  <c r="G504" i="28"/>
  <c r="F493" i="28"/>
  <c r="G493" i="28"/>
  <c r="F508" i="28"/>
  <c r="G508" i="28"/>
  <c r="C58" i="16"/>
  <c r="H57" i="16"/>
  <c r="I737" i="17"/>
  <c r="I833" i="28"/>
  <c r="G959" i="28"/>
  <c r="F959" i="28"/>
  <c r="I959" i="17"/>
  <c r="I480" i="28"/>
  <c r="I750" i="17"/>
  <c r="I838" i="17"/>
  <c r="F946" i="28"/>
  <c r="G946" i="28"/>
  <c r="F885" i="28"/>
  <c r="G885" i="28"/>
  <c r="F911" i="28"/>
  <c r="G911" i="28"/>
  <c r="F730" i="28"/>
  <c r="G730" i="28"/>
  <c r="F838" i="28"/>
  <c r="G838" i="28"/>
  <c r="F914" i="28"/>
  <c r="G914" i="28"/>
  <c r="F712" i="17"/>
  <c r="G712" i="17"/>
  <c r="F860" i="17"/>
  <c r="G860" i="17"/>
  <c r="F857" i="17"/>
  <c r="G857" i="17"/>
  <c r="F742" i="28"/>
  <c r="G742" i="28"/>
  <c r="F829" i="28"/>
  <c r="G829" i="28"/>
  <c r="F1000" i="17"/>
  <c r="G1000" i="17"/>
  <c r="F992" i="28"/>
  <c r="G992" i="28"/>
  <c r="F759" i="17"/>
  <c r="G759" i="17"/>
  <c r="F825" i="17"/>
  <c r="G825" i="17"/>
  <c r="F822" i="17"/>
  <c r="G822" i="17"/>
  <c r="F816" i="17"/>
  <c r="G816" i="17"/>
  <c r="F815" i="17"/>
  <c r="G815" i="17"/>
  <c r="G817" i="17"/>
  <c r="F817" i="17"/>
  <c r="G811" i="17"/>
  <c r="K88" i="17" s="1"/>
  <c r="F811" i="17"/>
  <c r="F805" i="17"/>
  <c r="G805" i="17"/>
  <c r="F806" i="17"/>
  <c r="G806" i="17"/>
  <c r="F800" i="17"/>
  <c r="G800" i="17"/>
  <c r="F787" i="17"/>
  <c r="G787" i="17"/>
  <c r="F780" i="17"/>
  <c r="G780" i="17"/>
  <c r="F779" i="17"/>
  <c r="G779" i="17"/>
  <c r="F794" i="17"/>
  <c r="G794" i="17"/>
  <c r="F777" i="17"/>
  <c r="G777" i="17"/>
  <c r="F767" i="17"/>
  <c r="G767" i="17"/>
  <c r="F768" i="17"/>
  <c r="G768" i="17"/>
  <c r="G771" i="17"/>
  <c r="K84" i="17" s="1"/>
  <c r="F771" i="17"/>
  <c r="G761" i="17"/>
  <c r="K83" i="17" s="1"/>
  <c r="F761" i="17"/>
  <c r="F749" i="28"/>
  <c r="G749" i="28"/>
  <c r="A112" i="16"/>
  <c r="B111" i="16"/>
  <c r="D111" i="16" a="1"/>
  <c r="D111" i="16" s="1"/>
  <c r="E111" i="16" s="1"/>
  <c r="F900" i="28"/>
  <c r="G900" i="28"/>
  <c r="G695" i="17"/>
  <c r="F695" i="17"/>
  <c r="F682" i="17"/>
  <c r="G682" i="17"/>
  <c r="F693" i="17"/>
  <c r="G693" i="17"/>
  <c r="F692" i="17"/>
  <c r="G692" i="17"/>
  <c r="F676" i="17"/>
  <c r="G676" i="17"/>
  <c r="F683" i="17"/>
  <c r="G683" i="17"/>
  <c r="F681" i="17"/>
  <c r="G681" i="17"/>
  <c r="K75" i="17" s="1"/>
  <c r="F675" i="17"/>
  <c r="G675" i="17"/>
  <c r="F661" i="17"/>
  <c r="G661" i="17"/>
  <c r="K73" i="17" s="1"/>
  <c r="G671" i="17"/>
  <c r="K74" i="17" s="1"/>
  <c r="F671" i="17"/>
  <c r="F643" i="17"/>
  <c r="G643" i="17"/>
  <c r="F658" i="17"/>
  <c r="G658" i="17"/>
  <c r="F673" i="17"/>
  <c r="G673" i="17"/>
  <c r="F642" i="17"/>
  <c r="G642" i="17"/>
  <c r="F633" i="17"/>
  <c r="G633" i="17"/>
  <c r="F646" i="17"/>
  <c r="G646" i="17"/>
  <c r="F640" i="17"/>
  <c r="G640" i="17"/>
  <c r="F619" i="17"/>
  <c r="G619" i="17"/>
  <c r="F629" i="17"/>
  <c r="G629" i="17"/>
  <c r="F622" i="17"/>
  <c r="G622" i="17"/>
  <c r="F613" i="17"/>
  <c r="G613" i="17"/>
  <c r="F609" i="17"/>
  <c r="G609" i="17"/>
  <c r="F620" i="17"/>
  <c r="G620" i="17"/>
  <c r="F595" i="17"/>
  <c r="G595" i="17"/>
  <c r="F606" i="17"/>
  <c r="G606" i="17"/>
  <c r="F627" i="17"/>
  <c r="G627" i="17"/>
  <c r="F596" i="17"/>
  <c r="G596" i="17"/>
  <c r="F593" i="17"/>
  <c r="G593" i="17"/>
  <c r="F572" i="17"/>
  <c r="G572" i="17"/>
  <c r="F586" i="17"/>
  <c r="G586" i="17"/>
  <c r="F577" i="17"/>
  <c r="G577" i="17"/>
  <c r="F567" i="17"/>
  <c r="G567" i="17"/>
  <c r="F575" i="17"/>
  <c r="G575" i="17"/>
  <c r="F579" i="17"/>
  <c r="G579" i="17"/>
  <c r="G571" i="17"/>
  <c r="K64" i="17" s="1"/>
  <c r="F571" i="17"/>
  <c r="F566" i="17"/>
  <c r="G566" i="17"/>
  <c r="F569" i="17"/>
  <c r="G569" i="17"/>
  <c r="G551" i="17"/>
  <c r="K62" i="17" s="1"/>
  <c r="F551" i="17"/>
  <c r="F550" i="17"/>
  <c r="G550" i="17"/>
  <c r="F558" i="17"/>
  <c r="G558" i="17"/>
  <c r="F534" i="17"/>
  <c r="G534" i="17"/>
  <c r="F541" i="17"/>
  <c r="G541" i="17"/>
  <c r="K61" i="17" s="1"/>
  <c r="F523" i="17"/>
  <c r="G523" i="17"/>
  <c r="F524" i="17"/>
  <c r="G524" i="17"/>
  <c r="F510" i="17"/>
  <c r="G510" i="17"/>
  <c r="F513" i="17"/>
  <c r="G513" i="17"/>
  <c r="F521" i="17"/>
  <c r="G521" i="17"/>
  <c r="K59" i="17" s="1"/>
  <c r="F516" i="17"/>
  <c r="G516" i="17"/>
  <c r="F497" i="17"/>
  <c r="G497" i="17"/>
  <c r="F495" i="17"/>
  <c r="G495" i="17"/>
  <c r="F507" i="17"/>
  <c r="G507" i="17"/>
  <c r="F492" i="17"/>
  <c r="G492" i="17"/>
  <c r="G854" i="17"/>
  <c r="F854" i="17"/>
  <c r="G871" i="17"/>
  <c r="K94" i="17" s="1"/>
  <c r="F871" i="17"/>
  <c r="F969" i="17"/>
  <c r="G969" i="17"/>
  <c r="F846" i="17"/>
  <c r="G846" i="17"/>
  <c r="F869" i="17"/>
  <c r="G869" i="17"/>
  <c r="F919" i="17"/>
  <c r="G919" i="17"/>
  <c r="F963" i="17"/>
  <c r="G963" i="17"/>
  <c r="F736" i="17"/>
  <c r="G736" i="17"/>
  <c r="G834" i="17"/>
  <c r="F834" i="17"/>
  <c r="F740" i="17"/>
  <c r="G740" i="17"/>
  <c r="F489" i="28"/>
  <c r="G489" i="28"/>
  <c r="F744" i="17"/>
  <c r="G744" i="17"/>
  <c r="F733" i="17"/>
  <c r="G733" i="17"/>
  <c r="I696" i="28"/>
  <c r="F889" i="28"/>
  <c r="G889" i="28"/>
  <c r="G909" i="28"/>
  <c r="F909" i="28"/>
  <c r="F728" i="28"/>
  <c r="G728" i="28"/>
  <c r="F722" i="28"/>
  <c r="G722" i="28"/>
  <c r="F922" i="28"/>
  <c r="G922" i="28"/>
  <c r="F853" i="17"/>
  <c r="G853" i="17"/>
  <c r="F844" i="17"/>
  <c r="G844" i="17"/>
  <c r="F903" i="17"/>
  <c r="G903" i="17"/>
  <c r="G865" i="17"/>
  <c r="F865" i="17"/>
  <c r="F950" i="28"/>
  <c r="G950" i="28"/>
  <c r="F979" i="17"/>
  <c r="G979" i="17"/>
  <c r="F983" i="28"/>
  <c r="G983" i="28"/>
  <c r="F994" i="17"/>
  <c r="G994" i="17"/>
  <c r="F978" i="17"/>
  <c r="G978" i="17"/>
  <c r="F758" i="17"/>
  <c r="G758" i="17"/>
  <c r="F876" i="28"/>
  <c r="G876" i="28"/>
  <c r="I477" i="28"/>
  <c r="F939" i="17"/>
  <c r="G939" i="17"/>
  <c r="F695" i="28"/>
  <c r="G695" i="28"/>
  <c r="F483" i="17"/>
  <c r="G483" i="17"/>
  <c r="F968" i="28"/>
  <c r="G968" i="28"/>
  <c r="F720" i="28"/>
  <c r="G720" i="28"/>
  <c r="F719" i="28"/>
  <c r="G719" i="28"/>
  <c r="F969" i="28"/>
  <c r="G969" i="28"/>
  <c r="F940" i="28"/>
  <c r="G940" i="28"/>
  <c r="F731" i="28"/>
  <c r="G731" i="28"/>
  <c r="F847" i="28"/>
  <c r="G847" i="28"/>
  <c r="F485" i="28"/>
  <c r="G485" i="28"/>
  <c r="F708" i="17"/>
  <c r="G708" i="17"/>
  <c r="F954" i="28"/>
  <c r="G954" i="28"/>
  <c r="I862" i="17"/>
  <c r="I748" i="17"/>
  <c r="I856" i="28"/>
  <c r="I823" i="28"/>
  <c r="I475" i="28"/>
  <c r="I826" i="28"/>
  <c r="F882" i="17"/>
  <c r="G882" i="17"/>
  <c r="F879" i="17"/>
  <c r="G879" i="17"/>
  <c r="F908" i="28"/>
  <c r="G908" i="28"/>
  <c r="F834" i="28"/>
  <c r="G834" i="28"/>
  <c r="F699" i="28"/>
  <c r="G699" i="28"/>
  <c r="F921" i="28"/>
  <c r="G921" i="28"/>
  <c r="F914" i="17"/>
  <c r="G914" i="17"/>
  <c r="F924" i="17"/>
  <c r="G924" i="17"/>
  <c r="F912" i="17"/>
  <c r="G912" i="17"/>
  <c r="F867" i="28"/>
  <c r="G867" i="28"/>
  <c r="F899" i="28"/>
  <c r="G899" i="28"/>
  <c r="F947" i="17"/>
  <c r="G947" i="17"/>
  <c r="F987" i="17"/>
  <c r="G987" i="17"/>
  <c r="F1001" i="17"/>
  <c r="G1001" i="17"/>
  <c r="K107" i="17" s="1"/>
  <c r="F973" i="17"/>
  <c r="G973" i="17"/>
  <c r="G995" i="28"/>
  <c r="F995" i="28"/>
  <c r="F760" i="17"/>
  <c r="G760" i="17"/>
  <c r="F753" i="28"/>
  <c r="G753" i="28"/>
  <c r="F864" i="17"/>
  <c r="G864" i="17"/>
  <c r="F697" i="28"/>
  <c r="G697" i="28"/>
  <c r="F488" i="28"/>
  <c r="G488" i="28"/>
  <c r="G955" i="17"/>
  <c r="F955" i="17"/>
  <c r="F884" i="17"/>
  <c r="G884" i="17"/>
  <c r="F910" i="17"/>
  <c r="G910" i="17"/>
  <c r="F901" i="17"/>
  <c r="G901" i="17"/>
  <c r="K97" i="17" s="1"/>
  <c r="F880" i="28"/>
  <c r="G880" i="28"/>
  <c r="F706" i="28"/>
  <c r="G706" i="28"/>
  <c r="F705" i="28"/>
  <c r="G705" i="28"/>
  <c r="F904" i="28"/>
  <c r="G904" i="28"/>
  <c r="F851" i="28"/>
  <c r="G851" i="28"/>
  <c r="F699" i="17"/>
  <c r="G699" i="17"/>
  <c r="F928" i="17"/>
  <c r="G928" i="17"/>
  <c r="F726" i="17"/>
  <c r="G726" i="17"/>
  <c r="F845" i="28"/>
  <c r="G845" i="28"/>
  <c r="F698" i="28"/>
  <c r="G698" i="28"/>
  <c r="F989" i="28"/>
  <c r="G989" i="28"/>
  <c r="F976" i="28"/>
  <c r="G976" i="28"/>
  <c r="F980" i="28"/>
  <c r="G980" i="28"/>
  <c r="F996" i="17"/>
  <c r="G996" i="17"/>
  <c r="F998" i="28"/>
  <c r="G998" i="28"/>
  <c r="F812" i="28"/>
  <c r="G812" i="28"/>
  <c r="F809" i="28"/>
  <c r="G809" i="28"/>
  <c r="F802" i="28"/>
  <c r="G802" i="28"/>
  <c r="F817" i="28"/>
  <c r="G817" i="28"/>
  <c r="F806" i="28"/>
  <c r="G806" i="28"/>
  <c r="F793" i="28"/>
  <c r="G793" i="28"/>
  <c r="F801" i="28"/>
  <c r="G801" i="28"/>
  <c r="F803" i="28"/>
  <c r="G803" i="28"/>
  <c r="F791" i="28"/>
  <c r="G791" i="28"/>
  <c r="F788" i="28"/>
  <c r="G788" i="28"/>
  <c r="F798" i="28"/>
  <c r="G798" i="28"/>
  <c r="F774" i="28"/>
  <c r="G774" i="28"/>
  <c r="F769" i="28"/>
  <c r="G769" i="28"/>
  <c r="F773" i="28"/>
  <c r="G773" i="28"/>
  <c r="F767" i="28"/>
  <c r="G767" i="28"/>
  <c r="F766" i="28"/>
  <c r="G766" i="28"/>
  <c r="F754" i="28"/>
  <c r="G754" i="28"/>
  <c r="F743" i="17"/>
  <c r="G743" i="17"/>
  <c r="F847" i="17"/>
  <c r="G847" i="17"/>
  <c r="F938" i="28"/>
  <c r="G938" i="28"/>
  <c r="F704" i="28"/>
  <c r="G704" i="28"/>
  <c r="F686" i="28"/>
  <c r="G686" i="28"/>
  <c r="F678" i="28"/>
  <c r="G678" i="28"/>
  <c r="F689" i="28"/>
  <c r="G689" i="28"/>
  <c r="G682" i="28"/>
  <c r="F682" i="28"/>
  <c r="F665" i="28"/>
  <c r="G665" i="28"/>
  <c r="G674" i="28"/>
  <c r="F674" i="28"/>
  <c r="F669" i="28"/>
  <c r="G669" i="28"/>
  <c r="G642" i="28"/>
  <c r="F642" i="28"/>
  <c r="F657" i="28"/>
  <c r="G657" i="28"/>
  <c r="F661" i="28"/>
  <c r="G661" i="28"/>
  <c r="F653" i="28"/>
  <c r="G653" i="28"/>
  <c r="F633" i="28"/>
  <c r="G633" i="28"/>
  <c r="F648" i="28"/>
  <c r="G648" i="28"/>
  <c r="F634" i="28"/>
  <c r="G634" i="28"/>
  <c r="F646" i="28"/>
  <c r="G646" i="28"/>
  <c r="F622" i="28"/>
  <c r="G622" i="28"/>
  <c r="F629" i="28"/>
  <c r="G629" i="28"/>
  <c r="F625" i="28"/>
  <c r="G625" i="28"/>
  <c r="F626" i="28"/>
  <c r="G626" i="28"/>
  <c r="F619" i="28"/>
  <c r="G619" i="28"/>
  <c r="F614" i="28"/>
  <c r="G614" i="28"/>
  <c r="F604" i="28"/>
  <c r="G604" i="28"/>
  <c r="G588" i="28"/>
  <c r="F588" i="28"/>
  <c r="G603" i="28"/>
  <c r="F603" i="28"/>
  <c r="F597" i="28"/>
  <c r="G597" i="28"/>
  <c r="F584" i="28"/>
  <c r="G584" i="28"/>
  <c r="F589" i="28"/>
  <c r="G589" i="28"/>
  <c r="F585" i="28"/>
  <c r="G585" i="28"/>
  <c r="F587" i="28"/>
  <c r="G587" i="28"/>
  <c r="F556" i="28"/>
  <c r="G556" i="28"/>
  <c r="F559" i="28"/>
  <c r="G559" i="28"/>
  <c r="F557" i="28"/>
  <c r="G557" i="28"/>
  <c r="F566" i="28"/>
  <c r="G566" i="28"/>
  <c r="F574" i="28"/>
  <c r="G574" i="28"/>
  <c r="F544" i="28"/>
  <c r="G544" i="28"/>
  <c r="F551" i="28"/>
  <c r="G551" i="28"/>
  <c r="F555" i="28"/>
  <c r="G555" i="28"/>
  <c r="F564" i="28"/>
  <c r="G564" i="28"/>
  <c r="F541" i="28"/>
  <c r="G541" i="28"/>
  <c r="F528" i="28"/>
  <c r="G528" i="28"/>
  <c r="F533" i="28"/>
  <c r="G533" i="28"/>
  <c r="F518" i="28"/>
  <c r="G518" i="28"/>
  <c r="F506" i="28"/>
  <c r="G506" i="28"/>
  <c r="F509" i="28"/>
  <c r="G509" i="28"/>
  <c r="F524" i="28"/>
  <c r="G524" i="28"/>
  <c r="F515" i="28"/>
  <c r="G515" i="28"/>
  <c r="F495" i="28"/>
  <c r="G495" i="28"/>
  <c r="F502" i="28"/>
  <c r="G502" i="28"/>
  <c r="F497" i="28"/>
  <c r="G497" i="28"/>
  <c r="F494" i="28"/>
  <c r="G494" i="28"/>
  <c r="F491" i="28"/>
  <c r="G491" i="28"/>
  <c r="F956" i="17"/>
  <c r="G956" i="17"/>
  <c r="F109" i="27"/>
  <c r="G109" i="27"/>
  <c r="F891" i="28"/>
  <c r="G891" i="28"/>
  <c r="F887" i="17"/>
  <c r="G887" i="17"/>
  <c r="F915" i="28"/>
  <c r="G915" i="28"/>
  <c r="F715" i="28"/>
  <c r="G715" i="28"/>
  <c r="F849" i="28"/>
  <c r="G849" i="28"/>
  <c r="F894" i="17"/>
  <c r="G894" i="17"/>
  <c r="F833" i="17"/>
  <c r="G833" i="17"/>
  <c r="F720" i="17"/>
  <c r="G720" i="17"/>
  <c r="F735" i="17"/>
  <c r="G735" i="17"/>
  <c r="F934" i="17"/>
  <c r="G934" i="17"/>
  <c r="G988" i="17"/>
  <c r="F988" i="17"/>
  <c r="F974" i="17"/>
  <c r="G974" i="17"/>
  <c r="F754" i="17"/>
  <c r="G754" i="17"/>
  <c r="F821" i="17"/>
  <c r="G821" i="17"/>
  <c r="K89" i="17" s="1"/>
  <c r="F828" i="17"/>
  <c r="G828" i="17"/>
  <c r="F832" i="17"/>
  <c r="G832" i="17"/>
  <c r="F827" i="17"/>
  <c r="G827" i="17"/>
  <c r="F809" i="17"/>
  <c r="G809" i="17"/>
  <c r="F818" i="17"/>
  <c r="G818" i="17"/>
  <c r="F793" i="17"/>
  <c r="G793" i="17"/>
  <c r="F802" i="17"/>
  <c r="G802" i="17"/>
  <c r="F782" i="17"/>
  <c r="G782" i="17"/>
  <c r="F792" i="17"/>
  <c r="G792" i="17"/>
  <c r="F774" i="17"/>
  <c r="G774" i="17"/>
  <c r="F796" i="17"/>
  <c r="G796" i="17"/>
  <c r="F786" i="17"/>
  <c r="G786" i="17"/>
  <c r="F789" i="17"/>
  <c r="G789" i="17"/>
  <c r="F770" i="17"/>
  <c r="G770" i="17"/>
  <c r="G765" i="17"/>
  <c r="F765" i="17"/>
  <c r="F764" i="17"/>
  <c r="G764" i="17"/>
  <c r="F758" i="28"/>
  <c r="G758" i="28"/>
  <c r="F726" i="28"/>
  <c r="G726" i="28"/>
  <c r="F920" i="28"/>
  <c r="G920" i="28"/>
  <c r="F696" i="17"/>
  <c r="G696" i="17"/>
  <c r="F686" i="17"/>
  <c r="G686" i="17"/>
  <c r="F684" i="17"/>
  <c r="G684" i="17"/>
  <c r="F677" i="17"/>
  <c r="G677" i="17"/>
  <c r="F679" i="17"/>
  <c r="G679" i="17"/>
  <c r="F666" i="17"/>
  <c r="G666" i="17"/>
  <c r="F705" i="17"/>
  <c r="G705" i="17"/>
  <c r="F697" i="17"/>
  <c r="G697" i="17"/>
  <c r="F657" i="17"/>
  <c r="G657" i="17"/>
  <c r="F659" i="17"/>
  <c r="G659" i="17"/>
  <c r="F655" i="17"/>
  <c r="G655" i="17"/>
  <c r="F654" i="17"/>
  <c r="G654" i="17"/>
  <c r="F644" i="17"/>
  <c r="G644" i="17"/>
  <c r="F649" i="17"/>
  <c r="G649" i="17"/>
  <c r="F647" i="17"/>
  <c r="G647" i="17"/>
  <c r="F650" i="17"/>
  <c r="G650" i="17"/>
  <c r="F621" i="17"/>
  <c r="G621" i="17"/>
  <c r="K69" i="17" s="1"/>
  <c r="F626" i="17"/>
  <c r="G626" i="17"/>
  <c r="F616" i="17"/>
  <c r="G616" i="17"/>
  <c r="F623" i="17"/>
  <c r="G623" i="17"/>
  <c r="F614" i="17"/>
  <c r="G614" i="17"/>
  <c r="F611" i="17"/>
  <c r="G611" i="17"/>
  <c r="K68" i="17" s="1"/>
  <c r="F592" i="17"/>
  <c r="G592" i="17"/>
  <c r="F597" i="17"/>
  <c r="G597" i="17"/>
  <c r="F608" i="17"/>
  <c r="G608" i="17"/>
  <c r="F601" i="17"/>
  <c r="G601" i="17"/>
  <c r="K67" i="17" s="1"/>
  <c r="F594" i="17"/>
  <c r="G594" i="17"/>
  <c r="F581" i="17"/>
  <c r="G581" i="17"/>
  <c r="K65" i="17" s="1"/>
  <c r="F576" i="17"/>
  <c r="G576" i="17"/>
  <c r="G591" i="17"/>
  <c r="K66" i="17" s="1"/>
  <c r="F591" i="17"/>
  <c r="F563" i="17"/>
  <c r="G563" i="17"/>
  <c r="F562" i="17"/>
  <c r="G562" i="17"/>
  <c r="F573" i="17"/>
  <c r="G573" i="17"/>
  <c r="F564" i="17"/>
  <c r="G564" i="17"/>
  <c r="F560" i="17"/>
  <c r="G560" i="17"/>
  <c r="F552" i="17"/>
  <c r="G552" i="17"/>
  <c r="F549" i="17"/>
  <c r="G549" i="17"/>
  <c r="F536" i="17"/>
  <c r="G536" i="17"/>
  <c r="F548" i="17"/>
  <c r="G548" i="17"/>
  <c r="F527" i="17"/>
  <c r="G527" i="17"/>
  <c r="F554" i="17"/>
  <c r="G554" i="17"/>
  <c r="F522" i="17"/>
  <c r="G522" i="17"/>
  <c r="G531" i="17"/>
  <c r="K60" i="17" s="1"/>
  <c r="F531" i="17"/>
  <c r="F529" i="17"/>
  <c r="G529" i="17"/>
  <c r="F518" i="17"/>
  <c r="G518" i="17"/>
  <c r="F502" i="17"/>
  <c r="G502" i="17"/>
  <c r="F506" i="17"/>
  <c r="G506" i="17"/>
  <c r="F514" i="17"/>
  <c r="G514" i="17"/>
  <c r="F494" i="17"/>
  <c r="G494" i="17"/>
  <c r="F493" i="17"/>
  <c r="G493" i="17"/>
  <c r="F496" i="17"/>
  <c r="G496" i="17"/>
  <c r="F508" i="17"/>
  <c r="G508" i="17"/>
  <c r="F904" i="17"/>
  <c r="G904" i="17"/>
  <c r="F868" i="17"/>
  <c r="G868" i="17"/>
  <c r="F852" i="17"/>
  <c r="G852" i="17"/>
  <c r="F917" i="17"/>
  <c r="G917" i="17"/>
  <c r="F704" i="17"/>
  <c r="G704" i="17"/>
  <c r="F842" i="17"/>
  <c r="G842" i="17"/>
  <c r="F964" i="17"/>
  <c r="G964" i="17"/>
  <c r="F734" i="17"/>
  <c r="G734" i="17"/>
  <c r="F962" i="17"/>
  <c r="G962" i="17"/>
  <c r="F907" i="17"/>
  <c r="G907" i="17"/>
  <c r="F878" i="17"/>
  <c r="G878" i="17"/>
  <c r="F706" i="17"/>
  <c r="G706" i="17"/>
  <c r="F953" i="17"/>
  <c r="G953" i="17"/>
  <c r="I479" i="28"/>
  <c r="I729" i="28"/>
  <c r="I962" i="28"/>
  <c r="F888" i="17"/>
  <c r="G888" i="17"/>
  <c r="F886" i="17"/>
  <c r="G886" i="17"/>
  <c r="I477" i="17"/>
  <c r="F725" i="28"/>
  <c r="G725" i="28"/>
  <c r="F917" i="28"/>
  <c r="G917" i="28"/>
  <c r="F930" i="28"/>
  <c r="G930" i="28"/>
  <c r="I472" i="17"/>
  <c r="F926" i="17"/>
  <c r="G926" i="17"/>
  <c r="F694" i="17"/>
  <c r="G694" i="17"/>
  <c r="F749" i="17"/>
  <c r="G749" i="17"/>
  <c r="F844" i="28"/>
  <c r="G844" i="28"/>
  <c r="F991" i="28"/>
  <c r="G991" i="28"/>
  <c r="F999" i="17"/>
  <c r="G999" i="17"/>
  <c r="F984" i="17"/>
  <c r="G984" i="17"/>
  <c r="F987" i="28"/>
  <c r="G987" i="28"/>
  <c r="F996" i="28"/>
  <c r="G996" i="28"/>
  <c r="F757" i="17"/>
  <c r="G757" i="17"/>
  <c r="F874" i="28"/>
  <c r="G874" i="28"/>
  <c r="F738" i="28"/>
  <c r="G738" i="28"/>
  <c r="F950" i="17"/>
  <c r="G950" i="17"/>
  <c r="F732" i="28"/>
  <c r="G732" i="28"/>
  <c r="G934" i="28"/>
  <c r="F934" i="28"/>
  <c r="F717" i="28"/>
  <c r="G717" i="28"/>
  <c r="F718" i="28"/>
  <c r="G718" i="28"/>
  <c r="F935" i="28"/>
  <c r="G935" i="28"/>
  <c r="F864" i="28"/>
  <c r="G864" i="28"/>
  <c r="F734" i="28"/>
  <c r="G734" i="28"/>
  <c r="F721" i="28"/>
  <c r="G721" i="28"/>
  <c r="F486" i="28"/>
  <c r="G486" i="28"/>
  <c r="C58" i="17"/>
  <c r="H57" i="17"/>
  <c r="F862" i="28"/>
  <c r="G862" i="28"/>
  <c r="F958" i="28"/>
  <c r="G958" i="28"/>
  <c r="F932" i="28"/>
  <c r="G932" i="28"/>
  <c r="F842" i="28"/>
  <c r="G842" i="28"/>
  <c r="F852" i="28"/>
  <c r="G852" i="28"/>
  <c r="F857" i="28"/>
  <c r="G857" i="28"/>
  <c r="F843" i="28"/>
  <c r="G843" i="28"/>
  <c r="F915" i="17"/>
  <c r="G915" i="17"/>
  <c r="F698" i="17"/>
  <c r="G698" i="17"/>
  <c r="F858" i="17"/>
  <c r="G858" i="17"/>
  <c r="F909" i="17"/>
  <c r="G909" i="17"/>
  <c r="F701" i="28"/>
  <c r="G701" i="28"/>
  <c r="F943" i="28"/>
  <c r="G943" i="28"/>
  <c r="F972" i="28"/>
  <c r="G972" i="28"/>
  <c r="F972" i="17"/>
  <c r="G972" i="17"/>
  <c r="F977" i="28"/>
  <c r="G977" i="28"/>
  <c r="F997" i="28"/>
  <c r="G997" i="28"/>
  <c r="F755" i="17"/>
  <c r="G755" i="17"/>
  <c r="F872" i="28"/>
  <c r="G872" i="28"/>
  <c r="F742" i="17"/>
  <c r="G742" i="17"/>
  <c r="F965" i="17"/>
  <c r="G965" i="17"/>
  <c r="F822" i="28"/>
  <c r="G822" i="28"/>
  <c r="I892" i="28"/>
  <c r="F942" i="17"/>
  <c r="G942" i="17"/>
  <c r="G886" i="28"/>
  <c r="F886" i="28"/>
  <c r="F892" i="17"/>
  <c r="G892" i="17"/>
  <c r="F895" i="17"/>
  <c r="G895" i="17"/>
  <c r="G711" i="17"/>
  <c r="K78" i="17" s="1"/>
  <c r="F711" i="17"/>
  <c r="F929" i="28"/>
  <c r="G929" i="28"/>
  <c r="G924" i="28"/>
  <c r="F924" i="28"/>
  <c r="F916" i="28"/>
  <c r="G916" i="28"/>
  <c r="F723" i="28"/>
  <c r="G723" i="28"/>
  <c r="G931" i="17"/>
  <c r="K100" i="17" s="1"/>
  <c r="F931" i="17"/>
  <c r="G837" i="17"/>
  <c r="F837" i="17"/>
  <c r="F929" i="17"/>
  <c r="G929" i="17"/>
  <c r="F971" i="28"/>
  <c r="G971" i="28"/>
  <c r="F901" i="28"/>
  <c r="G901" i="28"/>
  <c r="F983" i="17"/>
  <c r="G983" i="17"/>
  <c r="G981" i="17"/>
  <c r="K105" i="17" s="1"/>
  <c r="F981" i="17"/>
  <c r="F1003" i="28"/>
  <c r="F979" i="28"/>
  <c r="G979" i="28"/>
  <c r="F977" i="17"/>
  <c r="G977" i="17"/>
  <c r="F837" i="28"/>
  <c r="G837" i="28"/>
  <c r="F804" i="28"/>
  <c r="G804" i="28"/>
  <c r="F815" i="28"/>
  <c r="G815" i="28"/>
  <c r="F825" i="28"/>
  <c r="G825" i="28"/>
  <c r="F795" i="28"/>
  <c r="G795" i="28"/>
  <c r="F810" i="28"/>
  <c r="G810" i="28"/>
  <c r="F794" i="28"/>
  <c r="G794" i="28"/>
  <c r="F787" i="28"/>
  <c r="G787" i="28"/>
  <c r="F790" i="28"/>
  <c r="G790" i="28"/>
  <c r="F781" i="28"/>
  <c r="G781" i="28"/>
  <c r="F779" i="28"/>
  <c r="G779" i="28"/>
  <c r="F783" i="28"/>
  <c r="G783" i="28"/>
  <c r="F782" i="28"/>
  <c r="G782" i="28"/>
  <c r="F764" i="28"/>
  <c r="G764" i="28"/>
  <c r="F765" i="28"/>
  <c r="G765" i="28"/>
  <c r="G761" i="28"/>
  <c r="F761" i="28"/>
  <c r="F755" i="28"/>
  <c r="G755" i="28"/>
  <c r="F737" i="28"/>
  <c r="G737" i="28"/>
  <c r="F966" i="17"/>
  <c r="G966" i="17"/>
  <c r="F947" i="28"/>
  <c r="G947" i="28"/>
  <c r="F707" i="28"/>
  <c r="G707" i="28"/>
  <c r="F676" i="28"/>
  <c r="G676" i="28"/>
  <c r="F675" i="28"/>
  <c r="G675" i="28"/>
  <c r="F681" i="28"/>
  <c r="G681" i="28"/>
  <c r="F685" i="28"/>
  <c r="G685" i="28"/>
  <c r="F677" i="28"/>
  <c r="G677" i="28"/>
  <c r="F662" i="28"/>
  <c r="G662" i="28"/>
  <c r="F667" i="28"/>
  <c r="G667" i="28"/>
  <c r="F649" i="28"/>
  <c r="G649" i="28"/>
  <c r="F663" i="28"/>
  <c r="G663" i="28"/>
  <c r="F660" i="28"/>
  <c r="G660" i="28"/>
  <c r="G659" i="28"/>
  <c r="F659" i="28"/>
  <c r="F637" i="28"/>
  <c r="G637" i="28"/>
  <c r="F655" i="28"/>
  <c r="G655" i="28"/>
  <c r="F636" i="28"/>
  <c r="G636" i="28"/>
  <c r="F640" i="28"/>
  <c r="G640" i="28"/>
  <c r="F647" i="28"/>
  <c r="G647" i="28"/>
  <c r="F621" i="28"/>
  <c r="G621" i="28"/>
  <c r="G615" i="28"/>
  <c r="F615" i="28"/>
  <c r="F627" i="28"/>
  <c r="G627" i="28"/>
  <c r="F608" i="28"/>
  <c r="G608" i="28"/>
  <c r="F620" i="28"/>
  <c r="G620" i="28"/>
  <c r="F586" i="28"/>
  <c r="G586" i="28"/>
  <c r="F599" i="28"/>
  <c r="G599" i="28"/>
  <c r="F592" i="28"/>
  <c r="G592" i="28"/>
  <c r="F593" i="28"/>
  <c r="G593" i="28"/>
  <c r="G590" i="28"/>
  <c r="F590" i="28"/>
  <c r="F575" i="28"/>
  <c r="G575" i="28"/>
  <c r="F580" i="28"/>
  <c r="G580" i="28"/>
  <c r="G565" i="28"/>
  <c r="F565" i="28"/>
  <c r="F581" i="28"/>
  <c r="G581" i="28"/>
  <c r="F558" i="28"/>
  <c r="G558" i="28"/>
  <c r="F591" i="28"/>
  <c r="G591" i="28"/>
  <c r="F561" i="28"/>
  <c r="G561" i="28"/>
  <c r="F579" i="28"/>
  <c r="G579" i="28"/>
  <c r="F552" i="28"/>
  <c r="G552" i="28"/>
  <c r="F560" i="28"/>
  <c r="G560" i="28"/>
  <c r="F542" i="28"/>
  <c r="G542" i="28"/>
  <c r="F537" i="28"/>
  <c r="G537" i="28"/>
  <c r="G526" i="28"/>
  <c r="F526" i="28"/>
  <c r="G543" i="28"/>
  <c r="F543" i="28"/>
  <c r="F522" i="28"/>
  <c r="G522" i="28"/>
  <c r="F523" i="28"/>
  <c r="G523" i="28"/>
  <c r="F517" i="28"/>
  <c r="G517" i="28"/>
  <c r="F529" i="28"/>
  <c r="G529" i="28"/>
  <c r="F536" i="28"/>
  <c r="G536" i="28"/>
  <c r="F525" i="28"/>
  <c r="G525" i="28"/>
  <c r="F507" i="28"/>
  <c r="G507" i="28"/>
  <c r="F492" i="28"/>
  <c r="G492" i="28"/>
  <c r="F527" i="28"/>
  <c r="G527" i="28"/>
  <c r="G496" i="28"/>
  <c r="F496" i="28"/>
  <c r="F486" i="17"/>
  <c r="G486" i="17"/>
  <c r="I481" i="28"/>
  <c r="K50" i="28"/>
  <c r="M55" i="17" s="1"/>
  <c r="I898" i="28"/>
  <c r="F960" i="28"/>
  <c r="G960" i="28"/>
  <c r="A111" i="27"/>
  <c r="B110" i="27"/>
  <c r="D110" i="27" a="1"/>
  <c r="D110" i="27" s="1"/>
  <c r="E110" i="27" s="1"/>
  <c r="I479" i="17"/>
  <c r="F885" i="17"/>
  <c r="G885" i="17"/>
  <c r="F879" i="28"/>
  <c r="G879" i="28"/>
  <c r="F870" i="17"/>
  <c r="G870" i="17"/>
  <c r="F846" i="28"/>
  <c r="G846" i="28"/>
  <c r="F925" i="28"/>
  <c r="G925" i="28"/>
  <c r="F716" i="28"/>
  <c r="G716" i="28"/>
  <c r="I478" i="17"/>
  <c r="F718" i="17"/>
  <c r="G718" i="17"/>
  <c r="F840" i="17"/>
  <c r="G840" i="17"/>
  <c r="F849" i="17"/>
  <c r="G849" i="17"/>
  <c r="G908" i="17"/>
  <c r="F908" i="17"/>
  <c r="F945" i="17"/>
  <c r="G945" i="17"/>
  <c r="F982" i="17"/>
  <c r="G982" i="17"/>
  <c r="G991" i="17"/>
  <c r="K106" i="17" s="1"/>
  <c r="F991" i="17"/>
  <c r="F980" i="17"/>
  <c r="G980" i="17"/>
  <c r="F995" i="17"/>
  <c r="G995" i="17"/>
  <c r="G839" i="17"/>
  <c r="F839" i="17"/>
  <c r="F824" i="17"/>
  <c r="G824" i="17"/>
  <c r="G814" i="17"/>
  <c r="F814" i="17"/>
  <c r="F819" i="17"/>
  <c r="G819" i="17"/>
  <c r="F813" i="17"/>
  <c r="G813" i="17"/>
  <c r="F804" i="17"/>
  <c r="G804" i="17"/>
  <c r="F808" i="17"/>
  <c r="G808" i="17"/>
  <c r="F810" i="17"/>
  <c r="G810" i="17"/>
  <c r="F801" i="17"/>
  <c r="G801" i="17"/>
  <c r="K87" i="17" s="1"/>
  <c r="F791" i="17"/>
  <c r="G791" i="17"/>
  <c r="K86" i="17" s="1"/>
  <c r="G776" i="17"/>
  <c r="F776" i="17"/>
  <c r="F799" i="17"/>
  <c r="G799" i="17"/>
  <c r="F772" i="17"/>
  <c r="G772" i="17"/>
  <c r="F784" i="17"/>
  <c r="G784" i="17"/>
  <c r="F773" i="17"/>
  <c r="G773" i="17"/>
  <c r="F766" i="17"/>
  <c r="G766" i="17"/>
  <c r="F778" i="17"/>
  <c r="G778" i="17"/>
  <c r="F763" i="17"/>
  <c r="G763" i="17"/>
  <c r="F753" i="17"/>
  <c r="G753" i="17"/>
  <c r="I481" i="17"/>
  <c r="G110" i="16"/>
  <c r="F110" i="16"/>
  <c r="F727" i="28"/>
  <c r="G727" i="28"/>
  <c r="F689" i="17"/>
  <c r="G689" i="17"/>
  <c r="F690" i="17"/>
  <c r="G690" i="17"/>
  <c r="F678" i="17"/>
  <c r="G678" i="17"/>
  <c r="F669" i="17"/>
  <c r="G669" i="17"/>
  <c r="F672" i="17"/>
  <c r="G672" i="17"/>
  <c r="F664" i="17"/>
  <c r="G664" i="17"/>
  <c r="F656" i="17"/>
  <c r="G656" i="17"/>
  <c r="F665" i="17"/>
  <c r="G665" i="17"/>
  <c r="F668" i="17"/>
  <c r="G668" i="17"/>
  <c r="F645" i="17"/>
  <c r="G645" i="17"/>
  <c r="F648" i="17"/>
  <c r="G648" i="17"/>
  <c r="F670" i="17"/>
  <c r="G670" i="17"/>
  <c r="F653" i="17"/>
  <c r="G653" i="17"/>
  <c r="F632" i="17"/>
  <c r="G632" i="17"/>
  <c r="F634" i="17"/>
  <c r="G634" i="17"/>
  <c r="F639" i="17"/>
  <c r="G639" i="17"/>
  <c r="F628" i="17"/>
  <c r="G628" i="17"/>
  <c r="F625" i="17"/>
  <c r="G625" i="17"/>
  <c r="F615" i="17"/>
  <c r="G615" i="17"/>
  <c r="F612" i="17"/>
  <c r="G612" i="17"/>
  <c r="F603" i="17"/>
  <c r="G603" i="17"/>
  <c r="F610" i="17"/>
  <c r="G610" i="17"/>
  <c r="F607" i="17"/>
  <c r="G607" i="17"/>
  <c r="F605" i="17"/>
  <c r="G605" i="17"/>
  <c r="F588" i="17"/>
  <c r="G588" i="17"/>
  <c r="F598" i="17"/>
  <c r="G598" i="17"/>
  <c r="F585" i="17"/>
  <c r="G585" i="17"/>
  <c r="F582" i="17"/>
  <c r="G582" i="17"/>
  <c r="F587" i="17"/>
  <c r="G587" i="17"/>
  <c r="F604" i="17"/>
  <c r="G604" i="17"/>
  <c r="F565" i="17"/>
  <c r="G565" i="17"/>
  <c r="F584" i="17"/>
  <c r="G584" i="17"/>
  <c r="F553" i="17"/>
  <c r="G553" i="17"/>
  <c r="F557" i="17"/>
  <c r="G557" i="17"/>
  <c r="F568" i="17"/>
  <c r="G568" i="17"/>
  <c r="F556" i="17"/>
  <c r="G556" i="17"/>
  <c r="F543" i="17"/>
  <c r="G543" i="17"/>
  <c r="F545" i="17"/>
  <c r="G545" i="17"/>
  <c r="F532" i="17"/>
  <c r="G532" i="17"/>
  <c r="F538" i="17"/>
  <c r="G538" i="17"/>
  <c r="F530" i="17"/>
  <c r="G530" i="17"/>
  <c r="F528" i="17"/>
  <c r="G528" i="17"/>
  <c r="F535" i="17"/>
  <c r="G535" i="17"/>
  <c r="F517" i="17"/>
  <c r="G517" i="17"/>
  <c r="F503" i="17"/>
  <c r="G503" i="17"/>
  <c r="F515" i="17"/>
  <c r="G515" i="17"/>
  <c r="F520" i="17"/>
  <c r="G520" i="17"/>
  <c r="F505" i="17"/>
  <c r="G505" i="17"/>
  <c r="F498" i="17"/>
  <c r="G498" i="17"/>
  <c r="F509" i="17"/>
  <c r="G509" i="17"/>
  <c r="F500" i="17"/>
  <c r="G500" i="17"/>
  <c r="G491" i="17"/>
  <c r="K56" i="17" s="1"/>
  <c r="F491" i="17"/>
  <c r="F850" i="17"/>
  <c r="G850" i="17"/>
  <c r="F725" i="17"/>
  <c r="G725" i="17"/>
  <c r="F936" i="17"/>
  <c r="G936" i="17"/>
  <c r="F913" i="17"/>
  <c r="G913" i="17"/>
  <c r="F918" i="17"/>
  <c r="G918" i="17"/>
  <c r="F906" i="17"/>
  <c r="G906" i="17"/>
  <c r="G921" i="17"/>
  <c r="K99" i="17" s="1"/>
  <c r="F921" i="17"/>
  <c r="F721" i="17"/>
  <c r="G721" i="17"/>
  <c r="K79" i="17" s="1"/>
  <c r="F932" i="17"/>
  <c r="G932" i="17"/>
  <c r="F482" i="17"/>
  <c r="G482" i="17"/>
  <c r="F871" i="28"/>
  <c r="G871" i="28"/>
  <c r="I724" i="17"/>
  <c r="F954" i="17"/>
  <c r="G954" i="17"/>
  <c r="F956" i="28"/>
  <c r="G956" i="28"/>
  <c r="I474" i="17"/>
  <c r="F883" i="17"/>
  <c r="G883" i="17"/>
  <c r="F880" i="17"/>
  <c r="G880" i="17"/>
  <c r="F926" i="28"/>
  <c r="G926" i="28"/>
  <c r="F860" i="28"/>
  <c r="G860" i="28"/>
  <c r="F832" i="28"/>
  <c r="G832" i="28"/>
  <c r="F843" i="17"/>
  <c r="G843" i="17"/>
  <c r="F716" i="17"/>
  <c r="G716" i="17"/>
  <c r="F745" i="17"/>
  <c r="G745" i="17"/>
  <c r="C58" i="27"/>
  <c r="H57" i="27"/>
  <c r="F831" i="28"/>
  <c r="G831" i="28"/>
  <c r="F976" i="17"/>
  <c r="G976" i="17"/>
  <c r="F986" i="17"/>
  <c r="G986" i="17"/>
  <c r="F1001" i="28"/>
  <c r="G1001" i="28"/>
  <c r="F982" i="28"/>
  <c r="G982" i="28"/>
  <c r="F752" i="28"/>
  <c r="G752" i="28"/>
  <c r="G751" i="17"/>
  <c r="K82" i="17" s="1"/>
  <c r="F751" i="17"/>
  <c r="F944" i="17"/>
  <c r="G944" i="17"/>
  <c r="F736" i="28"/>
  <c r="G736" i="28"/>
  <c r="F733" i="28"/>
  <c r="G733" i="28"/>
  <c r="F963" i="28"/>
  <c r="G963" i="28"/>
  <c r="F741" i="28"/>
  <c r="G741" i="28"/>
  <c r="F967" i="28"/>
  <c r="G967" i="28"/>
  <c r="F912" i="28"/>
  <c r="G912" i="28"/>
  <c r="F964" i="28"/>
  <c r="G964" i="28"/>
  <c r="F966" i="28"/>
  <c r="G966" i="28"/>
  <c r="F490" i="28"/>
  <c r="G490" i="28"/>
  <c r="G743" i="28"/>
  <c r="F743" i="28"/>
  <c r="K95" i="28"/>
  <c r="M100" i="17" s="1"/>
  <c r="I931" i="28"/>
  <c r="I933" i="17"/>
  <c r="F958" i="17"/>
  <c r="G958" i="17"/>
  <c r="I850" i="28"/>
  <c r="F948" i="17"/>
  <c r="G948" i="17"/>
  <c r="F884" i="28"/>
  <c r="G884" i="28"/>
  <c r="I472" i="28"/>
  <c r="F712" i="28"/>
  <c r="G712" i="28"/>
  <c r="F855" i="28"/>
  <c r="G855" i="28"/>
  <c r="F702" i="28"/>
  <c r="G702" i="28"/>
  <c r="F713" i="17"/>
  <c r="G713" i="17"/>
  <c r="F714" i="17"/>
  <c r="G714" i="17"/>
  <c r="G719" i="17"/>
  <c r="F719" i="17"/>
  <c r="F916" i="17"/>
  <c r="G916" i="17"/>
  <c r="F935" i="17"/>
  <c r="G935" i="17"/>
  <c r="F1002" i="17"/>
  <c r="G1002" i="17"/>
  <c r="F990" i="17"/>
  <c r="G990" i="17"/>
  <c r="F993" i="28"/>
  <c r="G993" i="28"/>
  <c r="G985" i="17"/>
  <c r="F985" i="17"/>
  <c r="F1006" i="17"/>
  <c r="G752" i="17"/>
  <c r="F752" i="17"/>
  <c r="F732" i="17"/>
  <c r="G732" i="17"/>
  <c r="F937" i="28"/>
  <c r="G937" i="28"/>
  <c r="G939" i="28"/>
  <c r="F939" i="28"/>
  <c r="F942" i="28"/>
  <c r="G942" i="28"/>
  <c r="I483" i="28"/>
  <c r="I485" i="17"/>
  <c r="I478" i="28"/>
  <c r="F951" i="28"/>
  <c r="G951" i="28"/>
  <c r="F890" i="17"/>
  <c r="G890" i="17"/>
  <c r="F893" i="17"/>
  <c r="G893" i="17"/>
  <c r="F897" i="17"/>
  <c r="G897" i="17"/>
  <c r="F863" i="17"/>
  <c r="G863" i="17"/>
  <c r="F854" i="28"/>
  <c r="G854" i="28"/>
  <c r="F907" i="28"/>
  <c r="G907" i="28"/>
  <c r="F927" i="28"/>
  <c r="G927" i="28"/>
  <c r="F729" i="17"/>
  <c r="G729" i="17"/>
  <c r="F727" i="17"/>
  <c r="G727" i="17"/>
  <c r="F709" i="17"/>
  <c r="G709" i="17"/>
  <c r="F717" i="17"/>
  <c r="G717" i="17"/>
  <c r="F715" i="17"/>
  <c r="G715" i="17"/>
  <c r="F894" i="28"/>
  <c r="G894" i="28"/>
  <c r="F973" i="28"/>
  <c r="G973" i="28"/>
  <c r="F998" i="17"/>
  <c r="G998" i="17"/>
  <c r="F975" i="28"/>
  <c r="G975" i="28"/>
  <c r="F988" i="28"/>
  <c r="G988" i="28"/>
  <c r="F819" i="28"/>
  <c r="G819" i="28"/>
  <c r="F816" i="28"/>
  <c r="G816" i="28"/>
  <c r="F808" i="28"/>
  <c r="G808" i="28"/>
  <c r="F820" i="28"/>
  <c r="G820" i="28"/>
  <c r="F797" i="28"/>
  <c r="G797" i="28"/>
  <c r="F799" i="28"/>
  <c r="G799" i="28"/>
  <c r="F792" i="28"/>
  <c r="G792" i="28"/>
  <c r="F800" i="28"/>
  <c r="G800" i="28"/>
  <c r="F778" i="28"/>
  <c r="G778" i="28"/>
  <c r="F775" i="28"/>
  <c r="G775" i="28"/>
  <c r="F777" i="28"/>
  <c r="G777" i="28"/>
  <c r="F776" i="28"/>
  <c r="G776" i="28"/>
  <c r="G771" i="28"/>
  <c r="F771" i="28"/>
  <c r="F763" i="28"/>
  <c r="G763" i="28"/>
  <c r="F768" i="28"/>
  <c r="G768" i="28"/>
  <c r="F757" i="28"/>
  <c r="G757" i="28"/>
  <c r="F878" i="28"/>
  <c r="G878" i="28"/>
  <c r="F902" i="17"/>
  <c r="G902" i="17"/>
  <c r="F694" i="28"/>
  <c r="G694" i="28"/>
  <c r="F487" i="17"/>
  <c r="G487" i="17"/>
  <c r="F679" i="28"/>
  <c r="G679" i="28"/>
  <c r="F683" i="28"/>
  <c r="G683" i="28"/>
  <c r="F708" i="28"/>
  <c r="G708" i="28"/>
  <c r="G687" i="28"/>
  <c r="F687" i="28"/>
  <c r="F688" i="28"/>
  <c r="G688" i="28"/>
  <c r="F671" i="28"/>
  <c r="G671" i="28"/>
  <c r="F668" i="28"/>
  <c r="G668" i="28"/>
  <c r="F645" i="28"/>
  <c r="G645" i="28"/>
  <c r="F654" i="28"/>
  <c r="G654" i="28"/>
  <c r="G664" i="28"/>
  <c r="F664" i="28"/>
  <c r="F666" i="28"/>
  <c r="G666" i="28"/>
  <c r="F632" i="28"/>
  <c r="G632" i="28"/>
  <c r="F651" i="28"/>
  <c r="G651" i="28"/>
  <c r="F643" i="28"/>
  <c r="G643" i="28"/>
  <c r="F639" i="28"/>
  <c r="G639" i="28"/>
  <c r="G628" i="28"/>
  <c r="F628" i="28"/>
  <c r="F631" i="28"/>
  <c r="G631" i="28"/>
  <c r="F630" i="28"/>
  <c r="G630" i="28"/>
  <c r="F617" i="28"/>
  <c r="G617" i="28"/>
  <c r="F602" i="28"/>
  <c r="G602" i="28"/>
  <c r="F613" i="28"/>
  <c r="G613" i="28"/>
  <c r="F609" i="28"/>
  <c r="G609" i="28"/>
  <c r="F595" i="28"/>
  <c r="G595" i="28"/>
  <c r="F611" i="28"/>
  <c r="G611" i="28"/>
  <c r="F596" i="28"/>
  <c r="G596" i="28"/>
  <c r="F606" i="28"/>
  <c r="G606" i="28"/>
  <c r="G577" i="28"/>
  <c r="F577" i="28"/>
  <c r="F598" i="28"/>
  <c r="G598" i="28"/>
  <c r="F583" i="28"/>
  <c r="G583" i="28"/>
  <c r="F563" i="28"/>
  <c r="G563" i="28"/>
  <c r="G553" i="28"/>
  <c r="F553" i="28"/>
  <c r="F567" i="28"/>
  <c r="G567" i="28"/>
  <c r="G571" i="28"/>
  <c r="F571" i="28"/>
  <c r="F570" i="28"/>
  <c r="G570" i="28"/>
  <c r="F550" i="28"/>
  <c r="G550" i="28"/>
  <c r="G546" i="28"/>
  <c r="F546" i="28"/>
  <c r="F562" i="28"/>
  <c r="G562" i="28"/>
  <c r="F540" i="28"/>
  <c r="G540" i="28"/>
  <c r="F535" i="28"/>
  <c r="G535" i="28"/>
  <c r="F531" i="28"/>
  <c r="G531" i="28"/>
  <c r="F532" i="28"/>
  <c r="G532" i="28"/>
  <c r="F513" i="28"/>
  <c r="G513" i="28"/>
  <c r="F530" i="28"/>
  <c r="G530" i="28"/>
  <c r="F505" i="28"/>
  <c r="G505" i="28"/>
  <c r="F510" i="28"/>
  <c r="G510" i="28"/>
  <c r="F521" i="28"/>
  <c r="G521" i="28"/>
  <c r="F520" i="28"/>
  <c r="G520" i="28"/>
  <c r="F499" i="28"/>
  <c r="G499" i="28"/>
  <c r="F498" i="28"/>
  <c r="G498" i="28"/>
  <c r="F500" i="28"/>
  <c r="G500" i="28"/>
  <c r="F514" i="28"/>
  <c r="G514" i="28"/>
  <c r="K77" i="28"/>
  <c r="M82" i="17" s="1"/>
  <c r="I751" i="28"/>
  <c r="G968" i="17"/>
  <c r="F968" i="17"/>
  <c r="F961" i="28"/>
  <c r="G961" i="28"/>
  <c r="G882" i="28"/>
  <c r="F882" i="28"/>
  <c r="F877" i="28"/>
  <c r="G877" i="28"/>
  <c r="G928" i="28"/>
  <c r="F928" i="28"/>
  <c r="F841" i="28"/>
  <c r="G841" i="28"/>
  <c r="F910" i="28"/>
  <c r="G910" i="28"/>
  <c r="F839" i="28"/>
  <c r="G839" i="28"/>
  <c r="G701" i="17"/>
  <c r="K77" i="17" s="1"/>
  <c r="F701" i="17"/>
  <c r="F896" i="17"/>
  <c r="G896" i="17"/>
  <c r="F722" i="17"/>
  <c r="G722" i="17"/>
  <c r="F922" i="17"/>
  <c r="G922" i="17"/>
  <c r="F970" i="28"/>
  <c r="G970" i="28"/>
  <c r="F992" i="17"/>
  <c r="G992" i="17"/>
  <c r="F999" i="28"/>
  <c r="G999" i="28"/>
  <c r="F974" i="28"/>
  <c r="G974" i="28"/>
  <c r="G994" i="28"/>
  <c r="F994" i="28"/>
  <c r="F985" i="28"/>
  <c r="G985" i="28"/>
  <c r="G831" i="17"/>
  <c r="K90" i="17" s="1"/>
  <c r="F831" i="17"/>
  <c r="F812" i="17"/>
  <c r="G812" i="17"/>
  <c r="F829" i="17"/>
  <c r="G829" i="17"/>
  <c r="F826" i="17"/>
  <c r="G826" i="17"/>
  <c r="F820" i="17"/>
  <c r="G820" i="17"/>
  <c r="G795" i="17"/>
  <c r="F795" i="17"/>
  <c r="F803" i="17"/>
  <c r="G803" i="17"/>
  <c r="G807" i="17"/>
  <c r="F807" i="17"/>
  <c r="F785" i="17"/>
  <c r="G785" i="17"/>
  <c r="G798" i="17"/>
  <c r="F798" i="17"/>
  <c r="G797" i="17"/>
  <c r="F797" i="17"/>
  <c r="G781" i="17"/>
  <c r="K85" i="17" s="1"/>
  <c r="F781" i="17"/>
  <c r="F775" i="17"/>
  <c r="G775" i="17"/>
  <c r="F788" i="17"/>
  <c r="G788" i="17"/>
  <c r="F790" i="17"/>
  <c r="G790" i="17"/>
  <c r="F769" i="17"/>
  <c r="G769" i="17"/>
  <c r="F762" i="17"/>
  <c r="G762" i="17"/>
  <c r="F783" i="17"/>
  <c r="G783" i="17"/>
  <c r="F876" i="17"/>
  <c r="G876" i="17"/>
  <c r="F841" i="17"/>
  <c r="G841" i="17"/>
  <c r="K91" i="17" s="1"/>
  <c r="F948" i="28"/>
  <c r="G948" i="28"/>
  <c r="F685" i="17"/>
  <c r="G685" i="17"/>
  <c r="F688" i="17"/>
  <c r="G688" i="17"/>
  <c r="F663" i="17"/>
  <c r="G663" i="17"/>
  <c r="F687" i="17"/>
  <c r="G687" i="17"/>
  <c r="F680" i="17"/>
  <c r="G680" i="17"/>
  <c r="F674" i="17"/>
  <c r="G674" i="17"/>
  <c r="F667" i="17"/>
  <c r="G667" i="17"/>
  <c r="F652" i="17"/>
  <c r="G652" i="17"/>
  <c r="F660" i="17"/>
  <c r="G660" i="17"/>
  <c r="F691" i="17"/>
  <c r="G691" i="17"/>
  <c r="K76" i="17" s="1"/>
  <c r="F651" i="17"/>
  <c r="G651" i="17"/>
  <c r="K72" i="17" s="1"/>
  <c r="F662" i="17"/>
  <c r="G662" i="17"/>
  <c r="F638" i="17"/>
  <c r="G638" i="17"/>
  <c r="F637" i="17"/>
  <c r="G637" i="17"/>
  <c r="F635" i="17"/>
  <c r="G635" i="17"/>
  <c r="F641" i="17"/>
  <c r="G641" i="17"/>
  <c r="K71" i="17" s="1"/>
  <c r="F624" i="17"/>
  <c r="G624" i="17"/>
  <c r="F617" i="17"/>
  <c r="G617" i="17"/>
  <c r="F630" i="17"/>
  <c r="G630" i="17"/>
  <c r="F636" i="17"/>
  <c r="G636" i="17"/>
  <c r="F618" i="17"/>
  <c r="G618" i="17"/>
  <c r="F602" i="17"/>
  <c r="G602" i="17"/>
  <c r="G631" i="17"/>
  <c r="K70" i="17" s="1"/>
  <c r="F631" i="17"/>
  <c r="F600" i="17"/>
  <c r="G600" i="17"/>
  <c r="F589" i="17"/>
  <c r="G589" i="17"/>
  <c r="F580" i="17"/>
  <c r="G580" i="17"/>
  <c r="F599" i="17"/>
  <c r="G599" i="17"/>
  <c r="F583" i="17"/>
  <c r="G583" i="17"/>
  <c r="F590" i="17"/>
  <c r="G590" i="17"/>
  <c r="F578" i="17"/>
  <c r="G578" i="17"/>
  <c r="F574" i="17"/>
  <c r="G574" i="17"/>
  <c r="F570" i="17"/>
  <c r="G570" i="17"/>
  <c r="F561" i="17"/>
  <c r="G561" i="17"/>
  <c r="K63" i="17" s="1"/>
  <c r="F542" i="17"/>
  <c r="G542" i="17"/>
  <c r="F559" i="17"/>
  <c r="G559" i="17"/>
  <c r="F555" i="17"/>
  <c r="G555" i="17"/>
  <c r="F546" i="17"/>
  <c r="G546" i="17"/>
  <c r="F547" i="17"/>
  <c r="G547" i="17"/>
  <c r="F544" i="17"/>
  <c r="G544" i="17"/>
  <c r="F540" i="17"/>
  <c r="G540" i="17"/>
  <c r="F526" i="17"/>
  <c r="G526" i="17"/>
  <c r="F525" i="17"/>
  <c r="G525" i="17"/>
  <c r="F533" i="17"/>
  <c r="G533" i="17"/>
  <c r="F519" i="17"/>
  <c r="G519" i="17"/>
  <c r="F504" i="17"/>
  <c r="G504" i="17"/>
  <c r="F537" i="17"/>
  <c r="G537" i="17"/>
  <c r="F512" i="17"/>
  <c r="G512" i="17"/>
  <c r="F539" i="17"/>
  <c r="G539" i="17"/>
  <c r="F499" i="17"/>
  <c r="G499" i="17"/>
  <c r="F501" i="17"/>
  <c r="G501" i="17"/>
  <c r="K57" i="17" s="1"/>
  <c r="G511" i="17"/>
  <c r="K58" i="17" s="1"/>
  <c r="F511" i="17"/>
  <c r="F488" i="17"/>
  <c r="G488" i="17"/>
  <c r="F923" i="17"/>
  <c r="G923" i="17"/>
  <c r="F703" i="17"/>
  <c r="G703" i="17"/>
  <c r="F707" i="17"/>
  <c r="G707" i="17"/>
  <c r="F940" i="17"/>
  <c r="G940" i="17"/>
  <c r="F938" i="17"/>
  <c r="G938" i="17"/>
  <c r="F730" i="17"/>
  <c r="G730" i="17"/>
  <c r="F905" i="17"/>
  <c r="G905" i="17"/>
  <c r="F925" i="17"/>
  <c r="G925" i="17"/>
  <c r="F739" i="17"/>
  <c r="G739" i="17"/>
  <c r="F490" i="17"/>
  <c r="G490" i="17"/>
  <c r="F746" i="28"/>
  <c r="G746" i="28"/>
  <c r="F957" i="17"/>
  <c r="G957" i="17"/>
  <c r="I108" i="27"/>
  <c r="I853" i="28"/>
  <c r="I835" i="17"/>
  <c r="I965" i="28"/>
  <c r="F889" i="17"/>
  <c r="G889" i="17"/>
  <c r="F903" i="28"/>
  <c r="G903" i="28"/>
  <c r="F906" i="28"/>
  <c r="G906" i="28"/>
  <c r="F902" i="28"/>
  <c r="G902" i="28"/>
  <c r="F905" i="28"/>
  <c r="G905" i="28"/>
  <c r="F728" i="17"/>
  <c r="G728" i="17"/>
  <c r="F830" i="17"/>
  <c r="G830" i="17"/>
  <c r="F823" i="17"/>
  <c r="G823" i="17"/>
  <c r="F702" i="17"/>
  <c r="G702" i="17"/>
  <c r="F866" i="17"/>
  <c r="G866" i="17"/>
  <c r="G984" i="28"/>
  <c r="F984" i="28"/>
  <c r="F981" i="28"/>
  <c r="G981" i="28"/>
  <c r="F978" i="28"/>
  <c r="G978" i="28"/>
  <c r="F1003" i="17"/>
  <c r="F756" i="17"/>
  <c r="G756" i="17"/>
  <c r="F759" i="28"/>
  <c r="G759" i="28"/>
  <c r="F970" i="17"/>
  <c r="G970" i="17"/>
  <c r="F487" i="28"/>
  <c r="G487" i="28"/>
  <c r="F724" i="28"/>
  <c r="G724" i="28"/>
  <c r="F858" i="28"/>
  <c r="G858" i="28"/>
  <c r="F869" i="28"/>
  <c r="G869" i="28"/>
  <c r="F923" i="28"/>
  <c r="G923" i="28"/>
  <c r="F859" i="28"/>
  <c r="G859" i="28"/>
  <c r="F739" i="28"/>
  <c r="G739" i="28"/>
  <c r="F870" i="28"/>
  <c r="G870" i="28"/>
  <c r="F482" i="28"/>
  <c r="G482" i="28"/>
  <c r="F875" i="17"/>
  <c r="G875" i="17"/>
  <c r="I476" i="17"/>
  <c r="F735" i="28"/>
  <c r="G735" i="28"/>
  <c r="F957" i="28"/>
  <c r="G957" i="28"/>
  <c r="I474" i="28"/>
  <c r="C58" i="28"/>
  <c r="H57" i="28"/>
  <c r="I937" i="17"/>
  <c r="G1004" i="28" l="1"/>
  <c r="G1007" i="17"/>
  <c r="G1006" i="28"/>
  <c r="I1006" i="28" s="1"/>
  <c r="F1005" i="28"/>
  <c r="G1004" i="17"/>
  <c r="F1005" i="17"/>
  <c r="F1007" i="28"/>
  <c r="I941" i="17"/>
  <c r="I731" i="17"/>
  <c r="I881" i="17"/>
  <c r="K90" i="28"/>
  <c r="M95" i="17" s="1"/>
  <c r="K88" i="28"/>
  <c r="M93" i="17" s="1"/>
  <c r="K96" i="28"/>
  <c r="M101" i="17" s="1"/>
  <c r="I741" i="17"/>
  <c r="I951" i="17"/>
  <c r="B108" i="36"/>
  <c r="A109" i="36"/>
  <c r="B108" i="35"/>
  <c r="A109" i="35"/>
  <c r="B108" i="34"/>
  <c r="A109" i="34"/>
  <c r="B108" i="33"/>
  <c r="A109" i="33"/>
  <c r="I994" i="28"/>
  <c r="I701" i="17"/>
  <c r="I961" i="28"/>
  <c r="K98" i="28"/>
  <c r="M103" i="17" s="1"/>
  <c r="I939" i="28"/>
  <c r="I964" i="28"/>
  <c r="I736" i="28"/>
  <c r="I926" i="28"/>
  <c r="I482" i="17"/>
  <c r="I913" i="17"/>
  <c r="I505" i="17"/>
  <c r="I528" i="17"/>
  <c r="I545" i="17"/>
  <c r="I584" i="17"/>
  <c r="I984" i="28"/>
  <c r="I511" i="17"/>
  <c r="I957" i="28"/>
  <c r="I482" i="28"/>
  <c r="I739" i="28"/>
  <c r="I923" i="28"/>
  <c r="I858" i="28"/>
  <c r="I487" i="28"/>
  <c r="I759" i="28"/>
  <c r="I1003" i="17"/>
  <c r="I981" i="28"/>
  <c r="K100" i="28"/>
  <c r="M105" i="17" s="1"/>
  <c r="I866" i="17"/>
  <c r="I823" i="17"/>
  <c r="I728" i="17"/>
  <c r="I902" i="28"/>
  <c r="I903" i="28"/>
  <c r="I490" i="17"/>
  <c r="I925" i="17"/>
  <c r="I730" i="17"/>
  <c r="I940" i="17"/>
  <c r="I703" i="17"/>
  <c r="I488" i="17"/>
  <c r="I501" i="17"/>
  <c r="I539" i="17"/>
  <c r="I537" i="17"/>
  <c r="I519" i="17"/>
  <c r="I525" i="17"/>
  <c r="I540" i="17"/>
  <c r="I547" i="17"/>
  <c r="I555" i="17"/>
  <c r="I542" i="17"/>
  <c r="I570" i="17"/>
  <c r="I578" i="17"/>
  <c r="I583" i="17"/>
  <c r="I580" i="17"/>
  <c r="I600" i="17"/>
  <c r="I602" i="17"/>
  <c r="I636" i="17"/>
  <c r="I617" i="17"/>
  <c r="I641" i="17"/>
  <c r="I637" i="17"/>
  <c r="I662" i="17"/>
  <c r="I691" i="17"/>
  <c r="I652" i="17"/>
  <c r="I674" i="17"/>
  <c r="I687" i="17"/>
  <c r="I688" i="17"/>
  <c r="I948" i="28"/>
  <c r="I876" i="17"/>
  <c r="I762" i="17"/>
  <c r="I790" i="17"/>
  <c r="I775" i="17"/>
  <c r="I785" i="17"/>
  <c r="I803" i="17"/>
  <c r="I820" i="17"/>
  <c r="I829" i="17"/>
  <c r="I999" i="28"/>
  <c r="I970" i="28"/>
  <c r="I722" i="17"/>
  <c r="I910" i="28"/>
  <c r="I968" i="17"/>
  <c r="I500" i="28"/>
  <c r="I499" i="28"/>
  <c r="I521" i="28"/>
  <c r="K54" i="28"/>
  <c r="M59" i="17" s="1"/>
  <c r="I505" i="28"/>
  <c r="I513" i="28"/>
  <c r="K55" i="28"/>
  <c r="M60" i="17" s="1"/>
  <c r="I531" i="28"/>
  <c r="I540" i="28"/>
  <c r="I570" i="28"/>
  <c r="I567" i="28"/>
  <c r="I563" i="28"/>
  <c r="I598" i="28"/>
  <c r="I606" i="28"/>
  <c r="I611" i="28"/>
  <c r="K63" i="28"/>
  <c r="M68" i="17" s="1"/>
  <c r="I609" i="28"/>
  <c r="I602" i="28"/>
  <c r="I630" i="28"/>
  <c r="I643" i="28"/>
  <c r="I632" i="28"/>
  <c r="I645" i="28"/>
  <c r="K69" i="28"/>
  <c r="M74" i="17" s="1"/>
  <c r="I671" i="28"/>
  <c r="I683" i="28"/>
  <c r="I487" i="17"/>
  <c r="I902" i="17"/>
  <c r="I757" i="28"/>
  <c r="I763" i="28"/>
  <c r="I776" i="28"/>
  <c r="I775" i="28"/>
  <c r="I800" i="28"/>
  <c r="I799" i="28"/>
  <c r="I820" i="28"/>
  <c r="I816" i="28"/>
  <c r="I988" i="28"/>
  <c r="I998" i="17"/>
  <c r="I973" i="28"/>
  <c r="I715" i="17"/>
  <c r="I709" i="17"/>
  <c r="I729" i="17"/>
  <c r="I907" i="28"/>
  <c r="I863" i="17"/>
  <c r="I893" i="17"/>
  <c r="I951" i="28"/>
  <c r="K97" i="28"/>
  <c r="M102" i="17" s="1"/>
  <c r="I732" i="17"/>
  <c r="I1006" i="17"/>
  <c r="I993" i="28"/>
  <c r="I1002" i="17"/>
  <c r="I916" i="17"/>
  <c r="I714" i="17"/>
  <c r="I702" i="28"/>
  <c r="I712" i="28"/>
  <c r="I884" i="28"/>
  <c r="I743" i="28"/>
  <c r="I921" i="17"/>
  <c r="I110" i="16"/>
  <c r="I753" i="17"/>
  <c r="I778" i="17"/>
  <c r="I773" i="17"/>
  <c r="I772" i="17"/>
  <c r="I801" i="17"/>
  <c r="I808" i="17"/>
  <c r="I813" i="17"/>
  <c r="I980" i="17"/>
  <c r="I982" i="17"/>
  <c r="I840" i="17"/>
  <c r="I925" i="28"/>
  <c r="I870" i="17"/>
  <c r="I885" i="17"/>
  <c r="I492" i="28"/>
  <c r="I525" i="28"/>
  <c r="I529" i="28"/>
  <c r="I523" i="28"/>
  <c r="I537" i="28"/>
  <c r="I560" i="28"/>
  <c r="I579" i="28"/>
  <c r="I591" i="28"/>
  <c r="K61" i="28"/>
  <c r="M66" i="17" s="1"/>
  <c r="I581" i="28"/>
  <c r="K60" i="28"/>
  <c r="M65" i="17" s="1"/>
  <c r="I580" i="28"/>
  <c r="I592" i="28"/>
  <c r="I586" i="28"/>
  <c r="I608" i="28"/>
  <c r="I647" i="28"/>
  <c r="I636" i="28"/>
  <c r="I637" i="28"/>
  <c r="I660" i="28"/>
  <c r="I649" i="28"/>
  <c r="I662" i="28"/>
  <c r="I685" i="28"/>
  <c r="I675" i="28"/>
  <c r="I707" i="28"/>
  <c r="I966" i="17"/>
  <c r="I755" i="28"/>
  <c r="I765" i="28"/>
  <c r="I782" i="28"/>
  <c r="I779" i="28"/>
  <c r="I790" i="28"/>
  <c r="I794" i="28"/>
  <c r="I795" i="28"/>
  <c r="I815" i="28"/>
  <c r="I837" i="28"/>
  <c r="I979" i="28"/>
  <c r="I901" i="28"/>
  <c r="K92" i="28"/>
  <c r="M97" i="17" s="1"/>
  <c r="I929" i="17"/>
  <c r="I916" i="28"/>
  <c r="I929" i="28"/>
  <c r="I895" i="17"/>
  <c r="I965" i="17"/>
  <c r="I872" i="28"/>
  <c r="I997" i="28"/>
  <c r="I972" i="17"/>
  <c r="I943" i="28"/>
  <c r="I909" i="17"/>
  <c r="I698" i="17"/>
  <c r="I843" i="28"/>
  <c r="I852" i="28"/>
  <c r="I932" i="28"/>
  <c r="I862" i="28"/>
  <c r="I486" i="28"/>
  <c r="I734" i="28"/>
  <c r="I935" i="28"/>
  <c r="I717" i="28"/>
  <c r="I732" i="28"/>
  <c r="I738" i="28"/>
  <c r="I757" i="17"/>
  <c r="I987" i="28"/>
  <c r="I999" i="17"/>
  <c r="I844" i="28"/>
  <c r="I694" i="17"/>
  <c r="I917" i="28"/>
  <c r="I888" i="17"/>
  <c r="I878" i="17"/>
  <c r="I962" i="17"/>
  <c r="I964" i="17"/>
  <c r="I704" i="17"/>
  <c r="I852" i="17"/>
  <c r="I904" i="17"/>
  <c r="I496" i="17"/>
  <c r="I494" i="17"/>
  <c r="I506" i="17"/>
  <c r="I518" i="17"/>
  <c r="I554" i="17"/>
  <c r="I548" i="17"/>
  <c r="I549" i="17"/>
  <c r="I560" i="17"/>
  <c r="I573" i="17"/>
  <c r="I563" i="17"/>
  <c r="I576" i="17"/>
  <c r="I594" i="17"/>
  <c r="I608" i="17"/>
  <c r="I592" i="17"/>
  <c r="I614" i="17"/>
  <c r="I616" i="17"/>
  <c r="I621" i="17"/>
  <c r="I647" i="17"/>
  <c r="I644" i="17"/>
  <c r="I655" i="17"/>
  <c r="I657" i="17"/>
  <c r="I705" i="17"/>
  <c r="I679" i="17"/>
  <c r="I684" i="17"/>
  <c r="I696" i="17"/>
  <c r="I726" i="28"/>
  <c r="I764" i="17"/>
  <c r="I770" i="17"/>
  <c r="I786" i="17"/>
  <c r="I774" i="17"/>
  <c r="I782" i="17"/>
  <c r="I793" i="17"/>
  <c r="I809" i="17"/>
  <c r="I832" i="17"/>
  <c r="I821" i="17"/>
  <c r="I974" i="17"/>
  <c r="I934" i="17"/>
  <c r="I720" i="17"/>
  <c r="I894" i="17"/>
  <c r="I715" i="28"/>
  <c r="I887" i="17"/>
  <c r="I109" i="27"/>
  <c r="I588" i="28"/>
  <c r="I955" i="17"/>
  <c r="I995" i="28"/>
  <c r="I865" i="17"/>
  <c r="I871" i="17"/>
  <c r="I551" i="17"/>
  <c r="I671" i="17"/>
  <c r="I749" i="28"/>
  <c r="I767" i="17"/>
  <c r="I794" i="17"/>
  <c r="I780" i="17"/>
  <c r="I800" i="17"/>
  <c r="I805" i="17"/>
  <c r="I816" i="17"/>
  <c r="I825" i="17"/>
  <c r="I992" i="28"/>
  <c r="I1004" i="28"/>
  <c r="I829" i="28"/>
  <c r="I857" i="17"/>
  <c r="I712" i="17"/>
  <c r="I838" i="28"/>
  <c r="K93" i="28"/>
  <c r="M98" i="17" s="1"/>
  <c r="I911" i="28"/>
  <c r="I946" i="28"/>
  <c r="I493" i="28"/>
  <c r="I519" i="28"/>
  <c r="I516" i="28"/>
  <c r="I539" i="28"/>
  <c r="I547" i="28"/>
  <c r="I549" i="28"/>
  <c r="I572" i="28"/>
  <c r="I554" i="28"/>
  <c r="I576" i="28"/>
  <c r="I582" i="28"/>
  <c r="I610" i="28"/>
  <c r="I607" i="28"/>
  <c r="I600" i="28"/>
  <c r="I623" i="28"/>
  <c r="I638" i="28"/>
  <c r="I656" i="28"/>
  <c r="K66" i="28"/>
  <c r="M71" i="17" s="1"/>
  <c r="I641" i="28"/>
  <c r="I650" i="28"/>
  <c r="I670" i="28"/>
  <c r="I680" i="28"/>
  <c r="I691" i="28"/>
  <c r="K71" i="28"/>
  <c r="M76" i="17" s="1"/>
  <c r="I673" i="28"/>
  <c r="I709" i="28"/>
  <c r="I863" i="28"/>
  <c r="I756" i="28"/>
  <c r="I784" i="28"/>
  <c r="I786" i="28"/>
  <c r="I780" i="28"/>
  <c r="I772" i="28"/>
  <c r="K83" i="28"/>
  <c r="M88" i="17" s="1"/>
  <c r="I811" i="28"/>
  <c r="I813" i="28"/>
  <c r="I818" i="28"/>
  <c r="I805" i="28"/>
  <c r="I975" i="17"/>
  <c r="I989" i="17"/>
  <c r="I967" i="17"/>
  <c r="I930" i="17"/>
  <c r="I859" i="17"/>
  <c r="I835" i="28"/>
  <c r="I918" i="28"/>
  <c r="I888" i="28"/>
  <c r="I971" i="17"/>
  <c r="I865" i="28"/>
  <c r="I993" i="17"/>
  <c r="I990" i="28"/>
  <c r="I1002" i="28"/>
  <c r="I750" i="28"/>
  <c r="I848" i="17"/>
  <c r="I836" i="28"/>
  <c r="I840" i="28"/>
  <c r="I890" i="28"/>
  <c r="I628" i="28"/>
  <c r="I963" i="28"/>
  <c r="I976" i="17"/>
  <c r="I832" i="28"/>
  <c r="I721" i="17"/>
  <c r="I725" i="17"/>
  <c r="I509" i="17"/>
  <c r="I517" i="17"/>
  <c r="I538" i="17"/>
  <c r="I556" i="17"/>
  <c r="I557" i="17"/>
  <c r="I604" i="17"/>
  <c r="I582" i="17"/>
  <c r="I598" i="17"/>
  <c r="I605" i="17"/>
  <c r="I610" i="17"/>
  <c r="I612" i="17"/>
  <c r="I625" i="17"/>
  <c r="I639" i="17"/>
  <c r="I632" i="17"/>
  <c r="I670" i="17"/>
  <c r="I645" i="17"/>
  <c r="I665" i="17"/>
  <c r="I664" i="17"/>
  <c r="I669" i="17"/>
  <c r="I727" i="28"/>
  <c r="I776" i="17"/>
  <c r="I814" i="17"/>
  <c r="I839" i="17"/>
  <c r="I908" i="17"/>
  <c r="F110" i="27"/>
  <c r="G110" i="27"/>
  <c r="I496" i="28"/>
  <c r="I543" i="28"/>
  <c r="I590" i="28"/>
  <c r="I615" i="28"/>
  <c r="I981" i="17"/>
  <c r="I931" i="17"/>
  <c r="I886" i="28"/>
  <c r="I531" i="17"/>
  <c r="I988" i="17"/>
  <c r="I494" i="28"/>
  <c r="I502" i="28"/>
  <c r="I515" i="28"/>
  <c r="I509" i="28"/>
  <c r="I518" i="28"/>
  <c r="I528" i="28"/>
  <c r="I564" i="28"/>
  <c r="K57" i="28"/>
  <c r="M62" i="17" s="1"/>
  <c r="I551" i="28"/>
  <c r="I574" i="28"/>
  <c r="I557" i="28"/>
  <c r="I556" i="28"/>
  <c r="I585" i="28"/>
  <c r="I584" i="28"/>
  <c r="I604" i="28"/>
  <c r="I619" i="28"/>
  <c r="I625" i="28"/>
  <c r="I622" i="28"/>
  <c r="I634" i="28"/>
  <c r="I633" i="28"/>
  <c r="I661" i="28"/>
  <c r="K68" i="28"/>
  <c r="M73" i="17" s="1"/>
  <c r="I678" i="28"/>
  <c r="I704" i="28"/>
  <c r="I847" i="17"/>
  <c r="I754" i="28"/>
  <c r="I767" i="28"/>
  <c r="I769" i="28"/>
  <c r="I798" i="28"/>
  <c r="I791" i="28"/>
  <c r="K81" i="28"/>
  <c r="M86" i="17" s="1"/>
  <c r="K82" i="28"/>
  <c r="M87" i="17" s="1"/>
  <c r="I801" i="28"/>
  <c r="I806" i="28"/>
  <c r="I802" i="28"/>
  <c r="I812" i="28"/>
  <c r="I996" i="17"/>
  <c r="I976" i="28"/>
  <c r="I698" i="28"/>
  <c r="I726" i="17"/>
  <c r="I699" i="17"/>
  <c r="I904" i="28"/>
  <c r="I706" i="28"/>
  <c r="I901" i="17"/>
  <c r="I884" i="17"/>
  <c r="I488" i="28"/>
  <c r="I864" i="17"/>
  <c r="I760" i="17"/>
  <c r="I973" i="17"/>
  <c r="I987" i="17"/>
  <c r="I899" i="28"/>
  <c r="I912" i="17"/>
  <c r="I914" i="17"/>
  <c r="I699" i="28"/>
  <c r="I908" i="28"/>
  <c r="I882" i="17"/>
  <c r="I485" i="28"/>
  <c r="I731" i="28"/>
  <c r="K75" i="28"/>
  <c r="M80" i="17" s="1"/>
  <c r="I969" i="28"/>
  <c r="I720" i="28"/>
  <c r="I483" i="17"/>
  <c r="I939" i="17"/>
  <c r="I876" i="28"/>
  <c r="I978" i="17"/>
  <c r="I983" i="28"/>
  <c r="I950" i="28"/>
  <c r="I903" i="17"/>
  <c r="I853" i="17"/>
  <c r="I722" i="28"/>
  <c r="I733" i="17"/>
  <c r="I489" i="28"/>
  <c r="I963" i="17"/>
  <c r="I869" i="17"/>
  <c r="I969" i="17"/>
  <c r="I507" i="17"/>
  <c r="I497" i="17"/>
  <c r="I521" i="17"/>
  <c r="I510" i="17"/>
  <c r="I523" i="17"/>
  <c r="I534" i="17"/>
  <c r="I550" i="17"/>
  <c r="I569" i="17"/>
  <c r="I575" i="17"/>
  <c r="I577" i="17"/>
  <c r="I572" i="17"/>
  <c r="I596" i="17"/>
  <c r="I606" i="17"/>
  <c r="I620" i="17"/>
  <c r="I613" i="17"/>
  <c r="I629" i="17"/>
  <c r="I640" i="17"/>
  <c r="I633" i="17"/>
  <c r="I673" i="17"/>
  <c r="I643" i="17"/>
  <c r="I661" i="17"/>
  <c r="I681" i="17"/>
  <c r="I676" i="17"/>
  <c r="I693" i="17"/>
  <c r="G111" i="16"/>
  <c r="F111" i="16"/>
  <c r="I771" i="17"/>
  <c r="I817" i="17"/>
  <c r="C59" i="16"/>
  <c r="H58" i="16"/>
  <c r="I503" i="28"/>
  <c r="I512" i="28"/>
  <c r="I618" i="28"/>
  <c r="I911" i="17"/>
  <c r="I831" i="17"/>
  <c r="I928" i="28"/>
  <c r="I546" i="28"/>
  <c r="I664" i="28"/>
  <c r="I490" i="28"/>
  <c r="K102" i="28"/>
  <c r="M107" i="17" s="1"/>
  <c r="I1001" i="28"/>
  <c r="I716" i="17"/>
  <c r="I956" i="28"/>
  <c r="I906" i="17"/>
  <c r="I515" i="17"/>
  <c r="I735" i="28"/>
  <c r="I875" i="17"/>
  <c r="I870" i="28"/>
  <c r="I859" i="28"/>
  <c r="I869" i="28"/>
  <c r="I724" i="28"/>
  <c r="I970" i="17"/>
  <c r="I756" i="17"/>
  <c r="I978" i="28"/>
  <c r="I702" i="17"/>
  <c r="I830" i="17"/>
  <c r="I905" i="28"/>
  <c r="I906" i="28"/>
  <c r="I889" i="17"/>
  <c r="I957" i="17"/>
  <c r="I746" i="28"/>
  <c r="I739" i="17"/>
  <c r="I905" i="17"/>
  <c r="I938" i="17"/>
  <c r="I707" i="17"/>
  <c r="I923" i="17"/>
  <c r="I499" i="17"/>
  <c r="I512" i="17"/>
  <c r="I504" i="17"/>
  <c r="I533" i="17"/>
  <c r="I526" i="17"/>
  <c r="I544" i="17"/>
  <c r="I546" i="17"/>
  <c r="I559" i="17"/>
  <c r="I561" i="17"/>
  <c r="I574" i="17"/>
  <c r="I590" i="17"/>
  <c r="I599" i="17"/>
  <c r="I589" i="17"/>
  <c r="I618" i="17"/>
  <c r="I630" i="17"/>
  <c r="I624" i="17"/>
  <c r="I635" i="17"/>
  <c r="I638" i="17"/>
  <c r="I651" i="17"/>
  <c r="I660" i="17"/>
  <c r="I667" i="17"/>
  <c r="I680" i="17"/>
  <c r="I663" i="17"/>
  <c r="I685" i="17"/>
  <c r="I841" i="17"/>
  <c r="I783" i="17"/>
  <c r="I769" i="17"/>
  <c r="I788" i="17"/>
  <c r="I826" i="17"/>
  <c r="I812" i="17"/>
  <c r="I985" i="28"/>
  <c r="I974" i="28"/>
  <c r="I992" i="17"/>
  <c r="I922" i="17"/>
  <c r="I896" i="17"/>
  <c r="I839" i="28"/>
  <c r="K86" i="28"/>
  <c r="M91" i="17" s="1"/>
  <c r="I841" i="28"/>
  <c r="I877" i="28"/>
  <c r="I514" i="28"/>
  <c r="I498" i="28"/>
  <c r="I520" i="28"/>
  <c r="I510" i="28"/>
  <c r="I530" i="28"/>
  <c r="I532" i="28"/>
  <c r="I535" i="28"/>
  <c r="I562" i="28"/>
  <c r="I550" i="28"/>
  <c r="I583" i="28"/>
  <c r="I596" i="28"/>
  <c r="I595" i="28"/>
  <c r="I613" i="28"/>
  <c r="I617" i="28"/>
  <c r="K65" i="28"/>
  <c r="M70" i="17" s="1"/>
  <c r="I631" i="28"/>
  <c r="I639" i="28"/>
  <c r="I651" i="28"/>
  <c r="K67" i="28"/>
  <c r="M72" i="17" s="1"/>
  <c r="I666" i="28"/>
  <c r="I654" i="28"/>
  <c r="I668" i="28"/>
  <c r="I688" i="28"/>
  <c r="I708" i="28"/>
  <c r="I679" i="28"/>
  <c r="I694" i="28"/>
  <c r="I878" i="28"/>
  <c r="I768" i="28"/>
  <c r="I777" i="28"/>
  <c r="I778" i="28"/>
  <c r="I792" i="28"/>
  <c r="I797" i="28"/>
  <c r="I808" i="28"/>
  <c r="I819" i="28"/>
  <c r="I975" i="28"/>
  <c r="I894" i="28"/>
  <c r="I717" i="17"/>
  <c r="I727" i="17"/>
  <c r="I927" i="28"/>
  <c r="I854" i="28"/>
  <c r="I897" i="17"/>
  <c r="I890" i="17"/>
  <c r="I942" i="28"/>
  <c r="I937" i="28"/>
  <c r="I990" i="17"/>
  <c r="I935" i="17"/>
  <c r="I713" i="17"/>
  <c r="I855" i="28"/>
  <c r="I948" i="17"/>
  <c r="I958" i="17"/>
  <c r="I751" i="17"/>
  <c r="C59" i="27"/>
  <c r="H58" i="27"/>
  <c r="I491" i="17"/>
  <c r="I763" i="17"/>
  <c r="I766" i="17"/>
  <c r="I784" i="17"/>
  <c r="I799" i="17"/>
  <c r="I791" i="17"/>
  <c r="I810" i="17"/>
  <c r="I804" i="17"/>
  <c r="I819" i="17"/>
  <c r="I824" i="17"/>
  <c r="I995" i="17"/>
  <c r="I945" i="17"/>
  <c r="I849" i="17"/>
  <c r="I718" i="17"/>
  <c r="I716" i="28"/>
  <c r="I846" i="28"/>
  <c r="I879" i="28"/>
  <c r="I486" i="17"/>
  <c r="I527" i="28"/>
  <c r="I507" i="28"/>
  <c r="I536" i="28"/>
  <c r="I517" i="28"/>
  <c r="I522" i="28"/>
  <c r="I542" i="28"/>
  <c r="I552" i="28"/>
  <c r="K58" i="28"/>
  <c r="M63" i="17" s="1"/>
  <c r="I561" i="28"/>
  <c r="I558" i="28"/>
  <c r="I575" i="28"/>
  <c r="I593" i="28"/>
  <c r="I599" i="28"/>
  <c r="I620" i="28"/>
  <c r="I627" i="28"/>
  <c r="I621" i="28"/>
  <c r="K64" i="28"/>
  <c r="M69" i="17" s="1"/>
  <c r="I640" i="28"/>
  <c r="I655" i="28"/>
  <c r="I663" i="28"/>
  <c r="I667" i="28"/>
  <c r="I677" i="28"/>
  <c r="K70" i="28"/>
  <c r="M75" i="17" s="1"/>
  <c r="I681" i="28"/>
  <c r="I676" i="28"/>
  <c r="I947" i="28"/>
  <c r="I737" i="28"/>
  <c r="I764" i="28"/>
  <c r="I783" i="28"/>
  <c r="I781" i="28"/>
  <c r="K80" i="28"/>
  <c r="M85" i="17" s="1"/>
  <c r="I787" i="28"/>
  <c r="I810" i="28"/>
  <c r="I825" i="28"/>
  <c r="I804" i="28"/>
  <c r="I977" i="17"/>
  <c r="I1003" i="28"/>
  <c r="I983" i="17"/>
  <c r="I971" i="28"/>
  <c r="K99" i="28"/>
  <c r="M104" i="17" s="1"/>
  <c r="I723" i="28"/>
  <c r="I892" i="17"/>
  <c r="I942" i="17"/>
  <c r="I822" i="28"/>
  <c r="I742" i="17"/>
  <c r="I755" i="17"/>
  <c r="I977" i="28"/>
  <c r="I972" i="28"/>
  <c r="K72" i="28"/>
  <c r="M77" i="17" s="1"/>
  <c r="I701" i="28"/>
  <c r="I858" i="17"/>
  <c r="I915" i="17"/>
  <c r="I857" i="28"/>
  <c r="I842" i="28"/>
  <c r="I958" i="28"/>
  <c r="K74" i="28"/>
  <c r="M79" i="17" s="1"/>
  <c r="I721" i="28"/>
  <c r="I864" i="28"/>
  <c r="I718" i="28"/>
  <c r="I950" i="17"/>
  <c r="I874" i="28"/>
  <c r="I996" i="28"/>
  <c r="I984" i="17"/>
  <c r="I991" i="28"/>
  <c r="K101" i="28"/>
  <c r="M106" i="17" s="1"/>
  <c r="I749" i="17"/>
  <c r="I926" i="17"/>
  <c r="I930" i="28"/>
  <c r="I725" i="28"/>
  <c r="I886" i="17"/>
  <c r="I953" i="17"/>
  <c r="I706" i="17"/>
  <c r="I907" i="17"/>
  <c r="I734" i="17"/>
  <c r="I842" i="17"/>
  <c r="I917" i="17"/>
  <c r="I868" i="17"/>
  <c r="I508" i="17"/>
  <c r="I493" i="17"/>
  <c r="I514" i="17"/>
  <c r="I502" i="17"/>
  <c r="I529" i="17"/>
  <c r="I522" i="17"/>
  <c r="I527" i="17"/>
  <c r="I536" i="17"/>
  <c r="I552" i="17"/>
  <c r="I564" i="17"/>
  <c r="I562" i="17"/>
  <c r="I581" i="17"/>
  <c r="I601" i="17"/>
  <c r="I597" i="17"/>
  <c r="I611" i="17"/>
  <c r="I623" i="17"/>
  <c r="I626" i="17"/>
  <c r="I650" i="17"/>
  <c r="I649" i="17"/>
  <c r="I654" i="17"/>
  <c r="I659" i="17"/>
  <c r="I697" i="17"/>
  <c r="I666" i="17"/>
  <c r="I677" i="17"/>
  <c r="I686" i="17"/>
  <c r="I920" i="28"/>
  <c r="I758" i="28"/>
  <c r="I789" i="17"/>
  <c r="I796" i="17"/>
  <c r="I792" i="17"/>
  <c r="I802" i="17"/>
  <c r="I818" i="17"/>
  <c r="I827" i="17"/>
  <c r="I828" i="17"/>
  <c r="I754" i="17"/>
  <c r="I1007" i="17"/>
  <c r="I735" i="17"/>
  <c r="I833" i="17"/>
  <c r="I849" i="28"/>
  <c r="I915" i="28"/>
  <c r="K91" i="28"/>
  <c r="M96" i="17" s="1"/>
  <c r="I891" i="28"/>
  <c r="I603" i="28"/>
  <c r="I642" i="28"/>
  <c r="I674" i="28"/>
  <c r="I682" i="28"/>
  <c r="I909" i="28"/>
  <c r="I834" i="17"/>
  <c r="I854" i="17"/>
  <c r="I571" i="17"/>
  <c r="I695" i="17"/>
  <c r="I768" i="17"/>
  <c r="I777" i="17"/>
  <c r="I779" i="17"/>
  <c r="I787" i="17"/>
  <c r="I806" i="17"/>
  <c r="I815" i="17"/>
  <c r="I822" i="17"/>
  <c r="I759" i="17"/>
  <c r="I1005" i="28"/>
  <c r="I1000" i="17"/>
  <c r="I742" i="28"/>
  <c r="I860" i="17"/>
  <c r="I914" i="28"/>
  <c r="I730" i="28"/>
  <c r="I885" i="28"/>
  <c r="I508" i="28"/>
  <c r="I504" i="28"/>
  <c r="K52" i="28"/>
  <c r="M57" i="17" s="1"/>
  <c r="I501" i="28"/>
  <c r="K53" i="28"/>
  <c r="M58" i="17" s="1"/>
  <c r="I511" i="28"/>
  <c r="I538" i="28"/>
  <c r="I545" i="28"/>
  <c r="I548" i="28"/>
  <c r="I569" i="28"/>
  <c r="I568" i="28"/>
  <c r="I578" i="28"/>
  <c r="K62" i="28"/>
  <c r="M67" i="17" s="1"/>
  <c r="I601" i="28"/>
  <c r="I605" i="28"/>
  <c r="I624" i="28"/>
  <c r="I612" i="28"/>
  <c r="I635" i="28"/>
  <c r="I652" i="28"/>
  <c r="I658" i="28"/>
  <c r="I644" i="28"/>
  <c r="I672" i="28"/>
  <c r="I690" i="28"/>
  <c r="I684" i="28"/>
  <c r="I713" i="28"/>
  <c r="I710" i="28"/>
  <c r="I747" i="28"/>
  <c r="I762" i="28"/>
  <c r="I789" i="28"/>
  <c r="I785" i="28"/>
  <c r="I796" i="28"/>
  <c r="I807" i="28"/>
  <c r="I814" i="28"/>
  <c r="K84" i="28"/>
  <c r="M89" i="17" s="1"/>
  <c r="I821" i="28"/>
  <c r="I986" i="28"/>
  <c r="I1000" i="28"/>
  <c r="I943" i="17"/>
  <c r="I845" i="17"/>
  <c r="I827" i="28"/>
  <c r="I711" i="28"/>
  <c r="K73" i="28"/>
  <c r="M78" i="17" s="1"/>
  <c r="I898" i="17"/>
  <c r="I489" i="17"/>
  <c r="I760" i="28"/>
  <c r="I997" i="17"/>
  <c r="I1005" i="17"/>
  <c r="I740" i="28"/>
  <c r="I899" i="17"/>
  <c r="I861" i="17"/>
  <c r="I848" i="28"/>
  <c r="I887" i="28"/>
  <c r="I883" i="28"/>
  <c r="C59" i="28"/>
  <c r="H58" i="28"/>
  <c r="I797" i="17"/>
  <c r="I882" i="28"/>
  <c r="I687" i="28"/>
  <c r="I967" i="28"/>
  <c r="I1004" i="17"/>
  <c r="I883" i="17"/>
  <c r="I690" i="17"/>
  <c r="I631" i="17"/>
  <c r="I781" i="17"/>
  <c r="I798" i="17"/>
  <c r="I807" i="17"/>
  <c r="I795" i="17"/>
  <c r="I571" i="28"/>
  <c r="K59" i="28"/>
  <c r="M64" i="17" s="1"/>
  <c r="I553" i="28"/>
  <c r="I577" i="28"/>
  <c r="K79" i="28"/>
  <c r="M84" i="17" s="1"/>
  <c r="I771" i="28"/>
  <c r="I752" i="17"/>
  <c r="I985" i="17"/>
  <c r="I719" i="17"/>
  <c r="I966" i="28"/>
  <c r="I912" i="28"/>
  <c r="K76" i="28"/>
  <c r="M81" i="17" s="1"/>
  <c r="I741" i="28"/>
  <c r="I733" i="28"/>
  <c r="I944" i="17"/>
  <c r="I752" i="28"/>
  <c r="I982" i="28"/>
  <c r="I986" i="17"/>
  <c r="K85" i="28"/>
  <c r="M90" i="17" s="1"/>
  <c r="I831" i="28"/>
  <c r="I745" i="17"/>
  <c r="I843" i="17"/>
  <c r="I860" i="28"/>
  <c r="I880" i="17"/>
  <c r="I954" i="17"/>
  <c r="I871" i="28"/>
  <c r="K89" i="28"/>
  <c r="M94" i="17" s="1"/>
  <c r="I932" i="17"/>
  <c r="I918" i="17"/>
  <c r="I936" i="17"/>
  <c r="I850" i="17"/>
  <c r="I500" i="17"/>
  <c r="I498" i="17"/>
  <c r="I520" i="17"/>
  <c r="I503" i="17"/>
  <c r="I535" i="17"/>
  <c r="I530" i="17"/>
  <c r="I532" i="17"/>
  <c r="I543" i="17"/>
  <c r="I568" i="17"/>
  <c r="I553" i="17"/>
  <c r="I565" i="17"/>
  <c r="I587" i="17"/>
  <c r="I585" i="17"/>
  <c r="I588" i="17"/>
  <c r="I607" i="17"/>
  <c r="I603" i="17"/>
  <c r="I615" i="17"/>
  <c r="I628" i="17"/>
  <c r="I634" i="17"/>
  <c r="I653" i="17"/>
  <c r="I648" i="17"/>
  <c r="I668" i="17"/>
  <c r="I656" i="17"/>
  <c r="I672" i="17"/>
  <c r="I678" i="17"/>
  <c r="I689" i="17"/>
  <c r="I991" i="17"/>
  <c r="A112" i="27"/>
  <c r="B111" i="27"/>
  <c r="D111" i="27" a="1"/>
  <c r="D111" i="27" s="1"/>
  <c r="E111" i="27" s="1"/>
  <c r="I960" i="28"/>
  <c r="I526" i="28"/>
  <c r="I565" i="28"/>
  <c r="I659" i="28"/>
  <c r="K78" i="28"/>
  <c r="M83" i="17" s="1"/>
  <c r="I761" i="28"/>
  <c r="I837" i="17"/>
  <c r="I924" i="28"/>
  <c r="I711" i="17"/>
  <c r="C59" i="17"/>
  <c r="H58" i="17"/>
  <c r="I934" i="28"/>
  <c r="I591" i="17"/>
  <c r="I765" i="17"/>
  <c r="I1007" i="28"/>
  <c r="I956" i="17"/>
  <c r="I491" i="28"/>
  <c r="K51" i="28"/>
  <c r="M56" i="17" s="1"/>
  <c r="I497" i="28"/>
  <c r="I495" i="28"/>
  <c r="I524" i="28"/>
  <c r="I506" i="28"/>
  <c r="I533" i="28"/>
  <c r="K56" i="28"/>
  <c r="M61" i="17" s="1"/>
  <c r="I541" i="28"/>
  <c r="I555" i="28"/>
  <c r="I544" i="28"/>
  <c r="I566" i="28"/>
  <c r="I559" i="28"/>
  <c r="I587" i="28"/>
  <c r="I589" i="28"/>
  <c r="I597" i="28"/>
  <c r="I614" i="28"/>
  <c r="I626" i="28"/>
  <c r="I629" i="28"/>
  <c r="I646" i="28"/>
  <c r="I648" i="28"/>
  <c r="I653" i="28"/>
  <c r="I657" i="28"/>
  <c r="I669" i="28"/>
  <c r="I665" i="28"/>
  <c r="I689" i="28"/>
  <c r="I686" i="28"/>
  <c r="I938" i="28"/>
  <c r="I743" i="17"/>
  <c r="I766" i="28"/>
  <c r="I773" i="28"/>
  <c r="I774" i="28"/>
  <c r="I788" i="28"/>
  <c r="I803" i="28"/>
  <c r="I793" i="28"/>
  <c r="I817" i="28"/>
  <c r="I809" i="28"/>
  <c r="I998" i="28"/>
  <c r="I980" i="28"/>
  <c r="I989" i="28"/>
  <c r="I845" i="28"/>
  <c r="I928" i="17"/>
  <c r="K87" i="28"/>
  <c r="M92" i="17" s="1"/>
  <c r="I851" i="28"/>
  <c r="I705" i="28"/>
  <c r="I880" i="28"/>
  <c r="I910" i="17"/>
  <c r="I697" i="28"/>
  <c r="I753" i="28"/>
  <c r="I1001" i="17"/>
  <c r="I947" i="17"/>
  <c r="I867" i="28"/>
  <c r="I924" i="17"/>
  <c r="I921" i="28"/>
  <c r="K94" i="28"/>
  <c r="M99" i="17" s="1"/>
  <c r="I834" i="28"/>
  <c r="I879" i="17"/>
  <c r="I954" i="28"/>
  <c r="I708" i="17"/>
  <c r="I847" i="28"/>
  <c r="I940" i="28"/>
  <c r="I719" i="28"/>
  <c r="I968" i="28"/>
  <c r="I695" i="28"/>
  <c r="I758" i="17"/>
  <c r="I994" i="17"/>
  <c r="I979" i="17"/>
  <c r="I844" i="17"/>
  <c r="I922" i="28"/>
  <c r="I728" i="28"/>
  <c r="I889" i="28"/>
  <c r="I744" i="17"/>
  <c r="I740" i="17"/>
  <c r="I736" i="17"/>
  <c r="I919" i="17"/>
  <c r="I846" i="17"/>
  <c r="I492" i="17"/>
  <c r="I495" i="17"/>
  <c r="I516" i="17"/>
  <c r="I513" i="17"/>
  <c r="I524" i="17"/>
  <c r="I541" i="17"/>
  <c r="I558" i="17"/>
  <c r="I566" i="17"/>
  <c r="I579" i="17"/>
  <c r="I567" i="17"/>
  <c r="I586" i="17"/>
  <c r="I593" i="17"/>
  <c r="I627" i="17"/>
  <c r="I595" i="17"/>
  <c r="I609" i="17"/>
  <c r="I622" i="17"/>
  <c r="I619" i="17"/>
  <c r="I646" i="17"/>
  <c r="I642" i="17"/>
  <c r="I658" i="17"/>
  <c r="I675" i="17"/>
  <c r="I683" i="17"/>
  <c r="I692" i="17"/>
  <c r="I682" i="17"/>
  <c r="I900" i="28"/>
  <c r="A113" i="16"/>
  <c r="B112" i="16"/>
  <c r="D112" i="16" a="1"/>
  <c r="D112" i="16" s="1"/>
  <c r="E112" i="16" s="1"/>
  <c r="I761" i="17"/>
  <c r="I811" i="17"/>
  <c r="I959" i="28"/>
  <c r="I534" i="28"/>
  <c r="I573" i="28"/>
  <c r="I594" i="28"/>
  <c r="I616" i="28"/>
  <c r="I770" i="28"/>
  <c r="I745" i="28"/>
  <c r="I891" i="17"/>
  <c r="I960" i="17"/>
  <c r="I851" i="17"/>
  <c r="B109" i="33" l="1"/>
  <c r="A110" i="33"/>
  <c r="B109" i="35"/>
  <c r="A110" i="35"/>
  <c r="B109" i="36"/>
  <c r="A110" i="36"/>
  <c r="B109" i="34"/>
  <c r="A110" i="34"/>
  <c r="F112" i="16"/>
  <c r="G112" i="16"/>
  <c r="A113" i="27"/>
  <c r="B112" i="27"/>
  <c r="D112" i="27" a="1"/>
  <c r="D112" i="27" s="1"/>
  <c r="E112" i="27" s="1"/>
  <c r="C60" i="28"/>
  <c r="H59" i="28"/>
  <c r="I111" i="16"/>
  <c r="K13" i="16"/>
  <c r="L18" i="17" s="1"/>
  <c r="C60" i="16"/>
  <c r="H59" i="16"/>
  <c r="A114" i="16"/>
  <c r="B113" i="16"/>
  <c r="D113" i="16" a="1"/>
  <c r="D113" i="16" s="1"/>
  <c r="E113" i="16" s="1"/>
  <c r="G111" i="27"/>
  <c r="F111" i="27"/>
  <c r="C60" i="27"/>
  <c r="H59" i="27"/>
  <c r="C60" i="17"/>
  <c r="H59" i="17"/>
  <c r="I110" i="27"/>
  <c r="B110" i="36" l="1"/>
  <c r="A111" i="36"/>
  <c r="B110" i="33"/>
  <c r="A111" i="33"/>
  <c r="B110" i="35"/>
  <c r="A111" i="35"/>
  <c r="B110" i="34"/>
  <c r="A111" i="34"/>
  <c r="C61" i="17"/>
  <c r="H60" i="17"/>
  <c r="B114" i="16"/>
  <c r="A115" i="16"/>
  <c r="D114" i="16" a="1"/>
  <c r="D114" i="16" s="1"/>
  <c r="E114" i="16" s="1"/>
  <c r="C61" i="16"/>
  <c r="H60" i="16"/>
  <c r="K13" i="27"/>
  <c r="N18" i="17" s="1"/>
  <c r="E23" i="9" s="1"/>
  <c r="F23" i="9" s="1"/>
  <c r="I111" i="27"/>
  <c r="F113" i="16"/>
  <c r="G113" i="16"/>
  <c r="C61" i="28"/>
  <c r="H60" i="28"/>
  <c r="A114" i="27"/>
  <c r="B113" i="27"/>
  <c r="D113" i="27" a="1"/>
  <c r="D113" i="27" s="1"/>
  <c r="E113" i="27" s="1"/>
  <c r="C61" i="27"/>
  <c r="H60" i="27"/>
  <c r="I112" i="16"/>
  <c r="F112" i="27"/>
  <c r="G112" i="27"/>
  <c r="B111" i="34" l="1"/>
  <c r="A112" i="34"/>
  <c r="B111" i="36"/>
  <c r="A112" i="36"/>
  <c r="B111" i="33"/>
  <c r="A112" i="33"/>
  <c r="B111" i="35"/>
  <c r="A112" i="35"/>
  <c r="F113" i="27"/>
  <c r="G113" i="27"/>
  <c r="D23" i="9"/>
  <c r="I113" i="16"/>
  <c r="A116" i="16"/>
  <c r="B115" i="16"/>
  <c r="D115" i="16" a="1"/>
  <c r="D115" i="16" s="1"/>
  <c r="E115" i="16" s="1"/>
  <c r="I112" i="27"/>
  <c r="C62" i="28"/>
  <c r="H61" i="28"/>
  <c r="A115" i="27"/>
  <c r="B114" i="27"/>
  <c r="D114" i="27" a="1"/>
  <c r="D114" i="27" s="1"/>
  <c r="E114" i="27" s="1"/>
  <c r="C62" i="27"/>
  <c r="H61" i="27"/>
  <c r="C62" i="16"/>
  <c r="H61" i="16"/>
  <c r="F114" i="16"/>
  <c r="G114" i="16"/>
  <c r="C62" i="17"/>
  <c r="H61" i="17"/>
  <c r="B112" i="34" l="1"/>
  <c r="A113" i="34"/>
  <c r="B112" i="36"/>
  <c r="A113" i="36"/>
  <c r="B112" i="35"/>
  <c r="A113" i="35"/>
  <c r="B112" i="33"/>
  <c r="A113" i="33"/>
  <c r="F16" i="31"/>
  <c r="C63" i="27"/>
  <c r="H62" i="27"/>
  <c r="C63" i="17"/>
  <c r="H62" i="17"/>
  <c r="C63" i="16"/>
  <c r="H62" i="16"/>
  <c r="A117" i="16"/>
  <c r="B116" i="16"/>
  <c r="D116" i="16" a="1"/>
  <c r="D116" i="16" s="1"/>
  <c r="E116" i="16" s="1"/>
  <c r="I114" i="16"/>
  <c r="A116" i="27"/>
  <c r="B115" i="27"/>
  <c r="D115" i="27" a="1"/>
  <c r="D115" i="27" s="1"/>
  <c r="E115" i="27" s="1"/>
  <c r="G115" i="16"/>
  <c r="F115" i="16"/>
  <c r="I113" i="27"/>
  <c r="F114" i="27"/>
  <c r="G114" i="27"/>
  <c r="C63" i="28"/>
  <c r="H62" i="28"/>
  <c r="B113" i="34" l="1"/>
  <c r="A114" i="34"/>
  <c r="B113" i="35"/>
  <c r="A114" i="35"/>
  <c r="B113" i="33"/>
  <c r="A114" i="33"/>
  <c r="B113" i="36"/>
  <c r="A114" i="36"/>
  <c r="G115" i="27"/>
  <c r="F115" i="27"/>
  <c r="I115" i="16"/>
  <c r="A118" i="16"/>
  <c r="B117" i="16"/>
  <c r="D117" i="16" a="1"/>
  <c r="D117" i="16" s="1"/>
  <c r="E117" i="16" s="1"/>
  <c r="C64" i="17"/>
  <c r="H63" i="17"/>
  <c r="C64" i="28"/>
  <c r="H63" i="28"/>
  <c r="I114" i="27"/>
  <c r="B116" i="27"/>
  <c r="A117" i="27"/>
  <c r="D116" i="27" a="1"/>
  <c r="D116" i="27" s="1"/>
  <c r="E116" i="27" s="1"/>
  <c r="F116" i="16"/>
  <c r="G116" i="16"/>
  <c r="C64" i="16"/>
  <c r="H63" i="16"/>
  <c r="C64" i="27"/>
  <c r="H63" i="27"/>
  <c r="B114" i="36" l="1"/>
  <c r="A115" i="36"/>
  <c r="B114" i="34"/>
  <c r="A115" i="34"/>
  <c r="B114" i="33"/>
  <c r="A115" i="33"/>
  <c r="B114" i="35"/>
  <c r="A115" i="35"/>
  <c r="G116" i="27"/>
  <c r="F116" i="27"/>
  <c r="C65" i="17"/>
  <c r="H64" i="17"/>
  <c r="G117" i="16"/>
  <c r="F117" i="16"/>
  <c r="C65" i="16"/>
  <c r="H64" i="16"/>
  <c r="A118" i="27"/>
  <c r="B117" i="27"/>
  <c r="D117" i="27" a="1"/>
  <c r="D117" i="27" s="1"/>
  <c r="E117" i="27" s="1"/>
  <c r="I116" i="16"/>
  <c r="C65" i="28"/>
  <c r="H64" i="28"/>
  <c r="C65" i="27"/>
  <c r="H64" i="27"/>
  <c r="A119" i="16"/>
  <c r="B118" i="16"/>
  <c r="D118" i="16" a="1"/>
  <c r="D118" i="16" s="1"/>
  <c r="E118" i="16" s="1"/>
  <c r="I115" i="27"/>
  <c r="B115" i="33" l="1"/>
  <c r="A116" i="33"/>
  <c r="B115" i="34"/>
  <c r="A116" i="34"/>
  <c r="B115" i="36"/>
  <c r="A116" i="36"/>
  <c r="B115" i="35"/>
  <c r="A116" i="35"/>
  <c r="F118" i="16"/>
  <c r="G118" i="16"/>
  <c r="C66" i="27"/>
  <c r="H65" i="27"/>
  <c r="G117" i="27"/>
  <c r="F117" i="27"/>
  <c r="C66" i="16"/>
  <c r="H65" i="16"/>
  <c r="C66" i="17"/>
  <c r="H65" i="17"/>
  <c r="A120" i="16"/>
  <c r="B119" i="16"/>
  <c r="D119" i="16" a="1"/>
  <c r="D119" i="16" s="1"/>
  <c r="E119" i="16" s="1"/>
  <c r="C66" i="28"/>
  <c r="H65" i="28"/>
  <c r="B118" i="27"/>
  <c r="A119" i="27"/>
  <c r="D118" i="27" a="1"/>
  <c r="D118" i="27" s="1"/>
  <c r="E118" i="27" s="1"/>
  <c r="I117" i="16"/>
  <c r="I116" i="27"/>
  <c r="B116" i="36" l="1"/>
  <c r="A117" i="36"/>
  <c r="B116" i="33"/>
  <c r="A117" i="33"/>
  <c r="B116" i="35"/>
  <c r="A117" i="35"/>
  <c r="B116" i="34"/>
  <c r="A117" i="34"/>
  <c r="A120" i="27"/>
  <c r="B119" i="27"/>
  <c r="D119" i="27" a="1"/>
  <c r="D119" i="27" s="1"/>
  <c r="E119" i="27" s="1"/>
  <c r="A121" i="16"/>
  <c r="B120" i="16"/>
  <c r="D120" i="16" a="1"/>
  <c r="D120" i="16" s="1"/>
  <c r="E120" i="16" s="1"/>
  <c r="C67" i="16"/>
  <c r="H66" i="16"/>
  <c r="C67" i="27"/>
  <c r="H66" i="27"/>
  <c r="F118" i="27"/>
  <c r="G118" i="27"/>
  <c r="C67" i="28"/>
  <c r="H66" i="28"/>
  <c r="I118" i="16"/>
  <c r="F119" i="16"/>
  <c r="G119" i="16"/>
  <c r="C67" i="17"/>
  <c r="H66" i="17"/>
  <c r="I117" i="27"/>
  <c r="B117" i="34" l="1"/>
  <c r="A118" i="34"/>
  <c r="B117" i="36"/>
  <c r="A118" i="36"/>
  <c r="B117" i="35"/>
  <c r="A118" i="35"/>
  <c r="B117" i="33"/>
  <c r="A118" i="33"/>
  <c r="I119" i="16"/>
  <c r="C68" i="28"/>
  <c r="H67" i="28"/>
  <c r="C68" i="27"/>
  <c r="H67" i="27"/>
  <c r="I118" i="27"/>
  <c r="A122" i="16"/>
  <c r="B121" i="16"/>
  <c r="D121" i="16" a="1"/>
  <c r="D121" i="16" s="1"/>
  <c r="E121" i="16" s="1"/>
  <c r="F119" i="27"/>
  <c r="G119" i="27"/>
  <c r="F120" i="16"/>
  <c r="G120" i="16"/>
  <c r="C68" i="17"/>
  <c r="H67" i="17"/>
  <c r="C68" i="16"/>
  <c r="H67" i="16"/>
  <c r="B120" i="27"/>
  <c r="A121" i="27"/>
  <c r="D120" i="27" a="1"/>
  <c r="D120" i="27" s="1"/>
  <c r="E120" i="27" s="1"/>
  <c r="B118" i="33" l="1"/>
  <c r="A119" i="33"/>
  <c r="B118" i="35"/>
  <c r="A119" i="35"/>
  <c r="B118" i="36"/>
  <c r="A119" i="36"/>
  <c r="B118" i="34"/>
  <c r="A119" i="34"/>
  <c r="F120" i="27"/>
  <c r="G120" i="27"/>
  <c r="C69" i="17"/>
  <c r="H68" i="17"/>
  <c r="G121" i="16"/>
  <c r="F121" i="16"/>
  <c r="C69" i="28"/>
  <c r="H68" i="28"/>
  <c r="C69" i="16"/>
  <c r="H68" i="16"/>
  <c r="I120" i="16"/>
  <c r="A122" i="27"/>
  <c r="B121" i="27"/>
  <c r="D121" i="27" a="1"/>
  <c r="D121" i="27" s="1"/>
  <c r="E121" i="27" s="1"/>
  <c r="I119" i="27"/>
  <c r="A123" i="16"/>
  <c r="B122" i="16"/>
  <c r="D122" i="16" a="1"/>
  <c r="D122" i="16" s="1"/>
  <c r="E122" i="16" s="1"/>
  <c r="C69" i="27"/>
  <c r="H68" i="27"/>
  <c r="B119" i="35" l="1"/>
  <c r="A120" i="35"/>
  <c r="B119" i="33"/>
  <c r="A120" i="33"/>
  <c r="B119" i="36"/>
  <c r="A120" i="36"/>
  <c r="B119" i="34"/>
  <c r="A120" i="34"/>
  <c r="F122" i="16"/>
  <c r="G122" i="16"/>
  <c r="F121" i="27"/>
  <c r="G121" i="27"/>
  <c r="C70" i="28"/>
  <c r="H69" i="28"/>
  <c r="C70" i="17"/>
  <c r="H69" i="17"/>
  <c r="I120" i="27"/>
  <c r="A124" i="16"/>
  <c r="B123" i="16"/>
  <c r="D123" i="16" a="1"/>
  <c r="D123" i="16" s="1"/>
  <c r="E123" i="16" s="1"/>
  <c r="C70" i="27"/>
  <c r="H69" i="27"/>
  <c r="B122" i="27"/>
  <c r="A123" i="27"/>
  <c r="D122" i="27" a="1"/>
  <c r="D122" i="27" s="1"/>
  <c r="E122" i="27" s="1"/>
  <c r="C70" i="16"/>
  <c r="H69" i="16"/>
  <c r="I121" i="16"/>
  <c r="K14" i="16"/>
  <c r="L19" i="17" s="1"/>
  <c r="B120" i="36" l="1"/>
  <c r="A121" i="36"/>
  <c r="B120" i="35"/>
  <c r="A121" i="35"/>
  <c r="B120" i="34"/>
  <c r="A121" i="34"/>
  <c r="B120" i="33"/>
  <c r="A121" i="33"/>
  <c r="A124" i="27"/>
  <c r="B123" i="27"/>
  <c r="D123" i="27" a="1"/>
  <c r="D123" i="27" s="1"/>
  <c r="E123" i="27" s="1"/>
  <c r="I121" i="27"/>
  <c r="K14" i="27"/>
  <c r="N19" i="17" s="1"/>
  <c r="C71" i="16"/>
  <c r="H70" i="16"/>
  <c r="A125" i="16"/>
  <c r="B124" i="16"/>
  <c r="D124" i="16" a="1"/>
  <c r="D124" i="16" s="1"/>
  <c r="E124" i="16" s="1"/>
  <c r="C71" i="17"/>
  <c r="H70" i="17"/>
  <c r="G122" i="27"/>
  <c r="F122" i="27"/>
  <c r="C71" i="27"/>
  <c r="H70" i="27"/>
  <c r="I122" i="16"/>
  <c r="F123" i="16"/>
  <c r="G123" i="16"/>
  <c r="C71" i="28"/>
  <c r="H70" i="28"/>
  <c r="B121" i="34" l="1"/>
  <c r="A122" i="34"/>
  <c r="B121" i="33"/>
  <c r="A122" i="33"/>
  <c r="B121" i="35"/>
  <c r="A122" i="35"/>
  <c r="B121" i="36"/>
  <c r="A122" i="36"/>
  <c r="E24" i="9"/>
  <c r="F24" i="9" s="1"/>
  <c r="C72" i="28"/>
  <c r="H71" i="28"/>
  <c r="I122" i="27"/>
  <c r="G123" i="27"/>
  <c r="F123" i="27"/>
  <c r="I123" i="16"/>
  <c r="A126" i="16"/>
  <c r="B125" i="16"/>
  <c r="D125" i="16" a="1"/>
  <c r="D125" i="16" s="1"/>
  <c r="E125" i="16" s="1"/>
  <c r="C72" i="27"/>
  <c r="H71" i="27"/>
  <c r="C72" i="17"/>
  <c r="H71" i="17"/>
  <c r="F124" i="16"/>
  <c r="G124" i="16"/>
  <c r="C72" i="16"/>
  <c r="H71" i="16"/>
  <c r="A125" i="27"/>
  <c r="B124" i="27"/>
  <c r="D124" i="27" a="1"/>
  <c r="D124" i="27" s="1"/>
  <c r="E124" i="27" s="1"/>
  <c r="B122" i="36" l="1"/>
  <c r="A123" i="36"/>
  <c r="B122" i="34"/>
  <c r="A123" i="34"/>
  <c r="B122" i="33"/>
  <c r="A123" i="33"/>
  <c r="B122" i="35"/>
  <c r="A123" i="35"/>
  <c r="D24" i="9"/>
  <c r="F124" i="27"/>
  <c r="G124" i="27"/>
  <c r="C73" i="17"/>
  <c r="H72" i="17"/>
  <c r="I124" i="16"/>
  <c r="A127" i="16"/>
  <c r="B126" i="16"/>
  <c r="D126" i="16" a="1"/>
  <c r="D126" i="16" s="1"/>
  <c r="E126" i="16" s="1"/>
  <c r="I123" i="27"/>
  <c r="C73" i="28"/>
  <c r="H72" i="28"/>
  <c r="B125" i="27"/>
  <c r="A126" i="27"/>
  <c r="D125" i="27" a="1"/>
  <c r="D125" i="27" s="1"/>
  <c r="E125" i="27" s="1"/>
  <c r="C73" i="27"/>
  <c r="H72" i="27"/>
  <c r="F125" i="16"/>
  <c r="G125" i="16"/>
  <c r="C73" i="16"/>
  <c r="H72" i="16"/>
  <c r="B123" i="35" l="1"/>
  <c r="A124" i="35"/>
  <c r="B123" i="33"/>
  <c r="A124" i="33"/>
  <c r="B123" i="36"/>
  <c r="A124" i="36"/>
  <c r="B123" i="34"/>
  <c r="A124" i="34"/>
  <c r="F17" i="31"/>
  <c r="G125" i="27"/>
  <c r="F125" i="27"/>
  <c r="C74" i="28"/>
  <c r="H73" i="28"/>
  <c r="C74" i="27"/>
  <c r="H73" i="27"/>
  <c r="C74" i="16"/>
  <c r="H73" i="16"/>
  <c r="B126" i="27"/>
  <c r="A127" i="27"/>
  <c r="D126" i="27" a="1"/>
  <c r="D126" i="27" s="1"/>
  <c r="E126" i="27" s="1"/>
  <c r="A128" i="16"/>
  <c r="B127" i="16"/>
  <c r="D127" i="16" a="1"/>
  <c r="D127" i="16" s="1"/>
  <c r="E127" i="16" s="1"/>
  <c r="C74" i="17"/>
  <c r="H73" i="17"/>
  <c r="I125" i="16"/>
  <c r="I124" i="27"/>
  <c r="G126" i="16"/>
  <c r="F126" i="16"/>
  <c r="B124" i="35" l="1"/>
  <c r="A125" i="35"/>
  <c r="B124" i="36"/>
  <c r="A125" i="36"/>
  <c r="B124" i="33"/>
  <c r="A125" i="33"/>
  <c r="B124" i="34"/>
  <c r="A125" i="34"/>
  <c r="A129" i="16"/>
  <c r="B128" i="16"/>
  <c r="D128" i="16" a="1"/>
  <c r="D128" i="16" s="1"/>
  <c r="E128" i="16" s="1"/>
  <c r="F126" i="27"/>
  <c r="G126" i="27"/>
  <c r="C75" i="16"/>
  <c r="H74" i="16"/>
  <c r="C75" i="28"/>
  <c r="H74" i="28"/>
  <c r="G127" i="16"/>
  <c r="F127" i="16"/>
  <c r="A128" i="27"/>
  <c r="B127" i="27"/>
  <c r="D127" i="27" a="1"/>
  <c r="D127" i="27" s="1"/>
  <c r="E127" i="27" s="1"/>
  <c r="C75" i="17"/>
  <c r="H74" i="17"/>
  <c r="I126" i="16"/>
  <c r="C75" i="27"/>
  <c r="H74" i="27"/>
  <c r="I125" i="27"/>
  <c r="B125" i="34" l="1"/>
  <c r="A126" i="34"/>
  <c r="B125" i="33"/>
  <c r="A126" i="33"/>
  <c r="B125" i="35"/>
  <c r="A126" i="35"/>
  <c r="B125" i="36"/>
  <c r="A126" i="36"/>
  <c r="F127" i="27"/>
  <c r="G127" i="27"/>
  <c r="C76" i="16"/>
  <c r="H75" i="16"/>
  <c r="B128" i="27"/>
  <c r="A129" i="27"/>
  <c r="D128" i="27" a="1"/>
  <c r="D128" i="27" s="1"/>
  <c r="E128" i="27" s="1"/>
  <c r="C76" i="28"/>
  <c r="H75" i="28"/>
  <c r="G128" i="16"/>
  <c r="F128" i="16"/>
  <c r="C76" i="17"/>
  <c r="H75" i="17"/>
  <c r="I127" i="16"/>
  <c r="C76" i="27"/>
  <c r="H75" i="27"/>
  <c r="I126" i="27"/>
  <c r="A130" i="16"/>
  <c r="B129" i="16"/>
  <c r="D129" i="16" a="1"/>
  <c r="D129" i="16" s="1"/>
  <c r="E129" i="16" s="1"/>
  <c r="B126" i="34" l="1"/>
  <c r="A127" i="34"/>
  <c r="B126" i="33"/>
  <c r="A127" i="33"/>
  <c r="B126" i="35"/>
  <c r="A127" i="35"/>
  <c r="B126" i="36"/>
  <c r="A127" i="36"/>
  <c r="A131" i="16"/>
  <c r="B130" i="16"/>
  <c r="D130" i="16" a="1"/>
  <c r="D130" i="16" s="1"/>
  <c r="E130" i="16" s="1"/>
  <c r="C77" i="27"/>
  <c r="H76" i="27"/>
  <c r="C77" i="17"/>
  <c r="H76" i="17"/>
  <c r="C77" i="28"/>
  <c r="H76" i="28"/>
  <c r="F128" i="27"/>
  <c r="G128" i="27"/>
  <c r="C77" i="16"/>
  <c r="H76" i="16"/>
  <c r="G129" i="16"/>
  <c r="F129" i="16"/>
  <c r="I128" i="16"/>
  <c r="A130" i="27"/>
  <c r="B129" i="27"/>
  <c r="D129" i="27" a="1"/>
  <c r="D129" i="27" s="1"/>
  <c r="E129" i="27" s="1"/>
  <c r="I127" i="27"/>
  <c r="B127" i="36" l="1"/>
  <c r="A128" i="36"/>
  <c r="B127" i="34"/>
  <c r="A128" i="34"/>
  <c r="B127" i="35"/>
  <c r="A128" i="35"/>
  <c r="B127" i="33"/>
  <c r="A128" i="33"/>
  <c r="F129" i="27"/>
  <c r="G129" i="27"/>
  <c r="C78" i="16"/>
  <c r="H77" i="16"/>
  <c r="C78" i="28"/>
  <c r="H77" i="28"/>
  <c r="C78" i="27"/>
  <c r="H77" i="27"/>
  <c r="G130" i="16"/>
  <c r="F130" i="16"/>
  <c r="I128" i="27"/>
  <c r="I129" i="16"/>
  <c r="C78" i="17"/>
  <c r="H77" i="17"/>
  <c r="B130" i="27"/>
  <c r="A131" i="27"/>
  <c r="D130" i="27" a="1"/>
  <c r="D130" i="27" s="1"/>
  <c r="E130" i="27" s="1"/>
  <c r="A132" i="16"/>
  <c r="B131" i="16"/>
  <c r="D131" i="16" a="1"/>
  <c r="D131" i="16" s="1"/>
  <c r="E131" i="16" s="1"/>
  <c r="B128" i="35" l="1"/>
  <c r="A129" i="35"/>
  <c r="B128" i="33"/>
  <c r="A129" i="33"/>
  <c r="B128" i="34"/>
  <c r="A129" i="34"/>
  <c r="B128" i="36"/>
  <c r="A129" i="36"/>
  <c r="C79" i="28"/>
  <c r="H78" i="28"/>
  <c r="A133" i="16"/>
  <c r="B132" i="16"/>
  <c r="D132" i="16" a="1"/>
  <c r="D132" i="16" s="1"/>
  <c r="E132" i="16" s="1"/>
  <c r="F130" i="27"/>
  <c r="G130" i="27"/>
  <c r="C79" i="17"/>
  <c r="H78" i="17"/>
  <c r="C79" i="27"/>
  <c r="H78" i="27"/>
  <c r="C79" i="16"/>
  <c r="H78" i="16"/>
  <c r="G131" i="16"/>
  <c r="F131" i="16"/>
  <c r="A132" i="27"/>
  <c r="B131" i="27"/>
  <c r="D131" i="27" a="1"/>
  <c r="D131" i="27" s="1"/>
  <c r="E131" i="27" s="1"/>
  <c r="I129" i="27"/>
  <c r="I130" i="16"/>
  <c r="B129" i="35" l="1"/>
  <c r="A130" i="35"/>
  <c r="B129" i="36"/>
  <c r="A130" i="36"/>
  <c r="B129" i="33"/>
  <c r="A130" i="33"/>
  <c r="B129" i="34"/>
  <c r="A130" i="34"/>
  <c r="B132" i="27"/>
  <c r="A133" i="27"/>
  <c r="D132" i="27" a="1"/>
  <c r="D132" i="27" s="1"/>
  <c r="E132" i="27" s="1"/>
  <c r="C80" i="16"/>
  <c r="H79" i="16"/>
  <c r="C80" i="17"/>
  <c r="H79" i="17"/>
  <c r="I130" i="27"/>
  <c r="A134" i="16"/>
  <c r="B133" i="16"/>
  <c r="D133" i="16" a="1"/>
  <c r="D133" i="16" s="1"/>
  <c r="E133" i="16" s="1"/>
  <c r="G131" i="27"/>
  <c r="F131" i="27"/>
  <c r="I131" i="16"/>
  <c r="K15" i="16"/>
  <c r="L20" i="17" s="1"/>
  <c r="C80" i="27"/>
  <c r="H79" i="27"/>
  <c r="F132" i="16"/>
  <c r="G132" i="16"/>
  <c r="C80" i="28"/>
  <c r="H79" i="28"/>
  <c r="B130" i="33" l="1"/>
  <c r="A131" i="33"/>
  <c r="B130" i="36"/>
  <c r="A131" i="36"/>
  <c r="B130" i="34"/>
  <c r="A131" i="34"/>
  <c r="B130" i="35"/>
  <c r="A131" i="35"/>
  <c r="G133" i="16"/>
  <c r="F133" i="16"/>
  <c r="C81" i="16"/>
  <c r="H80" i="16"/>
  <c r="F132" i="27"/>
  <c r="G132" i="27"/>
  <c r="C81" i="28"/>
  <c r="H80" i="28"/>
  <c r="C81" i="27"/>
  <c r="H80" i="27"/>
  <c r="A135" i="16"/>
  <c r="B134" i="16"/>
  <c r="D134" i="16" a="1"/>
  <c r="D134" i="16" s="1"/>
  <c r="E134" i="16" s="1"/>
  <c r="C81" i="17"/>
  <c r="H80" i="17"/>
  <c r="A134" i="27"/>
  <c r="B133" i="27"/>
  <c r="D133" i="27" a="1"/>
  <c r="D133" i="27" s="1"/>
  <c r="E133" i="27" s="1"/>
  <c r="I132" i="16"/>
  <c r="K15" i="27"/>
  <c r="N20" i="17" s="1"/>
  <c r="I131" i="27"/>
  <c r="B131" i="36" l="1"/>
  <c r="A132" i="36"/>
  <c r="B131" i="35"/>
  <c r="A132" i="35"/>
  <c r="B131" i="34"/>
  <c r="A132" i="34"/>
  <c r="B131" i="33"/>
  <c r="A132" i="33"/>
  <c r="E25" i="9"/>
  <c r="F25" i="9" s="1"/>
  <c r="A135" i="27"/>
  <c r="B134" i="27"/>
  <c r="D134" i="27" a="1"/>
  <c r="D134" i="27" s="1"/>
  <c r="E134" i="27" s="1"/>
  <c r="A136" i="16"/>
  <c r="B135" i="16"/>
  <c r="D135" i="16" a="1"/>
  <c r="D135" i="16" s="1"/>
  <c r="E135" i="16" s="1"/>
  <c r="C82" i="28"/>
  <c r="H81" i="28"/>
  <c r="C82" i="16"/>
  <c r="H81" i="16"/>
  <c r="F133" i="27"/>
  <c r="G133" i="27"/>
  <c r="C82" i="17"/>
  <c r="H81" i="17"/>
  <c r="I132" i="27"/>
  <c r="F134" i="16"/>
  <c r="G134" i="16"/>
  <c r="C82" i="27"/>
  <c r="H81" i="27"/>
  <c r="I133" i="16"/>
  <c r="B132" i="34" l="1"/>
  <c r="A133" i="34"/>
  <c r="B132" i="33"/>
  <c r="A133" i="33"/>
  <c r="B132" i="35"/>
  <c r="A133" i="35"/>
  <c r="B132" i="36"/>
  <c r="A133" i="36"/>
  <c r="F134" i="27"/>
  <c r="G134" i="27"/>
  <c r="F135" i="16"/>
  <c r="G135" i="16"/>
  <c r="C83" i="27"/>
  <c r="H82" i="27"/>
  <c r="I134" i="16"/>
  <c r="C83" i="16"/>
  <c r="H82" i="16"/>
  <c r="B135" i="27"/>
  <c r="A136" i="27"/>
  <c r="D135" i="27" a="1"/>
  <c r="D135" i="27" s="1"/>
  <c r="E135" i="27" s="1"/>
  <c r="C83" i="28"/>
  <c r="H82" i="28"/>
  <c r="C83" i="17"/>
  <c r="H82" i="17"/>
  <c r="I133" i="27"/>
  <c r="A137" i="16"/>
  <c r="B136" i="16"/>
  <c r="D136" i="16" a="1"/>
  <c r="D136" i="16" s="1"/>
  <c r="E136" i="16" s="1"/>
  <c r="D25" i="9"/>
  <c r="B133" i="36" l="1"/>
  <c r="A134" i="36"/>
  <c r="B133" i="33"/>
  <c r="A134" i="33"/>
  <c r="B133" i="34"/>
  <c r="A134" i="34"/>
  <c r="B133" i="35"/>
  <c r="A134" i="35"/>
  <c r="F18" i="31"/>
  <c r="A138" i="16"/>
  <c r="B137" i="16"/>
  <c r="D137" i="16" a="1"/>
  <c r="D137" i="16" s="1"/>
  <c r="E137" i="16" s="1"/>
  <c r="C84" i="17"/>
  <c r="H83" i="17"/>
  <c r="B136" i="27"/>
  <c r="A137" i="27"/>
  <c r="D136" i="27" a="1"/>
  <c r="D136" i="27" s="1"/>
  <c r="E136" i="27" s="1"/>
  <c r="I135" i="16"/>
  <c r="F136" i="16"/>
  <c r="G136" i="16"/>
  <c r="C84" i="28"/>
  <c r="H83" i="28"/>
  <c r="I134" i="27"/>
  <c r="G135" i="27"/>
  <c r="F135" i="27"/>
  <c r="C84" i="16"/>
  <c r="H83" i="16"/>
  <c r="C84" i="27"/>
  <c r="H83" i="27"/>
  <c r="B134" i="34" l="1"/>
  <c r="A135" i="34"/>
  <c r="B134" i="35"/>
  <c r="A135" i="35"/>
  <c r="B134" i="36"/>
  <c r="A135" i="36"/>
  <c r="B134" i="33"/>
  <c r="A135" i="33"/>
  <c r="F136" i="27"/>
  <c r="G136" i="27"/>
  <c r="C85" i="17"/>
  <c r="H84" i="17"/>
  <c r="F137" i="16"/>
  <c r="G137" i="16"/>
  <c r="I135" i="27"/>
  <c r="C85" i="28"/>
  <c r="H84" i="28"/>
  <c r="C85" i="27"/>
  <c r="H84" i="27"/>
  <c r="A138" i="27"/>
  <c r="B137" i="27"/>
  <c r="D137" i="27" a="1"/>
  <c r="D137" i="27" s="1"/>
  <c r="E137" i="27" s="1"/>
  <c r="I136" i="16"/>
  <c r="C85" i="16"/>
  <c r="H84" i="16"/>
  <c r="B138" i="16"/>
  <c r="A139" i="16"/>
  <c r="D138" i="16" a="1"/>
  <c r="D138" i="16" s="1"/>
  <c r="E138" i="16" s="1"/>
  <c r="B135" i="33" l="1"/>
  <c r="A136" i="33"/>
  <c r="B135" i="36"/>
  <c r="A136" i="36"/>
  <c r="B135" i="35"/>
  <c r="A136" i="35"/>
  <c r="B135" i="34"/>
  <c r="A136" i="34"/>
  <c r="C86" i="16"/>
  <c r="H85" i="16"/>
  <c r="A140" i="16"/>
  <c r="B139" i="16"/>
  <c r="D139" i="16" a="1"/>
  <c r="D139" i="16" s="1"/>
  <c r="E139" i="16" s="1"/>
  <c r="F137" i="27"/>
  <c r="G137" i="27"/>
  <c r="C86" i="27"/>
  <c r="H85" i="27"/>
  <c r="C86" i="17"/>
  <c r="H85" i="17"/>
  <c r="I137" i="16"/>
  <c r="I136" i="27"/>
  <c r="G138" i="16"/>
  <c r="F138" i="16"/>
  <c r="A139" i="27"/>
  <c r="B138" i="27"/>
  <c r="D138" i="27" a="1"/>
  <c r="D138" i="27" s="1"/>
  <c r="E138" i="27" s="1"/>
  <c r="C86" i="28"/>
  <c r="H85" i="28"/>
  <c r="B136" i="33" l="1"/>
  <c r="A137" i="33"/>
  <c r="B136" i="35"/>
  <c r="A137" i="35"/>
  <c r="B136" i="34"/>
  <c r="A137" i="34"/>
  <c r="B136" i="36"/>
  <c r="A137" i="36"/>
  <c r="F138" i="27"/>
  <c r="G138" i="27"/>
  <c r="I138" i="16"/>
  <c r="C87" i="27"/>
  <c r="H86" i="27"/>
  <c r="I137" i="27"/>
  <c r="A141" i="16"/>
  <c r="B140" i="16"/>
  <c r="D140" i="16" a="1"/>
  <c r="D140" i="16" s="1"/>
  <c r="E140" i="16" s="1"/>
  <c r="C87" i="28"/>
  <c r="H86" i="28"/>
  <c r="A140" i="27"/>
  <c r="B139" i="27"/>
  <c r="D139" i="27" a="1"/>
  <c r="D139" i="27" s="1"/>
  <c r="E139" i="27" s="1"/>
  <c r="C87" i="17"/>
  <c r="H86" i="17"/>
  <c r="G139" i="16"/>
  <c r="F139" i="16"/>
  <c r="C87" i="16"/>
  <c r="H86" i="16"/>
  <c r="B137" i="35" l="1"/>
  <c r="A138" i="35"/>
  <c r="B137" i="36"/>
  <c r="A138" i="36"/>
  <c r="B137" i="34"/>
  <c r="A138" i="34"/>
  <c r="B137" i="33"/>
  <c r="A138" i="33"/>
  <c r="F139" i="27"/>
  <c r="G139" i="27"/>
  <c r="C88" i="28"/>
  <c r="H87" i="28"/>
  <c r="F140" i="16"/>
  <c r="G140" i="16"/>
  <c r="I139" i="16"/>
  <c r="I138" i="27"/>
  <c r="A141" i="27"/>
  <c r="B140" i="27"/>
  <c r="D140" i="27" a="1"/>
  <c r="D140" i="27" s="1"/>
  <c r="E140" i="27" s="1"/>
  <c r="C88" i="16"/>
  <c r="H87" i="16"/>
  <c r="C88" i="17"/>
  <c r="H87" i="17"/>
  <c r="A142" i="16"/>
  <c r="B141" i="16"/>
  <c r="D141" i="16" a="1"/>
  <c r="D141" i="16" s="1"/>
  <c r="E141" i="16" s="1"/>
  <c r="C88" i="27"/>
  <c r="H87" i="27"/>
  <c r="B138" i="34" l="1"/>
  <c r="A139" i="34"/>
  <c r="B138" i="36"/>
  <c r="A139" i="36"/>
  <c r="B138" i="35"/>
  <c r="A139" i="35"/>
  <c r="B138" i="33"/>
  <c r="A139" i="33"/>
  <c r="F141" i="16"/>
  <c r="G141" i="16"/>
  <c r="C89" i="17"/>
  <c r="H88" i="17"/>
  <c r="C89" i="27"/>
  <c r="H88" i="27"/>
  <c r="B141" i="27"/>
  <c r="A142" i="27"/>
  <c r="D141" i="27" a="1"/>
  <c r="D141" i="27" s="1"/>
  <c r="E141" i="27" s="1"/>
  <c r="C89" i="28"/>
  <c r="H88" i="28"/>
  <c r="A143" i="16"/>
  <c r="B142" i="16"/>
  <c r="D142" i="16" a="1"/>
  <c r="D142" i="16" s="1"/>
  <c r="E142" i="16" s="1"/>
  <c r="C89" i="16"/>
  <c r="H88" i="16"/>
  <c r="I140" i="16"/>
  <c r="I139" i="27"/>
  <c r="F140" i="27"/>
  <c r="G140" i="27"/>
  <c r="B139" i="36" l="1"/>
  <c r="A140" i="36"/>
  <c r="B139" i="33"/>
  <c r="A140" i="33"/>
  <c r="B139" i="35"/>
  <c r="A140" i="35"/>
  <c r="B139" i="34"/>
  <c r="A140" i="34"/>
  <c r="C90" i="16"/>
  <c r="H89" i="16"/>
  <c r="I140" i="27"/>
  <c r="A144" i="16"/>
  <c r="B143" i="16"/>
  <c r="D143" i="16" a="1"/>
  <c r="D143" i="16" s="1"/>
  <c r="E143" i="16" s="1"/>
  <c r="B142" i="27"/>
  <c r="A143" i="27"/>
  <c r="D142" i="27" a="1"/>
  <c r="D142" i="27" s="1"/>
  <c r="E142" i="27" s="1"/>
  <c r="C90" i="17"/>
  <c r="H89" i="17"/>
  <c r="F142" i="16"/>
  <c r="G142" i="16"/>
  <c r="C90" i="28"/>
  <c r="H89" i="28"/>
  <c r="I141" i="16"/>
  <c r="K16" i="16"/>
  <c r="L21" i="17" s="1"/>
  <c r="G141" i="27"/>
  <c r="F141" i="27"/>
  <c r="C90" i="27"/>
  <c r="H89" i="27"/>
  <c r="B140" i="33" l="1"/>
  <c r="A141" i="33"/>
  <c r="B140" i="35"/>
  <c r="A141" i="35"/>
  <c r="B140" i="34"/>
  <c r="A141" i="34"/>
  <c r="B140" i="36"/>
  <c r="A141" i="36"/>
  <c r="C91" i="28"/>
  <c r="H90" i="28"/>
  <c r="C91" i="27"/>
  <c r="H90" i="27"/>
  <c r="I141" i="27"/>
  <c r="K16" i="27"/>
  <c r="N21" i="17" s="1"/>
  <c r="F143" i="16"/>
  <c r="G143" i="16"/>
  <c r="F142" i="27"/>
  <c r="G142" i="27"/>
  <c r="C91" i="17"/>
  <c r="H90" i="17"/>
  <c r="I142" i="16"/>
  <c r="A144" i="27"/>
  <c r="B143" i="27"/>
  <c r="D143" i="27" a="1"/>
  <c r="D143" i="27" s="1"/>
  <c r="E143" i="27" s="1"/>
  <c r="B144" i="16"/>
  <c r="A145" i="16"/>
  <c r="D144" i="16" a="1"/>
  <c r="D144" i="16" s="1"/>
  <c r="E144" i="16" s="1"/>
  <c r="C91" i="16"/>
  <c r="H90" i="16"/>
  <c r="B141" i="33" l="1"/>
  <c r="A142" i="33"/>
  <c r="B141" i="36"/>
  <c r="A142" i="36"/>
  <c r="B141" i="35"/>
  <c r="A142" i="35"/>
  <c r="B141" i="34"/>
  <c r="A142" i="34"/>
  <c r="G143" i="27"/>
  <c r="F143" i="27"/>
  <c r="E26" i="9"/>
  <c r="F26" i="9" s="1"/>
  <c r="G144" i="16"/>
  <c r="F144" i="16"/>
  <c r="I142" i="27"/>
  <c r="C92" i="27"/>
  <c r="H91" i="27"/>
  <c r="A146" i="16"/>
  <c r="B145" i="16"/>
  <c r="D145" i="16" a="1"/>
  <c r="D145" i="16" s="1"/>
  <c r="E145" i="16" s="1"/>
  <c r="A145" i="27"/>
  <c r="B144" i="27"/>
  <c r="D144" i="27" a="1"/>
  <c r="D144" i="27" s="1"/>
  <c r="E144" i="27" s="1"/>
  <c r="C92" i="17"/>
  <c r="H91" i="17"/>
  <c r="C92" i="16"/>
  <c r="H91" i="16"/>
  <c r="I143" i="16"/>
  <c r="C92" i="28"/>
  <c r="H91" i="28"/>
  <c r="B142" i="34" l="1"/>
  <c r="A143" i="34"/>
  <c r="B142" i="35"/>
  <c r="A143" i="35"/>
  <c r="B142" i="36"/>
  <c r="A143" i="36"/>
  <c r="B142" i="33"/>
  <c r="A143" i="33"/>
  <c r="G145" i="16"/>
  <c r="F145" i="16"/>
  <c r="C93" i="27"/>
  <c r="H92" i="27"/>
  <c r="I144" i="16"/>
  <c r="C93" i="17"/>
  <c r="H92" i="17"/>
  <c r="D26" i="9"/>
  <c r="A147" i="16"/>
  <c r="B146" i="16"/>
  <c r="D146" i="16" a="1"/>
  <c r="D146" i="16" s="1"/>
  <c r="E146" i="16" s="1"/>
  <c r="F144" i="27"/>
  <c r="G144" i="27"/>
  <c r="C93" i="28"/>
  <c r="H92" i="28"/>
  <c r="C93" i="16"/>
  <c r="H92" i="16"/>
  <c r="A146" i="27"/>
  <c r="B145" i="27"/>
  <c r="D145" i="27" a="1"/>
  <c r="D145" i="27" s="1"/>
  <c r="E145" i="27" s="1"/>
  <c r="I143" i="27"/>
  <c r="B143" i="35" l="1"/>
  <c r="A144" i="35"/>
  <c r="B143" i="36"/>
  <c r="A144" i="36"/>
  <c r="B143" i="33"/>
  <c r="A144" i="33"/>
  <c r="B143" i="34"/>
  <c r="A144" i="34"/>
  <c r="F19" i="31"/>
  <c r="F145" i="27"/>
  <c r="G145" i="27"/>
  <c r="B146" i="27"/>
  <c r="A147" i="27"/>
  <c r="D146" i="27" a="1"/>
  <c r="D146" i="27" s="1"/>
  <c r="E146" i="27" s="1"/>
  <c r="C94" i="28"/>
  <c r="H93" i="28"/>
  <c r="I144" i="27"/>
  <c r="A148" i="16"/>
  <c r="B147" i="16"/>
  <c r="D147" i="16" a="1"/>
  <c r="D147" i="16" s="1"/>
  <c r="E147" i="16" s="1"/>
  <c r="C94" i="16"/>
  <c r="H93" i="16"/>
  <c r="C94" i="17"/>
  <c r="H93" i="17"/>
  <c r="C94" i="27"/>
  <c r="H93" i="27"/>
  <c r="G146" i="16"/>
  <c r="F146" i="16"/>
  <c r="I145" i="16"/>
  <c r="B144" i="33" l="1"/>
  <c r="A145" i="33"/>
  <c r="B144" i="36"/>
  <c r="A145" i="36"/>
  <c r="B144" i="34"/>
  <c r="A145" i="34"/>
  <c r="B144" i="35"/>
  <c r="A145" i="35"/>
  <c r="G147" i="16"/>
  <c r="F147" i="16"/>
  <c r="A148" i="27"/>
  <c r="B147" i="27"/>
  <c r="D147" i="27" a="1"/>
  <c r="D147" i="27" s="1"/>
  <c r="E147" i="27" s="1"/>
  <c r="C95" i="27"/>
  <c r="H94" i="27"/>
  <c r="I146" i="16"/>
  <c r="C95" i="17"/>
  <c r="H94" i="17"/>
  <c r="C95" i="16"/>
  <c r="H94" i="16"/>
  <c r="B148" i="16"/>
  <c r="A149" i="16"/>
  <c r="D148" i="16" a="1"/>
  <c r="D148" i="16" s="1"/>
  <c r="E148" i="16" s="1"/>
  <c r="C95" i="28"/>
  <c r="H94" i="28"/>
  <c r="I145" i="27"/>
  <c r="F146" i="27"/>
  <c r="G146" i="27"/>
  <c r="B145" i="34" l="1"/>
  <c r="A146" i="34"/>
  <c r="B145" i="36"/>
  <c r="A146" i="36"/>
  <c r="B145" i="35"/>
  <c r="A146" i="35"/>
  <c r="B145" i="33"/>
  <c r="A146" i="33"/>
  <c r="G148" i="16"/>
  <c r="F148" i="16"/>
  <c r="C96" i="16"/>
  <c r="H95" i="16"/>
  <c r="C96" i="28"/>
  <c r="H95" i="28"/>
  <c r="A150" i="16"/>
  <c r="B149" i="16"/>
  <c r="D149" i="16" a="1"/>
  <c r="D149" i="16" s="1"/>
  <c r="E149" i="16" s="1"/>
  <c r="B148" i="27"/>
  <c r="A149" i="27"/>
  <c r="D148" i="27" a="1"/>
  <c r="D148" i="27" s="1"/>
  <c r="E148" i="27" s="1"/>
  <c r="I146" i="27"/>
  <c r="C96" i="17"/>
  <c r="H95" i="17"/>
  <c r="C96" i="27"/>
  <c r="H95" i="27"/>
  <c r="G147" i="27"/>
  <c r="F147" i="27"/>
  <c r="I147" i="16"/>
  <c r="B146" i="35" l="1"/>
  <c r="A147" i="35"/>
  <c r="B146" i="36"/>
  <c r="A147" i="36"/>
  <c r="B146" i="33"/>
  <c r="A147" i="33"/>
  <c r="B146" i="34"/>
  <c r="A147" i="34"/>
  <c r="F148" i="27"/>
  <c r="G148" i="27"/>
  <c r="C97" i="27"/>
  <c r="H96" i="27"/>
  <c r="I147" i="27"/>
  <c r="C97" i="17"/>
  <c r="H96" i="17"/>
  <c r="B149" i="27"/>
  <c r="A150" i="27"/>
  <c r="D149" i="27" a="1"/>
  <c r="D149" i="27" s="1"/>
  <c r="E149" i="27" s="1"/>
  <c r="A151" i="16"/>
  <c r="B150" i="16"/>
  <c r="D150" i="16" a="1"/>
  <c r="D150" i="16" s="1"/>
  <c r="E150" i="16" s="1"/>
  <c r="C97" i="16"/>
  <c r="H96" i="16"/>
  <c r="G149" i="16"/>
  <c r="F149" i="16"/>
  <c r="C97" i="28"/>
  <c r="H96" i="28"/>
  <c r="I148" i="16"/>
  <c r="B147" i="33" l="1"/>
  <c r="A148" i="33"/>
  <c r="B147" i="36"/>
  <c r="A148" i="36"/>
  <c r="B147" i="34"/>
  <c r="A148" i="34"/>
  <c r="B147" i="35"/>
  <c r="A148" i="35"/>
  <c r="C98" i="16"/>
  <c r="H97" i="16"/>
  <c r="A152" i="16"/>
  <c r="B151" i="16"/>
  <c r="D151" i="16" a="1"/>
  <c r="D151" i="16" s="1"/>
  <c r="E151" i="16" s="1"/>
  <c r="F149" i="27"/>
  <c r="G149" i="27"/>
  <c r="C98" i="17"/>
  <c r="H97" i="17"/>
  <c r="C98" i="27"/>
  <c r="H97" i="27"/>
  <c r="F150" i="16"/>
  <c r="G150" i="16"/>
  <c r="A151" i="27"/>
  <c r="B150" i="27"/>
  <c r="D150" i="27" a="1"/>
  <c r="D150" i="27" s="1"/>
  <c r="E150" i="27" s="1"/>
  <c r="I148" i="27"/>
  <c r="C98" i="28"/>
  <c r="H97" i="28"/>
  <c r="I149" i="16"/>
  <c r="B148" i="36" l="1"/>
  <c r="A149" i="36"/>
  <c r="B148" i="35"/>
  <c r="A149" i="35"/>
  <c r="B148" i="33"/>
  <c r="A149" i="33"/>
  <c r="B148" i="34"/>
  <c r="A149" i="34"/>
  <c r="F150" i="27"/>
  <c r="G150" i="27"/>
  <c r="C99" i="17"/>
  <c r="H98" i="17"/>
  <c r="I150" i="16"/>
  <c r="I149" i="27"/>
  <c r="A153" i="16"/>
  <c r="B152" i="16"/>
  <c r="D152" i="16" a="1"/>
  <c r="D152" i="16" s="1"/>
  <c r="E152" i="16" s="1"/>
  <c r="C99" i="28"/>
  <c r="H98" i="28"/>
  <c r="A152" i="27"/>
  <c r="B151" i="27"/>
  <c r="D151" i="27" a="1"/>
  <c r="D151" i="27" s="1"/>
  <c r="E151" i="27" s="1"/>
  <c r="C99" i="27"/>
  <c r="H98" i="27"/>
  <c r="G151" i="16"/>
  <c r="F151" i="16"/>
  <c r="C99" i="16"/>
  <c r="H98" i="16"/>
  <c r="B149" i="35" l="1"/>
  <c r="A150" i="35"/>
  <c r="B149" i="33"/>
  <c r="A150" i="33"/>
  <c r="B149" i="36"/>
  <c r="A150" i="36"/>
  <c r="B149" i="34"/>
  <c r="A150" i="34"/>
  <c r="G151" i="27"/>
  <c r="F151" i="27"/>
  <c r="C100" i="28"/>
  <c r="H99" i="28"/>
  <c r="F152" i="16"/>
  <c r="G152" i="16"/>
  <c r="C100" i="17"/>
  <c r="H99" i="17"/>
  <c r="K17" i="16"/>
  <c r="L22" i="17" s="1"/>
  <c r="I151" i="16"/>
  <c r="A153" i="27"/>
  <c r="B152" i="27"/>
  <c r="D152" i="27" a="1"/>
  <c r="D152" i="27" s="1"/>
  <c r="E152" i="27" s="1"/>
  <c r="I150" i="27"/>
  <c r="C100" i="16"/>
  <c r="H99" i="16"/>
  <c r="C100" i="27"/>
  <c r="H99" i="27"/>
  <c r="A154" i="16"/>
  <c r="B153" i="16"/>
  <c r="D153" i="16" a="1"/>
  <c r="D153" i="16" s="1"/>
  <c r="E153" i="16" s="1"/>
  <c r="B150" i="36" l="1"/>
  <c r="A151" i="36"/>
  <c r="B150" i="35"/>
  <c r="A151" i="35"/>
  <c r="B150" i="33"/>
  <c r="A151" i="33"/>
  <c r="B150" i="34"/>
  <c r="A151" i="34"/>
  <c r="A154" i="27"/>
  <c r="B153" i="27"/>
  <c r="D153" i="27" a="1"/>
  <c r="D153" i="27" s="1"/>
  <c r="E153" i="27" s="1"/>
  <c r="F153" i="16"/>
  <c r="G153" i="16"/>
  <c r="C101" i="27"/>
  <c r="H100" i="27"/>
  <c r="C101" i="17"/>
  <c r="H100" i="17"/>
  <c r="C101" i="28"/>
  <c r="H100" i="28"/>
  <c r="G152" i="27"/>
  <c r="F152" i="27"/>
  <c r="I152" i="16"/>
  <c r="B154" i="16"/>
  <c r="A155" i="16"/>
  <c r="D154" i="16" a="1"/>
  <c r="D154" i="16" s="1"/>
  <c r="E154" i="16" s="1"/>
  <c r="C101" i="16"/>
  <c r="H100" i="16"/>
  <c r="K17" i="27"/>
  <c r="N22" i="17" s="1"/>
  <c r="E27" i="9" s="1"/>
  <c r="F27" i="9" s="1"/>
  <c r="I151" i="27"/>
  <c r="B151" i="36" l="1"/>
  <c r="A152" i="36"/>
  <c r="B151" i="33"/>
  <c r="A152" i="33"/>
  <c r="B151" i="35"/>
  <c r="A152" i="35"/>
  <c r="B151" i="34"/>
  <c r="A152" i="34"/>
  <c r="D27" i="9"/>
  <c r="G154" i="16"/>
  <c r="F154" i="16"/>
  <c r="I152" i="27"/>
  <c r="C102" i="17"/>
  <c r="H101" i="17"/>
  <c r="F153" i="27"/>
  <c r="G153" i="27"/>
  <c r="C102" i="28"/>
  <c r="H101" i="28"/>
  <c r="C102" i="27"/>
  <c r="H101" i="27"/>
  <c r="C102" i="16"/>
  <c r="H101" i="16"/>
  <c r="A156" i="16"/>
  <c r="B155" i="16"/>
  <c r="D155" i="16" a="1"/>
  <c r="D155" i="16" s="1"/>
  <c r="E155" i="16" s="1"/>
  <c r="I153" i="16"/>
  <c r="B154" i="27"/>
  <c r="A155" i="27"/>
  <c r="D154" i="27" a="1"/>
  <c r="D154" i="27" s="1"/>
  <c r="E154" i="27" s="1"/>
  <c r="B152" i="34" l="1"/>
  <c r="A153" i="34"/>
  <c r="B152" i="33"/>
  <c r="A153" i="33"/>
  <c r="B152" i="35"/>
  <c r="A153" i="35"/>
  <c r="B152" i="36"/>
  <c r="A153" i="36"/>
  <c r="F20" i="31"/>
  <c r="G155" i="16"/>
  <c r="F155" i="16"/>
  <c r="C103" i="16"/>
  <c r="H102" i="16"/>
  <c r="C103" i="28"/>
  <c r="H102" i="28"/>
  <c r="C103" i="17"/>
  <c r="H102" i="17"/>
  <c r="I154" i="16"/>
  <c r="A156" i="27"/>
  <c r="B155" i="27"/>
  <c r="D155" i="27" a="1"/>
  <c r="D155" i="27" s="1"/>
  <c r="E155" i="27" s="1"/>
  <c r="I153" i="27"/>
  <c r="B156" i="16"/>
  <c r="A157" i="16"/>
  <c r="D156" i="16" a="1"/>
  <c r="D156" i="16" s="1"/>
  <c r="E156" i="16" s="1"/>
  <c r="C103" i="27"/>
  <c r="H102" i="27"/>
  <c r="F154" i="27"/>
  <c r="G154" i="27"/>
  <c r="B153" i="35" l="1"/>
  <c r="A154" i="35"/>
  <c r="B153" i="36"/>
  <c r="A154" i="36"/>
  <c r="B153" i="33"/>
  <c r="A154" i="33"/>
  <c r="B153" i="34"/>
  <c r="A154" i="34"/>
  <c r="G156" i="16"/>
  <c r="F156" i="16"/>
  <c r="C104" i="27"/>
  <c r="H103" i="27"/>
  <c r="I154" i="27"/>
  <c r="B157" i="16"/>
  <c r="A158" i="16"/>
  <c r="D157" i="16" a="1"/>
  <c r="D157" i="16" s="1"/>
  <c r="E157" i="16" s="1"/>
  <c r="B156" i="27"/>
  <c r="A157" i="27"/>
  <c r="D156" i="27" a="1"/>
  <c r="D156" i="27" s="1"/>
  <c r="E156" i="27" s="1"/>
  <c r="C104" i="17"/>
  <c r="H103" i="17"/>
  <c r="C104" i="16"/>
  <c r="H103" i="16"/>
  <c r="F155" i="27"/>
  <c r="G155" i="27"/>
  <c r="C104" i="28"/>
  <c r="H103" i="28"/>
  <c r="I155" i="16"/>
  <c r="B154" i="33" l="1"/>
  <c r="A155" i="33"/>
  <c r="B154" i="36"/>
  <c r="A155" i="36"/>
  <c r="B154" i="34"/>
  <c r="A155" i="34"/>
  <c r="B154" i="35"/>
  <c r="A155" i="35"/>
  <c r="F156" i="27"/>
  <c r="G156" i="27"/>
  <c r="A159" i="16"/>
  <c r="B158" i="16"/>
  <c r="D158" i="16" a="1"/>
  <c r="D158" i="16" s="1"/>
  <c r="E158" i="16" s="1"/>
  <c r="C105" i="28"/>
  <c r="H104" i="28"/>
  <c r="C105" i="16"/>
  <c r="H104" i="16"/>
  <c r="A158" i="27"/>
  <c r="B157" i="27"/>
  <c r="D157" i="27" a="1"/>
  <c r="D157" i="27" s="1"/>
  <c r="E157" i="27" s="1"/>
  <c r="C105" i="27"/>
  <c r="H104" i="27"/>
  <c r="C105" i="17"/>
  <c r="H104" i="17"/>
  <c r="I155" i="27"/>
  <c r="G157" i="16"/>
  <c r="F157" i="16"/>
  <c r="I156" i="16"/>
  <c r="B155" i="35" l="1"/>
  <c r="A156" i="35"/>
  <c r="B155" i="34"/>
  <c r="A156" i="34"/>
  <c r="B155" i="36"/>
  <c r="A156" i="36"/>
  <c r="B155" i="33"/>
  <c r="A156" i="33"/>
  <c r="F157" i="27"/>
  <c r="G157" i="27"/>
  <c r="C106" i="16"/>
  <c r="H105" i="16"/>
  <c r="I157" i="16"/>
  <c r="C106" i="17"/>
  <c r="H105" i="17"/>
  <c r="A160" i="16"/>
  <c r="B159" i="16"/>
  <c r="D159" i="16" a="1"/>
  <c r="D159" i="16" s="1"/>
  <c r="E159" i="16" s="1"/>
  <c r="C106" i="27"/>
  <c r="H105" i="27"/>
  <c r="B158" i="27"/>
  <c r="A159" i="27"/>
  <c r="D158" i="27" a="1"/>
  <c r="D158" i="27" s="1"/>
  <c r="E158" i="27" s="1"/>
  <c r="C106" i="28"/>
  <c r="H105" i="28"/>
  <c r="I156" i="27"/>
  <c r="G158" i="16"/>
  <c r="F158" i="16"/>
  <c r="B156" i="34" l="1"/>
  <c r="A157" i="34"/>
  <c r="B156" i="36"/>
  <c r="A157" i="36"/>
  <c r="B156" i="35"/>
  <c r="A157" i="35"/>
  <c r="B156" i="33"/>
  <c r="A157" i="33"/>
  <c r="F158" i="27"/>
  <c r="G158" i="27"/>
  <c r="C107" i="27"/>
  <c r="H106" i="27"/>
  <c r="G159" i="16"/>
  <c r="F159" i="16"/>
  <c r="C107" i="17"/>
  <c r="H106" i="17"/>
  <c r="C107" i="16"/>
  <c r="H106" i="16"/>
  <c r="A160" i="27"/>
  <c r="B159" i="27"/>
  <c r="D159" i="27" a="1"/>
  <c r="D159" i="27" s="1"/>
  <c r="E159" i="27" s="1"/>
  <c r="I157" i="27"/>
  <c r="I158" i="16"/>
  <c r="C107" i="28"/>
  <c r="H106" i="28"/>
  <c r="A161" i="16"/>
  <c r="B160" i="16"/>
  <c r="D160" i="16" a="1"/>
  <c r="D160" i="16" s="1"/>
  <c r="E160" i="16" s="1"/>
  <c r="B157" i="33" l="1"/>
  <c r="A158" i="33"/>
  <c r="B157" i="35"/>
  <c r="A158" i="35"/>
  <c r="B157" i="36"/>
  <c r="A158" i="36"/>
  <c r="B157" i="34"/>
  <c r="A158" i="34"/>
  <c r="C108" i="28"/>
  <c r="H107" i="28"/>
  <c r="A162" i="16"/>
  <c r="B161" i="16"/>
  <c r="D161" i="16" a="1"/>
  <c r="D161" i="16" s="1"/>
  <c r="E161" i="16" s="1"/>
  <c r="G159" i="27"/>
  <c r="F159" i="27"/>
  <c r="B160" i="27"/>
  <c r="A161" i="27"/>
  <c r="D160" i="27" a="1"/>
  <c r="D160" i="27" s="1"/>
  <c r="E160" i="27" s="1"/>
  <c r="C108" i="17"/>
  <c r="H107" i="17"/>
  <c r="C108" i="27"/>
  <c r="H107" i="27"/>
  <c r="F160" i="16"/>
  <c r="G160" i="16"/>
  <c r="I158" i="27"/>
  <c r="C108" i="16"/>
  <c r="H107" i="16"/>
  <c r="I159" i="16"/>
  <c r="B158" i="36" l="1"/>
  <c r="A159" i="36"/>
  <c r="B158" i="35"/>
  <c r="A159" i="35"/>
  <c r="B158" i="33"/>
  <c r="A159" i="33"/>
  <c r="B158" i="34"/>
  <c r="A159" i="34"/>
  <c r="A162" i="27"/>
  <c r="B161" i="27"/>
  <c r="D161" i="27" a="1"/>
  <c r="D161" i="27" s="1"/>
  <c r="E161" i="27" s="1"/>
  <c r="I160" i="16"/>
  <c r="C109" i="27"/>
  <c r="H108" i="27"/>
  <c r="C109" i="16"/>
  <c r="H108" i="16"/>
  <c r="C109" i="17"/>
  <c r="H108" i="17"/>
  <c r="A163" i="16"/>
  <c r="B162" i="16"/>
  <c r="D162" i="16" a="1"/>
  <c r="D162" i="16" s="1"/>
  <c r="E162" i="16" s="1"/>
  <c r="F160" i="27"/>
  <c r="G160" i="27"/>
  <c r="I159" i="27"/>
  <c r="F161" i="16"/>
  <c r="G161" i="16"/>
  <c r="C109" i="28"/>
  <c r="H108" i="28"/>
  <c r="B159" i="35" l="1"/>
  <c r="A160" i="35"/>
  <c r="B159" i="34"/>
  <c r="A160" i="34"/>
  <c r="B159" i="33"/>
  <c r="A160" i="33"/>
  <c r="B159" i="36"/>
  <c r="A160" i="36"/>
  <c r="F162" i="16"/>
  <c r="G162" i="16"/>
  <c r="C110" i="27"/>
  <c r="H109" i="27"/>
  <c r="C110" i="28"/>
  <c r="H109" i="28"/>
  <c r="K18" i="16"/>
  <c r="L23" i="17" s="1"/>
  <c r="I161" i="16"/>
  <c r="I160" i="27"/>
  <c r="A164" i="16"/>
  <c r="B163" i="16"/>
  <c r="D163" i="16" a="1"/>
  <c r="D163" i="16" s="1"/>
  <c r="E163" i="16" s="1"/>
  <c r="C110" i="16"/>
  <c r="H109" i="16"/>
  <c r="G161" i="27"/>
  <c r="F161" i="27"/>
  <c r="C110" i="17"/>
  <c r="H109" i="17"/>
  <c r="B162" i="27"/>
  <c r="A163" i="27"/>
  <c r="D162" i="27" a="1"/>
  <c r="D162" i="27" s="1"/>
  <c r="E162" i="27" s="1"/>
  <c r="B160" i="33" l="1"/>
  <c r="A161" i="33"/>
  <c r="B160" i="36"/>
  <c r="A161" i="36"/>
  <c r="B160" i="34"/>
  <c r="A161" i="34"/>
  <c r="B160" i="35"/>
  <c r="A161" i="35"/>
  <c r="C111" i="17"/>
  <c r="H110" i="17"/>
  <c r="I161" i="27"/>
  <c r="K18" i="27"/>
  <c r="N23" i="17" s="1"/>
  <c r="E28" i="9" s="1"/>
  <c r="F28" i="9" s="1"/>
  <c r="B164" i="16"/>
  <c r="A165" i="16"/>
  <c r="D164" i="16" a="1"/>
  <c r="D164" i="16" s="1"/>
  <c r="E164" i="16" s="1"/>
  <c r="F162" i="27"/>
  <c r="G162" i="27"/>
  <c r="C111" i="27"/>
  <c r="H110" i="27"/>
  <c r="F163" i="16"/>
  <c r="G163" i="16"/>
  <c r="I162" i="16"/>
  <c r="C111" i="16"/>
  <c r="H110" i="16"/>
  <c r="A164" i="27"/>
  <c r="B163" i="27"/>
  <c r="D163" i="27" a="1"/>
  <c r="D163" i="27" s="1"/>
  <c r="E163" i="27" s="1"/>
  <c r="C111" i="28"/>
  <c r="H110" i="28"/>
  <c r="B161" i="34" l="1"/>
  <c r="A162" i="34"/>
  <c r="B161" i="35"/>
  <c r="A162" i="35"/>
  <c r="B161" i="36"/>
  <c r="A162" i="36"/>
  <c r="B161" i="33"/>
  <c r="A162" i="33"/>
  <c r="G164" i="16"/>
  <c r="F164" i="16"/>
  <c r="C112" i="28"/>
  <c r="H111" i="28"/>
  <c r="I163" i="16"/>
  <c r="D28" i="9"/>
  <c r="A166" i="16"/>
  <c r="B165" i="16"/>
  <c r="D165" i="16" a="1"/>
  <c r="D165" i="16" s="1"/>
  <c r="E165" i="16" s="1"/>
  <c r="G163" i="27"/>
  <c r="F163" i="27"/>
  <c r="I162" i="27"/>
  <c r="A165" i="27"/>
  <c r="B164" i="27"/>
  <c r="D164" i="27" a="1"/>
  <c r="D164" i="27" s="1"/>
  <c r="E164" i="27" s="1"/>
  <c r="C112" i="27"/>
  <c r="H111" i="27"/>
  <c r="C112" i="16"/>
  <c r="H111" i="16"/>
  <c r="C112" i="17"/>
  <c r="H111" i="17"/>
  <c r="B162" i="33" l="1"/>
  <c r="A163" i="33"/>
  <c r="B162" i="36"/>
  <c r="A163" i="36"/>
  <c r="B162" i="35"/>
  <c r="A163" i="35"/>
  <c r="B162" i="34"/>
  <c r="A163" i="34"/>
  <c r="F21" i="31"/>
  <c r="F165" i="16"/>
  <c r="G165" i="16"/>
  <c r="C113" i="17"/>
  <c r="H112" i="17"/>
  <c r="C113" i="28"/>
  <c r="H112" i="28"/>
  <c r="C113" i="27"/>
  <c r="H112" i="27"/>
  <c r="A167" i="16"/>
  <c r="B166" i="16"/>
  <c r="D166" i="16" a="1"/>
  <c r="D166" i="16" s="1"/>
  <c r="E166" i="16" s="1"/>
  <c r="F164" i="27"/>
  <c r="G164" i="27"/>
  <c r="C113" i="16"/>
  <c r="H112" i="16"/>
  <c r="A166" i="27"/>
  <c r="B165" i="27"/>
  <c r="D165" i="27" a="1"/>
  <c r="D165" i="27" s="1"/>
  <c r="E165" i="27" s="1"/>
  <c r="I163" i="27"/>
  <c r="I164" i="16"/>
  <c r="B163" i="33" l="1"/>
  <c r="A164" i="33"/>
  <c r="B163" i="35"/>
  <c r="A164" i="35"/>
  <c r="B163" i="34"/>
  <c r="A164" i="34"/>
  <c r="B163" i="36"/>
  <c r="A164" i="36"/>
  <c r="G165" i="27"/>
  <c r="F165" i="27"/>
  <c r="C114" i="16"/>
  <c r="H113" i="16"/>
  <c r="I164" i="27"/>
  <c r="A168" i="16"/>
  <c r="B167" i="16"/>
  <c r="D167" i="16" a="1"/>
  <c r="D167" i="16" s="1"/>
  <c r="E167" i="16" s="1"/>
  <c r="C114" i="28"/>
  <c r="H113" i="28"/>
  <c r="C114" i="17"/>
  <c r="H113" i="17"/>
  <c r="B166" i="27"/>
  <c r="A167" i="27"/>
  <c r="D166" i="27" a="1"/>
  <c r="D166" i="27" s="1"/>
  <c r="E166" i="27" s="1"/>
  <c r="I165" i="16"/>
  <c r="F166" i="16"/>
  <c r="G166" i="16"/>
  <c r="C114" i="27"/>
  <c r="H113" i="27"/>
  <c r="B164" i="34" l="1"/>
  <c r="A165" i="34"/>
  <c r="B164" i="35"/>
  <c r="A165" i="35"/>
  <c r="B164" i="33"/>
  <c r="A165" i="33"/>
  <c r="B164" i="36"/>
  <c r="A165" i="36"/>
  <c r="F166" i="27"/>
  <c r="G166" i="27"/>
  <c r="C115" i="17"/>
  <c r="H114" i="17"/>
  <c r="I166" i="16"/>
  <c r="A168" i="27"/>
  <c r="B167" i="27"/>
  <c r="D167" i="27" a="1"/>
  <c r="D167" i="27" s="1"/>
  <c r="E167" i="27" s="1"/>
  <c r="A169" i="16"/>
  <c r="B168" i="16"/>
  <c r="D168" i="16" a="1"/>
  <c r="D168" i="16" s="1"/>
  <c r="E168" i="16" s="1"/>
  <c r="C115" i="16"/>
  <c r="H114" i="16"/>
  <c r="C115" i="27"/>
  <c r="H114" i="27"/>
  <c r="C115" i="28"/>
  <c r="H114" i="28"/>
  <c r="F167" i="16"/>
  <c r="G167" i="16"/>
  <c r="I165" i="27"/>
  <c r="B165" i="36" l="1"/>
  <c r="A166" i="36"/>
  <c r="B165" i="33"/>
  <c r="A166" i="33"/>
  <c r="B165" i="34"/>
  <c r="A166" i="34"/>
  <c r="B165" i="35"/>
  <c r="A166" i="35"/>
  <c r="G168" i="16"/>
  <c r="F168" i="16"/>
  <c r="C116" i="28"/>
  <c r="H115" i="28"/>
  <c r="I167" i="16"/>
  <c r="C116" i="27"/>
  <c r="H115" i="27"/>
  <c r="A169" i="27"/>
  <c r="B168" i="27"/>
  <c r="D168" i="27" a="1"/>
  <c r="D168" i="27" s="1"/>
  <c r="E168" i="27" s="1"/>
  <c r="C116" i="17"/>
  <c r="H115" i="17"/>
  <c r="C116" i="16"/>
  <c r="H115" i="16"/>
  <c r="A170" i="16"/>
  <c r="B169" i="16"/>
  <c r="D169" i="16" a="1"/>
  <c r="D169" i="16" s="1"/>
  <c r="E169" i="16" s="1"/>
  <c r="I166" i="27"/>
  <c r="G167" i="27"/>
  <c r="F167" i="27"/>
  <c r="B166" i="34" l="1"/>
  <c r="A167" i="34"/>
  <c r="B166" i="33"/>
  <c r="A167" i="33"/>
  <c r="B166" i="35"/>
  <c r="A167" i="35"/>
  <c r="B166" i="36"/>
  <c r="A167" i="36"/>
  <c r="A171" i="16"/>
  <c r="B170" i="16"/>
  <c r="D170" i="16" a="1"/>
  <c r="D170" i="16" s="1"/>
  <c r="E170" i="16" s="1"/>
  <c r="C117" i="17"/>
  <c r="H116" i="17"/>
  <c r="F168" i="27"/>
  <c r="G168" i="27"/>
  <c r="C117" i="27"/>
  <c r="H116" i="27"/>
  <c r="C117" i="28"/>
  <c r="H116" i="28"/>
  <c r="F169" i="16"/>
  <c r="G169" i="16"/>
  <c r="C117" i="16"/>
  <c r="H116" i="16"/>
  <c r="I167" i="27"/>
  <c r="A170" i="27"/>
  <c r="B169" i="27"/>
  <c r="D169" i="27" a="1"/>
  <c r="D169" i="27" s="1"/>
  <c r="E169" i="27" s="1"/>
  <c r="I168" i="16"/>
  <c r="B167" i="36" l="1"/>
  <c r="A168" i="36"/>
  <c r="B167" i="35"/>
  <c r="A168" i="35"/>
  <c r="B167" i="34"/>
  <c r="A168" i="34"/>
  <c r="B167" i="33"/>
  <c r="A168" i="33"/>
  <c r="F169" i="27"/>
  <c r="G169" i="27"/>
  <c r="C118" i="27"/>
  <c r="H117" i="27"/>
  <c r="C118" i="17"/>
  <c r="H117" i="17"/>
  <c r="F170" i="16"/>
  <c r="G170" i="16"/>
  <c r="C118" i="16"/>
  <c r="H117" i="16"/>
  <c r="C118" i="28"/>
  <c r="H117" i="28"/>
  <c r="I168" i="27"/>
  <c r="A171" i="27"/>
  <c r="B170" i="27"/>
  <c r="D170" i="27" a="1"/>
  <c r="D170" i="27" s="1"/>
  <c r="E170" i="27" s="1"/>
  <c r="I169" i="16"/>
  <c r="A172" i="16"/>
  <c r="B171" i="16"/>
  <c r="D171" i="16" a="1"/>
  <c r="D171" i="16" s="1"/>
  <c r="E171" i="16" s="1"/>
  <c r="B168" i="34" l="1"/>
  <c r="A169" i="34"/>
  <c r="B168" i="36"/>
  <c r="A169" i="36"/>
  <c r="B168" i="33"/>
  <c r="A169" i="33"/>
  <c r="B168" i="35"/>
  <c r="A169" i="35"/>
  <c r="F170" i="27"/>
  <c r="G170" i="27"/>
  <c r="I170" i="16"/>
  <c r="B172" i="16"/>
  <c r="A173" i="16"/>
  <c r="D172" i="16" a="1"/>
  <c r="D172" i="16" s="1"/>
  <c r="E172" i="16" s="1"/>
  <c r="A172" i="27"/>
  <c r="B171" i="27"/>
  <c r="D171" i="27" a="1"/>
  <c r="D171" i="27" s="1"/>
  <c r="E171" i="27" s="1"/>
  <c r="C119" i="28"/>
  <c r="H118" i="28"/>
  <c r="C119" i="27"/>
  <c r="H118" i="27"/>
  <c r="F171" i="16"/>
  <c r="G171" i="16"/>
  <c r="I169" i="27"/>
  <c r="C119" i="16"/>
  <c r="H118" i="16"/>
  <c r="C119" i="17"/>
  <c r="H118" i="17"/>
  <c r="B169" i="33" l="1"/>
  <c r="A170" i="33"/>
  <c r="B169" i="36"/>
  <c r="A170" i="36"/>
  <c r="B169" i="35"/>
  <c r="A170" i="35"/>
  <c r="B169" i="34"/>
  <c r="A170" i="34"/>
  <c r="C120" i="28"/>
  <c r="H119" i="28"/>
  <c r="I171" i="16"/>
  <c r="K19" i="16"/>
  <c r="L24" i="17" s="1"/>
  <c r="B172" i="27"/>
  <c r="A173" i="27"/>
  <c r="D172" i="27" a="1"/>
  <c r="D172" i="27" s="1"/>
  <c r="E172" i="27" s="1"/>
  <c r="G172" i="16"/>
  <c r="F172" i="16"/>
  <c r="G171" i="27"/>
  <c r="F171" i="27"/>
  <c r="B173" i="16"/>
  <c r="A174" i="16"/>
  <c r="D173" i="16" a="1"/>
  <c r="D173" i="16" s="1"/>
  <c r="E173" i="16" s="1"/>
  <c r="I170" i="27"/>
  <c r="C120" i="16"/>
  <c r="H119" i="16"/>
  <c r="C120" i="17"/>
  <c r="H119" i="17"/>
  <c r="C120" i="27"/>
  <c r="H119" i="27"/>
  <c r="B170" i="35" l="1"/>
  <c r="A171" i="35"/>
  <c r="B170" i="34"/>
  <c r="A171" i="34"/>
  <c r="B170" i="33"/>
  <c r="A171" i="33"/>
  <c r="B170" i="36"/>
  <c r="A171" i="36"/>
  <c r="F172" i="27"/>
  <c r="G172" i="27"/>
  <c r="F173" i="16"/>
  <c r="G173" i="16"/>
  <c r="K19" i="27"/>
  <c r="N24" i="17" s="1"/>
  <c r="E29" i="9" s="1"/>
  <c r="F29" i="9" s="1"/>
  <c r="I171" i="27"/>
  <c r="A174" i="27"/>
  <c r="B173" i="27"/>
  <c r="D173" i="27" a="1"/>
  <c r="D173" i="27" s="1"/>
  <c r="E173" i="27" s="1"/>
  <c r="C121" i="27"/>
  <c r="H120" i="27"/>
  <c r="C121" i="16"/>
  <c r="H120" i="16"/>
  <c r="A175" i="16"/>
  <c r="B174" i="16"/>
  <c r="D174" i="16" a="1"/>
  <c r="D174" i="16" s="1"/>
  <c r="E174" i="16" s="1"/>
  <c r="C121" i="17"/>
  <c r="H120" i="17"/>
  <c r="I172" i="16"/>
  <c r="C121" i="28"/>
  <c r="H120" i="28"/>
  <c r="B171" i="36" l="1"/>
  <c r="A172" i="36"/>
  <c r="B171" i="34"/>
  <c r="A172" i="34"/>
  <c r="B171" i="33"/>
  <c r="A172" i="33"/>
  <c r="B171" i="35"/>
  <c r="A172" i="35"/>
  <c r="B174" i="27"/>
  <c r="A175" i="27"/>
  <c r="D174" i="27" a="1"/>
  <c r="D174" i="27" s="1"/>
  <c r="E174" i="27" s="1"/>
  <c r="I173" i="16"/>
  <c r="D29" i="9"/>
  <c r="C122" i="17"/>
  <c r="H121" i="17"/>
  <c r="C122" i="28"/>
  <c r="H121" i="28"/>
  <c r="A176" i="16"/>
  <c r="B175" i="16"/>
  <c r="D175" i="16" a="1"/>
  <c r="D175" i="16" s="1"/>
  <c r="E175" i="16" s="1"/>
  <c r="C122" i="27"/>
  <c r="H121" i="27"/>
  <c r="F173" i="27"/>
  <c r="G173" i="27"/>
  <c r="I172" i="27"/>
  <c r="G174" i="16"/>
  <c r="F174" i="16"/>
  <c r="C122" i="16"/>
  <c r="H121" i="16"/>
  <c r="B172" i="35" l="1"/>
  <c r="A173" i="35"/>
  <c r="B172" i="33"/>
  <c r="A173" i="33"/>
  <c r="B172" i="36"/>
  <c r="A173" i="36"/>
  <c r="B172" i="34"/>
  <c r="A173" i="34"/>
  <c r="I173" i="27"/>
  <c r="C123" i="28"/>
  <c r="H122" i="28"/>
  <c r="I174" i="16"/>
  <c r="C123" i="17"/>
  <c r="H122" i="17"/>
  <c r="C123" i="16"/>
  <c r="H122" i="16"/>
  <c r="C123" i="27"/>
  <c r="H122" i="27"/>
  <c r="F174" i="27"/>
  <c r="G174" i="27"/>
  <c r="F175" i="16"/>
  <c r="G175" i="16"/>
  <c r="A176" i="27"/>
  <c r="B175" i="27"/>
  <c r="D175" i="27" a="1"/>
  <c r="D175" i="27" s="1"/>
  <c r="E175" i="27" s="1"/>
  <c r="B176" i="16"/>
  <c r="A177" i="16"/>
  <c r="D176" i="16" a="1"/>
  <c r="D176" i="16" s="1"/>
  <c r="E176" i="16" s="1"/>
  <c r="B173" i="36" l="1"/>
  <c r="A174" i="36"/>
  <c r="B173" i="34"/>
  <c r="A174" i="34"/>
  <c r="B173" i="33"/>
  <c r="A174" i="33"/>
  <c r="B173" i="35"/>
  <c r="A174" i="35"/>
  <c r="G176" i="16"/>
  <c r="F176" i="16"/>
  <c r="I175" i="16"/>
  <c r="B177" i="16"/>
  <c r="A178" i="16"/>
  <c r="D177" i="16" a="1"/>
  <c r="D177" i="16" s="1"/>
  <c r="E177" i="16" s="1"/>
  <c r="B176" i="27"/>
  <c r="A177" i="27"/>
  <c r="D176" i="27" a="1"/>
  <c r="D176" i="27" s="1"/>
  <c r="E176" i="27" s="1"/>
  <c r="C124" i="27"/>
  <c r="H123" i="27"/>
  <c r="C124" i="17"/>
  <c r="H123" i="17"/>
  <c r="C124" i="28"/>
  <c r="H123" i="28"/>
  <c r="I174" i="27"/>
  <c r="F175" i="27"/>
  <c r="G175" i="27"/>
  <c r="C124" i="16"/>
  <c r="H123" i="16"/>
  <c r="B174" i="34" l="1"/>
  <c r="A175" i="34"/>
  <c r="B174" i="35"/>
  <c r="A175" i="35"/>
  <c r="B174" i="33"/>
  <c r="A175" i="33"/>
  <c r="B174" i="36"/>
  <c r="A175" i="36"/>
  <c r="C125" i="28"/>
  <c r="H124" i="28"/>
  <c r="C125" i="27"/>
  <c r="H124" i="27"/>
  <c r="C125" i="16"/>
  <c r="H124" i="16"/>
  <c r="C125" i="17"/>
  <c r="H124" i="17"/>
  <c r="I175" i="27"/>
  <c r="F177" i="16"/>
  <c r="G177" i="16"/>
  <c r="F176" i="27"/>
  <c r="G176" i="27"/>
  <c r="A179" i="16"/>
  <c r="B178" i="16"/>
  <c r="D178" i="16" a="1"/>
  <c r="D178" i="16" s="1"/>
  <c r="E178" i="16" s="1"/>
  <c r="A178" i="27"/>
  <c r="B177" i="27"/>
  <c r="D177" i="27" a="1"/>
  <c r="D177" i="27" s="1"/>
  <c r="E177" i="27" s="1"/>
  <c r="I176" i="16"/>
  <c r="B175" i="35" l="1"/>
  <c r="A176" i="35"/>
  <c r="B175" i="34"/>
  <c r="A176" i="34"/>
  <c r="B175" i="33"/>
  <c r="A176" i="33"/>
  <c r="B175" i="36"/>
  <c r="A176" i="36"/>
  <c r="G177" i="27"/>
  <c r="F177" i="27"/>
  <c r="I177" i="16"/>
  <c r="B179" i="16"/>
  <c r="A180" i="16"/>
  <c r="D179" i="16" a="1"/>
  <c r="D179" i="16" s="1"/>
  <c r="E179" i="16" s="1"/>
  <c r="C126" i="17"/>
  <c r="H125" i="17"/>
  <c r="C126" i="27"/>
  <c r="H125" i="27"/>
  <c r="A179" i="27"/>
  <c r="B178" i="27"/>
  <c r="D178" i="27" a="1"/>
  <c r="D178" i="27" s="1"/>
  <c r="E178" i="27" s="1"/>
  <c r="I176" i="27"/>
  <c r="F178" i="16"/>
  <c r="G178" i="16"/>
  <c r="C126" i="16"/>
  <c r="H125" i="16"/>
  <c r="C126" i="28"/>
  <c r="H125" i="28"/>
  <c r="B176" i="34" l="1"/>
  <c r="A177" i="34"/>
  <c r="B176" i="36"/>
  <c r="A177" i="36"/>
  <c r="B176" i="33"/>
  <c r="A177" i="33"/>
  <c r="B176" i="35"/>
  <c r="A177" i="35"/>
  <c r="I178" i="16"/>
  <c r="C127" i="28"/>
  <c r="H126" i="28"/>
  <c r="B179" i="27"/>
  <c r="A180" i="27"/>
  <c r="D179" i="27" a="1"/>
  <c r="D179" i="27" s="1"/>
  <c r="E179" i="27" s="1"/>
  <c r="C127" i="17"/>
  <c r="H126" i="17"/>
  <c r="G179" i="16"/>
  <c r="F179" i="16"/>
  <c r="F178" i="27"/>
  <c r="G178" i="27"/>
  <c r="C127" i="27"/>
  <c r="H126" i="27"/>
  <c r="A181" i="16"/>
  <c r="B180" i="16"/>
  <c r="D180" i="16" a="1"/>
  <c r="D180" i="16" s="1"/>
  <c r="E180" i="16" s="1"/>
  <c r="C127" i="16"/>
  <c r="H126" i="16"/>
  <c r="I177" i="27"/>
  <c r="B177" i="33" l="1"/>
  <c r="A178" i="33"/>
  <c r="B177" i="36"/>
  <c r="A178" i="36"/>
  <c r="B177" i="34"/>
  <c r="A178" i="34"/>
  <c r="B177" i="35"/>
  <c r="A178" i="35"/>
  <c r="B181" i="16"/>
  <c r="A182" i="16"/>
  <c r="D181" i="16" a="1"/>
  <c r="D181" i="16" s="1"/>
  <c r="E181" i="16" s="1"/>
  <c r="C128" i="17"/>
  <c r="H127" i="17"/>
  <c r="G179" i="27"/>
  <c r="F179" i="27"/>
  <c r="C128" i="28"/>
  <c r="H127" i="28"/>
  <c r="G180" i="16"/>
  <c r="F180" i="16"/>
  <c r="C128" i="27"/>
  <c r="H127" i="27"/>
  <c r="I179" i="16"/>
  <c r="B180" i="27"/>
  <c r="A181" i="27"/>
  <c r="D180" i="27" a="1"/>
  <c r="D180" i="27" s="1"/>
  <c r="E180" i="27" s="1"/>
  <c r="C128" i="16"/>
  <c r="H127" i="16"/>
  <c r="I178" i="27"/>
  <c r="B178" i="36" l="1"/>
  <c r="A179" i="36"/>
  <c r="B178" i="35"/>
  <c r="A179" i="35"/>
  <c r="B178" i="34"/>
  <c r="A179" i="34"/>
  <c r="B178" i="33"/>
  <c r="A179" i="33"/>
  <c r="C129" i="27"/>
  <c r="H128" i="27"/>
  <c r="C129" i="28"/>
  <c r="H128" i="28"/>
  <c r="C129" i="17"/>
  <c r="H128" i="17"/>
  <c r="F181" i="16"/>
  <c r="G181" i="16"/>
  <c r="F180" i="27"/>
  <c r="G180" i="27"/>
  <c r="I180" i="16"/>
  <c r="I179" i="27"/>
  <c r="A183" i="16"/>
  <c r="B182" i="16"/>
  <c r="D182" i="16" a="1"/>
  <c r="D182" i="16" s="1"/>
  <c r="E182" i="16" s="1"/>
  <c r="C129" i="16"/>
  <c r="H128" i="16"/>
  <c r="A182" i="27"/>
  <c r="B181" i="27"/>
  <c r="D181" i="27" a="1"/>
  <c r="D181" i="27" s="1"/>
  <c r="E181" i="27" s="1"/>
  <c r="B179" i="36" l="1"/>
  <c r="A180" i="36"/>
  <c r="B179" i="35"/>
  <c r="A180" i="35"/>
  <c r="B179" i="33"/>
  <c r="A180" i="33"/>
  <c r="B179" i="34"/>
  <c r="A180" i="34"/>
  <c r="B182" i="27"/>
  <c r="A183" i="27"/>
  <c r="D182" i="27" a="1"/>
  <c r="D182" i="27" s="1"/>
  <c r="E182" i="27" s="1"/>
  <c r="I181" i="16"/>
  <c r="K20" i="16"/>
  <c r="L25" i="17" s="1"/>
  <c r="B183" i="16"/>
  <c r="A184" i="16"/>
  <c r="D183" i="16" a="1"/>
  <c r="D183" i="16" s="1"/>
  <c r="E183" i="16" s="1"/>
  <c r="C130" i="28"/>
  <c r="H129" i="28"/>
  <c r="G181" i="27"/>
  <c r="F181" i="27"/>
  <c r="C130" i="16"/>
  <c r="H129" i="16"/>
  <c r="I180" i="27"/>
  <c r="F182" i="16"/>
  <c r="G182" i="16"/>
  <c r="C130" i="17"/>
  <c r="H129" i="17"/>
  <c r="C130" i="27"/>
  <c r="H129" i="27"/>
  <c r="B180" i="33" l="1"/>
  <c r="A181" i="33"/>
  <c r="B180" i="36"/>
  <c r="A181" i="36"/>
  <c r="B180" i="34"/>
  <c r="A181" i="34"/>
  <c r="B180" i="35"/>
  <c r="A181" i="35"/>
  <c r="I182" i="16"/>
  <c r="C131" i="27"/>
  <c r="H130" i="27"/>
  <c r="C131" i="16"/>
  <c r="H130" i="16"/>
  <c r="C131" i="17"/>
  <c r="H130" i="17"/>
  <c r="I181" i="27"/>
  <c r="K20" i="27"/>
  <c r="N25" i="17" s="1"/>
  <c r="A185" i="16"/>
  <c r="B184" i="16"/>
  <c r="D184" i="16" a="1"/>
  <c r="D184" i="16" s="1"/>
  <c r="E184" i="16" s="1"/>
  <c r="F182" i="27"/>
  <c r="G182" i="27"/>
  <c r="C131" i="28"/>
  <c r="H130" i="28"/>
  <c r="E30" i="9"/>
  <c r="F30" i="9" s="1"/>
  <c r="A184" i="27"/>
  <c r="B183" i="27"/>
  <c r="D183" i="27" a="1"/>
  <c r="D183" i="27" s="1"/>
  <c r="E183" i="27" s="1"/>
  <c r="F183" i="16"/>
  <c r="G183" i="16"/>
  <c r="B181" i="35" l="1"/>
  <c r="A182" i="35"/>
  <c r="B181" i="34"/>
  <c r="A182" i="34"/>
  <c r="B181" i="33"/>
  <c r="A182" i="33"/>
  <c r="B181" i="36"/>
  <c r="A182" i="36"/>
  <c r="F183" i="27"/>
  <c r="G183" i="27"/>
  <c r="C132" i="28"/>
  <c r="H131" i="28"/>
  <c r="I183" i="16"/>
  <c r="A185" i="27"/>
  <c r="B184" i="27"/>
  <c r="D184" i="27" a="1"/>
  <c r="D184" i="27" s="1"/>
  <c r="E184" i="27" s="1"/>
  <c r="I182" i="27"/>
  <c r="A186" i="16"/>
  <c r="B185" i="16"/>
  <c r="D185" i="16" a="1"/>
  <c r="D185" i="16" s="1"/>
  <c r="E185" i="16" s="1"/>
  <c r="D30" i="9"/>
  <c r="C132" i="17"/>
  <c r="H131" i="17"/>
  <c r="C132" i="27"/>
  <c r="H131" i="27"/>
  <c r="G184" i="16"/>
  <c r="F184" i="16"/>
  <c r="C132" i="16"/>
  <c r="H131" i="16"/>
  <c r="B182" i="33" l="1"/>
  <c r="A183" i="33"/>
  <c r="B182" i="36"/>
  <c r="A183" i="36"/>
  <c r="B182" i="34"/>
  <c r="A183" i="34"/>
  <c r="B182" i="35"/>
  <c r="A183" i="35"/>
  <c r="I184" i="16"/>
  <c r="C133" i="27"/>
  <c r="H132" i="27"/>
  <c r="B186" i="16"/>
  <c r="A187" i="16"/>
  <c r="D186" i="16" a="1"/>
  <c r="D186" i="16" s="1"/>
  <c r="E186" i="16" s="1"/>
  <c r="C133" i="17"/>
  <c r="H132" i="17"/>
  <c r="C133" i="16"/>
  <c r="H132" i="16"/>
  <c r="A186" i="27"/>
  <c r="B185" i="27"/>
  <c r="D185" i="27" a="1"/>
  <c r="D185" i="27" s="1"/>
  <c r="E185" i="27" s="1"/>
  <c r="C133" i="28"/>
  <c r="H132" i="28"/>
  <c r="G185" i="16"/>
  <c r="F185" i="16"/>
  <c r="I183" i="27"/>
  <c r="F184" i="27"/>
  <c r="G184" i="27"/>
  <c r="B183" i="35" l="1"/>
  <c r="A184" i="35"/>
  <c r="B183" i="36"/>
  <c r="A184" i="36"/>
  <c r="B183" i="33"/>
  <c r="A184" i="33"/>
  <c r="B183" i="34"/>
  <c r="A184" i="34"/>
  <c r="G185" i="27"/>
  <c r="F185" i="27"/>
  <c r="C134" i="16"/>
  <c r="H133" i="16"/>
  <c r="C134" i="17"/>
  <c r="H133" i="17"/>
  <c r="F186" i="16"/>
  <c r="G186" i="16"/>
  <c r="C134" i="27"/>
  <c r="H133" i="27"/>
  <c r="I185" i="16"/>
  <c r="B186" i="27"/>
  <c r="A187" i="27"/>
  <c r="D186" i="27" a="1"/>
  <c r="D186" i="27" s="1"/>
  <c r="E186" i="27" s="1"/>
  <c r="A188" i="16"/>
  <c r="B187" i="16"/>
  <c r="D187" i="16" a="1"/>
  <c r="D187" i="16" s="1"/>
  <c r="E187" i="16" s="1"/>
  <c r="I184" i="27"/>
  <c r="C134" i="28"/>
  <c r="H133" i="28"/>
  <c r="B184" i="34" l="1"/>
  <c r="A185" i="34"/>
  <c r="B184" i="33"/>
  <c r="A185" i="33"/>
  <c r="B184" i="35"/>
  <c r="A185" i="35"/>
  <c r="B184" i="36"/>
  <c r="A185" i="36"/>
  <c r="A189" i="16"/>
  <c r="B188" i="16"/>
  <c r="D188" i="16" a="1"/>
  <c r="D188" i="16" s="1"/>
  <c r="E188" i="16" s="1"/>
  <c r="I186" i="16"/>
  <c r="F186" i="27"/>
  <c r="G186" i="27"/>
  <c r="C135" i="16"/>
  <c r="H134" i="16"/>
  <c r="F187" i="16"/>
  <c r="G187" i="16"/>
  <c r="B187" i="27"/>
  <c r="A188" i="27"/>
  <c r="D187" i="27" a="1"/>
  <c r="D187" i="27" s="1"/>
  <c r="E187" i="27" s="1"/>
  <c r="C135" i="28"/>
  <c r="H134" i="28"/>
  <c r="C135" i="27"/>
  <c r="H134" i="27"/>
  <c r="C135" i="17"/>
  <c r="H134" i="17"/>
  <c r="I185" i="27"/>
  <c r="B185" i="36" l="1"/>
  <c r="A186" i="36"/>
  <c r="B185" i="33"/>
  <c r="A186" i="33"/>
  <c r="B185" i="35"/>
  <c r="A186" i="35"/>
  <c r="B185" i="34"/>
  <c r="A186" i="34"/>
  <c r="C136" i="28"/>
  <c r="H135" i="28"/>
  <c r="I186" i="27"/>
  <c r="C136" i="16"/>
  <c r="H135" i="16"/>
  <c r="G188" i="16"/>
  <c r="F188" i="16"/>
  <c r="C136" i="17"/>
  <c r="H135" i="17"/>
  <c r="I187" i="16"/>
  <c r="F187" i="27"/>
  <c r="G187" i="27"/>
  <c r="C136" i="27"/>
  <c r="H135" i="27"/>
  <c r="B188" i="27"/>
  <c r="A189" i="27"/>
  <c r="D188" i="27" a="1"/>
  <c r="D188" i="27" s="1"/>
  <c r="E188" i="27" s="1"/>
  <c r="B189" i="16"/>
  <c r="A190" i="16"/>
  <c r="D189" i="16" a="1"/>
  <c r="D189" i="16" s="1"/>
  <c r="E189" i="16" s="1"/>
  <c r="B186" i="34" l="1"/>
  <c r="A187" i="34"/>
  <c r="B186" i="33"/>
  <c r="A187" i="33"/>
  <c r="B186" i="36"/>
  <c r="A187" i="36"/>
  <c r="B186" i="35"/>
  <c r="A187" i="35"/>
  <c r="G189" i="16"/>
  <c r="F189" i="16"/>
  <c r="A190" i="27"/>
  <c r="B189" i="27"/>
  <c r="D189" i="27" a="1"/>
  <c r="D189" i="27" s="1"/>
  <c r="E189" i="27" s="1"/>
  <c r="B190" i="16"/>
  <c r="A191" i="16"/>
  <c r="D190" i="16" a="1"/>
  <c r="D190" i="16" s="1"/>
  <c r="E190" i="16" s="1"/>
  <c r="F188" i="27"/>
  <c r="G188" i="27"/>
  <c r="I188" i="16"/>
  <c r="C137" i="27"/>
  <c r="H136" i="27"/>
  <c r="I187" i="27"/>
  <c r="C137" i="17"/>
  <c r="H136" i="17"/>
  <c r="C137" i="16"/>
  <c r="H136" i="16"/>
  <c r="C137" i="28"/>
  <c r="H136" i="28"/>
  <c r="B187" i="36" l="1"/>
  <c r="A188" i="36"/>
  <c r="B187" i="35"/>
  <c r="A188" i="35"/>
  <c r="B187" i="33"/>
  <c r="A188" i="33"/>
  <c r="B187" i="34"/>
  <c r="A188" i="34"/>
  <c r="G190" i="16"/>
  <c r="F190" i="16"/>
  <c r="C138" i="28"/>
  <c r="H137" i="28"/>
  <c r="C138" i="27"/>
  <c r="H137" i="27"/>
  <c r="C138" i="16"/>
  <c r="H137" i="16"/>
  <c r="B191" i="16"/>
  <c r="A192" i="16"/>
  <c r="D191" i="16" a="1"/>
  <c r="D191" i="16" s="1"/>
  <c r="E191" i="16" s="1"/>
  <c r="A191" i="27"/>
  <c r="B190" i="27"/>
  <c r="D190" i="27" a="1"/>
  <c r="D190" i="27" s="1"/>
  <c r="E190" i="27" s="1"/>
  <c r="C138" i="17"/>
  <c r="H137" i="17"/>
  <c r="I188" i="27"/>
  <c r="F189" i="27"/>
  <c r="G189" i="27"/>
  <c r="I189" i="16"/>
  <c r="B188" i="33" l="1"/>
  <c r="A189" i="33"/>
  <c r="B188" i="34"/>
  <c r="A189" i="34"/>
  <c r="B188" i="35"/>
  <c r="A189" i="35"/>
  <c r="B188" i="36"/>
  <c r="A189" i="36"/>
  <c r="I189" i="27"/>
  <c r="A192" i="27"/>
  <c r="B191" i="27"/>
  <c r="D191" i="27" a="1"/>
  <c r="D191" i="27" s="1"/>
  <c r="E191" i="27" s="1"/>
  <c r="G191" i="16"/>
  <c r="F191" i="16"/>
  <c r="C139" i="16"/>
  <c r="H138" i="16"/>
  <c r="C139" i="28"/>
  <c r="H138" i="28"/>
  <c r="G190" i="27"/>
  <c r="F190" i="27"/>
  <c r="B192" i="16"/>
  <c r="A193" i="16"/>
  <c r="D192" i="16" a="1"/>
  <c r="D192" i="16" s="1"/>
  <c r="E192" i="16" s="1"/>
  <c r="C139" i="17"/>
  <c r="H138" i="17"/>
  <c r="C139" i="27"/>
  <c r="H138" i="27"/>
  <c r="I190" i="16"/>
  <c r="B189" i="35" l="1"/>
  <c r="A190" i="35"/>
  <c r="B189" i="36"/>
  <c r="A190" i="36"/>
  <c r="B189" i="33"/>
  <c r="A190" i="33"/>
  <c r="B189" i="34"/>
  <c r="A190" i="34"/>
  <c r="F192" i="16"/>
  <c r="G192" i="16"/>
  <c r="I190" i="27"/>
  <c r="C140" i="16"/>
  <c r="H139" i="16"/>
  <c r="C140" i="17"/>
  <c r="H139" i="17"/>
  <c r="C140" i="27"/>
  <c r="H139" i="27"/>
  <c r="B193" i="16"/>
  <c r="A194" i="16"/>
  <c r="D193" i="16" a="1"/>
  <c r="D193" i="16" s="1"/>
  <c r="E193" i="16" s="1"/>
  <c r="A193" i="27"/>
  <c r="B192" i="27"/>
  <c r="D192" i="27" a="1"/>
  <c r="D192" i="27" s="1"/>
  <c r="E192" i="27" s="1"/>
  <c r="C140" i="28"/>
  <c r="H139" i="28"/>
  <c r="I191" i="16"/>
  <c r="K21" i="16"/>
  <c r="L26" i="17" s="1"/>
  <c r="F191" i="27"/>
  <c r="G191" i="27"/>
  <c r="B190" i="34" l="1"/>
  <c r="A191" i="34"/>
  <c r="B190" i="33"/>
  <c r="A191" i="33"/>
  <c r="B190" i="36"/>
  <c r="A191" i="36"/>
  <c r="B190" i="35"/>
  <c r="A191" i="35"/>
  <c r="F192" i="27"/>
  <c r="G192" i="27"/>
  <c r="A195" i="16"/>
  <c r="B194" i="16"/>
  <c r="D194" i="16" a="1"/>
  <c r="D194" i="16" s="1"/>
  <c r="E194" i="16" s="1"/>
  <c r="C141" i="28"/>
  <c r="H140" i="28"/>
  <c r="C141" i="17"/>
  <c r="H140" i="17"/>
  <c r="K21" i="27"/>
  <c r="N26" i="17" s="1"/>
  <c r="E31" i="9" s="1"/>
  <c r="F31" i="9" s="1"/>
  <c r="I191" i="27"/>
  <c r="A194" i="27"/>
  <c r="B193" i="27"/>
  <c r="D193" i="27" a="1"/>
  <c r="D193" i="27" s="1"/>
  <c r="E193" i="27" s="1"/>
  <c r="I192" i="16"/>
  <c r="G193" i="16"/>
  <c r="F193" i="16"/>
  <c r="C141" i="27"/>
  <c r="H140" i="27"/>
  <c r="C141" i="16"/>
  <c r="H140" i="16"/>
  <c r="B191" i="36" l="1"/>
  <c r="A192" i="36"/>
  <c r="B191" i="34"/>
  <c r="A192" i="34"/>
  <c r="B191" i="33"/>
  <c r="A192" i="33"/>
  <c r="B191" i="35"/>
  <c r="A192" i="35"/>
  <c r="G193" i="27"/>
  <c r="F193" i="27"/>
  <c r="C142" i="17"/>
  <c r="H141" i="17"/>
  <c r="C142" i="27"/>
  <c r="H141" i="27"/>
  <c r="A196" i="16"/>
  <c r="B195" i="16"/>
  <c r="D195" i="16" a="1"/>
  <c r="D195" i="16" s="1"/>
  <c r="E195" i="16" s="1"/>
  <c r="C142" i="16"/>
  <c r="H141" i="16"/>
  <c r="I193" i="16"/>
  <c r="B194" i="27"/>
  <c r="A195" i="27"/>
  <c r="D194" i="27" a="1"/>
  <c r="D194" i="27" s="1"/>
  <c r="E194" i="27" s="1"/>
  <c r="D31" i="9"/>
  <c r="C142" i="28"/>
  <c r="H141" i="28"/>
  <c r="I192" i="27"/>
  <c r="F194" i="16"/>
  <c r="G194" i="16"/>
  <c r="B192" i="35" l="1"/>
  <c r="A193" i="35"/>
  <c r="B192" i="33"/>
  <c r="A193" i="33"/>
  <c r="B192" i="36"/>
  <c r="A193" i="36"/>
  <c r="B192" i="34"/>
  <c r="A193" i="34"/>
  <c r="F194" i="27"/>
  <c r="G194" i="27"/>
  <c r="B195" i="27"/>
  <c r="A196" i="27"/>
  <c r="D195" i="27" a="1"/>
  <c r="D195" i="27" s="1"/>
  <c r="E195" i="27" s="1"/>
  <c r="B196" i="16"/>
  <c r="A197" i="16"/>
  <c r="D196" i="16" a="1"/>
  <c r="D196" i="16" s="1"/>
  <c r="E196" i="16" s="1"/>
  <c r="C143" i="17"/>
  <c r="H142" i="17"/>
  <c r="I194" i="16"/>
  <c r="C143" i="28"/>
  <c r="H142" i="28"/>
  <c r="C143" i="16"/>
  <c r="H142" i="16"/>
  <c r="F195" i="16"/>
  <c r="G195" i="16"/>
  <c r="C143" i="27"/>
  <c r="H142" i="27"/>
  <c r="I193" i="27"/>
  <c r="B193" i="33" l="1"/>
  <c r="A194" i="33"/>
  <c r="B193" i="34"/>
  <c r="A194" i="34"/>
  <c r="B193" i="36"/>
  <c r="A194" i="36"/>
  <c r="B193" i="35"/>
  <c r="A194" i="35"/>
  <c r="C144" i="17"/>
  <c r="H143" i="17"/>
  <c r="C144" i="27"/>
  <c r="H143" i="27"/>
  <c r="I195" i="16"/>
  <c r="F195" i="27"/>
  <c r="G195" i="27"/>
  <c r="F196" i="16"/>
  <c r="G196" i="16"/>
  <c r="B196" i="27"/>
  <c r="A197" i="27"/>
  <c r="D196" i="27" a="1"/>
  <c r="D196" i="27" s="1"/>
  <c r="E196" i="27" s="1"/>
  <c r="I194" i="27"/>
  <c r="C144" i="28"/>
  <c r="H143" i="28"/>
  <c r="C144" i="16"/>
  <c r="H143" i="16"/>
  <c r="A198" i="16"/>
  <c r="B197" i="16"/>
  <c r="D197" i="16" a="1"/>
  <c r="D197" i="16" s="1"/>
  <c r="E197" i="16" s="1"/>
  <c r="B194" i="34" l="1"/>
  <c r="A195" i="34"/>
  <c r="B194" i="35"/>
  <c r="A195" i="35"/>
  <c r="B194" i="36"/>
  <c r="A195" i="36"/>
  <c r="B194" i="33"/>
  <c r="A195" i="33"/>
  <c r="A199" i="16"/>
  <c r="B198" i="16"/>
  <c r="D198" i="16" a="1"/>
  <c r="D198" i="16" s="1"/>
  <c r="E198" i="16" s="1"/>
  <c r="C145" i="28"/>
  <c r="H144" i="28"/>
  <c r="A198" i="27"/>
  <c r="B197" i="27"/>
  <c r="D197" i="27" a="1"/>
  <c r="D197" i="27" s="1"/>
  <c r="E197" i="27" s="1"/>
  <c r="I195" i="27"/>
  <c r="C145" i="27"/>
  <c r="H144" i="27"/>
  <c r="G197" i="16"/>
  <c r="F197" i="16"/>
  <c r="C145" i="16"/>
  <c r="H144" i="16"/>
  <c r="I196" i="16"/>
  <c r="F196" i="27"/>
  <c r="G196" i="27"/>
  <c r="C145" i="17"/>
  <c r="H144" i="17"/>
  <c r="B195" i="33" l="1"/>
  <c r="A196" i="33"/>
  <c r="B195" i="36"/>
  <c r="A196" i="36"/>
  <c r="B195" i="35"/>
  <c r="A196" i="35"/>
  <c r="B195" i="34"/>
  <c r="A196" i="34"/>
  <c r="F197" i="27"/>
  <c r="G197" i="27"/>
  <c r="C146" i="28"/>
  <c r="H145" i="28"/>
  <c r="G198" i="16"/>
  <c r="F198" i="16"/>
  <c r="I196" i="27"/>
  <c r="C146" i="16"/>
  <c r="H145" i="16"/>
  <c r="C146" i="27"/>
  <c r="H145" i="27"/>
  <c r="A199" i="27"/>
  <c r="B198" i="27"/>
  <c r="D198" i="27" a="1"/>
  <c r="D198" i="27" s="1"/>
  <c r="E198" i="27" s="1"/>
  <c r="C146" i="17"/>
  <c r="H145" i="17"/>
  <c r="I197" i="16"/>
  <c r="A200" i="16"/>
  <c r="B199" i="16"/>
  <c r="D199" i="16" a="1"/>
  <c r="D199" i="16" s="1"/>
  <c r="E199" i="16" s="1"/>
  <c r="B196" i="36" l="1"/>
  <c r="A197" i="36"/>
  <c r="B196" i="35"/>
  <c r="A197" i="35"/>
  <c r="B196" i="34"/>
  <c r="A197" i="34"/>
  <c r="B196" i="33"/>
  <c r="A197" i="33"/>
  <c r="A200" i="27"/>
  <c r="B199" i="27"/>
  <c r="D199" i="27" a="1"/>
  <c r="D199" i="27" s="1"/>
  <c r="E199" i="27" s="1"/>
  <c r="I198" i="16"/>
  <c r="A201" i="16"/>
  <c r="B200" i="16"/>
  <c r="D200" i="16" a="1"/>
  <c r="D200" i="16" s="1"/>
  <c r="E200" i="16" s="1"/>
  <c r="C147" i="17"/>
  <c r="H146" i="17"/>
  <c r="G198" i="27"/>
  <c r="F198" i="27"/>
  <c r="C147" i="27"/>
  <c r="H146" i="27"/>
  <c r="C147" i="28"/>
  <c r="H146" i="28"/>
  <c r="F199" i="16"/>
  <c r="G199" i="16"/>
  <c r="I197" i="27"/>
  <c r="C147" i="16"/>
  <c r="H146" i="16"/>
  <c r="B197" i="33" l="1"/>
  <c r="A198" i="33"/>
  <c r="B197" i="35"/>
  <c r="A198" i="35"/>
  <c r="B197" i="36"/>
  <c r="A198" i="36"/>
  <c r="B197" i="34"/>
  <c r="A198" i="34"/>
  <c r="F200" i="16"/>
  <c r="G200" i="16"/>
  <c r="F199" i="27"/>
  <c r="G199" i="27"/>
  <c r="C148" i="28"/>
  <c r="H147" i="28"/>
  <c r="I198" i="27"/>
  <c r="B201" i="16"/>
  <c r="A202" i="16"/>
  <c r="D201" i="16" a="1"/>
  <c r="D201" i="16" s="1"/>
  <c r="E201" i="16" s="1"/>
  <c r="I199" i="16"/>
  <c r="C148" i="16"/>
  <c r="H147" i="16"/>
  <c r="C148" i="27"/>
  <c r="H147" i="27"/>
  <c r="C148" i="17"/>
  <c r="H147" i="17"/>
  <c r="B200" i="27"/>
  <c r="A201" i="27"/>
  <c r="D200" i="27" a="1"/>
  <c r="D200" i="27" s="1"/>
  <c r="E200" i="27" s="1"/>
  <c r="B198" i="35" l="1"/>
  <c r="A199" i="35"/>
  <c r="B198" i="36"/>
  <c r="A199" i="36"/>
  <c r="B198" i="34"/>
  <c r="A199" i="34"/>
  <c r="B198" i="33"/>
  <c r="A199" i="33"/>
  <c r="I199" i="27"/>
  <c r="G201" i="16"/>
  <c r="F201" i="16"/>
  <c r="G200" i="27"/>
  <c r="F200" i="27"/>
  <c r="C149" i="17"/>
  <c r="H148" i="17"/>
  <c r="C149" i="16"/>
  <c r="H148" i="16"/>
  <c r="B202" i="16"/>
  <c r="A203" i="16"/>
  <c r="D202" i="16" a="1"/>
  <c r="D202" i="16" s="1"/>
  <c r="E202" i="16" s="1"/>
  <c r="I200" i="16"/>
  <c r="C149" i="27"/>
  <c r="H148" i="27"/>
  <c r="A202" i="27"/>
  <c r="B201" i="27"/>
  <c r="D201" i="27" a="1"/>
  <c r="D201" i="27" s="1"/>
  <c r="E201" i="27" s="1"/>
  <c r="C149" i="28"/>
  <c r="H148" i="28"/>
  <c r="B199" i="33" l="1"/>
  <c r="A200" i="33"/>
  <c r="B199" i="35"/>
  <c r="A200" i="35"/>
  <c r="B199" i="34"/>
  <c r="A200" i="34"/>
  <c r="B199" i="36"/>
  <c r="A200" i="36"/>
  <c r="G201" i="27"/>
  <c r="F201" i="27"/>
  <c r="A204" i="16"/>
  <c r="B203" i="16"/>
  <c r="D203" i="16" a="1"/>
  <c r="D203" i="16" s="1"/>
  <c r="E203" i="16" s="1"/>
  <c r="C150" i="17"/>
  <c r="H149" i="17"/>
  <c r="I201" i="16"/>
  <c r="K22" i="16"/>
  <c r="L27" i="17" s="1"/>
  <c r="C150" i="28"/>
  <c r="H149" i="28"/>
  <c r="C150" i="27"/>
  <c r="H149" i="27"/>
  <c r="B202" i="27"/>
  <c r="A203" i="27"/>
  <c r="D202" i="27" a="1"/>
  <c r="D202" i="27" s="1"/>
  <c r="E202" i="27" s="1"/>
  <c r="F202" i="16"/>
  <c r="G202" i="16"/>
  <c r="C150" i="16"/>
  <c r="H149" i="16"/>
  <c r="I200" i="27"/>
  <c r="B200" i="34" l="1"/>
  <c r="A201" i="34"/>
  <c r="B200" i="35"/>
  <c r="A201" i="35"/>
  <c r="B200" i="36"/>
  <c r="A201" i="36"/>
  <c r="B200" i="33"/>
  <c r="A201" i="33"/>
  <c r="C151" i="16"/>
  <c r="H150" i="16"/>
  <c r="A204" i="27"/>
  <c r="B203" i="27"/>
  <c r="D203" i="27" a="1"/>
  <c r="D203" i="27" s="1"/>
  <c r="E203" i="27" s="1"/>
  <c r="C151" i="28"/>
  <c r="H150" i="28"/>
  <c r="A205" i="16"/>
  <c r="B204" i="16"/>
  <c r="D204" i="16" a="1"/>
  <c r="D204" i="16" s="1"/>
  <c r="E204" i="16" s="1"/>
  <c r="F202" i="27"/>
  <c r="G202" i="27"/>
  <c r="C151" i="27"/>
  <c r="H150" i="27"/>
  <c r="I202" i="16"/>
  <c r="C151" i="17"/>
  <c r="H150" i="17"/>
  <c r="F203" i="16"/>
  <c r="G203" i="16"/>
  <c r="I201" i="27"/>
  <c r="K22" i="27"/>
  <c r="N27" i="17" s="1"/>
  <c r="E32" i="9" s="1"/>
  <c r="F32" i="9" s="1"/>
  <c r="B201" i="36" l="1"/>
  <c r="A202" i="36"/>
  <c r="B201" i="35"/>
  <c r="A202" i="35"/>
  <c r="B201" i="33"/>
  <c r="A202" i="33"/>
  <c r="B201" i="34"/>
  <c r="A202" i="34"/>
  <c r="D32" i="9"/>
  <c r="I202" i="27"/>
  <c r="A206" i="16"/>
  <c r="B205" i="16"/>
  <c r="D205" i="16" a="1"/>
  <c r="D205" i="16" s="1"/>
  <c r="E205" i="16" s="1"/>
  <c r="A205" i="27"/>
  <c r="B204" i="27"/>
  <c r="D204" i="27" a="1"/>
  <c r="D204" i="27" s="1"/>
  <c r="E204" i="27" s="1"/>
  <c r="F204" i="16"/>
  <c r="G204" i="16"/>
  <c r="C152" i="28"/>
  <c r="H151" i="28"/>
  <c r="F203" i="27"/>
  <c r="G203" i="27"/>
  <c r="C152" i="16"/>
  <c r="H151" i="16"/>
  <c r="C152" i="17"/>
  <c r="H151" i="17"/>
  <c r="C152" i="27"/>
  <c r="H151" i="27"/>
  <c r="I203" i="16"/>
  <c r="B202" i="34" l="1"/>
  <c r="A203" i="34"/>
  <c r="B202" i="33"/>
  <c r="A203" i="33"/>
  <c r="B202" i="35"/>
  <c r="A203" i="35"/>
  <c r="B202" i="36"/>
  <c r="A203" i="36"/>
  <c r="F205" i="16"/>
  <c r="G205" i="16"/>
  <c r="G204" i="27"/>
  <c r="F204" i="27"/>
  <c r="C153" i="17"/>
  <c r="H152" i="17"/>
  <c r="A207" i="16"/>
  <c r="B206" i="16"/>
  <c r="D206" i="16" a="1"/>
  <c r="D206" i="16" s="1"/>
  <c r="E206" i="16" s="1"/>
  <c r="C153" i="27"/>
  <c r="H152" i="27"/>
  <c r="C153" i="16"/>
  <c r="H152" i="16"/>
  <c r="C153" i="28"/>
  <c r="H152" i="28"/>
  <c r="I203" i="27"/>
  <c r="I204" i="16"/>
  <c r="B205" i="27"/>
  <c r="A206" i="27"/>
  <c r="D205" i="27" a="1"/>
  <c r="D205" i="27" s="1"/>
  <c r="E205" i="27" s="1"/>
  <c r="B203" i="33" l="1"/>
  <c r="A204" i="33"/>
  <c r="B203" i="36"/>
  <c r="A204" i="36"/>
  <c r="B203" i="35"/>
  <c r="A204" i="35"/>
  <c r="B203" i="34"/>
  <c r="A204" i="34"/>
  <c r="F205" i="27"/>
  <c r="G205" i="27"/>
  <c r="C154" i="28"/>
  <c r="H153" i="28"/>
  <c r="C154" i="27"/>
  <c r="H153" i="27"/>
  <c r="G206" i="16"/>
  <c r="F206" i="16"/>
  <c r="C154" i="17"/>
  <c r="H153" i="17"/>
  <c r="I204" i="27"/>
  <c r="A207" i="27"/>
  <c r="B206" i="27"/>
  <c r="D206" i="27" a="1"/>
  <c r="D206" i="27" s="1"/>
  <c r="E206" i="27" s="1"/>
  <c r="I205" i="16"/>
  <c r="C154" i="16"/>
  <c r="H153" i="16"/>
  <c r="A208" i="16"/>
  <c r="B207" i="16"/>
  <c r="D207" i="16" a="1"/>
  <c r="D207" i="16" s="1"/>
  <c r="E207" i="16" s="1"/>
  <c r="B204" i="36" l="1"/>
  <c r="A205" i="36"/>
  <c r="B204" i="33"/>
  <c r="A205" i="33"/>
  <c r="B204" i="34"/>
  <c r="A205" i="34"/>
  <c r="B204" i="35"/>
  <c r="A205" i="35"/>
  <c r="G207" i="16"/>
  <c r="F207" i="16"/>
  <c r="C155" i="16"/>
  <c r="H154" i="16"/>
  <c r="A209" i="16"/>
  <c r="B208" i="16"/>
  <c r="D208" i="16" a="1"/>
  <c r="D208" i="16" s="1"/>
  <c r="E208" i="16" s="1"/>
  <c r="F206" i="27"/>
  <c r="G206" i="27"/>
  <c r="I206" i="16"/>
  <c r="C155" i="28"/>
  <c r="H154" i="28"/>
  <c r="I205" i="27"/>
  <c r="B207" i="27"/>
  <c r="A208" i="27"/>
  <c r="D207" i="27" a="1"/>
  <c r="D207" i="27" s="1"/>
  <c r="E207" i="27" s="1"/>
  <c r="C155" i="17"/>
  <c r="H154" i="17"/>
  <c r="C155" i="27"/>
  <c r="H154" i="27"/>
  <c r="B205" i="34" l="1"/>
  <c r="A206" i="34"/>
  <c r="B205" i="36"/>
  <c r="A206" i="36"/>
  <c r="B205" i="35"/>
  <c r="A206" i="35"/>
  <c r="B205" i="33"/>
  <c r="A206" i="33"/>
  <c r="C156" i="28"/>
  <c r="H155" i="28"/>
  <c r="G208" i="16"/>
  <c r="F208" i="16"/>
  <c r="C156" i="16"/>
  <c r="H155" i="16"/>
  <c r="F207" i="27"/>
  <c r="G207" i="27"/>
  <c r="C156" i="17"/>
  <c r="H155" i="17"/>
  <c r="C156" i="27"/>
  <c r="H155" i="27"/>
  <c r="A209" i="27"/>
  <c r="B208" i="27"/>
  <c r="D208" i="27" a="1"/>
  <c r="D208" i="27" s="1"/>
  <c r="E208" i="27" s="1"/>
  <c r="I206" i="27"/>
  <c r="A210" i="16"/>
  <c r="B209" i="16"/>
  <c r="D209" i="16" a="1"/>
  <c r="D209" i="16" s="1"/>
  <c r="E209" i="16" s="1"/>
  <c r="I207" i="16"/>
  <c r="B206" i="33" l="1"/>
  <c r="A207" i="33"/>
  <c r="B206" i="35"/>
  <c r="A207" i="35"/>
  <c r="B206" i="36"/>
  <c r="A207" i="36"/>
  <c r="B206" i="34"/>
  <c r="A207" i="34"/>
  <c r="F209" i="16"/>
  <c r="G209" i="16"/>
  <c r="I207" i="27"/>
  <c r="F208" i="27"/>
  <c r="G208" i="27"/>
  <c r="C157" i="27"/>
  <c r="H156" i="27"/>
  <c r="I208" i="16"/>
  <c r="A211" i="16"/>
  <c r="B210" i="16"/>
  <c r="D210" i="16" a="1"/>
  <c r="D210" i="16" s="1"/>
  <c r="E210" i="16" s="1"/>
  <c r="B209" i="27"/>
  <c r="A210" i="27"/>
  <c r="D209" i="27" a="1"/>
  <c r="D209" i="27" s="1"/>
  <c r="E209" i="27" s="1"/>
  <c r="C157" i="17"/>
  <c r="H156" i="17"/>
  <c r="C157" i="16"/>
  <c r="H156" i="16"/>
  <c r="C157" i="28"/>
  <c r="H156" i="28"/>
  <c r="B207" i="34" l="1"/>
  <c r="A208" i="34"/>
  <c r="B207" i="36"/>
  <c r="A208" i="36"/>
  <c r="B207" i="35"/>
  <c r="A208" i="35"/>
  <c r="B207" i="33"/>
  <c r="A208" i="33"/>
  <c r="F209" i="27"/>
  <c r="G209" i="27"/>
  <c r="C158" i="28"/>
  <c r="H157" i="28"/>
  <c r="C158" i="17"/>
  <c r="H157" i="17"/>
  <c r="C158" i="16"/>
  <c r="H157" i="16"/>
  <c r="A211" i="27"/>
  <c r="B210" i="27"/>
  <c r="D210" i="27" a="1"/>
  <c r="D210" i="27" s="1"/>
  <c r="E210" i="27" s="1"/>
  <c r="A212" i="16"/>
  <c r="B211" i="16"/>
  <c r="D211" i="16" a="1"/>
  <c r="D211" i="16" s="1"/>
  <c r="E211" i="16" s="1"/>
  <c r="C158" i="27"/>
  <c r="H157" i="27"/>
  <c r="I208" i="27"/>
  <c r="I209" i="16"/>
  <c r="G210" i="16"/>
  <c r="F210" i="16"/>
  <c r="B208" i="34" l="1"/>
  <c r="A209" i="34"/>
  <c r="B208" i="36"/>
  <c r="A209" i="36"/>
  <c r="B208" i="35"/>
  <c r="A209" i="35"/>
  <c r="B208" i="33"/>
  <c r="A209" i="33"/>
  <c r="F211" i="16"/>
  <c r="G211" i="16"/>
  <c r="I210" i="16"/>
  <c r="B211" i="27"/>
  <c r="A212" i="27"/>
  <c r="D211" i="27" a="1"/>
  <c r="D211" i="27" s="1"/>
  <c r="E211" i="27" s="1"/>
  <c r="A213" i="16"/>
  <c r="B212" i="16"/>
  <c r="D212" i="16" a="1"/>
  <c r="D212" i="16" s="1"/>
  <c r="E212" i="16" s="1"/>
  <c r="F210" i="27"/>
  <c r="G210" i="27"/>
  <c r="C159" i="16"/>
  <c r="H158" i="16"/>
  <c r="C159" i="28"/>
  <c r="H158" i="28"/>
  <c r="I209" i="27"/>
  <c r="C159" i="27"/>
  <c r="H158" i="27"/>
  <c r="C159" i="17"/>
  <c r="H158" i="17"/>
  <c r="B209" i="34" l="1"/>
  <c r="A210" i="34"/>
  <c r="B209" i="33"/>
  <c r="A210" i="33"/>
  <c r="B209" i="35"/>
  <c r="A210" i="35"/>
  <c r="B209" i="36"/>
  <c r="A210" i="36"/>
  <c r="C160" i="28"/>
  <c r="H159" i="28"/>
  <c r="C160" i="17"/>
  <c r="H159" i="17"/>
  <c r="I210" i="27"/>
  <c r="A214" i="16"/>
  <c r="B213" i="16"/>
  <c r="D213" i="16" a="1"/>
  <c r="D213" i="16" s="1"/>
  <c r="E213" i="16" s="1"/>
  <c r="F211" i="27"/>
  <c r="G211" i="27"/>
  <c r="G212" i="16"/>
  <c r="F212" i="16"/>
  <c r="A213" i="27"/>
  <c r="B212" i="27"/>
  <c r="D212" i="27" a="1"/>
  <c r="D212" i="27" s="1"/>
  <c r="E212" i="27" s="1"/>
  <c r="K23" i="16"/>
  <c r="L28" i="17" s="1"/>
  <c r="I211" i="16"/>
  <c r="C160" i="27"/>
  <c r="H159" i="27"/>
  <c r="C160" i="16"/>
  <c r="H159" i="16"/>
  <c r="B210" i="33" l="1"/>
  <c r="A211" i="33"/>
  <c r="B210" i="34"/>
  <c r="A211" i="34"/>
  <c r="B210" i="35"/>
  <c r="A211" i="35"/>
  <c r="B210" i="36"/>
  <c r="A211" i="36"/>
  <c r="F212" i="27"/>
  <c r="G212" i="27"/>
  <c r="I212" i="16"/>
  <c r="C161" i="27"/>
  <c r="H160" i="27"/>
  <c r="K23" i="27"/>
  <c r="N28" i="17" s="1"/>
  <c r="E33" i="9" s="1"/>
  <c r="F33" i="9" s="1"/>
  <c r="I211" i="27"/>
  <c r="A215" i="16"/>
  <c r="B214" i="16"/>
  <c r="D214" i="16" a="1"/>
  <c r="D214" i="16" s="1"/>
  <c r="E214" i="16" s="1"/>
  <c r="C161" i="17"/>
  <c r="H160" i="17"/>
  <c r="C161" i="16"/>
  <c r="H160" i="16"/>
  <c r="B213" i="27"/>
  <c r="A214" i="27"/>
  <c r="D213" i="27" a="1"/>
  <c r="D213" i="27" s="1"/>
  <c r="E213" i="27" s="1"/>
  <c r="G213" i="16"/>
  <c r="F213" i="16"/>
  <c r="C161" i="28"/>
  <c r="H160" i="28"/>
  <c r="B211" i="36" l="1"/>
  <c r="A212" i="36"/>
  <c r="B211" i="33"/>
  <c r="A212" i="33"/>
  <c r="B211" i="35"/>
  <c r="A212" i="35"/>
  <c r="B211" i="34"/>
  <c r="A212" i="34"/>
  <c r="F214" i="16"/>
  <c r="G214" i="16"/>
  <c r="C162" i="16"/>
  <c r="H161" i="16"/>
  <c r="F213" i="27"/>
  <c r="G213" i="27"/>
  <c r="C162" i="28"/>
  <c r="H161" i="28"/>
  <c r="A215" i="27"/>
  <c r="B214" i="27"/>
  <c r="D214" i="27" a="1"/>
  <c r="D214" i="27" s="1"/>
  <c r="E214" i="27" s="1"/>
  <c r="B215" i="16"/>
  <c r="A216" i="16"/>
  <c r="D215" i="16" a="1"/>
  <c r="D215" i="16" s="1"/>
  <c r="E215" i="16" s="1"/>
  <c r="C162" i="17"/>
  <c r="H161" i="17"/>
  <c r="C162" i="27"/>
  <c r="H161" i="27"/>
  <c r="I212" i="27"/>
  <c r="I213" i="16"/>
  <c r="D33" i="9"/>
  <c r="B212" i="36" l="1"/>
  <c r="A213" i="36"/>
  <c r="B212" i="34"/>
  <c r="A213" i="34"/>
  <c r="B212" i="35"/>
  <c r="A213" i="35"/>
  <c r="B212" i="33"/>
  <c r="A213" i="33"/>
  <c r="G214" i="27"/>
  <c r="F214" i="27"/>
  <c r="C163" i="28"/>
  <c r="H162" i="28"/>
  <c r="C163" i="16"/>
  <c r="H162" i="16"/>
  <c r="G215" i="16"/>
  <c r="F215" i="16"/>
  <c r="I213" i="27"/>
  <c r="I214" i="16"/>
  <c r="C163" i="17"/>
  <c r="H162" i="17"/>
  <c r="C163" i="27"/>
  <c r="H162" i="27"/>
  <c r="A217" i="16"/>
  <c r="B216" i="16"/>
  <c r="D216" i="16" a="1"/>
  <c r="D216" i="16" s="1"/>
  <c r="E216" i="16" s="1"/>
  <c r="A216" i="27"/>
  <c r="B215" i="27"/>
  <c r="D215" i="27" a="1"/>
  <c r="D215" i="27" s="1"/>
  <c r="E215" i="27" s="1"/>
  <c r="B213" i="33" l="1"/>
  <c r="A214" i="33"/>
  <c r="B213" i="35"/>
  <c r="A214" i="35"/>
  <c r="B213" i="36"/>
  <c r="A214" i="36"/>
  <c r="B213" i="34"/>
  <c r="A214" i="34"/>
  <c r="G215" i="27"/>
  <c r="F215" i="27"/>
  <c r="B217" i="16"/>
  <c r="A218" i="16"/>
  <c r="D217" i="16" a="1"/>
  <c r="D217" i="16" s="1"/>
  <c r="E217" i="16" s="1"/>
  <c r="C164" i="17"/>
  <c r="H163" i="17"/>
  <c r="I215" i="16"/>
  <c r="C164" i="28"/>
  <c r="H163" i="28"/>
  <c r="A217" i="27"/>
  <c r="B216" i="27"/>
  <c r="D216" i="27" a="1"/>
  <c r="D216" i="27" s="1"/>
  <c r="E216" i="27" s="1"/>
  <c r="G216" i="16"/>
  <c r="F216" i="16"/>
  <c r="C164" i="27"/>
  <c r="H163" i="27"/>
  <c r="C164" i="16"/>
  <c r="H163" i="16"/>
  <c r="I214" i="27"/>
  <c r="B214" i="34" l="1"/>
  <c r="A215" i="34"/>
  <c r="B214" i="36"/>
  <c r="A215" i="36"/>
  <c r="B214" i="33"/>
  <c r="A215" i="33"/>
  <c r="B214" i="35"/>
  <c r="A215" i="35"/>
  <c r="G217" i="16"/>
  <c r="F217" i="16"/>
  <c r="A218" i="27"/>
  <c r="B217" i="27"/>
  <c r="D217" i="27" a="1"/>
  <c r="D217" i="27" s="1"/>
  <c r="E217" i="27" s="1"/>
  <c r="A219" i="16"/>
  <c r="B218" i="16"/>
  <c r="D218" i="16" a="1"/>
  <c r="D218" i="16" s="1"/>
  <c r="E218" i="16" s="1"/>
  <c r="C165" i="16"/>
  <c r="H164" i="16"/>
  <c r="I216" i="16"/>
  <c r="G216" i="27"/>
  <c r="F216" i="27"/>
  <c r="C165" i="28"/>
  <c r="H164" i="28"/>
  <c r="C165" i="17"/>
  <c r="H164" i="17"/>
  <c r="C165" i="27"/>
  <c r="H164" i="27"/>
  <c r="I215" i="27"/>
  <c r="B215" i="36" l="1"/>
  <c r="A216" i="36"/>
  <c r="B215" i="34"/>
  <c r="A216" i="34"/>
  <c r="B215" i="35"/>
  <c r="A216" i="35"/>
  <c r="B215" i="33"/>
  <c r="A216" i="33"/>
  <c r="G218" i="16"/>
  <c r="F218" i="16"/>
  <c r="I216" i="27"/>
  <c r="C166" i="27"/>
  <c r="H165" i="27"/>
  <c r="C166" i="28"/>
  <c r="H165" i="28"/>
  <c r="A219" i="27"/>
  <c r="B218" i="27"/>
  <c r="D218" i="27" a="1"/>
  <c r="D218" i="27" s="1"/>
  <c r="E218" i="27" s="1"/>
  <c r="C166" i="17"/>
  <c r="H165" i="17"/>
  <c r="C166" i="16"/>
  <c r="H165" i="16"/>
  <c r="B219" i="16"/>
  <c r="A220" i="16"/>
  <c r="D219" i="16" a="1"/>
  <c r="D219" i="16" s="1"/>
  <c r="E219" i="16" s="1"/>
  <c r="F217" i="27"/>
  <c r="G217" i="27"/>
  <c r="I217" i="16"/>
  <c r="B216" i="33" l="1"/>
  <c r="A217" i="33"/>
  <c r="B216" i="35"/>
  <c r="A217" i="35"/>
  <c r="B216" i="36"/>
  <c r="A217" i="36"/>
  <c r="B216" i="34"/>
  <c r="A217" i="34"/>
  <c r="I217" i="27"/>
  <c r="C167" i="17"/>
  <c r="H166" i="17"/>
  <c r="F218" i="27"/>
  <c r="G218" i="27"/>
  <c r="C167" i="28"/>
  <c r="H166" i="28"/>
  <c r="G219" i="16"/>
  <c r="F219" i="16"/>
  <c r="C167" i="16"/>
  <c r="H166" i="16"/>
  <c r="B220" i="16"/>
  <c r="A221" i="16"/>
  <c r="D220" i="16" a="1"/>
  <c r="D220" i="16" s="1"/>
  <c r="E220" i="16" s="1"/>
  <c r="A220" i="27"/>
  <c r="B219" i="27"/>
  <c r="D219" i="27" a="1"/>
  <c r="D219" i="27" s="1"/>
  <c r="E219" i="27" s="1"/>
  <c r="C167" i="27"/>
  <c r="H166" i="27"/>
  <c r="I218" i="16"/>
  <c r="B217" i="35" l="1"/>
  <c r="A218" i="35"/>
  <c r="B217" i="34"/>
  <c r="A218" i="34"/>
  <c r="B217" i="36"/>
  <c r="A218" i="36"/>
  <c r="B217" i="33"/>
  <c r="A218" i="33"/>
  <c r="C168" i="27"/>
  <c r="H167" i="27"/>
  <c r="A221" i="27"/>
  <c r="B220" i="27"/>
  <c r="D220" i="27" a="1"/>
  <c r="D220" i="27" s="1"/>
  <c r="E220" i="27" s="1"/>
  <c r="G220" i="16"/>
  <c r="F220" i="16"/>
  <c r="C168" i="16"/>
  <c r="H167" i="16"/>
  <c r="C168" i="28"/>
  <c r="H167" i="28"/>
  <c r="C168" i="17"/>
  <c r="H167" i="17"/>
  <c r="F219" i="27"/>
  <c r="G219" i="27"/>
  <c r="A222" i="16"/>
  <c r="B221" i="16"/>
  <c r="D221" i="16" a="1"/>
  <c r="D221" i="16" s="1"/>
  <c r="E221" i="16" s="1"/>
  <c r="I218" i="27"/>
  <c r="I219" i="16"/>
  <c r="B218" i="34" l="1"/>
  <c r="A219" i="34"/>
  <c r="B218" i="35"/>
  <c r="A219" i="35"/>
  <c r="B218" i="36"/>
  <c r="A219" i="36"/>
  <c r="B218" i="33"/>
  <c r="A219" i="33"/>
  <c r="B222" i="16"/>
  <c r="A223" i="16"/>
  <c r="D222" i="16" a="1"/>
  <c r="D222" i="16" s="1"/>
  <c r="E222" i="16" s="1"/>
  <c r="C169" i="17"/>
  <c r="H168" i="17"/>
  <c r="C169" i="16"/>
  <c r="H168" i="16"/>
  <c r="I219" i="27"/>
  <c r="A222" i="27"/>
  <c r="B221" i="27"/>
  <c r="D221" i="27" a="1"/>
  <c r="D221" i="27" s="1"/>
  <c r="E221" i="27" s="1"/>
  <c r="G221" i="16"/>
  <c r="F221" i="16"/>
  <c r="C169" i="28"/>
  <c r="H168" i="28"/>
  <c r="I220" i="16"/>
  <c r="G220" i="27"/>
  <c r="F220" i="27"/>
  <c r="C169" i="27"/>
  <c r="H168" i="27"/>
  <c r="B219" i="36" l="1"/>
  <c r="A220" i="36"/>
  <c r="B219" i="33"/>
  <c r="A220" i="33"/>
  <c r="B219" i="35"/>
  <c r="A220" i="35"/>
  <c r="B219" i="34"/>
  <c r="A220" i="34"/>
  <c r="F221" i="27"/>
  <c r="G221" i="27"/>
  <c r="C170" i="17"/>
  <c r="H169" i="17"/>
  <c r="G222" i="16"/>
  <c r="F222" i="16"/>
  <c r="A223" i="27"/>
  <c r="B222" i="27"/>
  <c r="D222" i="27" a="1"/>
  <c r="D222" i="27" s="1"/>
  <c r="E222" i="27" s="1"/>
  <c r="C170" i="16"/>
  <c r="H169" i="16"/>
  <c r="A224" i="16"/>
  <c r="B223" i="16"/>
  <c r="D223" i="16" a="1"/>
  <c r="D223" i="16" s="1"/>
  <c r="E223" i="16" s="1"/>
  <c r="I220" i="27"/>
  <c r="C170" i="28"/>
  <c r="H169" i="28"/>
  <c r="C170" i="27"/>
  <c r="H169" i="27"/>
  <c r="K24" i="16"/>
  <c r="L29" i="17" s="1"/>
  <c r="I221" i="16"/>
  <c r="B220" i="34" l="1"/>
  <c r="A221" i="34"/>
  <c r="B220" i="33"/>
  <c r="A221" i="33"/>
  <c r="B220" i="35"/>
  <c r="A221" i="35"/>
  <c r="B220" i="36"/>
  <c r="A221" i="36"/>
  <c r="A225" i="16"/>
  <c r="B224" i="16"/>
  <c r="D224" i="16" a="1"/>
  <c r="D224" i="16" s="1"/>
  <c r="E224" i="16" s="1"/>
  <c r="C171" i="28"/>
  <c r="H170" i="28"/>
  <c r="C171" i="27"/>
  <c r="H170" i="27"/>
  <c r="A224" i="27"/>
  <c r="B223" i="27"/>
  <c r="D223" i="27" a="1"/>
  <c r="D223" i="27" s="1"/>
  <c r="E223" i="27" s="1"/>
  <c r="C171" i="17"/>
  <c r="H170" i="17"/>
  <c r="F223" i="16"/>
  <c r="G223" i="16"/>
  <c r="C171" i="16"/>
  <c r="H170" i="16"/>
  <c r="I221" i="27"/>
  <c r="K24" i="27"/>
  <c r="N29" i="17" s="1"/>
  <c r="E34" i="9" s="1"/>
  <c r="F34" i="9" s="1"/>
  <c r="F222" i="27"/>
  <c r="G222" i="27"/>
  <c r="I222" i="16"/>
  <c r="B221" i="35" l="1"/>
  <c r="A222" i="35"/>
  <c r="B221" i="36"/>
  <c r="A222" i="36"/>
  <c r="B221" i="33"/>
  <c r="A222" i="33"/>
  <c r="B221" i="34"/>
  <c r="A222" i="34"/>
  <c r="D34" i="9"/>
  <c r="F224" i="16"/>
  <c r="G224" i="16"/>
  <c r="C172" i="16"/>
  <c r="H171" i="16"/>
  <c r="C172" i="17"/>
  <c r="H171" i="17"/>
  <c r="I223" i="16"/>
  <c r="C172" i="27"/>
  <c r="H171" i="27"/>
  <c r="I222" i="27"/>
  <c r="A226" i="16"/>
  <c r="B225" i="16"/>
  <c r="D225" i="16" a="1"/>
  <c r="D225" i="16" s="1"/>
  <c r="E225" i="16" s="1"/>
  <c r="G223" i="27"/>
  <c r="F223" i="27"/>
  <c r="A225" i="27"/>
  <c r="B224" i="27"/>
  <c r="D224" i="27" a="1"/>
  <c r="D224" i="27" s="1"/>
  <c r="E224" i="27" s="1"/>
  <c r="C172" i="28"/>
  <c r="H171" i="28"/>
  <c r="B222" i="35" l="1"/>
  <c r="A223" i="35"/>
  <c r="B222" i="36"/>
  <c r="A223" i="36"/>
  <c r="B222" i="34"/>
  <c r="A223" i="34"/>
  <c r="B222" i="33"/>
  <c r="A223" i="33"/>
  <c r="I223" i="27"/>
  <c r="I224" i="16"/>
  <c r="C173" i="28"/>
  <c r="H172" i="28"/>
  <c r="A227" i="16"/>
  <c r="B226" i="16"/>
  <c r="D226" i="16" a="1"/>
  <c r="D226" i="16" s="1"/>
  <c r="E226" i="16" s="1"/>
  <c r="C173" i="27"/>
  <c r="H172" i="27"/>
  <c r="C173" i="17"/>
  <c r="H172" i="17"/>
  <c r="F224" i="27"/>
  <c r="G224" i="27"/>
  <c r="F225" i="16"/>
  <c r="G225" i="16"/>
  <c r="C173" i="16"/>
  <c r="H172" i="16"/>
  <c r="B225" i="27"/>
  <c r="A226" i="27"/>
  <c r="D225" i="27" a="1"/>
  <c r="D225" i="27" s="1"/>
  <c r="E225" i="27" s="1"/>
  <c r="B223" i="34" l="1"/>
  <c r="A224" i="34"/>
  <c r="B223" i="33"/>
  <c r="A224" i="33"/>
  <c r="B223" i="36"/>
  <c r="A224" i="36"/>
  <c r="B223" i="35"/>
  <c r="A224" i="35"/>
  <c r="G225" i="27"/>
  <c r="F225" i="27"/>
  <c r="C174" i="17"/>
  <c r="H173" i="17"/>
  <c r="I225" i="16"/>
  <c r="I224" i="27"/>
  <c r="A228" i="16"/>
  <c r="B227" i="16"/>
  <c r="D227" i="16" a="1"/>
  <c r="D227" i="16" s="1"/>
  <c r="E227" i="16" s="1"/>
  <c r="A227" i="27"/>
  <c r="B226" i="27"/>
  <c r="D226" i="27" a="1"/>
  <c r="D226" i="27" s="1"/>
  <c r="E226" i="27" s="1"/>
  <c r="C174" i="16"/>
  <c r="H173" i="16"/>
  <c r="C174" i="27"/>
  <c r="H173" i="27"/>
  <c r="F226" i="16"/>
  <c r="G226" i="16"/>
  <c r="C174" i="28"/>
  <c r="H173" i="28"/>
  <c r="B224" i="36" l="1"/>
  <c r="A225" i="36"/>
  <c r="B224" i="33"/>
  <c r="A225" i="33"/>
  <c r="B224" i="34"/>
  <c r="A225" i="34"/>
  <c r="B224" i="35"/>
  <c r="A225" i="35"/>
  <c r="C175" i="16"/>
  <c r="H174" i="16"/>
  <c r="B228" i="16"/>
  <c r="A229" i="16"/>
  <c r="D228" i="16" a="1"/>
  <c r="D228" i="16" s="1"/>
  <c r="E228" i="16" s="1"/>
  <c r="I226" i="16"/>
  <c r="A228" i="27"/>
  <c r="B227" i="27"/>
  <c r="D227" i="27" a="1"/>
  <c r="D227" i="27" s="1"/>
  <c r="E227" i="27" s="1"/>
  <c r="G227" i="16"/>
  <c r="F227" i="16"/>
  <c r="C175" i="17"/>
  <c r="H174" i="17"/>
  <c r="G226" i="27"/>
  <c r="F226" i="27"/>
  <c r="C175" i="28"/>
  <c r="H174" i="28"/>
  <c r="C175" i="27"/>
  <c r="H174" i="27"/>
  <c r="I225" i="27"/>
  <c r="B225" i="35" l="1"/>
  <c r="A226" i="35"/>
  <c r="B225" i="36"/>
  <c r="A226" i="36"/>
  <c r="B225" i="33"/>
  <c r="A226" i="33"/>
  <c r="B225" i="34"/>
  <c r="A226" i="34"/>
  <c r="C176" i="28"/>
  <c r="H175" i="28"/>
  <c r="C176" i="17"/>
  <c r="H175" i="17"/>
  <c r="A229" i="27"/>
  <c r="B228" i="27"/>
  <c r="D228" i="27" a="1"/>
  <c r="D228" i="27" s="1"/>
  <c r="E228" i="27" s="1"/>
  <c r="B229" i="16"/>
  <c r="A230" i="16"/>
  <c r="D229" i="16" a="1"/>
  <c r="D229" i="16" s="1"/>
  <c r="E229" i="16" s="1"/>
  <c r="C176" i="27"/>
  <c r="H175" i="27"/>
  <c r="I226" i="27"/>
  <c r="I227" i="16"/>
  <c r="F227" i="27"/>
  <c r="G227" i="27"/>
  <c r="F228" i="16"/>
  <c r="G228" i="16"/>
  <c r="C176" i="16"/>
  <c r="H175" i="16"/>
  <c r="B226" i="35" l="1"/>
  <c r="A227" i="35"/>
  <c r="B226" i="34"/>
  <c r="A227" i="34"/>
  <c r="B226" i="33"/>
  <c r="A227" i="33"/>
  <c r="B226" i="36"/>
  <c r="A227" i="36"/>
  <c r="C177" i="27"/>
  <c r="H176" i="27"/>
  <c r="I228" i="16"/>
  <c r="G228" i="27"/>
  <c r="F228" i="27"/>
  <c r="C177" i="17"/>
  <c r="H176" i="17"/>
  <c r="I227" i="27"/>
  <c r="G229" i="16"/>
  <c r="F229" i="16"/>
  <c r="C177" i="16"/>
  <c r="H176" i="16"/>
  <c r="A231" i="16"/>
  <c r="B230" i="16"/>
  <c r="D230" i="16" a="1"/>
  <c r="D230" i="16" s="1"/>
  <c r="E230" i="16" s="1"/>
  <c r="B229" i="27"/>
  <c r="A230" i="27"/>
  <c r="D229" i="27" a="1"/>
  <c r="D229" i="27" s="1"/>
  <c r="E229" i="27" s="1"/>
  <c r="C177" i="28"/>
  <c r="H176" i="28"/>
  <c r="B227" i="36" l="1"/>
  <c r="A228" i="36"/>
  <c r="B227" i="33"/>
  <c r="A228" i="33"/>
  <c r="B227" i="34"/>
  <c r="A228" i="34"/>
  <c r="B227" i="35"/>
  <c r="A228" i="35"/>
  <c r="G229" i="27"/>
  <c r="F229" i="27"/>
  <c r="C178" i="28"/>
  <c r="H177" i="28"/>
  <c r="A231" i="27"/>
  <c r="B230" i="27"/>
  <c r="D230" i="27" a="1"/>
  <c r="D230" i="27" s="1"/>
  <c r="E230" i="27" s="1"/>
  <c r="A232" i="16"/>
  <c r="B231" i="16"/>
  <c r="D231" i="16" a="1"/>
  <c r="D231" i="16" s="1"/>
  <c r="E231" i="16" s="1"/>
  <c r="I229" i="16"/>
  <c r="C178" i="17"/>
  <c r="H177" i="17"/>
  <c r="F230" i="16"/>
  <c r="G230" i="16"/>
  <c r="C178" i="16"/>
  <c r="H177" i="16"/>
  <c r="I228" i="27"/>
  <c r="C178" i="27"/>
  <c r="H177" i="27"/>
  <c r="B228" i="36" l="1"/>
  <c r="A229" i="36"/>
  <c r="B228" i="34"/>
  <c r="A229" i="34"/>
  <c r="B228" i="33"/>
  <c r="A229" i="33"/>
  <c r="B228" i="35"/>
  <c r="A229" i="35"/>
  <c r="C179" i="27"/>
  <c r="H178" i="27"/>
  <c r="C179" i="16"/>
  <c r="H178" i="16"/>
  <c r="C179" i="17"/>
  <c r="H178" i="17"/>
  <c r="I230" i="16"/>
  <c r="A233" i="16"/>
  <c r="B232" i="16"/>
  <c r="D232" i="16" a="1"/>
  <c r="D232" i="16" s="1"/>
  <c r="E232" i="16" s="1"/>
  <c r="F230" i="27"/>
  <c r="G230" i="27"/>
  <c r="C179" i="28"/>
  <c r="H178" i="28"/>
  <c r="F231" i="16"/>
  <c r="G231" i="16"/>
  <c r="A232" i="27"/>
  <c r="B231" i="27"/>
  <c r="D231" i="27" a="1"/>
  <c r="D231" i="27" s="1"/>
  <c r="E231" i="27" s="1"/>
  <c r="I229" i="27"/>
  <c r="B229" i="33" l="1"/>
  <c r="A230" i="33"/>
  <c r="B229" i="35"/>
  <c r="A230" i="35"/>
  <c r="B229" i="34"/>
  <c r="A230" i="34"/>
  <c r="B229" i="36"/>
  <c r="A230" i="36"/>
  <c r="F231" i="27"/>
  <c r="G231" i="27"/>
  <c r="F232" i="16"/>
  <c r="G232" i="16"/>
  <c r="C180" i="16"/>
  <c r="H179" i="16"/>
  <c r="A233" i="27"/>
  <c r="B232" i="27"/>
  <c r="D232" i="27" a="1"/>
  <c r="D232" i="27" s="1"/>
  <c r="E232" i="27" s="1"/>
  <c r="C180" i="28"/>
  <c r="H179" i="28"/>
  <c r="K25" i="16"/>
  <c r="L30" i="17" s="1"/>
  <c r="I231" i="16"/>
  <c r="I230" i="27"/>
  <c r="A234" i="16"/>
  <c r="B233" i="16"/>
  <c r="D233" i="16" a="1"/>
  <c r="D233" i="16" s="1"/>
  <c r="E233" i="16" s="1"/>
  <c r="C180" i="17"/>
  <c r="H179" i="17"/>
  <c r="C180" i="27"/>
  <c r="H179" i="27"/>
  <c r="B230" i="34" l="1"/>
  <c r="A231" i="34"/>
  <c r="B230" i="33"/>
  <c r="A231" i="33"/>
  <c r="B230" i="35"/>
  <c r="A231" i="35"/>
  <c r="B230" i="36"/>
  <c r="A231" i="36"/>
  <c r="I232" i="16"/>
  <c r="F233" i="16"/>
  <c r="G233" i="16"/>
  <c r="A234" i="27"/>
  <c r="B233" i="27"/>
  <c r="D233" i="27" a="1"/>
  <c r="D233" i="27" s="1"/>
  <c r="E233" i="27" s="1"/>
  <c r="A235" i="16"/>
  <c r="B234" i="16"/>
  <c r="D234" i="16" a="1"/>
  <c r="D234" i="16" s="1"/>
  <c r="E234" i="16" s="1"/>
  <c r="C181" i="17"/>
  <c r="H180" i="17"/>
  <c r="C181" i="27"/>
  <c r="H180" i="27"/>
  <c r="C181" i="28"/>
  <c r="H180" i="28"/>
  <c r="K25" i="27"/>
  <c r="N30" i="17" s="1"/>
  <c r="E35" i="9" s="1"/>
  <c r="F35" i="9" s="1"/>
  <c r="I231" i="27"/>
  <c r="G232" i="27"/>
  <c r="F232" i="27"/>
  <c r="C181" i="16"/>
  <c r="H180" i="16"/>
  <c r="B231" i="36" l="1"/>
  <c r="A232" i="36"/>
  <c r="B231" i="35"/>
  <c r="A232" i="35"/>
  <c r="B231" i="34"/>
  <c r="A232" i="34"/>
  <c r="B231" i="33"/>
  <c r="A232" i="33"/>
  <c r="D35" i="9"/>
  <c r="G233" i="27"/>
  <c r="F233" i="27"/>
  <c r="G234" i="16"/>
  <c r="F234" i="16"/>
  <c r="C182" i="17"/>
  <c r="H181" i="17"/>
  <c r="C182" i="27"/>
  <c r="H181" i="27"/>
  <c r="A235" i="27"/>
  <c r="B234" i="27"/>
  <c r="D234" i="27" a="1"/>
  <c r="D234" i="27" s="1"/>
  <c r="E234" i="27" s="1"/>
  <c r="C182" i="28"/>
  <c r="H181" i="28"/>
  <c r="C182" i="16"/>
  <c r="H181" i="16"/>
  <c r="I232" i="27"/>
  <c r="B235" i="16"/>
  <c r="A236" i="16"/>
  <c r="D235" i="16" a="1"/>
  <c r="D235" i="16" s="1"/>
  <c r="E235" i="16" s="1"/>
  <c r="I233" i="16"/>
  <c r="B232" i="34" l="1"/>
  <c r="A233" i="34"/>
  <c r="B232" i="33"/>
  <c r="A233" i="33"/>
  <c r="B232" i="35"/>
  <c r="A233" i="35"/>
  <c r="B232" i="36"/>
  <c r="A233" i="36"/>
  <c r="C183" i="16"/>
  <c r="H182" i="16"/>
  <c r="A236" i="27"/>
  <c r="B235" i="27"/>
  <c r="D235" i="27" a="1"/>
  <c r="D235" i="27" s="1"/>
  <c r="E235" i="27" s="1"/>
  <c r="C183" i="17"/>
  <c r="H182" i="17"/>
  <c r="I233" i="27"/>
  <c r="F235" i="16"/>
  <c r="G235" i="16"/>
  <c r="C183" i="28"/>
  <c r="H182" i="28"/>
  <c r="F234" i="27"/>
  <c r="G234" i="27"/>
  <c r="C183" i="27"/>
  <c r="H182" i="27"/>
  <c r="I234" i="16"/>
  <c r="A237" i="16"/>
  <c r="B236" i="16"/>
  <c r="D236" i="16" a="1"/>
  <c r="D236" i="16" s="1"/>
  <c r="E236" i="16" s="1"/>
  <c r="B233" i="33" l="1"/>
  <c r="A234" i="33"/>
  <c r="B233" i="34"/>
  <c r="A234" i="34"/>
  <c r="B233" i="36"/>
  <c r="A234" i="36"/>
  <c r="B233" i="35"/>
  <c r="A234" i="35"/>
  <c r="F236" i="16"/>
  <c r="G236" i="16"/>
  <c r="C184" i="27"/>
  <c r="H183" i="27"/>
  <c r="C184" i="28"/>
  <c r="H183" i="28"/>
  <c r="I235" i="16"/>
  <c r="A237" i="27"/>
  <c r="B236" i="27"/>
  <c r="D236" i="27" a="1"/>
  <c r="D236" i="27" s="1"/>
  <c r="E236" i="27" s="1"/>
  <c r="I234" i="27"/>
  <c r="A238" i="16"/>
  <c r="B237" i="16"/>
  <c r="D237" i="16" a="1"/>
  <c r="D237" i="16" s="1"/>
  <c r="E237" i="16" s="1"/>
  <c r="C184" i="17"/>
  <c r="H183" i="17"/>
  <c r="F235" i="27"/>
  <c r="G235" i="27"/>
  <c r="C184" i="16"/>
  <c r="H183" i="16"/>
  <c r="B234" i="35" l="1"/>
  <c r="A235" i="35"/>
  <c r="B234" i="34"/>
  <c r="A235" i="34"/>
  <c r="B234" i="36"/>
  <c r="A235" i="36"/>
  <c r="B234" i="33"/>
  <c r="A235" i="33"/>
  <c r="G237" i="16"/>
  <c r="F237" i="16"/>
  <c r="F236" i="27"/>
  <c r="G236" i="27"/>
  <c r="C185" i="27"/>
  <c r="H184" i="27"/>
  <c r="I235" i="27"/>
  <c r="I236" i="16"/>
  <c r="B238" i="16"/>
  <c r="A239" i="16"/>
  <c r="D238" i="16" a="1"/>
  <c r="D238" i="16" s="1"/>
  <c r="E238" i="16" s="1"/>
  <c r="C185" i="16"/>
  <c r="H184" i="16"/>
  <c r="C185" i="17"/>
  <c r="H184" i="17"/>
  <c r="A238" i="27"/>
  <c r="B237" i="27"/>
  <c r="D237" i="27" a="1"/>
  <c r="D237" i="27" s="1"/>
  <c r="E237" i="27" s="1"/>
  <c r="C185" i="28"/>
  <c r="H184" i="28"/>
  <c r="B235" i="34" l="1"/>
  <c r="A236" i="34"/>
  <c r="B235" i="33"/>
  <c r="A236" i="33"/>
  <c r="B235" i="36"/>
  <c r="A236" i="36"/>
  <c r="B235" i="35"/>
  <c r="A236" i="35"/>
  <c r="F237" i="27"/>
  <c r="G237" i="27"/>
  <c r="C186" i="17"/>
  <c r="H185" i="17"/>
  <c r="B239" i="16"/>
  <c r="A240" i="16"/>
  <c r="D239" i="16" a="1"/>
  <c r="D239" i="16" s="1"/>
  <c r="E239" i="16" s="1"/>
  <c r="I236" i="27"/>
  <c r="C186" i="28"/>
  <c r="H185" i="28"/>
  <c r="A239" i="27"/>
  <c r="B238" i="27"/>
  <c r="D238" i="27" a="1"/>
  <c r="D238" i="27" s="1"/>
  <c r="E238" i="27" s="1"/>
  <c r="C186" i="16"/>
  <c r="H185" i="16"/>
  <c r="F238" i="16"/>
  <c r="G238" i="16"/>
  <c r="C186" i="27"/>
  <c r="H185" i="27"/>
  <c r="I237" i="16"/>
  <c r="B236" i="33" l="1"/>
  <c r="A237" i="33"/>
  <c r="B236" i="34"/>
  <c r="A237" i="34"/>
  <c r="B236" i="35"/>
  <c r="A237" i="35"/>
  <c r="B236" i="36"/>
  <c r="A237" i="36"/>
  <c r="I238" i="16"/>
  <c r="A240" i="27"/>
  <c r="B239" i="27"/>
  <c r="D239" i="27" a="1"/>
  <c r="D239" i="27" s="1"/>
  <c r="E239" i="27" s="1"/>
  <c r="G239" i="16"/>
  <c r="F239" i="16"/>
  <c r="C187" i="17"/>
  <c r="H186" i="17"/>
  <c r="G238" i="27"/>
  <c r="F238" i="27"/>
  <c r="C187" i="28"/>
  <c r="H186" i="28"/>
  <c r="A241" i="16"/>
  <c r="B240" i="16"/>
  <c r="D240" i="16" a="1"/>
  <c r="D240" i="16" s="1"/>
  <c r="E240" i="16" s="1"/>
  <c r="I237" i="27"/>
  <c r="C187" i="27"/>
  <c r="H186" i="27"/>
  <c r="C187" i="16"/>
  <c r="H186" i="16"/>
  <c r="B237" i="36" l="1"/>
  <c r="A238" i="36"/>
  <c r="B237" i="33"/>
  <c r="A238" i="33"/>
  <c r="B237" i="35"/>
  <c r="A238" i="35"/>
  <c r="B237" i="34"/>
  <c r="A238" i="34"/>
  <c r="G240" i="16"/>
  <c r="F240" i="16"/>
  <c r="C188" i="28"/>
  <c r="H187" i="28"/>
  <c r="C188" i="17"/>
  <c r="H187" i="17"/>
  <c r="C188" i="16"/>
  <c r="H187" i="16"/>
  <c r="C188" i="27"/>
  <c r="H187" i="27"/>
  <c r="A241" i="27"/>
  <c r="B240" i="27"/>
  <c r="D240" i="27" a="1"/>
  <c r="D240" i="27" s="1"/>
  <c r="E240" i="27" s="1"/>
  <c r="A242" i="16"/>
  <c r="B241" i="16"/>
  <c r="D241" i="16" a="1"/>
  <c r="D241" i="16" s="1"/>
  <c r="E241" i="16" s="1"/>
  <c r="I238" i="27"/>
  <c r="I239" i="16"/>
  <c r="F239" i="27"/>
  <c r="G239" i="27"/>
  <c r="B238" i="36" l="1"/>
  <c r="A239" i="36"/>
  <c r="B238" i="33"/>
  <c r="A239" i="33"/>
  <c r="B238" i="35"/>
  <c r="A239" i="35"/>
  <c r="B238" i="34"/>
  <c r="A239" i="34"/>
  <c r="G241" i="16"/>
  <c r="F241" i="16"/>
  <c r="B241" i="27"/>
  <c r="A242" i="27"/>
  <c r="D241" i="27" a="1"/>
  <c r="D241" i="27" s="1"/>
  <c r="E241" i="27" s="1"/>
  <c r="C189" i="16"/>
  <c r="H188" i="16"/>
  <c r="C189" i="28"/>
  <c r="H188" i="28"/>
  <c r="I239" i="27"/>
  <c r="A243" i="16"/>
  <c r="B242" i="16"/>
  <c r="D242" i="16" a="1"/>
  <c r="D242" i="16" s="1"/>
  <c r="E242" i="16" s="1"/>
  <c r="G240" i="27"/>
  <c r="F240" i="27"/>
  <c r="C189" i="27"/>
  <c r="H188" i="27"/>
  <c r="C189" i="17"/>
  <c r="H188" i="17"/>
  <c r="I240" i="16"/>
  <c r="B239" i="35" l="1"/>
  <c r="A240" i="35"/>
  <c r="B239" i="36"/>
  <c r="A240" i="36"/>
  <c r="B239" i="34"/>
  <c r="A240" i="34"/>
  <c r="B239" i="33"/>
  <c r="A240" i="33"/>
  <c r="C190" i="27"/>
  <c r="H189" i="27"/>
  <c r="B243" i="16"/>
  <c r="A244" i="16"/>
  <c r="D243" i="16" a="1"/>
  <c r="D243" i="16" s="1"/>
  <c r="E243" i="16" s="1"/>
  <c r="C190" i="28"/>
  <c r="H189" i="28"/>
  <c r="A243" i="27"/>
  <c r="B242" i="27"/>
  <c r="D242" i="27" a="1"/>
  <c r="D242" i="27" s="1"/>
  <c r="E242" i="27" s="1"/>
  <c r="C190" i="17"/>
  <c r="H189" i="17"/>
  <c r="I240" i="27"/>
  <c r="G242" i="16"/>
  <c r="F242" i="16"/>
  <c r="C190" i="16"/>
  <c r="H189" i="16"/>
  <c r="F241" i="27"/>
  <c r="G241" i="27"/>
  <c r="I241" i="16"/>
  <c r="K26" i="16"/>
  <c r="L31" i="17" s="1"/>
  <c r="B240" i="36" l="1"/>
  <c r="A241" i="36"/>
  <c r="B240" i="34"/>
  <c r="A241" i="34"/>
  <c r="B240" i="35"/>
  <c r="A241" i="35"/>
  <c r="B240" i="33"/>
  <c r="A241" i="33"/>
  <c r="C191" i="16"/>
  <c r="H190" i="16"/>
  <c r="K26" i="27"/>
  <c r="N31" i="17" s="1"/>
  <c r="E36" i="9" s="1"/>
  <c r="F36" i="9" s="1"/>
  <c r="I241" i="27"/>
  <c r="A244" i="27"/>
  <c r="B243" i="27"/>
  <c r="D243" i="27" a="1"/>
  <c r="D243" i="27" s="1"/>
  <c r="E243" i="27" s="1"/>
  <c r="A245" i="16"/>
  <c r="B244" i="16"/>
  <c r="D244" i="16" a="1"/>
  <c r="D244" i="16" s="1"/>
  <c r="E244" i="16" s="1"/>
  <c r="I242" i="16"/>
  <c r="C191" i="17"/>
  <c r="H190" i="17"/>
  <c r="F242" i="27"/>
  <c r="G242" i="27"/>
  <c r="C191" i="28"/>
  <c r="H190" i="28"/>
  <c r="G243" i="16"/>
  <c r="F243" i="16"/>
  <c r="C191" i="27"/>
  <c r="H190" i="27"/>
  <c r="B241" i="34" l="1"/>
  <c r="A242" i="34"/>
  <c r="B241" i="33"/>
  <c r="A242" i="33"/>
  <c r="B241" i="35"/>
  <c r="A242" i="35"/>
  <c r="B241" i="36"/>
  <c r="A242" i="36"/>
  <c r="F244" i="16"/>
  <c r="G244" i="16"/>
  <c r="I243" i="16"/>
  <c r="A245" i="27"/>
  <c r="B244" i="27"/>
  <c r="D244" i="27" a="1"/>
  <c r="D244" i="27" s="1"/>
  <c r="E244" i="27" s="1"/>
  <c r="C192" i="27"/>
  <c r="H191" i="27"/>
  <c r="C192" i="28"/>
  <c r="H191" i="28"/>
  <c r="C192" i="17"/>
  <c r="H191" i="17"/>
  <c r="I242" i="27"/>
  <c r="B245" i="16"/>
  <c r="A246" i="16"/>
  <c r="D245" i="16" a="1"/>
  <c r="D245" i="16" s="1"/>
  <c r="E245" i="16" s="1"/>
  <c r="C192" i="16"/>
  <c r="H191" i="16"/>
  <c r="G243" i="27"/>
  <c r="F243" i="27"/>
  <c r="D36" i="9"/>
  <c r="B242" i="36" l="1"/>
  <c r="A243" i="36"/>
  <c r="B242" i="33"/>
  <c r="A243" i="33"/>
  <c r="B242" i="34"/>
  <c r="A243" i="34"/>
  <c r="B242" i="35"/>
  <c r="A243" i="35"/>
  <c r="G245" i="16"/>
  <c r="F245" i="16"/>
  <c r="C193" i="17"/>
  <c r="H192" i="17"/>
  <c r="C193" i="27"/>
  <c r="H192" i="27"/>
  <c r="F244" i="27"/>
  <c r="G244" i="27"/>
  <c r="C193" i="16"/>
  <c r="H192" i="16"/>
  <c r="C193" i="28"/>
  <c r="H192" i="28"/>
  <c r="I244" i="16"/>
  <c r="I243" i="27"/>
  <c r="A247" i="16"/>
  <c r="B246" i="16"/>
  <c r="D246" i="16" a="1"/>
  <c r="D246" i="16" s="1"/>
  <c r="E246" i="16" s="1"/>
  <c r="A246" i="27"/>
  <c r="B245" i="27"/>
  <c r="D245" i="27" a="1"/>
  <c r="D245" i="27" s="1"/>
  <c r="E245" i="27" s="1"/>
  <c r="B243" i="33" l="1"/>
  <c r="A244" i="33"/>
  <c r="B243" i="36"/>
  <c r="A244" i="36"/>
  <c r="B243" i="35"/>
  <c r="A244" i="35"/>
  <c r="B243" i="34"/>
  <c r="A244" i="34"/>
  <c r="I244" i="27"/>
  <c r="C194" i="28"/>
  <c r="H193" i="28"/>
  <c r="C194" i="17"/>
  <c r="H193" i="17"/>
  <c r="F245" i="27"/>
  <c r="G245" i="27"/>
  <c r="A248" i="16"/>
  <c r="B247" i="16"/>
  <c r="D247" i="16" a="1"/>
  <c r="D247" i="16" s="1"/>
  <c r="E247" i="16" s="1"/>
  <c r="A247" i="27"/>
  <c r="B246" i="27"/>
  <c r="D246" i="27" a="1"/>
  <c r="D246" i="27" s="1"/>
  <c r="E246" i="27" s="1"/>
  <c r="F246" i="16"/>
  <c r="G246" i="16"/>
  <c r="C194" i="16"/>
  <c r="H193" i="16"/>
  <c r="C194" i="27"/>
  <c r="H193" i="27"/>
  <c r="I245" i="16"/>
  <c r="B244" i="35" l="1"/>
  <c r="A245" i="35"/>
  <c r="B244" i="33"/>
  <c r="A245" i="33"/>
  <c r="B244" i="34"/>
  <c r="A245" i="34"/>
  <c r="B244" i="36"/>
  <c r="A245" i="36"/>
  <c r="F246" i="27"/>
  <c r="G246" i="27"/>
  <c r="C195" i="16"/>
  <c r="H194" i="16"/>
  <c r="I246" i="16"/>
  <c r="B247" i="27"/>
  <c r="A248" i="27"/>
  <c r="D247" i="27" a="1"/>
  <c r="D247" i="27" s="1"/>
  <c r="E247" i="27" s="1"/>
  <c r="I245" i="27"/>
  <c r="F247" i="16"/>
  <c r="G247" i="16"/>
  <c r="C195" i="28"/>
  <c r="H194" i="28"/>
  <c r="C195" i="27"/>
  <c r="H194" i="27"/>
  <c r="A249" i="16"/>
  <c r="B248" i="16"/>
  <c r="D248" i="16" a="1"/>
  <c r="D248" i="16" s="1"/>
  <c r="E248" i="16" s="1"/>
  <c r="C195" i="17"/>
  <c r="H194" i="17"/>
  <c r="B245" i="34" l="1"/>
  <c r="A246" i="34"/>
  <c r="B245" i="36"/>
  <c r="A246" i="36"/>
  <c r="B245" i="35"/>
  <c r="A246" i="35"/>
  <c r="B245" i="33"/>
  <c r="A246" i="33"/>
  <c r="G248" i="16"/>
  <c r="F248" i="16"/>
  <c r="C196" i="27"/>
  <c r="H195" i="27"/>
  <c r="A249" i="27"/>
  <c r="B248" i="27"/>
  <c r="D248" i="27" a="1"/>
  <c r="D248" i="27" s="1"/>
  <c r="E248" i="27" s="1"/>
  <c r="C196" i="16"/>
  <c r="H195" i="16"/>
  <c r="C196" i="17"/>
  <c r="H195" i="17"/>
  <c r="I247" i="16"/>
  <c r="A250" i="16"/>
  <c r="B249" i="16"/>
  <c r="D249" i="16" a="1"/>
  <c r="D249" i="16" s="1"/>
  <c r="E249" i="16" s="1"/>
  <c r="C196" i="28"/>
  <c r="H195" i="28"/>
  <c r="I246" i="27"/>
  <c r="F247" i="27"/>
  <c r="G247" i="27"/>
  <c r="B246" i="36" l="1"/>
  <c r="A247" i="36"/>
  <c r="B246" i="34"/>
  <c r="A247" i="34"/>
  <c r="B246" i="33"/>
  <c r="A247" i="33"/>
  <c r="B246" i="35"/>
  <c r="A247" i="35"/>
  <c r="G249" i="16"/>
  <c r="F249" i="16"/>
  <c r="C197" i="16"/>
  <c r="H196" i="16"/>
  <c r="F248" i="27"/>
  <c r="G248" i="27"/>
  <c r="C197" i="27"/>
  <c r="H196" i="27"/>
  <c r="I247" i="27"/>
  <c r="A251" i="16"/>
  <c r="B250" i="16"/>
  <c r="D250" i="16" a="1"/>
  <c r="D250" i="16" s="1"/>
  <c r="E250" i="16" s="1"/>
  <c r="C197" i="17"/>
  <c r="H196" i="17"/>
  <c r="C197" i="28"/>
  <c r="H196" i="28"/>
  <c r="B249" i="27"/>
  <c r="A250" i="27"/>
  <c r="D249" i="27" a="1"/>
  <c r="D249" i="27" s="1"/>
  <c r="E249" i="27" s="1"/>
  <c r="I248" i="16"/>
  <c r="B247" i="33" l="1"/>
  <c r="A248" i="33"/>
  <c r="B247" i="35"/>
  <c r="A248" i="35"/>
  <c r="B247" i="34"/>
  <c r="A248" i="34"/>
  <c r="B247" i="36"/>
  <c r="A248" i="36"/>
  <c r="G249" i="27"/>
  <c r="F249" i="27"/>
  <c r="C198" i="28"/>
  <c r="H197" i="28"/>
  <c r="A251" i="27"/>
  <c r="B250" i="27"/>
  <c r="D250" i="27" a="1"/>
  <c r="D250" i="27" s="1"/>
  <c r="E250" i="27" s="1"/>
  <c r="A252" i="16"/>
  <c r="B251" i="16"/>
  <c r="D251" i="16" a="1"/>
  <c r="D251" i="16" s="1"/>
  <c r="E251" i="16" s="1"/>
  <c r="C198" i="27"/>
  <c r="H197" i="27"/>
  <c r="C198" i="16"/>
  <c r="H197" i="16"/>
  <c r="C198" i="17"/>
  <c r="H197" i="17"/>
  <c r="I248" i="27"/>
  <c r="G250" i="16"/>
  <c r="F250" i="16"/>
  <c r="I249" i="16"/>
  <c r="B248" i="36" l="1"/>
  <c r="A249" i="36"/>
  <c r="B248" i="35"/>
  <c r="A249" i="35"/>
  <c r="B248" i="33"/>
  <c r="A249" i="33"/>
  <c r="B248" i="34"/>
  <c r="A249" i="34"/>
  <c r="C199" i="17"/>
  <c r="H198" i="17"/>
  <c r="A253" i="16"/>
  <c r="B252" i="16"/>
  <c r="D252" i="16" a="1"/>
  <c r="D252" i="16" s="1"/>
  <c r="E252" i="16" s="1"/>
  <c r="F250" i="27"/>
  <c r="G250" i="27"/>
  <c r="C199" i="28"/>
  <c r="H198" i="28"/>
  <c r="G251" i="16"/>
  <c r="F251" i="16"/>
  <c r="I250" i="16"/>
  <c r="C199" i="27"/>
  <c r="H198" i="27"/>
  <c r="C199" i="16"/>
  <c r="H198" i="16"/>
  <c r="B251" i="27"/>
  <c r="A252" i="27"/>
  <c r="D251" i="27" a="1"/>
  <c r="D251" i="27" s="1"/>
  <c r="E251" i="27" s="1"/>
  <c r="I249" i="27"/>
  <c r="B249" i="35" l="1"/>
  <c r="A250" i="35"/>
  <c r="B249" i="33"/>
  <c r="A250" i="33"/>
  <c r="B249" i="36"/>
  <c r="A250" i="36"/>
  <c r="B249" i="34"/>
  <c r="A250" i="34"/>
  <c r="G251" i="27"/>
  <c r="F251" i="27"/>
  <c r="C200" i="16"/>
  <c r="H199" i="16"/>
  <c r="C200" i="28"/>
  <c r="H199" i="28"/>
  <c r="A253" i="27"/>
  <c r="B252" i="27"/>
  <c r="D252" i="27" a="1"/>
  <c r="D252" i="27" s="1"/>
  <c r="E252" i="27" s="1"/>
  <c r="I250" i="27"/>
  <c r="A254" i="16"/>
  <c r="B253" i="16"/>
  <c r="D253" i="16" a="1"/>
  <c r="D253" i="16" s="1"/>
  <c r="E253" i="16" s="1"/>
  <c r="C200" i="27"/>
  <c r="H199" i="27"/>
  <c r="K27" i="16"/>
  <c r="L32" i="17" s="1"/>
  <c r="I251" i="16"/>
  <c r="F252" i="16"/>
  <c r="G252" i="16"/>
  <c r="C200" i="17"/>
  <c r="H199" i="17"/>
  <c r="B250" i="34" l="1"/>
  <c r="A251" i="34"/>
  <c r="B250" i="33"/>
  <c r="A251" i="33"/>
  <c r="B250" i="35"/>
  <c r="A251" i="35"/>
  <c r="B250" i="36"/>
  <c r="A251" i="36"/>
  <c r="C201" i="17"/>
  <c r="H200" i="17"/>
  <c r="A255" i="16"/>
  <c r="B254" i="16"/>
  <c r="D254" i="16" a="1"/>
  <c r="D254" i="16" s="1"/>
  <c r="E254" i="16" s="1"/>
  <c r="I252" i="16"/>
  <c r="C201" i="27"/>
  <c r="H200" i="27"/>
  <c r="B253" i="27"/>
  <c r="A254" i="27"/>
  <c r="D253" i="27" a="1"/>
  <c r="D253" i="27" s="1"/>
  <c r="E253" i="27" s="1"/>
  <c r="C201" i="16"/>
  <c r="H200" i="16"/>
  <c r="G253" i="16"/>
  <c r="F253" i="16"/>
  <c r="F252" i="27"/>
  <c r="G252" i="27"/>
  <c r="C201" i="28"/>
  <c r="H200" i="28"/>
  <c r="I251" i="27"/>
  <c r="K27" i="27"/>
  <c r="N32" i="17" s="1"/>
  <c r="E37" i="9" s="1"/>
  <c r="F37" i="9" s="1"/>
  <c r="B251" i="33" l="1"/>
  <c r="A252" i="33"/>
  <c r="B251" i="35"/>
  <c r="A252" i="35"/>
  <c r="B251" i="34"/>
  <c r="A252" i="34"/>
  <c r="B251" i="36"/>
  <c r="A252" i="36"/>
  <c r="D37" i="9"/>
  <c r="G253" i="27"/>
  <c r="F253" i="27"/>
  <c r="C202" i="27"/>
  <c r="H201" i="27"/>
  <c r="C202" i="28"/>
  <c r="H201" i="28"/>
  <c r="I253" i="16"/>
  <c r="A255" i="27"/>
  <c r="B254" i="27"/>
  <c r="D254" i="27" a="1"/>
  <c r="D254" i="27" s="1"/>
  <c r="E254" i="27" s="1"/>
  <c r="B255" i="16"/>
  <c r="A256" i="16"/>
  <c r="D255" i="16" a="1"/>
  <c r="D255" i="16" s="1"/>
  <c r="E255" i="16" s="1"/>
  <c r="I252" i="27"/>
  <c r="C202" i="16"/>
  <c r="H201" i="16"/>
  <c r="F254" i="16"/>
  <c r="G254" i="16"/>
  <c r="C202" i="17"/>
  <c r="H201" i="17"/>
  <c r="B252" i="33" l="1"/>
  <c r="A253" i="33"/>
  <c r="B252" i="35"/>
  <c r="A253" i="35"/>
  <c r="B252" i="36"/>
  <c r="A253" i="36"/>
  <c r="B252" i="34"/>
  <c r="A253" i="34"/>
  <c r="F255" i="16"/>
  <c r="G255" i="16"/>
  <c r="C203" i="17"/>
  <c r="H202" i="17"/>
  <c r="C203" i="16"/>
  <c r="H202" i="16"/>
  <c r="A257" i="16"/>
  <c r="B256" i="16"/>
  <c r="D256" i="16" a="1"/>
  <c r="D256" i="16" s="1"/>
  <c r="E256" i="16" s="1"/>
  <c r="A256" i="27"/>
  <c r="B255" i="27"/>
  <c r="D255" i="27" a="1"/>
  <c r="D255" i="27" s="1"/>
  <c r="E255" i="27" s="1"/>
  <c r="C203" i="28"/>
  <c r="H202" i="28"/>
  <c r="I253" i="27"/>
  <c r="I254" i="16"/>
  <c r="F254" i="27"/>
  <c r="G254" i="27"/>
  <c r="C203" i="27"/>
  <c r="H202" i="27"/>
  <c r="B253" i="36" l="1"/>
  <c r="A254" i="36"/>
  <c r="B253" i="35"/>
  <c r="A254" i="35"/>
  <c r="B253" i="34"/>
  <c r="A254" i="34"/>
  <c r="B253" i="33"/>
  <c r="A254" i="33"/>
  <c r="G255" i="27"/>
  <c r="F255" i="27"/>
  <c r="C204" i="27"/>
  <c r="H203" i="27"/>
  <c r="B257" i="16"/>
  <c r="A258" i="16"/>
  <c r="D257" i="16" a="1"/>
  <c r="D257" i="16" s="1"/>
  <c r="E257" i="16" s="1"/>
  <c r="C204" i="17"/>
  <c r="H203" i="17"/>
  <c r="C204" i="28"/>
  <c r="H203" i="28"/>
  <c r="I254" i="27"/>
  <c r="A257" i="27"/>
  <c r="B256" i="27"/>
  <c r="D256" i="27" a="1"/>
  <c r="D256" i="27" s="1"/>
  <c r="E256" i="27" s="1"/>
  <c r="I255" i="16"/>
  <c r="G256" i="16"/>
  <c r="F256" i="16"/>
  <c r="C204" i="16"/>
  <c r="H203" i="16"/>
  <c r="B254" i="34" l="1"/>
  <c r="A255" i="34"/>
  <c r="B254" i="35"/>
  <c r="A255" i="35"/>
  <c r="B254" i="36"/>
  <c r="A255" i="36"/>
  <c r="B254" i="33"/>
  <c r="A255" i="33"/>
  <c r="G256" i="27"/>
  <c r="F256" i="27"/>
  <c r="C205" i="17"/>
  <c r="H204" i="17"/>
  <c r="G257" i="16"/>
  <c r="F257" i="16"/>
  <c r="C205" i="27"/>
  <c r="H204" i="27"/>
  <c r="A258" i="27"/>
  <c r="B257" i="27"/>
  <c r="D257" i="27" a="1"/>
  <c r="D257" i="27" s="1"/>
  <c r="E257" i="27" s="1"/>
  <c r="C205" i="28"/>
  <c r="H204" i="28"/>
  <c r="A259" i="16"/>
  <c r="B258" i="16"/>
  <c r="D258" i="16" a="1"/>
  <c r="D258" i="16" s="1"/>
  <c r="E258" i="16" s="1"/>
  <c r="I256" i="16"/>
  <c r="C205" i="16"/>
  <c r="H204" i="16"/>
  <c r="I255" i="27"/>
  <c r="B255" i="33" l="1"/>
  <c r="A256" i="33"/>
  <c r="B255" i="36"/>
  <c r="A256" i="36"/>
  <c r="B255" i="34"/>
  <c r="A256" i="34"/>
  <c r="B255" i="35"/>
  <c r="A256" i="35"/>
  <c r="G258" i="16"/>
  <c r="F258" i="16"/>
  <c r="C206" i="28"/>
  <c r="H205" i="28"/>
  <c r="F257" i="27"/>
  <c r="G257" i="27"/>
  <c r="C206" i="27"/>
  <c r="H205" i="27"/>
  <c r="C206" i="17"/>
  <c r="H205" i="17"/>
  <c r="C206" i="16"/>
  <c r="H205" i="16"/>
  <c r="B259" i="16"/>
  <c r="A260" i="16"/>
  <c r="D259" i="16" a="1"/>
  <c r="D259" i="16" s="1"/>
  <c r="E259" i="16" s="1"/>
  <c r="A259" i="27"/>
  <c r="B258" i="27"/>
  <c r="D258" i="27" a="1"/>
  <c r="D258" i="27" s="1"/>
  <c r="E258" i="27" s="1"/>
  <c r="I257" i="16"/>
  <c r="I256" i="27"/>
  <c r="B256" i="34" l="1"/>
  <c r="A257" i="34"/>
  <c r="B256" i="35"/>
  <c r="A257" i="35"/>
  <c r="B256" i="36"/>
  <c r="A257" i="36"/>
  <c r="B256" i="33"/>
  <c r="A257" i="33"/>
  <c r="B259" i="27"/>
  <c r="A260" i="27"/>
  <c r="D259" i="27" a="1"/>
  <c r="D259" i="27" s="1"/>
  <c r="E259" i="27" s="1"/>
  <c r="F259" i="16"/>
  <c r="G259" i="16"/>
  <c r="C207" i="16"/>
  <c r="H206" i="16"/>
  <c r="C207" i="27"/>
  <c r="H206" i="27"/>
  <c r="C207" i="28"/>
  <c r="H206" i="28"/>
  <c r="F258" i="27"/>
  <c r="G258" i="27"/>
  <c r="A261" i="16"/>
  <c r="B260" i="16"/>
  <c r="D260" i="16" a="1"/>
  <c r="D260" i="16" s="1"/>
  <c r="E260" i="16" s="1"/>
  <c r="I257" i="27"/>
  <c r="C207" i="17"/>
  <c r="H206" i="17"/>
  <c r="I258" i="16"/>
  <c r="B257" i="34" l="1"/>
  <c r="A258" i="34"/>
  <c r="B257" i="33"/>
  <c r="A258" i="33"/>
  <c r="B257" i="35"/>
  <c r="A258" i="35"/>
  <c r="B257" i="36"/>
  <c r="A258" i="36"/>
  <c r="F260" i="16"/>
  <c r="G260" i="16"/>
  <c r="C208" i="27"/>
  <c r="H207" i="27"/>
  <c r="F259" i="27"/>
  <c r="G259" i="27"/>
  <c r="A262" i="16"/>
  <c r="B261" i="16"/>
  <c r="D261" i="16" a="1"/>
  <c r="D261" i="16" s="1"/>
  <c r="E261" i="16" s="1"/>
  <c r="C208" i="28"/>
  <c r="H207" i="28"/>
  <c r="C208" i="16"/>
  <c r="H207" i="16"/>
  <c r="A261" i="27"/>
  <c r="B260" i="27"/>
  <c r="D260" i="27" a="1"/>
  <c r="D260" i="27" s="1"/>
  <c r="E260" i="27" s="1"/>
  <c r="C208" i="17"/>
  <c r="H207" i="17"/>
  <c r="I258" i="27"/>
  <c r="I259" i="16"/>
  <c r="B258" i="35" l="1"/>
  <c r="A259" i="35"/>
  <c r="B258" i="33"/>
  <c r="A259" i="33"/>
  <c r="B258" i="34"/>
  <c r="A259" i="34"/>
  <c r="B258" i="36"/>
  <c r="A259" i="36"/>
  <c r="F260" i="27"/>
  <c r="G260" i="27"/>
  <c r="C209" i="16"/>
  <c r="H208" i="16"/>
  <c r="A263" i="16"/>
  <c r="B262" i="16"/>
  <c r="D262" i="16" a="1"/>
  <c r="D262" i="16" s="1"/>
  <c r="E262" i="16" s="1"/>
  <c r="C209" i="27"/>
  <c r="H208" i="27"/>
  <c r="C209" i="17"/>
  <c r="H208" i="17"/>
  <c r="A262" i="27"/>
  <c r="B261" i="27"/>
  <c r="D261" i="27" a="1"/>
  <c r="D261" i="27" s="1"/>
  <c r="E261" i="27" s="1"/>
  <c r="C209" i="28"/>
  <c r="H208" i="28"/>
  <c r="I259" i="27"/>
  <c r="I260" i="16"/>
  <c r="F261" i="16"/>
  <c r="G261" i="16"/>
  <c r="B259" i="33" l="1"/>
  <c r="A260" i="33"/>
  <c r="B259" i="36"/>
  <c r="A260" i="36"/>
  <c r="B259" i="34"/>
  <c r="A260" i="34"/>
  <c r="B259" i="35"/>
  <c r="A260" i="35"/>
  <c r="F261" i="27"/>
  <c r="G261" i="27"/>
  <c r="C210" i="17"/>
  <c r="H209" i="17"/>
  <c r="A264" i="16"/>
  <c r="B263" i="16"/>
  <c r="D263" i="16" a="1"/>
  <c r="D263" i="16" s="1"/>
  <c r="E263" i="16" s="1"/>
  <c r="B262" i="27"/>
  <c r="A263" i="27"/>
  <c r="D262" i="27" a="1"/>
  <c r="D262" i="27" s="1"/>
  <c r="E262" i="27" s="1"/>
  <c r="C210" i="27"/>
  <c r="H209" i="27"/>
  <c r="G262" i="16"/>
  <c r="F262" i="16"/>
  <c r="C210" i="16"/>
  <c r="H209" i="16"/>
  <c r="I260" i="27"/>
  <c r="C210" i="28"/>
  <c r="H209" i="28"/>
  <c r="K28" i="16"/>
  <c r="L33" i="17" s="1"/>
  <c r="I261" i="16"/>
  <c r="B260" i="36" l="1"/>
  <c r="A261" i="36"/>
  <c r="B260" i="35"/>
  <c r="A261" i="35"/>
  <c r="B260" i="34"/>
  <c r="A261" i="34"/>
  <c r="B260" i="33"/>
  <c r="A261" i="33"/>
  <c r="C211" i="28"/>
  <c r="H210" i="28"/>
  <c r="C211" i="16"/>
  <c r="H210" i="16"/>
  <c r="C211" i="27"/>
  <c r="H210" i="27"/>
  <c r="G263" i="16"/>
  <c r="F263" i="16"/>
  <c r="C211" i="17"/>
  <c r="H210" i="17"/>
  <c r="F262" i="27"/>
  <c r="G262" i="27"/>
  <c r="K28" i="27"/>
  <c r="N33" i="17" s="1"/>
  <c r="E38" i="9" s="1"/>
  <c r="F38" i="9" s="1"/>
  <c r="I261" i="27"/>
  <c r="I262" i="16"/>
  <c r="A264" i="27"/>
  <c r="B263" i="27"/>
  <c r="D263" i="27" a="1"/>
  <c r="D263" i="27" s="1"/>
  <c r="E263" i="27" s="1"/>
  <c r="B264" i="16"/>
  <c r="A265" i="16"/>
  <c r="D264" i="16" a="1"/>
  <c r="D264" i="16" s="1"/>
  <c r="E264" i="16" s="1"/>
  <c r="B261" i="34" l="1"/>
  <c r="A262" i="34"/>
  <c r="B261" i="36"/>
  <c r="A262" i="36"/>
  <c r="B261" i="35"/>
  <c r="A262" i="35"/>
  <c r="B261" i="33"/>
  <c r="A262" i="33"/>
  <c r="D38" i="9"/>
  <c r="G264" i="16"/>
  <c r="F264" i="16"/>
  <c r="I262" i="27"/>
  <c r="B265" i="16"/>
  <c r="A266" i="16"/>
  <c r="D265" i="16" a="1"/>
  <c r="D265" i="16" s="1"/>
  <c r="E265" i="16" s="1"/>
  <c r="A265" i="27"/>
  <c r="B264" i="27"/>
  <c r="D264" i="27" a="1"/>
  <c r="D264" i="27" s="1"/>
  <c r="E264" i="27" s="1"/>
  <c r="I263" i="16"/>
  <c r="C212" i="16"/>
  <c r="H211" i="16"/>
  <c r="F263" i="27"/>
  <c r="G263" i="27"/>
  <c r="C212" i="17"/>
  <c r="H211" i="17"/>
  <c r="C212" i="27"/>
  <c r="H211" i="27"/>
  <c r="C212" i="28"/>
  <c r="H211" i="28"/>
  <c r="B262" i="33" l="1"/>
  <c r="A263" i="33"/>
  <c r="B262" i="36"/>
  <c r="A263" i="36"/>
  <c r="B262" i="35"/>
  <c r="A263" i="35"/>
  <c r="B262" i="34"/>
  <c r="A263" i="34"/>
  <c r="C213" i="28"/>
  <c r="H212" i="28"/>
  <c r="C213" i="17"/>
  <c r="H212" i="17"/>
  <c r="C213" i="16"/>
  <c r="H212" i="16"/>
  <c r="I264" i="16"/>
  <c r="C213" i="27"/>
  <c r="H212" i="27"/>
  <c r="I263" i="27"/>
  <c r="A266" i="27"/>
  <c r="B265" i="27"/>
  <c r="D265" i="27" a="1"/>
  <c r="D265" i="27" s="1"/>
  <c r="E265" i="27" s="1"/>
  <c r="F265" i="16"/>
  <c r="G265" i="16"/>
  <c r="G264" i="27"/>
  <c r="F264" i="27"/>
  <c r="A267" i="16"/>
  <c r="B266" i="16"/>
  <c r="D266" i="16" a="1"/>
  <c r="D266" i="16" s="1"/>
  <c r="E266" i="16" s="1"/>
  <c r="B263" i="35" l="1"/>
  <c r="A264" i="35"/>
  <c r="B263" i="33"/>
  <c r="A264" i="33"/>
  <c r="B263" i="34"/>
  <c r="A264" i="34"/>
  <c r="B263" i="36"/>
  <c r="A264" i="36"/>
  <c r="F266" i="16"/>
  <c r="G266" i="16"/>
  <c r="I264" i="27"/>
  <c r="F265" i="27"/>
  <c r="G265" i="27"/>
  <c r="C214" i="17"/>
  <c r="H213" i="17"/>
  <c r="I265" i="16"/>
  <c r="B267" i="16"/>
  <c r="A268" i="16"/>
  <c r="D267" i="16" a="1"/>
  <c r="D267" i="16" s="1"/>
  <c r="E267" i="16" s="1"/>
  <c r="A267" i="27"/>
  <c r="B266" i="27"/>
  <c r="D266" i="27" a="1"/>
  <c r="D266" i="27" s="1"/>
  <c r="E266" i="27" s="1"/>
  <c r="C214" i="27"/>
  <c r="H213" i="27"/>
  <c r="C214" i="16"/>
  <c r="H213" i="16"/>
  <c r="C214" i="28"/>
  <c r="H213" i="28"/>
  <c r="B264" i="33" l="1"/>
  <c r="A265" i="33"/>
  <c r="B264" i="35"/>
  <c r="A265" i="35"/>
  <c r="B264" i="36"/>
  <c r="A265" i="36"/>
  <c r="B264" i="34"/>
  <c r="A265" i="34"/>
  <c r="G266" i="27"/>
  <c r="F266" i="27"/>
  <c r="A269" i="16"/>
  <c r="B268" i="16"/>
  <c r="D268" i="16" a="1"/>
  <c r="D268" i="16" s="1"/>
  <c r="E268" i="16" s="1"/>
  <c r="C215" i="28"/>
  <c r="H214" i="28"/>
  <c r="C215" i="27"/>
  <c r="H214" i="27"/>
  <c r="C215" i="16"/>
  <c r="H214" i="16"/>
  <c r="C215" i="17"/>
  <c r="H214" i="17"/>
  <c r="A268" i="27"/>
  <c r="B267" i="27"/>
  <c r="D267" i="27" a="1"/>
  <c r="D267" i="27" s="1"/>
  <c r="E267" i="27" s="1"/>
  <c r="I265" i="27"/>
  <c r="I266" i="16"/>
  <c r="F267" i="16"/>
  <c r="G267" i="16"/>
  <c r="B265" i="34" l="1"/>
  <c r="A266" i="34"/>
  <c r="B265" i="35"/>
  <c r="A266" i="35"/>
  <c r="B265" i="36"/>
  <c r="A266" i="36"/>
  <c r="B265" i="33"/>
  <c r="A266" i="33"/>
  <c r="G267" i="27"/>
  <c r="F267" i="27"/>
  <c r="C216" i="17"/>
  <c r="H215" i="17"/>
  <c r="C216" i="27"/>
  <c r="H215" i="27"/>
  <c r="B269" i="16"/>
  <c r="A270" i="16"/>
  <c r="D269" i="16" a="1"/>
  <c r="D269" i="16" s="1"/>
  <c r="E269" i="16" s="1"/>
  <c r="I267" i="16"/>
  <c r="A269" i="27"/>
  <c r="B268" i="27"/>
  <c r="D268" i="27" a="1"/>
  <c r="D268" i="27" s="1"/>
  <c r="E268" i="27" s="1"/>
  <c r="C216" i="16"/>
  <c r="H215" i="16"/>
  <c r="C216" i="28"/>
  <c r="H215" i="28"/>
  <c r="F268" i="16"/>
  <c r="G268" i="16"/>
  <c r="I266" i="27"/>
  <c r="B266" i="34" l="1"/>
  <c r="A267" i="34"/>
  <c r="B266" i="35"/>
  <c r="A267" i="35"/>
  <c r="B266" i="33"/>
  <c r="A267" i="33"/>
  <c r="B266" i="36"/>
  <c r="A267" i="36"/>
  <c r="C217" i="28"/>
  <c r="H216" i="28"/>
  <c r="I268" i="16"/>
  <c r="A270" i="27"/>
  <c r="B269" i="27"/>
  <c r="D269" i="27" a="1"/>
  <c r="D269" i="27" s="1"/>
  <c r="E269" i="27" s="1"/>
  <c r="B270" i="16"/>
  <c r="A271" i="16"/>
  <c r="D270" i="16" a="1"/>
  <c r="D270" i="16" s="1"/>
  <c r="E270" i="16" s="1"/>
  <c r="C217" i="16"/>
  <c r="H216" i="16"/>
  <c r="C217" i="17"/>
  <c r="H216" i="17"/>
  <c r="G268" i="27"/>
  <c r="F268" i="27"/>
  <c r="G269" i="16"/>
  <c r="F269" i="16"/>
  <c r="C217" i="27"/>
  <c r="H216" i="27"/>
  <c r="I267" i="27"/>
  <c r="B267" i="35" l="1"/>
  <c r="A268" i="35"/>
  <c r="B267" i="34"/>
  <c r="A268" i="34"/>
  <c r="B267" i="36"/>
  <c r="A268" i="36"/>
  <c r="B267" i="33"/>
  <c r="A268" i="33"/>
  <c r="F270" i="16"/>
  <c r="G270" i="16"/>
  <c r="I269" i="16"/>
  <c r="G269" i="27"/>
  <c r="F269" i="27"/>
  <c r="C218" i="27"/>
  <c r="H217" i="27"/>
  <c r="C218" i="16"/>
  <c r="H217" i="16"/>
  <c r="I268" i="27"/>
  <c r="C218" i="17"/>
  <c r="H217" i="17"/>
  <c r="A272" i="16"/>
  <c r="B271" i="16"/>
  <c r="D271" i="16" a="1"/>
  <c r="D271" i="16" s="1"/>
  <c r="E271" i="16" s="1"/>
  <c r="A271" i="27"/>
  <c r="B270" i="27"/>
  <c r="D270" i="27" a="1"/>
  <c r="D270" i="27" s="1"/>
  <c r="E270" i="27" s="1"/>
  <c r="C218" i="28"/>
  <c r="H217" i="28"/>
  <c r="B268" i="33" l="1"/>
  <c r="A269" i="33"/>
  <c r="B268" i="36"/>
  <c r="A269" i="36"/>
  <c r="B268" i="35"/>
  <c r="A269" i="35"/>
  <c r="B268" i="34"/>
  <c r="A269" i="34"/>
  <c r="F270" i="27"/>
  <c r="G270" i="27"/>
  <c r="B272" i="16"/>
  <c r="A273" i="16"/>
  <c r="D272" i="16" a="1"/>
  <c r="D272" i="16" s="1"/>
  <c r="E272" i="16" s="1"/>
  <c r="C219" i="27"/>
  <c r="H218" i="27"/>
  <c r="C219" i="28"/>
  <c r="H218" i="28"/>
  <c r="A272" i="27"/>
  <c r="B271" i="27"/>
  <c r="D271" i="27" a="1"/>
  <c r="D271" i="27" s="1"/>
  <c r="E271" i="27" s="1"/>
  <c r="I270" i="16"/>
  <c r="F271" i="16"/>
  <c r="G271" i="16"/>
  <c r="C219" i="17"/>
  <c r="H218" i="17"/>
  <c r="C219" i="16"/>
  <c r="H218" i="16"/>
  <c r="I269" i="27"/>
  <c r="B269" i="33" l="1"/>
  <c r="A270" i="33"/>
  <c r="B269" i="34"/>
  <c r="A270" i="34"/>
  <c r="B269" i="36"/>
  <c r="A270" i="36"/>
  <c r="B269" i="35"/>
  <c r="A270" i="35"/>
  <c r="F271" i="27"/>
  <c r="G271" i="27"/>
  <c r="C220" i="28"/>
  <c r="H219" i="28"/>
  <c r="B273" i="16"/>
  <c r="A274" i="16"/>
  <c r="D273" i="16" a="1"/>
  <c r="D273" i="16" s="1"/>
  <c r="E273" i="16" s="1"/>
  <c r="C220" i="17"/>
  <c r="H219" i="17"/>
  <c r="I271" i="16"/>
  <c r="K29" i="16"/>
  <c r="L34" i="17" s="1"/>
  <c r="C220" i="16"/>
  <c r="H219" i="16"/>
  <c r="A273" i="27"/>
  <c r="B272" i="27"/>
  <c r="D272" i="27" a="1"/>
  <c r="D272" i="27" s="1"/>
  <c r="E272" i="27" s="1"/>
  <c r="C220" i="27"/>
  <c r="H219" i="27"/>
  <c r="I270" i="27"/>
  <c r="F272" i="16"/>
  <c r="G272" i="16"/>
  <c r="B270" i="34" l="1"/>
  <c r="A271" i="34"/>
  <c r="B270" i="33"/>
  <c r="A271" i="33"/>
  <c r="B270" i="35"/>
  <c r="A271" i="35"/>
  <c r="B270" i="36"/>
  <c r="A271" i="36"/>
  <c r="G272" i="27"/>
  <c r="F272" i="27"/>
  <c r="C221" i="16"/>
  <c r="H220" i="16"/>
  <c r="C221" i="17"/>
  <c r="H220" i="17"/>
  <c r="F273" i="16"/>
  <c r="G273" i="16"/>
  <c r="C221" i="28"/>
  <c r="H220" i="28"/>
  <c r="C221" i="27"/>
  <c r="H220" i="27"/>
  <c r="A275" i="16"/>
  <c r="B274" i="16"/>
  <c r="D274" i="16" a="1"/>
  <c r="D274" i="16" s="1"/>
  <c r="E274" i="16" s="1"/>
  <c r="I271" i="27"/>
  <c r="K29" i="27"/>
  <c r="N34" i="17" s="1"/>
  <c r="E39" i="9" s="1"/>
  <c r="F39" i="9" s="1"/>
  <c r="I272" i="16"/>
  <c r="A274" i="27"/>
  <c r="B273" i="27"/>
  <c r="D273" i="27" a="1"/>
  <c r="D273" i="27" s="1"/>
  <c r="E273" i="27" s="1"/>
  <c r="B271" i="34" l="1"/>
  <c r="A272" i="34"/>
  <c r="B271" i="33"/>
  <c r="A272" i="33"/>
  <c r="B271" i="36"/>
  <c r="A272" i="36"/>
  <c r="B271" i="35"/>
  <c r="A272" i="35"/>
  <c r="D39" i="9"/>
  <c r="G274" i="16"/>
  <c r="F274" i="16"/>
  <c r="C222" i="27"/>
  <c r="H221" i="27"/>
  <c r="I273" i="16"/>
  <c r="C222" i="16"/>
  <c r="H221" i="16"/>
  <c r="A275" i="27"/>
  <c r="B274" i="27"/>
  <c r="D274" i="27" a="1"/>
  <c r="D274" i="27" s="1"/>
  <c r="E274" i="27" s="1"/>
  <c r="A276" i="16"/>
  <c r="B275" i="16"/>
  <c r="D275" i="16" a="1"/>
  <c r="D275" i="16" s="1"/>
  <c r="E275" i="16" s="1"/>
  <c r="F273" i="27"/>
  <c r="G273" i="27"/>
  <c r="C222" i="28"/>
  <c r="H221" i="28"/>
  <c r="C222" i="17"/>
  <c r="H221" i="17"/>
  <c r="I272" i="27"/>
  <c r="B272" i="34" l="1"/>
  <c r="A273" i="34"/>
  <c r="B272" i="35"/>
  <c r="A273" i="35"/>
  <c r="B272" i="36"/>
  <c r="A273" i="36"/>
  <c r="B272" i="33"/>
  <c r="A273" i="33"/>
  <c r="C223" i="17"/>
  <c r="H222" i="17"/>
  <c r="C223" i="28"/>
  <c r="H222" i="28"/>
  <c r="B275" i="27"/>
  <c r="A276" i="27"/>
  <c r="D275" i="27" a="1"/>
  <c r="D275" i="27" s="1"/>
  <c r="E275" i="27" s="1"/>
  <c r="I274" i="16"/>
  <c r="I273" i="27"/>
  <c r="A277" i="16"/>
  <c r="B276" i="16"/>
  <c r="D276" i="16" a="1"/>
  <c r="D276" i="16" s="1"/>
  <c r="E276" i="16" s="1"/>
  <c r="G274" i="27"/>
  <c r="F274" i="27"/>
  <c r="C223" i="16"/>
  <c r="H222" i="16"/>
  <c r="C223" i="27"/>
  <c r="H222" i="27"/>
  <c r="G275" i="16"/>
  <c r="F275" i="16"/>
  <c r="B273" i="34" l="1"/>
  <c r="A274" i="34"/>
  <c r="B273" i="36"/>
  <c r="A274" i="36"/>
  <c r="B273" i="33"/>
  <c r="A274" i="33"/>
  <c r="B273" i="35"/>
  <c r="A274" i="35"/>
  <c r="C224" i="27"/>
  <c r="H223" i="27"/>
  <c r="A278" i="16"/>
  <c r="B277" i="16"/>
  <c r="D277" i="16" a="1"/>
  <c r="D277" i="16" s="1"/>
  <c r="E277" i="16" s="1"/>
  <c r="F275" i="27"/>
  <c r="G275" i="27"/>
  <c r="C224" i="28"/>
  <c r="H223" i="28"/>
  <c r="G276" i="16"/>
  <c r="F276" i="16"/>
  <c r="A277" i="27"/>
  <c r="B276" i="27"/>
  <c r="D276" i="27" a="1"/>
  <c r="D276" i="27" s="1"/>
  <c r="E276" i="27" s="1"/>
  <c r="I274" i="27"/>
  <c r="I275" i="16"/>
  <c r="C224" i="16"/>
  <c r="H223" i="16"/>
  <c r="C224" i="17"/>
  <c r="H223" i="17"/>
  <c r="B274" i="33" l="1"/>
  <c r="A275" i="33"/>
  <c r="B274" i="34"/>
  <c r="A275" i="34"/>
  <c r="B274" i="35"/>
  <c r="A275" i="35"/>
  <c r="B274" i="36"/>
  <c r="A275" i="36"/>
  <c r="B277" i="27"/>
  <c r="A278" i="27"/>
  <c r="D277" i="27" a="1"/>
  <c r="D277" i="27" s="1"/>
  <c r="E277" i="27" s="1"/>
  <c r="C225" i="28"/>
  <c r="H224" i="28"/>
  <c r="C225" i="17"/>
  <c r="H224" i="17"/>
  <c r="C225" i="16"/>
  <c r="H224" i="16"/>
  <c r="I275" i="27"/>
  <c r="A279" i="16"/>
  <c r="B278" i="16"/>
  <c r="D278" i="16" a="1"/>
  <c r="D278" i="16" s="1"/>
  <c r="E278" i="16" s="1"/>
  <c r="F276" i="27"/>
  <c r="G276" i="27"/>
  <c r="I276" i="16"/>
  <c r="F277" i="16"/>
  <c r="G277" i="16"/>
  <c r="C225" i="27"/>
  <c r="H224" i="27"/>
  <c r="B275" i="33" l="1"/>
  <c r="A276" i="33"/>
  <c r="B275" i="35"/>
  <c r="A276" i="35"/>
  <c r="B275" i="34"/>
  <c r="A276" i="34"/>
  <c r="B275" i="36"/>
  <c r="A276" i="36"/>
  <c r="C226" i="27"/>
  <c r="H225" i="27"/>
  <c r="I277" i="16"/>
  <c r="I276" i="27"/>
  <c r="A280" i="16"/>
  <c r="B279" i="16"/>
  <c r="D279" i="16" a="1"/>
  <c r="D279" i="16" s="1"/>
  <c r="E279" i="16" s="1"/>
  <c r="C226" i="16"/>
  <c r="H225" i="16"/>
  <c r="C226" i="28"/>
  <c r="H225" i="28"/>
  <c r="F277" i="27"/>
  <c r="G277" i="27"/>
  <c r="F278" i="16"/>
  <c r="G278" i="16"/>
  <c r="C226" i="17"/>
  <c r="H225" i="17"/>
  <c r="A279" i="27"/>
  <c r="B278" i="27"/>
  <c r="D278" i="27" a="1"/>
  <c r="D278" i="27" s="1"/>
  <c r="E278" i="27" s="1"/>
  <c r="B276" i="35" l="1"/>
  <c r="A277" i="35"/>
  <c r="B276" i="33"/>
  <c r="A277" i="33"/>
  <c r="B276" i="36"/>
  <c r="A277" i="36"/>
  <c r="B276" i="34"/>
  <c r="A277" i="34"/>
  <c r="I278" i="16"/>
  <c r="A280" i="27"/>
  <c r="B279" i="27"/>
  <c r="D279" i="27" a="1"/>
  <c r="D279" i="27" s="1"/>
  <c r="E279" i="27" s="1"/>
  <c r="C227" i="28"/>
  <c r="H226" i="28"/>
  <c r="I277" i="27"/>
  <c r="B280" i="16"/>
  <c r="A281" i="16"/>
  <c r="D280" i="16" a="1"/>
  <c r="D280" i="16" s="1"/>
  <c r="E280" i="16" s="1"/>
  <c r="G278" i="27"/>
  <c r="F278" i="27"/>
  <c r="C227" i="17"/>
  <c r="H226" i="17"/>
  <c r="C227" i="16"/>
  <c r="H226" i="16"/>
  <c r="F279" i="16"/>
  <c r="G279" i="16"/>
  <c r="C227" i="27"/>
  <c r="H226" i="27"/>
  <c r="B277" i="35" l="1"/>
  <c r="A278" i="35"/>
  <c r="B277" i="34"/>
  <c r="A278" i="34"/>
  <c r="B277" i="36"/>
  <c r="A278" i="36"/>
  <c r="B277" i="33"/>
  <c r="A278" i="33"/>
  <c r="F280" i="16"/>
  <c r="G280" i="16"/>
  <c r="C228" i="27"/>
  <c r="H227" i="27"/>
  <c r="C228" i="16"/>
  <c r="H227" i="16"/>
  <c r="I279" i="16"/>
  <c r="C228" i="17"/>
  <c r="H227" i="17"/>
  <c r="B281" i="16"/>
  <c r="A282" i="16"/>
  <c r="D281" i="16" a="1"/>
  <c r="D281" i="16" s="1"/>
  <c r="E281" i="16" s="1"/>
  <c r="A281" i="27"/>
  <c r="B280" i="27"/>
  <c r="D280" i="27" a="1"/>
  <c r="D280" i="27" s="1"/>
  <c r="E280" i="27" s="1"/>
  <c r="I278" i="27"/>
  <c r="C228" i="28"/>
  <c r="H227" i="28"/>
  <c r="F279" i="27"/>
  <c r="G279" i="27"/>
  <c r="B278" i="33" l="1"/>
  <c r="A279" i="33"/>
  <c r="B278" i="35"/>
  <c r="A279" i="35"/>
  <c r="B278" i="34"/>
  <c r="A279" i="34"/>
  <c r="B278" i="36"/>
  <c r="A279" i="36"/>
  <c r="F280" i="27"/>
  <c r="G280" i="27"/>
  <c r="A283" i="16"/>
  <c r="B282" i="16"/>
  <c r="D282" i="16" a="1"/>
  <c r="D282" i="16" s="1"/>
  <c r="E282" i="16" s="1"/>
  <c r="C229" i="28"/>
  <c r="H228" i="28"/>
  <c r="C229" i="27"/>
  <c r="H228" i="27"/>
  <c r="I279" i="27"/>
  <c r="B281" i="27"/>
  <c r="A282" i="27"/>
  <c r="D281" i="27" a="1"/>
  <c r="D281" i="27" s="1"/>
  <c r="E281" i="27" s="1"/>
  <c r="I280" i="16"/>
  <c r="F281" i="16"/>
  <c r="G281" i="16"/>
  <c r="C229" i="17"/>
  <c r="H228" i="17"/>
  <c r="C229" i="16"/>
  <c r="H228" i="16"/>
  <c r="B279" i="36" l="1"/>
  <c r="A280" i="36"/>
  <c r="B279" i="34"/>
  <c r="A280" i="34"/>
  <c r="B279" i="33"/>
  <c r="A280" i="33"/>
  <c r="B279" i="35"/>
  <c r="A280" i="35"/>
  <c r="C230" i="16"/>
  <c r="H229" i="16"/>
  <c r="A283" i="27"/>
  <c r="B282" i="27"/>
  <c r="D282" i="27" a="1"/>
  <c r="D282" i="27" s="1"/>
  <c r="E282" i="27" s="1"/>
  <c r="C230" i="27"/>
  <c r="H229" i="27"/>
  <c r="I281" i="16"/>
  <c r="K30" i="16"/>
  <c r="L35" i="17" s="1"/>
  <c r="C230" i="17"/>
  <c r="H229" i="17"/>
  <c r="A284" i="16"/>
  <c r="B283" i="16"/>
  <c r="D283" i="16" a="1"/>
  <c r="D283" i="16" s="1"/>
  <c r="E283" i="16" s="1"/>
  <c r="G281" i="27"/>
  <c r="F281" i="27"/>
  <c r="C230" i="28"/>
  <c r="H229" i="28"/>
  <c r="I280" i="27"/>
  <c r="F282" i="16"/>
  <c r="G282" i="16"/>
  <c r="B280" i="33" l="1"/>
  <c r="A281" i="33"/>
  <c r="B280" i="36"/>
  <c r="A281" i="36"/>
  <c r="B280" i="35"/>
  <c r="A281" i="35"/>
  <c r="B280" i="34"/>
  <c r="A281" i="34"/>
  <c r="I281" i="27"/>
  <c r="K30" i="27"/>
  <c r="N35" i="17" s="1"/>
  <c r="E40" i="9" s="1"/>
  <c r="F40" i="9" s="1"/>
  <c r="F283" i="16"/>
  <c r="G283" i="16"/>
  <c r="C231" i="17"/>
  <c r="H230" i="17"/>
  <c r="A284" i="27"/>
  <c r="B283" i="27"/>
  <c r="D283" i="27" a="1"/>
  <c r="D283" i="27" s="1"/>
  <c r="E283" i="27" s="1"/>
  <c r="A285" i="16"/>
  <c r="B284" i="16"/>
  <c r="D284" i="16" a="1"/>
  <c r="D284" i="16" s="1"/>
  <c r="E284" i="16" s="1"/>
  <c r="I282" i="16"/>
  <c r="C231" i="28"/>
  <c r="H230" i="28"/>
  <c r="C231" i="27"/>
  <c r="H230" i="27"/>
  <c r="F282" i="27"/>
  <c r="G282" i="27"/>
  <c r="C231" i="16"/>
  <c r="H230" i="16"/>
  <c r="B281" i="33" l="1"/>
  <c r="A282" i="33"/>
  <c r="B281" i="35"/>
  <c r="A282" i="35"/>
  <c r="B281" i="34"/>
  <c r="A282" i="34"/>
  <c r="B281" i="36"/>
  <c r="A282" i="36"/>
  <c r="D40" i="9"/>
  <c r="G284" i="16"/>
  <c r="F284" i="16"/>
  <c r="C232" i="28"/>
  <c r="H231" i="28"/>
  <c r="A285" i="27"/>
  <c r="B284" i="27"/>
  <c r="D284" i="27" a="1"/>
  <c r="D284" i="27" s="1"/>
  <c r="E284" i="27" s="1"/>
  <c r="A286" i="16"/>
  <c r="B285" i="16"/>
  <c r="D285" i="16" a="1"/>
  <c r="D285" i="16" s="1"/>
  <c r="E285" i="16" s="1"/>
  <c r="G283" i="27"/>
  <c r="F283" i="27"/>
  <c r="C232" i="17"/>
  <c r="H231" i="17"/>
  <c r="C232" i="16"/>
  <c r="H231" i="16"/>
  <c r="I282" i="27"/>
  <c r="I283" i="16"/>
  <c r="C232" i="27"/>
  <c r="H231" i="27"/>
  <c r="B282" i="35" l="1"/>
  <c r="A283" i="35"/>
  <c r="B282" i="34"/>
  <c r="A283" i="34"/>
  <c r="B282" i="36"/>
  <c r="A283" i="36"/>
  <c r="B282" i="33"/>
  <c r="A283" i="33"/>
  <c r="C233" i="16"/>
  <c r="H232" i="16"/>
  <c r="C233" i="27"/>
  <c r="H232" i="27"/>
  <c r="C233" i="17"/>
  <c r="H232" i="17"/>
  <c r="B285" i="27"/>
  <c r="A286" i="27"/>
  <c r="D285" i="27" a="1"/>
  <c r="D285" i="27" s="1"/>
  <c r="E285" i="27" s="1"/>
  <c r="I284" i="16"/>
  <c r="I283" i="27"/>
  <c r="A287" i="16"/>
  <c r="B286" i="16"/>
  <c r="D286" i="16" a="1"/>
  <c r="D286" i="16" s="1"/>
  <c r="E286" i="16" s="1"/>
  <c r="F284" i="27"/>
  <c r="G284" i="27"/>
  <c r="C233" i="28"/>
  <c r="H232" i="28"/>
  <c r="G285" i="16"/>
  <c r="F285" i="16"/>
  <c r="B283" i="34" l="1"/>
  <c r="A284" i="34"/>
  <c r="B283" i="35"/>
  <c r="A284" i="35"/>
  <c r="B283" i="36"/>
  <c r="A284" i="36"/>
  <c r="B283" i="33"/>
  <c r="A284" i="33"/>
  <c r="F286" i="16"/>
  <c r="G286" i="16"/>
  <c r="A287" i="27"/>
  <c r="B286" i="27"/>
  <c r="D286" i="27" a="1"/>
  <c r="D286" i="27" s="1"/>
  <c r="E286" i="27" s="1"/>
  <c r="C234" i="27"/>
  <c r="H233" i="27"/>
  <c r="C234" i="28"/>
  <c r="H233" i="28"/>
  <c r="I284" i="27"/>
  <c r="I285" i="16"/>
  <c r="B287" i="16"/>
  <c r="A288" i="16"/>
  <c r="D287" i="16" a="1"/>
  <c r="D287" i="16" s="1"/>
  <c r="E287" i="16" s="1"/>
  <c r="G285" i="27"/>
  <c r="F285" i="27"/>
  <c r="C234" i="17"/>
  <c r="H233" i="17"/>
  <c r="C234" i="16"/>
  <c r="H233" i="16"/>
  <c r="B284" i="33" l="1"/>
  <c r="A285" i="33"/>
  <c r="B284" i="35"/>
  <c r="A285" i="35"/>
  <c r="B284" i="36"/>
  <c r="A285" i="36"/>
  <c r="B284" i="34"/>
  <c r="A285" i="34"/>
  <c r="I285" i="27"/>
  <c r="C235" i="28"/>
  <c r="H234" i="28"/>
  <c r="C235" i="16"/>
  <c r="H234" i="16"/>
  <c r="C235" i="17"/>
  <c r="H234" i="17"/>
  <c r="A289" i="16"/>
  <c r="B288" i="16"/>
  <c r="D288" i="16" a="1"/>
  <c r="D288" i="16" s="1"/>
  <c r="E288" i="16" s="1"/>
  <c r="A288" i="27"/>
  <c r="B287" i="27"/>
  <c r="D287" i="27" a="1"/>
  <c r="D287" i="27" s="1"/>
  <c r="E287" i="27" s="1"/>
  <c r="F287" i="16"/>
  <c r="G287" i="16"/>
  <c r="C235" i="27"/>
  <c r="H234" i="27"/>
  <c r="I286" i="16"/>
  <c r="F286" i="27"/>
  <c r="G286" i="27"/>
  <c r="B285" i="34" l="1"/>
  <c r="A286" i="34"/>
  <c r="B285" i="35"/>
  <c r="A286" i="35"/>
  <c r="B285" i="33"/>
  <c r="A286" i="33"/>
  <c r="B285" i="36"/>
  <c r="A286" i="36"/>
  <c r="G287" i="27"/>
  <c r="F287" i="27"/>
  <c r="C236" i="27"/>
  <c r="H235" i="27"/>
  <c r="I287" i="16"/>
  <c r="A289" i="27"/>
  <c r="B288" i="27"/>
  <c r="D288" i="27" a="1"/>
  <c r="D288" i="27" s="1"/>
  <c r="E288" i="27" s="1"/>
  <c r="G288" i="16"/>
  <c r="F288" i="16"/>
  <c r="C236" i="17"/>
  <c r="H235" i="17"/>
  <c r="C236" i="28"/>
  <c r="H235" i="28"/>
  <c r="I286" i="27"/>
  <c r="B289" i="16"/>
  <c r="A290" i="16"/>
  <c r="D289" i="16" a="1"/>
  <c r="D289" i="16" s="1"/>
  <c r="E289" i="16" s="1"/>
  <c r="C236" i="16"/>
  <c r="H235" i="16"/>
  <c r="B286" i="33" l="1"/>
  <c r="A287" i="33"/>
  <c r="B286" i="36"/>
  <c r="A287" i="36"/>
  <c r="B286" i="34"/>
  <c r="A287" i="34"/>
  <c r="B286" i="35"/>
  <c r="A287" i="35"/>
  <c r="F289" i="16"/>
  <c r="G289" i="16"/>
  <c r="C237" i="17"/>
  <c r="H236" i="17"/>
  <c r="A291" i="16"/>
  <c r="B290" i="16"/>
  <c r="D290" i="16" a="1"/>
  <c r="D290" i="16" s="1"/>
  <c r="E290" i="16" s="1"/>
  <c r="A290" i="27"/>
  <c r="B289" i="27"/>
  <c r="D289" i="27" a="1"/>
  <c r="D289" i="27" s="1"/>
  <c r="E289" i="27" s="1"/>
  <c r="C237" i="27"/>
  <c r="H236" i="27"/>
  <c r="C237" i="16"/>
  <c r="H236" i="16"/>
  <c r="C237" i="28"/>
  <c r="H236" i="28"/>
  <c r="I288" i="16"/>
  <c r="F288" i="27"/>
  <c r="G288" i="27"/>
  <c r="I287" i="27"/>
  <c r="B287" i="33" l="1"/>
  <c r="A288" i="33"/>
  <c r="B287" i="35"/>
  <c r="A288" i="35"/>
  <c r="B287" i="34"/>
  <c r="A288" i="34"/>
  <c r="B287" i="36"/>
  <c r="A288" i="36"/>
  <c r="F289" i="27"/>
  <c r="G289" i="27"/>
  <c r="C238" i="16"/>
  <c r="H237" i="16"/>
  <c r="I288" i="27"/>
  <c r="A291" i="27"/>
  <c r="B290" i="27"/>
  <c r="D290" i="27" a="1"/>
  <c r="D290" i="27" s="1"/>
  <c r="E290" i="27" s="1"/>
  <c r="F290" i="16"/>
  <c r="G290" i="16"/>
  <c r="C238" i="17"/>
  <c r="H237" i="17"/>
  <c r="C238" i="27"/>
  <c r="H237" i="27"/>
  <c r="I289" i="16"/>
  <c r="C238" i="28"/>
  <c r="H237" i="28"/>
  <c r="B291" i="16"/>
  <c r="A292" i="16"/>
  <c r="D291" i="16" a="1"/>
  <c r="D291" i="16" s="1"/>
  <c r="E291" i="16" s="1"/>
  <c r="B288" i="36" l="1"/>
  <c r="A289" i="36"/>
  <c r="B288" i="34"/>
  <c r="A289" i="34"/>
  <c r="B288" i="33"/>
  <c r="A289" i="33"/>
  <c r="B288" i="35"/>
  <c r="A289" i="35"/>
  <c r="B292" i="16"/>
  <c r="A293" i="16"/>
  <c r="D292" i="16" a="1"/>
  <c r="D292" i="16" s="1"/>
  <c r="E292" i="16" s="1"/>
  <c r="C239" i="17"/>
  <c r="H238" i="17"/>
  <c r="I290" i="16"/>
  <c r="A292" i="27"/>
  <c r="B291" i="27"/>
  <c r="D291" i="27" a="1"/>
  <c r="D291" i="27" s="1"/>
  <c r="E291" i="27" s="1"/>
  <c r="C239" i="16"/>
  <c r="H238" i="16"/>
  <c r="F291" i="16"/>
  <c r="G291" i="16"/>
  <c r="C239" i="28"/>
  <c r="H238" i="28"/>
  <c r="C239" i="27"/>
  <c r="H238" i="27"/>
  <c r="I289" i="27"/>
  <c r="F290" i="27"/>
  <c r="G290" i="27"/>
  <c r="B289" i="36" l="1"/>
  <c r="A290" i="36"/>
  <c r="B289" i="34"/>
  <c r="A290" i="34"/>
  <c r="B289" i="35"/>
  <c r="A290" i="35"/>
  <c r="B289" i="33"/>
  <c r="A290" i="33"/>
  <c r="C240" i="28"/>
  <c r="H239" i="28"/>
  <c r="A293" i="27"/>
  <c r="B292" i="27"/>
  <c r="D292" i="27" a="1"/>
  <c r="D292" i="27" s="1"/>
  <c r="E292" i="27" s="1"/>
  <c r="C240" i="17"/>
  <c r="H239" i="17"/>
  <c r="F292" i="16"/>
  <c r="G292" i="16"/>
  <c r="G291" i="27"/>
  <c r="F291" i="27"/>
  <c r="A294" i="16"/>
  <c r="B293" i="16"/>
  <c r="D293" i="16" a="1"/>
  <c r="D293" i="16" s="1"/>
  <c r="E293" i="16" s="1"/>
  <c r="C240" i="16"/>
  <c r="H239" i="16"/>
  <c r="I290" i="27"/>
  <c r="I291" i="16"/>
  <c r="K31" i="16"/>
  <c r="L36" i="17" s="1"/>
  <c r="C240" i="27"/>
  <c r="H239" i="27"/>
  <c r="B290" i="36" l="1"/>
  <c r="A291" i="36"/>
  <c r="B290" i="34"/>
  <c r="A291" i="34"/>
  <c r="B290" i="33"/>
  <c r="A291" i="33"/>
  <c r="B290" i="35"/>
  <c r="A291" i="35"/>
  <c r="C241" i="27"/>
  <c r="H240" i="27"/>
  <c r="I292" i="16"/>
  <c r="B294" i="16"/>
  <c r="A295" i="16"/>
  <c r="D294" i="16" a="1"/>
  <c r="D294" i="16" s="1"/>
  <c r="E294" i="16" s="1"/>
  <c r="C241" i="16"/>
  <c r="H240" i="16"/>
  <c r="A294" i="27"/>
  <c r="B293" i="27"/>
  <c r="D293" i="27" a="1"/>
  <c r="D293" i="27" s="1"/>
  <c r="E293" i="27" s="1"/>
  <c r="F293" i="16"/>
  <c r="G293" i="16"/>
  <c r="K31" i="27"/>
  <c r="N36" i="17" s="1"/>
  <c r="E41" i="9" s="1"/>
  <c r="F41" i="9" s="1"/>
  <c r="I291" i="27"/>
  <c r="C241" i="17"/>
  <c r="H240" i="17"/>
  <c r="F292" i="27"/>
  <c r="G292" i="27"/>
  <c r="C241" i="28"/>
  <c r="H240" i="28"/>
  <c r="B291" i="33" l="1"/>
  <c r="A292" i="33"/>
  <c r="B291" i="35"/>
  <c r="A292" i="35"/>
  <c r="B291" i="36"/>
  <c r="A292" i="36"/>
  <c r="B291" i="34"/>
  <c r="A292" i="34"/>
  <c r="D41" i="9"/>
  <c r="G294" i="16"/>
  <c r="F294" i="16"/>
  <c r="C242" i="28"/>
  <c r="H241" i="28"/>
  <c r="C242" i="17"/>
  <c r="H241" i="17"/>
  <c r="I293" i="16"/>
  <c r="A295" i="27"/>
  <c r="B294" i="27"/>
  <c r="D294" i="27" a="1"/>
  <c r="D294" i="27" s="1"/>
  <c r="E294" i="27" s="1"/>
  <c r="A296" i="16"/>
  <c r="B295" i="16"/>
  <c r="D295" i="16" a="1"/>
  <c r="D295" i="16" s="1"/>
  <c r="E295" i="16" s="1"/>
  <c r="I292" i="27"/>
  <c r="G293" i="27"/>
  <c r="F293" i="27"/>
  <c r="C242" i="16"/>
  <c r="H241" i="16"/>
  <c r="C242" i="27"/>
  <c r="H241" i="27"/>
  <c r="B292" i="33" l="1"/>
  <c r="A293" i="33"/>
  <c r="B292" i="34"/>
  <c r="A293" i="34"/>
  <c r="B292" i="35"/>
  <c r="A293" i="35"/>
  <c r="B292" i="36"/>
  <c r="A293" i="36"/>
  <c r="F295" i="16"/>
  <c r="G295" i="16"/>
  <c r="C243" i="27"/>
  <c r="H242" i="27"/>
  <c r="I293" i="27"/>
  <c r="A296" i="27"/>
  <c r="B295" i="27"/>
  <c r="D295" i="27" a="1"/>
  <c r="D295" i="27" s="1"/>
  <c r="E295" i="27" s="1"/>
  <c r="C243" i="17"/>
  <c r="H242" i="17"/>
  <c r="I294" i="16"/>
  <c r="C243" i="16"/>
  <c r="H242" i="16"/>
  <c r="B296" i="16"/>
  <c r="A297" i="16"/>
  <c r="D296" i="16" a="1"/>
  <c r="D296" i="16" s="1"/>
  <c r="E296" i="16" s="1"/>
  <c r="F294" i="27"/>
  <c r="G294" i="27"/>
  <c r="C243" i="28"/>
  <c r="H242" i="28"/>
  <c r="B293" i="36" l="1"/>
  <c r="A294" i="36"/>
  <c r="B293" i="34"/>
  <c r="A294" i="34"/>
  <c r="B293" i="33"/>
  <c r="A294" i="33"/>
  <c r="B293" i="35"/>
  <c r="A294" i="35"/>
  <c r="I294" i="27"/>
  <c r="A298" i="16"/>
  <c r="B297" i="16"/>
  <c r="D297" i="16" a="1"/>
  <c r="D297" i="16" s="1"/>
  <c r="E297" i="16" s="1"/>
  <c r="C244" i="28"/>
  <c r="H243" i="28"/>
  <c r="B296" i="27"/>
  <c r="A297" i="27"/>
  <c r="D296" i="27" a="1"/>
  <c r="D296" i="27" s="1"/>
  <c r="E296" i="27" s="1"/>
  <c r="C244" i="27"/>
  <c r="H243" i="27"/>
  <c r="F296" i="16"/>
  <c r="G296" i="16"/>
  <c r="C244" i="16"/>
  <c r="H243" i="16"/>
  <c r="C244" i="17"/>
  <c r="H243" i="17"/>
  <c r="I295" i="16"/>
  <c r="F295" i="27"/>
  <c r="G295" i="27"/>
  <c r="B294" i="34" l="1"/>
  <c r="A295" i="34"/>
  <c r="B294" i="33"/>
  <c r="A295" i="33"/>
  <c r="B294" i="36"/>
  <c r="A295" i="36"/>
  <c r="B294" i="35"/>
  <c r="A295" i="35"/>
  <c r="I295" i="27"/>
  <c r="I296" i="16"/>
  <c r="C245" i="17"/>
  <c r="H244" i="17"/>
  <c r="A298" i="27"/>
  <c r="B297" i="27"/>
  <c r="D297" i="27" a="1"/>
  <c r="D297" i="27" s="1"/>
  <c r="E297" i="27" s="1"/>
  <c r="C245" i="16"/>
  <c r="H244" i="16"/>
  <c r="C245" i="27"/>
  <c r="H244" i="27"/>
  <c r="A299" i="16"/>
  <c r="B298" i="16"/>
  <c r="D298" i="16" a="1"/>
  <c r="D298" i="16" s="1"/>
  <c r="E298" i="16" s="1"/>
  <c r="F296" i="27"/>
  <c r="G296" i="27"/>
  <c r="C245" i="28"/>
  <c r="H244" i="28"/>
  <c r="F297" i="16"/>
  <c r="G297" i="16"/>
  <c r="B295" i="35" l="1"/>
  <c r="A296" i="35"/>
  <c r="B295" i="33"/>
  <c r="A296" i="33"/>
  <c r="B295" i="36"/>
  <c r="A296" i="36"/>
  <c r="B295" i="34"/>
  <c r="A296" i="34"/>
  <c r="G298" i="16"/>
  <c r="F298" i="16"/>
  <c r="C246" i="27"/>
  <c r="H245" i="27"/>
  <c r="A299" i="27"/>
  <c r="B298" i="27"/>
  <c r="D298" i="27" a="1"/>
  <c r="D298" i="27" s="1"/>
  <c r="E298" i="27" s="1"/>
  <c r="C246" i="28"/>
  <c r="H245" i="28"/>
  <c r="I297" i="16"/>
  <c r="I296" i="27"/>
  <c r="A300" i="16"/>
  <c r="B299" i="16"/>
  <c r="D299" i="16" a="1"/>
  <c r="D299" i="16" s="1"/>
  <c r="E299" i="16" s="1"/>
  <c r="C246" i="16"/>
  <c r="H245" i="16"/>
  <c r="F297" i="27"/>
  <c r="G297" i="27"/>
  <c r="C246" i="17"/>
  <c r="H245" i="17"/>
  <c r="B296" i="33" l="1"/>
  <c r="A297" i="33"/>
  <c r="B296" i="34"/>
  <c r="A297" i="34"/>
  <c r="B296" i="35"/>
  <c r="A297" i="35"/>
  <c r="B296" i="36"/>
  <c r="A297" i="36"/>
  <c r="G299" i="16"/>
  <c r="F299" i="16"/>
  <c r="C247" i="28"/>
  <c r="H246" i="28"/>
  <c r="G298" i="27"/>
  <c r="F298" i="27"/>
  <c r="C247" i="27"/>
  <c r="H246" i="27"/>
  <c r="I297" i="27"/>
  <c r="A301" i="16"/>
  <c r="B300" i="16"/>
  <c r="D300" i="16" a="1"/>
  <c r="D300" i="16" s="1"/>
  <c r="E300" i="16" s="1"/>
  <c r="C247" i="17"/>
  <c r="H246" i="17"/>
  <c r="C247" i="16"/>
  <c r="H246" i="16"/>
  <c r="B299" i="27"/>
  <c r="A300" i="27"/>
  <c r="D299" i="27" a="1"/>
  <c r="D299" i="27" s="1"/>
  <c r="E299" i="27" s="1"/>
  <c r="I298" i="16"/>
  <c r="B297" i="35" l="1"/>
  <c r="A298" i="35"/>
  <c r="B297" i="34"/>
  <c r="A298" i="34"/>
  <c r="B297" i="33"/>
  <c r="A298" i="33"/>
  <c r="B297" i="36"/>
  <c r="A298" i="36"/>
  <c r="F299" i="27"/>
  <c r="G299" i="27"/>
  <c r="C248" i="16"/>
  <c r="H247" i="16"/>
  <c r="A301" i="27"/>
  <c r="B300" i="27"/>
  <c r="D300" i="27" a="1"/>
  <c r="D300" i="27" s="1"/>
  <c r="E300" i="27" s="1"/>
  <c r="B301" i="16"/>
  <c r="A302" i="16"/>
  <c r="D301" i="16" a="1"/>
  <c r="D301" i="16" s="1"/>
  <c r="E301" i="16" s="1"/>
  <c r="C248" i="27"/>
  <c r="H247" i="27"/>
  <c r="C248" i="28"/>
  <c r="H247" i="28"/>
  <c r="C248" i="17"/>
  <c r="H247" i="17"/>
  <c r="G300" i="16"/>
  <c r="F300" i="16"/>
  <c r="I298" i="27"/>
  <c r="I299" i="16"/>
  <c r="B298" i="36" l="1"/>
  <c r="A299" i="36"/>
  <c r="B298" i="34"/>
  <c r="A299" i="34"/>
  <c r="B298" i="33"/>
  <c r="A299" i="33"/>
  <c r="B298" i="35"/>
  <c r="A299" i="35"/>
  <c r="C249" i="27"/>
  <c r="H248" i="27"/>
  <c r="F300" i="27"/>
  <c r="G300" i="27"/>
  <c r="C249" i="16"/>
  <c r="H248" i="16"/>
  <c r="C249" i="17"/>
  <c r="H248" i="17"/>
  <c r="I299" i="27"/>
  <c r="G301" i="16"/>
  <c r="F301" i="16"/>
  <c r="I300" i="16"/>
  <c r="C249" i="28"/>
  <c r="H248" i="28"/>
  <c r="A303" i="16"/>
  <c r="B302" i="16"/>
  <c r="D302" i="16" a="1"/>
  <c r="D302" i="16" s="1"/>
  <c r="E302" i="16" s="1"/>
  <c r="A302" i="27"/>
  <c r="B301" i="27"/>
  <c r="D301" i="27" a="1"/>
  <c r="D301" i="27" s="1"/>
  <c r="E301" i="27" s="1"/>
  <c r="B299" i="33" l="1"/>
  <c r="A300" i="33"/>
  <c r="B299" i="34"/>
  <c r="A300" i="34"/>
  <c r="B299" i="35"/>
  <c r="A300" i="35"/>
  <c r="B299" i="36"/>
  <c r="A300" i="36"/>
  <c r="G302" i="16"/>
  <c r="F302" i="16"/>
  <c r="A304" i="16"/>
  <c r="B303" i="16"/>
  <c r="D303" i="16" a="1"/>
  <c r="D303" i="16" s="1"/>
  <c r="E303" i="16" s="1"/>
  <c r="A303" i="27"/>
  <c r="B302" i="27"/>
  <c r="D302" i="27" a="1"/>
  <c r="D302" i="27" s="1"/>
  <c r="E302" i="27" s="1"/>
  <c r="I300" i="27"/>
  <c r="C250" i="28"/>
  <c r="H249" i="28"/>
  <c r="I301" i="16"/>
  <c r="K32" i="16"/>
  <c r="L37" i="17" s="1"/>
  <c r="C250" i="17"/>
  <c r="H249" i="17"/>
  <c r="F301" i="27"/>
  <c r="G301" i="27"/>
  <c r="C250" i="16"/>
  <c r="H249" i="16"/>
  <c r="C250" i="27"/>
  <c r="H249" i="27"/>
  <c r="B300" i="34" l="1"/>
  <c r="A301" i="34"/>
  <c r="B300" i="35"/>
  <c r="A301" i="35"/>
  <c r="B300" i="36"/>
  <c r="A301" i="36"/>
  <c r="B300" i="33"/>
  <c r="A301" i="33"/>
  <c r="F302" i="27"/>
  <c r="G302" i="27"/>
  <c r="C251" i="16"/>
  <c r="H250" i="16"/>
  <c r="C251" i="17"/>
  <c r="H250" i="17"/>
  <c r="C251" i="28"/>
  <c r="H250" i="28"/>
  <c r="B304" i="16"/>
  <c r="A305" i="16"/>
  <c r="D304" i="16" a="1"/>
  <c r="D304" i="16" s="1"/>
  <c r="E304" i="16" s="1"/>
  <c r="K32" i="27"/>
  <c r="N37" i="17" s="1"/>
  <c r="E42" i="9" s="1"/>
  <c r="F42" i="9" s="1"/>
  <c r="I301" i="27"/>
  <c r="C251" i="27"/>
  <c r="H250" i="27"/>
  <c r="A304" i="27"/>
  <c r="B303" i="27"/>
  <c r="D303" i="27" a="1"/>
  <c r="D303" i="27" s="1"/>
  <c r="E303" i="27" s="1"/>
  <c r="F303" i="16"/>
  <c r="G303" i="16"/>
  <c r="I302" i="16"/>
  <c r="B301" i="36" l="1"/>
  <c r="A302" i="36"/>
  <c r="B301" i="35"/>
  <c r="A302" i="35"/>
  <c r="B301" i="33"/>
  <c r="A302" i="33"/>
  <c r="B301" i="34"/>
  <c r="A302" i="34"/>
  <c r="G303" i="27"/>
  <c r="F303" i="27"/>
  <c r="F304" i="16"/>
  <c r="G304" i="16"/>
  <c r="C252" i="28"/>
  <c r="H251" i="28"/>
  <c r="C252" i="16"/>
  <c r="H251" i="16"/>
  <c r="C252" i="27"/>
  <c r="H251" i="27"/>
  <c r="I303" i="16"/>
  <c r="A305" i="27"/>
  <c r="B304" i="27"/>
  <c r="D304" i="27" a="1"/>
  <c r="D304" i="27" s="1"/>
  <c r="E304" i="27" s="1"/>
  <c r="A306" i="16"/>
  <c r="B305" i="16"/>
  <c r="D305" i="16" a="1"/>
  <c r="D305" i="16" s="1"/>
  <c r="E305" i="16" s="1"/>
  <c r="I302" i="27"/>
  <c r="D42" i="9"/>
  <c r="C252" i="17"/>
  <c r="H251" i="17"/>
  <c r="B302" i="34" l="1"/>
  <c r="A303" i="34"/>
  <c r="B302" i="33"/>
  <c r="A303" i="33"/>
  <c r="B302" i="36"/>
  <c r="A303" i="36"/>
  <c r="B302" i="35"/>
  <c r="A303" i="35"/>
  <c r="C253" i="17"/>
  <c r="H252" i="17"/>
  <c r="A307" i="16"/>
  <c r="B306" i="16"/>
  <c r="D306" i="16" a="1"/>
  <c r="D306" i="16" s="1"/>
  <c r="E306" i="16" s="1"/>
  <c r="I304" i="16"/>
  <c r="G304" i="27"/>
  <c r="F304" i="27"/>
  <c r="C253" i="16"/>
  <c r="H252" i="16"/>
  <c r="F305" i="16"/>
  <c r="G305" i="16"/>
  <c r="B305" i="27"/>
  <c r="A306" i="27"/>
  <c r="D305" i="27" a="1"/>
  <c r="D305" i="27" s="1"/>
  <c r="E305" i="27" s="1"/>
  <c r="C253" i="27"/>
  <c r="H252" i="27"/>
  <c r="C253" i="28"/>
  <c r="H252" i="28"/>
  <c r="I303" i="27"/>
  <c r="B303" i="35" l="1"/>
  <c r="A304" i="35"/>
  <c r="B303" i="34"/>
  <c r="A304" i="34"/>
  <c r="B303" i="36"/>
  <c r="A304" i="36"/>
  <c r="B303" i="33"/>
  <c r="A304" i="33"/>
  <c r="C254" i="27"/>
  <c r="H253" i="27"/>
  <c r="C254" i="16"/>
  <c r="H253" i="16"/>
  <c r="F306" i="16"/>
  <c r="G306" i="16"/>
  <c r="C254" i="17"/>
  <c r="H253" i="17"/>
  <c r="F305" i="27"/>
  <c r="G305" i="27"/>
  <c r="I304" i="27"/>
  <c r="I305" i="16"/>
  <c r="C254" i="28"/>
  <c r="H253" i="28"/>
  <c r="A307" i="27"/>
  <c r="B306" i="27"/>
  <c r="D306" i="27" a="1"/>
  <c r="D306" i="27" s="1"/>
  <c r="E306" i="27" s="1"/>
  <c r="A308" i="16"/>
  <c r="B307" i="16"/>
  <c r="D307" i="16" a="1"/>
  <c r="D307" i="16" s="1"/>
  <c r="E307" i="16" s="1"/>
  <c r="B304" i="33" l="1"/>
  <c r="A305" i="33"/>
  <c r="B304" i="34"/>
  <c r="A305" i="34"/>
  <c r="B304" i="36"/>
  <c r="A305" i="36"/>
  <c r="B304" i="35"/>
  <c r="A305" i="35"/>
  <c r="F307" i="16"/>
  <c r="G307" i="16"/>
  <c r="A309" i="16"/>
  <c r="B308" i="16"/>
  <c r="D308" i="16" a="1"/>
  <c r="D308" i="16" s="1"/>
  <c r="E308" i="16" s="1"/>
  <c r="F306" i="27"/>
  <c r="G306" i="27"/>
  <c r="C255" i="28"/>
  <c r="H254" i="28"/>
  <c r="C255" i="17"/>
  <c r="H254" i="17"/>
  <c r="C255" i="16"/>
  <c r="H254" i="16"/>
  <c r="I305" i="27"/>
  <c r="I306" i="16"/>
  <c r="B307" i="27"/>
  <c r="A308" i="27"/>
  <c r="D307" i="27" a="1"/>
  <c r="D307" i="27" s="1"/>
  <c r="E307" i="27" s="1"/>
  <c r="C255" i="27"/>
  <c r="H254" i="27"/>
  <c r="B305" i="33" l="1"/>
  <c r="A306" i="33"/>
  <c r="B305" i="36"/>
  <c r="A306" i="36"/>
  <c r="B305" i="34"/>
  <c r="A306" i="34"/>
  <c r="B305" i="35"/>
  <c r="A306" i="35"/>
  <c r="G307" i="27"/>
  <c r="F307" i="27"/>
  <c r="C256" i="16"/>
  <c r="H255" i="16"/>
  <c r="C256" i="28"/>
  <c r="H255" i="28"/>
  <c r="A309" i="27"/>
  <c r="B308" i="27"/>
  <c r="D308" i="27" a="1"/>
  <c r="D308" i="27" s="1"/>
  <c r="E308" i="27" s="1"/>
  <c r="I306" i="27"/>
  <c r="A310" i="16"/>
  <c r="B309" i="16"/>
  <c r="D309" i="16" a="1"/>
  <c r="D309" i="16" s="1"/>
  <c r="E309" i="16" s="1"/>
  <c r="C256" i="27"/>
  <c r="H255" i="27"/>
  <c r="C256" i="17"/>
  <c r="H255" i="17"/>
  <c r="I307" i="16"/>
  <c r="G308" i="16"/>
  <c r="F308" i="16"/>
  <c r="B306" i="35" l="1"/>
  <c r="A307" i="35"/>
  <c r="B306" i="34"/>
  <c r="A307" i="34"/>
  <c r="B306" i="33"/>
  <c r="A307" i="33"/>
  <c r="B306" i="36"/>
  <c r="A307" i="36"/>
  <c r="F308" i="27"/>
  <c r="G308" i="27"/>
  <c r="A311" i="16"/>
  <c r="B310" i="16"/>
  <c r="D310" i="16" a="1"/>
  <c r="D310" i="16" s="1"/>
  <c r="E310" i="16" s="1"/>
  <c r="I308" i="16"/>
  <c r="C257" i="17"/>
  <c r="H256" i="17"/>
  <c r="C257" i="27"/>
  <c r="H256" i="27"/>
  <c r="B309" i="27"/>
  <c r="A310" i="27"/>
  <c r="D309" i="27" a="1"/>
  <c r="D309" i="27" s="1"/>
  <c r="E309" i="27" s="1"/>
  <c r="C257" i="16"/>
  <c r="H256" i="16"/>
  <c r="G309" i="16"/>
  <c r="F309" i="16"/>
  <c r="C257" i="28"/>
  <c r="H256" i="28"/>
  <c r="I307" i="27"/>
  <c r="B307" i="36" l="1"/>
  <c r="A308" i="36"/>
  <c r="B307" i="33"/>
  <c r="A308" i="33"/>
  <c r="B307" i="35"/>
  <c r="A308" i="35"/>
  <c r="B307" i="34"/>
  <c r="A308" i="34"/>
  <c r="A311" i="27"/>
  <c r="B310" i="27"/>
  <c r="D310" i="27" a="1"/>
  <c r="D310" i="27" s="1"/>
  <c r="E310" i="27" s="1"/>
  <c r="C258" i="17"/>
  <c r="H257" i="17"/>
  <c r="I309" i="16"/>
  <c r="C258" i="28"/>
  <c r="H257" i="28"/>
  <c r="C258" i="16"/>
  <c r="H257" i="16"/>
  <c r="A312" i="16"/>
  <c r="B311" i="16"/>
  <c r="D311" i="16" a="1"/>
  <c r="D311" i="16" s="1"/>
  <c r="E311" i="16" s="1"/>
  <c r="F309" i="27"/>
  <c r="G309" i="27"/>
  <c r="C258" i="27"/>
  <c r="H257" i="27"/>
  <c r="I308" i="27"/>
  <c r="G310" i="16"/>
  <c r="F310" i="16"/>
  <c r="B308" i="35" l="1"/>
  <c r="A309" i="35"/>
  <c r="B308" i="34"/>
  <c r="A309" i="34"/>
  <c r="B308" i="36"/>
  <c r="A309" i="36"/>
  <c r="B308" i="33"/>
  <c r="A309" i="33"/>
  <c r="G311" i="16"/>
  <c r="F311" i="16"/>
  <c r="I310" i="16"/>
  <c r="C259" i="27"/>
  <c r="H258" i="27"/>
  <c r="I309" i="27"/>
  <c r="A313" i="16"/>
  <c r="B312" i="16"/>
  <c r="D312" i="16" a="1"/>
  <c r="D312" i="16" s="1"/>
  <c r="E312" i="16" s="1"/>
  <c r="C259" i="28"/>
  <c r="H258" i="28"/>
  <c r="C259" i="17"/>
  <c r="H258" i="17"/>
  <c r="F310" i="27"/>
  <c r="G310" i="27"/>
  <c r="C259" i="16"/>
  <c r="H258" i="16"/>
  <c r="B311" i="27"/>
  <c r="A312" i="27"/>
  <c r="D311" i="27" a="1"/>
  <c r="D311" i="27" s="1"/>
  <c r="E311" i="27" s="1"/>
  <c r="B309" i="33" l="1"/>
  <c r="A310" i="33"/>
  <c r="B309" i="36"/>
  <c r="A310" i="36"/>
  <c r="B309" i="34"/>
  <c r="A310" i="34"/>
  <c r="B309" i="35"/>
  <c r="A310" i="35"/>
  <c r="F311" i="27"/>
  <c r="G311" i="27"/>
  <c r="C260" i="28"/>
  <c r="H259" i="28"/>
  <c r="F312" i="16"/>
  <c r="G312" i="16"/>
  <c r="C260" i="16"/>
  <c r="H259" i="16"/>
  <c r="C260" i="17"/>
  <c r="H259" i="17"/>
  <c r="A313" i="27"/>
  <c r="B312" i="27"/>
  <c r="D312" i="27" a="1"/>
  <c r="D312" i="27" s="1"/>
  <c r="E312" i="27" s="1"/>
  <c r="I310" i="27"/>
  <c r="A314" i="16"/>
  <c r="B313" i="16"/>
  <c r="D313" i="16" a="1"/>
  <c r="D313" i="16" s="1"/>
  <c r="E313" i="16" s="1"/>
  <c r="C260" i="27"/>
  <c r="H259" i="27"/>
  <c r="K33" i="16"/>
  <c r="L38" i="17" s="1"/>
  <c r="I311" i="16"/>
  <c r="B310" i="35" l="1"/>
  <c r="A311" i="35"/>
  <c r="B310" i="34"/>
  <c r="A311" i="34"/>
  <c r="B310" i="36"/>
  <c r="A311" i="36"/>
  <c r="B310" i="33"/>
  <c r="A311" i="33"/>
  <c r="A315" i="16"/>
  <c r="B314" i="16"/>
  <c r="D314" i="16" a="1"/>
  <c r="D314" i="16" s="1"/>
  <c r="E314" i="16" s="1"/>
  <c r="C261" i="27"/>
  <c r="H260" i="27"/>
  <c r="B313" i="27"/>
  <c r="A314" i="27"/>
  <c r="D313" i="27" a="1"/>
  <c r="D313" i="27" s="1"/>
  <c r="E313" i="27" s="1"/>
  <c r="C261" i="16"/>
  <c r="H260" i="16"/>
  <c r="C261" i="28"/>
  <c r="H260" i="28"/>
  <c r="F313" i="16"/>
  <c r="G313" i="16"/>
  <c r="I312" i="16"/>
  <c r="I311" i="27"/>
  <c r="K33" i="27"/>
  <c r="N38" i="17" s="1"/>
  <c r="E43" i="9" s="1"/>
  <c r="F43" i="9" s="1"/>
  <c r="F312" i="27"/>
  <c r="G312" i="27"/>
  <c r="C261" i="17"/>
  <c r="H260" i="17"/>
  <c r="B311" i="36" l="1"/>
  <c r="A312" i="36"/>
  <c r="B311" i="33"/>
  <c r="A312" i="33"/>
  <c r="B311" i="35"/>
  <c r="A312" i="35"/>
  <c r="B311" i="34"/>
  <c r="A312" i="34"/>
  <c r="D43" i="9"/>
  <c r="C262" i="17"/>
  <c r="H261" i="17"/>
  <c r="I313" i="16"/>
  <c r="C262" i="28"/>
  <c r="H261" i="28"/>
  <c r="A315" i="27"/>
  <c r="B314" i="27"/>
  <c r="D314" i="27" a="1"/>
  <c r="D314" i="27" s="1"/>
  <c r="E314" i="27" s="1"/>
  <c r="F314" i="16"/>
  <c r="G314" i="16"/>
  <c r="I312" i="27"/>
  <c r="C262" i="16"/>
  <c r="H261" i="16"/>
  <c r="F313" i="27"/>
  <c r="G313" i="27"/>
  <c r="C262" i="27"/>
  <c r="H261" i="27"/>
  <c r="A316" i="16"/>
  <c r="B315" i="16"/>
  <c r="D315" i="16" a="1"/>
  <c r="D315" i="16" s="1"/>
  <c r="E315" i="16" s="1"/>
  <c r="B312" i="34" l="1"/>
  <c r="A313" i="34"/>
  <c r="B312" i="35"/>
  <c r="A313" i="35"/>
  <c r="B312" i="33"/>
  <c r="A313" i="33"/>
  <c r="B312" i="36"/>
  <c r="A313" i="36"/>
  <c r="G314" i="27"/>
  <c r="F314" i="27"/>
  <c r="C263" i="28"/>
  <c r="H262" i="28"/>
  <c r="C263" i="17"/>
  <c r="H262" i="17"/>
  <c r="A317" i="16"/>
  <c r="B316" i="16"/>
  <c r="D316" i="16" a="1"/>
  <c r="D316" i="16" s="1"/>
  <c r="E316" i="16" s="1"/>
  <c r="I313" i="27"/>
  <c r="I314" i="16"/>
  <c r="B315" i="27"/>
  <c r="A316" i="27"/>
  <c r="D315" i="27" a="1"/>
  <c r="D315" i="27" s="1"/>
  <c r="E315" i="27" s="1"/>
  <c r="F315" i="16"/>
  <c r="G315" i="16"/>
  <c r="C263" i="27"/>
  <c r="H262" i="27"/>
  <c r="C263" i="16"/>
  <c r="H262" i="16"/>
  <c r="B313" i="34" l="1"/>
  <c r="A314" i="34"/>
  <c r="B313" i="33"/>
  <c r="A314" i="33"/>
  <c r="B313" i="35"/>
  <c r="A314" i="35"/>
  <c r="B313" i="36"/>
  <c r="A314" i="36"/>
  <c r="A317" i="27"/>
  <c r="B316" i="27"/>
  <c r="D316" i="27" a="1"/>
  <c r="D316" i="27" s="1"/>
  <c r="E316" i="27" s="1"/>
  <c r="I315" i="16"/>
  <c r="C264" i="27"/>
  <c r="H263" i="27"/>
  <c r="C264" i="16"/>
  <c r="H263" i="16"/>
  <c r="A318" i="16"/>
  <c r="B317" i="16"/>
  <c r="D317" i="16" a="1"/>
  <c r="D317" i="16" s="1"/>
  <c r="E317" i="16" s="1"/>
  <c r="C264" i="28"/>
  <c r="H263" i="28"/>
  <c r="F315" i="27"/>
  <c r="G315" i="27"/>
  <c r="G316" i="16"/>
  <c r="F316" i="16"/>
  <c r="C264" i="17"/>
  <c r="H263" i="17"/>
  <c r="I314" i="27"/>
  <c r="B314" i="34" l="1"/>
  <c r="A315" i="34"/>
  <c r="B314" i="33"/>
  <c r="A315" i="33"/>
  <c r="B314" i="35"/>
  <c r="A315" i="35"/>
  <c r="B314" i="36"/>
  <c r="A315" i="36"/>
  <c r="F317" i="16"/>
  <c r="G317" i="16"/>
  <c r="C265" i="16"/>
  <c r="H264" i="16"/>
  <c r="G316" i="27"/>
  <c r="F316" i="27"/>
  <c r="C265" i="27"/>
  <c r="H264" i="27"/>
  <c r="I315" i="27"/>
  <c r="C265" i="17"/>
  <c r="H264" i="17"/>
  <c r="A319" i="16"/>
  <c r="B318" i="16"/>
  <c r="D318" i="16" a="1"/>
  <c r="D318" i="16" s="1"/>
  <c r="E318" i="16" s="1"/>
  <c r="I316" i="16"/>
  <c r="C265" i="28"/>
  <c r="H264" i="28"/>
  <c r="B317" i="27"/>
  <c r="A318" i="27"/>
  <c r="D317" i="27" a="1"/>
  <c r="D317" i="27" s="1"/>
  <c r="E317" i="27" s="1"/>
  <c r="B315" i="36" l="1"/>
  <c r="A316" i="36"/>
  <c r="B315" i="33"/>
  <c r="A316" i="33"/>
  <c r="B315" i="34"/>
  <c r="A316" i="34"/>
  <c r="B315" i="35"/>
  <c r="A316" i="35"/>
  <c r="G318" i="16"/>
  <c r="F318" i="16"/>
  <c r="C266" i="17"/>
  <c r="H265" i="17"/>
  <c r="C266" i="27"/>
  <c r="H265" i="27"/>
  <c r="C266" i="16"/>
  <c r="H265" i="16"/>
  <c r="I317" i="16"/>
  <c r="F317" i="27"/>
  <c r="G317" i="27"/>
  <c r="C266" i="28"/>
  <c r="H265" i="28"/>
  <c r="A319" i="27"/>
  <c r="B318" i="27"/>
  <c r="D318" i="27" a="1"/>
  <c r="D318" i="27" s="1"/>
  <c r="E318" i="27" s="1"/>
  <c r="A320" i="16"/>
  <c r="B319" i="16"/>
  <c r="D319" i="16" a="1"/>
  <c r="D319" i="16" s="1"/>
  <c r="E319" i="16" s="1"/>
  <c r="I316" i="27"/>
  <c r="B316" i="33" l="1"/>
  <c r="A317" i="33"/>
  <c r="B316" i="35"/>
  <c r="A317" i="35"/>
  <c r="B316" i="34"/>
  <c r="A317" i="34"/>
  <c r="B316" i="36"/>
  <c r="A317" i="36"/>
  <c r="G319" i="16"/>
  <c r="F319" i="16"/>
  <c r="I317" i="27"/>
  <c r="B319" i="27"/>
  <c r="A320" i="27"/>
  <c r="D319" i="27" a="1"/>
  <c r="D319" i="27" s="1"/>
  <c r="E319" i="27" s="1"/>
  <c r="C267" i="16"/>
  <c r="H266" i="16"/>
  <c r="C267" i="17"/>
  <c r="H266" i="17"/>
  <c r="A321" i="16"/>
  <c r="B320" i="16"/>
  <c r="D320" i="16" a="1"/>
  <c r="D320" i="16" s="1"/>
  <c r="E320" i="16" s="1"/>
  <c r="G318" i="27"/>
  <c r="F318" i="27"/>
  <c r="C267" i="28"/>
  <c r="H266" i="28"/>
  <c r="C267" i="27"/>
  <c r="H266" i="27"/>
  <c r="I318" i="16"/>
  <c r="B317" i="36" l="1"/>
  <c r="A318" i="36"/>
  <c r="B317" i="34"/>
  <c r="A318" i="34"/>
  <c r="B317" i="33"/>
  <c r="A318" i="33"/>
  <c r="B317" i="35"/>
  <c r="A318" i="35"/>
  <c r="A322" i="16"/>
  <c r="B321" i="16"/>
  <c r="D321" i="16" a="1"/>
  <c r="D321" i="16" s="1"/>
  <c r="E321" i="16" s="1"/>
  <c r="C268" i="16"/>
  <c r="H267" i="16"/>
  <c r="G319" i="27"/>
  <c r="F319" i="27"/>
  <c r="G320" i="16"/>
  <c r="F320" i="16"/>
  <c r="C268" i="17"/>
  <c r="H267" i="17"/>
  <c r="B320" i="27"/>
  <c r="A321" i="27"/>
  <c r="D320" i="27" a="1"/>
  <c r="D320" i="27" s="1"/>
  <c r="E320" i="27" s="1"/>
  <c r="C268" i="27"/>
  <c r="H267" i="27"/>
  <c r="I318" i="27"/>
  <c r="C268" i="28"/>
  <c r="H267" i="28"/>
  <c r="I319" i="16"/>
  <c r="B318" i="33" l="1"/>
  <c r="A319" i="33"/>
  <c r="B318" i="34"/>
  <c r="A319" i="34"/>
  <c r="B318" i="36"/>
  <c r="A319" i="36"/>
  <c r="B318" i="35"/>
  <c r="A319" i="35"/>
  <c r="C269" i="28"/>
  <c r="H268" i="28"/>
  <c r="I320" i="16"/>
  <c r="C269" i="16"/>
  <c r="H268" i="16"/>
  <c r="F321" i="16"/>
  <c r="G321" i="16"/>
  <c r="G320" i="27"/>
  <c r="F320" i="27"/>
  <c r="I319" i="27"/>
  <c r="C269" i="27"/>
  <c r="H268" i="27"/>
  <c r="C269" i="17"/>
  <c r="H268" i="17"/>
  <c r="A322" i="27"/>
  <c r="B321" i="27"/>
  <c r="D321" i="27" a="1"/>
  <c r="D321" i="27" s="1"/>
  <c r="E321" i="27" s="1"/>
  <c r="A323" i="16"/>
  <c r="B322" i="16"/>
  <c r="D322" i="16" a="1"/>
  <c r="D322" i="16" s="1"/>
  <c r="E322" i="16" s="1"/>
  <c r="B319" i="35" l="1"/>
  <c r="A320" i="35"/>
  <c r="B319" i="36"/>
  <c r="A320" i="36"/>
  <c r="B319" i="33"/>
  <c r="A320" i="33"/>
  <c r="B319" i="34"/>
  <c r="A320" i="34"/>
  <c r="A324" i="16"/>
  <c r="B323" i="16"/>
  <c r="D323" i="16" a="1"/>
  <c r="D323" i="16" s="1"/>
  <c r="E323" i="16" s="1"/>
  <c r="I321" i="16"/>
  <c r="K34" i="16"/>
  <c r="L39" i="17" s="1"/>
  <c r="F321" i="27"/>
  <c r="G321" i="27"/>
  <c r="C270" i="17"/>
  <c r="H269" i="17"/>
  <c r="F322" i="16"/>
  <c r="G322" i="16"/>
  <c r="A323" i="27"/>
  <c r="B322" i="27"/>
  <c r="D322" i="27" a="1"/>
  <c r="D322" i="27" s="1"/>
  <c r="E322" i="27" s="1"/>
  <c r="C270" i="27"/>
  <c r="H269" i="27"/>
  <c r="I320" i="27"/>
  <c r="C270" i="16"/>
  <c r="H269" i="16"/>
  <c r="C270" i="28"/>
  <c r="H269" i="28"/>
  <c r="B320" i="36" l="1"/>
  <c r="A321" i="36"/>
  <c r="B320" i="34"/>
  <c r="A321" i="34"/>
  <c r="B320" i="35"/>
  <c r="A321" i="35"/>
  <c r="B320" i="33"/>
  <c r="A321" i="33"/>
  <c r="A324" i="27"/>
  <c r="B323" i="27"/>
  <c r="D323" i="27" a="1"/>
  <c r="D323" i="27" s="1"/>
  <c r="E323" i="27" s="1"/>
  <c r="C271" i="16"/>
  <c r="H270" i="16"/>
  <c r="C271" i="27"/>
  <c r="H270" i="27"/>
  <c r="I322" i="16"/>
  <c r="I321" i="27"/>
  <c r="K34" i="27"/>
  <c r="N39" i="17" s="1"/>
  <c r="E44" i="9" s="1"/>
  <c r="F44" i="9" s="1"/>
  <c r="F323" i="16"/>
  <c r="G323" i="16"/>
  <c r="C271" i="28"/>
  <c r="H270" i="28"/>
  <c r="F322" i="27"/>
  <c r="G322" i="27"/>
  <c r="C271" i="17"/>
  <c r="H270" i="17"/>
  <c r="B324" i="16"/>
  <c r="A325" i="16"/>
  <c r="D324" i="16" a="1"/>
  <c r="D324" i="16" s="1"/>
  <c r="E324" i="16" s="1"/>
  <c r="B321" i="36" l="1"/>
  <c r="A322" i="36"/>
  <c r="B321" i="33"/>
  <c r="A322" i="33"/>
  <c r="B321" i="34"/>
  <c r="A322" i="34"/>
  <c r="B321" i="35"/>
  <c r="A322" i="35"/>
  <c r="D44" i="9"/>
  <c r="G324" i="16"/>
  <c r="F324" i="16"/>
  <c r="C272" i="16"/>
  <c r="H271" i="16"/>
  <c r="F323" i="27"/>
  <c r="G323" i="27"/>
  <c r="C272" i="17"/>
  <c r="H271" i="17"/>
  <c r="C272" i="28"/>
  <c r="H271" i="28"/>
  <c r="I323" i="16"/>
  <c r="C272" i="27"/>
  <c r="H271" i="27"/>
  <c r="B325" i="16"/>
  <c r="A326" i="16"/>
  <c r="D325" i="16" a="1"/>
  <c r="D325" i="16" s="1"/>
  <c r="E325" i="16" s="1"/>
  <c r="I322" i="27"/>
  <c r="B324" i="27"/>
  <c r="A325" i="27"/>
  <c r="D324" i="27" a="1"/>
  <c r="D324" i="27" s="1"/>
  <c r="E324" i="27" s="1"/>
  <c r="B322" i="35" l="1"/>
  <c r="A323" i="35"/>
  <c r="B322" i="33"/>
  <c r="A323" i="33"/>
  <c r="B322" i="36"/>
  <c r="A323" i="36"/>
  <c r="B322" i="34"/>
  <c r="A323" i="34"/>
  <c r="G325" i="16"/>
  <c r="F325" i="16"/>
  <c r="C273" i="27"/>
  <c r="H272" i="27"/>
  <c r="C273" i="28"/>
  <c r="H272" i="28"/>
  <c r="I324" i="16"/>
  <c r="A327" i="16"/>
  <c r="B326" i="16"/>
  <c r="D326" i="16" a="1"/>
  <c r="D326" i="16" s="1"/>
  <c r="E326" i="16" s="1"/>
  <c r="A326" i="27"/>
  <c r="B325" i="27"/>
  <c r="D325" i="27" a="1"/>
  <c r="D325" i="27" s="1"/>
  <c r="E325" i="27" s="1"/>
  <c r="C273" i="17"/>
  <c r="H272" i="17"/>
  <c r="C273" i="16"/>
  <c r="H272" i="16"/>
  <c r="F324" i="27"/>
  <c r="G324" i="27"/>
  <c r="I323" i="27"/>
  <c r="B323" i="36" l="1"/>
  <c r="A324" i="36"/>
  <c r="B323" i="34"/>
  <c r="A324" i="34"/>
  <c r="B323" i="35"/>
  <c r="A324" i="35"/>
  <c r="B323" i="33"/>
  <c r="A324" i="33"/>
  <c r="F325" i="27"/>
  <c r="G325" i="27"/>
  <c r="C274" i="16"/>
  <c r="H273" i="16"/>
  <c r="A327" i="27"/>
  <c r="B326" i="27"/>
  <c r="D326" i="27" a="1"/>
  <c r="D326" i="27" s="1"/>
  <c r="E326" i="27" s="1"/>
  <c r="F326" i="16"/>
  <c r="G326" i="16"/>
  <c r="C274" i="27"/>
  <c r="H273" i="27"/>
  <c r="C274" i="17"/>
  <c r="H273" i="17"/>
  <c r="I324" i="27"/>
  <c r="B327" i="16"/>
  <c r="A328" i="16"/>
  <c r="D327" i="16" a="1"/>
  <c r="D327" i="16" s="1"/>
  <c r="E327" i="16" s="1"/>
  <c r="C274" i="28"/>
  <c r="H273" i="28"/>
  <c r="I325" i="16"/>
  <c r="B324" i="35" l="1"/>
  <c r="A325" i="35"/>
  <c r="B324" i="34"/>
  <c r="A325" i="34"/>
  <c r="B324" i="33"/>
  <c r="A325" i="33"/>
  <c r="B324" i="36"/>
  <c r="A325" i="36"/>
  <c r="C275" i="28"/>
  <c r="H274" i="28"/>
  <c r="C275" i="17"/>
  <c r="H274" i="17"/>
  <c r="F326" i="27"/>
  <c r="G326" i="27"/>
  <c r="C275" i="16"/>
  <c r="H274" i="16"/>
  <c r="G327" i="16"/>
  <c r="F327" i="16"/>
  <c r="C275" i="27"/>
  <c r="H274" i="27"/>
  <c r="I325" i="27"/>
  <c r="A329" i="16"/>
  <c r="B328" i="16"/>
  <c r="D328" i="16" a="1"/>
  <c r="D328" i="16" s="1"/>
  <c r="E328" i="16" s="1"/>
  <c r="I326" i="16"/>
  <c r="A328" i="27"/>
  <c r="B327" i="27"/>
  <c r="D327" i="27" a="1"/>
  <c r="D327" i="27" s="1"/>
  <c r="E327" i="27" s="1"/>
  <c r="B325" i="36" l="1"/>
  <c r="A326" i="36"/>
  <c r="B325" i="34"/>
  <c r="A326" i="34"/>
  <c r="B325" i="35"/>
  <c r="A326" i="35"/>
  <c r="B325" i="33"/>
  <c r="A326" i="33"/>
  <c r="A329" i="27"/>
  <c r="B328" i="27"/>
  <c r="D328" i="27" a="1"/>
  <c r="D328" i="27" s="1"/>
  <c r="E328" i="27" s="1"/>
  <c r="B329" i="16"/>
  <c r="A330" i="16"/>
  <c r="D329" i="16" a="1"/>
  <c r="D329" i="16" s="1"/>
  <c r="E329" i="16" s="1"/>
  <c r="C276" i="27"/>
  <c r="H275" i="27"/>
  <c r="C276" i="16"/>
  <c r="H275" i="16"/>
  <c r="C276" i="17"/>
  <c r="H275" i="17"/>
  <c r="G327" i="27"/>
  <c r="F327" i="27"/>
  <c r="I326" i="27"/>
  <c r="F328" i="16"/>
  <c r="G328" i="16"/>
  <c r="I327" i="16"/>
  <c r="C276" i="28"/>
  <c r="H275" i="28"/>
  <c r="B326" i="33" l="1"/>
  <c r="A327" i="33"/>
  <c r="B326" i="36"/>
  <c r="A327" i="36"/>
  <c r="B326" i="34"/>
  <c r="A327" i="34"/>
  <c r="B326" i="35"/>
  <c r="A327" i="35"/>
  <c r="C277" i="17"/>
  <c r="H276" i="17"/>
  <c r="F328" i="27"/>
  <c r="G328" i="27"/>
  <c r="G329" i="16"/>
  <c r="F329" i="16"/>
  <c r="C277" i="27"/>
  <c r="H276" i="27"/>
  <c r="I328" i="16"/>
  <c r="C277" i="28"/>
  <c r="H276" i="28"/>
  <c r="I327" i="27"/>
  <c r="C277" i="16"/>
  <c r="H276" i="16"/>
  <c r="A331" i="16"/>
  <c r="B330" i="16"/>
  <c r="D330" i="16" a="1"/>
  <c r="D330" i="16" s="1"/>
  <c r="E330" i="16" s="1"/>
  <c r="A330" i="27"/>
  <c r="B329" i="27"/>
  <c r="D329" i="27" a="1"/>
  <c r="D329" i="27" s="1"/>
  <c r="E329" i="27" s="1"/>
  <c r="B327" i="36" l="1"/>
  <c r="A328" i="36"/>
  <c r="B327" i="35"/>
  <c r="A328" i="35"/>
  <c r="B327" i="34"/>
  <c r="A328" i="34"/>
  <c r="B327" i="33"/>
  <c r="A328" i="33"/>
  <c r="G329" i="27"/>
  <c r="F329" i="27"/>
  <c r="A331" i="27"/>
  <c r="B330" i="27"/>
  <c r="D330" i="27" a="1"/>
  <c r="D330" i="27" s="1"/>
  <c r="E330" i="27" s="1"/>
  <c r="I328" i="27"/>
  <c r="G330" i="16"/>
  <c r="F330" i="16"/>
  <c r="C278" i="16"/>
  <c r="H277" i="16"/>
  <c r="C278" i="28"/>
  <c r="H277" i="28"/>
  <c r="C278" i="27"/>
  <c r="H277" i="27"/>
  <c r="B331" i="16"/>
  <c r="A332" i="16"/>
  <c r="D331" i="16" a="1"/>
  <c r="D331" i="16" s="1"/>
  <c r="E331" i="16" s="1"/>
  <c r="I329" i="16"/>
  <c r="C278" i="17"/>
  <c r="H277" i="17"/>
  <c r="B328" i="35" l="1"/>
  <c r="A329" i="35"/>
  <c r="B328" i="34"/>
  <c r="A329" i="34"/>
  <c r="B328" i="36"/>
  <c r="A329" i="36"/>
  <c r="B328" i="33"/>
  <c r="A329" i="33"/>
  <c r="A333" i="16"/>
  <c r="B332" i="16"/>
  <c r="D332" i="16" a="1"/>
  <c r="D332" i="16" s="1"/>
  <c r="E332" i="16" s="1"/>
  <c r="C279" i="28"/>
  <c r="H278" i="28"/>
  <c r="I330" i="16"/>
  <c r="C279" i="17"/>
  <c r="H278" i="17"/>
  <c r="A332" i="27"/>
  <c r="B331" i="27"/>
  <c r="D331" i="27" a="1"/>
  <c r="D331" i="27" s="1"/>
  <c r="E331" i="27" s="1"/>
  <c r="F331" i="16"/>
  <c r="G331" i="16"/>
  <c r="C279" i="27"/>
  <c r="H278" i="27"/>
  <c r="C279" i="16"/>
  <c r="H278" i="16"/>
  <c r="F330" i="27"/>
  <c r="G330" i="27"/>
  <c r="I329" i="27"/>
  <c r="B329" i="35" l="1"/>
  <c r="A330" i="35"/>
  <c r="B329" i="33"/>
  <c r="A330" i="33"/>
  <c r="B329" i="34"/>
  <c r="A330" i="34"/>
  <c r="B329" i="36"/>
  <c r="A330" i="36"/>
  <c r="F331" i="27"/>
  <c r="G331" i="27"/>
  <c r="C280" i="17"/>
  <c r="H279" i="17"/>
  <c r="C280" i="28"/>
  <c r="H279" i="28"/>
  <c r="F332" i="16"/>
  <c r="G332" i="16"/>
  <c r="I330" i="27"/>
  <c r="K35" i="16"/>
  <c r="L40" i="17" s="1"/>
  <c r="I331" i="16"/>
  <c r="A333" i="27"/>
  <c r="B332" i="27"/>
  <c r="D332" i="27" a="1"/>
  <c r="D332" i="27" s="1"/>
  <c r="E332" i="27" s="1"/>
  <c r="C280" i="27"/>
  <c r="H279" i="27"/>
  <c r="C280" i="16"/>
  <c r="H279" i="16"/>
  <c r="B333" i="16"/>
  <c r="A334" i="16"/>
  <c r="D333" i="16" a="1"/>
  <c r="D333" i="16" s="1"/>
  <c r="E333" i="16" s="1"/>
  <c r="B330" i="33" l="1"/>
  <c r="A331" i="33"/>
  <c r="B330" i="34"/>
  <c r="A331" i="34"/>
  <c r="B330" i="35"/>
  <c r="A331" i="35"/>
  <c r="B330" i="36"/>
  <c r="A331" i="36"/>
  <c r="G332" i="27"/>
  <c r="F332" i="27"/>
  <c r="I332" i="16"/>
  <c r="C281" i="16"/>
  <c r="H280" i="16"/>
  <c r="C281" i="17"/>
  <c r="H280" i="17"/>
  <c r="A335" i="16"/>
  <c r="B334" i="16"/>
  <c r="D334" i="16" a="1"/>
  <c r="D334" i="16" s="1"/>
  <c r="E334" i="16" s="1"/>
  <c r="B333" i="27"/>
  <c r="A334" i="27"/>
  <c r="D333" i="27" a="1"/>
  <c r="D333" i="27" s="1"/>
  <c r="E333" i="27" s="1"/>
  <c r="I331" i="27"/>
  <c r="K35" i="27"/>
  <c r="N40" i="17" s="1"/>
  <c r="E45" i="9" s="1"/>
  <c r="F45" i="9" s="1"/>
  <c r="G333" i="16"/>
  <c r="F333" i="16"/>
  <c r="C281" i="27"/>
  <c r="H280" i="27"/>
  <c r="C281" i="28"/>
  <c r="H280" i="28"/>
  <c r="B331" i="33" l="1"/>
  <c r="A332" i="33"/>
  <c r="B331" i="36"/>
  <c r="A332" i="36"/>
  <c r="B331" i="35"/>
  <c r="A332" i="35"/>
  <c r="B331" i="34"/>
  <c r="A332" i="34"/>
  <c r="D45" i="9"/>
  <c r="G334" i="16"/>
  <c r="F334" i="16"/>
  <c r="C282" i="17"/>
  <c r="H281" i="17"/>
  <c r="I333" i="16"/>
  <c r="G333" i="27"/>
  <c r="F333" i="27"/>
  <c r="A335" i="27"/>
  <c r="B334" i="27"/>
  <c r="D334" i="27" a="1"/>
  <c r="D334" i="27" s="1"/>
  <c r="E334" i="27" s="1"/>
  <c r="A336" i="16"/>
  <c r="B335" i="16"/>
  <c r="D335" i="16" a="1"/>
  <c r="D335" i="16" s="1"/>
  <c r="E335" i="16" s="1"/>
  <c r="C282" i="28"/>
  <c r="H281" i="28"/>
  <c r="C282" i="27"/>
  <c r="H281" i="27"/>
  <c r="C282" i="16"/>
  <c r="H281" i="16"/>
  <c r="I332" i="27"/>
  <c r="B332" i="36" l="1"/>
  <c r="A333" i="36"/>
  <c r="B332" i="34"/>
  <c r="A333" i="34"/>
  <c r="B332" i="35"/>
  <c r="A333" i="35"/>
  <c r="B332" i="33"/>
  <c r="A333" i="33"/>
  <c r="F335" i="16"/>
  <c r="G335" i="16"/>
  <c r="C283" i="27"/>
  <c r="H282" i="27"/>
  <c r="B335" i="27"/>
  <c r="A336" i="27"/>
  <c r="D335" i="27" a="1"/>
  <c r="D335" i="27" s="1"/>
  <c r="E335" i="27" s="1"/>
  <c r="I334" i="16"/>
  <c r="C283" i="16"/>
  <c r="H282" i="16"/>
  <c r="C283" i="28"/>
  <c r="H282" i="28"/>
  <c r="A337" i="16"/>
  <c r="B336" i="16"/>
  <c r="D336" i="16" a="1"/>
  <c r="D336" i="16" s="1"/>
  <c r="E336" i="16" s="1"/>
  <c r="F334" i="27"/>
  <c r="G334" i="27"/>
  <c r="I333" i="27"/>
  <c r="C283" i="17"/>
  <c r="H282" i="17"/>
  <c r="B333" i="34" l="1"/>
  <c r="A334" i="34"/>
  <c r="B333" i="35"/>
  <c r="A334" i="35"/>
  <c r="B333" i="36"/>
  <c r="A334" i="36"/>
  <c r="B333" i="33"/>
  <c r="A334" i="33"/>
  <c r="F336" i="16"/>
  <c r="G336" i="16"/>
  <c r="C284" i="28"/>
  <c r="H283" i="28"/>
  <c r="G335" i="27"/>
  <c r="F335" i="27"/>
  <c r="C284" i="27"/>
  <c r="H283" i="27"/>
  <c r="I334" i="27"/>
  <c r="A338" i="16"/>
  <c r="B337" i="16"/>
  <c r="D337" i="16" a="1"/>
  <c r="D337" i="16" s="1"/>
  <c r="E337" i="16" s="1"/>
  <c r="C284" i="16"/>
  <c r="H283" i="16"/>
  <c r="A337" i="27"/>
  <c r="B336" i="27"/>
  <c r="D336" i="27" a="1"/>
  <c r="D336" i="27" s="1"/>
  <c r="E336" i="27" s="1"/>
  <c r="I335" i="16"/>
  <c r="C284" i="17"/>
  <c r="H283" i="17"/>
  <c r="B334" i="33" l="1"/>
  <c r="A335" i="33"/>
  <c r="B334" i="36"/>
  <c r="A335" i="36"/>
  <c r="B334" i="35"/>
  <c r="A335" i="35"/>
  <c r="B334" i="34"/>
  <c r="A335" i="34"/>
  <c r="C285" i="17"/>
  <c r="H284" i="17"/>
  <c r="A338" i="27"/>
  <c r="B337" i="27"/>
  <c r="D337" i="27" a="1"/>
  <c r="D337" i="27" s="1"/>
  <c r="E337" i="27" s="1"/>
  <c r="A339" i="16"/>
  <c r="B338" i="16"/>
  <c r="D338" i="16" a="1"/>
  <c r="D338" i="16" s="1"/>
  <c r="E338" i="16" s="1"/>
  <c r="C285" i="27"/>
  <c r="H284" i="27"/>
  <c r="C285" i="28"/>
  <c r="H284" i="28"/>
  <c r="G336" i="27"/>
  <c r="F336" i="27"/>
  <c r="C285" i="16"/>
  <c r="H284" i="16"/>
  <c r="I336" i="16"/>
  <c r="G337" i="16"/>
  <c r="F337" i="16"/>
  <c r="I335" i="27"/>
  <c r="B335" i="35" l="1"/>
  <c r="A336" i="35"/>
  <c r="B335" i="36"/>
  <c r="A336" i="36"/>
  <c r="B335" i="33"/>
  <c r="A336" i="33"/>
  <c r="B335" i="34"/>
  <c r="A336" i="34"/>
  <c r="G338" i="16"/>
  <c r="F338" i="16"/>
  <c r="I336" i="27"/>
  <c r="I337" i="16"/>
  <c r="B338" i="27"/>
  <c r="A339" i="27"/>
  <c r="D338" i="27" a="1"/>
  <c r="D338" i="27" s="1"/>
  <c r="E338" i="27" s="1"/>
  <c r="C286" i="27"/>
  <c r="H285" i="27"/>
  <c r="C286" i="16"/>
  <c r="H285" i="16"/>
  <c r="C286" i="28"/>
  <c r="H285" i="28"/>
  <c r="A340" i="16"/>
  <c r="B339" i="16"/>
  <c r="D339" i="16" a="1"/>
  <c r="D339" i="16" s="1"/>
  <c r="E339" i="16" s="1"/>
  <c r="F337" i="27"/>
  <c r="G337" i="27"/>
  <c r="C286" i="17"/>
  <c r="H285" i="17"/>
  <c r="B336" i="36" l="1"/>
  <c r="A337" i="36"/>
  <c r="B336" i="34"/>
  <c r="A337" i="34"/>
  <c r="B336" i="33"/>
  <c r="A337" i="33"/>
  <c r="B336" i="35"/>
  <c r="A337" i="35"/>
  <c r="C287" i="17"/>
  <c r="H286" i="17"/>
  <c r="I337" i="27"/>
  <c r="A341" i="16"/>
  <c r="B340" i="16"/>
  <c r="D340" i="16" a="1"/>
  <c r="D340" i="16" s="1"/>
  <c r="E340" i="16" s="1"/>
  <c r="C287" i="16"/>
  <c r="H286" i="16"/>
  <c r="B339" i="27"/>
  <c r="A340" i="27"/>
  <c r="D339" i="27" a="1"/>
  <c r="D339" i="27" s="1"/>
  <c r="E339" i="27" s="1"/>
  <c r="F339" i="16"/>
  <c r="G339" i="16"/>
  <c r="C287" i="28"/>
  <c r="H286" i="28"/>
  <c r="C287" i="27"/>
  <c r="H286" i="27"/>
  <c r="G338" i="27"/>
  <c r="F338" i="27"/>
  <c r="I338" i="16"/>
  <c r="B337" i="34" l="1"/>
  <c r="A338" i="34"/>
  <c r="B337" i="33"/>
  <c r="A338" i="33"/>
  <c r="B337" i="36"/>
  <c r="A338" i="36"/>
  <c r="B337" i="35"/>
  <c r="A338" i="35"/>
  <c r="G339" i="27"/>
  <c r="F339" i="27"/>
  <c r="C288" i="16"/>
  <c r="H287" i="16"/>
  <c r="G340" i="16"/>
  <c r="F340" i="16"/>
  <c r="I338" i="27"/>
  <c r="B340" i="27"/>
  <c r="A341" i="27"/>
  <c r="D340" i="27" a="1"/>
  <c r="D340" i="27" s="1"/>
  <c r="E340" i="27" s="1"/>
  <c r="I339" i="16"/>
  <c r="C288" i="28"/>
  <c r="H287" i="28"/>
  <c r="C288" i="27"/>
  <c r="H287" i="27"/>
  <c r="A342" i="16"/>
  <c r="B341" i="16"/>
  <c r="D341" i="16" a="1"/>
  <c r="D341" i="16" s="1"/>
  <c r="E341" i="16" s="1"/>
  <c r="C288" i="17"/>
  <c r="H287" i="17"/>
  <c r="B338" i="33" l="1"/>
  <c r="A339" i="33"/>
  <c r="B338" i="35"/>
  <c r="A339" i="35"/>
  <c r="B338" i="36"/>
  <c r="A339" i="36"/>
  <c r="B338" i="34"/>
  <c r="A339" i="34"/>
  <c r="F341" i="16"/>
  <c r="G341" i="16"/>
  <c r="C289" i="27"/>
  <c r="H288" i="27"/>
  <c r="G340" i="27"/>
  <c r="F340" i="27"/>
  <c r="C289" i="16"/>
  <c r="H288" i="16"/>
  <c r="A343" i="16"/>
  <c r="B342" i="16"/>
  <c r="D342" i="16" a="1"/>
  <c r="D342" i="16" s="1"/>
  <c r="E342" i="16" s="1"/>
  <c r="C289" i="28"/>
  <c r="H288" i="28"/>
  <c r="A342" i="27"/>
  <c r="B341" i="27"/>
  <c r="D341" i="27" a="1"/>
  <c r="D341" i="27" s="1"/>
  <c r="E341" i="27" s="1"/>
  <c r="C289" i="17"/>
  <c r="H288" i="17"/>
  <c r="I340" i="16"/>
  <c r="I339" i="27"/>
  <c r="B339" i="36" l="1"/>
  <c r="A340" i="36"/>
  <c r="B339" i="35"/>
  <c r="A340" i="35"/>
  <c r="B339" i="34"/>
  <c r="A340" i="34"/>
  <c r="B339" i="33"/>
  <c r="A340" i="33"/>
  <c r="G341" i="27"/>
  <c r="F341" i="27"/>
  <c r="C290" i="28"/>
  <c r="H289" i="28"/>
  <c r="F342" i="16"/>
  <c r="G342" i="16"/>
  <c r="C290" i="16"/>
  <c r="H289" i="16"/>
  <c r="C290" i="27"/>
  <c r="H289" i="27"/>
  <c r="K36" i="16"/>
  <c r="L41" i="17" s="1"/>
  <c r="I341" i="16"/>
  <c r="A343" i="27"/>
  <c r="B342" i="27"/>
  <c r="D342" i="27" a="1"/>
  <c r="D342" i="27" s="1"/>
  <c r="E342" i="27" s="1"/>
  <c r="C290" i="17"/>
  <c r="H289" i="17"/>
  <c r="A344" i="16"/>
  <c r="B343" i="16"/>
  <c r="D343" i="16" a="1"/>
  <c r="D343" i="16" s="1"/>
  <c r="E343" i="16" s="1"/>
  <c r="I340" i="27"/>
  <c r="B340" i="36" l="1"/>
  <c r="A341" i="36"/>
  <c r="B340" i="35"/>
  <c r="A341" i="35"/>
  <c r="B340" i="34"/>
  <c r="A341" i="34"/>
  <c r="B340" i="33"/>
  <c r="A341" i="33"/>
  <c r="G342" i="27"/>
  <c r="F342" i="27"/>
  <c r="A345" i="16"/>
  <c r="B344" i="16"/>
  <c r="D344" i="16" a="1"/>
  <c r="D344" i="16" s="1"/>
  <c r="E344" i="16" s="1"/>
  <c r="C291" i="16"/>
  <c r="H290" i="16"/>
  <c r="C291" i="28"/>
  <c r="H290" i="28"/>
  <c r="A344" i="27"/>
  <c r="B343" i="27"/>
  <c r="D343" i="27" a="1"/>
  <c r="D343" i="27" s="1"/>
  <c r="E343" i="27" s="1"/>
  <c r="I342" i="16"/>
  <c r="F343" i="16"/>
  <c r="G343" i="16"/>
  <c r="C291" i="17"/>
  <c r="H290" i="17"/>
  <c r="C291" i="27"/>
  <c r="H290" i="27"/>
  <c r="I341" i="27"/>
  <c r="K36" i="27"/>
  <c r="N41" i="17" s="1"/>
  <c r="E46" i="9" s="1"/>
  <c r="F46" i="9" s="1"/>
  <c r="O41" i="17" l="1"/>
  <c r="B341" i="34"/>
  <c r="A342" i="34"/>
  <c r="B341" i="33"/>
  <c r="A342" i="33"/>
  <c r="B341" i="35"/>
  <c r="A342" i="35"/>
  <c r="B341" i="36"/>
  <c r="A342" i="36"/>
  <c r="D46" i="9"/>
  <c r="I343" i="16"/>
  <c r="C292" i="28"/>
  <c r="H291" i="28"/>
  <c r="C292" i="27"/>
  <c r="H291" i="27"/>
  <c r="G343" i="27"/>
  <c r="F343" i="27"/>
  <c r="B344" i="27"/>
  <c r="A345" i="27"/>
  <c r="D344" i="27" a="1"/>
  <c r="D344" i="27" s="1"/>
  <c r="E344" i="27" s="1"/>
  <c r="C292" i="16"/>
  <c r="H291" i="16"/>
  <c r="A346" i="16"/>
  <c r="B345" i="16"/>
  <c r="D345" i="16" a="1"/>
  <c r="D345" i="16" s="1"/>
  <c r="E345" i="16" s="1"/>
  <c r="C292" i="17"/>
  <c r="H291" i="17"/>
  <c r="F344" i="16"/>
  <c r="G344" i="16"/>
  <c r="I342" i="27"/>
  <c r="B342" i="34" l="1"/>
  <c r="A343" i="34"/>
  <c r="B342" i="35"/>
  <c r="A343" i="35"/>
  <c r="B342" i="36"/>
  <c r="A343" i="36"/>
  <c r="B342" i="33"/>
  <c r="A343" i="33"/>
  <c r="C293" i="17"/>
  <c r="H292" i="17"/>
  <c r="C293" i="27"/>
  <c r="H292" i="27"/>
  <c r="G345" i="16"/>
  <c r="F345" i="16"/>
  <c r="C293" i="16"/>
  <c r="H292" i="16"/>
  <c r="G344" i="27"/>
  <c r="F344" i="27"/>
  <c r="I343" i="27"/>
  <c r="C293" i="28"/>
  <c r="H292" i="28"/>
  <c r="I344" i="16"/>
  <c r="A347" i="16"/>
  <c r="B346" i="16"/>
  <c r="D346" i="16" a="1"/>
  <c r="D346" i="16" s="1"/>
  <c r="E346" i="16" s="1"/>
  <c r="B345" i="27"/>
  <c r="A346" i="27"/>
  <c r="D345" i="27" a="1"/>
  <c r="D345" i="27" s="1"/>
  <c r="E345" i="27" s="1"/>
  <c r="B343" i="36" l="1"/>
  <c r="A344" i="36"/>
  <c r="B343" i="35"/>
  <c r="A344" i="35"/>
  <c r="B343" i="33"/>
  <c r="A344" i="33"/>
  <c r="B343" i="34"/>
  <c r="A344" i="34"/>
  <c r="F346" i="16"/>
  <c r="G346" i="16"/>
  <c r="C294" i="16"/>
  <c r="H293" i="16"/>
  <c r="C294" i="27"/>
  <c r="H293" i="27"/>
  <c r="G345" i="27"/>
  <c r="F345" i="27"/>
  <c r="A347" i="27"/>
  <c r="B346" i="27"/>
  <c r="D346" i="27" a="1"/>
  <c r="D346" i="27" s="1"/>
  <c r="E346" i="27" s="1"/>
  <c r="A348" i="16"/>
  <c r="B347" i="16"/>
  <c r="D347" i="16" a="1"/>
  <c r="D347" i="16" s="1"/>
  <c r="E347" i="16" s="1"/>
  <c r="C294" i="28"/>
  <c r="H293" i="28"/>
  <c r="I344" i="27"/>
  <c r="I345" i="16"/>
  <c r="C294" i="17"/>
  <c r="H293" i="17"/>
  <c r="B344" i="33" l="1"/>
  <c r="A345" i="33"/>
  <c r="B344" i="35"/>
  <c r="A345" i="35"/>
  <c r="B344" i="36"/>
  <c r="A345" i="36"/>
  <c r="B344" i="34"/>
  <c r="A345" i="34"/>
  <c r="G347" i="16"/>
  <c r="F347" i="16"/>
  <c r="C295" i="17"/>
  <c r="H294" i="17"/>
  <c r="A349" i="16"/>
  <c r="B348" i="16"/>
  <c r="D348" i="16" a="1"/>
  <c r="D348" i="16" s="1"/>
  <c r="E348" i="16" s="1"/>
  <c r="F346" i="27"/>
  <c r="G346" i="27"/>
  <c r="I345" i="27"/>
  <c r="C295" i="16"/>
  <c r="H294" i="16"/>
  <c r="I346" i="16"/>
  <c r="C295" i="28"/>
  <c r="H294" i="28"/>
  <c r="B347" i="27"/>
  <c r="A348" i="27"/>
  <c r="D347" i="27" a="1"/>
  <c r="D347" i="27" s="1"/>
  <c r="E347" i="27" s="1"/>
  <c r="C295" i="27"/>
  <c r="H294" i="27"/>
  <c r="B345" i="34" l="1"/>
  <c r="A346" i="34"/>
  <c r="B345" i="33"/>
  <c r="A346" i="33"/>
  <c r="B345" i="35"/>
  <c r="A346" i="35"/>
  <c r="B345" i="36"/>
  <c r="A346" i="36"/>
  <c r="F347" i="27"/>
  <c r="G347" i="27"/>
  <c r="C296" i="28"/>
  <c r="H295" i="28"/>
  <c r="C296" i="16"/>
  <c r="H295" i="16"/>
  <c r="G348" i="16"/>
  <c r="F348" i="16"/>
  <c r="C296" i="17"/>
  <c r="H295" i="17"/>
  <c r="A349" i="27"/>
  <c r="B348" i="27"/>
  <c r="D348" i="27" a="1"/>
  <c r="D348" i="27" s="1"/>
  <c r="E348" i="27" s="1"/>
  <c r="C296" i="27"/>
  <c r="H295" i="27"/>
  <c r="I346" i="27"/>
  <c r="A350" i="16"/>
  <c r="B349" i="16"/>
  <c r="D349" i="16" a="1"/>
  <c r="D349" i="16" s="1"/>
  <c r="E349" i="16" s="1"/>
  <c r="I347" i="16"/>
  <c r="B346" i="34" l="1"/>
  <c r="A347" i="34"/>
  <c r="B346" i="36"/>
  <c r="A347" i="36"/>
  <c r="B346" i="35"/>
  <c r="A347" i="35"/>
  <c r="B346" i="33"/>
  <c r="A347" i="33"/>
  <c r="F349" i="16"/>
  <c r="G349" i="16"/>
  <c r="B349" i="27"/>
  <c r="A350" i="27"/>
  <c r="D349" i="27" a="1"/>
  <c r="D349" i="27" s="1"/>
  <c r="E349" i="27" s="1"/>
  <c r="I348" i="16"/>
  <c r="C297" i="28"/>
  <c r="H296" i="28"/>
  <c r="A351" i="16"/>
  <c r="B350" i="16"/>
  <c r="D350" i="16" a="1"/>
  <c r="D350" i="16" s="1"/>
  <c r="E350" i="16" s="1"/>
  <c r="C297" i="27"/>
  <c r="H296" i="27"/>
  <c r="I347" i="27"/>
  <c r="F348" i="27"/>
  <c r="G348" i="27"/>
  <c r="C297" i="17"/>
  <c r="H296" i="17"/>
  <c r="C297" i="16"/>
  <c r="H296" i="16"/>
  <c r="B347" i="36" l="1"/>
  <c r="A348" i="36"/>
  <c r="B347" i="35"/>
  <c r="A348" i="35"/>
  <c r="B347" i="33"/>
  <c r="A348" i="33"/>
  <c r="B347" i="34"/>
  <c r="A348" i="34"/>
  <c r="F350" i="16"/>
  <c r="G350" i="16"/>
  <c r="C298" i="28"/>
  <c r="H297" i="28"/>
  <c r="A351" i="27"/>
  <c r="B350" i="27"/>
  <c r="D350" i="27" a="1"/>
  <c r="D350" i="27" s="1"/>
  <c r="E350" i="27" s="1"/>
  <c r="C298" i="16"/>
  <c r="H297" i="16"/>
  <c r="C298" i="27"/>
  <c r="H297" i="27"/>
  <c r="C298" i="17"/>
  <c r="H297" i="17"/>
  <c r="I348" i="27"/>
  <c r="A352" i="16"/>
  <c r="B351" i="16"/>
  <c r="D351" i="16" a="1"/>
  <c r="D351" i="16" s="1"/>
  <c r="E351" i="16" s="1"/>
  <c r="I349" i="16"/>
  <c r="G349" i="27"/>
  <c r="F349" i="27"/>
  <c r="B348" i="34" l="1"/>
  <c r="A349" i="34"/>
  <c r="B348" i="35"/>
  <c r="A349" i="35"/>
  <c r="B348" i="36"/>
  <c r="A349" i="36"/>
  <c r="B348" i="33"/>
  <c r="A349" i="33"/>
  <c r="G351" i="16"/>
  <c r="F351" i="16"/>
  <c r="C299" i="27"/>
  <c r="H298" i="27"/>
  <c r="I349" i="27"/>
  <c r="A353" i="16"/>
  <c r="B352" i="16"/>
  <c r="D352" i="16" a="1"/>
  <c r="D352" i="16" s="1"/>
  <c r="E352" i="16" s="1"/>
  <c r="C299" i="17"/>
  <c r="H298" i="17"/>
  <c r="C299" i="16"/>
  <c r="H298" i="16"/>
  <c r="F350" i="27"/>
  <c r="G350" i="27"/>
  <c r="C299" i="28"/>
  <c r="H298" i="28"/>
  <c r="I350" i="16"/>
  <c r="B351" i="27"/>
  <c r="A352" i="27"/>
  <c r="D351" i="27" a="1"/>
  <c r="D351" i="27" s="1"/>
  <c r="E351" i="27" s="1"/>
  <c r="B349" i="33" l="1"/>
  <c r="A350" i="33"/>
  <c r="B349" i="35"/>
  <c r="A350" i="35"/>
  <c r="B349" i="36"/>
  <c r="A350" i="36"/>
  <c r="B349" i="34"/>
  <c r="A350" i="34"/>
  <c r="A353" i="27"/>
  <c r="B352" i="27"/>
  <c r="D352" i="27" a="1"/>
  <c r="D352" i="27" s="1"/>
  <c r="E352" i="27" s="1"/>
  <c r="C300" i="28"/>
  <c r="H299" i="28"/>
  <c r="C300" i="16"/>
  <c r="H299" i="16"/>
  <c r="I350" i="27"/>
  <c r="A354" i="16"/>
  <c r="B353" i="16"/>
  <c r="D353" i="16" a="1"/>
  <c r="D353" i="16" s="1"/>
  <c r="E353" i="16" s="1"/>
  <c r="C300" i="27"/>
  <c r="H299" i="27"/>
  <c r="F351" i="27"/>
  <c r="G351" i="27"/>
  <c r="C300" i="17"/>
  <c r="H299" i="17"/>
  <c r="F352" i="16"/>
  <c r="G352" i="16"/>
  <c r="K37" i="16"/>
  <c r="L42" i="17" s="1"/>
  <c r="I351" i="16"/>
  <c r="B350" i="36" l="1"/>
  <c r="A351" i="36"/>
  <c r="B350" i="35"/>
  <c r="A351" i="35"/>
  <c r="B350" i="34"/>
  <c r="A351" i="34"/>
  <c r="B350" i="33"/>
  <c r="A351" i="33"/>
  <c r="G353" i="16"/>
  <c r="F353" i="16"/>
  <c r="C301" i="28"/>
  <c r="H300" i="28"/>
  <c r="F352" i="27"/>
  <c r="G352" i="27"/>
  <c r="I352" i="16"/>
  <c r="A355" i="16"/>
  <c r="B354" i="16"/>
  <c r="D354" i="16" a="1"/>
  <c r="D354" i="16" s="1"/>
  <c r="E354" i="16" s="1"/>
  <c r="C301" i="16"/>
  <c r="H300" i="16"/>
  <c r="K37" i="27"/>
  <c r="N42" i="17" s="1"/>
  <c r="E47" i="9" s="1"/>
  <c r="F47" i="9" s="1"/>
  <c r="I351" i="27"/>
  <c r="C301" i="17"/>
  <c r="H300" i="17"/>
  <c r="C301" i="27"/>
  <c r="H300" i="27"/>
  <c r="B353" i="27"/>
  <c r="A354" i="27"/>
  <c r="D353" i="27" a="1"/>
  <c r="D353" i="27" s="1"/>
  <c r="E353" i="27" s="1"/>
  <c r="O42" i="17" l="1"/>
  <c r="B351" i="36"/>
  <c r="A352" i="36"/>
  <c r="B351" i="34"/>
  <c r="A352" i="34"/>
  <c r="B351" i="33"/>
  <c r="A352" i="33"/>
  <c r="B351" i="35"/>
  <c r="A352" i="35"/>
  <c r="D47" i="9"/>
  <c r="G353" i="27"/>
  <c r="F353" i="27"/>
  <c r="C302" i="27"/>
  <c r="H301" i="27"/>
  <c r="C302" i="16"/>
  <c r="H301" i="16"/>
  <c r="F354" i="16"/>
  <c r="G354" i="16"/>
  <c r="C302" i="28"/>
  <c r="H301" i="28"/>
  <c r="A355" i="27"/>
  <c r="B354" i="27"/>
  <c r="D354" i="27" a="1"/>
  <c r="D354" i="27" s="1"/>
  <c r="E354" i="27" s="1"/>
  <c r="I352" i="27"/>
  <c r="C302" i="17"/>
  <c r="H301" i="17"/>
  <c r="A356" i="16"/>
  <c r="B355" i="16"/>
  <c r="D355" i="16" a="1"/>
  <c r="D355" i="16" s="1"/>
  <c r="E355" i="16" s="1"/>
  <c r="I353" i="16"/>
  <c r="B352" i="35" l="1"/>
  <c r="A353" i="35"/>
  <c r="B352" i="36"/>
  <c r="A353" i="36"/>
  <c r="B352" i="33"/>
  <c r="A353" i="33"/>
  <c r="B352" i="34"/>
  <c r="A353" i="34"/>
  <c r="F354" i="27"/>
  <c r="G354" i="27"/>
  <c r="C303" i="28"/>
  <c r="H302" i="28"/>
  <c r="C303" i="16"/>
  <c r="H302" i="16"/>
  <c r="I353" i="27"/>
  <c r="I354" i="16"/>
  <c r="B355" i="27"/>
  <c r="A356" i="27"/>
  <c r="D355" i="27" a="1"/>
  <c r="D355" i="27" s="1"/>
  <c r="E355" i="27" s="1"/>
  <c r="C303" i="27"/>
  <c r="H302" i="27"/>
  <c r="F355" i="16"/>
  <c r="G355" i="16"/>
  <c r="C303" i="17"/>
  <c r="H302" i="17"/>
  <c r="A357" i="16"/>
  <c r="B356" i="16"/>
  <c r="D356" i="16" a="1"/>
  <c r="D356" i="16" s="1"/>
  <c r="E356" i="16" s="1"/>
  <c r="B353" i="34" l="1"/>
  <c r="A354" i="34"/>
  <c r="B353" i="35"/>
  <c r="A354" i="35"/>
  <c r="B353" i="36"/>
  <c r="A354" i="36"/>
  <c r="B353" i="33"/>
  <c r="A354" i="33"/>
  <c r="I355" i="16"/>
  <c r="B357" i="16"/>
  <c r="A358" i="16"/>
  <c r="D357" i="16" a="1"/>
  <c r="D357" i="16" s="1"/>
  <c r="E357" i="16" s="1"/>
  <c r="A357" i="27"/>
  <c r="B356" i="27"/>
  <c r="D356" i="27" a="1"/>
  <c r="D356" i="27" s="1"/>
  <c r="E356" i="27" s="1"/>
  <c r="C304" i="28"/>
  <c r="H303" i="28"/>
  <c r="F356" i="16"/>
  <c r="G356" i="16"/>
  <c r="C304" i="17"/>
  <c r="H303" i="17"/>
  <c r="C304" i="27"/>
  <c r="H303" i="27"/>
  <c r="I354" i="27"/>
  <c r="G355" i="27"/>
  <c r="F355" i="27"/>
  <c r="C304" i="16"/>
  <c r="H303" i="16"/>
  <c r="B354" i="34" l="1"/>
  <c r="A355" i="34"/>
  <c r="B354" i="36"/>
  <c r="A355" i="36"/>
  <c r="B354" i="35"/>
  <c r="A355" i="35"/>
  <c r="B354" i="33"/>
  <c r="A355" i="33"/>
  <c r="F356" i="27"/>
  <c r="G356" i="27"/>
  <c r="A359" i="16"/>
  <c r="B358" i="16"/>
  <c r="D358" i="16" a="1"/>
  <c r="D358" i="16" s="1"/>
  <c r="E358" i="16" s="1"/>
  <c r="C305" i="17"/>
  <c r="H304" i="17"/>
  <c r="I356" i="16"/>
  <c r="I355" i="27"/>
  <c r="C305" i="27"/>
  <c r="H304" i="27"/>
  <c r="C305" i="16"/>
  <c r="H304" i="16"/>
  <c r="C305" i="28"/>
  <c r="H304" i="28"/>
  <c r="A358" i="27"/>
  <c r="B357" i="27"/>
  <c r="D357" i="27" a="1"/>
  <c r="D357" i="27" s="1"/>
  <c r="E357" i="27" s="1"/>
  <c r="G357" i="16"/>
  <c r="F357" i="16"/>
  <c r="B355" i="36" l="1"/>
  <c r="A356" i="36"/>
  <c r="B355" i="34"/>
  <c r="A356" i="34"/>
  <c r="B355" i="33"/>
  <c r="A356" i="33"/>
  <c r="B355" i="35"/>
  <c r="A356" i="35"/>
  <c r="F357" i="27"/>
  <c r="G357" i="27"/>
  <c r="C306" i="28"/>
  <c r="H305" i="28"/>
  <c r="C306" i="27"/>
  <c r="H305" i="27"/>
  <c r="I357" i="16"/>
  <c r="B359" i="16"/>
  <c r="A360" i="16"/>
  <c r="D359" i="16" a="1"/>
  <c r="D359" i="16" s="1"/>
  <c r="E359" i="16" s="1"/>
  <c r="A359" i="27"/>
  <c r="B358" i="27"/>
  <c r="D358" i="27" a="1"/>
  <c r="D358" i="27" s="1"/>
  <c r="E358" i="27" s="1"/>
  <c r="C306" i="16"/>
  <c r="H305" i="16"/>
  <c r="C306" i="17"/>
  <c r="H305" i="17"/>
  <c r="I356" i="27"/>
  <c r="F358" i="16"/>
  <c r="G358" i="16"/>
  <c r="B356" i="35" l="1"/>
  <c r="A357" i="35"/>
  <c r="B356" i="36"/>
  <c r="A357" i="36"/>
  <c r="B356" i="34"/>
  <c r="A357" i="34"/>
  <c r="B356" i="33"/>
  <c r="A357" i="33"/>
  <c r="C307" i="16"/>
  <c r="H306" i="16"/>
  <c r="A360" i="27"/>
  <c r="B359" i="27"/>
  <c r="D359" i="27" a="1"/>
  <c r="D359" i="27" s="1"/>
  <c r="E359" i="27" s="1"/>
  <c r="F359" i="16"/>
  <c r="G359" i="16"/>
  <c r="C307" i="28"/>
  <c r="H306" i="28"/>
  <c r="F358" i="27"/>
  <c r="G358" i="27"/>
  <c r="A361" i="16"/>
  <c r="B360" i="16"/>
  <c r="D360" i="16" a="1"/>
  <c r="D360" i="16" s="1"/>
  <c r="E360" i="16" s="1"/>
  <c r="I357" i="27"/>
  <c r="I358" i="16"/>
  <c r="C307" i="17"/>
  <c r="H306" i="17"/>
  <c r="C307" i="27"/>
  <c r="H306" i="27"/>
  <c r="B357" i="36" l="1"/>
  <c r="A358" i="36"/>
  <c r="B357" i="35"/>
  <c r="A358" i="35"/>
  <c r="B357" i="33"/>
  <c r="A358" i="33"/>
  <c r="B357" i="34"/>
  <c r="A358" i="34"/>
  <c r="B361" i="16"/>
  <c r="A362" i="16"/>
  <c r="D361" i="16" a="1"/>
  <c r="D361" i="16" s="1"/>
  <c r="E361" i="16" s="1"/>
  <c r="C308" i="28"/>
  <c r="H307" i="28"/>
  <c r="C308" i="27"/>
  <c r="H307" i="27"/>
  <c r="C308" i="17"/>
  <c r="H307" i="17"/>
  <c r="I358" i="27"/>
  <c r="I359" i="16"/>
  <c r="A361" i="27"/>
  <c r="B360" i="27"/>
  <c r="D360" i="27" a="1"/>
  <c r="D360" i="27" s="1"/>
  <c r="E360" i="27" s="1"/>
  <c r="G360" i="16"/>
  <c r="F360" i="16"/>
  <c r="G359" i="27"/>
  <c r="F359" i="27"/>
  <c r="C308" i="16"/>
  <c r="H307" i="16"/>
  <c r="B358" i="33" l="1"/>
  <c r="A359" i="33"/>
  <c r="B358" i="36"/>
  <c r="A359" i="36"/>
  <c r="B358" i="34"/>
  <c r="A359" i="34"/>
  <c r="B358" i="35"/>
  <c r="A359" i="35"/>
  <c r="F360" i="27"/>
  <c r="G360" i="27"/>
  <c r="C309" i="17"/>
  <c r="H308" i="17"/>
  <c r="C309" i="28"/>
  <c r="H308" i="28"/>
  <c r="G361" i="16"/>
  <c r="F361" i="16"/>
  <c r="A362" i="27"/>
  <c r="B361" i="27"/>
  <c r="D361" i="27" a="1"/>
  <c r="D361" i="27" s="1"/>
  <c r="E361" i="27" s="1"/>
  <c r="C309" i="27"/>
  <c r="H308" i="27"/>
  <c r="A363" i="16"/>
  <c r="B362" i="16"/>
  <c r="D362" i="16" a="1"/>
  <c r="D362" i="16" s="1"/>
  <c r="E362" i="16" s="1"/>
  <c r="I359" i="27"/>
  <c r="C309" i="16"/>
  <c r="H308" i="16"/>
  <c r="I360" i="16"/>
  <c r="B359" i="35" l="1"/>
  <c r="A360" i="35"/>
  <c r="B359" i="34"/>
  <c r="A360" i="34"/>
  <c r="B359" i="36"/>
  <c r="A360" i="36"/>
  <c r="B359" i="33"/>
  <c r="A360" i="33"/>
  <c r="F362" i="16"/>
  <c r="G362" i="16"/>
  <c r="C310" i="27"/>
  <c r="H309" i="27"/>
  <c r="F361" i="27"/>
  <c r="G361" i="27"/>
  <c r="K38" i="16"/>
  <c r="L43" i="17" s="1"/>
  <c r="I361" i="16"/>
  <c r="C310" i="17"/>
  <c r="H309" i="17"/>
  <c r="C310" i="16"/>
  <c r="H309" i="16"/>
  <c r="I360" i="27"/>
  <c r="B363" i="16"/>
  <c r="A364" i="16"/>
  <c r="D363" i="16" a="1"/>
  <c r="D363" i="16" s="1"/>
  <c r="E363" i="16" s="1"/>
  <c r="A363" i="27"/>
  <c r="B362" i="27"/>
  <c r="D362" i="27" a="1"/>
  <c r="D362" i="27" s="1"/>
  <c r="E362" i="27" s="1"/>
  <c r="C310" i="28"/>
  <c r="H309" i="28"/>
  <c r="B360" i="34" l="1"/>
  <c r="A361" i="34"/>
  <c r="B360" i="36"/>
  <c r="A361" i="36"/>
  <c r="B360" i="33"/>
  <c r="A361" i="33"/>
  <c r="B360" i="35"/>
  <c r="A361" i="35"/>
  <c r="C311" i="28"/>
  <c r="H310" i="28"/>
  <c r="C311" i="16"/>
  <c r="H310" i="16"/>
  <c r="A364" i="27"/>
  <c r="B363" i="27"/>
  <c r="D363" i="27" a="1"/>
  <c r="D363" i="27" s="1"/>
  <c r="E363" i="27" s="1"/>
  <c r="C311" i="27"/>
  <c r="H310" i="27"/>
  <c r="F363" i="16"/>
  <c r="G363" i="16"/>
  <c r="C311" i="17"/>
  <c r="H310" i="17"/>
  <c r="I361" i="27"/>
  <c r="K38" i="27"/>
  <c r="N43" i="17" s="1"/>
  <c r="E48" i="9" s="1"/>
  <c r="F48" i="9" s="1"/>
  <c r="I362" i="16"/>
  <c r="F362" i="27"/>
  <c r="G362" i="27"/>
  <c r="A365" i="16"/>
  <c r="B364" i="16"/>
  <c r="D364" i="16" a="1"/>
  <c r="D364" i="16" s="1"/>
  <c r="E364" i="16" s="1"/>
  <c r="O43" i="17" l="1"/>
  <c r="B361" i="36"/>
  <c r="A362" i="36"/>
  <c r="B361" i="35"/>
  <c r="A362" i="35"/>
  <c r="B361" i="33"/>
  <c r="A362" i="33"/>
  <c r="B361" i="34"/>
  <c r="A362" i="34"/>
  <c r="D48" i="9"/>
  <c r="F364" i="16"/>
  <c r="G364" i="16"/>
  <c r="I363" i="16"/>
  <c r="G363" i="27"/>
  <c r="F363" i="27"/>
  <c r="C312" i="16"/>
  <c r="H311" i="16"/>
  <c r="A366" i="16"/>
  <c r="B365" i="16"/>
  <c r="D365" i="16" a="1"/>
  <c r="D365" i="16" s="1"/>
  <c r="E365" i="16" s="1"/>
  <c r="I362" i="27"/>
  <c r="C312" i="17"/>
  <c r="H311" i="17"/>
  <c r="C312" i="27"/>
  <c r="H311" i="27"/>
  <c r="A365" i="27"/>
  <c r="B364" i="27"/>
  <c r="D364" i="27" a="1"/>
  <c r="D364" i="27" s="1"/>
  <c r="E364" i="27" s="1"/>
  <c r="C312" i="28"/>
  <c r="H311" i="28"/>
  <c r="B362" i="34" l="1"/>
  <c r="A363" i="34"/>
  <c r="B362" i="33"/>
  <c r="A363" i="33"/>
  <c r="B362" i="35"/>
  <c r="A363" i="35"/>
  <c r="B362" i="36"/>
  <c r="A363" i="36"/>
  <c r="B365" i="27"/>
  <c r="A366" i="27"/>
  <c r="D365" i="27" a="1"/>
  <c r="D365" i="27" s="1"/>
  <c r="E365" i="27" s="1"/>
  <c r="C313" i="28"/>
  <c r="H312" i="28"/>
  <c r="A367" i="16"/>
  <c r="B366" i="16"/>
  <c r="D366" i="16" a="1"/>
  <c r="D366" i="16" s="1"/>
  <c r="E366" i="16" s="1"/>
  <c r="I363" i="27"/>
  <c r="G364" i="27"/>
  <c r="F364" i="27"/>
  <c r="C313" i="27"/>
  <c r="H312" i="27"/>
  <c r="F365" i="16"/>
  <c r="G365" i="16"/>
  <c r="C313" i="16"/>
  <c r="H312" i="16"/>
  <c r="C313" i="17"/>
  <c r="H312" i="17"/>
  <c r="I364" i="16"/>
  <c r="B363" i="33" l="1"/>
  <c r="A364" i="33"/>
  <c r="B363" i="35"/>
  <c r="A364" i="35"/>
  <c r="B363" i="34"/>
  <c r="A364" i="34"/>
  <c r="B363" i="36"/>
  <c r="A364" i="36"/>
  <c r="G365" i="27"/>
  <c r="F365" i="27"/>
  <c r="I365" i="16"/>
  <c r="A368" i="16"/>
  <c r="B367" i="16"/>
  <c r="D367" i="16" a="1"/>
  <c r="D367" i="16" s="1"/>
  <c r="E367" i="16" s="1"/>
  <c r="A367" i="27"/>
  <c r="B366" i="27"/>
  <c r="D366" i="27" a="1"/>
  <c r="D366" i="27" s="1"/>
  <c r="E366" i="27" s="1"/>
  <c r="G366" i="16"/>
  <c r="F366" i="16"/>
  <c r="C314" i="28"/>
  <c r="H313" i="28"/>
  <c r="I364" i="27"/>
  <c r="C314" i="17"/>
  <c r="H313" i="17"/>
  <c r="C314" i="16"/>
  <c r="H313" i="16"/>
  <c r="C314" i="27"/>
  <c r="H313" i="27"/>
  <c r="B364" i="34" l="1"/>
  <c r="A365" i="34"/>
  <c r="B364" i="33"/>
  <c r="A365" i="33"/>
  <c r="B364" i="35"/>
  <c r="A365" i="35"/>
  <c r="B364" i="36"/>
  <c r="A365" i="36"/>
  <c r="F366" i="27"/>
  <c r="G366" i="27"/>
  <c r="C315" i="27"/>
  <c r="H314" i="27"/>
  <c r="C315" i="17"/>
  <c r="H314" i="17"/>
  <c r="C315" i="28"/>
  <c r="H314" i="28"/>
  <c r="A368" i="27"/>
  <c r="B367" i="27"/>
  <c r="D367" i="27" a="1"/>
  <c r="D367" i="27" s="1"/>
  <c r="E367" i="27" s="1"/>
  <c r="F367" i="16"/>
  <c r="G367" i="16"/>
  <c r="I366" i="16"/>
  <c r="C315" i="16"/>
  <c r="H314" i="16"/>
  <c r="B368" i="16"/>
  <c r="A369" i="16"/>
  <c r="D368" i="16" a="1"/>
  <c r="D368" i="16" s="1"/>
  <c r="E368" i="16" s="1"/>
  <c r="I365" i="27"/>
  <c r="B365" i="33" l="1"/>
  <c r="A366" i="33"/>
  <c r="B365" i="34"/>
  <c r="A366" i="34"/>
  <c r="B365" i="36"/>
  <c r="A366" i="36"/>
  <c r="B365" i="35"/>
  <c r="A366" i="35"/>
  <c r="F368" i="16"/>
  <c r="G368" i="16"/>
  <c r="C316" i="16"/>
  <c r="H315" i="16"/>
  <c r="F367" i="27"/>
  <c r="G367" i="27"/>
  <c r="C316" i="28"/>
  <c r="H315" i="28"/>
  <c r="C316" i="27"/>
  <c r="H315" i="27"/>
  <c r="I366" i="27"/>
  <c r="A370" i="16"/>
  <c r="B369" i="16"/>
  <c r="D369" i="16" a="1"/>
  <c r="D369" i="16" s="1"/>
  <c r="E369" i="16" s="1"/>
  <c r="I367" i="16"/>
  <c r="B368" i="27"/>
  <c r="A369" i="27"/>
  <c r="D368" i="27" a="1"/>
  <c r="D368" i="27" s="1"/>
  <c r="E368" i="27" s="1"/>
  <c r="C316" i="17"/>
  <c r="H315" i="17"/>
  <c r="B366" i="33" l="1"/>
  <c r="A367" i="33"/>
  <c r="B366" i="36"/>
  <c r="A367" i="36"/>
  <c r="B366" i="35"/>
  <c r="A367" i="35"/>
  <c r="B366" i="34"/>
  <c r="A367" i="34"/>
  <c r="G368" i="27"/>
  <c r="F368" i="27"/>
  <c r="F369" i="16"/>
  <c r="G369" i="16"/>
  <c r="C317" i="28"/>
  <c r="H316" i="28"/>
  <c r="C317" i="16"/>
  <c r="H316" i="16"/>
  <c r="I367" i="27"/>
  <c r="I368" i="16"/>
  <c r="A370" i="27"/>
  <c r="B369" i="27"/>
  <c r="D369" i="27" a="1"/>
  <c r="D369" i="27" s="1"/>
  <c r="E369" i="27" s="1"/>
  <c r="C317" i="17"/>
  <c r="H316" i="17"/>
  <c r="B370" i="16"/>
  <c r="A371" i="16"/>
  <c r="D370" i="16" a="1"/>
  <c r="D370" i="16" s="1"/>
  <c r="E370" i="16" s="1"/>
  <c r="C317" i="27"/>
  <c r="H316" i="27"/>
  <c r="B367" i="34" l="1"/>
  <c r="A368" i="34"/>
  <c r="B367" i="33"/>
  <c r="A368" i="33"/>
  <c r="B367" i="35"/>
  <c r="A368" i="35"/>
  <c r="B367" i="36"/>
  <c r="A368" i="36"/>
  <c r="G370" i="16"/>
  <c r="F370" i="16"/>
  <c r="C318" i="17"/>
  <c r="H317" i="17"/>
  <c r="I369" i="16"/>
  <c r="G369" i="27"/>
  <c r="F369" i="27"/>
  <c r="C318" i="16"/>
  <c r="H317" i="16"/>
  <c r="A372" i="16"/>
  <c r="B371" i="16"/>
  <c r="D371" i="16" a="1"/>
  <c r="D371" i="16" s="1"/>
  <c r="E371" i="16" s="1"/>
  <c r="C318" i="27"/>
  <c r="H317" i="27"/>
  <c r="A371" i="27"/>
  <c r="B370" i="27"/>
  <c r="D370" i="27" a="1"/>
  <c r="D370" i="27" s="1"/>
  <c r="E370" i="27" s="1"/>
  <c r="C318" i="28"/>
  <c r="H317" i="28"/>
  <c r="I368" i="27"/>
  <c r="B368" i="34" l="1"/>
  <c r="A369" i="34"/>
  <c r="B368" i="35"/>
  <c r="A369" i="35"/>
  <c r="B368" i="33"/>
  <c r="A369" i="33"/>
  <c r="B368" i="36"/>
  <c r="A369" i="36"/>
  <c r="A372" i="27"/>
  <c r="B371" i="27"/>
  <c r="D371" i="27" a="1"/>
  <c r="D371" i="27" s="1"/>
  <c r="E371" i="27" s="1"/>
  <c r="C319" i="28"/>
  <c r="H318" i="28"/>
  <c r="A373" i="16"/>
  <c r="B372" i="16"/>
  <c r="D372" i="16" a="1"/>
  <c r="D372" i="16" s="1"/>
  <c r="E372" i="16" s="1"/>
  <c r="I369" i="27"/>
  <c r="C319" i="17"/>
  <c r="H318" i="17"/>
  <c r="F370" i="27"/>
  <c r="G370" i="27"/>
  <c r="C319" i="27"/>
  <c r="H318" i="27"/>
  <c r="F371" i="16"/>
  <c r="G371" i="16"/>
  <c r="C319" i="16"/>
  <c r="H318" i="16"/>
  <c r="I370" i="16"/>
  <c r="B369" i="36" l="1"/>
  <c r="A370" i="36"/>
  <c r="B369" i="35"/>
  <c r="A370" i="35"/>
  <c r="B369" i="34"/>
  <c r="A370" i="34"/>
  <c r="B369" i="33"/>
  <c r="A370" i="33"/>
  <c r="F372" i="16"/>
  <c r="G372" i="16"/>
  <c r="C320" i="28"/>
  <c r="H319" i="28"/>
  <c r="F371" i="27"/>
  <c r="G371" i="27"/>
  <c r="C320" i="16"/>
  <c r="H319" i="16"/>
  <c r="C320" i="27"/>
  <c r="H319" i="27"/>
  <c r="C320" i="17"/>
  <c r="H319" i="17"/>
  <c r="K39" i="16"/>
  <c r="L44" i="17" s="1"/>
  <c r="I371" i="16"/>
  <c r="A374" i="16"/>
  <c r="B373" i="16"/>
  <c r="D373" i="16" a="1"/>
  <c r="D373" i="16" s="1"/>
  <c r="E373" i="16" s="1"/>
  <c r="I370" i="27"/>
  <c r="A373" i="27"/>
  <c r="B372" i="27"/>
  <c r="D372" i="27" a="1"/>
  <c r="D372" i="27" s="1"/>
  <c r="E372" i="27" s="1"/>
  <c r="B370" i="35" l="1"/>
  <c r="A371" i="35"/>
  <c r="B370" i="36"/>
  <c r="A371" i="36"/>
  <c r="B370" i="33"/>
  <c r="A371" i="33"/>
  <c r="B370" i="34"/>
  <c r="A371" i="34"/>
  <c r="A375" i="16"/>
  <c r="B374" i="16"/>
  <c r="D374" i="16" a="1"/>
  <c r="D374" i="16" s="1"/>
  <c r="E374" i="16" s="1"/>
  <c r="F372" i="27"/>
  <c r="G372" i="27"/>
  <c r="C321" i="17"/>
  <c r="H320" i="17"/>
  <c r="C321" i="16"/>
  <c r="H320" i="16"/>
  <c r="C321" i="28"/>
  <c r="H320" i="28"/>
  <c r="G373" i="16"/>
  <c r="F373" i="16"/>
  <c r="I371" i="27"/>
  <c r="K39" i="27"/>
  <c r="N44" i="17" s="1"/>
  <c r="E49" i="9" s="1"/>
  <c r="F49" i="9" s="1"/>
  <c r="I372" i="16"/>
  <c r="A374" i="27"/>
  <c r="B373" i="27"/>
  <c r="D373" i="27" a="1"/>
  <c r="D373" i="27" s="1"/>
  <c r="E373" i="27" s="1"/>
  <c r="C321" i="27"/>
  <c r="H320" i="27"/>
  <c r="O44" i="17" l="1"/>
  <c r="B371" i="35"/>
  <c r="A372" i="35"/>
  <c r="B371" i="34"/>
  <c r="A372" i="34"/>
  <c r="B371" i="33"/>
  <c r="A372" i="33"/>
  <c r="B371" i="36"/>
  <c r="A372" i="36"/>
  <c r="C322" i="27"/>
  <c r="H321" i="27"/>
  <c r="D49" i="9"/>
  <c r="I373" i="16"/>
  <c r="C322" i="16"/>
  <c r="H321" i="16"/>
  <c r="G374" i="16"/>
  <c r="F374" i="16"/>
  <c r="A375" i="27"/>
  <c r="B374" i="27"/>
  <c r="D374" i="27" a="1"/>
  <c r="D374" i="27" s="1"/>
  <c r="E374" i="27" s="1"/>
  <c r="C322" i="28"/>
  <c r="H321" i="28"/>
  <c r="C322" i="17"/>
  <c r="H321" i="17"/>
  <c r="F373" i="27"/>
  <c r="G373" i="27"/>
  <c r="I372" i="27"/>
  <c r="A376" i="16"/>
  <c r="B375" i="16"/>
  <c r="D375" i="16" a="1"/>
  <c r="D375" i="16" s="1"/>
  <c r="E375" i="16" s="1"/>
  <c r="B372" i="36" l="1"/>
  <c r="A373" i="36"/>
  <c r="B372" i="35"/>
  <c r="A373" i="35"/>
  <c r="B372" i="33"/>
  <c r="A373" i="33"/>
  <c r="B372" i="34"/>
  <c r="A373" i="34"/>
  <c r="I373" i="27"/>
  <c r="A376" i="27"/>
  <c r="B375" i="27"/>
  <c r="D375" i="27" a="1"/>
  <c r="D375" i="27" s="1"/>
  <c r="E375" i="27" s="1"/>
  <c r="C323" i="16"/>
  <c r="H322" i="16"/>
  <c r="A377" i="16"/>
  <c r="B376" i="16"/>
  <c r="D376" i="16" a="1"/>
  <c r="D376" i="16" s="1"/>
  <c r="E376" i="16" s="1"/>
  <c r="C323" i="28"/>
  <c r="H322" i="28"/>
  <c r="G374" i="27"/>
  <c r="F374" i="27"/>
  <c r="I374" i="16"/>
  <c r="F375" i="16"/>
  <c r="G375" i="16"/>
  <c r="C323" i="17"/>
  <c r="H322" i="17"/>
  <c r="C323" i="27"/>
  <c r="H322" i="27"/>
  <c r="B373" i="35" l="1"/>
  <c r="A374" i="35"/>
  <c r="B373" i="33"/>
  <c r="A374" i="33"/>
  <c r="B373" i="36"/>
  <c r="A374" i="36"/>
  <c r="B373" i="34"/>
  <c r="A374" i="34"/>
  <c r="I375" i="16"/>
  <c r="B377" i="16"/>
  <c r="A378" i="16"/>
  <c r="D377" i="16" a="1"/>
  <c r="D377" i="16" s="1"/>
  <c r="E377" i="16" s="1"/>
  <c r="C324" i="17"/>
  <c r="H323" i="17"/>
  <c r="C324" i="27"/>
  <c r="H323" i="27"/>
  <c r="I374" i="27"/>
  <c r="C324" i="28"/>
  <c r="H323" i="28"/>
  <c r="A377" i="27"/>
  <c r="B376" i="27"/>
  <c r="D376" i="27" a="1"/>
  <c r="D376" i="27" s="1"/>
  <c r="E376" i="27" s="1"/>
  <c r="G376" i="16"/>
  <c r="F376" i="16"/>
  <c r="C324" i="16"/>
  <c r="H323" i="16"/>
  <c r="G375" i="27"/>
  <c r="F375" i="27"/>
  <c r="B374" i="34" l="1"/>
  <c r="A375" i="34"/>
  <c r="B374" i="36"/>
  <c r="A375" i="36"/>
  <c r="B374" i="33"/>
  <c r="A375" i="33"/>
  <c r="B374" i="35"/>
  <c r="A375" i="35"/>
  <c r="F376" i="27"/>
  <c r="G376" i="27"/>
  <c r="C325" i="28"/>
  <c r="H324" i="28"/>
  <c r="C325" i="27"/>
  <c r="H324" i="27"/>
  <c r="A379" i="16"/>
  <c r="B378" i="16"/>
  <c r="D378" i="16" a="1"/>
  <c r="D378" i="16" s="1"/>
  <c r="E378" i="16" s="1"/>
  <c r="I376" i="16"/>
  <c r="C325" i="16"/>
  <c r="H324" i="16"/>
  <c r="I375" i="27"/>
  <c r="A378" i="27"/>
  <c r="B377" i="27"/>
  <c r="D377" i="27" a="1"/>
  <c r="D377" i="27" s="1"/>
  <c r="E377" i="27" s="1"/>
  <c r="C325" i="17"/>
  <c r="H324" i="17"/>
  <c r="G377" i="16"/>
  <c r="F377" i="16"/>
  <c r="B375" i="34" l="1"/>
  <c r="A376" i="34"/>
  <c r="B375" i="33"/>
  <c r="A376" i="33"/>
  <c r="B375" i="35"/>
  <c r="A376" i="35"/>
  <c r="B375" i="36"/>
  <c r="A376" i="36"/>
  <c r="F377" i="27"/>
  <c r="G377" i="27"/>
  <c r="I377" i="16"/>
  <c r="A379" i="27"/>
  <c r="B378" i="27"/>
  <c r="D378" i="27" a="1"/>
  <c r="D378" i="27" s="1"/>
  <c r="E378" i="27" s="1"/>
  <c r="C326" i="16"/>
  <c r="H325" i="16"/>
  <c r="C326" i="17"/>
  <c r="H325" i="17"/>
  <c r="A380" i="16"/>
  <c r="B379" i="16"/>
  <c r="D379" i="16" a="1"/>
  <c r="D379" i="16" s="1"/>
  <c r="E379" i="16" s="1"/>
  <c r="C326" i="28"/>
  <c r="H325" i="28"/>
  <c r="I376" i="27"/>
  <c r="F378" i="16"/>
  <c r="G378" i="16"/>
  <c r="C326" i="27"/>
  <c r="H325" i="27"/>
  <c r="B376" i="35" l="1"/>
  <c r="A377" i="35"/>
  <c r="B376" i="34"/>
  <c r="A377" i="34"/>
  <c r="B376" i="33"/>
  <c r="A377" i="33"/>
  <c r="B376" i="36"/>
  <c r="A377" i="36"/>
  <c r="F379" i="16"/>
  <c r="G379" i="16"/>
  <c r="C327" i="17"/>
  <c r="H326" i="17"/>
  <c r="C327" i="27"/>
  <c r="H326" i="27"/>
  <c r="I378" i="16"/>
  <c r="A381" i="16"/>
  <c r="B380" i="16"/>
  <c r="D380" i="16" a="1"/>
  <c r="D380" i="16" s="1"/>
  <c r="E380" i="16" s="1"/>
  <c r="C327" i="16"/>
  <c r="H326" i="16"/>
  <c r="F378" i="27"/>
  <c r="G378" i="27"/>
  <c r="C327" i="28"/>
  <c r="H326" i="28"/>
  <c r="I377" i="27"/>
  <c r="A380" i="27"/>
  <c r="B379" i="27"/>
  <c r="D379" i="27" a="1"/>
  <c r="D379" i="27" s="1"/>
  <c r="E379" i="27" s="1"/>
  <c r="B377" i="36" l="1"/>
  <c r="A378" i="36"/>
  <c r="B377" i="33"/>
  <c r="A378" i="33"/>
  <c r="B377" i="35"/>
  <c r="A378" i="35"/>
  <c r="B377" i="34"/>
  <c r="A378" i="34"/>
  <c r="G379" i="27"/>
  <c r="F379" i="27"/>
  <c r="A381" i="27"/>
  <c r="B380" i="27"/>
  <c r="D380" i="27" a="1"/>
  <c r="D380" i="27" s="1"/>
  <c r="E380" i="27" s="1"/>
  <c r="C328" i="28"/>
  <c r="H327" i="28"/>
  <c r="C328" i="16"/>
  <c r="H327" i="16"/>
  <c r="F380" i="16"/>
  <c r="G380" i="16"/>
  <c r="C328" i="17"/>
  <c r="H327" i="17"/>
  <c r="I378" i="27"/>
  <c r="I379" i="16"/>
  <c r="A382" i="16"/>
  <c r="B381" i="16"/>
  <c r="D381" i="16" a="1"/>
  <c r="D381" i="16" s="1"/>
  <c r="E381" i="16" s="1"/>
  <c r="C328" i="27"/>
  <c r="H327" i="27"/>
  <c r="B378" i="35" l="1"/>
  <c r="A379" i="35"/>
  <c r="B378" i="34"/>
  <c r="A379" i="34"/>
  <c r="B378" i="33"/>
  <c r="A379" i="33"/>
  <c r="B378" i="36"/>
  <c r="A379" i="36"/>
  <c r="F381" i="16"/>
  <c r="G381" i="16"/>
  <c r="C329" i="17"/>
  <c r="H328" i="17"/>
  <c r="C329" i="16"/>
  <c r="H328" i="16"/>
  <c r="I380" i="16"/>
  <c r="A382" i="27"/>
  <c r="B381" i="27"/>
  <c r="D381" i="27" a="1"/>
  <c r="D381" i="27" s="1"/>
  <c r="E381" i="27" s="1"/>
  <c r="C329" i="27"/>
  <c r="H328" i="27"/>
  <c r="A383" i="16"/>
  <c r="B382" i="16"/>
  <c r="D382" i="16" a="1"/>
  <c r="D382" i="16" s="1"/>
  <c r="E382" i="16" s="1"/>
  <c r="C329" i="28"/>
  <c r="H328" i="28"/>
  <c r="F380" i="27"/>
  <c r="G380" i="27"/>
  <c r="I379" i="27"/>
  <c r="B379" i="36" l="1"/>
  <c r="A380" i="36"/>
  <c r="B379" i="33"/>
  <c r="A380" i="33"/>
  <c r="B379" i="35"/>
  <c r="A380" i="35"/>
  <c r="B379" i="34"/>
  <c r="A380" i="34"/>
  <c r="G382" i="16"/>
  <c r="F382" i="16"/>
  <c r="C330" i="27"/>
  <c r="H329" i="27"/>
  <c r="G381" i="27"/>
  <c r="F381" i="27"/>
  <c r="C330" i="17"/>
  <c r="H329" i="17"/>
  <c r="I380" i="27"/>
  <c r="K40" i="16"/>
  <c r="L45" i="17" s="1"/>
  <c r="I381" i="16"/>
  <c r="A384" i="16"/>
  <c r="B383" i="16"/>
  <c r="D383" i="16" a="1"/>
  <c r="D383" i="16" s="1"/>
  <c r="E383" i="16" s="1"/>
  <c r="C330" i="28"/>
  <c r="H329" i="28"/>
  <c r="A383" i="27"/>
  <c r="B382" i="27"/>
  <c r="D382" i="27" a="1"/>
  <c r="D382" i="27" s="1"/>
  <c r="E382" i="27" s="1"/>
  <c r="C330" i="16"/>
  <c r="H329" i="16"/>
  <c r="B380" i="35" l="1"/>
  <c r="A381" i="35"/>
  <c r="B380" i="34"/>
  <c r="A381" i="34"/>
  <c r="B380" i="36"/>
  <c r="A381" i="36"/>
  <c r="B380" i="33"/>
  <c r="A381" i="33"/>
  <c r="F383" i="16"/>
  <c r="G383" i="16"/>
  <c r="A384" i="27"/>
  <c r="B383" i="27"/>
  <c r="D383" i="27" a="1"/>
  <c r="D383" i="27" s="1"/>
  <c r="E383" i="27" s="1"/>
  <c r="C331" i="17"/>
  <c r="H330" i="17"/>
  <c r="C331" i="27"/>
  <c r="H330" i="27"/>
  <c r="C331" i="16"/>
  <c r="H330" i="16"/>
  <c r="A385" i="16"/>
  <c r="B384" i="16"/>
  <c r="D384" i="16" a="1"/>
  <c r="D384" i="16" s="1"/>
  <c r="E384" i="16" s="1"/>
  <c r="F382" i="27"/>
  <c r="G382" i="27"/>
  <c r="C331" i="28"/>
  <c r="H330" i="28"/>
  <c r="I381" i="27"/>
  <c r="K40" i="27"/>
  <c r="N45" i="17" s="1"/>
  <c r="E50" i="9" s="1"/>
  <c r="F50" i="9" s="1"/>
  <c r="I382" i="16"/>
  <c r="O45" i="17" l="1"/>
  <c r="B381" i="33"/>
  <c r="A382" i="33"/>
  <c r="B381" i="35"/>
  <c r="A382" i="35"/>
  <c r="B381" i="36"/>
  <c r="A382" i="36"/>
  <c r="B381" i="34"/>
  <c r="A382" i="34"/>
  <c r="D50" i="9"/>
  <c r="I382" i="27"/>
  <c r="B385" i="16"/>
  <c r="A386" i="16"/>
  <c r="D385" i="16" a="1"/>
  <c r="D385" i="16" s="1"/>
  <c r="E385" i="16" s="1"/>
  <c r="C332" i="27"/>
  <c r="H331" i="27"/>
  <c r="F384" i="16"/>
  <c r="G384" i="16"/>
  <c r="C332" i="16"/>
  <c r="H331" i="16"/>
  <c r="C332" i="17"/>
  <c r="H331" i="17"/>
  <c r="B384" i="27"/>
  <c r="A385" i="27"/>
  <c r="D384" i="27" a="1"/>
  <c r="D384" i="27" s="1"/>
  <c r="E384" i="27" s="1"/>
  <c r="C332" i="28"/>
  <c r="H331" i="28"/>
  <c r="I383" i="16"/>
  <c r="G383" i="27"/>
  <c r="F383" i="27"/>
  <c r="B382" i="36" l="1"/>
  <c r="A383" i="36"/>
  <c r="B382" i="34"/>
  <c r="A383" i="34"/>
  <c r="B382" i="33"/>
  <c r="A383" i="33"/>
  <c r="B382" i="35"/>
  <c r="A383" i="35"/>
  <c r="F385" i="16"/>
  <c r="G385" i="16"/>
  <c r="G384" i="27"/>
  <c r="F384" i="27"/>
  <c r="C333" i="17"/>
  <c r="H332" i="17"/>
  <c r="A387" i="16"/>
  <c r="B386" i="16"/>
  <c r="D386" i="16" a="1"/>
  <c r="D386" i="16" s="1"/>
  <c r="E386" i="16" s="1"/>
  <c r="I383" i="27"/>
  <c r="B385" i="27"/>
  <c r="A386" i="27"/>
  <c r="D385" i="27" a="1"/>
  <c r="D385" i="27" s="1"/>
  <c r="E385" i="27" s="1"/>
  <c r="C333" i="28"/>
  <c r="H332" i="28"/>
  <c r="I384" i="16"/>
  <c r="C333" i="16"/>
  <c r="H332" i="16"/>
  <c r="C333" i="27"/>
  <c r="H332" i="27"/>
  <c r="B383" i="33" l="1"/>
  <c r="A384" i="33"/>
  <c r="B383" i="36"/>
  <c r="A384" i="36"/>
  <c r="B383" i="35"/>
  <c r="A384" i="35"/>
  <c r="B383" i="34"/>
  <c r="A384" i="34"/>
  <c r="C334" i="28"/>
  <c r="H333" i="28"/>
  <c r="A387" i="27"/>
  <c r="B386" i="27"/>
  <c r="D386" i="27" a="1"/>
  <c r="D386" i="27" s="1"/>
  <c r="E386" i="27" s="1"/>
  <c r="C334" i="16"/>
  <c r="H333" i="16"/>
  <c r="C334" i="27"/>
  <c r="H333" i="27"/>
  <c r="A388" i="16"/>
  <c r="B387" i="16"/>
  <c r="D387" i="16" a="1"/>
  <c r="D387" i="16" s="1"/>
  <c r="E387" i="16" s="1"/>
  <c r="I384" i="27"/>
  <c r="G385" i="27"/>
  <c r="F385" i="27"/>
  <c r="I385" i="16"/>
  <c r="G386" i="16"/>
  <c r="F386" i="16"/>
  <c r="C334" i="17"/>
  <c r="H333" i="17"/>
  <c r="B384" i="35" l="1"/>
  <c r="A385" i="35"/>
  <c r="B384" i="33"/>
  <c r="A385" i="33"/>
  <c r="B384" i="36"/>
  <c r="A385" i="36"/>
  <c r="B384" i="34"/>
  <c r="A385" i="34"/>
  <c r="G387" i="16"/>
  <c r="F387" i="16"/>
  <c r="C335" i="27"/>
  <c r="H334" i="27"/>
  <c r="C335" i="17"/>
  <c r="H334" i="17"/>
  <c r="A388" i="27"/>
  <c r="B387" i="27"/>
  <c r="D387" i="27" a="1"/>
  <c r="D387" i="27" s="1"/>
  <c r="E387" i="27" s="1"/>
  <c r="I386" i="16"/>
  <c r="I385" i="27"/>
  <c r="A389" i="16"/>
  <c r="B388" i="16"/>
  <c r="D388" i="16" a="1"/>
  <c r="D388" i="16" s="1"/>
  <c r="E388" i="16" s="1"/>
  <c r="C335" i="16"/>
  <c r="H334" i="16"/>
  <c r="F386" i="27"/>
  <c r="G386" i="27"/>
  <c r="C335" i="28"/>
  <c r="H334" i="28"/>
  <c r="B385" i="34" l="1"/>
  <c r="A386" i="34"/>
  <c r="B385" i="35"/>
  <c r="A386" i="35"/>
  <c r="B385" i="36"/>
  <c r="A386" i="36"/>
  <c r="B385" i="33"/>
  <c r="A386" i="33"/>
  <c r="F388" i="16"/>
  <c r="G388" i="16"/>
  <c r="A389" i="27"/>
  <c r="B388" i="27"/>
  <c r="D388" i="27" a="1"/>
  <c r="D388" i="27" s="1"/>
  <c r="E388" i="27" s="1"/>
  <c r="C336" i="27"/>
  <c r="H335" i="27"/>
  <c r="C336" i="28"/>
  <c r="H335" i="28"/>
  <c r="C336" i="16"/>
  <c r="H335" i="16"/>
  <c r="I386" i="27"/>
  <c r="B389" i="16"/>
  <c r="A390" i="16"/>
  <c r="D389" i="16" a="1"/>
  <c r="D389" i="16" s="1"/>
  <c r="E389" i="16" s="1"/>
  <c r="G387" i="27"/>
  <c r="F387" i="27"/>
  <c r="C336" i="17"/>
  <c r="H335" i="17"/>
  <c r="I387" i="16"/>
  <c r="B386" i="33" l="1"/>
  <c r="A387" i="33"/>
  <c r="B386" i="34"/>
  <c r="A387" i="34"/>
  <c r="B386" i="36"/>
  <c r="A387" i="36"/>
  <c r="B386" i="35"/>
  <c r="A387" i="35"/>
  <c r="F389" i="16"/>
  <c r="G389" i="16"/>
  <c r="C337" i="28"/>
  <c r="H336" i="28"/>
  <c r="I387" i="27"/>
  <c r="C337" i="17"/>
  <c r="H336" i="17"/>
  <c r="A391" i="16"/>
  <c r="B390" i="16"/>
  <c r="D390" i="16" a="1"/>
  <c r="D390" i="16" s="1"/>
  <c r="E390" i="16" s="1"/>
  <c r="A390" i="27"/>
  <c r="B389" i="27"/>
  <c r="D389" i="27" a="1"/>
  <c r="D389" i="27" s="1"/>
  <c r="E389" i="27" s="1"/>
  <c r="C337" i="16"/>
  <c r="H336" i="16"/>
  <c r="C337" i="27"/>
  <c r="H336" i="27"/>
  <c r="I388" i="16"/>
  <c r="G388" i="27"/>
  <c r="F388" i="27"/>
  <c r="B387" i="35" l="1"/>
  <c r="A388" i="35"/>
  <c r="B387" i="36"/>
  <c r="A388" i="36"/>
  <c r="B387" i="34"/>
  <c r="A388" i="34"/>
  <c r="B387" i="33"/>
  <c r="A388" i="33"/>
  <c r="G389" i="27"/>
  <c r="F389" i="27"/>
  <c r="I388" i="27"/>
  <c r="C338" i="27"/>
  <c r="H337" i="27"/>
  <c r="A391" i="27"/>
  <c r="B390" i="27"/>
  <c r="D390" i="27" a="1"/>
  <c r="D390" i="27" s="1"/>
  <c r="E390" i="27" s="1"/>
  <c r="F390" i="16"/>
  <c r="G390" i="16"/>
  <c r="C338" i="17"/>
  <c r="H337" i="17"/>
  <c r="C338" i="28"/>
  <c r="H337" i="28"/>
  <c r="I389" i="16"/>
  <c r="C338" i="16"/>
  <c r="H337" i="16"/>
  <c r="B391" i="16"/>
  <c r="A392" i="16"/>
  <c r="D391" i="16" a="1"/>
  <c r="D391" i="16" s="1"/>
  <c r="E391" i="16" s="1"/>
  <c r="B388" i="34" l="1"/>
  <c r="A389" i="34"/>
  <c r="B388" i="33"/>
  <c r="A389" i="33"/>
  <c r="B388" i="35"/>
  <c r="A389" i="35"/>
  <c r="B388" i="36"/>
  <c r="A389" i="36"/>
  <c r="A393" i="16"/>
  <c r="B392" i="16"/>
  <c r="D392" i="16" a="1"/>
  <c r="D392" i="16" s="1"/>
  <c r="E392" i="16" s="1"/>
  <c r="C339" i="17"/>
  <c r="H338" i="17"/>
  <c r="I390" i="16"/>
  <c r="A392" i="27"/>
  <c r="B391" i="27"/>
  <c r="D391" i="27" a="1"/>
  <c r="D391" i="27" s="1"/>
  <c r="E391" i="27" s="1"/>
  <c r="G391" i="16"/>
  <c r="F391" i="16"/>
  <c r="C339" i="16"/>
  <c r="H338" i="16"/>
  <c r="C339" i="28"/>
  <c r="H338" i="28"/>
  <c r="G390" i="27"/>
  <c r="F390" i="27"/>
  <c r="C339" i="27"/>
  <c r="H338" i="27"/>
  <c r="I389" i="27"/>
  <c r="B389" i="34" l="1"/>
  <c r="A390" i="34"/>
  <c r="B389" i="36"/>
  <c r="A390" i="36"/>
  <c r="B389" i="35"/>
  <c r="A390" i="35"/>
  <c r="B389" i="33"/>
  <c r="A390" i="33"/>
  <c r="G391" i="27"/>
  <c r="F391" i="27"/>
  <c r="I390" i="27"/>
  <c r="C340" i="16"/>
  <c r="H339" i="16"/>
  <c r="A393" i="27"/>
  <c r="B392" i="27"/>
  <c r="D392" i="27" a="1"/>
  <c r="D392" i="27" s="1"/>
  <c r="E392" i="27" s="1"/>
  <c r="C340" i="17"/>
  <c r="H339" i="17"/>
  <c r="G392" i="16"/>
  <c r="F392" i="16"/>
  <c r="K41" i="16"/>
  <c r="L46" i="17" s="1"/>
  <c r="I391" i="16"/>
  <c r="C340" i="27"/>
  <c r="H339" i="27"/>
  <c r="C340" i="28"/>
  <c r="H339" i="28"/>
  <c r="B393" i="16"/>
  <c r="A394" i="16"/>
  <c r="D393" i="16" a="1"/>
  <c r="D393" i="16" s="1"/>
  <c r="E393" i="16" s="1"/>
  <c r="B390" i="36" l="1"/>
  <c r="A391" i="36"/>
  <c r="B390" i="34"/>
  <c r="A391" i="34"/>
  <c r="B390" i="33"/>
  <c r="A391" i="33"/>
  <c r="B390" i="35"/>
  <c r="A391" i="35"/>
  <c r="C341" i="27"/>
  <c r="H340" i="27"/>
  <c r="I392" i="16"/>
  <c r="F393" i="16"/>
  <c r="G393" i="16"/>
  <c r="C341" i="28"/>
  <c r="H340" i="28"/>
  <c r="A394" i="27"/>
  <c r="B393" i="27"/>
  <c r="D393" i="27" a="1"/>
  <c r="D393" i="27" s="1"/>
  <c r="E393" i="27" s="1"/>
  <c r="A395" i="16"/>
  <c r="B394" i="16"/>
  <c r="D394" i="16" a="1"/>
  <c r="D394" i="16" s="1"/>
  <c r="E394" i="16" s="1"/>
  <c r="C341" i="17"/>
  <c r="H340" i="17"/>
  <c r="F392" i="27"/>
  <c r="G392" i="27"/>
  <c r="C341" i="16"/>
  <c r="H340" i="16"/>
  <c r="I391" i="27"/>
  <c r="K41" i="27"/>
  <c r="N46" i="17" s="1"/>
  <c r="E51" i="9" s="1"/>
  <c r="F51" i="9" s="1"/>
  <c r="O46" i="17" l="1"/>
  <c r="B391" i="35"/>
  <c r="A392" i="35"/>
  <c r="B391" i="36"/>
  <c r="A392" i="36"/>
  <c r="B391" i="33"/>
  <c r="A392" i="33"/>
  <c r="B391" i="34"/>
  <c r="A392" i="34"/>
  <c r="F394" i="16"/>
  <c r="G394" i="16"/>
  <c r="C342" i="16"/>
  <c r="H341" i="16"/>
  <c r="C342" i="17"/>
  <c r="H341" i="17"/>
  <c r="A396" i="16"/>
  <c r="B395" i="16"/>
  <c r="D395" i="16" a="1"/>
  <c r="D395" i="16" s="1"/>
  <c r="E395" i="16" s="1"/>
  <c r="G393" i="27"/>
  <c r="F393" i="27"/>
  <c r="C342" i="28"/>
  <c r="H341" i="28"/>
  <c r="I392" i="27"/>
  <c r="I393" i="16"/>
  <c r="D51" i="9"/>
  <c r="B394" i="27"/>
  <c r="A395" i="27"/>
  <c r="D394" i="27" a="1"/>
  <c r="D394" i="27" s="1"/>
  <c r="E394" i="27" s="1"/>
  <c r="C342" i="27"/>
  <c r="H341" i="27"/>
  <c r="B392" i="35" l="1"/>
  <c r="A393" i="35"/>
  <c r="B392" i="33"/>
  <c r="A393" i="33"/>
  <c r="B392" i="34"/>
  <c r="A393" i="34"/>
  <c r="B392" i="36"/>
  <c r="A393" i="36"/>
  <c r="C343" i="27"/>
  <c r="H342" i="27"/>
  <c r="C343" i="28"/>
  <c r="H342" i="28"/>
  <c r="A397" i="16"/>
  <c r="B396" i="16"/>
  <c r="D396" i="16" a="1"/>
  <c r="D396" i="16" s="1"/>
  <c r="E396" i="16" s="1"/>
  <c r="C343" i="16"/>
  <c r="H342" i="16"/>
  <c r="G394" i="27"/>
  <c r="F394" i="27"/>
  <c r="A396" i="27"/>
  <c r="B395" i="27"/>
  <c r="D395" i="27" a="1"/>
  <c r="D395" i="27" s="1"/>
  <c r="E395" i="27" s="1"/>
  <c r="I393" i="27"/>
  <c r="I394" i="16"/>
  <c r="G395" i="16"/>
  <c r="F395" i="16"/>
  <c r="C343" i="17"/>
  <c r="H342" i="17"/>
  <c r="B393" i="34" l="1"/>
  <c r="A394" i="34"/>
  <c r="B393" i="33"/>
  <c r="A394" i="33"/>
  <c r="B393" i="36"/>
  <c r="A394" i="36"/>
  <c r="B393" i="35"/>
  <c r="A394" i="35"/>
  <c r="F395" i="27"/>
  <c r="G395" i="27"/>
  <c r="I394" i="27"/>
  <c r="I395" i="16"/>
  <c r="B397" i="16"/>
  <c r="A398" i="16"/>
  <c r="D397" i="16" a="1"/>
  <c r="D397" i="16" s="1"/>
  <c r="E397" i="16" s="1"/>
  <c r="C344" i="28"/>
  <c r="H343" i="28"/>
  <c r="C344" i="17"/>
  <c r="H343" i="17"/>
  <c r="A397" i="27"/>
  <c r="B396" i="27"/>
  <c r="D396" i="27" a="1"/>
  <c r="D396" i="27" s="1"/>
  <c r="E396" i="27" s="1"/>
  <c r="C344" i="16"/>
  <c r="H343" i="16"/>
  <c r="F396" i="16"/>
  <c r="G396" i="16"/>
  <c r="C344" i="27"/>
  <c r="H343" i="27"/>
  <c r="B394" i="35" l="1"/>
  <c r="A395" i="35"/>
  <c r="B394" i="34"/>
  <c r="A395" i="34"/>
  <c r="B394" i="33"/>
  <c r="A395" i="33"/>
  <c r="B394" i="36"/>
  <c r="A395" i="36"/>
  <c r="G396" i="27"/>
  <c r="F396" i="27"/>
  <c r="C345" i="17"/>
  <c r="H344" i="17"/>
  <c r="A399" i="16"/>
  <c r="B398" i="16"/>
  <c r="D398" i="16" a="1"/>
  <c r="D398" i="16" s="1"/>
  <c r="E398" i="16" s="1"/>
  <c r="C345" i="27"/>
  <c r="H344" i="27"/>
  <c r="C345" i="16"/>
  <c r="H344" i="16"/>
  <c r="I396" i="16"/>
  <c r="A398" i="27"/>
  <c r="B397" i="27"/>
  <c r="D397" i="27" a="1"/>
  <c r="D397" i="27" s="1"/>
  <c r="E397" i="27" s="1"/>
  <c r="C345" i="28"/>
  <c r="H344" i="28"/>
  <c r="I395" i="27"/>
  <c r="F397" i="16"/>
  <c r="G397" i="16"/>
  <c r="B395" i="35" l="1"/>
  <c r="A396" i="35"/>
  <c r="B395" i="36"/>
  <c r="A396" i="36"/>
  <c r="B395" i="34"/>
  <c r="A396" i="34"/>
  <c r="B395" i="33"/>
  <c r="A396" i="33"/>
  <c r="F397" i="27"/>
  <c r="G397" i="27"/>
  <c r="C346" i="27"/>
  <c r="H345" i="27"/>
  <c r="F398" i="16"/>
  <c r="G398" i="16"/>
  <c r="C346" i="17"/>
  <c r="H345" i="17"/>
  <c r="A399" i="27"/>
  <c r="B398" i="27"/>
  <c r="D398" i="27" a="1"/>
  <c r="D398" i="27" s="1"/>
  <c r="E398" i="27" s="1"/>
  <c r="I397" i="16"/>
  <c r="C346" i="16"/>
  <c r="H345" i="16"/>
  <c r="C346" i="28"/>
  <c r="H345" i="28"/>
  <c r="A400" i="16"/>
  <c r="B399" i="16"/>
  <c r="D399" i="16" a="1"/>
  <c r="D399" i="16" s="1"/>
  <c r="E399" i="16" s="1"/>
  <c r="I396" i="27"/>
  <c r="B396" i="33" l="1"/>
  <c r="A397" i="33"/>
  <c r="B396" i="35"/>
  <c r="A397" i="35"/>
  <c r="B396" i="36"/>
  <c r="A397" i="36"/>
  <c r="B396" i="34"/>
  <c r="A397" i="34"/>
  <c r="G399" i="16"/>
  <c r="F399" i="16"/>
  <c r="C347" i="28"/>
  <c r="H346" i="28"/>
  <c r="F398" i="27"/>
  <c r="G398" i="27"/>
  <c r="C347" i="17"/>
  <c r="H346" i="17"/>
  <c r="C347" i="27"/>
  <c r="H346" i="27"/>
  <c r="I398" i="16"/>
  <c r="I397" i="27"/>
  <c r="A401" i="16"/>
  <c r="B400" i="16"/>
  <c r="D400" i="16" a="1"/>
  <c r="D400" i="16" s="1"/>
  <c r="E400" i="16" s="1"/>
  <c r="C347" i="16"/>
  <c r="H346" i="16"/>
  <c r="B399" i="27"/>
  <c r="A400" i="27"/>
  <c r="D399" i="27" a="1"/>
  <c r="D399" i="27" s="1"/>
  <c r="E399" i="27" s="1"/>
  <c r="B397" i="35" l="1"/>
  <c r="A398" i="35"/>
  <c r="B397" i="34"/>
  <c r="A398" i="34"/>
  <c r="B397" i="33"/>
  <c r="A398" i="33"/>
  <c r="B397" i="36"/>
  <c r="A398" i="36"/>
  <c r="B400" i="27"/>
  <c r="A401" i="27"/>
  <c r="D400" i="27" a="1"/>
  <c r="D400" i="27" s="1"/>
  <c r="E400" i="27" s="1"/>
  <c r="A402" i="16"/>
  <c r="B401" i="16"/>
  <c r="D401" i="16" a="1"/>
  <c r="D401" i="16" s="1"/>
  <c r="E401" i="16" s="1"/>
  <c r="C348" i="17"/>
  <c r="H347" i="17"/>
  <c r="C348" i="28"/>
  <c r="H347" i="28"/>
  <c r="G399" i="27"/>
  <c r="F399" i="27"/>
  <c r="C348" i="16"/>
  <c r="H347" i="16"/>
  <c r="I398" i="27"/>
  <c r="F400" i="16"/>
  <c r="G400" i="16"/>
  <c r="C348" i="27"/>
  <c r="H347" i="27"/>
  <c r="I399" i="16"/>
  <c r="B398" i="33" l="1"/>
  <c r="A399" i="33"/>
  <c r="B398" i="36"/>
  <c r="A399" i="36"/>
  <c r="B398" i="34"/>
  <c r="A399" i="34"/>
  <c r="B398" i="35"/>
  <c r="A399" i="35"/>
  <c r="C349" i="17"/>
  <c r="H348" i="17"/>
  <c r="A403" i="16"/>
  <c r="B402" i="16"/>
  <c r="D402" i="16" a="1"/>
  <c r="D402" i="16" s="1"/>
  <c r="E402" i="16" s="1"/>
  <c r="G400" i="27"/>
  <c r="F400" i="27"/>
  <c r="F401" i="16"/>
  <c r="G401" i="16"/>
  <c r="A402" i="27"/>
  <c r="B401" i="27"/>
  <c r="D401" i="27" a="1"/>
  <c r="D401" i="27" s="1"/>
  <c r="E401" i="27" s="1"/>
  <c r="C349" i="27"/>
  <c r="H348" i="27"/>
  <c r="I399" i="27"/>
  <c r="I400" i="16"/>
  <c r="C349" i="16"/>
  <c r="H348" i="16"/>
  <c r="C349" i="28"/>
  <c r="H348" i="28"/>
  <c r="B399" i="36" l="1"/>
  <c r="A400" i="36"/>
  <c r="B399" i="33"/>
  <c r="A400" i="33"/>
  <c r="B399" i="34"/>
  <c r="A400" i="34"/>
  <c r="B399" i="35"/>
  <c r="A400" i="35"/>
  <c r="G401" i="27"/>
  <c r="F401" i="27"/>
  <c r="C350" i="28"/>
  <c r="H349" i="28"/>
  <c r="I401" i="16"/>
  <c r="K42" i="16"/>
  <c r="L47" i="17" s="1"/>
  <c r="B403" i="16"/>
  <c r="A404" i="16"/>
  <c r="D403" i="16" a="1"/>
  <c r="D403" i="16" s="1"/>
  <c r="E403" i="16" s="1"/>
  <c r="C350" i="27"/>
  <c r="H349" i="27"/>
  <c r="C350" i="16"/>
  <c r="H349" i="16"/>
  <c r="A403" i="27"/>
  <c r="B402" i="27"/>
  <c r="D402" i="27" a="1"/>
  <c r="D402" i="27" s="1"/>
  <c r="E402" i="27" s="1"/>
  <c r="I400" i="27"/>
  <c r="F402" i="16"/>
  <c r="G402" i="16"/>
  <c r="C350" i="17"/>
  <c r="H349" i="17"/>
  <c r="B400" i="34" l="1"/>
  <c r="A401" i="34"/>
  <c r="B400" i="36"/>
  <c r="A401" i="36"/>
  <c r="B400" i="35"/>
  <c r="A401" i="35"/>
  <c r="B400" i="33"/>
  <c r="A401" i="33"/>
  <c r="I402" i="16"/>
  <c r="C351" i="17"/>
  <c r="H350" i="17"/>
  <c r="A404" i="27"/>
  <c r="B403" i="27"/>
  <c r="D403" i="27" a="1"/>
  <c r="D403" i="27" s="1"/>
  <c r="E403" i="27" s="1"/>
  <c r="C351" i="27"/>
  <c r="H350" i="27"/>
  <c r="C351" i="28"/>
  <c r="H350" i="28"/>
  <c r="F403" i="16"/>
  <c r="G403" i="16"/>
  <c r="G402" i="27"/>
  <c r="F402" i="27"/>
  <c r="C351" i="16"/>
  <c r="H350" i="16"/>
  <c r="A405" i="16"/>
  <c r="B404" i="16"/>
  <c r="D404" i="16" a="1"/>
  <c r="D404" i="16" s="1"/>
  <c r="E404" i="16" s="1"/>
  <c r="K42" i="27"/>
  <c r="N47" i="17" s="1"/>
  <c r="E52" i="9" s="1"/>
  <c r="F52" i="9" s="1"/>
  <c r="I401" i="27"/>
  <c r="O47" i="17" l="1"/>
  <c r="B401" i="35"/>
  <c r="A402" i="35"/>
  <c r="B401" i="36"/>
  <c r="A402" i="36"/>
  <c r="B401" i="34"/>
  <c r="A402" i="34"/>
  <c r="B401" i="33"/>
  <c r="A402" i="33"/>
  <c r="D52" i="9"/>
  <c r="I402" i="27"/>
  <c r="I403" i="16"/>
  <c r="C352" i="27"/>
  <c r="H351" i="27"/>
  <c r="G403" i="27"/>
  <c r="F403" i="27"/>
  <c r="C352" i="17"/>
  <c r="H351" i="17"/>
  <c r="A406" i="16"/>
  <c r="B405" i="16"/>
  <c r="D405" i="16" a="1"/>
  <c r="D405" i="16" s="1"/>
  <c r="E405" i="16" s="1"/>
  <c r="C352" i="28"/>
  <c r="H351" i="28"/>
  <c r="F404" i="16"/>
  <c r="G404" i="16"/>
  <c r="C352" i="16"/>
  <c r="H351" i="16"/>
  <c r="A405" i="27"/>
  <c r="B404" i="27"/>
  <c r="D404" i="27" a="1"/>
  <c r="D404" i="27" s="1"/>
  <c r="E404" i="27" s="1"/>
  <c r="B402" i="36" l="1"/>
  <c r="A403" i="36"/>
  <c r="B402" i="34"/>
  <c r="A403" i="34"/>
  <c r="B402" i="33"/>
  <c r="A403" i="33"/>
  <c r="B402" i="35"/>
  <c r="A403" i="35"/>
  <c r="F405" i="16"/>
  <c r="G405" i="16"/>
  <c r="C353" i="17"/>
  <c r="H352" i="17"/>
  <c r="C353" i="27"/>
  <c r="H352" i="27"/>
  <c r="I404" i="16"/>
  <c r="B405" i="27"/>
  <c r="A406" i="27"/>
  <c r="D405" i="27" a="1"/>
  <c r="D405" i="27" s="1"/>
  <c r="E405" i="27" s="1"/>
  <c r="A407" i="16"/>
  <c r="B406" i="16"/>
  <c r="D406" i="16" a="1"/>
  <c r="D406" i="16" s="1"/>
  <c r="E406" i="16" s="1"/>
  <c r="I403" i="27"/>
  <c r="G404" i="27"/>
  <c r="F404" i="27"/>
  <c r="C353" i="16"/>
  <c r="H352" i="16"/>
  <c r="C353" i="28"/>
  <c r="H352" i="28"/>
  <c r="B403" i="33" l="1"/>
  <c r="A404" i="33"/>
  <c r="B403" i="36"/>
  <c r="A404" i="36"/>
  <c r="B403" i="35"/>
  <c r="A404" i="35"/>
  <c r="B403" i="34"/>
  <c r="A404" i="34"/>
  <c r="C354" i="28"/>
  <c r="H353" i="28"/>
  <c r="A408" i="16"/>
  <c r="B407" i="16"/>
  <c r="D407" i="16" a="1"/>
  <c r="D407" i="16" s="1"/>
  <c r="E407" i="16" s="1"/>
  <c r="F405" i="27"/>
  <c r="G405" i="27"/>
  <c r="C354" i="17"/>
  <c r="H353" i="17"/>
  <c r="F406" i="16"/>
  <c r="G406" i="16"/>
  <c r="A407" i="27"/>
  <c r="B406" i="27"/>
  <c r="D406" i="27" a="1"/>
  <c r="D406" i="27" s="1"/>
  <c r="E406" i="27" s="1"/>
  <c r="I405" i="16"/>
  <c r="I404" i="27"/>
  <c r="C354" i="16"/>
  <c r="H353" i="16"/>
  <c r="C354" i="27"/>
  <c r="H353" i="27"/>
  <c r="B404" i="35" l="1"/>
  <c r="A405" i="35"/>
  <c r="B404" i="34"/>
  <c r="A405" i="34"/>
  <c r="B404" i="36"/>
  <c r="A405" i="36"/>
  <c r="B404" i="33"/>
  <c r="A405" i="33"/>
  <c r="A408" i="27"/>
  <c r="B407" i="27"/>
  <c r="D407" i="27" a="1"/>
  <c r="D407" i="27" s="1"/>
  <c r="E407" i="27" s="1"/>
  <c r="C355" i="17"/>
  <c r="H354" i="17"/>
  <c r="C355" i="27"/>
  <c r="H354" i="27"/>
  <c r="C355" i="16"/>
  <c r="H354" i="16"/>
  <c r="I406" i="16"/>
  <c r="I405" i="27"/>
  <c r="A409" i="16"/>
  <c r="B408" i="16"/>
  <c r="D408" i="16" a="1"/>
  <c r="D408" i="16" s="1"/>
  <c r="E408" i="16" s="1"/>
  <c r="F406" i="27"/>
  <c r="G406" i="27"/>
  <c r="G407" i="16"/>
  <c r="F407" i="16"/>
  <c r="C355" i="28"/>
  <c r="H354" i="28"/>
  <c r="B405" i="34" l="1"/>
  <c r="A406" i="34"/>
  <c r="B405" i="35"/>
  <c r="A406" i="35"/>
  <c r="B405" i="36"/>
  <c r="A406" i="36"/>
  <c r="B405" i="33"/>
  <c r="A406" i="33"/>
  <c r="G408" i="16"/>
  <c r="F408" i="16"/>
  <c r="C356" i="16"/>
  <c r="H355" i="16"/>
  <c r="C356" i="17"/>
  <c r="H355" i="17"/>
  <c r="F407" i="27"/>
  <c r="G407" i="27"/>
  <c r="I407" i="16"/>
  <c r="A410" i="16"/>
  <c r="B409" i="16"/>
  <c r="D409" i="16" a="1"/>
  <c r="D409" i="16" s="1"/>
  <c r="E409" i="16" s="1"/>
  <c r="C356" i="27"/>
  <c r="H355" i="27"/>
  <c r="I406" i="27"/>
  <c r="C356" i="28"/>
  <c r="H355" i="28"/>
  <c r="B408" i="27"/>
  <c r="A409" i="27"/>
  <c r="D408" i="27" a="1"/>
  <c r="D408" i="27" s="1"/>
  <c r="E408" i="27" s="1"/>
  <c r="B406" i="33" l="1"/>
  <c r="A407" i="33"/>
  <c r="B406" i="36"/>
  <c r="A407" i="36"/>
  <c r="B406" i="34"/>
  <c r="A407" i="34"/>
  <c r="B406" i="35"/>
  <c r="A407" i="35"/>
  <c r="I407" i="27"/>
  <c r="B409" i="27"/>
  <c r="A410" i="27"/>
  <c r="D409" i="27" a="1"/>
  <c r="D409" i="27" s="1"/>
  <c r="E409" i="27" s="1"/>
  <c r="A411" i="16"/>
  <c r="B410" i="16"/>
  <c r="D410" i="16" a="1"/>
  <c r="D410" i="16" s="1"/>
  <c r="E410" i="16" s="1"/>
  <c r="C357" i="16"/>
  <c r="H356" i="16"/>
  <c r="F408" i="27"/>
  <c r="G408" i="27"/>
  <c r="C357" i="28"/>
  <c r="H356" i="28"/>
  <c r="C357" i="27"/>
  <c r="H356" i="27"/>
  <c r="G409" i="16"/>
  <c r="F409" i="16"/>
  <c r="C357" i="17"/>
  <c r="H356" i="17"/>
  <c r="I408" i="16"/>
  <c r="B407" i="33" l="1"/>
  <c r="A408" i="33"/>
  <c r="B407" i="34"/>
  <c r="A408" i="34"/>
  <c r="B407" i="36"/>
  <c r="A408" i="36"/>
  <c r="B407" i="35"/>
  <c r="A408" i="35"/>
  <c r="G410" i="16"/>
  <c r="F410" i="16"/>
  <c r="B410" i="27"/>
  <c r="A411" i="27"/>
  <c r="D410" i="27" a="1"/>
  <c r="D410" i="27" s="1"/>
  <c r="E410" i="27" s="1"/>
  <c r="C358" i="28"/>
  <c r="H357" i="28"/>
  <c r="I408" i="27"/>
  <c r="C358" i="17"/>
  <c r="H357" i="17"/>
  <c r="C358" i="27"/>
  <c r="H357" i="27"/>
  <c r="I409" i="16"/>
  <c r="C358" i="16"/>
  <c r="H357" i="16"/>
  <c r="A412" i="16"/>
  <c r="B411" i="16"/>
  <c r="D411" i="16" a="1"/>
  <c r="D411" i="16" s="1"/>
  <c r="E411" i="16" s="1"/>
  <c r="G409" i="27"/>
  <c r="F409" i="27"/>
  <c r="B408" i="36" l="1"/>
  <c r="A409" i="36"/>
  <c r="B408" i="33"/>
  <c r="A409" i="33"/>
  <c r="B408" i="34"/>
  <c r="A409" i="34"/>
  <c r="B408" i="35"/>
  <c r="A409" i="35"/>
  <c r="G411" i="16"/>
  <c r="F411" i="16"/>
  <c r="C359" i="16"/>
  <c r="H358" i="16"/>
  <c r="C359" i="27"/>
  <c r="H358" i="27"/>
  <c r="A412" i="27"/>
  <c r="B411" i="27"/>
  <c r="D411" i="27" a="1"/>
  <c r="D411" i="27" s="1"/>
  <c r="E411" i="27" s="1"/>
  <c r="I409" i="27"/>
  <c r="A413" i="16"/>
  <c r="B412" i="16"/>
  <c r="D412" i="16" a="1"/>
  <c r="D412" i="16" s="1"/>
  <c r="E412" i="16" s="1"/>
  <c r="C359" i="17"/>
  <c r="H358" i="17"/>
  <c r="C359" i="28"/>
  <c r="H358" i="28"/>
  <c r="F410" i="27"/>
  <c r="G410" i="27"/>
  <c r="I410" i="16"/>
  <c r="B409" i="36" l="1"/>
  <c r="A410" i="36"/>
  <c r="B409" i="35"/>
  <c r="A410" i="35"/>
  <c r="B409" i="33"/>
  <c r="A410" i="33"/>
  <c r="B409" i="34"/>
  <c r="A410" i="34"/>
  <c r="C360" i="28"/>
  <c r="H359" i="28"/>
  <c r="I410" i="27"/>
  <c r="A414" i="16"/>
  <c r="B413" i="16"/>
  <c r="D413" i="16" a="1"/>
  <c r="D413" i="16" s="1"/>
  <c r="E413" i="16" s="1"/>
  <c r="C360" i="17"/>
  <c r="H359" i="17"/>
  <c r="A413" i="27"/>
  <c r="B412" i="27"/>
  <c r="D412" i="27" a="1"/>
  <c r="D412" i="27" s="1"/>
  <c r="E412" i="27" s="1"/>
  <c r="C360" i="16"/>
  <c r="H359" i="16"/>
  <c r="F412" i="16"/>
  <c r="G412" i="16"/>
  <c r="F411" i="27"/>
  <c r="G411" i="27"/>
  <c r="C360" i="27"/>
  <c r="H359" i="27"/>
  <c r="I411" i="16"/>
  <c r="K43" i="16"/>
  <c r="L48" i="17" s="1"/>
  <c r="B410" i="34" l="1"/>
  <c r="A411" i="34"/>
  <c r="B410" i="36"/>
  <c r="A411" i="36"/>
  <c r="B410" i="33"/>
  <c r="A411" i="33"/>
  <c r="B410" i="35"/>
  <c r="A411" i="35"/>
  <c r="G412" i="27"/>
  <c r="F412" i="27"/>
  <c r="C361" i="17"/>
  <c r="H360" i="17"/>
  <c r="F413" i="16"/>
  <c r="G413" i="16"/>
  <c r="C361" i="27"/>
  <c r="H360" i="27"/>
  <c r="I412" i="16"/>
  <c r="K43" i="27"/>
  <c r="N48" i="17" s="1"/>
  <c r="E53" i="9" s="1"/>
  <c r="F53" i="9" s="1"/>
  <c r="I411" i="27"/>
  <c r="A414" i="27"/>
  <c r="B413" i="27"/>
  <c r="D413" i="27" a="1"/>
  <c r="D413" i="27" s="1"/>
  <c r="E413" i="27" s="1"/>
  <c r="C361" i="16"/>
  <c r="H360" i="16"/>
  <c r="A415" i="16"/>
  <c r="B414" i="16"/>
  <c r="D414" i="16" a="1"/>
  <c r="D414" i="16" s="1"/>
  <c r="E414" i="16" s="1"/>
  <c r="C361" i="28"/>
  <c r="H360" i="28"/>
  <c r="O48" i="17" l="1"/>
  <c r="B411" i="34"/>
  <c r="A412" i="34"/>
  <c r="B411" i="36"/>
  <c r="A412" i="36"/>
  <c r="B411" i="35"/>
  <c r="A412" i="35"/>
  <c r="B411" i="33"/>
  <c r="A412" i="33"/>
  <c r="A416" i="16"/>
  <c r="B415" i="16"/>
  <c r="D415" i="16" a="1"/>
  <c r="D415" i="16" s="1"/>
  <c r="E415" i="16" s="1"/>
  <c r="C362" i="27"/>
  <c r="H361" i="27"/>
  <c r="C362" i="28"/>
  <c r="H361" i="28"/>
  <c r="A415" i="27"/>
  <c r="B414" i="27"/>
  <c r="D414" i="27" a="1"/>
  <c r="D414" i="27" s="1"/>
  <c r="E414" i="27" s="1"/>
  <c r="D53" i="9"/>
  <c r="C362" i="17"/>
  <c r="H361" i="17"/>
  <c r="F414" i="16"/>
  <c r="G414" i="16"/>
  <c r="C362" i="16"/>
  <c r="H361" i="16"/>
  <c r="I413" i="16"/>
  <c r="G413" i="27"/>
  <c r="F413" i="27"/>
  <c r="I412" i="27"/>
  <c r="B412" i="34" l="1"/>
  <c r="A413" i="34"/>
  <c r="B412" i="35"/>
  <c r="A413" i="35"/>
  <c r="B412" i="36"/>
  <c r="A413" i="36"/>
  <c r="B412" i="33"/>
  <c r="A413" i="33"/>
  <c r="F414" i="27"/>
  <c r="G414" i="27"/>
  <c r="A416" i="27"/>
  <c r="B415" i="27"/>
  <c r="D415" i="27" a="1"/>
  <c r="D415" i="27" s="1"/>
  <c r="E415" i="27" s="1"/>
  <c r="C363" i="27"/>
  <c r="H362" i="27"/>
  <c r="F415" i="16"/>
  <c r="G415" i="16"/>
  <c r="I413" i="27"/>
  <c r="C363" i="17"/>
  <c r="H362" i="17"/>
  <c r="C363" i="28"/>
  <c r="H362" i="28"/>
  <c r="C363" i="16"/>
  <c r="H362" i="16"/>
  <c r="I414" i="16"/>
  <c r="A417" i="16"/>
  <c r="B416" i="16"/>
  <c r="D416" i="16" a="1"/>
  <c r="D416" i="16" s="1"/>
  <c r="E416" i="16" s="1"/>
  <c r="B413" i="34" l="1"/>
  <c r="A414" i="34"/>
  <c r="B413" i="33"/>
  <c r="A414" i="33"/>
  <c r="B413" i="36"/>
  <c r="A414" i="36"/>
  <c r="B413" i="35"/>
  <c r="A414" i="35"/>
  <c r="F416" i="16"/>
  <c r="G416" i="16"/>
  <c r="C364" i="28"/>
  <c r="H363" i="28"/>
  <c r="B416" i="27"/>
  <c r="A417" i="27"/>
  <c r="D416" i="27" a="1"/>
  <c r="D416" i="27" s="1"/>
  <c r="E416" i="27" s="1"/>
  <c r="I415" i="16"/>
  <c r="A418" i="16"/>
  <c r="B417" i="16"/>
  <c r="D417" i="16" a="1"/>
  <c r="D417" i="16" s="1"/>
  <c r="E417" i="16" s="1"/>
  <c r="C364" i="16"/>
  <c r="H363" i="16"/>
  <c r="C364" i="17"/>
  <c r="H363" i="17"/>
  <c r="C364" i="27"/>
  <c r="H363" i="27"/>
  <c r="I414" i="27"/>
  <c r="F415" i="27"/>
  <c r="G415" i="27"/>
  <c r="B414" i="33" l="1"/>
  <c r="A415" i="33"/>
  <c r="B414" i="34"/>
  <c r="A415" i="34"/>
  <c r="B414" i="35"/>
  <c r="A415" i="35"/>
  <c r="B414" i="36"/>
  <c r="A415" i="36"/>
  <c r="F417" i="16"/>
  <c r="G417" i="16"/>
  <c r="F416" i="27"/>
  <c r="G416" i="27"/>
  <c r="C365" i="28"/>
  <c r="H364" i="28"/>
  <c r="I415" i="27"/>
  <c r="A419" i="16"/>
  <c r="B418" i="16"/>
  <c r="D418" i="16" a="1"/>
  <c r="D418" i="16" s="1"/>
  <c r="E418" i="16" s="1"/>
  <c r="A418" i="27"/>
  <c r="B417" i="27"/>
  <c r="D417" i="27" a="1"/>
  <c r="D417" i="27" s="1"/>
  <c r="E417" i="27" s="1"/>
  <c r="I416" i="16"/>
  <c r="C365" i="17"/>
  <c r="H364" i="17"/>
  <c r="C365" i="27"/>
  <c r="H364" i="27"/>
  <c r="C365" i="16"/>
  <c r="H364" i="16"/>
  <c r="B415" i="36" l="1"/>
  <c r="A416" i="36"/>
  <c r="B415" i="34"/>
  <c r="A416" i="34"/>
  <c r="B415" i="33"/>
  <c r="A416" i="33"/>
  <c r="B415" i="35"/>
  <c r="A416" i="35"/>
  <c r="G417" i="27"/>
  <c r="F417" i="27"/>
  <c r="C366" i="16"/>
  <c r="H365" i="16"/>
  <c r="C366" i="17"/>
  <c r="H365" i="17"/>
  <c r="B418" i="27"/>
  <c r="A419" i="27"/>
  <c r="D418" i="27" a="1"/>
  <c r="D418" i="27" s="1"/>
  <c r="E418" i="27" s="1"/>
  <c r="I416" i="27"/>
  <c r="G418" i="16"/>
  <c r="F418" i="16"/>
  <c r="C366" i="27"/>
  <c r="H365" i="27"/>
  <c r="I417" i="16"/>
  <c r="A420" i="16"/>
  <c r="B419" i="16"/>
  <c r="D419" i="16" a="1"/>
  <c r="D419" i="16" s="1"/>
  <c r="E419" i="16" s="1"/>
  <c r="C366" i="28"/>
  <c r="H365" i="28"/>
  <c r="B416" i="34" l="1"/>
  <c r="A417" i="34"/>
  <c r="B416" i="33"/>
  <c r="A417" i="33"/>
  <c r="B416" i="35"/>
  <c r="A417" i="35"/>
  <c r="B416" i="36"/>
  <c r="A417" i="36"/>
  <c r="F419" i="16"/>
  <c r="G419" i="16"/>
  <c r="I418" i="16"/>
  <c r="A420" i="27"/>
  <c r="B419" i="27"/>
  <c r="D419" i="27" a="1"/>
  <c r="D419" i="27" s="1"/>
  <c r="E419" i="27" s="1"/>
  <c r="C367" i="16"/>
  <c r="H366" i="16"/>
  <c r="C367" i="28"/>
  <c r="H366" i="28"/>
  <c r="A421" i="16"/>
  <c r="B420" i="16"/>
  <c r="D420" i="16" a="1"/>
  <c r="D420" i="16" s="1"/>
  <c r="E420" i="16" s="1"/>
  <c r="C367" i="27"/>
  <c r="H366" i="27"/>
  <c r="G418" i="27"/>
  <c r="F418" i="27"/>
  <c r="C367" i="17"/>
  <c r="H366" i="17"/>
  <c r="I417" i="27"/>
  <c r="B417" i="33" l="1"/>
  <c r="A418" i="33"/>
  <c r="B417" i="34"/>
  <c r="A418" i="34"/>
  <c r="B417" i="36"/>
  <c r="A418" i="36"/>
  <c r="B417" i="35"/>
  <c r="A418" i="35"/>
  <c r="G420" i="16"/>
  <c r="F420" i="16"/>
  <c r="C368" i="28"/>
  <c r="H367" i="28"/>
  <c r="I418" i="27"/>
  <c r="A422" i="16"/>
  <c r="B421" i="16"/>
  <c r="D421" i="16" a="1"/>
  <c r="D421" i="16" s="1"/>
  <c r="E421" i="16" s="1"/>
  <c r="C368" i="16"/>
  <c r="H367" i="16"/>
  <c r="F419" i="27"/>
  <c r="G419" i="27"/>
  <c r="C368" i="17"/>
  <c r="H367" i="17"/>
  <c r="I419" i="16"/>
  <c r="C368" i="27"/>
  <c r="H367" i="27"/>
  <c r="A421" i="27"/>
  <c r="B420" i="27"/>
  <c r="D420" i="27" a="1"/>
  <c r="D420" i="27" s="1"/>
  <c r="E420" i="27" s="1"/>
  <c r="B418" i="33" l="1"/>
  <c r="A419" i="33"/>
  <c r="B418" i="36"/>
  <c r="A419" i="36"/>
  <c r="B418" i="35"/>
  <c r="A419" i="35"/>
  <c r="B418" i="34"/>
  <c r="A419" i="34"/>
  <c r="I419" i="27"/>
  <c r="A422" i="27"/>
  <c r="B421" i="27"/>
  <c r="D421" i="27" a="1"/>
  <c r="D421" i="27" s="1"/>
  <c r="E421" i="27" s="1"/>
  <c r="A423" i="16"/>
  <c r="B422" i="16"/>
  <c r="D422" i="16" a="1"/>
  <c r="D422" i="16" s="1"/>
  <c r="E422" i="16" s="1"/>
  <c r="C369" i="28"/>
  <c r="H368" i="28"/>
  <c r="F420" i="27"/>
  <c r="G420" i="27"/>
  <c r="C369" i="27"/>
  <c r="H368" i="27"/>
  <c r="C369" i="17"/>
  <c r="H368" i="17"/>
  <c r="C369" i="16"/>
  <c r="H368" i="16"/>
  <c r="F421" i="16"/>
  <c r="G421" i="16"/>
  <c r="I420" i="16"/>
  <c r="B419" i="36" l="1"/>
  <c r="A420" i="36"/>
  <c r="B419" i="34"/>
  <c r="A420" i="34"/>
  <c r="B419" i="35"/>
  <c r="A420" i="35"/>
  <c r="B419" i="33"/>
  <c r="A420" i="33"/>
  <c r="G422" i="16"/>
  <c r="F422" i="16"/>
  <c r="C370" i="28"/>
  <c r="H369" i="28"/>
  <c r="B422" i="27"/>
  <c r="A423" i="27"/>
  <c r="D422" i="27" a="1"/>
  <c r="D422" i="27" s="1"/>
  <c r="E422" i="27" s="1"/>
  <c r="C370" i="16"/>
  <c r="H369" i="16"/>
  <c r="C370" i="27"/>
  <c r="H369" i="27"/>
  <c r="K44" i="16"/>
  <c r="L49" i="17" s="1"/>
  <c r="I421" i="16"/>
  <c r="I420" i="27"/>
  <c r="C370" i="17"/>
  <c r="H369" i="17"/>
  <c r="A424" i="16"/>
  <c r="B423" i="16"/>
  <c r="D423" i="16" a="1"/>
  <c r="D423" i="16" s="1"/>
  <c r="E423" i="16" s="1"/>
  <c r="G421" i="27"/>
  <c r="F421" i="27"/>
  <c r="B420" i="33" l="1"/>
  <c r="A421" i="33"/>
  <c r="B420" i="36"/>
  <c r="A421" i="36"/>
  <c r="B420" i="35"/>
  <c r="A421" i="35"/>
  <c r="B420" i="34"/>
  <c r="A421" i="34"/>
  <c r="C371" i="16"/>
  <c r="H370" i="16"/>
  <c r="F422" i="27"/>
  <c r="G422" i="27"/>
  <c r="C371" i="28"/>
  <c r="H370" i="28"/>
  <c r="A425" i="16"/>
  <c r="B424" i="16"/>
  <c r="D424" i="16" a="1"/>
  <c r="D424" i="16" s="1"/>
  <c r="E424" i="16" s="1"/>
  <c r="I421" i="27"/>
  <c r="K44" i="27"/>
  <c r="N49" i="17" s="1"/>
  <c r="E54" i="9" s="1"/>
  <c r="F54" i="9" s="1"/>
  <c r="C371" i="27"/>
  <c r="H370" i="27"/>
  <c r="B423" i="27"/>
  <c r="A424" i="27"/>
  <c r="D423" i="27" a="1"/>
  <c r="D423" i="27" s="1"/>
  <c r="E423" i="27" s="1"/>
  <c r="G423" i="16"/>
  <c r="F423" i="16"/>
  <c r="C371" i="17"/>
  <c r="H370" i="17"/>
  <c r="I422" i="16"/>
  <c r="O49" i="17" l="1"/>
  <c r="B421" i="33"/>
  <c r="A422" i="33"/>
  <c r="B421" i="35"/>
  <c r="A422" i="35"/>
  <c r="B421" i="34"/>
  <c r="A422" i="34"/>
  <c r="B421" i="36"/>
  <c r="A422" i="36"/>
  <c r="D54" i="9"/>
  <c r="C372" i="27"/>
  <c r="H371" i="27"/>
  <c r="C372" i="17"/>
  <c r="H371" i="17"/>
  <c r="A425" i="27"/>
  <c r="B424" i="27"/>
  <c r="D424" i="27" a="1"/>
  <c r="D424" i="27" s="1"/>
  <c r="E424" i="27" s="1"/>
  <c r="A426" i="16"/>
  <c r="B425" i="16"/>
  <c r="D425" i="16" a="1"/>
  <c r="D425" i="16" s="1"/>
  <c r="E425" i="16" s="1"/>
  <c r="I423" i="16"/>
  <c r="F424" i="16"/>
  <c r="G424" i="16"/>
  <c r="C372" i="28"/>
  <c r="H371" i="28"/>
  <c r="C372" i="16"/>
  <c r="H371" i="16"/>
  <c r="F423" i="27"/>
  <c r="G423" i="27"/>
  <c r="I422" i="27"/>
  <c r="B422" i="33" l="1"/>
  <c r="A423" i="33"/>
  <c r="B422" i="35"/>
  <c r="A423" i="35"/>
  <c r="B422" i="36"/>
  <c r="A423" i="36"/>
  <c r="B422" i="34"/>
  <c r="A423" i="34"/>
  <c r="F425" i="16"/>
  <c r="G425" i="16"/>
  <c r="C373" i="16"/>
  <c r="H372" i="16"/>
  <c r="B425" i="27"/>
  <c r="A426" i="27"/>
  <c r="D425" i="27" a="1"/>
  <c r="D425" i="27" s="1"/>
  <c r="E425" i="27" s="1"/>
  <c r="C373" i="27"/>
  <c r="H372" i="27"/>
  <c r="C373" i="28"/>
  <c r="H372" i="28"/>
  <c r="I424" i="16"/>
  <c r="I423" i="27"/>
  <c r="A427" i="16"/>
  <c r="B426" i="16"/>
  <c r="D426" i="16" a="1"/>
  <c r="D426" i="16" s="1"/>
  <c r="E426" i="16" s="1"/>
  <c r="G424" i="27"/>
  <c r="F424" i="27"/>
  <c r="C373" i="17"/>
  <c r="H372" i="17"/>
  <c r="B423" i="33" l="1"/>
  <c r="A424" i="33"/>
  <c r="B423" i="36"/>
  <c r="A424" i="36"/>
  <c r="B423" i="35"/>
  <c r="A424" i="35"/>
  <c r="B423" i="34"/>
  <c r="A424" i="34"/>
  <c r="A428" i="16"/>
  <c r="B427" i="16"/>
  <c r="D427" i="16" a="1"/>
  <c r="D427" i="16" s="1"/>
  <c r="E427" i="16" s="1"/>
  <c r="C374" i="27"/>
  <c r="H373" i="27"/>
  <c r="G425" i="27"/>
  <c r="F425" i="27"/>
  <c r="C374" i="16"/>
  <c r="H373" i="16"/>
  <c r="F426" i="16"/>
  <c r="G426" i="16"/>
  <c r="C374" i="28"/>
  <c r="H373" i="28"/>
  <c r="A427" i="27"/>
  <c r="B426" i="27"/>
  <c r="D426" i="27" a="1"/>
  <c r="D426" i="27" s="1"/>
  <c r="E426" i="27" s="1"/>
  <c r="I425" i="16"/>
  <c r="C374" i="17"/>
  <c r="H373" i="17"/>
  <c r="I424" i="27"/>
  <c r="B424" i="34" l="1"/>
  <c r="A425" i="34"/>
  <c r="B424" i="35"/>
  <c r="A425" i="35"/>
  <c r="B424" i="33"/>
  <c r="A425" i="33"/>
  <c r="B424" i="36"/>
  <c r="A425" i="36"/>
  <c r="F426" i="27"/>
  <c r="G426" i="27"/>
  <c r="C375" i="28"/>
  <c r="H374" i="28"/>
  <c r="C375" i="16"/>
  <c r="H374" i="16"/>
  <c r="C375" i="27"/>
  <c r="H374" i="27"/>
  <c r="F427" i="16"/>
  <c r="G427" i="16"/>
  <c r="C375" i="17"/>
  <c r="H374" i="17"/>
  <c r="I426" i="16"/>
  <c r="I425" i="27"/>
  <c r="B427" i="27"/>
  <c r="A428" i="27"/>
  <c r="D427" i="27" a="1"/>
  <c r="D427" i="27" s="1"/>
  <c r="E427" i="27" s="1"/>
  <c r="A429" i="16"/>
  <c r="B428" i="16"/>
  <c r="D428" i="16" a="1"/>
  <c r="D428" i="16" s="1"/>
  <c r="E428" i="16" s="1"/>
  <c r="B425" i="33" l="1"/>
  <c r="A426" i="33"/>
  <c r="B425" i="35"/>
  <c r="A426" i="35"/>
  <c r="B425" i="36"/>
  <c r="A426" i="36"/>
  <c r="B425" i="34"/>
  <c r="A426" i="34"/>
  <c r="C376" i="16"/>
  <c r="H375" i="16"/>
  <c r="A430" i="16"/>
  <c r="B429" i="16"/>
  <c r="D429" i="16" a="1"/>
  <c r="D429" i="16" s="1"/>
  <c r="E429" i="16" s="1"/>
  <c r="F427" i="27"/>
  <c r="G427" i="27"/>
  <c r="C376" i="17"/>
  <c r="H375" i="17"/>
  <c r="C376" i="27"/>
  <c r="H375" i="27"/>
  <c r="C376" i="28"/>
  <c r="H375" i="28"/>
  <c r="G428" i="16"/>
  <c r="F428" i="16"/>
  <c r="A429" i="27"/>
  <c r="B428" i="27"/>
  <c r="D428" i="27" a="1"/>
  <c r="D428" i="27" s="1"/>
  <c r="E428" i="27" s="1"/>
  <c r="I427" i="16"/>
  <c r="I426" i="27"/>
  <c r="B426" i="36" l="1"/>
  <c r="A427" i="36"/>
  <c r="B426" i="35"/>
  <c r="A427" i="35"/>
  <c r="B426" i="34"/>
  <c r="A427" i="34"/>
  <c r="B426" i="33"/>
  <c r="A427" i="33"/>
  <c r="B429" i="27"/>
  <c r="A430" i="27"/>
  <c r="D429" i="27" a="1"/>
  <c r="D429" i="27" s="1"/>
  <c r="E429" i="27" s="1"/>
  <c r="C377" i="28"/>
  <c r="H376" i="28"/>
  <c r="C377" i="17"/>
  <c r="H376" i="17"/>
  <c r="I427" i="27"/>
  <c r="A431" i="16"/>
  <c r="B430" i="16"/>
  <c r="D430" i="16" a="1"/>
  <c r="D430" i="16" s="1"/>
  <c r="E430" i="16" s="1"/>
  <c r="F428" i="27"/>
  <c r="G428" i="27"/>
  <c r="I428" i="16"/>
  <c r="C377" i="27"/>
  <c r="H376" i="27"/>
  <c r="F429" i="16"/>
  <c r="G429" i="16"/>
  <c r="C377" i="16"/>
  <c r="H376" i="16"/>
  <c r="B427" i="34" l="1"/>
  <c r="A428" i="34"/>
  <c r="B427" i="36"/>
  <c r="A428" i="36"/>
  <c r="B427" i="33"/>
  <c r="A428" i="33"/>
  <c r="B427" i="35"/>
  <c r="A428" i="35"/>
  <c r="F430" i="16"/>
  <c r="G430" i="16"/>
  <c r="C378" i="28"/>
  <c r="H377" i="28"/>
  <c r="F429" i="27"/>
  <c r="G429" i="27"/>
  <c r="I428" i="27"/>
  <c r="A432" i="16"/>
  <c r="B431" i="16"/>
  <c r="D431" i="16" a="1"/>
  <c r="D431" i="16" s="1"/>
  <c r="E431" i="16" s="1"/>
  <c r="C378" i="17"/>
  <c r="H377" i="17"/>
  <c r="A431" i="27"/>
  <c r="B430" i="27"/>
  <c r="D430" i="27" a="1"/>
  <c r="D430" i="27" s="1"/>
  <c r="E430" i="27" s="1"/>
  <c r="I429" i="16"/>
  <c r="C378" i="16"/>
  <c r="H377" i="16"/>
  <c r="C378" i="27"/>
  <c r="H377" i="27"/>
  <c r="B428" i="36" l="1"/>
  <c r="A429" i="36"/>
  <c r="B428" i="33"/>
  <c r="A429" i="33"/>
  <c r="B428" i="35"/>
  <c r="A429" i="35"/>
  <c r="B428" i="34"/>
  <c r="A429" i="34"/>
  <c r="G430" i="27"/>
  <c r="F430" i="27"/>
  <c r="C379" i="17"/>
  <c r="H378" i="17"/>
  <c r="F431" i="16"/>
  <c r="G431" i="16"/>
  <c r="C379" i="28"/>
  <c r="H378" i="28"/>
  <c r="C379" i="16"/>
  <c r="H378" i="16"/>
  <c r="I429" i="27"/>
  <c r="I430" i="16"/>
  <c r="B431" i="27"/>
  <c r="A432" i="27"/>
  <c r="D431" i="27" a="1"/>
  <c r="D431" i="27" s="1"/>
  <c r="E431" i="27" s="1"/>
  <c r="C379" i="27"/>
  <c r="H378" i="27"/>
  <c r="A433" i="16"/>
  <c r="B432" i="16"/>
  <c r="D432" i="16" a="1"/>
  <c r="D432" i="16" s="1"/>
  <c r="E432" i="16" s="1"/>
  <c r="B429" i="33" l="1"/>
  <c r="A430" i="33"/>
  <c r="B429" i="36"/>
  <c r="A430" i="36"/>
  <c r="B429" i="34"/>
  <c r="A430" i="34"/>
  <c r="B429" i="35"/>
  <c r="A430" i="35"/>
  <c r="C380" i="16"/>
  <c r="H379" i="16"/>
  <c r="A434" i="16"/>
  <c r="B433" i="16"/>
  <c r="D433" i="16" a="1"/>
  <c r="D433" i="16" s="1"/>
  <c r="E433" i="16" s="1"/>
  <c r="A433" i="27"/>
  <c r="B432" i="27"/>
  <c r="D432" i="27" a="1"/>
  <c r="D432" i="27" s="1"/>
  <c r="E432" i="27" s="1"/>
  <c r="C380" i="28"/>
  <c r="H379" i="28"/>
  <c r="C380" i="17"/>
  <c r="H379" i="17"/>
  <c r="F432" i="16"/>
  <c r="G432" i="16"/>
  <c r="C380" i="27"/>
  <c r="H379" i="27"/>
  <c r="K45" i="16"/>
  <c r="L50" i="17" s="1"/>
  <c r="I431" i="16"/>
  <c r="F431" i="27"/>
  <c r="G431" i="27"/>
  <c r="I430" i="27"/>
  <c r="B430" i="35" l="1"/>
  <c r="A431" i="35"/>
  <c r="B430" i="34"/>
  <c r="A431" i="34"/>
  <c r="B430" i="33"/>
  <c r="A431" i="33"/>
  <c r="B430" i="36"/>
  <c r="A431" i="36"/>
  <c r="G432" i="27"/>
  <c r="F432" i="27"/>
  <c r="C381" i="28"/>
  <c r="H380" i="28"/>
  <c r="C381" i="27"/>
  <c r="H380" i="27"/>
  <c r="A435" i="16"/>
  <c r="B434" i="16"/>
  <c r="D434" i="16" a="1"/>
  <c r="D434" i="16" s="1"/>
  <c r="E434" i="16" s="1"/>
  <c r="I431" i="27"/>
  <c r="K45" i="27"/>
  <c r="N50" i="17" s="1"/>
  <c r="E55" i="9" s="1"/>
  <c r="F55" i="9" s="1"/>
  <c r="C381" i="17"/>
  <c r="H380" i="17"/>
  <c r="I432" i="16"/>
  <c r="B433" i="27"/>
  <c r="A434" i="27"/>
  <c r="D433" i="27" a="1"/>
  <c r="D433" i="27" s="1"/>
  <c r="E433" i="27" s="1"/>
  <c r="G433" i="16"/>
  <c r="F433" i="16"/>
  <c r="C381" i="16"/>
  <c r="H380" i="16"/>
  <c r="O50" i="17" l="1"/>
  <c r="B431" i="36"/>
  <c r="A432" i="36"/>
  <c r="B431" i="33"/>
  <c r="A432" i="33"/>
  <c r="B431" i="34"/>
  <c r="A432" i="34"/>
  <c r="B431" i="35"/>
  <c r="A432" i="35"/>
  <c r="G433" i="27"/>
  <c r="F433" i="27"/>
  <c r="A436" i="16"/>
  <c r="B435" i="16"/>
  <c r="D435" i="16" a="1"/>
  <c r="D435" i="16" s="1"/>
  <c r="E435" i="16" s="1"/>
  <c r="C382" i="28"/>
  <c r="H381" i="28"/>
  <c r="I433" i="16"/>
  <c r="C382" i="16"/>
  <c r="H381" i="16"/>
  <c r="A435" i="27"/>
  <c r="B434" i="27"/>
  <c r="D434" i="27" a="1"/>
  <c r="D434" i="27" s="1"/>
  <c r="E434" i="27" s="1"/>
  <c r="D55" i="9"/>
  <c r="F434" i="16"/>
  <c r="G434" i="16"/>
  <c r="C382" i="27"/>
  <c r="H381" i="27"/>
  <c r="C382" i="17"/>
  <c r="H381" i="17"/>
  <c r="I432" i="27"/>
  <c r="B432" i="36" l="1"/>
  <c r="A433" i="36"/>
  <c r="B432" i="34"/>
  <c r="A433" i="34"/>
  <c r="B432" i="35"/>
  <c r="A433" i="35"/>
  <c r="B432" i="33"/>
  <c r="A433" i="33"/>
  <c r="C383" i="17"/>
  <c r="H382" i="17"/>
  <c r="C383" i="27"/>
  <c r="H382" i="27"/>
  <c r="B435" i="27"/>
  <c r="A436" i="27"/>
  <c r="D435" i="27" a="1"/>
  <c r="D435" i="27" s="1"/>
  <c r="E435" i="27" s="1"/>
  <c r="I434" i="16"/>
  <c r="A437" i="16"/>
  <c r="B436" i="16"/>
  <c r="D436" i="16" a="1"/>
  <c r="D436" i="16" s="1"/>
  <c r="E436" i="16" s="1"/>
  <c r="F434" i="27"/>
  <c r="G434" i="27"/>
  <c r="C383" i="16"/>
  <c r="H382" i="16"/>
  <c r="C383" i="28"/>
  <c r="H382" i="28"/>
  <c r="G435" i="16"/>
  <c r="F435" i="16"/>
  <c r="I433" i="27"/>
  <c r="B433" i="36" l="1"/>
  <c r="A434" i="36"/>
  <c r="B433" i="35"/>
  <c r="A434" i="35"/>
  <c r="B433" i="33"/>
  <c r="A434" i="33"/>
  <c r="B433" i="34"/>
  <c r="A434" i="34"/>
  <c r="C384" i="28"/>
  <c r="H383" i="28"/>
  <c r="I435" i="16"/>
  <c r="C384" i="16"/>
  <c r="H383" i="16"/>
  <c r="I434" i="27"/>
  <c r="A438" i="16"/>
  <c r="B437" i="16"/>
  <c r="D437" i="16" a="1"/>
  <c r="D437" i="16" s="1"/>
  <c r="E437" i="16" s="1"/>
  <c r="F435" i="27"/>
  <c r="G435" i="27"/>
  <c r="C384" i="27"/>
  <c r="H383" i="27"/>
  <c r="F436" i="16"/>
  <c r="G436" i="16"/>
  <c r="A437" i="27"/>
  <c r="B436" i="27"/>
  <c r="D436" i="27" a="1"/>
  <c r="D436" i="27" s="1"/>
  <c r="E436" i="27" s="1"/>
  <c r="C384" i="17"/>
  <c r="H383" i="17"/>
  <c r="B434" i="34" l="1"/>
  <c r="A435" i="34"/>
  <c r="B434" i="33"/>
  <c r="A435" i="33"/>
  <c r="B434" i="35"/>
  <c r="A435" i="35"/>
  <c r="B434" i="36"/>
  <c r="A435" i="36"/>
  <c r="G436" i="27"/>
  <c r="F436" i="27"/>
  <c r="F437" i="16"/>
  <c r="G437" i="16"/>
  <c r="B437" i="27"/>
  <c r="A438" i="27"/>
  <c r="D437" i="27" a="1"/>
  <c r="D437" i="27" s="1"/>
  <c r="E437" i="27" s="1"/>
  <c r="C385" i="27"/>
  <c r="H384" i="27"/>
  <c r="C385" i="17"/>
  <c r="H384" i="17"/>
  <c r="I436" i="16"/>
  <c r="I435" i="27"/>
  <c r="A439" i="16"/>
  <c r="B438" i="16"/>
  <c r="D438" i="16" a="1"/>
  <c r="D438" i="16" s="1"/>
  <c r="E438" i="16" s="1"/>
  <c r="C385" i="16"/>
  <c r="H384" i="16"/>
  <c r="C385" i="28"/>
  <c r="H384" i="28"/>
  <c r="B435" i="34" l="1"/>
  <c r="A436" i="34"/>
  <c r="B435" i="36"/>
  <c r="A436" i="36"/>
  <c r="B435" i="33"/>
  <c r="A436" i="33"/>
  <c r="B435" i="35"/>
  <c r="A436" i="35"/>
  <c r="C386" i="28"/>
  <c r="H385" i="28"/>
  <c r="A440" i="16"/>
  <c r="B439" i="16"/>
  <c r="D439" i="16" a="1"/>
  <c r="D439" i="16" s="1"/>
  <c r="E439" i="16" s="1"/>
  <c r="C386" i="27"/>
  <c r="H385" i="27"/>
  <c r="I437" i="16"/>
  <c r="G437" i="27"/>
  <c r="F437" i="27"/>
  <c r="G438" i="16"/>
  <c r="F438" i="16"/>
  <c r="C386" i="17"/>
  <c r="H385" i="17"/>
  <c r="A439" i="27"/>
  <c r="B438" i="27"/>
  <c r="D438" i="27" a="1"/>
  <c r="D438" i="27" s="1"/>
  <c r="E438" i="27" s="1"/>
  <c r="C386" i="16"/>
  <c r="H385" i="16"/>
  <c r="I436" i="27"/>
  <c r="B436" i="34" l="1"/>
  <c r="A437" i="34"/>
  <c r="B436" i="36"/>
  <c r="A437" i="36"/>
  <c r="B436" i="33"/>
  <c r="A437" i="33"/>
  <c r="B436" i="35"/>
  <c r="A437" i="35"/>
  <c r="B439" i="27"/>
  <c r="A440" i="27"/>
  <c r="D439" i="27" a="1"/>
  <c r="D439" i="27" s="1"/>
  <c r="E439" i="27" s="1"/>
  <c r="I438" i="16"/>
  <c r="C387" i="16"/>
  <c r="H386" i="16"/>
  <c r="A441" i="16"/>
  <c r="B440" i="16"/>
  <c r="D440" i="16" a="1"/>
  <c r="D440" i="16" s="1"/>
  <c r="E440" i="16" s="1"/>
  <c r="G438" i="27"/>
  <c r="F438" i="27"/>
  <c r="C387" i="17"/>
  <c r="H386" i="17"/>
  <c r="I437" i="27"/>
  <c r="C387" i="27"/>
  <c r="H386" i="27"/>
  <c r="F439" i="16"/>
  <c r="G439" i="16"/>
  <c r="C387" i="28"/>
  <c r="H386" i="28"/>
  <c r="B437" i="35" l="1"/>
  <c r="A438" i="35"/>
  <c r="B437" i="34"/>
  <c r="A438" i="34"/>
  <c r="B437" i="33"/>
  <c r="A438" i="33"/>
  <c r="B437" i="36"/>
  <c r="A438" i="36"/>
  <c r="I439" i="16"/>
  <c r="A442" i="16"/>
  <c r="B441" i="16"/>
  <c r="D441" i="16" a="1"/>
  <c r="D441" i="16" s="1"/>
  <c r="E441" i="16" s="1"/>
  <c r="G439" i="27"/>
  <c r="F439" i="27"/>
  <c r="F440" i="16"/>
  <c r="G440" i="16"/>
  <c r="C388" i="16"/>
  <c r="H387" i="16"/>
  <c r="A441" i="27"/>
  <c r="B440" i="27"/>
  <c r="D440" i="27" a="1"/>
  <c r="D440" i="27" s="1"/>
  <c r="E440" i="27" s="1"/>
  <c r="I438" i="27"/>
  <c r="C388" i="28"/>
  <c r="H387" i="28"/>
  <c r="C388" i="27"/>
  <c r="H387" i="27"/>
  <c r="C388" i="17"/>
  <c r="H387" i="17"/>
  <c r="B438" i="36" l="1"/>
  <c r="A439" i="36"/>
  <c r="B438" i="33"/>
  <c r="A439" i="33"/>
  <c r="B438" i="34"/>
  <c r="A439" i="34"/>
  <c r="B438" i="35"/>
  <c r="A439" i="35"/>
  <c r="C389" i="17"/>
  <c r="H388" i="17"/>
  <c r="C389" i="28"/>
  <c r="H388" i="28"/>
  <c r="I440" i="16"/>
  <c r="B441" i="27"/>
  <c r="A442" i="27"/>
  <c r="D441" i="27" a="1"/>
  <c r="D441" i="27" s="1"/>
  <c r="E441" i="27" s="1"/>
  <c r="C389" i="27"/>
  <c r="H388" i="27"/>
  <c r="A443" i="16"/>
  <c r="B442" i="16"/>
  <c r="D442" i="16" a="1"/>
  <c r="D442" i="16" s="1"/>
  <c r="E442" i="16" s="1"/>
  <c r="G440" i="27"/>
  <c r="F440" i="27"/>
  <c r="C389" i="16"/>
  <c r="H388" i="16"/>
  <c r="I439" i="27"/>
  <c r="F441" i="16"/>
  <c r="G441" i="16"/>
  <c r="B439" i="33" l="1"/>
  <c r="A440" i="33"/>
  <c r="B439" i="35"/>
  <c r="A440" i="35"/>
  <c r="B439" i="34"/>
  <c r="A440" i="34"/>
  <c r="B439" i="36"/>
  <c r="A440" i="36"/>
  <c r="I441" i="16"/>
  <c r="K46" i="16"/>
  <c r="L51" i="17" s="1"/>
  <c r="C390" i="16"/>
  <c r="H389" i="16"/>
  <c r="A444" i="16"/>
  <c r="B443" i="16"/>
  <c r="D443" i="16" a="1"/>
  <c r="D443" i="16" s="1"/>
  <c r="E443" i="16" s="1"/>
  <c r="A443" i="27"/>
  <c r="B442" i="27"/>
  <c r="D442" i="27" a="1"/>
  <c r="D442" i="27" s="1"/>
  <c r="E442" i="27" s="1"/>
  <c r="I440" i="27"/>
  <c r="C390" i="28"/>
  <c r="H389" i="28"/>
  <c r="G442" i="16"/>
  <c r="F442" i="16"/>
  <c r="C390" i="27"/>
  <c r="H389" i="27"/>
  <c r="G441" i="27"/>
  <c r="F441" i="27"/>
  <c r="C390" i="17"/>
  <c r="H389" i="17"/>
  <c r="B440" i="36" l="1"/>
  <c r="A441" i="36"/>
  <c r="B440" i="34"/>
  <c r="A441" i="34"/>
  <c r="B440" i="33"/>
  <c r="A441" i="33"/>
  <c r="B440" i="35"/>
  <c r="A441" i="35"/>
  <c r="F443" i="16"/>
  <c r="G443" i="16"/>
  <c r="C391" i="16"/>
  <c r="H390" i="16"/>
  <c r="F442" i="27"/>
  <c r="G442" i="27"/>
  <c r="I442" i="16"/>
  <c r="A445" i="16"/>
  <c r="B444" i="16"/>
  <c r="D444" i="16" a="1"/>
  <c r="D444" i="16" s="1"/>
  <c r="E444" i="16" s="1"/>
  <c r="K46" i="27"/>
  <c r="N51" i="17" s="1"/>
  <c r="E56" i="9" s="1"/>
  <c r="F56" i="9" s="1"/>
  <c r="I441" i="27"/>
  <c r="C391" i="17"/>
  <c r="H390" i="17"/>
  <c r="C391" i="27"/>
  <c r="H390" i="27"/>
  <c r="C391" i="28"/>
  <c r="H390" i="28"/>
  <c r="B443" i="27"/>
  <c r="A444" i="27"/>
  <c r="D443" i="27" a="1"/>
  <c r="D443" i="27" s="1"/>
  <c r="E443" i="27" s="1"/>
  <c r="O51" i="17" l="1"/>
  <c r="B441" i="35"/>
  <c r="A442" i="35"/>
  <c r="B441" i="34"/>
  <c r="A442" i="34"/>
  <c r="B441" i="33"/>
  <c r="A442" i="33"/>
  <c r="B441" i="36"/>
  <c r="A442" i="36"/>
  <c r="F444" i="16"/>
  <c r="G444" i="16"/>
  <c r="F443" i="27"/>
  <c r="G443" i="27"/>
  <c r="D56" i="9"/>
  <c r="C392" i="16"/>
  <c r="H391" i="16"/>
  <c r="C392" i="27"/>
  <c r="H391" i="27"/>
  <c r="A446" i="16"/>
  <c r="B445" i="16"/>
  <c r="D445" i="16" a="1"/>
  <c r="D445" i="16" s="1"/>
  <c r="E445" i="16" s="1"/>
  <c r="I442" i="27"/>
  <c r="I443" i="16"/>
  <c r="C392" i="28"/>
  <c r="H391" i="28"/>
  <c r="C392" i="17"/>
  <c r="H391" i="17"/>
  <c r="A445" i="27"/>
  <c r="B444" i="27"/>
  <c r="D444" i="27" a="1"/>
  <c r="D444" i="27" s="1"/>
  <c r="E444" i="27" s="1"/>
  <c r="B442" i="34" l="1"/>
  <c r="A443" i="34"/>
  <c r="B442" i="35"/>
  <c r="A443" i="35"/>
  <c r="B442" i="36"/>
  <c r="A443" i="36"/>
  <c r="B442" i="33"/>
  <c r="A443" i="33"/>
  <c r="F444" i="27"/>
  <c r="G444" i="27"/>
  <c r="A447" i="16"/>
  <c r="B446" i="16"/>
  <c r="D446" i="16" a="1"/>
  <c r="D446" i="16" s="1"/>
  <c r="E446" i="16" s="1"/>
  <c r="C393" i="16"/>
  <c r="H392" i="16"/>
  <c r="I443" i="27"/>
  <c r="B445" i="27"/>
  <c r="A446" i="27"/>
  <c r="D445" i="27" a="1"/>
  <c r="D445" i="27" s="1"/>
  <c r="E445" i="27" s="1"/>
  <c r="C393" i="28"/>
  <c r="H392" i="28"/>
  <c r="F445" i="16"/>
  <c r="G445" i="16"/>
  <c r="C393" i="27"/>
  <c r="H392" i="27"/>
  <c r="I444" i="16"/>
  <c r="C393" i="17"/>
  <c r="H392" i="17"/>
  <c r="B443" i="36" l="1"/>
  <c r="A444" i="36"/>
  <c r="B443" i="35"/>
  <c r="A444" i="35"/>
  <c r="B443" i="34"/>
  <c r="A444" i="34"/>
  <c r="B443" i="33"/>
  <c r="A444" i="33"/>
  <c r="F445" i="27"/>
  <c r="G445" i="27"/>
  <c r="C394" i="27"/>
  <c r="H393" i="27"/>
  <c r="I445" i="16"/>
  <c r="C394" i="17"/>
  <c r="H393" i="17"/>
  <c r="A447" i="27"/>
  <c r="B446" i="27"/>
  <c r="D446" i="27" a="1"/>
  <c r="D446" i="27" s="1"/>
  <c r="E446" i="27" s="1"/>
  <c r="B447" i="16"/>
  <c r="A448" i="16"/>
  <c r="D447" i="16" a="1"/>
  <c r="D447" i="16" s="1"/>
  <c r="E447" i="16" s="1"/>
  <c r="C394" i="28"/>
  <c r="H393" i="28"/>
  <c r="C394" i="16"/>
  <c r="H393" i="16"/>
  <c r="I444" i="27"/>
  <c r="G446" i="16"/>
  <c r="F446" i="16"/>
  <c r="B444" i="33" l="1"/>
  <c r="A445" i="33"/>
  <c r="B444" i="34"/>
  <c r="A445" i="34"/>
  <c r="B444" i="36"/>
  <c r="A445" i="36"/>
  <c r="B444" i="35"/>
  <c r="A445" i="35"/>
  <c r="I446" i="16"/>
  <c r="G446" i="27"/>
  <c r="F446" i="27"/>
  <c r="C395" i="17"/>
  <c r="H394" i="17"/>
  <c r="C395" i="27"/>
  <c r="H394" i="27"/>
  <c r="C395" i="28"/>
  <c r="H394" i="28"/>
  <c r="I445" i="27"/>
  <c r="F447" i="16"/>
  <c r="G447" i="16"/>
  <c r="C395" i="16"/>
  <c r="H394" i="16"/>
  <c r="A449" i="16"/>
  <c r="B448" i="16"/>
  <c r="D448" i="16" a="1"/>
  <c r="D448" i="16" s="1"/>
  <c r="E448" i="16" s="1"/>
  <c r="A448" i="27"/>
  <c r="B447" i="27"/>
  <c r="D447" i="27" a="1"/>
  <c r="D447" i="27" s="1"/>
  <c r="E447" i="27" s="1"/>
  <c r="B445" i="36" l="1"/>
  <c r="A446" i="36"/>
  <c r="B445" i="33"/>
  <c r="A446" i="33"/>
  <c r="B445" i="35"/>
  <c r="A446" i="35"/>
  <c r="B445" i="34"/>
  <c r="A446" i="34"/>
  <c r="A449" i="27"/>
  <c r="B448" i="27"/>
  <c r="D448" i="27" a="1"/>
  <c r="D448" i="27" s="1"/>
  <c r="E448" i="27" s="1"/>
  <c r="F448" i="16"/>
  <c r="G448" i="16"/>
  <c r="C396" i="16"/>
  <c r="H395" i="16"/>
  <c r="C396" i="27"/>
  <c r="H395" i="27"/>
  <c r="I446" i="27"/>
  <c r="G447" i="27"/>
  <c r="F447" i="27"/>
  <c r="I447" i="16"/>
  <c r="B449" i="16"/>
  <c r="A450" i="16"/>
  <c r="D449" i="16" a="1"/>
  <c r="D449" i="16" s="1"/>
  <c r="E449" i="16" s="1"/>
  <c r="C396" i="28"/>
  <c r="H395" i="28"/>
  <c r="C396" i="17"/>
  <c r="H395" i="17"/>
  <c r="B446" i="35" l="1"/>
  <c r="A447" i="35"/>
  <c r="B446" i="36"/>
  <c r="A447" i="36"/>
  <c r="B446" i="33"/>
  <c r="A447" i="33"/>
  <c r="B446" i="34"/>
  <c r="A447" i="34"/>
  <c r="F449" i="16"/>
  <c r="G449" i="16"/>
  <c r="I447" i="27"/>
  <c r="C397" i="27"/>
  <c r="H396" i="27"/>
  <c r="G448" i="27"/>
  <c r="F448" i="27"/>
  <c r="C397" i="16"/>
  <c r="H396" i="16"/>
  <c r="C397" i="28"/>
  <c r="H396" i="28"/>
  <c r="C397" i="17"/>
  <c r="H396" i="17"/>
  <c r="A451" i="16"/>
  <c r="B450" i="16"/>
  <c r="D450" i="16" a="1"/>
  <c r="D450" i="16" s="1"/>
  <c r="E450" i="16" s="1"/>
  <c r="I448" i="16"/>
  <c r="A450" i="27"/>
  <c r="B449" i="27"/>
  <c r="D449" i="27" a="1"/>
  <c r="D449" i="27" s="1"/>
  <c r="E449" i="27" s="1"/>
  <c r="B447" i="36" l="1"/>
  <c r="A448" i="36"/>
  <c r="B447" i="34"/>
  <c r="A448" i="34"/>
  <c r="B447" i="33"/>
  <c r="A448" i="33"/>
  <c r="B447" i="35"/>
  <c r="A448" i="35"/>
  <c r="B450" i="27"/>
  <c r="A451" i="27"/>
  <c r="D450" i="27" a="1"/>
  <c r="D450" i="27" s="1"/>
  <c r="E450" i="27" s="1"/>
  <c r="B451" i="16"/>
  <c r="A452" i="16"/>
  <c r="D451" i="16" a="1"/>
  <c r="D451" i="16" s="1"/>
  <c r="E451" i="16" s="1"/>
  <c r="C398" i="28"/>
  <c r="H397" i="28"/>
  <c r="I448" i="27"/>
  <c r="G449" i="27"/>
  <c r="F449" i="27"/>
  <c r="I449" i="16"/>
  <c r="F450" i="16"/>
  <c r="G450" i="16"/>
  <c r="C398" i="17"/>
  <c r="H397" i="17"/>
  <c r="C398" i="16"/>
  <c r="H397" i="16"/>
  <c r="C398" i="27"/>
  <c r="H397" i="27"/>
  <c r="B448" i="34" l="1"/>
  <c r="A449" i="34"/>
  <c r="B448" i="33"/>
  <c r="A449" i="33"/>
  <c r="B448" i="36"/>
  <c r="A449" i="36"/>
  <c r="B448" i="35"/>
  <c r="A449" i="35"/>
  <c r="I449" i="27"/>
  <c r="I450" i="16"/>
  <c r="G450" i="27"/>
  <c r="F450" i="27"/>
  <c r="F451" i="16"/>
  <c r="G451" i="16"/>
  <c r="A452" i="27"/>
  <c r="B451" i="27"/>
  <c r="D451" i="27" a="1"/>
  <c r="D451" i="27" s="1"/>
  <c r="E451" i="27" s="1"/>
  <c r="C399" i="16"/>
  <c r="H398" i="16"/>
  <c r="C399" i="28"/>
  <c r="H398" i="28"/>
  <c r="C399" i="27"/>
  <c r="H398" i="27"/>
  <c r="C399" i="17"/>
  <c r="H398" i="17"/>
  <c r="A453" i="16"/>
  <c r="B452" i="16"/>
  <c r="D452" i="16" a="1"/>
  <c r="D452" i="16" s="1"/>
  <c r="E452" i="16" s="1"/>
  <c r="B449" i="33" l="1"/>
  <c r="A450" i="33"/>
  <c r="B449" i="34"/>
  <c r="A450" i="34"/>
  <c r="B449" i="35"/>
  <c r="A450" i="35"/>
  <c r="B449" i="36"/>
  <c r="A450" i="36"/>
  <c r="F452" i="16"/>
  <c r="G452" i="16"/>
  <c r="C400" i="17"/>
  <c r="H399" i="17"/>
  <c r="C400" i="28"/>
  <c r="H399" i="28"/>
  <c r="B453" i="16"/>
  <c r="A454" i="16"/>
  <c r="D453" i="16" a="1"/>
  <c r="D453" i="16" s="1"/>
  <c r="E453" i="16" s="1"/>
  <c r="C400" i="27"/>
  <c r="H399" i="27"/>
  <c r="C400" i="16"/>
  <c r="H399" i="16"/>
  <c r="I451" i="16"/>
  <c r="K47" i="16"/>
  <c r="L52" i="17" s="1"/>
  <c r="F451" i="27"/>
  <c r="G451" i="27"/>
  <c r="B452" i="27"/>
  <c r="A453" i="27"/>
  <c r="D452" i="27" a="1"/>
  <c r="D452" i="27" s="1"/>
  <c r="E452" i="27" s="1"/>
  <c r="I450" i="27"/>
  <c r="B450" i="36" l="1"/>
  <c r="A451" i="36"/>
  <c r="B450" i="33"/>
  <c r="A451" i="33"/>
  <c r="B450" i="35"/>
  <c r="A451" i="35"/>
  <c r="B450" i="34"/>
  <c r="A451" i="34"/>
  <c r="F452" i="27"/>
  <c r="G452" i="27"/>
  <c r="A454" i="27"/>
  <c r="B453" i="27"/>
  <c r="D453" i="27" a="1"/>
  <c r="D453" i="27" s="1"/>
  <c r="E453" i="27" s="1"/>
  <c r="C401" i="16"/>
  <c r="H400" i="16"/>
  <c r="A455" i="16"/>
  <c r="B454" i="16"/>
  <c r="D454" i="16" a="1"/>
  <c r="D454" i="16" s="1"/>
  <c r="E454" i="16" s="1"/>
  <c r="C401" i="17"/>
  <c r="H400" i="17"/>
  <c r="I451" i="27"/>
  <c r="K47" i="27"/>
  <c r="N52" i="17" s="1"/>
  <c r="E57" i="9" s="1"/>
  <c r="F57" i="9" s="1"/>
  <c r="C401" i="27"/>
  <c r="H400" i="27"/>
  <c r="I452" i="16"/>
  <c r="F453" i="16"/>
  <c r="G453" i="16"/>
  <c r="C401" i="28"/>
  <c r="H400" i="28"/>
  <c r="O52" i="17" l="1"/>
  <c r="B451" i="35"/>
  <c r="A452" i="35"/>
  <c r="B451" i="36"/>
  <c r="A452" i="36"/>
  <c r="B451" i="33"/>
  <c r="A452" i="33"/>
  <c r="B451" i="34"/>
  <c r="A452" i="34"/>
  <c r="D57" i="9"/>
  <c r="C402" i="28"/>
  <c r="H401" i="28"/>
  <c r="C402" i="27"/>
  <c r="H401" i="27"/>
  <c r="A456" i="16"/>
  <c r="B455" i="16"/>
  <c r="D455" i="16" a="1"/>
  <c r="D455" i="16" s="1"/>
  <c r="E455" i="16" s="1"/>
  <c r="C402" i="17"/>
  <c r="H401" i="17"/>
  <c r="F454" i="16"/>
  <c r="G454" i="16"/>
  <c r="C402" i="16"/>
  <c r="H401" i="16"/>
  <c r="B454" i="27"/>
  <c r="A455" i="27"/>
  <c r="D454" i="27" a="1"/>
  <c r="D454" i="27" s="1"/>
  <c r="E454" i="27" s="1"/>
  <c r="I453" i="16"/>
  <c r="I452" i="27"/>
  <c r="G453" i="27"/>
  <c r="F453" i="27"/>
  <c r="B452" i="36" l="1"/>
  <c r="A453" i="36"/>
  <c r="B452" i="33"/>
  <c r="A453" i="33"/>
  <c r="B452" i="35"/>
  <c r="A453" i="35"/>
  <c r="B452" i="34"/>
  <c r="A453" i="34"/>
  <c r="I454" i="16"/>
  <c r="I453" i="27"/>
  <c r="A457" i="16"/>
  <c r="B456" i="16"/>
  <c r="D456" i="16" a="1"/>
  <c r="D456" i="16" s="1"/>
  <c r="E456" i="16" s="1"/>
  <c r="C403" i="28"/>
  <c r="H402" i="28"/>
  <c r="G454" i="27"/>
  <c r="F454" i="27"/>
  <c r="C403" i="16"/>
  <c r="H402" i="16"/>
  <c r="C403" i="17"/>
  <c r="H402" i="17"/>
  <c r="F455" i="16"/>
  <c r="G455" i="16"/>
  <c r="C403" i="27"/>
  <c r="H402" i="27"/>
  <c r="B455" i="27"/>
  <c r="A456" i="27"/>
  <c r="D455" i="27" a="1"/>
  <c r="D455" i="27" s="1"/>
  <c r="E455" i="27" s="1"/>
  <c r="B453" i="36" l="1"/>
  <c r="A454" i="36"/>
  <c r="B453" i="34"/>
  <c r="A454" i="34"/>
  <c r="B453" i="33"/>
  <c r="A454" i="33"/>
  <c r="B453" i="35"/>
  <c r="A454" i="35"/>
  <c r="C404" i="16"/>
  <c r="H403" i="16"/>
  <c r="C404" i="28"/>
  <c r="H403" i="28"/>
  <c r="F456" i="16"/>
  <c r="G456" i="16"/>
  <c r="G455" i="27"/>
  <c r="F455" i="27"/>
  <c r="C404" i="17"/>
  <c r="H403" i="17"/>
  <c r="C404" i="27"/>
  <c r="H403" i="27"/>
  <c r="I454" i="27"/>
  <c r="A457" i="27"/>
  <c r="B456" i="27"/>
  <c r="D456" i="27" a="1"/>
  <c r="D456" i="27" s="1"/>
  <c r="E456" i="27" s="1"/>
  <c r="I455" i="16"/>
  <c r="A458" i="16"/>
  <c r="B457" i="16"/>
  <c r="D457" i="16" a="1"/>
  <c r="D457" i="16" s="1"/>
  <c r="E457" i="16" s="1"/>
  <c r="B454" i="35" l="1"/>
  <c r="A455" i="35"/>
  <c r="B454" i="33"/>
  <c r="A455" i="33"/>
  <c r="B454" i="34"/>
  <c r="A455" i="34"/>
  <c r="B454" i="36"/>
  <c r="A455" i="36"/>
  <c r="B458" i="16"/>
  <c r="A459" i="16"/>
  <c r="D458" i="16" a="1"/>
  <c r="D458" i="16" s="1"/>
  <c r="E458" i="16" s="1"/>
  <c r="B457" i="27"/>
  <c r="A458" i="27"/>
  <c r="D457" i="27" a="1"/>
  <c r="D457" i="27" s="1"/>
  <c r="E457" i="27" s="1"/>
  <c r="C405" i="27"/>
  <c r="H404" i="27"/>
  <c r="I455" i="27"/>
  <c r="C405" i="28"/>
  <c r="H404" i="28"/>
  <c r="F457" i="16"/>
  <c r="G457" i="16"/>
  <c r="I456" i="16"/>
  <c r="F456" i="27"/>
  <c r="G456" i="27"/>
  <c r="C405" i="17"/>
  <c r="H404" i="17"/>
  <c r="C405" i="16"/>
  <c r="H404" i="16"/>
  <c r="B455" i="33" l="1"/>
  <c r="A456" i="33"/>
  <c r="B455" i="35"/>
  <c r="A456" i="35"/>
  <c r="B455" i="34"/>
  <c r="A456" i="34"/>
  <c r="B455" i="36"/>
  <c r="A456" i="36"/>
  <c r="C406" i="17"/>
  <c r="H405" i="17"/>
  <c r="I457" i="16"/>
  <c r="C406" i="16"/>
  <c r="H405" i="16"/>
  <c r="F458" i="16"/>
  <c r="G458" i="16"/>
  <c r="F457" i="27"/>
  <c r="G457" i="27"/>
  <c r="B459" i="16"/>
  <c r="A460" i="16"/>
  <c r="D459" i="16" a="1"/>
  <c r="D459" i="16" s="1"/>
  <c r="E459" i="16" s="1"/>
  <c r="C406" i="28"/>
  <c r="H405" i="28"/>
  <c r="C406" i="27"/>
  <c r="H405" i="27"/>
  <c r="I456" i="27"/>
  <c r="B458" i="27"/>
  <c r="A459" i="27"/>
  <c r="D458" i="27" a="1"/>
  <c r="D458" i="27" s="1"/>
  <c r="E458" i="27" s="1"/>
  <c r="B456" i="36" l="1"/>
  <c r="A457" i="36"/>
  <c r="B456" i="34"/>
  <c r="A457" i="34"/>
  <c r="B456" i="35"/>
  <c r="A457" i="35"/>
  <c r="B456" i="33"/>
  <c r="A457" i="33"/>
  <c r="B459" i="27"/>
  <c r="A460" i="27"/>
  <c r="D459" i="27" a="1"/>
  <c r="D459" i="27" s="1"/>
  <c r="E459" i="27" s="1"/>
  <c r="C407" i="27"/>
  <c r="H406" i="27"/>
  <c r="A461" i="16"/>
  <c r="B460" i="16"/>
  <c r="D460" i="16" a="1"/>
  <c r="D460" i="16" s="1"/>
  <c r="E460" i="16" s="1"/>
  <c r="I458" i="16"/>
  <c r="F458" i="27"/>
  <c r="G458" i="27"/>
  <c r="C407" i="28"/>
  <c r="H406" i="28"/>
  <c r="I457" i="27"/>
  <c r="F459" i="16"/>
  <c r="G459" i="16"/>
  <c r="C407" i="16"/>
  <c r="H406" i="16"/>
  <c r="C407" i="17"/>
  <c r="H406" i="17"/>
  <c r="B457" i="35" l="1"/>
  <c r="A458" i="35"/>
  <c r="B457" i="33"/>
  <c r="A458" i="33"/>
  <c r="B457" i="36"/>
  <c r="A458" i="36"/>
  <c r="B457" i="34"/>
  <c r="A458" i="34"/>
  <c r="F460" i="16"/>
  <c r="G460" i="16"/>
  <c r="C408" i="27"/>
  <c r="H407" i="27"/>
  <c r="F459" i="27"/>
  <c r="G459" i="27"/>
  <c r="I459" i="16"/>
  <c r="A462" i="16"/>
  <c r="B461" i="16"/>
  <c r="D461" i="16" a="1"/>
  <c r="D461" i="16" s="1"/>
  <c r="E461" i="16" s="1"/>
  <c r="A461" i="27"/>
  <c r="B460" i="27"/>
  <c r="D460" i="27" a="1"/>
  <c r="D460" i="27" s="1"/>
  <c r="E460" i="27" s="1"/>
  <c r="I458" i="27"/>
  <c r="C408" i="16"/>
  <c r="H407" i="16"/>
  <c r="C408" i="17"/>
  <c r="H407" i="17"/>
  <c r="C408" i="28"/>
  <c r="H407" i="28"/>
  <c r="B458" i="34" l="1"/>
  <c r="A459" i="34"/>
  <c r="B458" i="35"/>
  <c r="A459" i="35"/>
  <c r="B458" i="36"/>
  <c r="A459" i="36"/>
  <c r="B458" i="33"/>
  <c r="A459" i="33"/>
  <c r="F460" i="27"/>
  <c r="G460" i="27"/>
  <c r="C409" i="28"/>
  <c r="H408" i="28"/>
  <c r="C409" i="16"/>
  <c r="H408" i="16"/>
  <c r="A462" i="27"/>
  <c r="B461" i="27"/>
  <c r="D461" i="27" a="1"/>
  <c r="D461" i="27" s="1"/>
  <c r="E461" i="27" s="1"/>
  <c r="F461" i="16"/>
  <c r="G461" i="16"/>
  <c r="C409" i="27"/>
  <c r="H408" i="27"/>
  <c r="I459" i="27"/>
  <c r="I460" i="16"/>
  <c r="C409" i="17"/>
  <c r="H408" i="17"/>
  <c r="A463" i="16"/>
  <c r="B462" i="16"/>
  <c r="D462" i="16" a="1"/>
  <c r="D462" i="16" s="1"/>
  <c r="E462" i="16" s="1"/>
  <c r="B459" i="36" l="1"/>
  <c r="A460" i="36"/>
  <c r="B459" i="35"/>
  <c r="A460" i="35"/>
  <c r="B459" i="34"/>
  <c r="A460" i="34"/>
  <c r="B459" i="33"/>
  <c r="A460" i="33"/>
  <c r="C410" i="17"/>
  <c r="H409" i="17"/>
  <c r="B463" i="16"/>
  <c r="A464" i="16"/>
  <c r="D463" i="16" a="1"/>
  <c r="D463" i="16" s="1"/>
  <c r="E463" i="16" s="1"/>
  <c r="C410" i="27"/>
  <c r="H409" i="27"/>
  <c r="K48" i="16"/>
  <c r="L53" i="17" s="1"/>
  <c r="I461" i="16"/>
  <c r="A463" i="27"/>
  <c r="B462" i="27"/>
  <c r="D462" i="27" a="1"/>
  <c r="D462" i="27" s="1"/>
  <c r="E462" i="27" s="1"/>
  <c r="C410" i="28"/>
  <c r="H409" i="28"/>
  <c r="F462" i="16"/>
  <c r="G462" i="16"/>
  <c r="I460" i="27"/>
  <c r="G461" i="27"/>
  <c r="F461" i="27"/>
  <c r="C410" i="16"/>
  <c r="H409" i="16"/>
  <c r="B460" i="36" l="1"/>
  <c r="A461" i="36"/>
  <c r="B460" i="35"/>
  <c r="A461" i="35"/>
  <c r="B460" i="33"/>
  <c r="A461" i="33"/>
  <c r="B460" i="34"/>
  <c r="A461" i="34"/>
  <c r="I462" i="16"/>
  <c r="B464" i="16"/>
  <c r="A465" i="16"/>
  <c r="D464" i="16" a="1"/>
  <c r="D464" i="16" s="1"/>
  <c r="E464" i="16" s="1"/>
  <c r="I461" i="27"/>
  <c r="K48" i="27"/>
  <c r="N53" i="17" s="1"/>
  <c r="E58" i="9" s="1"/>
  <c r="F58" i="9" s="1"/>
  <c r="A464" i="27"/>
  <c r="B463" i="27"/>
  <c r="D463" i="27" a="1"/>
  <c r="D463" i="27" s="1"/>
  <c r="E463" i="27" s="1"/>
  <c r="F462" i="27"/>
  <c r="G462" i="27"/>
  <c r="C411" i="16"/>
  <c r="H410" i="16"/>
  <c r="C411" i="28"/>
  <c r="H410" i="28"/>
  <c r="C411" i="27"/>
  <c r="H410" i="27"/>
  <c r="G463" i="16"/>
  <c r="F463" i="16"/>
  <c r="C411" i="17"/>
  <c r="H410" i="17"/>
  <c r="O53" i="17" l="1"/>
  <c r="B461" i="35"/>
  <c r="A462" i="35"/>
  <c r="B461" i="33"/>
  <c r="A462" i="33"/>
  <c r="B461" i="34"/>
  <c r="A462" i="34"/>
  <c r="B461" i="36"/>
  <c r="A462" i="36"/>
  <c r="F463" i="27"/>
  <c r="G463" i="27"/>
  <c r="C412" i="17"/>
  <c r="H411" i="17"/>
  <c r="D58" i="9"/>
  <c r="F464" i="16"/>
  <c r="G464" i="16"/>
  <c r="C412" i="27"/>
  <c r="H411" i="27"/>
  <c r="C412" i="16"/>
  <c r="H411" i="16"/>
  <c r="I462" i="27"/>
  <c r="A465" i="27"/>
  <c r="B464" i="27"/>
  <c r="D464" i="27" a="1"/>
  <c r="D464" i="27" s="1"/>
  <c r="E464" i="27" s="1"/>
  <c r="I463" i="16"/>
  <c r="C412" i="28"/>
  <c r="H411" i="28"/>
  <c r="A466" i="16"/>
  <c r="B465" i="16"/>
  <c r="D465" i="16" a="1"/>
  <c r="D465" i="16" s="1"/>
  <c r="E465" i="16" s="1"/>
  <c r="B462" i="35" l="1"/>
  <c r="A463" i="35"/>
  <c r="B462" i="34"/>
  <c r="A463" i="34"/>
  <c r="B462" i="33"/>
  <c r="A463" i="33"/>
  <c r="B462" i="36"/>
  <c r="A463" i="36"/>
  <c r="F465" i="16"/>
  <c r="G465" i="16"/>
  <c r="B465" i="27"/>
  <c r="A466" i="27"/>
  <c r="D465" i="27" a="1"/>
  <c r="D465" i="27" s="1"/>
  <c r="E465" i="27" s="1"/>
  <c r="C413" i="16"/>
  <c r="H412" i="16"/>
  <c r="C413" i="28"/>
  <c r="H412" i="28"/>
  <c r="A467" i="16"/>
  <c r="B466" i="16"/>
  <c r="D466" i="16" a="1"/>
  <c r="D466" i="16" s="1"/>
  <c r="E466" i="16" s="1"/>
  <c r="C413" i="17"/>
  <c r="H412" i="17"/>
  <c r="F464" i="27"/>
  <c r="G464" i="27"/>
  <c r="C413" i="27"/>
  <c r="H412" i="27"/>
  <c r="I463" i="27"/>
  <c r="I464" i="16"/>
  <c r="B463" i="36" l="1"/>
  <c r="A464" i="36"/>
  <c r="B463" i="35"/>
  <c r="A464" i="35"/>
  <c r="B463" i="34"/>
  <c r="A464" i="34"/>
  <c r="B463" i="33"/>
  <c r="A464" i="33"/>
  <c r="F466" i="16"/>
  <c r="G466" i="16"/>
  <c r="C414" i="28"/>
  <c r="H413" i="28"/>
  <c r="A467" i="27"/>
  <c r="B466" i="27"/>
  <c r="D466" i="27" a="1"/>
  <c r="D466" i="27" s="1"/>
  <c r="E466" i="27" s="1"/>
  <c r="C414" i="27"/>
  <c r="H413" i="27"/>
  <c r="C414" i="17"/>
  <c r="H413" i="17"/>
  <c r="I464" i="27"/>
  <c r="A468" i="16"/>
  <c r="B467" i="16"/>
  <c r="D467" i="16" a="1"/>
  <c r="D467" i="16" s="1"/>
  <c r="E467" i="16" s="1"/>
  <c r="C414" i="16"/>
  <c r="H413" i="16"/>
  <c r="I465" i="16"/>
  <c r="F465" i="27"/>
  <c r="G465" i="27"/>
  <c r="B464" i="36" l="1"/>
  <c r="A465" i="36"/>
  <c r="B464" i="33"/>
  <c r="A465" i="33"/>
  <c r="B464" i="34"/>
  <c r="A465" i="34"/>
  <c r="B464" i="35"/>
  <c r="A465" i="35"/>
  <c r="F467" i="16"/>
  <c r="G467" i="16"/>
  <c r="C415" i="27"/>
  <c r="H414" i="27"/>
  <c r="F466" i="27"/>
  <c r="G466" i="27"/>
  <c r="C415" i="28"/>
  <c r="H414" i="28"/>
  <c r="I465" i="27"/>
  <c r="I466" i="16"/>
  <c r="A469" i="16"/>
  <c r="B468" i="16"/>
  <c r="D468" i="16" a="1"/>
  <c r="D468" i="16" s="1"/>
  <c r="E468" i="16" s="1"/>
  <c r="C415" i="17"/>
  <c r="H414" i="17"/>
  <c r="C415" i="16"/>
  <c r="H414" i="16"/>
  <c r="A468" i="27"/>
  <c r="B467" i="27"/>
  <c r="D467" i="27" a="1"/>
  <c r="D467" i="27" s="1"/>
  <c r="E467" i="27" s="1"/>
  <c r="B465" i="35" l="1"/>
  <c r="A466" i="35"/>
  <c r="B465" i="33"/>
  <c r="A466" i="33"/>
  <c r="B465" i="36"/>
  <c r="A466" i="36"/>
  <c r="B465" i="34"/>
  <c r="A466" i="34"/>
  <c r="F467" i="27"/>
  <c r="G467" i="27"/>
  <c r="C416" i="16"/>
  <c r="H415" i="16"/>
  <c r="A469" i="27"/>
  <c r="B468" i="27"/>
  <c r="D468" i="27" a="1"/>
  <c r="D468" i="27" s="1"/>
  <c r="E468" i="27" s="1"/>
  <c r="C416" i="17"/>
  <c r="H415" i="17"/>
  <c r="G468" i="16"/>
  <c r="F468" i="16"/>
  <c r="C416" i="28"/>
  <c r="H415" i="28"/>
  <c r="C416" i="27"/>
  <c r="H415" i="27"/>
  <c r="I466" i="27"/>
  <c r="I467" i="16"/>
  <c r="A470" i="16"/>
  <c r="B469" i="16"/>
  <c r="D469" i="16" a="1"/>
  <c r="D469" i="16" s="1"/>
  <c r="E469" i="16" s="1"/>
  <c r="B466" i="36" l="1"/>
  <c r="A467" i="36"/>
  <c r="B466" i="34"/>
  <c r="A467" i="34"/>
  <c r="B466" i="33"/>
  <c r="A467" i="33"/>
  <c r="B466" i="35"/>
  <c r="A467" i="35"/>
  <c r="G469" i="16"/>
  <c r="F469" i="16"/>
  <c r="C417" i="27"/>
  <c r="H416" i="27"/>
  <c r="I468" i="16"/>
  <c r="A471" i="16"/>
  <c r="B470" i="16"/>
  <c r="D470" i="16" a="1"/>
  <c r="D470" i="16" s="1"/>
  <c r="E470" i="16" s="1"/>
  <c r="C417" i="28"/>
  <c r="H416" i="28"/>
  <c r="C417" i="17"/>
  <c r="H416" i="17"/>
  <c r="F468" i="27"/>
  <c r="G468" i="27"/>
  <c r="C417" i="16"/>
  <c r="H416" i="16"/>
  <c r="I467" i="27"/>
  <c r="B469" i="27"/>
  <c r="A470" i="27"/>
  <c r="D469" i="27" a="1"/>
  <c r="D469" i="27" s="1"/>
  <c r="E469" i="27" s="1"/>
  <c r="B467" i="36" l="1"/>
  <c r="A468" i="36"/>
  <c r="B467" i="34"/>
  <c r="A468" i="34"/>
  <c r="B467" i="35"/>
  <c r="A468" i="35"/>
  <c r="B467" i="33"/>
  <c r="A468" i="33"/>
  <c r="B470" i="27"/>
  <c r="A471" i="27"/>
  <c r="D470" i="27" a="1"/>
  <c r="D470" i="27" s="1"/>
  <c r="E470" i="27" s="1"/>
  <c r="C418" i="16"/>
  <c r="H417" i="16"/>
  <c r="C418" i="17"/>
  <c r="H417" i="17"/>
  <c r="I468" i="27"/>
  <c r="A472" i="16"/>
  <c r="B471" i="16"/>
  <c r="D471" i="16" a="1"/>
  <c r="D471" i="16" s="1"/>
  <c r="E471" i="16" s="1"/>
  <c r="C418" i="27"/>
  <c r="H417" i="27"/>
  <c r="F469" i="27"/>
  <c r="G469" i="27"/>
  <c r="C418" i="28"/>
  <c r="H417" i="28"/>
  <c r="G470" i="16"/>
  <c r="F470" i="16"/>
  <c r="I469" i="16"/>
  <c r="B468" i="35" l="1"/>
  <c r="A469" i="35"/>
  <c r="B468" i="34"/>
  <c r="A469" i="34"/>
  <c r="B468" i="33"/>
  <c r="A469" i="33"/>
  <c r="B468" i="36"/>
  <c r="A469" i="36"/>
  <c r="G471" i="16"/>
  <c r="F471" i="16"/>
  <c r="C419" i="16"/>
  <c r="H418" i="16"/>
  <c r="G470" i="27"/>
  <c r="F470" i="27"/>
  <c r="A473" i="16"/>
  <c r="B472" i="16"/>
  <c r="D472" i="16" a="1"/>
  <c r="D472" i="16" s="1"/>
  <c r="E472" i="16" s="1"/>
  <c r="C419" i="17"/>
  <c r="H418" i="17"/>
  <c r="B471" i="27"/>
  <c r="A472" i="27"/>
  <c r="D471" i="27" a="1"/>
  <c r="D471" i="27" s="1"/>
  <c r="E471" i="27" s="1"/>
  <c r="I469" i="27"/>
  <c r="I470" i="16"/>
  <c r="C419" i="28"/>
  <c r="H418" i="28"/>
  <c r="C419" i="27"/>
  <c r="H418" i="27"/>
  <c r="B469" i="36" l="1"/>
  <c r="A470" i="36"/>
  <c r="B469" i="33"/>
  <c r="A470" i="33"/>
  <c r="B469" i="35"/>
  <c r="A470" i="35"/>
  <c r="B469" i="34"/>
  <c r="A470" i="34"/>
  <c r="C420" i="27"/>
  <c r="H419" i="27"/>
  <c r="A473" i="27"/>
  <c r="B472" i="27"/>
  <c r="D472" i="27" a="1"/>
  <c r="D472" i="27" s="1"/>
  <c r="E472" i="27" s="1"/>
  <c r="C420" i="28"/>
  <c r="H419" i="28"/>
  <c r="A474" i="16"/>
  <c r="B473" i="16"/>
  <c r="D473" i="16" a="1"/>
  <c r="D473" i="16" s="1"/>
  <c r="E473" i="16" s="1"/>
  <c r="C420" i="16"/>
  <c r="H419" i="16"/>
  <c r="F471" i="27"/>
  <c r="G471" i="27"/>
  <c r="C420" i="17"/>
  <c r="H419" i="17"/>
  <c r="F472" i="16"/>
  <c r="G472" i="16"/>
  <c r="I470" i="27"/>
  <c r="I471" i="16"/>
  <c r="K49" i="16"/>
  <c r="L54" i="17" s="1"/>
  <c r="B470" i="34" l="1"/>
  <c r="A471" i="34"/>
  <c r="B470" i="35"/>
  <c r="A471" i="35"/>
  <c r="B470" i="33"/>
  <c r="A471" i="33"/>
  <c r="B470" i="36"/>
  <c r="A471" i="36"/>
  <c r="I472" i="16"/>
  <c r="A475" i="16"/>
  <c r="B474" i="16"/>
  <c r="D474" i="16" a="1"/>
  <c r="D474" i="16" s="1"/>
  <c r="E474" i="16" s="1"/>
  <c r="K49" i="27"/>
  <c r="N54" i="17" s="1"/>
  <c r="E59" i="9" s="1"/>
  <c r="F59" i="9" s="1"/>
  <c r="I471" i="27"/>
  <c r="C421" i="17"/>
  <c r="H420" i="17"/>
  <c r="C421" i="16"/>
  <c r="H420" i="16"/>
  <c r="A474" i="27"/>
  <c r="B473" i="27"/>
  <c r="D473" i="27" a="1"/>
  <c r="D473" i="27" s="1"/>
  <c r="E473" i="27" s="1"/>
  <c r="F473" i="16"/>
  <c r="G473" i="16"/>
  <c r="C421" i="28"/>
  <c r="H420" i="28"/>
  <c r="F472" i="27"/>
  <c r="G472" i="27"/>
  <c r="C421" i="27"/>
  <c r="H420" i="27"/>
  <c r="O54" i="17" l="1"/>
  <c r="B471" i="34"/>
  <c r="A472" i="34"/>
  <c r="B471" i="36"/>
  <c r="A472" i="36"/>
  <c r="B471" i="33"/>
  <c r="A472" i="33"/>
  <c r="B471" i="35"/>
  <c r="A472" i="35"/>
  <c r="F473" i="27"/>
  <c r="G473" i="27"/>
  <c r="C422" i="16"/>
  <c r="H421" i="16"/>
  <c r="A476" i="16"/>
  <c r="B475" i="16"/>
  <c r="D475" i="16" a="1"/>
  <c r="D475" i="16" s="1"/>
  <c r="E475" i="16" s="1"/>
  <c r="D59" i="9"/>
  <c r="C422" i="27"/>
  <c r="H421" i="27"/>
  <c r="C422" i="28"/>
  <c r="H421" i="28"/>
  <c r="I472" i="27"/>
  <c r="I473" i="16"/>
  <c r="A475" i="27"/>
  <c r="B474" i="27"/>
  <c r="D474" i="27" a="1"/>
  <c r="D474" i="27" s="1"/>
  <c r="E474" i="27" s="1"/>
  <c r="C422" i="17"/>
  <c r="H421" i="17"/>
  <c r="F474" i="16"/>
  <c r="G474" i="16"/>
  <c r="B472" i="36" l="1"/>
  <c r="A473" i="36"/>
  <c r="B472" i="34"/>
  <c r="A473" i="34"/>
  <c r="B472" i="33"/>
  <c r="A473" i="33"/>
  <c r="B472" i="35"/>
  <c r="A473" i="35"/>
  <c r="C423" i="17"/>
  <c r="H422" i="17"/>
  <c r="I474" i="16"/>
  <c r="F475" i="16"/>
  <c r="G475" i="16"/>
  <c r="C423" i="16"/>
  <c r="H422" i="16"/>
  <c r="B475" i="27"/>
  <c r="A476" i="27"/>
  <c r="D475" i="27" a="1"/>
  <c r="D475" i="27" s="1"/>
  <c r="E475" i="27" s="1"/>
  <c r="C423" i="27"/>
  <c r="H422" i="27"/>
  <c r="I473" i="27"/>
  <c r="F474" i="27"/>
  <c r="G474" i="27"/>
  <c r="C423" i="28"/>
  <c r="H422" i="28"/>
  <c r="A477" i="16"/>
  <c r="B476" i="16"/>
  <c r="D476" i="16" a="1"/>
  <c r="D476" i="16" s="1"/>
  <c r="E476" i="16" s="1"/>
  <c r="B473" i="36" l="1"/>
  <c r="A474" i="36"/>
  <c r="B473" i="33"/>
  <c r="A474" i="33"/>
  <c r="B473" i="34"/>
  <c r="A474" i="34"/>
  <c r="B473" i="35"/>
  <c r="A474" i="35"/>
  <c r="F476" i="16"/>
  <c r="G476" i="16"/>
  <c r="C424" i="28"/>
  <c r="H423" i="28"/>
  <c r="A477" i="27"/>
  <c r="B476" i="27"/>
  <c r="D476" i="27" a="1"/>
  <c r="D476" i="27" s="1"/>
  <c r="E476" i="27" s="1"/>
  <c r="I475" i="16"/>
  <c r="I474" i="27"/>
  <c r="B477" i="16"/>
  <c r="A478" i="16"/>
  <c r="D477" i="16" a="1"/>
  <c r="D477" i="16" s="1"/>
  <c r="E477" i="16" s="1"/>
  <c r="C424" i="27"/>
  <c r="H423" i="27"/>
  <c r="F475" i="27"/>
  <c r="G475" i="27"/>
  <c r="C424" i="16"/>
  <c r="H423" i="16"/>
  <c r="C424" i="17"/>
  <c r="H423" i="17"/>
  <c r="B474" i="36" l="1"/>
  <c r="A475" i="36"/>
  <c r="B474" i="33"/>
  <c r="A475" i="33"/>
  <c r="B474" i="35"/>
  <c r="A475" i="35"/>
  <c r="B474" i="34"/>
  <c r="A475" i="34"/>
  <c r="C425" i="27"/>
  <c r="H424" i="27"/>
  <c r="F476" i="27"/>
  <c r="G476" i="27"/>
  <c r="C425" i="28"/>
  <c r="H424" i="28"/>
  <c r="C425" i="16"/>
  <c r="H424" i="16"/>
  <c r="I475" i="27"/>
  <c r="I476" i="16"/>
  <c r="F477" i="16"/>
  <c r="G477" i="16"/>
  <c r="C425" i="17"/>
  <c r="H424" i="17"/>
  <c r="B478" i="16"/>
  <c r="A479" i="16"/>
  <c r="D478" i="16" a="1"/>
  <c r="D478" i="16" s="1"/>
  <c r="E478" i="16" s="1"/>
  <c r="A478" i="27"/>
  <c r="B477" i="27"/>
  <c r="D477" i="27" a="1"/>
  <c r="D477" i="27" s="1"/>
  <c r="E477" i="27" s="1"/>
  <c r="B475" i="35" l="1"/>
  <c r="A476" i="35"/>
  <c r="B475" i="33"/>
  <c r="A476" i="33"/>
  <c r="B475" i="36"/>
  <c r="A476" i="36"/>
  <c r="B475" i="34"/>
  <c r="A476" i="34"/>
  <c r="A479" i="27"/>
  <c r="B478" i="27"/>
  <c r="D478" i="27" a="1"/>
  <c r="D478" i="27" s="1"/>
  <c r="E478" i="27" s="1"/>
  <c r="I476" i="27"/>
  <c r="G478" i="16"/>
  <c r="F478" i="16"/>
  <c r="C426" i="17"/>
  <c r="H425" i="17"/>
  <c r="C426" i="16"/>
  <c r="H425" i="16"/>
  <c r="G477" i="27"/>
  <c r="F477" i="27"/>
  <c r="A480" i="16"/>
  <c r="B479" i="16"/>
  <c r="D479" i="16" a="1"/>
  <c r="D479" i="16" s="1"/>
  <c r="E479" i="16" s="1"/>
  <c r="I477" i="16"/>
  <c r="C426" i="28"/>
  <c r="H425" i="28"/>
  <c r="C426" i="27"/>
  <c r="H425" i="27"/>
  <c r="B476" i="35" l="1"/>
  <c r="A477" i="35"/>
  <c r="B476" i="33"/>
  <c r="A477" i="33"/>
  <c r="B476" i="34"/>
  <c r="A477" i="34"/>
  <c r="B476" i="36"/>
  <c r="A477" i="36"/>
  <c r="G479" i="16"/>
  <c r="F479" i="16"/>
  <c r="I477" i="27"/>
  <c r="C427" i="17"/>
  <c r="H426" i="17"/>
  <c r="G478" i="27"/>
  <c r="F478" i="27"/>
  <c r="I478" i="16"/>
  <c r="C427" i="28"/>
  <c r="H426" i="28"/>
  <c r="B480" i="16"/>
  <c r="A481" i="16"/>
  <c r="D480" i="16" a="1"/>
  <c r="D480" i="16" s="1"/>
  <c r="E480" i="16" s="1"/>
  <c r="C427" i="16"/>
  <c r="H426" i="16"/>
  <c r="C427" i="27"/>
  <c r="H426" i="27"/>
  <c r="A480" i="27"/>
  <c r="B479" i="27"/>
  <c r="D479" i="27" a="1"/>
  <c r="D479" i="27" s="1"/>
  <c r="E479" i="27" s="1"/>
  <c r="B477" i="36" l="1"/>
  <c r="A478" i="36"/>
  <c r="B477" i="35"/>
  <c r="A478" i="35"/>
  <c r="B477" i="34"/>
  <c r="A478" i="34"/>
  <c r="B477" i="33"/>
  <c r="A478" i="33"/>
  <c r="A481" i="27"/>
  <c r="B480" i="27"/>
  <c r="D480" i="27" a="1"/>
  <c r="D480" i="27" s="1"/>
  <c r="E480" i="27" s="1"/>
  <c r="C428" i="16"/>
  <c r="H427" i="16"/>
  <c r="G480" i="16"/>
  <c r="F480" i="16"/>
  <c r="C428" i="28"/>
  <c r="H427" i="28"/>
  <c r="I478" i="27"/>
  <c r="F479" i="27"/>
  <c r="G479" i="27"/>
  <c r="C428" i="27"/>
  <c r="H427" i="27"/>
  <c r="A482" i="16"/>
  <c r="B481" i="16"/>
  <c r="D481" i="16" a="1"/>
  <c r="D481" i="16" s="1"/>
  <c r="E481" i="16" s="1"/>
  <c r="C428" i="17"/>
  <c r="H427" i="17"/>
  <c r="I479" i="16"/>
  <c r="B478" i="36" l="1"/>
  <c r="A479" i="36"/>
  <c r="B478" i="35"/>
  <c r="A479" i="35"/>
  <c r="B478" i="33"/>
  <c r="A479" i="33"/>
  <c r="B478" i="34"/>
  <c r="A479" i="34"/>
  <c r="C429" i="17"/>
  <c r="H428" i="17"/>
  <c r="C429" i="27"/>
  <c r="H428" i="27"/>
  <c r="B482" i="16"/>
  <c r="A483" i="16"/>
  <c r="D482" i="16" a="1"/>
  <c r="D482" i="16" s="1"/>
  <c r="E482" i="16" s="1"/>
  <c r="C429" i="28"/>
  <c r="H428" i="28"/>
  <c r="C429" i="16"/>
  <c r="H428" i="16"/>
  <c r="F480" i="27"/>
  <c r="G480" i="27"/>
  <c r="I480" i="16"/>
  <c r="G481" i="16"/>
  <c r="F481" i="16"/>
  <c r="I479" i="27"/>
  <c r="A482" i="27"/>
  <c r="B481" i="27"/>
  <c r="D481" i="27" a="1"/>
  <c r="D481" i="27" s="1"/>
  <c r="E481" i="27" s="1"/>
  <c r="B479" i="33" l="1"/>
  <c r="A480" i="33"/>
  <c r="B479" i="35"/>
  <c r="A480" i="35"/>
  <c r="B479" i="36"/>
  <c r="A480" i="36"/>
  <c r="B479" i="34"/>
  <c r="A480" i="34"/>
  <c r="I480" i="27"/>
  <c r="A483" i="27"/>
  <c r="B482" i="27"/>
  <c r="D482" i="27" a="1"/>
  <c r="D482" i="27" s="1"/>
  <c r="E482" i="27" s="1"/>
  <c r="K50" i="16"/>
  <c r="L55" i="17" s="1"/>
  <c r="I481" i="16"/>
  <c r="C430" i="28"/>
  <c r="H429" i="28"/>
  <c r="F482" i="16"/>
  <c r="G482" i="16"/>
  <c r="C430" i="27"/>
  <c r="H429" i="27"/>
  <c r="F481" i="27"/>
  <c r="G481" i="27"/>
  <c r="C430" i="16"/>
  <c r="H429" i="16"/>
  <c r="A484" i="16"/>
  <c r="B483" i="16"/>
  <c r="D483" i="16" a="1"/>
  <c r="D483" i="16" s="1"/>
  <c r="E483" i="16" s="1"/>
  <c r="C430" i="17"/>
  <c r="H429" i="17"/>
  <c r="B480" i="33" l="1"/>
  <c r="A481" i="33"/>
  <c r="B480" i="35"/>
  <c r="A481" i="35"/>
  <c r="B480" i="34"/>
  <c r="A481" i="34"/>
  <c r="B480" i="36"/>
  <c r="A481" i="36"/>
  <c r="C431" i="27"/>
  <c r="H430" i="27"/>
  <c r="C431" i="28"/>
  <c r="H430" i="28"/>
  <c r="I481" i="27"/>
  <c r="K50" i="27"/>
  <c r="N55" i="17" s="1"/>
  <c r="E60" i="9" s="1"/>
  <c r="F60" i="9" s="1"/>
  <c r="I482" i="16"/>
  <c r="F483" i="16"/>
  <c r="G483" i="16"/>
  <c r="A485" i="16"/>
  <c r="B484" i="16"/>
  <c r="D484" i="16" a="1"/>
  <c r="D484" i="16" s="1"/>
  <c r="E484" i="16" s="1"/>
  <c r="A484" i="27"/>
  <c r="B483" i="27"/>
  <c r="D483" i="27" a="1"/>
  <c r="D483" i="27" s="1"/>
  <c r="E483" i="27" s="1"/>
  <c r="C431" i="16"/>
  <c r="H430" i="16"/>
  <c r="C431" i="17"/>
  <c r="H430" i="17"/>
  <c r="F482" i="27"/>
  <c r="G482" i="27"/>
  <c r="O55" i="17" l="1"/>
  <c r="B481" i="36"/>
  <c r="A482" i="36"/>
  <c r="B481" i="35"/>
  <c r="A482" i="35"/>
  <c r="B481" i="33"/>
  <c r="A482" i="33"/>
  <c r="B481" i="34"/>
  <c r="A482" i="34"/>
  <c r="G483" i="27"/>
  <c r="F483" i="27"/>
  <c r="C432" i="17"/>
  <c r="H431" i="17"/>
  <c r="I482" i="27"/>
  <c r="B484" i="27"/>
  <c r="A485" i="27"/>
  <c r="D484" i="27" a="1"/>
  <c r="D484" i="27" s="1"/>
  <c r="E484" i="27" s="1"/>
  <c r="A486" i="16"/>
  <c r="B485" i="16"/>
  <c r="D485" i="16" a="1"/>
  <c r="D485" i="16" s="1"/>
  <c r="E485" i="16" s="1"/>
  <c r="D60" i="9"/>
  <c r="I483" i="16"/>
  <c r="C432" i="28"/>
  <c r="H431" i="28"/>
  <c r="F484" i="16"/>
  <c r="G484" i="16"/>
  <c r="C432" i="16"/>
  <c r="H431" i="16"/>
  <c r="C432" i="27"/>
  <c r="H431" i="27"/>
  <c r="B482" i="35" l="1"/>
  <c r="A483" i="35"/>
  <c r="B482" i="33"/>
  <c r="A483" i="33"/>
  <c r="B482" i="34"/>
  <c r="A483" i="34"/>
  <c r="B482" i="36"/>
  <c r="A483" i="36"/>
  <c r="F485" i="16"/>
  <c r="G485" i="16"/>
  <c r="A486" i="27"/>
  <c r="B485" i="27"/>
  <c r="D485" i="27" a="1"/>
  <c r="D485" i="27" s="1"/>
  <c r="E485" i="27" s="1"/>
  <c r="C433" i="27"/>
  <c r="H432" i="27"/>
  <c r="C433" i="17"/>
  <c r="H432" i="17"/>
  <c r="I484" i="16"/>
  <c r="C433" i="16"/>
  <c r="H432" i="16"/>
  <c r="C433" i="28"/>
  <c r="H432" i="28"/>
  <c r="A487" i="16"/>
  <c r="B486" i="16"/>
  <c r="D486" i="16" a="1"/>
  <c r="D486" i="16" s="1"/>
  <c r="E486" i="16" s="1"/>
  <c r="G484" i="27"/>
  <c r="F484" i="27"/>
  <c r="I483" i="27"/>
  <c r="B483" i="33" l="1"/>
  <c r="A484" i="33"/>
  <c r="B483" i="36"/>
  <c r="A484" i="36"/>
  <c r="B483" i="34"/>
  <c r="A484" i="34"/>
  <c r="B483" i="35"/>
  <c r="A484" i="35"/>
  <c r="G486" i="16"/>
  <c r="F486" i="16"/>
  <c r="C434" i="28"/>
  <c r="H433" i="28"/>
  <c r="I484" i="27"/>
  <c r="B486" i="27"/>
  <c r="A487" i="27"/>
  <c r="D486" i="27" a="1"/>
  <c r="D486" i="27" s="1"/>
  <c r="E486" i="27" s="1"/>
  <c r="A488" i="16"/>
  <c r="B487" i="16"/>
  <c r="D487" i="16" a="1"/>
  <c r="D487" i="16" s="1"/>
  <c r="E487" i="16" s="1"/>
  <c r="C434" i="16"/>
  <c r="H433" i="16"/>
  <c r="C434" i="17"/>
  <c r="H433" i="17"/>
  <c r="C434" i="27"/>
  <c r="H433" i="27"/>
  <c r="I485" i="16"/>
  <c r="G485" i="27"/>
  <c r="F485" i="27"/>
  <c r="B484" i="33" l="1"/>
  <c r="A485" i="33"/>
  <c r="B484" i="36"/>
  <c r="A485" i="36"/>
  <c r="B484" i="35"/>
  <c r="A485" i="35"/>
  <c r="B484" i="34"/>
  <c r="A485" i="34"/>
  <c r="F487" i="16"/>
  <c r="G487" i="16"/>
  <c r="A488" i="27"/>
  <c r="B487" i="27"/>
  <c r="D487" i="27" a="1"/>
  <c r="D487" i="27" s="1"/>
  <c r="E487" i="27" s="1"/>
  <c r="C435" i="27"/>
  <c r="H434" i="27"/>
  <c r="C435" i="17"/>
  <c r="H434" i="17"/>
  <c r="C435" i="28"/>
  <c r="H434" i="28"/>
  <c r="I485" i="27"/>
  <c r="C435" i="16"/>
  <c r="H434" i="16"/>
  <c r="A489" i="16"/>
  <c r="B488" i="16"/>
  <c r="D488" i="16" a="1"/>
  <c r="D488" i="16" s="1"/>
  <c r="E488" i="16" s="1"/>
  <c r="G486" i="27"/>
  <c r="F486" i="27"/>
  <c r="I486" i="16"/>
  <c r="B485" i="34" l="1"/>
  <c r="A486" i="34"/>
  <c r="B485" i="35"/>
  <c r="A486" i="35"/>
  <c r="B485" i="36"/>
  <c r="A486" i="36"/>
  <c r="B485" i="33"/>
  <c r="A486" i="33"/>
  <c r="A490" i="16"/>
  <c r="B489" i="16"/>
  <c r="D489" i="16" a="1"/>
  <c r="D489" i="16" s="1"/>
  <c r="E489" i="16" s="1"/>
  <c r="C436" i="17"/>
  <c r="H435" i="17"/>
  <c r="I486" i="27"/>
  <c r="B488" i="27"/>
  <c r="A489" i="27"/>
  <c r="D488" i="27" a="1"/>
  <c r="D488" i="27" s="1"/>
  <c r="E488" i="27" s="1"/>
  <c r="G488" i="16"/>
  <c r="F488" i="16"/>
  <c r="C436" i="16"/>
  <c r="H435" i="16"/>
  <c r="C436" i="28"/>
  <c r="H435" i="28"/>
  <c r="C436" i="27"/>
  <c r="H435" i="27"/>
  <c r="I487" i="16"/>
  <c r="F487" i="27"/>
  <c r="G487" i="27"/>
  <c r="B486" i="33" l="1"/>
  <c r="A487" i="33"/>
  <c r="B486" i="34"/>
  <c r="A487" i="34"/>
  <c r="B486" i="35"/>
  <c r="A487" i="35"/>
  <c r="B486" i="36"/>
  <c r="A487" i="36"/>
  <c r="G488" i="27"/>
  <c r="F488" i="27"/>
  <c r="C437" i="27"/>
  <c r="H436" i="27"/>
  <c r="A490" i="27"/>
  <c r="B489" i="27"/>
  <c r="D489" i="27" a="1"/>
  <c r="D489" i="27" s="1"/>
  <c r="E489" i="27" s="1"/>
  <c r="C437" i="17"/>
  <c r="H436" i="17"/>
  <c r="F489" i="16"/>
  <c r="G489" i="16"/>
  <c r="C437" i="28"/>
  <c r="H436" i="28"/>
  <c r="I488" i="16"/>
  <c r="I487" i="27"/>
  <c r="C437" i="16"/>
  <c r="H436" i="16"/>
  <c r="A491" i="16"/>
  <c r="B490" i="16"/>
  <c r="D490" i="16" a="1"/>
  <c r="D490" i="16" s="1"/>
  <c r="E490" i="16" s="1"/>
  <c r="B487" i="35" l="1"/>
  <c r="A488" i="35"/>
  <c r="B487" i="34"/>
  <c r="A488" i="34"/>
  <c r="B487" i="33"/>
  <c r="A488" i="33"/>
  <c r="B487" i="36"/>
  <c r="A488" i="36"/>
  <c r="A492" i="16"/>
  <c r="B491" i="16"/>
  <c r="D491" i="16" a="1"/>
  <c r="D491" i="16" s="1"/>
  <c r="E491" i="16" s="1"/>
  <c r="C438" i="28"/>
  <c r="H437" i="28"/>
  <c r="C438" i="17"/>
  <c r="H437" i="17"/>
  <c r="F489" i="27"/>
  <c r="G489" i="27"/>
  <c r="C438" i="27"/>
  <c r="H437" i="27"/>
  <c r="F490" i="16"/>
  <c r="G490" i="16"/>
  <c r="I489" i="16"/>
  <c r="C438" i="16"/>
  <c r="H437" i="16"/>
  <c r="B490" i="27"/>
  <c r="A491" i="27"/>
  <c r="D490" i="27" a="1"/>
  <c r="D490" i="27" s="1"/>
  <c r="E490" i="27" s="1"/>
  <c r="I488" i="27"/>
  <c r="B488" i="35" l="1"/>
  <c r="A489" i="35"/>
  <c r="B488" i="33"/>
  <c r="A489" i="33"/>
  <c r="B488" i="36"/>
  <c r="A489" i="36"/>
  <c r="B488" i="34"/>
  <c r="A489" i="34"/>
  <c r="F490" i="27"/>
  <c r="G490" i="27"/>
  <c r="C439" i="16"/>
  <c r="H438" i="16"/>
  <c r="C439" i="28"/>
  <c r="H438" i="28"/>
  <c r="G491" i="16"/>
  <c r="F491" i="16"/>
  <c r="C439" i="27"/>
  <c r="H438" i="27"/>
  <c r="C439" i="17"/>
  <c r="H438" i="17"/>
  <c r="A492" i="27"/>
  <c r="B491" i="27"/>
  <c r="D491" i="27" a="1"/>
  <c r="D491" i="27" s="1"/>
  <c r="E491" i="27" s="1"/>
  <c r="I490" i="16"/>
  <c r="I489" i="27"/>
  <c r="A493" i="16"/>
  <c r="B492" i="16"/>
  <c r="D492" i="16" a="1"/>
  <c r="D492" i="16" s="1"/>
  <c r="E492" i="16" s="1"/>
  <c r="B489" i="33" l="1"/>
  <c r="A490" i="33"/>
  <c r="B489" i="36"/>
  <c r="A490" i="36"/>
  <c r="B489" i="35"/>
  <c r="A490" i="35"/>
  <c r="B489" i="34"/>
  <c r="A490" i="34"/>
  <c r="A494" i="16"/>
  <c r="B493" i="16"/>
  <c r="D493" i="16" a="1"/>
  <c r="D493" i="16" s="1"/>
  <c r="E493" i="16" s="1"/>
  <c r="G491" i="27"/>
  <c r="F491" i="27"/>
  <c r="C440" i="17"/>
  <c r="H439" i="17"/>
  <c r="K51" i="16"/>
  <c r="L56" i="17" s="1"/>
  <c r="I491" i="16"/>
  <c r="C440" i="16"/>
  <c r="H439" i="16"/>
  <c r="F492" i="16"/>
  <c r="G492" i="16"/>
  <c r="I490" i="27"/>
  <c r="B492" i="27"/>
  <c r="A493" i="27"/>
  <c r="D492" i="27" a="1"/>
  <c r="D492" i="27" s="1"/>
  <c r="E492" i="27" s="1"/>
  <c r="C440" i="27"/>
  <c r="H439" i="27"/>
  <c r="C440" i="28"/>
  <c r="H439" i="28"/>
  <c r="B490" i="36" l="1"/>
  <c r="A491" i="36"/>
  <c r="B490" i="35"/>
  <c r="A491" i="35"/>
  <c r="B490" i="33"/>
  <c r="A491" i="33"/>
  <c r="B490" i="34"/>
  <c r="A491" i="34"/>
  <c r="A494" i="27"/>
  <c r="B493" i="27"/>
  <c r="D493" i="27" a="1"/>
  <c r="D493" i="27" s="1"/>
  <c r="E493" i="27" s="1"/>
  <c r="C441" i="27"/>
  <c r="H440" i="27"/>
  <c r="I491" i="27"/>
  <c r="K51" i="27"/>
  <c r="N56" i="17" s="1"/>
  <c r="E61" i="9" s="1"/>
  <c r="F61" i="9" s="1"/>
  <c r="G493" i="16"/>
  <c r="F493" i="16"/>
  <c r="F492" i="27"/>
  <c r="G492" i="27"/>
  <c r="C441" i="28"/>
  <c r="H440" i="28"/>
  <c r="I492" i="16"/>
  <c r="C441" i="17"/>
  <c r="H440" i="17"/>
  <c r="C441" i="16"/>
  <c r="H440" i="16"/>
  <c r="A495" i="16"/>
  <c r="B494" i="16"/>
  <c r="D494" i="16" a="1"/>
  <c r="D494" i="16" s="1"/>
  <c r="E494" i="16" s="1"/>
  <c r="O56" i="17" l="1"/>
  <c r="B491" i="36"/>
  <c r="A492" i="36"/>
  <c r="B491" i="35"/>
  <c r="A492" i="35"/>
  <c r="B491" i="33"/>
  <c r="A492" i="33"/>
  <c r="B491" i="34"/>
  <c r="A492" i="34"/>
  <c r="G494" i="16"/>
  <c r="F494" i="16"/>
  <c r="C442" i="16"/>
  <c r="H441" i="16"/>
  <c r="C442" i="27"/>
  <c r="H441" i="27"/>
  <c r="F493" i="27"/>
  <c r="G493" i="27"/>
  <c r="C442" i="28"/>
  <c r="H441" i="28"/>
  <c r="D61" i="9"/>
  <c r="A496" i="16"/>
  <c r="B495" i="16"/>
  <c r="D495" i="16" a="1"/>
  <c r="D495" i="16" s="1"/>
  <c r="E495" i="16" s="1"/>
  <c r="C442" i="17"/>
  <c r="H441" i="17"/>
  <c r="I493" i="16"/>
  <c r="I492" i="27"/>
  <c r="B494" i="27"/>
  <c r="A495" i="27"/>
  <c r="D494" i="27" a="1"/>
  <c r="D494" i="27" s="1"/>
  <c r="E494" i="27" s="1"/>
  <c r="B492" i="34" l="1"/>
  <c r="A493" i="34"/>
  <c r="B492" i="35"/>
  <c r="A493" i="35"/>
  <c r="B492" i="33"/>
  <c r="A493" i="33"/>
  <c r="B492" i="36"/>
  <c r="A493" i="36"/>
  <c r="G495" i="16"/>
  <c r="F495" i="16"/>
  <c r="I493" i="27"/>
  <c r="A496" i="27"/>
  <c r="B495" i="27"/>
  <c r="D495" i="27" a="1"/>
  <c r="D495" i="27" s="1"/>
  <c r="E495" i="27" s="1"/>
  <c r="C443" i="16"/>
  <c r="H442" i="16"/>
  <c r="A497" i="16"/>
  <c r="B496" i="16"/>
  <c r="D496" i="16" a="1"/>
  <c r="D496" i="16" s="1"/>
  <c r="E496" i="16" s="1"/>
  <c r="F494" i="27"/>
  <c r="G494" i="27"/>
  <c r="C443" i="17"/>
  <c r="H442" i="17"/>
  <c r="C443" i="28"/>
  <c r="H442" i="28"/>
  <c r="C443" i="27"/>
  <c r="H442" i="27"/>
  <c r="I494" i="16"/>
  <c r="B493" i="34" l="1"/>
  <c r="A494" i="34"/>
  <c r="B493" i="33"/>
  <c r="A494" i="33"/>
  <c r="B493" i="36"/>
  <c r="A494" i="36"/>
  <c r="B493" i="35"/>
  <c r="A494" i="35"/>
  <c r="G496" i="16"/>
  <c r="F496" i="16"/>
  <c r="C444" i="16"/>
  <c r="H443" i="16"/>
  <c r="G495" i="27"/>
  <c r="F495" i="27"/>
  <c r="C444" i="28"/>
  <c r="H443" i="28"/>
  <c r="C444" i="17"/>
  <c r="H443" i="17"/>
  <c r="A498" i="16"/>
  <c r="B497" i="16"/>
  <c r="D497" i="16" a="1"/>
  <c r="D497" i="16" s="1"/>
  <c r="E497" i="16" s="1"/>
  <c r="I494" i="27"/>
  <c r="C444" i="27"/>
  <c r="H443" i="27"/>
  <c r="B496" i="27"/>
  <c r="A497" i="27"/>
  <c r="D496" i="27" a="1"/>
  <c r="D496" i="27" s="1"/>
  <c r="E496" i="27" s="1"/>
  <c r="I495" i="16"/>
  <c r="B494" i="35" l="1"/>
  <c r="A495" i="35"/>
  <c r="B494" i="34"/>
  <c r="A495" i="34"/>
  <c r="B494" i="36"/>
  <c r="A495" i="36"/>
  <c r="B494" i="33"/>
  <c r="A495" i="33"/>
  <c r="C445" i="27"/>
  <c r="H444" i="27"/>
  <c r="G496" i="27"/>
  <c r="F496" i="27"/>
  <c r="A498" i="27"/>
  <c r="B497" i="27"/>
  <c r="D497" i="27" a="1"/>
  <c r="D497" i="27" s="1"/>
  <c r="E497" i="27" s="1"/>
  <c r="A499" i="16"/>
  <c r="B498" i="16"/>
  <c r="D498" i="16" a="1"/>
  <c r="D498" i="16" s="1"/>
  <c r="E498" i="16" s="1"/>
  <c r="C445" i="28"/>
  <c r="H444" i="28"/>
  <c r="C445" i="16"/>
  <c r="H444" i="16"/>
  <c r="G497" i="16"/>
  <c r="F497" i="16"/>
  <c r="C445" i="17"/>
  <c r="H444" i="17"/>
  <c r="I495" i="27"/>
  <c r="I496" i="16"/>
  <c r="B495" i="34" l="1"/>
  <c r="A496" i="34"/>
  <c r="B495" i="36"/>
  <c r="A496" i="36"/>
  <c r="B495" i="33"/>
  <c r="A496" i="33"/>
  <c r="B495" i="35"/>
  <c r="A496" i="35"/>
  <c r="F498" i="16"/>
  <c r="G498" i="16"/>
  <c r="C446" i="17"/>
  <c r="H445" i="17"/>
  <c r="C446" i="16"/>
  <c r="H445" i="16"/>
  <c r="A500" i="16"/>
  <c r="B499" i="16"/>
  <c r="D499" i="16" a="1"/>
  <c r="D499" i="16" s="1"/>
  <c r="E499" i="16" s="1"/>
  <c r="F497" i="27"/>
  <c r="G497" i="27"/>
  <c r="I496" i="27"/>
  <c r="C446" i="28"/>
  <c r="H445" i="28"/>
  <c r="I497" i="16"/>
  <c r="B498" i="27"/>
  <c r="A499" i="27"/>
  <c r="D498" i="27" a="1"/>
  <c r="D498" i="27" s="1"/>
  <c r="E498" i="27" s="1"/>
  <c r="C446" i="27"/>
  <c r="H445" i="27"/>
  <c r="B496" i="35" l="1"/>
  <c r="A497" i="35"/>
  <c r="B496" i="33"/>
  <c r="A497" i="33"/>
  <c r="B496" i="34"/>
  <c r="A497" i="34"/>
  <c r="B496" i="36"/>
  <c r="A497" i="36"/>
  <c r="F498" i="27"/>
  <c r="G498" i="27"/>
  <c r="A500" i="27"/>
  <c r="B499" i="27"/>
  <c r="D499" i="27" a="1"/>
  <c r="D499" i="27" s="1"/>
  <c r="E499" i="27" s="1"/>
  <c r="I497" i="27"/>
  <c r="A501" i="16"/>
  <c r="B500" i="16"/>
  <c r="D500" i="16" a="1"/>
  <c r="D500" i="16" s="1"/>
  <c r="E500" i="16" s="1"/>
  <c r="C447" i="17"/>
  <c r="H446" i="17"/>
  <c r="C447" i="27"/>
  <c r="H446" i="27"/>
  <c r="C447" i="28"/>
  <c r="H446" i="28"/>
  <c r="I498" i="16"/>
  <c r="F499" i="16"/>
  <c r="G499" i="16"/>
  <c r="C447" i="16"/>
  <c r="H446" i="16"/>
  <c r="B497" i="36" l="1"/>
  <c r="A498" i="36"/>
  <c r="B497" i="34"/>
  <c r="A498" i="34"/>
  <c r="B497" i="35"/>
  <c r="A498" i="35"/>
  <c r="B497" i="33"/>
  <c r="A498" i="33"/>
  <c r="A502" i="16"/>
  <c r="B501" i="16"/>
  <c r="D501" i="16" a="1"/>
  <c r="D501" i="16" s="1"/>
  <c r="E501" i="16" s="1"/>
  <c r="C448" i="16"/>
  <c r="H447" i="16"/>
  <c r="C448" i="27"/>
  <c r="H447" i="27"/>
  <c r="I499" i="16"/>
  <c r="C448" i="28"/>
  <c r="H447" i="28"/>
  <c r="C448" i="17"/>
  <c r="H447" i="17"/>
  <c r="B500" i="27"/>
  <c r="A501" i="27"/>
  <c r="D500" i="27" a="1"/>
  <c r="D500" i="27" s="1"/>
  <c r="E500" i="27" s="1"/>
  <c r="G500" i="16"/>
  <c r="F500" i="16"/>
  <c r="I498" i="27"/>
  <c r="F499" i="27"/>
  <c r="G499" i="27"/>
  <c r="B498" i="34" l="1"/>
  <c r="A499" i="34"/>
  <c r="B498" i="33"/>
  <c r="A499" i="33"/>
  <c r="B498" i="35"/>
  <c r="A499" i="35"/>
  <c r="B498" i="36"/>
  <c r="A499" i="36"/>
  <c r="G500" i="27"/>
  <c r="F500" i="27"/>
  <c r="C449" i="17"/>
  <c r="H448" i="17"/>
  <c r="C449" i="16"/>
  <c r="H448" i="16"/>
  <c r="F501" i="16"/>
  <c r="G501" i="16"/>
  <c r="I499" i="27"/>
  <c r="C449" i="28"/>
  <c r="H448" i="28"/>
  <c r="C449" i="27"/>
  <c r="H448" i="27"/>
  <c r="A502" i="27"/>
  <c r="B501" i="27"/>
  <c r="D501" i="27" a="1"/>
  <c r="D501" i="27" s="1"/>
  <c r="E501" i="27" s="1"/>
  <c r="I500" i="16"/>
  <c r="A503" i="16"/>
  <c r="B502" i="16"/>
  <c r="D502" i="16" a="1"/>
  <c r="D502" i="16" s="1"/>
  <c r="E502" i="16" s="1"/>
  <c r="B499" i="35" l="1"/>
  <c r="A500" i="35"/>
  <c r="B499" i="33"/>
  <c r="A500" i="33"/>
  <c r="B499" i="34"/>
  <c r="A500" i="34"/>
  <c r="B499" i="36"/>
  <c r="A500" i="36"/>
  <c r="A504" i="16"/>
  <c r="B503" i="16"/>
  <c r="D503" i="16" a="1"/>
  <c r="D503" i="16" s="1"/>
  <c r="E503" i="16" s="1"/>
  <c r="K52" i="16"/>
  <c r="L57" i="17" s="1"/>
  <c r="I501" i="16"/>
  <c r="B502" i="27"/>
  <c r="A503" i="27"/>
  <c r="D502" i="27" a="1"/>
  <c r="D502" i="27" s="1"/>
  <c r="E502" i="27" s="1"/>
  <c r="C450" i="28"/>
  <c r="H449" i="28"/>
  <c r="C450" i="17"/>
  <c r="H449" i="17"/>
  <c r="F502" i="16"/>
  <c r="G502" i="16"/>
  <c r="G501" i="27"/>
  <c r="F501" i="27"/>
  <c r="C450" i="27"/>
  <c r="H449" i="27"/>
  <c r="C450" i="16"/>
  <c r="H449" i="16"/>
  <c r="I500" i="27"/>
  <c r="B500" i="34" l="1"/>
  <c r="A501" i="34"/>
  <c r="B500" i="36"/>
  <c r="A501" i="36"/>
  <c r="B500" i="35"/>
  <c r="A501" i="35"/>
  <c r="B500" i="33"/>
  <c r="A501" i="33"/>
  <c r="I502" i="16"/>
  <c r="C451" i="16"/>
  <c r="H450" i="16"/>
  <c r="K52" i="27"/>
  <c r="N57" i="17" s="1"/>
  <c r="E62" i="9" s="1"/>
  <c r="F62" i="9" s="1"/>
  <c r="I501" i="27"/>
  <c r="C451" i="17"/>
  <c r="H450" i="17"/>
  <c r="A504" i="27"/>
  <c r="B503" i="27"/>
  <c r="D503" i="27" a="1"/>
  <c r="D503" i="27" s="1"/>
  <c r="E503" i="27" s="1"/>
  <c r="F503" i="16"/>
  <c r="G503" i="16"/>
  <c r="C451" i="27"/>
  <c r="H450" i="27"/>
  <c r="C451" i="28"/>
  <c r="H450" i="28"/>
  <c r="G502" i="27"/>
  <c r="F502" i="27"/>
  <c r="A505" i="16"/>
  <c r="B504" i="16"/>
  <c r="D504" i="16" a="1"/>
  <c r="D504" i="16" s="1"/>
  <c r="E504" i="16" s="1"/>
  <c r="O57" i="17" l="1"/>
  <c r="B501" i="33"/>
  <c r="A502" i="33"/>
  <c r="B501" i="36"/>
  <c r="A502" i="36"/>
  <c r="B501" i="35"/>
  <c r="A502" i="35"/>
  <c r="B501" i="34"/>
  <c r="A502" i="34"/>
  <c r="G503" i="27"/>
  <c r="F503" i="27"/>
  <c r="C452" i="17"/>
  <c r="H451" i="17"/>
  <c r="I502" i="27"/>
  <c r="C452" i="16"/>
  <c r="H451" i="16"/>
  <c r="I503" i="16"/>
  <c r="A506" i="16"/>
  <c r="B505" i="16"/>
  <c r="D505" i="16" a="1"/>
  <c r="D505" i="16" s="1"/>
  <c r="E505" i="16" s="1"/>
  <c r="C452" i="28"/>
  <c r="H451" i="28"/>
  <c r="B504" i="27"/>
  <c r="A505" i="27"/>
  <c r="D504" i="27" a="1"/>
  <c r="D504" i="27" s="1"/>
  <c r="E504" i="27" s="1"/>
  <c r="G504" i="16"/>
  <c r="F504" i="16"/>
  <c r="C452" i="27"/>
  <c r="H451" i="27"/>
  <c r="D62" i="9"/>
  <c r="B502" i="34" l="1"/>
  <c r="A503" i="34"/>
  <c r="B502" i="33"/>
  <c r="A503" i="33"/>
  <c r="B502" i="35"/>
  <c r="A503" i="35"/>
  <c r="B502" i="36"/>
  <c r="A503" i="36"/>
  <c r="C453" i="27"/>
  <c r="H452" i="27"/>
  <c r="A506" i="27"/>
  <c r="B505" i="27"/>
  <c r="D505" i="27" a="1"/>
  <c r="D505" i="27" s="1"/>
  <c r="E505" i="27" s="1"/>
  <c r="I504" i="16"/>
  <c r="B506" i="16"/>
  <c r="A507" i="16"/>
  <c r="D506" i="16" a="1"/>
  <c r="D506" i="16" s="1"/>
  <c r="E506" i="16" s="1"/>
  <c r="C453" i="16"/>
  <c r="H452" i="16"/>
  <c r="C453" i="17"/>
  <c r="H452" i="17"/>
  <c r="F504" i="27"/>
  <c r="G504" i="27"/>
  <c r="C453" i="28"/>
  <c r="H452" i="28"/>
  <c r="G505" i="16"/>
  <c r="F505" i="16"/>
  <c r="I503" i="27"/>
  <c r="B503" i="35" l="1"/>
  <c r="A504" i="35"/>
  <c r="B503" i="33"/>
  <c r="A504" i="33"/>
  <c r="B503" i="34"/>
  <c r="A504" i="34"/>
  <c r="B503" i="36"/>
  <c r="A504" i="36"/>
  <c r="G506" i="16"/>
  <c r="F506" i="16"/>
  <c r="G505" i="27"/>
  <c r="F505" i="27"/>
  <c r="C454" i="27"/>
  <c r="H453" i="27"/>
  <c r="C454" i="28"/>
  <c r="H453" i="28"/>
  <c r="A508" i="16"/>
  <c r="B507" i="16"/>
  <c r="D507" i="16" a="1"/>
  <c r="D507" i="16" s="1"/>
  <c r="E507" i="16" s="1"/>
  <c r="I504" i="27"/>
  <c r="C454" i="17"/>
  <c r="H453" i="17"/>
  <c r="I505" i="16"/>
  <c r="C454" i="16"/>
  <c r="H453" i="16"/>
  <c r="A507" i="27"/>
  <c r="B506" i="27"/>
  <c r="D506" i="27" a="1"/>
  <c r="D506" i="27" s="1"/>
  <c r="E506" i="27" s="1"/>
  <c r="B504" i="34" l="1"/>
  <c r="A505" i="34"/>
  <c r="B504" i="35"/>
  <c r="A505" i="35"/>
  <c r="B504" i="33"/>
  <c r="A505" i="33"/>
  <c r="B504" i="36"/>
  <c r="A505" i="36"/>
  <c r="F506" i="27"/>
  <c r="G506" i="27"/>
  <c r="C455" i="16"/>
  <c r="H454" i="16"/>
  <c r="C455" i="17"/>
  <c r="H454" i="17"/>
  <c r="A508" i="27"/>
  <c r="B507" i="27"/>
  <c r="D507" i="27" a="1"/>
  <c r="D507" i="27" s="1"/>
  <c r="E507" i="27" s="1"/>
  <c r="F507" i="16"/>
  <c r="G507" i="16"/>
  <c r="C455" i="28"/>
  <c r="H454" i="28"/>
  <c r="I505" i="27"/>
  <c r="B508" i="16"/>
  <c r="A509" i="16"/>
  <c r="D508" i="16" a="1"/>
  <c r="D508" i="16" s="1"/>
  <c r="E508" i="16" s="1"/>
  <c r="C455" i="27"/>
  <c r="H454" i="27"/>
  <c r="I506" i="16"/>
  <c r="B505" i="35" l="1"/>
  <c r="A506" i="35"/>
  <c r="B505" i="36"/>
  <c r="A506" i="36"/>
  <c r="B505" i="33"/>
  <c r="A506" i="33"/>
  <c r="B505" i="34"/>
  <c r="A506" i="34"/>
  <c r="A510" i="16"/>
  <c r="B509" i="16"/>
  <c r="D509" i="16" a="1"/>
  <c r="D509" i="16" s="1"/>
  <c r="E509" i="16" s="1"/>
  <c r="C456" i="28"/>
  <c r="H455" i="28"/>
  <c r="C456" i="27"/>
  <c r="H455" i="27"/>
  <c r="I507" i="16"/>
  <c r="A509" i="27"/>
  <c r="B508" i="27"/>
  <c r="D508" i="27" a="1"/>
  <c r="D508" i="27" s="1"/>
  <c r="E508" i="27" s="1"/>
  <c r="C456" i="16"/>
  <c r="H455" i="16"/>
  <c r="F508" i="16"/>
  <c r="G508" i="16"/>
  <c r="I506" i="27"/>
  <c r="F507" i="27"/>
  <c r="G507" i="27"/>
  <c r="C456" i="17"/>
  <c r="H455" i="17"/>
  <c r="B506" i="36" l="1"/>
  <c r="A507" i="36"/>
  <c r="B506" i="35"/>
  <c r="A507" i="35"/>
  <c r="B506" i="33"/>
  <c r="A507" i="33"/>
  <c r="B506" i="34"/>
  <c r="A507" i="34"/>
  <c r="G508" i="27"/>
  <c r="F508" i="27"/>
  <c r="C457" i="28"/>
  <c r="H456" i="28"/>
  <c r="G509" i="16"/>
  <c r="F509" i="16"/>
  <c r="I508" i="16"/>
  <c r="I507" i="27"/>
  <c r="A510" i="27"/>
  <c r="B509" i="27"/>
  <c r="D509" i="27" a="1"/>
  <c r="D509" i="27" s="1"/>
  <c r="E509" i="27" s="1"/>
  <c r="C457" i="27"/>
  <c r="H456" i="27"/>
  <c r="C457" i="17"/>
  <c r="H456" i="17"/>
  <c r="C457" i="16"/>
  <c r="H456" i="16"/>
  <c r="A511" i="16"/>
  <c r="B510" i="16"/>
  <c r="D510" i="16" a="1"/>
  <c r="D510" i="16" s="1"/>
  <c r="E510" i="16" s="1"/>
  <c r="B507" i="34" l="1"/>
  <c r="A508" i="34"/>
  <c r="B507" i="33"/>
  <c r="A508" i="33"/>
  <c r="B507" i="36"/>
  <c r="A508" i="36"/>
  <c r="B507" i="35"/>
  <c r="A508" i="35"/>
  <c r="A512" i="16"/>
  <c r="B511" i="16"/>
  <c r="D511" i="16" a="1"/>
  <c r="D511" i="16" s="1"/>
  <c r="E511" i="16" s="1"/>
  <c r="C458" i="17"/>
  <c r="H457" i="17"/>
  <c r="A511" i="27"/>
  <c r="B510" i="27"/>
  <c r="D510" i="27" a="1"/>
  <c r="D510" i="27" s="1"/>
  <c r="E510" i="27" s="1"/>
  <c r="C458" i="28"/>
  <c r="H457" i="28"/>
  <c r="G510" i="16"/>
  <c r="F510" i="16"/>
  <c r="C458" i="16"/>
  <c r="H457" i="16"/>
  <c r="C458" i="27"/>
  <c r="H457" i="27"/>
  <c r="F509" i="27"/>
  <c r="G509" i="27"/>
  <c r="I509" i="16"/>
  <c r="I508" i="27"/>
  <c r="B508" i="34" l="1"/>
  <c r="A509" i="34"/>
  <c r="B508" i="36"/>
  <c r="A509" i="36"/>
  <c r="B508" i="35"/>
  <c r="A509" i="35"/>
  <c r="B508" i="33"/>
  <c r="A509" i="33"/>
  <c r="F510" i="27"/>
  <c r="G510" i="27"/>
  <c r="C459" i="17"/>
  <c r="H458" i="17"/>
  <c r="F511" i="16"/>
  <c r="G511" i="16"/>
  <c r="C459" i="27"/>
  <c r="H458" i="27"/>
  <c r="I510" i="16"/>
  <c r="I509" i="27"/>
  <c r="B511" i="27"/>
  <c r="A512" i="27"/>
  <c r="D511" i="27" a="1"/>
  <c r="D511" i="27" s="1"/>
  <c r="E511" i="27" s="1"/>
  <c r="C459" i="16"/>
  <c r="H458" i="16"/>
  <c r="C459" i="28"/>
  <c r="H458" i="28"/>
  <c r="B512" i="16"/>
  <c r="A513" i="16"/>
  <c r="D512" i="16" a="1"/>
  <c r="D512" i="16" s="1"/>
  <c r="E512" i="16" s="1"/>
  <c r="B509" i="36" l="1"/>
  <c r="A510" i="36"/>
  <c r="B509" i="33"/>
  <c r="A510" i="33"/>
  <c r="B509" i="35"/>
  <c r="A510" i="35"/>
  <c r="B509" i="34"/>
  <c r="A510" i="34"/>
  <c r="A514" i="16"/>
  <c r="B513" i="16"/>
  <c r="D513" i="16" a="1"/>
  <c r="D513" i="16" s="1"/>
  <c r="E513" i="16" s="1"/>
  <c r="C460" i="16"/>
  <c r="H459" i="16"/>
  <c r="F511" i="27"/>
  <c r="G511" i="27"/>
  <c r="C460" i="27"/>
  <c r="H459" i="27"/>
  <c r="C460" i="17"/>
  <c r="H459" i="17"/>
  <c r="G512" i="16"/>
  <c r="F512" i="16"/>
  <c r="C460" i="28"/>
  <c r="H459" i="28"/>
  <c r="B512" i="27"/>
  <c r="A513" i="27"/>
  <c r="D512" i="27" a="1"/>
  <c r="D512" i="27" s="1"/>
  <c r="E512" i="27" s="1"/>
  <c r="I511" i="16"/>
  <c r="K53" i="16"/>
  <c r="L58" i="17" s="1"/>
  <c r="I510" i="27"/>
  <c r="B510" i="34" l="1"/>
  <c r="A511" i="34"/>
  <c r="B510" i="35"/>
  <c r="A511" i="35"/>
  <c r="B510" i="36"/>
  <c r="A511" i="36"/>
  <c r="B510" i="33"/>
  <c r="A511" i="33"/>
  <c r="K53" i="27"/>
  <c r="N58" i="17" s="1"/>
  <c r="E63" i="9" s="1"/>
  <c r="F63" i="9" s="1"/>
  <c r="I511" i="27"/>
  <c r="C461" i="28"/>
  <c r="H460" i="28"/>
  <c r="I512" i="16"/>
  <c r="C461" i="27"/>
  <c r="H460" i="27"/>
  <c r="C461" i="16"/>
  <c r="H460" i="16"/>
  <c r="F513" i="16"/>
  <c r="G513" i="16"/>
  <c r="F512" i="27"/>
  <c r="G512" i="27"/>
  <c r="C461" i="17"/>
  <c r="H460" i="17"/>
  <c r="A514" i="27"/>
  <c r="B513" i="27"/>
  <c r="D513" i="27" a="1"/>
  <c r="D513" i="27" s="1"/>
  <c r="E513" i="27" s="1"/>
  <c r="A515" i="16"/>
  <c r="B514" i="16"/>
  <c r="D514" i="16" a="1"/>
  <c r="D514" i="16" s="1"/>
  <c r="E514" i="16" s="1"/>
  <c r="O58" i="17" l="1"/>
  <c r="B511" i="36"/>
  <c r="A512" i="36"/>
  <c r="B511" i="35"/>
  <c r="A512" i="35"/>
  <c r="B511" i="33"/>
  <c r="A512" i="33"/>
  <c r="B511" i="34"/>
  <c r="A512" i="34"/>
  <c r="F514" i="16"/>
  <c r="G514" i="16"/>
  <c r="C462" i="17"/>
  <c r="H461" i="17"/>
  <c r="C462" i="27"/>
  <c r="H461" i="27"/>
  <c r="C462" i="28"/>
  <c r="H461" i="28"/>
  <c r="I512" i="27"/>
  <c r="B514" i="27"/>
  <c r="A515" i="27"/>
  <c r="D514" i="27" a="1"/>
  <c r="D514" i="27" s="1"/>
  <c r="E514" i="27" s="1"/>
  <c r="A516" i="16"/>
  <c r="B515" i="16"/>
  <c r="D515" i="16" a="1"/>
  <c r="D515" i="16" s="1"/>
  <c r="E515" i="16" s="1"/>
  <c r="D63" i="9"/>
  <c r="C462" i="16"/>
  <c r="H461" i="16"/>
  <c r="F513" i="27"/>
  <c r="G513" i="27"/>
  <c r="I513" i="16"/>
  <c r="B512" i="34" l="1"/>
  <c r="A513" i="34"/>
  <c r="B512" i="36"/>
  <c r="A513" i="36"/>
  <c r="B512" i="35"/>
  <c r="A513" i="35"/>
  <c r="B512" i="33"/>
  <c r="A513" i="33"/>
  <c r="F515" i="16"/>
  <c r="G515" i="16"/>
  <c r="A516" i="27"/>
  <c r="B515" i="27"/>
  <c r="D515" i="27" a="1"/>
  <c r="D515" i="27" s="1"/>
  <c r="E515" i="27" s="1"/>
  <c r="C463" i="16"/>
  <c r="H462" i="16"/>
  <c r="I513" i="27"/>
  <c r="C463" i="28"/>
  <c r="H462" i="28"/>
  <c r="C463" i="17"/>
  <c r="H462" i="17"/>
  <c r="A517" i="16"/>
  <c r="B516" i="16"/>
  <c r="D516" i="16" a="1"/>
  <c r="D516" i="16" s="1"/>
  <c r="E516" i="16" s="1"/>
  <c r="I514" i="16"/>
  <c r="F514" i="27"/>
  <c r="G514" i="27"/>
  <c r="C463" i="27"/>
  <c r="H462" i="27"/>
  <c r="B513" i="34" l="1"/>
  <c r="A514" i="34"/>
  <c r="B513" i="36"/>
  <c r="A514" i="36"/>
  <c r="B513" i="33"/>
  <c r="A514" i="33"/>
  <c r="B513" i="35"/>
  <c r="A514" i="35"/>
  <c r="B517" i="16"/>
  <c r="A518" i="16"/>
  <c r="D517" i="16" a="1"/>
  <c r="D517" i="16" s="1"/>
  <c r="E517" i="16" s="1"/>
  <c r="C464" i="17"/>
  <c r="H463" i="17"/>
  <c r="I514" i="27"/>
  <c r="C464" i="27"/>
  <c r="H463" i="27"/>
  <c r="A517" i="27"/>
  <c r="B516" i="27"/>
  <c r="D516" i="27" a="1"/>
  <c r="D516" i="27" s="1"/>
  <c r="E516" i="27" s="1"/>
  <c r="F516" i="16"/>
  <c r="G516" i="16"/>
  <c r="C464" i="28"/>
  <c r="H463" i="28"/>
  <c r="C464" i="16"/>
  <c r="H463" i="16"/>
  <c r="I515" i="16"/>
  <c r="F515" i="27"/>
  <c r="G515" i="27"/>
  <c r="B514" i="36" l="1"/>
  <c r="A515" i="36"/>
  <c r="B514" i="34"/>
  <c r="A515" i="34"/>
  <c r="B514" i="35"/>
  <c r="A515" i="35"/>
  <c r="B514" i="33"/>
  <c r="A515" i="33"/>
  <c r="F516" i="27"/>
  <c r="G516" i="27"/>
  <c r="C465" i="27"/>
  <c r="H464" i="27"/>
  <c r="C465" i="17"/>
  <c r="H464" i="17"/>
  <c r="G517" i="16"/>
  <c r="F517" i="16"/>
  <c r="I515" i="27"/>
  <c r="I516" i="16"/>
  <c r="B517" i="27"/>
  <c r="A518" i="27"/>
  <c r="D517" i="27" a="1"/>
  <c r="D517" i="27" s="1"/>
  <c r="E517" i="27" s="1"/>
  <c r="A519" i="16"/>
  <c r="B518" i="16"/>
  <c r="D518" i="16" a="1"/>
  <c r="D518" i="16" s="1"/>
  <c r="E518" i="16" s="1"/>
  <c r="C465" i="28"/>
  <c r="H464" i="28"/>
  <c r="C465" i="16"/>
  <c r="H464" i="16"/>
  <c r="B515" i="35" l="1"/>
  <c r="A516" i="35"/>
  <c r="B515" i="34"/>
  <c r="A516" i="34"/>
  <c r="B515" i="33"/>
  <c r="A516" i="33"/>
  <c r="B515" i="36"/>
  <c r="A516" i="36"/>
  <c r="C466" i="17"/>
  <c r="H465" i="17"/>
  <c r="B519" i="16"/>
  <c r="A520" i="16"/>
  <c r="D519" i="16" a="1"/>
  <c r="D519" i="16" s="1"/>
  <c r="E519" i="16" s="1"/>
  <c r="G517" i="27"/>
  <c r="F517" i="27"/>
  <c r="I517" i="16"/>
  <c r="C466" i="27"/>
  <c r="H465" i="27"/>
  <c r="F518" i="16"/>
  <c r="G518" i="16"/>
  <c r="A519" i="27"/>
  <c r="B518" i="27"/>
  <c r="D518" i="27" a="1"/>
  <c r="D518" i="27" s="1"/>
  <c r="E518" i="27" s="1"/>
  <c r="I516" i="27"/>
  <c r="C466" i="28"/>
  <c r="H465" i="28"/>
  <c r="C466" i="16"/>
  <c r="H465" i="16"/>
  <c r="B516" i="35" l="1"/>
  <c r="A517" i="35"/>
  <c r="B516" i="34"/>
  <c r="A517" i="34"/>
  <c r="B516" i="33"/>
  <c r="A517" i="33"/>
  <c r="B516" i="36"/>
  <c r="A517" i="36"/>
  <c r="F518" i="27"/>
  <c r="G518" i="27"/>
  <c r="A521" i="16"/>
  <c r="B520" i="16"/>
  <c r="D520" i="16" a="1"/>
  <c r="D520" i="16" s="1"/>
  <c r="E520" i="16" s="1"/>
  <c r="I518" i="16"/>
  <c r="C467" i="28"/>
  <c r="H466" i="28"/>
  <c r="C467" i="16"/>
  <c r="H466" i="16"/>
  <c r="A520" i="27"/>
  <c r="B519" i="27"/>
  <c r="D519" i="27" a="1"/>
  <c r="D519" i="27" s="1"/>
  <c r="E519" i="27" s="1"/>
  <c r="C467" i="27"/>
  <c r="H466" i="27"/>
  <c r="I517" i="27"/>
  <c r="G519" i="16"/>
  <c r="F519" i="16"/>
  <c r="C467" i="17"/>
  <c r="H466" i="17"/>
  <c r="B517" i="36" l="1"/>
  <c r="A518" i="36"/>
  <c r="B517" i="33"/>
  <c r="A518" i="33"/>
  <c r="B517" i="34"/>
  <c r="A518" i="34"/>
  <c r="B517" i="35"/>
  <c r="A518" i="35"/>
  <c r="C468" i="17"/>
  <c r="H467" i="17"/>
  <c r="A521" i="27"/>
  <c r="B520" i="27"/>
  <c r="D520" i="27" a="1"/>
  <c r="D520" i="27" s="1"/>
  <c r="E520" i="27" s="1"/>
  <c r="C468" i="28"/>
  <c r="H467" i="28"/>
  <c r="I519" i="16"/>
  <c r="C468" i="27"/>
  <c r="H467" i="27"/>
  <c r="A522" i="16"/>
  <c r="B521" i="16"/>
  <c r="D521" i="16" a="1"/>
  <c r="D521" i="16" s="1"/>
  <c r="E521" i="16" s="1"/>
  <c r="G519" i="27"/>
  <c r="F519" i="27"/>
  <c r="C468" i="16"/>
  <c r="H467" i="16"/>
  <c r="I518" i="27"/>
  <c r="F520" i="16"/>
  <c r="G520" i="16"/>
  <c r="B518" i="33" l="1"/>
  <c r="A519" i="33"/>
  <c r="B518" i="34"/>
  <c r="A519" i="34"/>
  <c r="B518" i="36"/>
  <c r="A519" i="36"/>
  <c r="B518" i="35"/>
  <c r="A519" i="35"/>
  <c r="I520" i="16"/>
  <c r="C469" i="16"/>
  <c r="H468" i="16"/>
  <c r="A523" i="16"/>
  <c r="B522" i="16"/>
  <c r="D522" i="16" a="1"/>
  <c r="D522" i="16" s="1"/>
  <c r="E522" i="16" s="1"/>
  <c r="I519" i="27"/>
  <c r="A522" i="27"/>
  <c r="B521" i="27"/>
  <c r="D521" i="27" a="1"/>
  <c r="D521" i="27" s="1"/>
  <c r="E521" i="27" s="1"/>
  <c r="F521" i="16"/>
  <c r="G521" i="16"/>
  <c r="C469" i="27"/>
  <c r="H468" i="27"/>
  <c r="C469" i="28"/>
  <c r="H468" i="28"/>
  <c r="F520" i="27"/>
  <c r="G520" i="27"/>
  <c r="C469" i="17"/>
  <c r="H468" i="17"/>
  <c r="B519" i="36" l="1"/>
  <c r="A520" i="36"/>
  <c r="B519" i="34"/>
  <c r="A520" i="34"/>
  <c r="B519" i="33"/>
  <c r="A520" i="33"/>
  <c r="B519" i="35"/>
  <c r="A520" i="35"/>
  <c r="G521" i="27"/>
  <c r="F521" i="27"/>
  <c r="G522" i="16"/>
  <c r="F522" i="16"/>
  <c r="C470" i="16"/>
  <c r="H469" i="16"/>
  <c r="I520" i="27"/>
  <c r="I521" i="16"/>
  <c r="K54" i="16"/>
  <c r="L59" i="17" s="1"/>
  <c r="C470" i="27"/>
  <c r="H469" i="27"/>
  <c r="A523" i="27"/>
  <c r="B522" i="27"/>
  <c r="D522" i="27" a="1"/>
  <c r="D522" i="27" s="1"/>
  <c r="E522" i="27" s="1"/>
  <c r="C470" i="17"/>
  <c r="H469" i="17"/>
  <c r="C470" i="28"/>
  <c r="H469" i="28"/>
  <c r="B523" i="16"/>
  <c r="A524" i="16"/>
  <c r="D523" i="16" a="1"/>
  <c r="D523" i="16" s="1"/>
  <c r="E523" i="16" s="1"/>
  <c r="B520" i="35" l="1"/>
  <c r="A521" i="35"/>
  <c r="B520" i="34"/>
  <c r="A521" i="34"/>
  <c r="B520" i="36"/>
  <c r="A521" i="36"/>
  <c r="B520" i="33"/>
  <c r="A521" i="33"/>
  <c r="G522" i="27"/>
  <c r="F522" i="27"/>
  <c r="C471" i="27"/>
  <c r="H470" i="27"/>
  <c r="G523" i="16"/>
  <c r="F523" i="16"/>
  <c r="C471" i="28"/>
  <c r="H470" i="28"/>
  <c r="I522" i="16"/>
  <c r="B524" i="16"/>
  <c r="A525" i="16"/>
  <c r="D524" i="16" a="1"/>
  <c r="D524" i="16" s="1"/>
  <c r="E524" i="16" s="1"/>
  <c r="B523" i="27"/>
  <c r="A524" i="27"/>
  <c r="D523" i="27" a="1"/>
  <c r="D523" i="27" s="1"/>
  <c r="E523" i="27" s="1"/>
  <c r="C471" i="17"/>
  <c r="H470" i="17"/>
  <c r="C471" i="16"/>
  <c r="H470" i="16"/>
  <c r="I521" i="27"/>
  <c r="K54" i="27"/>
  <c r="N59" i="17" s="1"/>
  <c r="E64" i="9" s="1"/>
  <c r="F64" i="9" s="1"/>
  <c r="O59" i="17" l="1"/>
  <c r="B521" i="34"/>
  <c r="A522" i="34"/>
  <c r="B521" i="35"/>
  <c r="A522" i="35"/>
  <c r="B521" i="33"/>
  <c r="A522" i="33"/>
  <c r="B521" i="36"/>
  <c r="A522" i="36"/>
  <c r="D64" i="9"/>
  <c r="C472" i="17"/>
  <c r="H471" i="17"/>
  <c r="C472" i="16"/>
  <c r="H471" i="16"/>
  <c r="A525" i="27"/>
  <c r="B524" i="27"/>
  <c r="D524" i="27" a="1"/>
  <c r="D524" i="27" s="1"/>
  <c r="E524" i="27" s="1"/>
  <c r="C472" i="28"/>
  <c r="H471" i="28"/>
  <c r="C472" i="27"/>
  <c r="H471" i="27"/>
  <c r="G524" i="16"/>
  <c r="F524" i="16"/>
  <c r="F523" i="27"/>
  <c r="G523" i="27"/>
  <c r="A526" i="16"/>
  <c r="B525" i="16"/>
  <c r="D525" i="16" a="1"/>
  <c r="D525" i="16" s="1"/>
  <c r="E525" i="16" s="1"/>
  <c r="I523" i="16"/>
  <c r="I522" i="27"/>
  <c r="B522" i="33" l="1"/>
  <c r="A523" i="33"/>
  <c r="B522" i="36"/>
  <c r="A523" i="36"/>
  <c r="B522" i="35"/>
  <c r="A523" i="35"/>
  <c r="B522" i="34"/>
  <c r="A523" i="34"/>
  <c r="I523" i="27"/>
  <c r="A526" i="27"/>
  <c r="B525" i="27"/>
  <c r="D525" i="27" a="1"/>
  <c r="D525" i="27" s="1"/>
  <c r="E525" i="27" s="1"/>
  <c r="C473" i="17"/>
  <c r="H472" i="17"/>
  <c r="G525" i="16"/>
  <c r="F525" i="16"/>
  <c r="C473" i="27"/>
  <c r="H472" i="27"/>
  <c r="B526" i="16"/>
  <c r="A527" i="16"/>
  <c r="D526" i="16" a="1"/>
  <c r="D526" i="16" s="1"/>
  <c r="E526" i="16" s="1"/>
  <c r="I524" i="16"/>
  <c r="C473" i="28"/>
  <c r="H472" i="28"/>
  <c r="G524" i="27"/>
  <c r="F524" i="27"/>
  <c r="C473" i="16"/>
  <c r="H472" i="16"/>
  <c r="B523" i="35" l="1"/>
  <c r="A524" i="35"/>
  <c r="B523" i="34"/>
  <c r="A524" i="34"/>
  <c r="B523" i="36"/>
  <c r="A524" i="36"/>
  <c r="B523" i="33"/>
  <c r="A524" i="33"/>
  <c r="C474" i="16"/>
  <c r="H473" i="16"/>
  <c r="B527" i="16"/>
  <c r="A528" i="16"/>
  <c r="D527" i="16" a="1"/>
  <c r="D527" i="16" s="1"/>
  <c r="E527" i="16" s="1"/>
  <c r="I525" i="16"/>
  <c r="C474" i="28"/>
  <c r="H473" i="28"/>
  <c r="I524" i="27"/>
  <c r="A527" i="27"/>
  <c r="B526" i="27"/>
  <c r="D526" i="27" a="1"/>
  <c r="D526" i="27" s="1"/>
  <c r="E526" i="27" s="1"/>
  <c r="F526" i="16"/>
  <c r="G526" i="16"/>
  <c r="C474" i="27"/>
  <c r="H473" i="27"/>
  <c r="C474" i="17"/>
  <c r="H473" i="17"/>
  <c r="F525" i="27"/>
  <c r="G525" i="27"/>
  <c r="B524" i="36" l="1"/>
  <c r="A525" i="36"/>
  <c r="B524" i="33"/>
  <c r="A525" i="33"/>
  <c r="B524" i="34"/>
  <c r="A525" i="34"/>
  <c r="B524" i="35"/>
  <c r="A525" i="35"/>
  <c r="I525" i="27"/>
  <c r="C475" i="27"/>
  <c r="H474" i="27"/>
  <c r="I526" i="16"/>
  <c r="A528" i="27"/>
  <c r="B527" i="27"/>
  <c r="D527" i="27" a="1"/>
  <c r="D527" i="27" s="1"/>
  <c r="E527" i="27" s="1"/>
  <c r="C475" i="28"/>
  <c r="H474" i="28"/>
  <c r="A529" i="16"/>
  <c r="B528" i="16"/>
  <c r="D528" i="16" a="1"/>
  <c r="D528" i="16" s="1"/>
  <c r="E528" i="16" s="1"/>
  <c r="C475" i="17"/>
  <c r="H474" i="17"/>
  <c r="F526" i="27"/>
  <c r="G526" i="27"/>
  <c r="G527" i="16"/>
  <c r="F527" i="16"/>
  <c r="C475" i="16"/>
  <c r="H474" i="16"/>
  <c r="B525" i="33" l="1"/>
  <c r="A526" i="33"/>
  <c r="B525" i="36"/>
  <c r="A526" i="36"/>
  <c r="B525" i="34"/>
  <c r="A526" i="34"/>
  <c r="B525" i="35"/>
  <c r="A526" i="35"/>
  <c r="A530" i="16"/>
  <c r="B529" i="16"/>
  <c r="D529" i="16" a="1"/>
  <c r="D529" i="16" s="1"/>
  <c r="E529" i="16" s="1"/>
  <c r="I526" i="27"/>
  <c r="C476" i="16"/>
  <c r="H475" i="16"/>
  <c r="I527" i="16"/>
  <c r="C476" i="17"/>
  <c r="H475" i="17"/>
  <c r="A529" i="27"/>
  <c r="B528" i="27"/>
  <c r="D528" i="27" a="1"/>
  <c r="D528" i="27" s="1"/>
  <c r="E528" i="27" s="1"/>
  <c r="C476" i="27"/>
  <c r="H475" i="27"/>
  <c r="F528" i="16"/>
  <c r="G528" i="16"/>
  <c r="C476" i="28"/>
  <c r="H475" i="28"/>
  <c r="F527" i="27"/>
  <c r="G527" i="27"/>
  <c r="B526" i="35" l="1"/>
  <c r="A527" i="35"/>
  <c r="B526" i="34"/>
  <c r="A527" i="34"/>
  <c r="B526" i="33"/>
  <c r="A527" i="33"/>
  <c r="B526" i="36"/>
  <c r="A527" i="36"/>
  <c r="G528" i="27"/>
  <c r="F528" i="27"/>
  <c r="C477" i="16"/>
  <c r="H476" i="16"/>
  <c r="A530" i="27"/>
  <c r="B529" i="27"/>
  <c r="D529" i="27" a="1"/>
  <c r="D529" i="27" s="1"/>
  <c r="E529" i="27" s="1"/>
  <c r="F529" i="16"/>
  <c r="G529" i="16"/>
  <c r="C477" i="28"/>
  <c r="H476" i="28"/>
  <c r="C477" i="27"/>
  <c r="H476" i="27"/>
  <c r="I528" i="16"/>
  <c r="C477" i="17"/>
  <c r="H476" i="17"/>
  <c r="I527" i="27"/>
  <c r="B530" i="16"/>
  <c r="A531" i="16"/>
  <c r="D530" i="16" a="1"/>
  <c r="D530" i="16" s="1"/>
  <c r="E530" i="16" s="1"/>
  <c r="B527" i="36" l="1"/>
  <c r="A528" i="36"/>
  <c r="B527" i="34"/>
  <c r="A528" i="34"/>
  <c r="B527" i="35"/>
  <c r="A528" i="35"/>
  <c r="B527" i="33"/>
  <c r="A528" i="33"/>
  <c r="C478" i="17"/>
  <c r="H477" i="17"/>
  <c r="C478" i="27"/>
  <c r="H477" i="27"/>
  <c r="F529" i="27"/>
  <c r="G529" i="27"/>
  <c r="C478" i="16"/>
  <c r="H477" i="16"/>
  <c r="F530" i="16"/>
  <c r="G530" i="16"/>
  <c r="C478" i="28"/>
  <c r="H477" i="28"/>
  <c r="A532" i="16"/>
  <c r="B531" i="16"/>
  <c r="D531" i="16" a="1"/>
  <c r="D531" i="16" s="1"/>
  <c r="E531" i="16" s="1"/>
  <c r="I529" i="16"/>
  <c r="A531" i="27"/>
  <c r="B530" i="27"/>
  <c r="D530" i="27" a="1"/>
  <c r="D530" i="27" s="1"/>
  <c r="E530" i="27" s="1"/>
  <c r="I528" i="27"/>
  <c r="B528" i="36" l="1"/>
  <c r="A529" i="36"/>
  <c r="B528" i="35"/>
  <c r="A529" i="35"/>
  <c r="B528" i="34"/>
  <c r="A529" i="34"/>
  <c r="B528" i="33"/>
  <c r="A529" i="33"/>
  <c r="F530" i="27"/>
  <c r="G530" i="27"/>
  <c r="F531" i="16"/>
  <c r="G531" i="16"/>
  <c r="C479" i="28"/>
  <c r="H478" i="28"/>
  <c r="C479" i="16"/>
  <c r="H478" i="16"/>
  <c r="C479" i="27"/>
  <c r="H478" i="27"/>
  <c r="A532" i="27"/>
  <c r="B531" i="27"/>
  <c r="D531" i="27" a="1"/>
  <c r="D531" i="27" s="1"/>
  <c r="E531" i="27" s="1"/>
  <c r="I530" i="16"/>
  <c r="I529" i="27"/>
  <c r="B532" i="16"/>
  <c r="A533" i="16"/>
  <c r="D532" i="16" a="1"/>
  <c r="D532" i="16" s="1"/>
  <c r="E532" i="16" s="1"/>
  <c r="C479" i="17"/>
  <c r="H478" i="17"/>
  <c r="B529" i="36" l="1"/>
  <c r="A530" i="36"/>
  <c r="B529" i="33"/>
  <c r="A530" i="33"/>
  <c r="B529" i="34"/>
  <c r="A530" i="34"/>
  <c r="B529" i="35"/>
  <c r="A530" i="35"/>
  <c r="C480" i="17"/>
  <c r="H479" i="17"/>
  <c r="I531" i="16"/>
  <c r="K55" i="16"/>
  <c r="L60" i="17" s="1"/>
  <c r="F532" i="16"/>
  <c r="G532" i="16"/>
  <c r="A534" i="16"/>
  <c r="B533" i="16"/>
  <c r="D533" i="16" a="1"/>
  <c r="D533" i="16" s="1"/>
  <c r="E533" i="16" s="1"/>
  <c r="A533" i="27"/>
  <c r="B532" i="27"/>
  <c r="D532" i="27" a="1"/>
  <c r="D532" i="27" s="1"/>
  <c r="E532" i="27" s="1"/>
  <c r="C480" i="16"/>
  <c r="H479" i="16"/>
  <c r="I530" i="27"/>
  <c r="G531" i="27"/>
  <c r="F531" i="27"/>
  <c r="C480" i="27"/>
  <c r="H479" i="27"/>
  <c r="C480" i="28"/>
  <c r="H479" i="28"/>
  <c r="B530" i="36" l="1"/>
  <c r="A531" i="36"/>
  <c r="B530" i="35"/>
  <c r="A531" i="35"/>
  <c r="B530" i="33"/>
  <c r="A531" i="33"/>
  <c r="B530" i="34"/>
  <c r="A531" i="34"/>
  <c r="C481" i="28"/>
  <c r="H480" i="28"/>
  <c r="C481" i="16"/>
  <c r="H480" i="16"/>
  <c r="C481" i="27"/>
  <c r="H480" i="27"/>
  <c r="A535" i="16"/>
  <c r="B534" i="16"/>
  <c r="D534" i="16" a="1"/>
  <c r="D534" i="16" s="1"/>
  <c r="E534" i="16" s="1"/>
  <c r="I531" i="27"/>
  <c r="K55" i="27"/>
  <c r="N60" i="17" s="1"/>
  <c r="E65" i="9" s="1"/>
  <c r="F65" i="9" s="1"/>
  <c r="A534" i="27"/>
  <c r="B533" i="27"/>
  <c r="D533" i="27" a="1"/>
  <c r="D533" i="27" s="1"/>
  <c r="E533" i="27" s="1"/>
  <c r="I532" i="16"/>
  <c r="F533" i="16"/>
  <c r="G533" i="16"/>
  <c r="G532" i="27"/>
  <c r="F532" i="27"/>
  <c r="C481" i="17"/>
  <c r="H480" i="17"/>
  <c r="O60" i="17" l="1"/>
  <c r="B531" i="34"/>
  <c r="A532" i="34"/>
  <c r="B531" i="33"/>
  <c r="A532" i="33"/>
  <c r="B531" i="35"/>
  <c r="A532" i="35"/>
  <c r="B531" i="36"/>
  <c r="A532" i="36"/>
  <c r="C482" i="17"/>
  <c r="H481" i="17"/>
  <c r="B534" i="27"/>
  <c r="A535" i="27"/>
  <c r="D534" i="27" a="1"/>
  <c r="D534" i="27" s="1"/>
  <c r="E534" i="27" s="1"/>
  <c r="I532" i="27"/>
  <c r="G533" i="27"/>
  <c r="F533" i="27"/>
  <c r="A536" i="16"/>
  <c r="B535" i="16"/>
  <c r="D535" i="16" a="1"/>
  <c r="D535" i="16" s="1"/>
  <c r="E535" i="16" s="1"/>
  <c r="C482" i="16"/>
  <c r="H481" i="16"/>
  <c r="I533" i="16"/>
  <c r="D65" i="9"/>
  <c r="G534" i="16"/>
  <c r="F534" i="16"/>
  <c r="C482" i="27"/>
  <c r="H481" i="27"/>
  <c r="C482" i="28"/>
  <c r="H481" i="28"/>
  <c r="B532" i="36" l="1"/>
  <c r="A533" i="36"/>
  <c r="B532" i="34"/>
  <c r="A533" i="34"/>
  <c r="B532" i="33"/>
  <c r="A533" i="33"/>
  <c r="B532" i="35"/>
  <c r="A533" i="35"/>
  <c r="G535" i="16"/>
  <c r="F535" i="16"/>
  <c r="I533" i="27"/>
  <c r="A536" i="27"/>
  <c r="B535" i="27"/>
  <c r="D535" i="27" a="1"/>
  <c r="D535" i="27" s="1"/>
  <c r="E535" i="27" s="1"/>
  <c r="I534" i="16"/>
  <c r="C483" i="16"/>
  <c r="H482" i="16"/>
  <c r="C483" i="28"/>
  <c r="H482" i="28"/>
  <c r="C483" i="27"/>
  <c r="H482" i="27"/>
  <c r="A537" i="16"/>
  <c r="B536" i="16"/>
  <c r="D536" i="16" a="1"/>
  <c r="D536" i="16" s="1"/>
  <c r="E536" i="16" s="1"/>
  <c r="F534" i="27"/>
  <c r="G534" i="27"/>
  <c r="C483" i="17"/>
  <c r="H482" i="17"/>
  <c r="B533" i="34" l="1"/>
  <c r="A534" i="34"/>
  <c r="B533" i="36"/>
  <c r="A534" i="36"/>
  <c r="B533" i="33"/>
  <c r="A534" i="33"/>
  <c r="B533" i="35"/>
  <c r="A534" i="35"/>
  <c r="G536" i="16"/>
  <c r="F536" i="16"/>
  <c r="C484" i="27"/>
  <c r="H483" i="27"/>
  <c r="C484" i="16"/>
  <c r="H483" i="16"/>
  <c r="F535" i="27"/>
  <c r="G535" i="27"/>
  <c r="I534" i="27"/>
  <c r="C484" i="28"/>
  <c r="H483" i="28"/>
  <c r="C484" i="17"/>
  <c r="H483" i="17"/>
  <c r="A538" i="16"/>
  <c r="B537" i="16"/>
  <c r="D537" i="16" a="1"/>
  <c r="D537" i="16" s="1"/>
  <c r="E537" i="16" s="1"/>
  <c r="B536" i="27"/>
  <c r="A537" i="27"/>
  <c r="D536" i="27" a="1"/>
  <c r="D536" i="27" s="1"/>
  <c r="E536" i="27" s="1"/>
  <c r="I535" i="16"/>
  <c r="B534" i="34" l="1"/>
  <c r="A535" i="34"/>
  <c r="B534" i="36"/>
  <c r="A535" i="36"/>
  <c r="B534" i="33"/>
  <c r="A535" i="33"/>
  <c r="B534" i="35"/>
  <c r="A535" i="35"/>
  <c r="I535" i="27"/>
  <c r="G536" i="27"/>
  <c r="F536" i="27"/>
  <c r="A538" i="27"/>
  <c r="B537" i="27"/>
  <c r="D537" i="27" a="1"/>
  <c r="D537" i="27" s="1"/>
  <c r="E537" i="27" s="1"/>
  <c r="A539" i="16"/>
  <c r="B538" i="16"/>
  <c r="D538" i="16" a="1"/>
  <c r="D538" i="16" s="1"/>
  <c r="E538" i="16" s="1"/>
  <c r="C485" i="28"/>
  <c r="H484" i="28"/>
  <c r="C485" i="27"/>
  <c r="H484" i="27"/>
  <c r="F537" i="16"/>
  <c r="G537" i="16"/>
  <c r="C485" i="17"/>
  <c r="H484" i="17"/>
  <c r="C485" i="16"/>
  <c r="H484" i="16"/>
  <c r="I536" i="16"/>
  <c r="B535" i="33" l="1"/>
  <c r="A536" i="33"/>
  <c r="B535" i="36"/>
  <c r="A536" i="36"/>
  <c r="B535" i="35"/>
  <c r="A536" i="35"/>
  <c r="B535" i="34"/>
  <c r="A536" i="34"/>
  <c r="C486" i="16"/>
  <c r="H485" i="16"/>
  <c r="C486" i="28"/>
  <c r="H485" i="28"/>
  <c r="C486" i="17"/>
  <c r="H485" i="17"/>
  <c r="C486" i="27"/>
  <c r="H485" i="27"/>
  <c r="I537" i="16"/>
  <c r="A540" i="16"/>
  <c r="B539" i="16"/>
  <c r="D539" i="16" a="1"/>
  <c r="D539" i="16" s="1"/>
  <c r="E539" i="16" s="1"/>
  <c r="G537" i="27"/>
  <c r="F537" i="27"/>
  <c r="I536" i="27"/>
  <c r="F538" i="16"/>
  <c r="G538" i="16"/>
  <c r="B538" i="27"/>
  <c r="A539" i="27"/>
  <c r="D538" i="27" a="1"/>
  <c r="D538" i="27" s="1"/>
  <c r="E538" i="27" s="1"/>
  <c r="B536" i="33" l="1"/>
  <c r="A537" i="33"/>
  <c r="B536" i="36"/>
  <c r="A537" i="36"/>
  <c r="B536" i="34"/>
  <c r="A537" i="34"/>
  <c r="B536" i="35"/>
  <c r="A537" i="35"/>
  <c r="A540" i="27"/>
  <c r="B539" i="27"/>
  <c r="D539" i="27" a="1"/>
  <c r="D539" i="27" s="1"/>
  <c r="E539" i="27" s="1"/>
  <c r="I538" i="16"/>
  <c r="A541" i="16"/>
  <c r="B540" i="16"/>
  <c r="D540" i="16" a="1"/>
  <c r="D540" i="16" s="1"/>
  <c r="E540" i="16" s="1"/>
  <c r="C487" i="27"/>
  <c r="H486" i="27"/>
  <c r="C487" i="28"/>
  <c r="H486" i="28"/>
  <c r="G538" i="27"/>
  <c r="F538" i="27"/>
  <c r="I537" i="27"/>
  <c r="F539" i="16"/>
  <c r="G539" i="16"/>
  <c r="C487" i="17"/>
  <c r="H486" i="17"/>
  <c r="C487" i="16"/>
  <c r="H486" i="16"/>
  <c r="B537" i="33" l="1"/>
  <c r="A538" i="33"/>
  <c r="B537" i="35"/>
  <c r="A538" i="35"/>
  <c r="B537" i="36"/>
  <c r="A538" i="36"/>
  <c r="B537" i="34"/>
  <c r="A538" i="34"/>
  <c r="G540" i="16"/>
  <c r="F540" i="16"/>
  <c r="G539" i="27"/>
  <c r="F539" i="27"/>
  <c r="A542" i="16"/>
  <c r="B541" i="16"/>
  <c r="D541" i="16" a="1"/>
  <c r="D541" i="16" s="1"/>
  <c r="E541" i="16" s="1"/>
  <c r="C488" i="17"/>
  <c r="H487" i="17"/>
  <c r="C488" i="28"/>
  <c r="H487" i="28"/>
  <c r="I539" i="16"/>
  <c r="C488" i="16"/>
  <c r="H487" i="16"/>
  <c r="I538" i="27"/>
  <c r="C488" i="27"/>
  <c r="H487" i="27"/>
  <c r="B540" i="27"/>
  <c r="A541" i="27"/>
  <c r="D540" i="27" a="1"/>
  <c r="D540" i="27" s="1"/>
  <c r="E540" i="27" s="1"/>
  <c r="B538" i="36" l="1"/>
  <c r="A539" i="36"/>
  <c r="B538" i="33"/>
  <c r="A539" i="33"/>
  <c r="B538" i="35"/>
  <c r="A539" i="35"/>
  <c r="B538" i="34"/>
  <c r="A539" i="34"/>
  <c r="C489" i="27"/>
  <c r="H488" i="27"/>
  <c r="C489" i="17"/>
  <c r="H488" i="17"/>
  <c r="F541" i="16"/>
  <c r="G541" i="16"/>
  <c r="I539" i="27"/>
  <c r="C489" i="16"/>
  <c r="H488" i="16"/>
  <c r="G540" i="27"/>
  <c r="F540" i="27"/>
  <c r="C489" i="28"/>
  <c r="H488" i="28"/>
  <c r="A542" i="27"/>
  <c r="B541" i="27"/>
  <c r="D541" i="27" a="1"/>
  <c r="D541" i="27" s="1"/>
  <c r="E541" i="27" s="1"/>
  <c r="A543" i="16"/>
  <c r="B542" i="16"/>
  <c r="D542" i="16" a="1"/>
  <c r="D542" i="16" s="1"/>
  <c r="E542" i="16" s="1"/>
  <c r="I540" i="16"/>
  <c r="B539" i="36" l="1"/>
  <c r="A540" i="36"/>
  <c r="B539" i="33"/>
  <c r="A540" i="33"/>
  <c r="B539" i="34"/>
  <c r="A540" i="34"/>
  <c r="B539" i="35"/>
  <c r="A540" i="35"/>
  <c r="F542" i="16"/>
  <c r="G542" i="16"/>
  <c r="B542" i="27"/>
  <c r="A543" i="27"/>
  <c r="D542" i="27" a="1"/>
  <c r="D542" i="27" s="1"/>
  <c r="E542" i="27" s="1"/>
  <c r="I540" i="27"/>
  <c r="C490" i="17"/>
  <c r="H489" i="17"/>
  <c r="A544" i="16"/>
  <c r="B543" i="16"/>
  <c r="D543" i="16" a="1"/>
  <c r="D543" i="16" s="1"/>
  <c r="E543" i="16" s="1"/>
  <c r="I541" i="16"/>
  <c r="K56" i="16"/>
  <c r="L61" i="17" s="1"/>
  <c r="F541" i="27"/>
  <c r="G541" i="27"/>
  <c r="C490" i="28"/>
  <c r="H489" i="28"/>
  <c r="C490" i="16"/>
  <c r="H489" i="16"/>
  <c r="C490" i="27"/>
  <c r="H489" i="27"/>
  <c r="B540" i="36" l="1"/>
  <c r="A541" i="36"/>
  <c r="B540" i="35"/>
  <c r="A541" i="35"/>
  <c r="B540" i="34"/>
  <c r="A541" i="34"/>
  <c r="B540" i="33"/>
  <c r="A541" i="33"/>
  <c r="G543" i="16"/>
  <c r="F543" i="16"/>
  <c r="C491" i="17"/>
  <c r="H490" i="17"/>
  <c r="A544" i="27"/>
  <c r="B543" i="27"/>
  <c r="D543" i="27" a="1"/>
  <c r="D543" i="27" s="1"/>
  <c r="E543" i="27" s="1"/>
  <c r="C491" i="16"/>
  <c r="H490" i="16"/>
  <c r="I541" i="27"/>
  <c r="K56" i="27"/>
  <c r="N61" i="17" s="1"/>
  <c r="E66" i="9" s="1"/>
  <c r="F66" i="9" s="1"/>
  <c r="C491" i="27"/>
  <c r="H490" i="27"/>
  <c r="C491" i="28"/>
  <c r="H490" i="28"/>
  <c r="B544" i="16"/>
  <c r="A545" i="16"/>
  <c r="D544" i="16" a="1"/>
  <c r="D544" i="16" s="1"/>
  <c r="E544" i="16" s="1"/>
  <c r="I542" i="16"/>
  <c r="F542" i="27"/>
  <c r="G542" i="27"/>
  <c r="O61" i="17" l="1"/>
  <c r="B541" i="34"/>
  <c r="A542" i="34"/>
  <c r="B541" i="33"/>
  <c r="A542" i="33"/>
  <c r="B541" i="35"/>
  <c r="A542" i="35"/>
  <c r="B541" i="36"/>
  <c r="A542" i="36"/>
  <c r="G544" i="16"/>
  <c r="F544" i="16"/>
  <c r="C492" i="28"/>
  <c r="H491" i="28"/>
  <c r="C492" i="16"/>
  <c r="H491" i="16"/>
  <c r="F543" i="27"/>
  <c r="G543" i="27"/>
  <c r="C492" i="17"/>
  <c r="H491" i="17"/>
  <c r="A546" i="16"/>
  <c r="B545" i="16"/>
  <c r="D545" i="16" a="1"/>
  <c r="D545" i="16" s="1"/>
  <c r="E545" i="16" s="1"/>
  <c r="D66" i="9"/>
  <c r="I542" i="27"/>
  <c r="C492" i="27"/>
  <c r="H491" i="27"/>
  <c r="A545" i="27"/>
  <c r="B544" i="27"/>
  <c r="D544" i="27" a="1"/>
  <c r="D544" i="27" s="1"/>
  <c r="E544" i="27" s="1"/>
  <c r="I543" i="16"/>
  <c r="B542" i="33" l="1"/>
  <c r="A543" i="33"/>
  <c r="B542" i="35"/>
  <c r="A543" i="35"/>
  <c r="B542" i="34"/>
  <c r="A543" i="34"/>
  <c r="B542" i="36"/>
  <c r="A543" i="36"/>
  <c r="A546" i="27"/>
  <c r="B545" i="27"/>
  <c r="D545" i="27" a="1"/>
  <c r="D545" i="27" s="1"/>
  <c r="E545" i="27" s="1"/>
  <c r="I543" i="27"/>
  <c r="F544" i="27"/>
  <c r="G544" i="27"/>
  <c r="C493" i="27"/>
  <c r="H492" i="27"/>
  <c r="B546" i="16"/>
  <c r="A547" i="16"/>
  <c r="D546" i="16" a="1"/>
  <c r="D546" i="16" s="1"/>
  <c r="E546" i="16" s="1"/>
  <c r="C493" i="28"/>
  <c r="H492" i="28"/>
  <c r="G545" i="16"/>
  <c r="F545" i="16"/>
  <c r="C493" i="17"/>
  <c r="H492" i="17"/>
  <c r="C493" i="16"/>
  <c r="H492" i="16"/>
  <c r="I544" i="16"/>
  <c r="B543" i="34" l="1"/>
  <c r="A544" i="34"/>
  <c r="B543" i="36"/>
  <c r="A544" i="36"/>
  <c r="B543" i="35"/>
  <c r="A544" i="35"/>
  <c r="B543" i="33"/>
  <c r="A544" i="33"/>
  <c r="C494" i="28"/>
  <c r="H493" i="28"/>
  <c r="I544" i="27"/>
  <c r="C494" i="27"/>
  <c r="H493" i="27"/>
  <c r="G545" i="27"/>
  <c r="F545" i="27"/>
  <c r="C494" i="17"/>
  <c r="H493" i="17"/>
  <c r="F546" i="16"/>
  <c r="G546" i="16"/>
  <c r="C494" i="16"/>
  <c r="H493" i="16"/>
  <c r="I545" i="16"/>
  <c r="A548" i="16"/>
  <c r="B547" i="16"/>
  <c r="D547" i="16" a="1"/>
  <c r="D547" i="16" s="1"/>
  <c r="E547" i="16" s="1"/>
  <c r="A547" i="27"/>
  <c r="B546" i="27"/>
  <c r="D546" i="27" a="1"/>
  <c r="D546" i="27" s="1"/>
  <c r="E546" i="27" s="1"/>
  <c r="B544" i="33" l="1"/>
  <c r="A545" i="33"/>
  <c r="B544" i="36"/>
  <c r="A545" i="36"/>
  <c r="B544" i="34"/>
  <c r="A545" i="34"/>
  <c r="B544" i="35"/>
  <c r="A545" i="35"/>
  <c r="C495" i="16"/>
  <c r="H494" i="16"/>
  <c r="A548" i="27"/>
  <c r="B547" i="27"/>
  <c r="D547" i="27" a="1"/>
  <c r="D547" i="27" s="1"/>
  <c r="E547" i="27" s="1"/>
  <c r="I546" i="16"/>
  <c r="G547" i="16"/>
  <c r="F547" i="16"/>
  <c r="I545" i="27"/>
  <c r="F546" i="27"/>
  <c r="G546" i="27"/>
  <c r="B548" i="16"/>
  <c r="A549" i="16"/>
  <c r="D548" i="16" a="1"/>
  <c r="D548" i="16" s="1"/>
  <c r="E548" i="16" s="1"/>
  <c r="C495" i="17"/>
  <c r="H494" i="17"/>
  <c r="C495" i="27"/>
  <c r="H494" i="27"/>
  <c r="C495" i="28"/>
  <c r="H494" i="28"/>
  <c r="B545" i="36" l="1"/>
  <c r="A546" i="36"/>
  <c r="B545" i="35"/>
  <c r="A546" i="35"/>
  <c r="B545" i="34"/>
  <c r="A546" i="34"/>
  <c r="B545" i="33"/>
  <c r="A546" i="33"/>
  <c r="F548" i="16"/>
  <c r="G548" i="16"/>
  <c r="I547" i="16"/>
  <c r="C496" i="17"/>
  <c r="H495" i="17"/>
  <c r="C496" i="27"/>
  <c r="H495" i="27"/>
  <c r="A550" i="16"/>
  <c r="B549" i="16"/>
  <c r="D549" i="16" a="1"/>
  <c r="D549" i="16" s="1"/>
  <c r="E549" i="16" s="1"/>
  <c r="A549" i="27"/>
  <c r="B548" i="27"/>
  <c r="D548" i="27" a="1"/>
  <c r="D548" i="27" s="1"/>
  <c r="E548" i="27" s="1"/>
  <c r="C496" i="28"/>
  <c r="H495" i="28"/>
  <c r="I546" i="27"/>
  <c r="G547" i="27"/>
  <c r="F547" i="27"/>
  <c r="C496" i="16"/>
  <c r="H495" i="16"/>
  <c r="B546" i="33" l="1"/>
  <c r="A547" i="33"/>
  <c r="B546" i="36"/>
  <c r="A547" i="36"/>
  <c r="B546" i="34"/>
  <c r="A547" i="34"/>
  <c r="B546" i="35"/>
  <c r="A547" i="35"/>
  <c r="F548" i="27"/>
  <c r="G548" i="27"/>
  <c r="C497" i="16"/>
  <c r="H496" i="16"/>
  <c r="A550" i="27"/>
  <c r="B549" i="27"/>
  <c r="D549" i="27" a="1"/>
  <c r="D549" i="27" s="1"/>
  <c r="E549" i="27" s="1"/>
  <c r="F549" i="16"/>
  <c r="G549" i="16"/>
  <c r="C497" i="27"/>
  <c r="H496" i="27"/>
  <c r="C497" i="28"/>
  <c r="H496" i="28"/>
  <c r="I548" i="16"/>
  <c r="I547" i="27"/>
  <c r="B550" i="16"/>
  <c r="A551" i="16"/>
  <c r="D550" i="16" a="1"/>
  <c r="D550" i="16" s="1"/>
  <c r="E550" i="16" s="1"/>
  <c r="C497" i="17"/>
  <c r="H496" i="17"/>
  <c r="B547" i="35" l="1"/>
  <c r="A548" i="35"/>
  <c r="B547" i="34"/>
  <c r="A548" i="34"/>
  <c r="B547" i="36"/>
  <c r="A548" i="36"/>
  <c r="B547" i="33"/>
  <c r="A548" i="33"/>
  <c r="F550" i="16"/>
  <c r="G550" i="16"/>
  <c r="C498" i="28"/>
  <c r="H497" i="28"/>
  <c r="F549" i="27"/>
  <c r="G549" i="27"/>
  <c r="C498" i="16"/>
  <c r="H497" i="16"/>
  <c r="A552" i="16"/>
  <c r="B551" i="16"/>
  <c r="D551" i="16" a="1"/>
  <c r="D551" i="16" s="1"/>
  <c r="E551" i="16" s="1"/>
  <c r="C498" i="27"/>
  <c r="H497" i="27"/>
  <c r="I548" i="27"/>
  <c r="C498" i="17"/>
  <c r="H497" i="17"/>
  <c r="I549" i="16"/>
  <c r="A551" i="27"/>
  <c r="B550" i="27"/>
  <c r="D550" i="27" a="1"/>
  <c r="D550" i="27" s="1"/>
  <c r="E550" i="27" s="1"/>
  <c r="B548" i="33" l="1"/>
  <c r="A549" i="33"/>
  <c r="B548" i="35"/>
  <c r="A549" i="35"/>
  <c r="B548" i="34"/>
  <c r="A549" i="34"/>
  <c r="B548" i="36"/>
  <c r="A549" i="36"/>
  <c r="F550" i="27"/>
  <c r="G550" i="27"/>
  <c r="A552" i="27"/>
  <c r="B551" i="27"/>
  <c r="D551" i="27" a="1"/>
  <c r="D551" i="27" s="1"/>
  <c r="E551" i="27" s="1"/>
  <c r="C499" i="17"/>
  <c r="H498" i="17"/>
  <c r="C499" i="27"/>
  <c r="H498" i="27"/>
  <c r="F551" i="16"/>
  <c r="G551" i="16"/>
  <c r="C499" i="16"/>
  <c r="H498" i="16"/>
  <c r="C499" i="28"/>
  <c r="H498" i="28"/>
  <c r="I549" i="27"/>
  <c r="I550" i="16"/>
  <c r="B552" i="16"/>
  <c r="A553" i="16"/>
  <c r="D552" i="16" a="1"/>
  <c r="D552" i="16" s="1"/>
  <c r="E552" i="16" s="1"/>
  <c r="B549" i="35" l="1"/>
  <c r="A550" i="35"/>
  <c r="B549" i="34"/>
  <c r="A550" i="34"/>
  <c r="B549" i="33"/>
  <c r="A550" i="33"/>
  <c r="B549" i="36"/>
  <c r="A550" i="36"/>
  <c r="C500" i="16"/>
  <c r="H499" i="16"/>
  <c r="C500" i="27"/>
  <c r="H499" i="27"/>
  <c r="A554" i="16"/>
  <c r="B553" i="16"/>
  <c r="D553" i="16" a="1"/>
  <c r="D553" i="16" s="1"/>
  <c r="E553" i="16" s="1"/>
  <c r="K57" i="16"/>
  <c r="L62" i="17" s="1"/>
  <c r="I551" i="16"/>
  <c r="A553" i="27"/>
  <c r="B552" i="27"/>
  <c r="D552" i="27" a="1"/>
  <c r="D552" i="27" s="1"/>
  <c r="E552" i="27" s="1"/>
  <c r="F552" i="16"/>
  <c r="G552" i="16"/>
  <c r="C500" i="28"/>
  <c r="H499" i="28"/>
  <c r="C500" i="17"/>
  <c r="H499" i="17"/>
  <c r="I550" i="27"/>
  <c r="F551" i="27"/>
  <c r="G551" i="27"/>
  <c r="B550" i="33" l="1"/>
  <c r="A551" i="33"/>
  <c r="B550" i="36"/>
  <c r="A551" i="36"/>
  <c r="B550" i="35"/>
  <c r="A551" i="35"/>
  <c r="B550" i="34"/>
  <c r="A551" i="34"/>
  <c r="C501" i="28"/>
  <c r="H500" i="28"/>
  <c r="F553" i="16"/>
  <c r="G553" i="16"/>
  <c r="C501" i="27"/>
  <c r="H500" i="27"/>
  <c r="K57" i="27"/>
  <c r="N62" i="17" s="1"/>
  <c r="E67" i="9" s="1"/>
  <c r="F67" i="9" s="1"/>
  <c r="I551" i="27"/>
  <c r="I552" i="16"/>
  <c r="A554" i="27"/>
  <c r="B553" i="27"/>
  <c r="D553" i="27" a="1"/>
  <c r="D553" i="27" s="1"/>
  <c r="E553" i="27" s="1"/>
  <c r="C501" i="17"/>
  <c r="H500" i="17"/>
  <c r="G552" i="27"/>
  <c r="F552" i="27"/>
  <c r="B554" i="16"/>
  <c r="A555" i="16"/>
  <c r="D554" i="16" a="1"/>
  <c r="D554" i="16" s="1"/>
  <c r="E554" i="16" s="1"/>
  <c r="C501" i="16"/>
  <c r="H500" i="16"/>
  <c r="O62" i="17" l="1"/>
  <c r="B551" i="34"/>
  <c r="A552" i="34"/>
  <c r="B551" i="36"/>
  <c r="A552" i="36"/>
  <c r="B551" i="33"/>
  <c r="A552" i="33"/>
  <c r="B551" i="35"/>
  <c r="A552" i="35"/>
  <c r="I552" i="27"/>
  <c r="C502" i="17"/>
  <c r="H501" i="17"/>
  <c r="G553" i="27"/>
  <c r="F553" i="27"/>
  <c r="D67" i="9"/>
  <c r="F554" i="16"/>
  <c r="G554" i="16"/>
  <c r="C502" i="27"/>
  <c r="H501" i="27"/>
  <c r="C502" i="16"/>
  <c r="H501" i="16"/>
  <c r="A556" i="16"/>
  <c r="B555" i="16"/>
  <c r="D555" i="16" a="1"/>
  <c r="D555" i="16" s="1"/>
  <c r="E555" i="16" s="1"/>
  <c r="A555" i="27"/>
  <c r="B554" i="27"/>
  <c r="D554" i="27" a="1"/>
  <c r="D554" i="27" s="1"/>
  <c r="E554" i="27" s="1"/>
  <c r="I553" i="16"/>
  <c r="C502" i="28"/>
  <c r="H501" i="28"/>
  <c r="B552" i="35" l="1"/>
  <c r="A553" i="35"/>
  <c r="B552" i="36"/>
  <c r="A553" i="36"/>
  <c r="B552" i="33"/>
  <c r="A553" i="33"/>
  <c r="B552" i="34"/>
  <c r="A553" i="34"/>
  <c r="C503" i="28"/>
  <c r="H502" i="28"/>
  <c r="A557" i="16"/>
  <c r="B556" i="16"/>
  <c r="D556" i="16" a="1"/>
  <c r="D556" i="16" s="1"/>
  <c r="E556" i="16" s="1"/>
  <c r="C503" i="27"/>
  <c r="H502" i="27"/>
  <c r="A556" i="27"/>
  <c r="B555" i="27"/>
  <c r="D555" i="27" a="1"/>
  <c r="D555" i="27" s="1"/>
  <c r="E555" i="27" s="1"/>
  <c r="I554" i="16"/>
  <c r="C503" i="17"/>
  <c r="H502" i="17"/>
  <c r="G555" i="16"/>
  <c r="F555" i="16"/>
  <c r="C503" i="16"/>
  <c r="H502" i="16"/>
  <c r="G554" i="27"/>
  <c r="F554" i="27"/>
  <c r="I553" i="27"/>
  <c r="B553" i="36" l="1"/>
  <c r="A554" i="36"/>
  <c r="B553" i="33"/>
  <c r="A554" i="33"/>
  <c r="B553" i="34"/>
  <c r="A554" i="34"/>
  <c r="B553" i="35"/>
  <c r="A554" i="35"/>
  <c r="F555" i="27"/>
  <c r="G555" i="27"/>
  <c r="I555" i="16"/>
  <c r="A558" i="16"/>
  <c r="B557" i="16"/>
  <c r="D557" i="16" a="1"/>
  <c r="D557" i="16" s="1"/>
  <c r="E557" i="16" s="1"/>
  <c r="I554" i="27"/>
  <c r="C504" i="16"/>
  <c r="H503" i="16"/>
  <c r="C504" i="17"/>
  <c r="H503" i="17"/>
  <c r="B556" i="27"/>
  <c r="A557" i="27"/>
  <c r="D556" i="27" a="1"/>
  <c r="D556" i="27" s="1"/>
  <c r="E556" i="27" s="1"/>
  <c r="C504" i="27"/>
  <c r="H503" i="27"/>
  <c r="F556" i="16"/>
  <c r="G556" i="16"/>
  <c r="C504" i="28"/>
  <c r="H503" i="28"/>
  <c r="B554" i="35" l="1"/>
  <c r="A555" i="35"/>
  <c r="B554" i="36"/>
  <c r="A555" i="36"/>
  <c r="B554" i="34"/>
  <c r="A555" i="34"/>
  <c r="B554" i="33"/>
  <c r="A555" i="33"/>
  <c r="F556" i="27"/>
  <c r="G556" i="27"/>
  <c r="C505" i="17"/>
  <c r="H504" i="17"/>
  <c r="G557" i="16"/>
  <c r="F557" i="16"/>
  <c r="I556" i="16"/>
  <c r="A558" i="27"/>
  <c r="B557" i="27"/>
  <c r="D557" i="27" a="1"/>
  <c r="D557" i="27" s="1"/>
  <c r="E557" i="27" s="1"/>
  <c r="I555" i="27"/>
  <c r="C505" i="16"/>
  <c r="H504" i="16"/>
  <c r="C505" i="28"/>
  <c r="H504" i="28"/>
  <c r="C505" i="27"/>
  <c r="H504" i="27"/>
  <c r="A559" i="16"/>
  <c r="B558" i="16"/>
  <c r="D558" i="16" a="1"/>
  <c r="D558" i="16" s="1"/>
  <c r="E558" i="16" s="1"/>
  <c r="B555" i="33" l="1"/>
  <c r="A556" i="33"/>
  <c r="B555" i="36"/>
  <c r="A556" i="36"/>
  <c r="B555" i="35"/>
  <c r="A556" i="35"/>
  <c r="B555" i="34"/>
  <c r="A556" i="34"/>
  <c r="I557" i="16"/>
  <c r="A560" i="16"/>
  <c r="B559" i="16"/>
  <c r="D559" i="16" a="1"/>
  <c r="D559" i="16" s="1"/>
  <c r="E559" i="16" s="1"/>
  <c r="C506" i="28"/>
  <c r="H505" i="28"/>
  <c r="G557" i="27"/>
  <c r="F557" i="27"/>
  <c r="C506" i="17"/>
  <c r="H505" i="17"/>
  <c r="I556" i="27"/>
  <c r="F558" i="16"/>
  <c r="G558" i="16"/>
  <c r="C506" i="27"/>
  <c r="H505" i="27"/>
  <c r="C506" i="16"/>
  <c r="H505" i="16"/>
  <c r="B558" i="27"/>
  <c r="A559" i="27"/>
  <c r="D558" i="27" a="1"/>
  <c r="D558" i="27" s="1"/>
  <c r="E558" i="27" s="1"/>
  <c r="B556" i="36" l="1"/>
  <c r="A557" i="36"/>
  <c r="B556" i="34"/>
  <c r="A557" i="34"/>
  <c r="B556" i="35"/>
  <c r="A557" i="35"/>
  <c r="B556" i="33"/>
  <c r="A557" i="33"/>
  <c r="A560" i="27"/>
  <c r="B559" i="27"/>
  <c r="D559" i="27" a="1"/>
  <c r="D559" i="27" s="1"/>
  <c r="E559" i="27" s="1"/>
  <c r="C507" i="27"/>
  <c r="H506" i="27"/>
  <c r="I557" i="27"/>
  <c r="I558" i="16"/>
  <c r="B560" i="16"/>
  <c r="A561" i="16"/>
  <c r="D560" i="16" a="1"/>
  <c r="D560" i="16" s="1"/>
  <c r="E560" i="16" s="1"/>
  <c r="F558" i="27"/>
  <c r="G558" i="27"/>
  <c r="C507" i="16"/>
  <c r="H506" i="16"/>
  <c r="C507" i="17"/>
  <c r="H506" i="17"/>
  <c r="C507" i="28"/>
  <c r="H506" i="28"/>
  <c r="G559" i="16"/>
  <c r="F559" i="16"/>
  <c r="B557" i="34" l="1"/>
  <c r="A558" i="34"/>
  <c r="B557" i="33"/>
  <c r="A558" i="33"/>
  <c r="B557" i="35"/>
  <c r="A558" i="35"/>
  <c r="B557" i="36"/>
  <c r="A558" i="36"/>
  <c r="F560" i="16"/>
  <c r="G560" i="16"/>
  <c r="C508" i="27"/>
  <c r="H507" i="27"/>
  <c r="G559" i="27"/>
  <c r="F559" i="27"/>
  <c r="C508" i="28"/>
  <c r="H507" i="28"/>
  <c r="A562" i="16"/>
  <c r="B561" i="16"/>
  <c r="D561" i="16" a="1"/>
  <c r="D561" i="16" s="1"/>
  <c r="E561" i="16" s="1"/>
  <c r="C508" i="16"/>
  <c r="H507" i="16"/>
  <c r="I558" i="27"/>
  <c r="I559" i="16"/>
  <c r="C508" i="17"/>
  <c r="H507" i="17"/>
  <c r="B560" i="27"/>
  <c r="A561" i="27"/>
  <c r="D560" i="27" a="1"/>
  <c r="D560" i="27" s="1"/>
  <c r="E560" i="27" s="1"/>
  <c r="B558" i="35" l="1"/>
  <c r="A559" i="35"/>
  <c r="B558" i="34"/>
  <c r="A559" i="34"/>
  <c r="B558" i="36"/>
  <c r="A559" i="36"/>
  <c r="B558" i="33"/>
  <c r="A559" i="33"/>
  <c r="C509" i="16"/>
  <c r="H508" i="16"/>
  <c r="G561" i="16"/>
  <c r="F561" i="16"/>
  <c r="C509" i="28"/>
  <c r="H508" i="28"/>
  <c r="C509" i="27"/>
  <c r="H508" i="27"/>
  <c r="F560" i="27"/>
  <c r="G560" i="27"/>
  <c r="I560" i="16"/>
  <c r="C509" i="17"/>
  <c r="H508" i="17"/>
  <c r="A562" i="27"/>
  <c r="B561" i="27"/>
  <c r="D561" i="27" a="1"/>
  <c r="D561" i="27" s="1"/>
  <c r="E561" i="27" s="1"/>
  <c r="A563" i="16"/>
  <c r="B562" i="16"/>
  <c r="D562" i="16" a="1"/>
  <c r="D562" i="16" s="1"/>
  <c r="E562" i="16" s="1"/>
  <c r="I559" i="27"/>
  <c r="B559" i="34" l="1"/>
  <c r="A560" i="34"/>
  <c r="B559" i="36"/>
  <c r="A560" i="36"/>
  <c r="B559" i="33"/>
  <c r="A560" i="33"/>
  <c r="B559" i="35"/>
  <c r="A560" i="35"/>
  <c r="G562" i="16"/>
  <c r="F562" i="16"/>
  <c r="A563" i="27"/>
  <c r="B562" i="27"/>
  <c r="D562" i="27" a="1"/>
  <c r="D562" i="27" s="1"/>
  <c r="E562" i="27" s="1"/>
  <c r="C510" i="27"/>
  <c r="H509" i="27"/>
  <c r="I561" i="16"/>
  <c r="K58" i="16"/>
  <c r="L63" i="17" s="1"/>
  <c r="A564" i="16"/>
  <c r="B563" i="16"/>
  <c r="D563" i="16" a="1"/>
  <c r="D563" i="16" s="1"/>
  <c r="E563" i="16" s="1"/>
  <c r="I560" i="27"/>
  <c r="F561" i="27"/>
  <c r="G561" i="27"/>
  <c r="C510" i="17"/>
  <c r="H509" i="17"/>
  <c r="C510" i="28"/>
  <c r="H509" i="28"/>
  <c r="C510" i="16"/>
  <c r="H509" i="16"/>
  <c r="B560" i="35" l="1"/>
  <c r="A561" i="35"/>
  <c r="B560" i="36"/>
  <c r="A561" i="36"/>
  <c r="B560" i="33"/>
  <c r="A561" i="33"/>
  <c r="B560" i="34"/>
  <c r="A561" i="34"/>
  <c r="G563" i="16"/>
  <c r="F563" i="16"/>
  <c r="C511" i="28"/>
  <c r="H510" i="28"/>
  <c r="I561" i="27"/>
  <c r="K58" i="27"/>
  <c r="N63" i="17" s="1"/>
  <c r="E68" i="9" s="1"/>
  <c r="F68" i="9" s="1"/>
  <c r="B564" i="16"/>
  <c r="A565" i="16"/>
  <c r="D564" i="16" a="1"/>
  <c r="D564" i="16" s="1"/>
  <c r="E564" i="16" s="1"/>
  <c r="A564" i="27"/>
  <c r="B563" i="27"/>
  <c r="D563" i="27" a="1"/>
  <c r="D563" i="27" s="1"/>
  <c r="E563" i="27" s="1"/>
  <c r="C511" i="16"/>
  <c r="H510" i="16"/>
  <c r="C511" i="17"/>
  <c r="H510" i="17"/>
  <c r="C511" i="27"/>
  <c r="H510" i="27"/>
  <c r="F562" i="27"/>
  <c r="G562" i="27"/>
  <c r="I562" i="16"/>
  <c r="O63" i="17" l="1"/>
  <c r="B561" i="35"/>
  <c r="A562" i="35"/>
  <c r="B561" i="33"/>
  <c r="A562" i="33"/>
  <c r="B561" i="34"/>
  <c r="A562" i="34"/>
  <c r="B561" i="36"/>
  <c r="A562" i="36"/>
  <c r="I562" i="27"/>
  <c r="C512" i="16"/>
  <c r="H511" i="16"/>
  <c r="C512" i="17"/>
  <c r="H511" i="17"/>
  <c r="D68" i="9"/>
  <c r="C512" i="27"/>
  <c r="H511" i="27"/>
  <c r="A565" i="27"/>
  <c r="B564" i="27"/>
  <c r="D564" i="27" a="1"/>
  <c r="D564" i="27" s="1"/>
  <c r="E564" i="27" s="1"/>
  <c r="C512" i="28"/>
  <c r="H511" i="28"/>
  <c r="F564" i="16"/>
  <c r="G564" i="16"/>
  <c r="F563" i="27"/>
  <c r="G563" i="27"/>
  <c r="A566" i="16"/>
  <c r="B565" i="16"/>
  <c r="D565" i="16" a="1"/>
  <c r="D565" i="16" s="1"/>
  <c r="E565" i="16" s="1"/>
  <c r="I563" i="16"/>
  <c r="B562" i="36" l="1"/>
  <c r="A563" i="36"/>
  <c r="B562" i="35"/>
  <c r="A563" i="35"/>
  <c r="B562" i="34"/>
  <c r="A563" i="34"/>
  <c r="B562" i="33"/>
  <c r="A563" i="33"/>
  <c r="B566" i="16"/>
  <c r="A567" i="16"/>
  <c r="D566" i="16" a="1"/>
  <c r="D566" i="16" s="1"/>
  <c r="E566" i="16" s="1"/>
  <c r="I563" i="27"/>
  <c r="A566" i="27"/>
  <c r="B565" i="27"/>
  <c r="D565" i="27" a="1"/>
  <c r="D565" i="27" s="1"/>
  <c r="E565" i="27" s="1"/>
  <c r="F565" i="16"/>
  <c r="G565" i="16"/>
  <c r="C513" i="28"/>
  <c r="H512" i="28"/>
  <c r="C513" i="16"/>
  <c r="H512" i="16"/>
  <c r="G564" i="27"/>
  <c r="F564" i="27"/>
  <c r="C513" i="27"/>
  <c r="H512" i="27"/>
  <c r="I564" i="16"/>
  <c r="C513" i="17"/>
  <c r="H512" i="17"/>
  <c r="B563" i="34" l="1"/>
  <c r="A564" i="34"/>
  <c r="B563" i="35"/>
  <c r="A564" i="35"/>
  <c r="B563" i="33"/>
  <c r="A564" i="33"/>
  <c r="B563" i="36"/>
  <c r="A564" i="36"/>
  <c r="F565" i="27"/>
  <c r="G565" i="27"/>
  <c r="F566" i="16"/>
  <c r="G566" i="16"/>
  <c r="I565" i="16"/>
  <c r="C514" i="27"/>
  <c r="H513" i="27"/>
  <c r="A567" i="27"/>
  <c r="B566" i="27"/>
  <c r="D566" i="27" a="1"/>
  <c r="D566" i="27" s="1"/>
  <c r="E566" i="27" s="1"/>
  <c r="A568" i="16"/>
  <c r="B567" i="16"/>
  <c r="D567" i="16" a="1"/>
  <c r="D567" i="16" s="1"/>
  <c r="E567" i="16" s="1"/>
  <c r="C514" i="17"/>
  <c r="H513" i="17"/>
  <c r="C514" i="16"/>
  <c r="H513" i="16"/>
  <c r="I564" i="27"/>
  <c r="C514" i="28"/>
  <c r="H513" i="28"/>
  <c r="B564" i="34" l="1"/>
  <c r="A565" i="34"/>
  <c r="B564" i="33"/>
  <c r="A565" i="33"/>
  <c r="B564" i="36"/>
  <c r="A565" i="36"/>
  <c r="B564" i="35"/>
  <c r="A565" i="35"/>
  <c r="F567" i="16"/>
  <c r="G567" i="16"/>
  <c r="C515" i="28"/>
  <c r="H514" i="28"/>
  <c r="C515" i="16"/>
  <c r="H514" i="16"/>
  <c r="A568" i="27"/>
  <c r="B567" i="27"/>
  <c r="D567" i="27" a="1"/>
  <c r="D567" i="27" s="1"/>
  <c r="E567" i="27" s="1"/>
  <c r="B568" i="16"/>
  <c r="A569" i="16"/>
  <c r="D568" i="16" a="1"/>
  <c r="D568" i="16" s="1"/>
  <c r="E568" i="16" s="1"/>
  <c r="I566" i="16"/>
  <c r="G566" i="27"/>
  <c r="F566" i="27"/>
  <c r="C515" i="27"/>
  <c r="H514" i="27"/>
  <c r="C515" i="17"/>
  <c r="H514" i="17"/>
  <c r="I565" i="27"/>
  <c r="B565" i="36" l="1"/>
  <c r="A566" i="36"/>
  <c r="B565" i="33"/>
  <c r="A566" i="33"/>
  <c r="B565" i="35"/>
  <c r="A566" i="35"/>
  <c r="B565" i="34"/>
  <c r="A566" i="34"/>
  <c r="F568" i="16"/>
  <c r="G568" i="16"/>
  <c r="C516" i="27"/>
  <c r="H515" i="27"/>
  <c r="C516" i="17"/>
  <c r="H515" i="17"/>
  <c r="I566" i="27"/>
  <c r="B569" i="16"/>
  <c r="A570" i="16"/>
  <c r="D569" i="16" a="1"/>
  <c r="D569" i="16" s="1"/>
  <c r="E569" i="16" s="1"/>
  <c r="A569" i="27"/>
  <c r="B568" i="27"/>
  <c r="D568" i="27" a="1"/>
  <c r="D568" i="27" s="1"/>
  <c r="E568" i="27" s="1"/>
  <c r="C516" i="28"/>
  <c r="H515" i="28"/>
  <c r="I567" i="16"/>
  <c r="F567" i="27"/>
  <c r="G567" i="27"/>
  <c r="C516" i="16"/>
  <c r="H515" i="16"/>
  <c r="B566" i="34" l="1"/>
  <c r="A567" i="34"/>
  <c r="B566" i="36"/>
  <c r="A567" i="36"/>
  <c r="B566" i="35"/>
  <c r="A567" i="35"/>
  <c r="B566" i="33"/>
  <c r="A567" i="33"/>
  <c r="C517" i="28"/>
  <c r="H516" i="28"/>
  <c r="I567" i="27"/>
  <c r="A570" i="27"/>
  <c r="B569" i="27"/>
  <c r="D569" i="27" a="1"/>
  <c r="D569" i="27" s="1"/>
  <c r="E569" i="27" s="1"/>
  <c r="F569" i="16"/>
  <c r="G569" i="16"/>
  <c r="C517" i="27"/>
  <c r="H516" i="27"/>
  <c r="G568" i="27"/>
  <c r="F568" i="27"/>
  <c r="A571" i="16"/>
  <c r="B570" i="16"/>
  <c r="D570" i="16" a="1"/>
  <c r="D570" i="16" s="1"/>
  <c r="E570" i="16" s="1"/>
  <c r="I568" i="16"/>
  <c r="C517" i="16"/>
  <c r="H516" i="16"/>
  <c r="C517" i="17"/>
  <c r="H516" i="17"/>
  <c r="B567" i="33" l="1"/>
  <c r="A568" i="33"/>
  <c r="B567" i="34"/>
  <c r="A568" i="34"/>
  <c r="B567" i="36"/>
  <c r="A568" i="36"/>
  <c r="B567" i="35"/>
  <c r="A568" i="35"/>
  <c r="G570" i="16"/>
  <c r="F570" i="16"/>
  <c r="I568" i="27"/>
  <c r="C518" i="16"/>
  <c r="H517" i="16"/>
  <c r="C518" i="27"/>
  <c r="H517" i="27"/>
  <c r="F569" i="27"/>
  <c r="G569" i="27"/>
  <c r="A572" i="16"/>
  <c r="B571" i="16"/>
  <c r="D571" i="16" a="1"/>
  <c r="D571" i="16" s="1"/>
  <c r="E571" i="16" s="1"/>
  <c r="C518" i="17"/>
  <c r="H517" i="17"/>
  <c r="I569" i="16"/>
  <c r="A571" i="27"/>
  <c r="B570" i="27"/>
  <c r="D570" i="27" a="1"/>
  <c r="D570" i="27" s="1"/>
  <c r="E570" i="27" s="1"/>
  <c r="C518" i="28"/>
  <c r="H517" i="28"/>
  <c r="B568" i="35" l="1"/>
  <c r="A569" i="35"/>
  <c r="B568" i="34"/>
  <c r="A569" i="34"/>
  <c r="B568" i="36"/>
  <c r="A569" i="36"/>
  <c r="B568" i="33"/>
  <c r="A569" i="33"/>
  <c r="G570" i="27"/>
  <c r="F570" i="27"/>
  <c r="C519" i="28"/>
  <c r="H518" i="28"/>
  <c r="B572" i="16"/>
  <c r="A573" i="16"/>
  <c r="D572" i="16" a="1"/>
  <c r="D572" i="16" s="1"/>
  <c r="E572" i="16" s="1"/>
  <c r="C519" i="27"/>
  <c r="H518" i="27"/>
  <c r="A572" i="27"/>
  <c r="B571" i="27"/>
  <c r="D571" i="27" a="1"/>
  <c r="D571" i="27" s="1"/>
  <c r="E571" i="27" s="1"/>
  <c r="C519" i="17"/>
  <c r="H518" i="17"/>
  <c r="I569" i="27"/>
  <c r="F571" i="16"/>
  <c r="G571" i="16"/>
  <c r="C519" i="16"/>
  <c r="H518" i="16"/>
  <c r="I570" i="16"/>
  <c r="B569" i="34" l="1"/>
  <c r="A570" i="34"/>
  <c r="B569" i="33"/>
  <c r="A570" i="33"/>
  <c r="B569" i="36"/>
  <c r="A570" i="36"/>
  <c r="B569" i="35"/>
  <c r="A570" i="35"/>
  <c r="G571" i="27"/>
  <c r="F571" i="27"/>
  <c r="C520" i="27"/>
  <c r="H519" i="27"/>
  <c r="F572" i="16"/>
  <c r="G572" i="16"/>
  <c r="C520" i="28"/>
  <c r="H519" i="28"/>
  <c r="I571" i="16"/>
  <c r="K59" i="16"/>
  <c r="L64" i="17" s="1"/>
  <c r="A573" i="27"/>
  <c r="B572" i="27"/>
  <c r="D572" i="27" a="1"/>
  <c r="D572" i="27" s="1"/>
  <c r="E572" i="27" s="1"/>
  <c r="A574" i="16"/>
  <c r="B573" i="16"/>
  <c r="D573" i="16" a="1"/>
  <c r="D573" i="16" s="1"/>
  <c r="E573" i="16" s="1"/>
  <c r="C520" i="16"/>
  <c r="H519" i="16"/>
  <c r="C520" i="17"/>
  <c r="H519" i="17"/>
  <c r="I570" i="27"/>
  <c r="B570" i="33" l="1"/>
  <c r="A571" i="33"/>
  <c r="B570" i="35"/>
  <c r="A571" i="35"/>
  <c r="B570" i="36"/>
  <c r="A571" i="36"/>
  <c r="B570" i="34"/>
  <c r="A571" i="34"/>
  <c r="G573" i="16"/>
  <c r="F573" i="16"/>
  <c r="C521" i="17"/>
  <c r="H520" i="17"/>
  <c r="A574" i="27"/>
  <c r="B573" i="27"/>
  <c r="D573" i="27" a="1"/>
  <c r="D573" i="27" s="1"/>
  <c r="E573" i="27" s="1"/>
  <c r="C521" i="16"/>
  <c r="H520" i="16"/>
  <c r="B574" i="16"/>
  <c r="A575" i="16"/>
  <c r="D574" i="16" a="1"/>
  <c r="D574" i="16" s="1"/>
  <c r="E574" i="16" s="1"/>
  <c r="C521" i="28"/>
  <c r="H520" i="28"/>
  <c r="C521" i="27"/>
  <c r="H520" i="27"/>
  <c r="F572" i="27"/>
  <c r="G572" i="27"/>
  <c r="I572" i="16"/>
  <c r="I571" i="27"/>
  <c r="K59" i="27"/>
  <c r="N64" i="17" s="1"/>
  <c r="E69" i="9" s="1"/>
  <c r="F69" i="9" s="1"/>
  <c r="O64" i="17" l="1"/>
  <c r="B571" i="33"/>
  <c r="A572" i="33"/>
  <c r="B571" i="34"/>
  <c r="A572" i="34"/>
  <c r="B571" i="36"/>
  <c r="A572" i="36"/>
  <c r="B571" i="35"/>
  <c r="A572" i="35"/>
  <c r="D69" i="9"/>
  <c r="F574" i="16"/>
  <c r="G574" i="16"/>
  <c r="C522" i="16"/>
  <c r="H521" i="16"/>
  <c r="F573" i="27"/>
  <c r="G573" i="27"/>
  <c r="C522" i="17"/>
  <c r="H521" i="17"/>
  <c r="I572" i="27"/>
  <c r="C522" i="27"/>
  <c r="H521" i="27"/>
  <c r="A576" i="16"/>
  <c r="B575" i="16"/>
  <c r="D575" i="16" a="1"/>
  <c r="D575" i="16" s="1"/>
  <c r="E575" i="16" s="1"/>
  <c r="C522" i="28"/>
  <c r="H521" i="28"/>
  <c r="A575" i="27"/>
  <c r="B574" i="27"/>
  <c r="D574" i="27" a="1"/>
  <c r="D574" i="27" s="1"/>
  <c r="E574" i="27" s="1"/>
  <c r="I573" i="16"/>
  <c r="B572" i="35" l="1"/>
  <c r="A573" i="35"/>
  <c r="B572" i="33"/>
  <c r="A573" i="33"/>
  <c r="B572" i="36"/>
  <c r="A573" i="36"/>
  <c r="B572" i="34"/>
  <c r="A573" i="34"/>
  <c r="A576" i="27"/>
  <c r="B575" i="27"/>
  <c r="D575" i="27" a="1"/>
  <c r="D575" i="27" s="1"/>
  <c r="E575" i="27" s="1"/>
  <c r="I573" i="27"/>
  <c r="A577" i="16"/>
  <c r="B576" i="16"/>
  <c r="D576" i="16" a="1"/>
  <c r="D576" i="16" s="1"/>
  <c r="E576" i="16" s="1"/>
  <c r="C523" i="28"/>
  <c r="H522" i="28"/>
  <c r="F575" i="16"/>
  <c r="G575" i="16"/>
  <c r="C523" i="27"/>
  <c r="H522" i="27"/>
  <c r="C523" i="17"/>
  <c r="H522" i="17"/>
  <c r="C523" i="16"/>
  <c r="H522" i="16"/>
  <c r="F574" i="27"/>
  <c r="G574" i="27"/>
  <c r="I574" i="16"/>
  <c r="B573" i="36" l="1"/>
  <c r="A574" i="36"/>
  <c r="B573" i="34"/>
  <c r="A574" i="34"/>
  <c r="B573" i="33"/>
  <c r="A574" i="33"/>
  <c r="B573" i="35"/>
  <c r="A574" i="35"/>
  <c r="G576" i="16"/>
  <c r="F576" i="16"/>
  <c r="F575" i="27"/>
  <c r="G575" i="27"/>
  <c r="C524" i="16"/>
  <c r="H523" i="16"/>
  <c r="C524" i="27"/>
  <c r="H523" i="27"/>
  <c r="I574" i="27"/>
  <c r="I575" i="16"/>
  <c r="A578" i="16"/>
  <c r="B577" i="16"/>
  <c r="D577" i="16" a="1"/>
  <c r="D577" i="16" s="1"/>
  <c r="E577" i="16" s="1"/>
  <c r="C524" i="17"/>
  <c r="H523" i="17"/>
  <c r="C524" i="28"/>
  <c r="H523" i="28"/>
  <c r="B576" i="27"/>
  <c r="A577" i="27"/>
  <c r="D576" i="27" a="1"/>
  <c r="D576" i="27" s="1"/>
  <c r="E576" i="27" s="1"/>
  <c r="B574" i="34" l="1"/>
  <c r="A575" i="34"/>
  <c r="B574" i="36"/>
  <c r="A575" i="36"/>
  <c r="B574" i="35"/>
  <c r="A575" i="35"/>
  <c r="B574" i="33"/>
  <c r="A575" i="33"/>
  <c r="C525" i="17"/>
  <c r="H524" i="17"/>
  <c r="I575" i="27"/>
  <c r="F577" i="16"/>
  <c r="G577" i="16"/>
  <c r="C525" i="27"/>
  <c r="H524" i="27"/>
  <c r="G576" i="27"/>
  <c r="F576" i="27"/>
  <c r="C525" i="28"/>
  <c r="H524" i="28"/>
  <c r="A578" i="27"/>
  <c r="B577" i="27"/>
  <c r="D577" i="27" a="1"/>
  <c r="D577" i="27" s="1"/>
  <c r="E577" i="27" s="1"/>
  <c r="A579" i="16"/>
  <c r="B578" i="16"/>
  <c r="D578" i="16" a="1"/>
  <c r="D578" i="16" s="1"/>
  <c r="E578" i="16" s="1"/>
  <c r="C525" i="16"/>
  <c r="H524" i="16"/>
  <c r="I576" i="16"/>
  <c r="B575" i="36" l="1"/>
  <c r="A576" i="36"/>
  <c r="B575" i="35"/>
  <c r="A576" i="35"/>
  <c r="B575" i="33"/>
  <c r="A576" i="33"/>
  <c r="B575" i="34"/>
  <c r="A576" i="34"/>
  <c r="F578" i="16"/>
  <c r="G578" i="16"/>
  <c r="B578" i="27"/>
  <c r="A579" i="27"/>
  <c r="D578" i="27" a="1"/>
  <c r="D578" i="27" s="1"/>
  <c r="E578" i="27" s="1"/>
  <c r="A580" i="16"/>
  <c r="B579" i="16"/>
  <c r="D579" i="16" a="1"/>
  <c r="D579" i="16" s="1"/>
  <c r="E579" i="16" s="1"/>
  <c r="F577" i="27"/>
  <c r="G577" i="27"/>
  <c r="C526" i="28"/>
  <c r="H525" i="28"/>
  <c r="C526" i="27"/>
  <c r="H525" i="27"/>
  <c r="C526" i="16"/>
  <c r="H525" i="16"/>
  <c r="I577" i="16"/>
  <c r="I576" i="27"/>
  <c r="C526" i="17"/>
  <c r="H525" i="17"/>
  <c r="B576" i="36" l="1"/>
  <c r="A577" i="36"/>
  <c r="B576" i="34"/>
  <c r="A577" i="34"/>
  <c r="B576" i="33"/>
  <c r="A577" i="33"/>
  <c r="B576" i="35"/>
  <c r="A577" i="35"/>
  <c r="F579" i="16"/>
  <c r="G579" i="16"/>
  <c r="A580" i="27"/>
  <c r="B579" i="27"/>
  <c r="D579" i="27" a="1"/>
  <c r="D579" i="27" s="1"/>
  <c r="E579" i="27" s="1"/>
  <c r="C527" i="16"/>
  <c r="H526" i="16"/>
  <c r="C527" i="28"/>
  <c r="H526" i="28"/>
  <c r="C527" i="17"/>
  <c r="H526" i="17"/>
  <c r="C527" i="27"/>
  <c r="H526" i="27"/>
  <c r="I577" i="27"/>
  <c r="A581" i="16"/>
  <c r="B580" i="16"/>
  <c r="D580" i="16" a="1"/>
  <c r="D580" i="16" s="1"/>
  <c r="E580" i="16" s="1"/>
  <c r="I578" i="16"/>
  <c r="G578" i="27"/>
  <c r="F578" i="27"/>
  <c r="B577" i="34" l="1"/>
  <c r="A578" i="34"/>
  <c r="B577" i="36"/>
  <c r="A578" i="36"/>
  <c r="B577" i="33"/>
  <c r="A578" i="33"/>
  <c r="B577" i="35"/>
  <c r="A578" i="35"/>
  <c r="I578" i="27"/>
  <c r="A582" i="16"/>
  <c r="B581" i="16"/>
  <c r="D581" i="16" a="1"/>
  <c r="D581" i="16" s="1"/>
  <c r="E581" i="16" s="1"/>
  <c r="C528" i="27"/>
  <c r="H527" i="27"/>
  <c r="C528" i="28"/>
  <c r="H527" i="28"/>
  <c r="B580" i="27"/>
  <c r="A581" i="27"/>
  <c r="D580" i="27" a="1"/>
  <c r="D580" i="27" s="1"/>
  <c r="E580" i="27" s="1"/>
  <c r="G580" i="16"/>
  <c r="F580" i="16"/>
  <c r="C528" i="17"/>
  <c r="H527" i="17"/>
  <c r="C528" i="16"/>
  <c r="H527" i="16"/>
  <c r="I579" i="16"/>
  <c r="G579" i="27"/>
  <c r="F579" i="27"/>
  <c r="B578" i="34" l="1"/>
  <c r="A579" i="34"/>
  <c r="B578" i="36"/>
  <c r="A579" i="36"/>
  <c r="B578" i="35"/>
  <c r="A579" i="35"/>
  <c r="B578" i="33"/>
  <c r="A579" i="33"/>
  <c r="F580" i="27"/>
  <c r="G580" i="27"/>
  <c r="C529" i="28"/>
  <c r="H528" i="28"/>
  <c r="I579" i="27"/>
  <c r="C529" i="17"/>
  <c r="H528" i="17"/>
  <c r="A582" i="27"/>
  <c r="B581" i="27"/>
  <c r="D581" i="27" a="1"/>
  <c r="D581" i="27" s="1"/>
  <c r="E581" i="27" s="1"/>
  <c r="A583" i="16"/>
  <c r="B582" i="16"/>
  <c r="D582" i="16" a="1"/>
  <c r="D582" i="16" s="1"/>
  <c r="E582" i="16" s="1"/>
  <c r="C529" i="16"/>
  <c r="H528" i="16"/>
  <c r="I580" i="16"/>
  <c r="C529" i="27"/>
  <c r="H528" i="27"/>
  <c r="G581" i="16"/>
  <c r="F581" i="16"/>
  <c r="B579" i="33" l="1"/>
  <c r="A580" i="33"/>
  <c r="B579" i="35"/>
  <c r="A580" i="35"/>
  <c r="B579" i="36"/>
  <c r="A580" i="36"/>
  <c r="B579" i="34"/>
  <c r="A580" i="34"/>
  <c r="C530" i="27"/>
  <c r="H529" i="27"/>
  <c r="C530" i="16"/>
  <c r="H529" i="16"/>
  <c r="A584" i="16"/>
  <c r="B583" i="16"/>
  <c r="D583" i="16" a="1"/>
  <c r="D583" i="16" s="1"/>
  <c r="E583" i="16" s="1"/>
  <c r="G581" i="27"/>
  <c r="F581" i="27"/>
  <c r="C530" i="17"/>
  <c r="H529" i="17"/>
  <c r="C530" i="28"/>
  <c r="H529" i="28"/>
  <c r="I580" i="27"/>
  <c r="F582" i="16"/>
  <c r="G582" i="16"/>
  <c r="I581" i="16"/>
  <c r="K60" i="16"/>
  <c r="L65" i="17" s="1"/>
  <c r="B582" i="27"/>
  <c r="A583" i="27"/>
  <c r="D582" i="27" a="1"/>
  <c r="D582" i="27" s="1"/>
  <c r="E582" i="27" s="1"/>
  <c r="B580" i="34" l="1"/>
  <c r="A581" i="34"/>
  <c r="B580" i="35"/>
  <c r="A581" i="35"/>
  <c r="B580" i="36"/>
  <c r="A581" i="36"/>
  <c r="B580" i="33"/>
  <c r="A581" i="33"/>
  <c r="F582" i="27"/>
  <c r="G582" i="27"/>
  <c r="C531" i="28"/>
  <c r="H530" i="28"/>
  <c r="I581" i="27"/>
  <c r="K60" i="27"/>
  <c r="N65" i="17" s="1"/>
  <c r="E70" i="9" s="1"/>
  <c r="F70" i="9" s="1"/>
  <c r="G583" i="16"/>
  <c r="F583" i="16"/>
  <c r="C531" i="16"/>
  <c r="H530" i="16"/>
  <c r="A584" i="27"/>
  <c r="B583" i="27"/>
  <c r="D583" i="27" a="1"/>
  <c r="D583" i="27" s="1"/>
  <c r="E583" i="27" s="1"/>
  <c r="C531" i="17"/>
  <c r="H530" i="17"/>
  <c r="I582" i="16"/>
  <c r="B584" i="16"/>
  <c r="A585" i="16"/>
  <c r="D584" i="16" a="1"/>
  <c r="D584" i="16" s="1"/>
  <c r="E584" i="16" s="1"/>
  <c r="C531" i="27"/>
  <c r="H530" i="27"/>
  <c r="O65" i="17" l="1"/>
  <c r="B581" i="33"/>
  <c r="A582" i="33"/>
  <c r="B581" i="36"/>
  <c r="A582" i="36"/>
  <c r="B581" i="35"/>
  <c r="A582" i="35"/>
  <c r="B581" i="34"/>
  <c r="A582" i="34"/>
  <c r="D70" i="9"/>
  <c r="C532" i="27"/>
  <c r="H531" i="27"/>
  <c r="A586" i="16"/>
  <c r="B585" i="16"/>
  <c r="D585" i="16" a="1"/>
  <c r="D585" i="16" s="1"/>
  <c r="E585" i="16" s="1"/>
  <c r="A585" i="27"/>
  <c r="B584" i="27"/>
  <c r="D584" i="27" a="1"/>
  <c r="D584" i="27" s="1"/>
  <c r="E584" i="27" s="1"/>
  <c r="I583" i="16"/>
  <c r="C532" i="17"/>
  <c r="H531" i="17"/>
  <c r="C532" i="28"/>
  <c r="H531" i="28"/>
  <c r="F583" i="27"/>
  <c r="G583" i="27"/>
  <c r="C532" i="16"/>
  <c r="H531" i="16"/>
  <c r="G584" i="16"/>
  <c r="F584" i="16"/>
  <c r="I582" i="27"/>
  <c r="B582" i="34" l="1"/>
  <c r="A583" i="34"/>
  <c r="B582" i="35"/>
  <c r="A583" i="35"/>
  <c r="B582" i="33"/>
  <c r="A583" i="33"/>
  <c r="B582" i="36"/>
  <c r="A583" i="36"/>
  <c r="G585" i="16"/>
  <c r="F585" i="16"/>
  <c r="C533" i="27"/>
  <c r="H532" i="27"/>
  <c r="F584" i="27"/>
  <c r="G584" i="27"/>
  <c r="C533" i="16"/>
  <c r="H532" i="16"/>
  <c r="C533" i="17"/>
  <c r="H532" i="17"/>
  <c r="B586" i="16"/>
  <c r="A587" i="16"/>
  <c r="D586" i="16" a="1"/>
  <c r="D586" i="16" s="1"/>
  <c r="E586" i="16" s="1"/>
  <c r="C533" i="28"/>
  <c r="H532" i="28"/>
  <c r="I583" i="27"/>
  <c r="I584" i="16"/>
  <c r="A586" i="27"/>
  <c r="B585" i="27"/>
  <c r="D585" i="27" a="1"/>
  <c r="D585" i="27" s="1"/>
  <c r="E585" i="27" s="1"/>
  <c r="B583" i="34" l="1"/>
  <c r="A584" i="34"/>
  <c r="B583" i="35"/>
  <c r="A584" i="35"/>
  <c r="B583" i="36"/>
  <c r="A584" i="36"/>
  <c r="B583" i="33"/>
  <c r="A584" i="33"/>
  <c r="F586" i="16"/>
  <c r="G586" i="16"/>
  <c r="A587" i="27"/>
  <c r="B586" i="27"/>
  <c r="D586" i="27" a="1"/>
  <c r="D586" i="27" s="1"/>
  <c r="E586" i="27" s="1"/>
  <c r="A588" i="16"/>
  <c r="B587" i="16"/>
  <c r="D587" i="16" a="1"/>
  <c r="D587" i="16" s="1"/>
  <c r="E587" i="16" s="1"/>
  <c r="C534" i="16"/>
  <c r="H533" i="16"/>
  <c r="C534" i="27"/>
  <c r="H533" i="27"/>
  <c r="G585" i="27"/>
  <c r="F585" i="27"/>
  <c r="C534" i="28"/>
  <c r="H533" i="28"/>
  <c r="I584" i="27"/>
  <c r="C534" i="17"/>
  <c r="H533" i="17"/>
  <c r="I585" i="16"/>
  <c r="B584" i="33" l="1"/>
  <c r="A585" i="33"/>
  <c r="B584" i="36"/>
  <c r="A585" i="36"/>
  <c r="B584" i="35"/>
  <c r="A585" i="35"/>
  <c r="B584" i="34"/>
  <c r="A585" i="34"/>
  <c r="G587" i="16"/>
  <c r="F587" i="16"/>
  <c r="C535" i="16"/>
  <c r="H534" i="16"/>
  <c r="C535" i="17"/>
  <c r="H534" i="17"/>
  <c r="A588" i="27"/>
  <c r="B587" i="27"/>
  <c r="D587" i="27" a="1"/>
  <c r="D587" i="27" s="1"/>
  <c r="E587" i="27" s="1"/>
  <c r="I585" i="27"/>
  <c r="C535" i="28"/>
  <c r="H534" i="28"/>
  <c r="C535" i="27"/>
  <c r="H534" i="27"/>
  <c r="B588" i="16"/>
  <c r="A589" i="16"/>
  <c r="D588" i="16" a="1"/>
  <c r="D588" i="16" s="1"/>
  <c r="E588" i="16" s="1"/>
  <c r="I586" i="16"/>
  <c r="F586" i="27"/>
  <c r="G586" i="27"/>
  <c r="B585" i="34" l="1"/>
  <c r="A586" i="34"/>
  <c r="B585" i="33"/>
  <c r="A586" i="33"/>
  <c r="B585" i="36"/>
  <c r="A586" i="36"/>
  <c r="B585" i="35"/>
  <c r="A586" i="35"/>
  <c r="I586" i="27"/>
  <c r="C536" i="28"/>
  <c r="H535" i="28"/>
  <c r="A590" i="16"/>
  <c r="B589" i="16"/>
  <c r="D589" i="16" a="1"/>
  <c r="D589" i="16" s="1"/>
  <c r="E589" i="16" s="1"/>
  <c r="A589" i="27"/>
  <c r="B588" i="27"/>
  <c r="D588" i="27" a="1"/>
  <c r="D588" i="27" s="1"/>
  <c r="E588" i="27" s="1"/>
  <c r="C536" i="16"/>
  <c r="H535" i="16"/>
  <c r="F588" i="16"/>
  <c r="G588" i="16"/>
  <c r="C536" i="27"/>
  <c r="H535" i="27"/>
  <c r="G587" i="27"/>
  <c r="F587" i="27"/>
  <c r="C536" i="17"/>
  <c r="H535" i="17"/>
  <c r="I587" i="16"/>
  <c r="B586" i="34" l="1"/>
  <c r="A587" i="34"/>
  <c r="B586" i="33"/>
  <c r="A587" i="33"/>
  <c r="B586" i="36"/>
  <c r="A587" i="36"/>
  <c r="B586" i="35"/>
  <c r="A587" i="35"/>
  <c r="G588" i="27"/>
  <c r="F588" i="27"/>
  <c r="I587" i="27"/>
  <c r="A590" i="27"/>
  <c r="B589" i="27"/>
  <c r="D589" i="27" a="1"/>
  <c r="D589" i="27" s="1"/>
  <c r="E589" i="27" s="1"/>
  <c r="F589" i="16"/>
  <c r="G589" i="16"/>
  <c r="C537" i="28"/>
  <c r="H536" i="28"/>
  <c r="C537" i="27"/>
  <c r="H536" i="27"/>
  <c r="I588" i="16"/>
  <c r="C537" i="17"/>
  <c r="H536" i="17"/>
  <c r="C537" i="16"/>
  <c r="H536" i="16"/>
  <c r="B590" i="16"/>
  <c r="A591" i="16"/>
  <c r="D590" i="16" a="1"/>
  <c r="D590" i="16" s="1"/>
  <c r="E590" i="16" s="1"/>
  <c r="B587" i="36" l="1"/>
  <c r="A588" i="36"/>
  <c r="B587" i="34"/>
  <c r="A588" i="34"/>
  <c r="B587" i="33"/>
  <c r="A588" i="33"/>
  <c r="B587" i="35"/>
  <c r="A588" i="35"/>
  <c r="G590" i="16"/>
  <c r="F590" i="16"/>
  <c r="C538" i="17"/>
  <c r="H537" i="17"/>
  <c r="C538" i="27"/>
  <c r="H537" i="27"/>
  <c r="G589" i="27"/>
  <c r="F589" i="27"/>
  <c r="C538" i="16"/>
  <c r="H537" i="16"/>
  <c r="C538" i="28"/>
  <c r="H537" i="28"/>
  <c r="A592" i="16"/>
  <c r="B591" i="16"/>
  <c r="D591" i="16" a="1"/>
  <c r="D591" i="16" s="1"/>
  <c r="E591" i="16" s="1"/>
  <c r="I589" i="16"/>
  <c r="A591" i="27"/>
  <c r="B590" i="27"/>
  <c r="D590" i="27" a="1"/>
  <c r="D590" i="27" s="1"/>
  <c r="E590" i="27" s="1"/>
  <c r="I588" i="27"/>
  <c r="B588" i="36" l="1"/>
  <c r="A589" i="36"/>
  <c r="B588" i="34"/>
  <c r="A589" i="34"/>
  <c r="B588" i="35"/>
  <c r="A589" i="35"/>
  <c r="B588" i="33"/>
  <c r="A589" i="33"/>
  <c r="G590" i="27"/>
  <c r="F590" i="27"/>
  <c r="F591" i="16"/>
  <c r="G591" i="16"/>
  <c r="C539" i="28"/>
  <c r="H538" i="28"/>
  <c r="I589" i="27"/>
  <c r="C539" i="17"/>
  <c r="H538" i="17"/>
  <c r="A592" i="27"/>
  <c r="B591" i="27"/>
  <c r="D591" i="27" a="1"/>
  <c r="D591" i="27" s="1"/>
  <c r="E591" i="27" s="1"/>
  <c r="B592" i="16"/>
  <c r="A593" i="16"/>
  <c r="D592" i="16" a="1"/>
  <c r="D592" i="16" s="1"/>
  <c r="E592" i="16" s="1"/>
  <c r="C539" i="16"/>
  <c r="H538" i="16"/>
  <c r="C539" i="27"/>
  <c r="H538" i="27"/>
  <c r="I590" i="16"/>
  <c r="B589" i="33" l="1"/>
  <c r="A590" i="33"/>
  <c r="B589" i="36"/>
  <c r="A590" i="36"/>
  <c r="B589" i="35"/>
  <c r="A590" i="35"/>
  <c r="B589" i="34"/>
  <c r="A590" i="34"/>
  <c r="F592" i="16"/>
  <c r="G592" i="16"/>
  <c r="K61" i="16"/>
  <c r="L66" i="17" s="1"/>
  <c r="I591" i="16"/>
  <c r="C540" i="16"/>
  <c r="H539" i="16"/>
  <c r="C540" i="27"/>
  <c r="H539" i="27"/>
  <c r="A594" i="16"/>
  <c r="B593" i="16"/>
  <c r="D593" i="16" a="1"/>
  <c r="D593" i="16" s="1"/>
  <c r="E593" i="16" s="1"/>
  <c r="A593" i="27"/>
  <c r="B592" i="27"/>
  <c r="D592" i="27" a="1"/>
  <c r="D592" i="27" s="1"/>
  <c r="E592" i="27" s="1"/>
  <c r="G591" i="27"/>
  <c r="F591" i="27"/>
  <c r="C540" i="17"/>
  <c r="H539" i="17"/>
  <c r="C540" i="28"/>
  <c r="H539" i="28"/>
  <c r="I590" i="27"/>
  <c r="B590" i="35" l="1"/>
  <c r="A591" i="35"/>
  <c r="B590" i="34"/>
  <c r="A591" i="34"/>
  <c r="B590" i="36"/>
  <c r="A591" i="36"/>
  <c r="B590" i="33"/>
  <c r="A591" i="33"/>
  <c r="F593" i="16"/>
  <c r="G593" i="16"/>
  <c r="C541" i="27"/>
  <c r="H540" i="27"/>
  <c r="K61" i="27"/>
  <c r="N66" i="17" s="1"/>
  <c r="E71" i="9" s="1"/>
  <c r="F71" i="9" s="1"/>
  <c r="I591" i="27"/>
  <c r="C541" i="28"/>
  <c r="H540" i="28"/>
  <c r="B594" i="16"/>
  <c r="A595" i="16"/>
  <c r="D594" i="16" a="1"/>
  <c r="D594" i="16" s="1"/>
  <c r="E594" i="16" s="1"/>
  <c r="C541" i="16"/>
  <c r="H540" i="16"/>
  <c r="I592" i="16"/>
  <c r="F592" i="27"/>
  <c r="G592" i="27"/>
  <c r="C541" i="17"/>
  <c r="H540" i="17"/>
  <c r="A594" i="27"/>
  <c r="B593" i="27"/>
  <c r="D593" i="27" a="1"/>
  <c r="D593" i="27" s="1"/>
  <c r="E593" i="27" s="1"/>
  <c r="O66" i="17" l="1"/>
  <c r="B591" i="33"/>
  <c r="A592" i="33"/>
  <c r="B591" i="34"/>
  <c r="A592" i="34"/>
  <c r="B591" i="36"/>
  <c r="A592" i="36"/>
  <c r="B591" i="35"/>
  <c r="A592" i="35"/>
  <c r="D71" i="9"/>
  <c r="G593" i="27"/>
  <c r="F593" i="27"/>
  <c r="C542" i="17"/>
  <c r="H541" i="17"/>
  <c r="A596" i="16"/>
  <c r="B595" i="16"/>
  <c r="D595" i="16" a="1"/>
  <c r="D595" i="16" s="1"/>
  <c r="E595" i="16" s="1"/>
  <c r="C542" i="27"/>
  <c r="H541" i="27"/>
  <c r="I592" i="27"/>
  <c r="B594" i="27"/>
  <c r="A595" i="27"/>
  <c r="D594" i="27" a="1"/>
  <c r="D594" i="27" s="1"/>
  <c r="E594" i="27" s="1"/>
  <c r="C542" i="16"/>
  <c r="H541" i="16"/>
  <c r="I593" i="16"/>
  <c r="G594" i="16"/>
  <c r="F594" i="16"/>
  <c r="C542" i="28"/>
  <c r="H541" i="28"/>
  <c r="B592" i="35" l="1"/>
  <c r="A593" i="35"/>
  <c r="B592" i="34"/>
  <c r="A593" i="34"/>
  <c r="B592" i="36"/>
  <c r="A593" i="36"/>
  <c r="B592" i="33"/>
  <c r="A593" i="33"/>
  <c r="F594" i="27"/>
  <c r="G594" i="27"/>
  <c r="C543" i="28"/>
  <c r="H542" i="28"/>
  <c r="A596" i="27"/>
  <c r="B595" i="27"/>
  <c r="D595" i="27" a="1"/>
  <c r="D595" i="27" s="1"/>
  <c r="E595" i="27" s="1"/>
  <c r="A597" i="16"/>
  <c r="B596" i="16"/>
  <c r="D596" i="16" a="1"/>
  <c r="D596" i="16" s="1"/>
  <c r="E596" i="16" s="1"/>
  <c r="I593" i="27"/>
  <c r="C543" i="27"/>
  <c r="H542" i="27"/>
  <c r="G595" i="16"/>
  <c r="F595" i="16"/>
  <c r="C543" i="17"/>
  <c r="H542" i="17"/>
  <c r="I594" i="16"/>
  <c r="C543" i="16"/>
  <c r="H542" i="16"/>
  <c r="B593" i="36" l="1"/>
  <c r="A594" i="36"/>
  <c r="B593" i="34"/>
  <c r="A594" i="34"/>
  <c r="B593" i="33"/>
  <c r="A594" i="33"/>
  <c r="B593" i="35"/>
  <c r="A594" i="35"/>
  <c r="C544" i="16"/>
  <c r="H543" i="16"/>
  <c r="I595" i="16"/>
  <c r="C544" i="27"/>
  <c r="H543" i="27"/>
  <c r="A598" i="16"/>
  <c r="B597" i="16"/>
  <c r="D597" i="16" a="1"/>
  <c r="D597" i="16" s="1"/>
  <c r="E597" i="16" s="1"/>
  <c r="F595" i="27"/>
  <c r="G595" i="27"/>
  <c r="C544" i="28"/>
  <c r="H543" i="28"/>
  <c r="F596" i="16"/>
  <c r="G596" i="16"/>
  <c r="I594" i="27"/>
  <c r="C544" i="17"/>
  <c r="H543" i="17"/>
  <c r="B596" i="27"/>
  <c r="A597" i="27"/>
  <c r="D596" i="27" a="1"/>
  <c r="D596" i="27" s="1"/>
  <c r="E596" i="27" s="1"/>
  <c r="B594" i="35" l="1"/>
  <c r="A595" i="35"/>
  <c r="B594" i="36"/>
  <c r="A595" i="36"/>
  <c r="B594" i="33"/>
  <c r="A595" i="33"/>
  <c r="B594" i="34"/>
  <c r="A595" i="34"/>
  <c r="A598" i="27"/>
  <c r="B597" i="27"/>
  <c r="D597" i="27" a="1"/>
  <c r="D597" i="27" s="1"/>
  <c r="E597" i="27" s="1"/>
  <c r="C545" i="28"/>
  <c r="H544" i="28"/>
  <c r="I596" i="16"/>
  <c r="I595" i="27"/>
  <c r="A599" i="16"/>
  <c r="B598" i="16"/>
  <c r="D598" i="16" a="1"/>
  <c r="D598" i="16" s="1"/>
  <c r="E598" i="16" s="1"/>
  <c r="G596" i="27"/>
  <c r="F596" i="27"/>
  <c r="C545" i="17"/>
  <c r="H544" i="17"/>
  <c r="F597" i="16"/>
  <c r="G597" i="16"/>
  <c r="C545" i="27"/>
  <c r="H544" i="27"/>
  <c r="C545" i="16"/>
  <c r="H544" i="16"/>
  <c r="B595" i="33" l="1"/>
  <c r="A596" i="33"/>
  <c r="B595" i="35"/>
  <c r="A596" i="35"/>
  <c r="B595" i="34"/>
  <c r="A596" i="34"/>
  <c r="B595" i="36"/>
  <c r="A596" i="36"/>
  <c r="G598" i="16"/>
  <c r="F598" i="16"/>
  <c r="C546" i="28"/>
  <c r="H545" i="28"/>
  <c r="F597" i="27"/>
  <c r="G597" i="27"/>
  <c r="C546" i="27"/>
  <c r="H545" i="27"/>
  <c r="C546" i="17"/>
  <c r="H545" i="17"/>
  <c r="I597" i="16"/>
  <c r="B599" i="16"/>
  <c r="A600" i="16"/>
  <c r="D599" i="16" a="1"/>
  <c r="D599" i="16" s="1"/>
  <c r="E599" i="16" s="1"/>
  <c r="C546" i="16"/>
  <c r="H545" i="16"/>
  <c r="I596" i="27"/>
  <c r="A599" i="27"/>
  <c r="B598" i="27"/>
  <c r="D598" i="27" a="1"/>
  <c r="D598" i="27" s="1"/>
  <c r="E598" i="27" s="1"/>
  <c r="B596" i="35" l="1"/>
  <c r="A597" i="35"/>
  <c r="B596" i="33"/>
  <c r="A597" i="33"/>
  <c r="B596" i="36"/>
  <c r="A597" i="36"/>
  <c r="B596" i="34"/>
  <c r="A597" i="34"/>
  <c r="A600" i="27"/>
  <c r="B599" i="27"/>
  <c r="D599" i="27" a="1"/>
  <c r="D599" i="27" s="1"/>
  <c r="E599" i="27" s="1"/>
  <c r="C547" i="16"/>
  <c r="H546" i="16"/>
  <c r="G599" i="16"/>
  <c r="F599" i="16"/>
  <c r="C547" i="27"/>
  <c r="H546" i="27"/>
  <c r="C547" i="28"/>
  <c r="H546" i="28"/>
  <c r="G598" i="27"/>
  <c r="F598" i="27"/>
  <c r="B600" i="16"/>
  <c r="A601" i="16"/>
  <c r="D600" i="16" a="1"/>
  <c r="D600" i="16" s="1"/>
  <c r="E600" i="16" s="1"/>
  <c r="I597" i="27"/>
  <c r="C547" i="17"/>
  <c r="H546" i="17"/>
  <c r="I598" i="16"/>
  <c r="B597" i="34" l="1"/>
  <c r="A598" i="34"/>
  <c r="B597" i="35"/>
  <c r="A598" i="35"/>
  <c r="B597" i="33"/>
  <c r="A598" i="33"/>
  <c r="B597" i="36"/>
  <c r="A598" i="36"/>
  <c r="F600" i="16"/>
  <c r="G600" i="16"/>
  <c r="I598" i="27"/>
  <c r="C548" i="27"/>
  <c r="H547" i="27"/>
  <c r="C548" i="16"/>
  <c r="H547" i="16"/>
  <c r="G599" i="27"/>
  <c r="F599" i="27"/>
  <c r="C548" i="17"/>
  <c r="H547" i="17"/>
  <c r="A602" i="16"/>
  <c r="B601" i="16"/>
  <c r="D601" i="16" a="1"/>
  <c r="D601" i="16" s="1"/>
  <c r="E601" i="16" s="1"/>
  <c r="I599" i="16"/>
  <c r="C548" i="28"/>
  <c r="H547" i="28"/>
  <c r="B600" i="27"/>
  <c r="A601" i="27"/>
  <c r="D600" i="27" a="1"/>
  <c r="D600" i="27" s="1"/>
  <c r="E600" i="27" s="1"/>
  <c r="B598" i="33" l="1"/>
  <c r="A599" i="33"/>
  <c r="B598" i="35"/>
  <c r="A599" i="35"/>
  <c r="B598" i="36"/>
  <c r="A599" i="36"/>
  <c r="B598" i="34"/>
  <c r="A599" i="34"/>
  <c r="F601" i="16"/>
  <c r="G601" i="16"/>
  <c r="C549" i="17"/>
  <c r="H548" i="17"/>
  <c r="C549" i="16"/>
  <c r="H548" i="16"/>
  <c r="I600" i="16"/>
  <c r="F600" i="27"/>
  <c r="G600" i="27"/>
  <c r="C549" i="28"/>
  <c r="H548" i="28"/>
  <c r="A602" i="27"/>
  <c r="B601" i="27"/>
  <c r="D601" i="27" a="1"/>
  <c r="D601" i="27" s="1"/>
  <c r="E601" i="27" s="1"/>
  <c r="A603" i="16"/>
  <c r="B602" i="16"/>
  <c r="D602" i="16" a="1"/>
  <c r="D602" i="16" s="1"/>
  <c r="E602" i="16" s="1"/>
  <c r="I599" i="27"/>
  <c r="C549" i="27"/>
  <c r="H548" i="27"/>
  <c r="B599" i="35" l="1"/>
  <c r="A600" i="35"/>
  <c r="B599" i="34"/>
  <c r="A600" i="34"/>
  <c r="B599" i="36"/>
  <c r="A600" i="36"/>
  <c r="B599" i="33"/>
  <c r="A600" i="33"/>
  <c r="A604" i="16"/>
  <c r="B603" i="16"/>
  <c r="D603" i="16" a="1"/>
  <c r="D603" i="16" s="1"/>
  <c r="E603" i="16" s="1"/>
  <c r="F601" i="27"/>
  <c r="G601" i="27"/>
  <c r="C550" i="28"/>
  <c r="H549" i="28"/>
  <c r="C550" i="17"/>
  <c r="H549" i="17"/>
  <c r="I600" i="27"/>
  <c r="I601" i="16"/>
  <c r="K62" i="16"/>
  <c r="L67" i="17" s="1"/>
  <c r="F602" i="16"/>
  <c r="G602" i="16"/>
  <c r="C550" i="27"/>
  <c r="H549" i="27"/>
  <c r="A603" i="27"/>
  <c r="B602" i="27"/>
  <c r="D602" i="27" a="1"/>
  <c r="D602" i="27" s="1"/>
  <c r="E602" i="27" s="1"/>
  <c r="C550" i="16"/>
  <c r="H549" i="16"/>
  <c r="B600" i="35" l="1"/>
  <c r="A601" i="35"/>
  <c r="B600" i="33"/>
  <c r="A601" i="33"/>
  <c r="B600" i="36"/>
  <c r="A601" i="36"/>
  <c r="B600" i="34"/>
  <c r="A601" i="34"/>
  <c r="C551" i="27"/>
  <c r="H550" i="27"/>
  <c r="I602" i="16"/>
  <c r="C551" i="17"/>
  <c r="H550" i="17"/>
  <c r="F603" i="16"/>
  <c r="G603" i="16"/>
  <c r="A604" i="27"/>
  <c r="B603" i="27"/>
  <c r="D603" i="27" a="1"/>
  <c r="D603" i="27" s="1"/>
  <c r="E603" i="27" s="1"/>
  <c r="C551" i="16"/>
  <c r="H550" i="16"/>
  <c r="C551" i="28"/>
  <c r="H550" i="28"/>
  <c r="F602" i="27"/>
  <c r="G602" i="27"/>
  <c r="I601" i="27"/>
  <c r="K62" i="27"/>
  <c r="N67" i="17" s="1"/>
  <c r="E72" i="9" s="1"/>
  <c r="F72" i="9" s="1"/>
  <c r="A605" i="16"/>
  <c r="B604" i="16"/>
  <c r="D604" i="16" a="1"/>
  <c r="D604" i="16" s="1"/>
  <c r="E604" i="16" s="1"/>
  <c r="O67" i="17" l="1"/>
  <c r="B601" i="36"/>
  <c r="A602" i="36"/>
  <c r="B601" i="35"/>
  <c r="A602" i="35"/>
  <c r="B601" i="34"/>
  <c r="A602" i="34"/>
  <c r="B601" i="33"/>
  <c r="A602" i="33"/>
  <c r="D72" i="9"/>
  <c r="F603" i="27"/>
  <c r="G603" i="27"/>
  <c r="F604" i="16"/>
  <c r="G604" i="16"/>
  <c r="C552" i="28"/>
  <c r="H551" i="28"/>
  <c r="B605" i="16"/>
  <c r="A606" i="16"/>
  <c r="D605" i="16" a="1"/>
  <c r="D605" i="16" s="1"/>
  <c r="E605" i="16" s="1"/>
  <c r="I602" i="27"/>
  <c r="A605" i="27"/>
  <c r="B604" i="27"/>
  <c r="D604" i="27" a="1"/>
  <c r="D604" i="27" s="1"/>
  <c r="E604" i="27" s="1"/>
  <c r="C552" i="17"/>
  <c r="H551" i="17"/>
  <c r="C552" i="27"/>
  <c r="H551" i="27"/>
  <c r="C552" i="16"/>
  <c r="H551" i="16"/>
  <c r="I603" i="16"/>
  <c r="B602" i="36" l="1"/>
  <c r="A603" i="36"/>
  <c r="B602" i="33"/>
  <c r="A603" i="33"/>
  <c r="B602" i="34"/>
  <c r="A603" i="34"/>
  <c r="B602" i="35"/>
  <c r="A603" i="35"/>
  <c r="G605" i="16"/>
  <c r="F605" i="16"/>
  <c r="C553" i="28"/>
  <c r="H552" i="28"/>
  <c r="C553" i="27"/>
  <c r="H552" i="27"/>
  <c r="A606" i="27"/>
  <c r="B605" i="27"/>
  <c r="D605" i="27" a="1"/>
  <c r="D605" i="27" s="1"/>
  <c r="E605" i="27" s="1"/>
  <c r="A607" i="16"/>
  <c r="B606" i="16"/>
  <c r="D606" i="16" a="1"/>
  <c r="D606" i="16" s="1"/>
  <c r="E606" i="16" s="1"/>
  <c r="I604" i="16"/>
  <c r="C553" i="16"/>
  <c r="H552" i="16"/>
  <c r="C553" i="17"/>
  <c r="H552" i="17"/>
  <c r="F604" i="27"/>
  <c r="G604" i="27"/>
  <c r="I603" i="27"/>
  <c r="B603" i="34" l="1"/>
  <c r="A604" i="34"/>
  <c r="B603" i="35"/>
  <c r="A604" i="35"/>
  <c r="B603" i="33"/>
  <c r="A604" i="33"/>
  <c r="B603" i="36"/>
  <c r="A604" i="36"/>
  <c r="G606" i="16"/>
  <c r="F606" i="16"/>
  <c r="C554" i="16"/>
  <c r="H553" i="16"/>
  <c r="A607" i="27"/>
  <c r="B606" i="27"/>
  <c r="D606" i="27" a="1"/>
  <c r="D606" i="27" s="1"/>
  <c r="E606" i="27" s="1"/>
  <c r="C554" i="28"/>
  <c r="H553" i="28"/>
  <c r="C554" i="17"/>
  <c r="H553" i="17"/>
  <c r="I604" i="27"/>
  <c r="A608" i="16"/>
  <c r="B607" i="16"/>
  <c r="D607" i="16" a="1"/>
  <c r="D607" i="16" s="1"/>
  <c r="E607" i="16" s="1"/>
  <c r="F605" i="27"/>
  <c r="G605" i="27"/>
  <c r="C554" i="27"/>
  <c r="H553" i="27"/>
  <c r="I605" i="16"/>
  <c r="B604" i="33" l="1"/>
  <c r="A605" i="33"/>
  <c r="B604" i="35"/>
  <c r="A605" i="35"/>
  <c r="B604" i="34"/>
  <c r="A605" i="34"/>
  <c r="B604" i="36"/>
  <c r="A605" i="36"/>
  <c r="G607" i="16"/>
  <c r="F607" i="16"/>
  <c r="C555" i="28"/>
  <c r="H554" i="28"/>
  <c r="F606" i="27"/>
  <c r="G606" i="27"/>
  <c r="C555" i="16"/>
  <c r="H554" i="16"/>
  <c r="I605" i="27"/>
  <c r="C555" i="27"/>
  <c r="H554" i="27"/>
  <c r="A609" i="16"/>
  <c r="B608" i="16"/>
  <c r="D608" i="16" a="1"/>
  <c r="D608" i="16" s="1"/>
  <c r="E608" i="16" s="1"/>
  <c r="C555" i="17"/>
  <c r="H554" i="17"/>
  <c r="A608" i="27"/>
  <c r="B607" i="27"/>
  <c r="D607" i="27" a="1"/>
  <c r="D607" i="27" s="1"/>
  <c r="E607" i="27" s="1"/>
  <c r="I606" i="16"/>
  <c r="B605" i="36" l="1"/>
  <c r="A606" i="36"/>
  <c r="B605" i="35"/>
  <c r="A606" i="35"/>
  <c r="B605" i="33"/>
  <c r="A606" i="33"/>
  <c r="B605" i="34"/>
  <c r="A606" i="34"/>
  <c r="F607" i="27"/>
  <c r="G607" i="27"/>
  <c r="C556" i="17"/>
  <c r="H555" i="17"/>
  <c r="G608" i="16"/>
  <c r="F608" i="16"/>
  <c r="C556" i="27"/>
  <c r="H555" i="27"/>
  <c r="C556" i="16"/>
  <c r="H555" i="16"/>
  <c r="C556" i="28"/>
  <c r="H555" i="28"/>
  <c r="I606" i="27"/>
  <c r="A609" i="27"/>
  <c r="B608" i="27"/>
  <c r="D608" i="27" a="1"/>
  <c r="D608" i="27" s="1"/>
  <c r="E608" i="27" s="1"/>
  <c r="B609" i="16"/>
  <c r="A610" i="16"/>
  <c r="D609" i="16" a="1"/>
  <c r="D609" i="16" s="1"/>
  <c r="E609" i="16" s="1"/>
  <c r="I607" i="16"/>
  <c r="B606" i="34" l="1"/>
  <c r="A607" i="34"/>
  <c r="B606" i="33"/>
  <c r="A607" i="33"/>
  <c r="B606" i="36"/>
  <c r="A607" i="36"/>
  <c r="B606" i="35"/>
  <c r="A607" i="35"/>
  <c r="F608" i="27"/>
  <c r="G608" i="27"/>
  <c r="F609" i="16"/>
  <c r="G609" i="16"/>
  <c r="A611" i="16"/>
  <c r="B610" i="16"/>
  <c r="D610" i="16" a="1"/>
  <c r="D610" i="16" s="1"/>
  <c r="E610" i="16" s="1"/>
  <c r="B609" i="27"/>
  <c r="A610" i="27"/>
  <c r="D609" i="27" a="1"/>
  <c r="D609" i="27" s="1"/>
  <c r="E609" i="27" s="1"/>
  <c r="C557" i="28"/>
  <c r="H556" i="28"/>
  <c r="C557" i="27"/>
  <c r="H556" i="27"/>
  <c r="C557" i="17"/>
  <c r="H556" i="17"/>
  <c r="I607" i="27"/>
  <c r="C557" i="16"/>
  <c r="H556" i="16"/>
  <c r="I608" i="16"/>
  <c r="B607" i="34" l="1"/>
  <c r="A608" i="34"/>
  <c r="B607" i="35"/>
  <c r="A608" i="35"/>
  <c r="B607" i="36"/>
  <c r="A608" i="36"/>
  <c r="B607" i="33"/>
  <c r="A608" i="33"/>
  <c r="C558" i="16"/>
  <c r="H557" i="16"/>
  <c r="C558" i="17"/>
  <c r="H557" i="17"/>
  <c r="I609" i="16"/>
  <c r="G610" i="16"/>
  <c r="F610" i="16"/>
  <c r="G609" i="27"/>
  <c r="F609" i="27"/>
  <c r="I608" i="27"/>
  <c r="C558" i="28"/>
  <c r="H557" i="28"/>
  <c r="C558" i="27"/>
  <c r="H557" i="27"/>
  <c r="A611" i="27"/>
  <c r="B610" i="27"/>
  <c r="D610" i="27" a="1"/>
  <c r="D610" i="27" s="1"/>
  <c r="E610" i="27" s="1"/>
  <c r="A612" i="16"/>
  <c r="B611" i="16"/>
  <c r="D611" i="16" a="1"/>
  <c r="D611" i="16" s="1"/>
  <c r="E611" i="16" s="1"/>
  <c r="B608" i="33" l="1"/>
  <c r="A609" i="33"/>
  <c r="B608" i="35"/>
  <c r="A609" i="35"/>
  <c r="B608" i="34"/>
  <c r="A609" i="34"/>
  <c r="B608" i="36"/>
  <c r="A609" i="36"/>
  <c r="F611" i="16"/>
  <c r="G611" i="16"/>
  <c r="C559" i="28"/>
  <c r="H558" i="28"/>
  <c r="A613" i="16"/>
  <c r="B612" i="16"/>
  <c r="D612" i="16" a="1"/>
  <c r="D612" i="16" s="1"/>
  <c r="E612" i="16" s="1"/>
  <c r="G610" i="27"/>
  <c r="F610" i="27"/>
  <c r="C559" i="27"/>
  <c r="H558" i="27"/>
  <c r="I610" i="16"/>
  <c r="C559" i="17"/>
  <c r="H558" i="17"/>
  <c r="A612" i="27"/>
  <c r="B611" i="27"/>
  <c r="D611" i="27" a="1"/>
  <c r="D611" i="27" s="1"/>
  <c r="E611" i="27" s="1"/>
  <c r="I609" i="27"/>
  <c r="C559" i="16"/>
  <c r="H558" i="16"/>
  <c r="B609" i="36" l="1"/>
  <c r="A610" i="36"/>
  <c r="B609" i="34"/>
  <c r="A610" i="34"/>
  <c r="B609" i="33"/>
  <c r="A610" i="33"/>
  <c r="B609" i="35"/>
  <c r="A610" i="35"/>
  <c r="F611" i="27"/>
  <c r="G611" i="27"/>
  <c r="C560" i="17"/>
  <c r="H559" i="17"/>
  <c r="C560" i="27"/>
  <c r="H559" i="27"/>
  <c r="C560" i="16"/>
  <c r="H559" i="16"/>
  <c r="A613" i="27"/>
  <c r="B612" i="27"/>
  <c r="D612" i="27" a="1"/>
  <c r="D612" i="27" s="1"/>
  <c r="E612" i="27" s="1"/>
  <c r="I610" i="27"/>
  <c r="F612" i="16"/>
  <c r="G612" i="16"/>
  <c r="C560" i="28"/>
  <c r="H559" i="28"/>
  <c r="I611" i="16"/>
  <c r="K63" i="16"/>
  <c r="L68" i="17" s="1"/>
  <c r="A614" i="16"/>
  <c r="B613" i="16"/>
  <c r="D613" i="16" a="1"/>
  <c r="D613" i="16" s="1"/>
  <c r="E613" i="16" s="1"/>
  <c r="B610" i="35" l="1"/>
  <c r="A611" i="35"/>
  <c r="B610" i="33"/>
  <c r="A611" i="33"/>
  <c r="B610" i="34"/>
  <c r="A611" i="34"/>
  <c r="B610" i="36"/>
  <c r="A611" i="36"/>
  <c r="G613" i="16"/>
  <c r="F613" i="16"/>
  <c r="I612" i="16"/>
  <c r="B614" i="16"/>
  <c r="A615" i="16"/>
  <c r="D614" i="16" a="1"/>
  <c r="D614" i="16" s="1"/>
  <c r="E614" i="16" s="1"/>
  <c r="C561" i="28"/>
  <c r="H560" i="28"/>
  <c r="F612" i="27"/>
  <c r="G612" i="27"/>
  <c r="C561" i="16"/>
  <c r="H560" i="16"/>
  <c r="C561" i="17"/>
  <c r="H560" i="17"/>
  <c r="I611" i="27"/>
  <c r="K63" i="27"/>
  <c r="N68" i="17" s="1"/>
  <c r="E73" i="9" s="1"/>
  <c r="F73" i="9" s="1"/>
  <c r="A614" i="27"/>
  <c r="B613" i="27"/>
  <c r="D613" i="27" a="1"/>
  <c r="D613" i="27" s="1"/>
  <c r="E613" i="27" s="1"/>
  <c r="C561" i="27"/>
  <c r="H560" i="27"/>
  <c r="O68" i="17" l="1"/>
  <c r="B611" i="33"/>
  <c r="A612" i="33"/>
  <c r="B611" i="34"/>
  <c r="A612" i="34"/>
  <c r="B611" i="35"/>
  <c r="A612" i="35"/>
  <c r="B611" i="36"/>
  <c r="A612" i="36"/>
  <c r="D73" i="9"/>
  <c r="C562" i="27"/>
  <c r="H561" i="27"/>
  <c r="C562" i="17"/>
  <c r="H561" i="17"/>
  <c r="C562" i="28"/>
  <c r="H561" i="28"/>
  <c r="B614" i="27"/>
  <c r="A615" i="27"/>
  <c r="D614" i="27" a="1"/>
  <c r="D614" i="27" s="1"/>
  <c r="E614" i="27" s="1"/>
  <c r="I612" i="27"/>
  <c r="G614" i="16"/>
  <c r="F614" i="16"/>
  <c r="F613" i="27"/>
  <c r="G613" i="27"/>
  <c r="A616" i="16"/>
  <c r="B615" i="16"/>
  <c r="D615" i="16" a="1"/>
  <c r="D615" i="16" s="1"/>
  <c r="E615" i="16" s="1"/>
  <c r="C562" i="16"/>
  <c r="H561" i="16"/>
  <c r="I613" i="16"/>
  <c r="B612" i="33" l="1"/>
  <c r="A613" i="33"/>
  <c r="B612" i="34"/>
  <c r="A613" i="34"/>
  <c r="B612" i="36"/>
  <c r="A613" i="36"/>
  <c r="B612" i="35"/>
  <c r="A613" i="35"/>
  <c r="F614" i="27"/>
  <c r="G614" i="27"/>
  <c r="C563" i="28"/>
  <c r="H562" i="28"/>
  <c r="C563" i="27"/>
  <c r="H562" i="27"/>
  <c r="A617" i="16"/>
  <c r="B616" i="16"/>
  <c r="D616" i="16" a="1"/>
  <c r="D616" i="16" s="1"/>
  <c r="E616" i="16" s="1"/>
  <c r="I614" i="16"/>
  <c r="A616" i="27"/>
  <c r="B615" i="27"/>
  <c r="D615" i="27" a="1"/>
  <c r="D615" i="27" s="1"/>
  <c r="E615" i="27" s="1"/>
  <c r="C563" i="16"/>
  <c r="H562" i="16"/>
  <c r="I613" i="27"/>
  <c r="C563" i="17"/>
  <c r="H562" i="17"/>
  <c r="G615" i="16"/>
  <c r="F615" i="16"/>
  <c r="B613" i="34" l="1"/>
  <c r="A614" i="34"/>
  <c r="B613" i="33"/>
  <c r="A614" i="33"/>
  <c r="B613" i="35"/>
  <c r="A614" i="35"/>
  <c r="B613" i="36"/>
  <c r="A614" i="36"/>
  <c r="I615" i="16"/>
  <c r="A617" i="27"/>
  <c r="B616" i="27"/>
  <c r="D616" i="27" a="1"/>
  <c r="D616" i="27" s="1"/>
  <c r="E616" i="27" s="1"/>
  <c r="C564" i="17"/>
  <c r="H563" i="17"/>
  <c r="C564" i="16"/>
  <c r="H563" i="16"/>
  <c r="A618" i="16"/>
  <c r="B617" i="16"/>
  <c r="D617" i="16" a="1"/>
  <c r="D617" i="16" s="1"/>
  <c r="E617" i="16" s="1"/>
  <c r="C564" i="28"/>
  <c r="H563" i="28"/>
  <c r="F615" i="27"/>
  <c r="G615" i="27"/>
  <c r="I614" i="27"/>
  <c r="F616" i="16"/>
  <c r="G616" i="16"/>
  <c r="C564" i="27"/>
  <c r="H563" i="27"/>
  <c r="B614" i="34" l="1"/>
  <c r="A615" i="34"/>
  <c r="B614" i="35"/>
  <c r="A615" i="35"/>
  <c r="B614" i="33"/>
  <c r="A615" i="33"/>
  <c r="B614" i="36"/>
  <c r="A615" i="36"/>
  <c r="F617" i="16"/>
  <c r="G617" i="16"/>
  <c r="C565" i="16"/>
  <c r="H564" i="16"/>
  <c r="B617" i="27"/>
  <c r="A618" i="27"/>
  <c r="D617" i="27" a="1"/>
  <c r="D617" i="27" s="1"/>
  <c r="E617" i="27" s="1"/>
  <c r="C565" i="27"/>
  <c r="H564" i="27"/>
  <c r="C565" i="28"/>
  <c r="H564" i="28"/>
  <c r="I616" i="16"/>
  <c r="I615" i="27"/>
  <c r="A619" i="16"/>
  <c r="B618" i="16"/>
  <c r="D618" i="16" a="1"/>
  <c r="D618" i="16" s="1"/>
  <c r="E618" i="16" s="1"/>
  <c r="C565" i="17"/>
  <c r="H564" i="17"/>
  <c r="G616" i="27"/>
  <c r="F616" i="27"/>
  <c r="B615" i="35" l="1"/>
  <c r="A616" i="35"/>
  <c r="B615" i="36"/>
  <c r="A616" i="36"/>
  <c r="B615" i="33"/>
  <c r="A616" i="33"/>
  <c r="B615" i="34"/>
  <c r="A616" i="34"/>
  <c r="C566" i="17"/>
  <c r="H565" i="17"/>
  <c r="I616" i="27"/>
  <c r="A620" i="16"/>
  <c r="B619" i="16"/>
  <c r="D619" i="16" a="1"/>
  <c r="D619" i="16" s="1"/>
  <c r="E619" i="16" s="1"/>
  <c r="C566" i="27"/>
  <c r="H565" i="27"/>
  <c r="G617" i="27"/>
  <c r="F617" i="27"/>
  <c r="C566" i="16"/>
  <c r="H565" i="16"/>
  <c r="G618" i="16"/>
  <c r="F618" i="16"/>
  <c r="C566" i="28"/>
  <c r="H565" i="28"/>
  <c r="A619" i="27"/>
  <c r="B618" i="27"/>
  <c r="D618" i="27" a="1"/>
  <c r="D618" i="27" s="1"/>
  <c r="E618" i="27" s="1"/>
  <c r="I617" i="16"/>
  <c r="B616" i="33" l="1"/>
  <c r="A617" i="33"/>
  <c r="B616" i="36"/>
  <c r="A617" i="36"/>
  <c r="B616" i="34"/>
  <c r="A617" i="34"/>
  <c r="B616" i="35"/>
  <c r="A617" i="35"/>
  <c r="F618" i="27"/>
  <c r="G618" i="27"/>
  <c r="C567" i="28"/>
  <c r="H566" i="28"/>
  <c r="C567" i="16"/>
  <c r="H566" i="16"/>
  <c r="C567" i="27"/>
  <c r="H566" i="27"/>
  <c r="F619" i="16"/>
  <c r="G619" i="16"/>
  <c r="I618" i="16"/>
  <c r="A620" i="27"/>
  <c r="B619" i="27"/>
  <c r="D619" i="27" a="1"/>
  <c r="D619" i="27" s="1"/>
  <c r="E619" i="27" s="1"/>
  <c r="I617" i="27"/>
  <c r="A621" i="16"/>
  <c r="B620" i="16"/>
  <c r="D620" i="16" a="1"/>
  <c r="D620" i="16" s="1"/>
  <c r="E620" i="16" s="1"/>
  <c r="C567" i="17"/>
  <c r="H566" i="17"/>
  <c r="B617" i="34" l="1"/>
  <c r="A618" i="34"/>
  <c r="B617" i="35"/>
  <c r="A618" i="35"/>
  <c r="B617" i="33"/>
  <c r="A618" i="33"/>
  <c r="B617" i="36"/>
  <c r="A618" i="36"/>
  <c r="F620" i="16"/>
  <c r="G620" i="16"/>
  <c r="G619" i="27"/>
  <c r="F619" i="27"/>
  <c r="C568" i="27"/>
  <c r="H567" i="27"/>
  <c r="C568" i="28"/>
  <c r="H567" i="28"/>
  <c r="I618" i="27"/>
  <c r="A622" i="16"/>
  <c r="B621" i="16"/>
  <c r="D621" i="16" a="1"/>
  <c r="D621" i="16" s="1"/>
  <c r="E621" i="16" s="1"/>
  <c r="I619" i="16"/>
  <c r="C568" i="17"/>
  <c r="H567" i="17"/>
  <c r="A621" i="27"/>
  <c r="B620" i="27"/>
  <c r="D620" i="27" a="1"/>
  <c r="D620" i="27" s="1"/>
  <c r="E620" i="27" s="1"/>
  <c r="C568" i="16"/>
  <c r="H567" i="16"/>
  <c r="B618" i="36" l="1"/>
  <c r="A619" i="36"/>
  <c r="B618" i="33"/>
  <c r="A619" i="33"/>
  <c r="B618" i="35"/>
  <c r="A619" i="35"/>
  <c r="B618" i="34"/>
  <c r="A619" i="34"/>
  <c r="F620" i="27"/>
  <c r="G620" i="27"/>
  <c r="C569" i="17"/>
  <c r="H568" i="17"/>
  <c r="C569" i="16"/>
  <c r="H568" i="16"/>
  <c r="A623" i="16"/>
  <c r="B622" i="16"/>
  <c r="D622" i="16" a="1"/>
  <c r="D622" i="16" s="1"/>
  <c r="E622" i="16" s="1"/>
  <c r="C569" i="28"/>
  <c r="H568" i="28"/>
  <c r="I619" i="27"/>
  <c r="B621" i="27"/>
  <c r="A622" i="27"/>
  <c r="D621" i="27" a="1"/>
  <c r="D621" i="27" s="1"/>
  <c r="E621" i="27" s="1"/>
  <c r="I620" i="16"/>
  <c r="F621" i="16"/>
  <c r="G621" i="16"/>
  <c r="C569" i="27"/>
  <c r="H568" i="27"/>
  <c r="B619" i="35" l="1"/>
  <c r="A620" i="35"/>
  <c r="B619" i="34"/>
  <c r="A620" i="34"/>
  <c r="B619" i="33"/>
  <c r="A620" i="33"/>
  <c r="B619" i="36"/>
  <c r="A620" i="36"/>
  <c r="G621" i="27"/>
  <c r="F621" i="27"/>
  <c r="C570" i="27"/>
  <c r="H569" i="27"/>
  <c r="I621" i="16"/>
  <c r="K64" i="16"/>
  <c r="L69" i="17" s="1"/>
  <c r="A623" i="27"/>
  <c r="B622" i="27"/>
  <c r="D622" i="27" a="1"/>
  <c r="D622" i="27" s="1"/>
  <c r="E622" i="27" s="1"/>
  <c r="A624" i="16"/>
  <c r="B623" i="16"/>
  <c r="D623" i="16" a="1"/>
  <c r="D623" i="16" s="1"/>
  <c r="E623" i="16" s="1"/>
  <c r="C570" i="17"/>
  <c r="H569" i="17"/>
  <c r="C570" i="28"/>
  <c r="H569" i="28"/>
  <c r="I620" i="27"/>
  <c r="F622" i="16"/>
  <c r="G622" i="16"/>
  <c r="C570" i="16"/>
  <c r="H569" i="16"/>
  <c r="B620" i="34" l="1"/>
  <c r="A621" i="34"/>
  <c r="B620" i="33"/>
  <c r="A621" i="33"/>
  <c r="B620" i="36"/>
  <c r="A621" i="36"/>
  <c r="B620" i="35"/>
  <c r="A621" i="35"/>
  <c r="C571" i="16"/>
  <c r="H570" i="16"/>
  <c r="C571" i="17"/>
  <c r="H570" i="17"/>
  <c r="I622" i="16"/>
  <c r="C571" i="28"/>
  <c r="H570" i="28"/>
  <c r="A624" i="27"/>
  <c r="B623" i="27"/>
  <c r="D623" i="27" a="1"/>
  <c r="D623" i="27" s="1"/>
  <c r="E623" i="27" s="1"/>
  <c r="A625" i="16"/>
  <c r="B624" i="16"/>
  <c r="D624" i="16" a="1"/>
  <c r="D624" i="16" s="1"/>
  <c r="E624" i="16" s="1"/>
  <c r="C571" i="27"/>
  <c r="H570" i="27"/>
  <c r="F622" i="27"/>
  <c r="G622" i="27"/>
  <c r="F623" i="16"/>
  <c r="G623" i="16"/>
  <c r="I621" i="27"/>
  <c r="K64" i="27"/>
  <c r="N69" i="17" s="1"/>
  <c r="E74" i="9" s="1"/>
  <c r="F74" i="9" s="1"/>
  <c r="O69" i="17" l="1"/>
  <c r="B621" i="33"/>
  <c r="A622" i="33"/>
  <c r="B621" i="35"/>
  <c r="A622" i="35"/>
  <c r="B621" i="34"/>
  <c r="A622" i="34"/>
  <c r="B621" i="36"/>
  <c r="A622" i="36"/>
  <c r="F624" i="16"/>
  <c r="G624" i="16"/>
  <c r="I623" i="16"/>
  <c r="C572" i="27"/>
  <c r="H571" i="27"/>
  <c r="A626" i="16"/>
  <c r="B625" i="16"/>
  <c r="D625" i="16" a="1"/>
  <c r="D625" i="16" s="1"/>
  <c r="E625" i="16" s="1"/>
  <c r="G623" i="27"/>
  <c r="F623" i="27"/>
  <c r="C572" i="28"/>
  <c r="H571" i="28"/>
  <c r="C572" i="17"/>
  <c r="H571" i="17"/>
  <c r="I622" i="27"/>
  <c r="D74" i="9"/>
  <c r="B624" i="27"/>
  <c r="A625" i="27"/>
  <c r="D624" i="27" a="1"/>
  <c r="D624" i="27" s="1"/>
  <c r="E624" i="27" s="1"/>
  <c r="C572" i="16"/>
  <c r="H571" i="16"/>
  <c r="B622" i="33" l="1"/>
  <c r="A623" i="33"/>
  <c r="B622" i="36"/>
  <c r="A623" i="36"/>
  <c r="B622" i="34"/>
  <c r="A623" i="34"/>
  <c r="B622" i="35"/>
  <c r="A623" i="35"/>
  <c r="C573" i="16"/>
  <c r="H572" i="16"/>
  <c r="C573" i="28"/>
  <c r="H572" i="28"/>
  <c r="A627" i="16"/>
  <c r="B626" i="16"/>
  <c r="D626" i="16" a="1"/>
  <c r="D626" i="16" s="1"/>
  <c r="E626" i="16" s="1"/>
  <c r="G624" i="27"/>
  <c r="F624" i="27"/>
  <c r="A626" i="27"/>
  <c r="B625" i="27"/>
  <c r="D625" i="27" a="1"/>
  <c r="D625" i="27" s="1"/>
  <c r="E625" i="27" s="1"/>
  <c r="C573" i="17"/>
  <c r="H572" i="17"/>
  <c r="I623" i="27"/>
  <c r="I624" i="16"/>
  <c r="G625" i="16"/>
  <c r="F625" i="16"/>
  <c r="C573" i="27"/>
  <c r="H572" i="27"/>
  <c r="B623" i="34" l="1"/>
  <c r="A624" i="34"/>
  <c r="B623" i="33"/>
  <c r="A624" i="33"/>
  <c r="B623" i="35"/>
  <c r="A624" i="35"/>
  <c r="B623" i="36"/>
  <c r="A624" i="36"/>
  <c r="G625" i="27"/>
  <c r="F625" i="27"/>
  <c r="I624" i="27"/>
  <c r="F626" i="16"/>
  <c r="G626" i="16"/>
  <c r="C574" i="28"/>
  <c r="H573" i="28"/>
  <c r="C574" i="27"/>
  <c r="H573" i="27"/>
  <c r="C574" i="17"/>
  <c r="H573" i="17"/>
  <c r="B626" i="27"/>
  <c r="A627" i="27"/>
  <c r="D626" i="27" a="1"/>
  <c r="D626" i="27" s="1"/>
  <c r="E626" i="27" s="1"/>
  <c r="I625" i="16"/>
  <c r="A628" i="16"/>
  <c r="B627" i="16"/>
  <c r="D627" i="16" a="1"/>
  <c r="D627" i="16" s="1"/>
  <c r="E627" i="16" s="1"/>
  <c r="C574" i="16"/>
  <c r="H573" i="16"/>
  <c r="B624" i="35" l="1"/>
  <c r="A625" i="35"/>
  <c r="B624" i="34"/>
  <c r="A625" i="34"/>
  <c r="B624" i="33"/>
  <c r="A625" i="33"/>
  <c r="B624" i="36"/>
  <c r="A625" i="36"/>
  <c r="G627" i="16"/>
  <c r="F627" i="16"/>
  <c r="F626" i="27"/>
  <c r="G626" i="27"/>
  <c r="C575" i="17"/>
  <c r="H574" i="17"/>
  <c r="C575" i="28"/>
  <c r="H574" i="28"/>
  <c r="A629" i="16"/>
  <c r="B628" i="16"/>
  <c r="D628" i="16" a="1"/>
  <c r="D628" i="16" s="1"/>
  <c r="E628" i="16" s="1"/>
  <c r="A628" i="27"/>
  <c r="B627" i="27"/>
  <c r="D627" i="27" a="1"/>
  <c r="D627" i="27" s="1"/>
  <c r="E627" i="27" s="1"/>
  <c r="I626" i="16"/>
  <c r="C575" i="16"/>
  <c r="H574" i="16"/>
  <c r="C575" i="27"/>
  <c r="H574" i="27"/>
  <c r="I625" i="27"/>
  <c r="B625" i="33" l="1"/>
  <c r="A626" i="33"/>
  <c r="B625" i="36"/>
  <c r="A626" i="36"/>
  <c r="B625" i="34"/>
  <c r="A626" i="34"/>
  <c r="B625" i="35"/>
  <c r="A626" i="35"/>
  <c r="F627" i="27"/>
  <c r="G627" i="27"/>
  <c r="C576" i="16"/>
  <c r="H575" i="16"/>
  <c r="B628" i="27"/>
  <c r="A629" i="27"/>
  <c r="D628" i="27" a="1"/>
  <c r="D628" i="27" s="1"/>
  <c r="E628" i="27" s="1"/>
  <c r="I626" i="27"/>
  <c r="G628" i="16"/>
  <c r="F628" i="16"/>
  <c r="C576" i="28"/>
  <c r="H575" i="28"/>
  <c r="C576" i="27"/>
  <c r="H575" i="27"/>
  <c r="A630" i="16"/>
  <c r="B629" i="16"/>
  <c r="D629" i="16" a="1"/>
  <c r="D629" i="16" s="1"/>
  <c r="E629" i="16" s="1"/>
  <c r="C576" i="17"/>
  <c r="H575" i="17"/>
  <c r="I627" i="16"/>
  <c r="B626" i="36" l="1"/>
  <c r="A627" i="36"/>
  <c r="B626" i="33"/>
  <c r="A627" i="33"/>
  <c r="B626" i="34"/>
  <c r="A627" i="34"/>
  <c r="B626" i="35"/>
  <c r="A627" i="35"/>
  <c r="A631" i="16"/>
  <c r="B630" i="16"/>
  <c r="D630" i="16" a="1"/>
  <c r="D630" i="16" s="1"/>
  <c r="E630" i="16" s="1"/>
  <c r="C577" i="28"/>
  <c r="H576" i="28"/>
  <c r="G628" i="27"/>
  <c r="F628" i="27"/>
  <c r="C577" i="16"/>
  <c r="H576" i="16"/>
  <c r="G629" i="16"/>
  <c r="F629" i="16"/>
  <c r="C577" i="27"/>
  <c r="H576" i="27"/>
  <c r="I628" i="16"/>
  <c r="A630" i="27"/>
  <c r="B629" i="27"/>
  <c r="D629" i="27" a="1"/>
  <c r="D629" i="27" s="1"/>
  <c r="E629" i="27" s="1"/>
  <c r="I627" i="27"/>
  <c r="C577" i="17"/>
  <c r="H576" i="17"/>
  <c r="B627" i="35" l="1"/>
  <c r="A628" i="35"/>
  <c r="B627" i="34"/>
  <c r="A628" i="34"/>
  <c r="B627" i="33"/>
  <c r="A628" i="33"/>
  <c r="B627" i="36"/>
  <c r="A628" i="36"/>
  <c r="I628" i="27"/>
  <c r="C578" i="17"/>
  <c r="H577" i="17"/>
  <c r="B630" i="27"/>
  <c r="A631" i="27"/>
  <c r="D630" i="27" a="1"/>
  <c r="D630" i="27" s="1"/>
  <c r="E630" i="27" s="1"/>
  <c r="C578" i="27"/>
  <c r="H577" i="27"/>
  <c r="C578" i="16"/>
  <c r="H577" i="16"/>
  <c r="C578" i="28"/>
  <c r="H577" i="28"/>
  <c r="G630" i="16"/>
  <c r="F630" i="16"/>
  <c r="F629" i="27"/>
  <c r="G629" i="27"/>
  <c r="I629" i="16"/>
  <c r="A632" i="16"/>
  <c r="B631" i="16"/>
  <c r="D631" i="16" a="1"/>
  <c r="D631" i="16" s="1"/>
  <c r="E631" i="16" s="1"/>
  <c r="B628" i="33" l="1"/>
  <c r="A629" i="33"/>
  <c r="B628" i="36"/>
  <c r="A629" i="36"/>
  <c r="B628" i="35"/>
  <c r="A629" i="35"/>
  <c r="B628" i="34"/>
  <c r="A629" i="34"/>
  <c r="A633" i="16"/>
  <c r="B632" i="16"/>
  <c r="D632" i="16" a="1"/>
  <c r="D632" i="16" s="1"/>
  <c r="E632" i="16" s="1"/>
  <c r="C579" i="28"/>
  <c r="H578" i="28"/>
  <c r="C579" i="27"/>
  <c r="H578" i="27"/>
  <c r="F630" i="27"/>
  <c r="G630" i="27"/>
  <c r="C579" i="17"/>
  <c r="H578" i="17"/>
  <c r="G631" i="16"/>
  <c r="F631" i="16"/>
  <c r="I630" i="16"/>
  <c r="C579" i="16"/>
  <c r="H578" i="16"/>
  <c r="A632" i="27"/>
  <c r="B631" i="27"/>
  <c r="D631" i="27" a="1"/>
  <c r="D631" i="27" s="1"/>
  <c r="E631" i="27" s="1"/>
  <c r="I629" i="27"/>
  <c r="B629" i="34" l="1"/>
  <c r="A630" i="34"/>
  <c r="B629" i="36"/>
  <c r="A630" i="36"/>
  <c r="B629" i="33"/>
  <c r="A630" i="33"/>
  <c r="B629" i="35"/>
  <c r="A630" i="35"/>
  <c r="F631" i="27"/>
  <c r="G631" i="27"/>
  <c r="C580" i="16"/>
  <c r="H579" i="16"/>
  <c r="K65" i="16"/>
  <c r="L70" i="17" s="1"/>
  <c r="I631" i="16"/>
  <c r="C580" i="28"/>
  <c r="H579" i="28"/>
  <c r="G632" i="16"/>
  <c r="F632" i="16"/>
  <c r="B632" i="27"/>
  <c r="A633" i="27"/>
  <c r="D632" i="27" a="1"/>
  <c r="D632" i="27" s="1"/>
  <c r="E632" i="27" s="1"/>
  <c r="C580" i="17"/>
  <c r="H579" i="17"/>
  <c r="C580" i="27"/>
  <c r="H579" i="27"/>
  <c r="I630" i="27"/>
  <c r="A634" i="16"/>
  <c r="B633" i="16"/>
  <c r="D633" i="16" a="1"/>
  <c r="D633" i="16" s="1"/>
  <c r="E633" i="16" s="1"/>
  <c r="B630" i="33" l="1"/>
  <c r="A631" i="33"/>
  <c r="B630" i="35"/>
  <c r="A631" i="35"/>
  <c r="B630" i="34"/>
  <c r="A631" i="34"/>
  <c r="B630" i="36"/>
  <c r="A631" i="36"/>
  <c r="C581" i="28"/>
  <c r="H580" i="28"/>
  <c r="F633" i="16"/>
  <c r="G633" i="16"/>
  <c r="C581" i="17"/>
  <c r="H580" i="17"/>
  <c r="C581" i="16"/>
  <c r="H580" i="16"/>
  <c r="F632" i="27"/>
  <c r="G632" i="27"/>
  <c r="K65" i="27"/>
  <c r="N70" i="17" s="1"/>
  <c r="E75" i="9" s="1"/>
  <c r="F75" i="9" s="1"/>
  <c r="I631" i="27"/>
  <c r="I632" i="16"/>
  <c r="A635" i="16"/>
  <c r="B634" i="16"/>
  <c r="D634" i="16" a="1"/>
  <c r="D634" i="16" s="1"/>
  <c r="E634" i="16" s="1"/>
  <c r="C581" i="27"/>
  <c r="H580" i="27"/>
  <c r="A634" i="27"/>
  <c r="B633" i="27"/>
  <c r="D633" i="27" a="1"/>
  <c r="D633" i="27" s="1"/>
  <c r="E633" i="27" s="1"/>
  <c r="O70" i="17" l="1"/>
  <c r="B631" i="35"/>
  <c r="A632" i="35"/>
  <c r="B631" i="34"/>
  <c r="A632" i="34"/>
  <c r="B631" i="33"/>
  <c r="A632" i="33"/>
  <c r="B631" i="36"/>
  <c r="A632" i="36"/>
  <c r="F633" i="27"/>
  <c r="G633" i="27"/>
  <c r="C582" i="27"/>
  <c r="H581" i="27"/>
  <c r="I633" i="16"/>
  <c r="G634" i="16"/>
  <c r="F634" i="16"/>
  <c r="D75" i="9"/>
  <c r="C582" i="16"/>
  <c r="H581" i="16"/>
  <c r="I632" i="27"/>
  <c r="B634" i="27"/>
  <c r="A635" i="27"/>
  <c r="D634" i="27" a="1"/>
  <c r="D634" i="27" s="1"/>
  <c r="E634" i="27" s="1"/>
  <c r="A636" i="16"/>
  <c r="B635" i="16"/>
  <c r="D635" i="16" a="1"/>
  <c r="D635" i="16" s="1"/>
  <c r="E635" i="16" s="1"/>
  <c r="C582" i="17"/>
  <c r="H581" i="17"/>
  <c r="C582" i="28"/>
  <c r="H581" i="28"/>
  <c r="B632" i="34" l="1"/>
  <c r="A633" i="34"/>
  <c r="B632" i="36"/>
  <c r="A633" i="36"/>
  <c r="B632" i="33"/>
  <c r="A633" i="33"/>
  <c r="B632" i="35"/>
  <c r="A633" i="35"/>
  <c r="C583" i="16"/>
  <c r="H582" i="16"/>
  <c r="C583" i="17"/>
  <c r="H582" i="17"/>
  <c r="A636" i="27"/>
  <c r="B635" i="27"/>
  <c r="D635" i="27" a="1"/>
  <c r="D635" i="27" s="1"/>
  <c r="E635" i="27" s="1"/>
  <c r="C583" i="28"/>
  <c r="H582" i="28"/>
  <c r="B636" i="16"/>
  <c r="A637" i="16"/>
  <c r="D636" i="16" a="1"/>
  <c r="D636" i="16" s="1"/>
  <c r="E636" i="16" s="1"/>
  <c r="I634" i="16"/>
  <c r="C583" i="27"/>
  <c r="H582" i="27"/>
  <c r="F634" i="27"/>
  <c r="G634" i="27"/>
  <c r="I633" i="27"/>
  <c r="F635" i="16"/>
  <c r="G635" i="16"/>
  <c r="B633" i="33" l="1"/>
  <c r="A634" i="33"/>
  <c r="B633" i="34"/>
  <c r="A634" i="34"/>
  <c r="B633" i="36"/>
  <c r="A634" i="36"/>
  <c r="B633" i="35"/>
  <c r="A634" i="35"/>
  <c r="F636" i="16"/>
  <c r="G636" i="16"/>
  <c r="C584" i="28"/>
  <c r="H583" i="28"/>
  <c r="G635" i="27"/>
  <c r="F635" i="27"/>
  <c r="C584" i="17"/>
  <c r="H583" i="17"/>
  <c r="I635" i="16"/>
  <c r="A638" i="16"/>
  <c r="B637" i="16"/>
  <c r="D637" i="16" a="1"/>
  <c r="D637" i="16" s="1"/>
  <c r="E637" i="16" s="1"/>
  <c r="I634" i="27"/>
  <c r="C584" i="27"/>
  <c r="H583" i="27"/>
  <c r="A637" i="27"/>
  <c r="B636" i="27"/>
  <c r="D636" i="27" a="1"/>
  <c r="D636" i="27" s="1"/>
  <c r="E636" i="27" s="1"/>
  <c r="C584" i="16"/>
  <c r="H583" i="16"/>
  <c r="B634" i="35" l="1"/>
  <c r="A635" i="35"/>
  <c r="B634" i="36"/>
  <c r="A635" i="36"/>
  <c r="B634" i="34"/>
  <c r="A635" i="34"/>
  <c r="B634" i="33"/>
  <c r="A635" i="33"/>
  <c r="F636" i="27"/>
  <c r="G636" i="27"/>
  <c r="C585" i="27"/>
  <c r="H584" i="27"/>
  <c r="C585" i="16"/>
  <c r="H584" i="16"/>
  <c r="B638" i="16"/>
  <c r="A639" i="16"/>
  <c r="D638" i="16" a="1"/>
  <c r="D638" i="16" s="1"/>
  <c r="E638" i="16" s="1"/>
  <c r="C585" i="17"/>
  <c r="H584" i="17"/>
  <c r="C585" i="28"/>
  <c r="H584" i="28"/>
  <c r="A638" i="27"/>
  <c r="B637" i="27"/>
  <c r="D637" i="27" a="1"/>
  <c r="D637" i="27" s="1"/>
  <c r="E637" i="27" s="1"/>
  <c r="I636" i="16"/>
  <c r="F637" i="16"/>
  <c r="G637" i="16"/>
  <c r="I635" i="27"/>
  <c r="B635" i="35" l="1"/>
  <c r="A636" i="35"/>
  <c r="B635" i="33"/>
  <c r="A636" i="33"/>
  <c r="B635" i="36"/>
  <c r="A636" i="36"/>
  <c r="B635" i="34"/>
  <c r="A636" i="34"/>
  <c r="F637" i="27"/>
  <c r="G637" i="27"/>
  <c r="C586" i="28"/>
  <c r="H585" i="28"/>
  <c r="B639" i="16"/>
  <c r="A640" i="16"/>
  <c r="D639" i="16" a="1"/>
  <c r="D639" i="16" s="1"/>
  <c r="E639" i="16" s="1"/>
  <c r="I637" i="16"/>
  <c r="C586" i="27"/>
  <c r="H585" i="27"/>
  <c r="A639" i="27"/>
  <c r="B638" i="27"/>
  <c r="D638" i="27" a="1"/>
  <c r="D638" i="27" s="1"/>
  <c r="E638" i="27" s="1"/>
  <c r="C586" i="17"/>
  <c r="H585" i="17"/>
  <c r="I636" i="27"/>
  <c r="F638" i="16"/>
  <c r="G638" i="16"/>
  <c r="C586" i="16"/>
  <c r="H585" i="16"/>
  <c r="B636" i="34" l="1"/>
  <c r="A637" i="34"/>
  <c r="B636" i="36"/>
  <c r="A637" i="36"/>
  <c r="B636" i="33"/>
  <c r="A637" i="33"/>
  <c r="B636" i="35"/>
  <c r="A637" i="35"/>
  <c r="C587" i="17"/>
  <c r="H586" i="17"/>
  <c r="I638" i="16"/>
  <c r="A640" i="27"/>
  <c r="B639" i="27"/>
  <c r="D639" i="27" a="1"/>
  <c r="D639" i="27" s="1"/>
  <c r="E639" i="27" s="1"/>
  <c r="F639" i="16"/>
  <c r="G639" i="16"/>
  <c r="C587" i="28"/>
  <c r="H586" i="28"/>
  <c r="F638" i="27"/>
  <c r="G638" i="27"/>
  <c r="C587" i="27"/>
  <c r="H586" i="27"/>
  <c r="A641" i="16"/>
  <c r="B640" i="16"/>
  <c r="D640" i="16" a="1"/>
  <c r="D640" i="16" s="1"/>
  <c r="E640" i="16" s="1"/>
  <c r="I637" i="27"/>
  <c r="C587" i="16"/>
  <c r="H586" i="16"/>
  <c r="B637" i="34" l="1"/>
  <c r="A638" i="34"/>
  <c r="B637" i="33"/>
  <c r="A638" i="33"/>
  <c r="B637" i="35"/>
  <c r="A638" i="35"/>
  <c r="B637" i="36"/>
  <c r="A638" i="36"/>
  <c r="I639" i="16"/>
  <c r="A641" i="27"/>
  <c r="B640" i="27"/>
  <c r="D640" i="27" a="1"/>
  <c r="D640" i="27" s="1"/>
  <c r="E640" i="27" s="1"/>
  <c r="B641" i="16"/>
  <c r="A642" i="16"/>
  <c r="D641" i="16" a="1"/>
  <c r="D641" i="16" s="1"/>
  <c r="E641" i="16" s="1"/>
  <c r="G639" i="27"/>
  <c r="F639" i="27"/>
  <c r="F640" i="16"/>
  <c r="G640" i="16"/>
  <c r="C588" i="27"/>
  <c r="H587" i="27"/>
  <c r="C588" i="28"/>
  <c r="H587" i="28"/>
  <c r="C588" i="16"/>
  <c r="H587" i="16"/>
  <c r="I638" i="27"/>
  <c r="C588" i="17"/>
  <c r="H587" i="17"/>
  <c r="B638" i="34" l="1"/>
  <c r="A639" i="34"/>
  <c r="B638" i="36"/>
  <c r="A639" i="36"/>
  <c r="B638" i="35"/>
  <c r="A639" i="35"/>
  <c r="B638" i="33"/>
  <c r="A639" i="33"/>
  <c r="G641" i="16"/>
  <c r="F641" i="16"/>
  <c r="C589" i="16"/>
  <c r="H588" i="16"/>
  <c r="I639" i="27"/>
  <c r="I640" i="16"/>
  <c r="C589" i="28"/>
  <c r="H588" i="28"/>
  <c r="B642" i="16"/>
  <c r="A643" i="16"/>
  <c r="D642" i="16" a="1"/>
  <c r="D642" i="16" s="1"/>
  <c r="E642" i="16" s="1"/>
  <c r="A642" i="27"/>
  <c r="B641" i="27"/>
  <c r="D641" i="27" a="1"/>
  <c r="D641" i="27" s="1"/>
  <c r="E641" i="27" s="1"/>
  <c r="C589" i="17"/>
  <c r="H588" i="17"/>
  <c r="C589" i="27"/>
  <c r="H588" i="27"/>
  <c r="G640" i="27"/>
  <c r="F640" i="27"/>
  <c r="B639" i="34" l="1"/>
  <c r="A640" i="34"/>
  <c r="B639" i="36"/>
  <c r="A640" i="36"/>
  <c r="B639" i="35"/>
  <c r="A640" i="35"/>
  <c r="B639" i="33"/>
  <c r="A640" i="33"/>
  <c r="F641" i="27"/>
  <c r="G641" i="27"/>
  <c r="A644" i="16"/>
  <c r="B643" i="16"/>
  <c r="D643" i="16" a="1"/>
  <c r="D643" i="16" s="1"/>
  <c r="E643" i="16" s="1"/>
  <c r="I640" i="27"/>
  <c r="C590" i="17"/>
  <c r="H589" i="17"/>
  <c r="C590" i="27"/>
  <c r="H589" i="27"/>
  <c r="C590" i="16"/>
  <c r="H589" i="16"/>
  <c r="A643" i="27"/>
  <c r="B642" i="27"/>
  <c r="D642" i="27" a="1"/>
  <c r="D642" i="27" s="1"/>
  <c r="E642" i="27" s="1"/>
  <c r="G642" i="16"/>
  <c r="F642" i="16"/>
  <c r="C590" i="28"/>
  <c r="H589" i="28"/>
  <c r="K66" i="16"/>
  <c r="L71" i="17" s="1"/>
  <c r="I641" i="16"/>
  <c r="B640" i="34" l="1"/>
  <c r="A641" i="34"/>
  <c r="B640" i="33"/>
  <c r="A641" i="33"/>
  <c r="B640" i="35"/>
  <c r="A641" i="35"/>
  <c r="B640" i="36"/>
  <c r="A641" i="36"/>
  <c r="F642" i="27"/>
  <c r="G642" i="27"/>
  <c r="C591" i="16"/>
  <c r="H590" i="16"/>
  <c r="C591" i="17"/>
  <c r="H590" i="17"/>
  <c r="I642" i="16"/>
  <c r="A645" i="16"/>
  <c r="B644" i="16"/>
  <c r="D644" i="16" a="1"/>
  <c r="D644" i="16" s="1"/>
  <c r="E644" i="16" s="1"/>
  <c r="C591" i="28"/>
  <c r="H590" i="28"/>
  <c r="A644" i="27"/>
  <c r="B643" i="27"/>
  <c r="D643" i="27" a="1"/>
  <c r="D643" i="27" s="1"/>
  <c r="E643" i="27" s="1"/>
  <c r="C591" i="27"/>
  <c r="H590" i="27"/>
  <c r="K66" i="27"/>
  <c r="N71" i="17" s="1"/>
  <c r="E76" i="9" s="1"/>
  <c r="F76" i="9" s="1"/>
  <c r="I641" i="27"/>
  <c r="F643" i="16"/>
  <c r="G643" i="16"/>
  <c r="O71" i="17" l="1"/>
  <c r="B641" i="33"/>
  <c r="A642" i="33"/>
  <c r="B641" i="34"/>
  <c r="A642" i="34"/>
  <c r="B641" i="35"/>
  <c r="A642" i="35"/>
  <c r="B641" i="36"/>
  <c r="A642" i="36"/>
  <c r="D76" i="9"/>
  <c r="B644" i="27"/>
  <c r="A645" i="27"/>
  <c r="D644" i="27" a="1"/>
  <c r="D644" i="27" s="1"/>
  <c r="E644" i="27" s="1"/>
  <c r="C592" i="27"/>
  <c r="H591" i="27"/>
  <c r="I643" i="16"/>
  <c r="G644" i="16"/>
  <c r="F644" i="16"/>
  <c r="C592" i="16"/>
  <c r="H591" i="16"/>
  <c r="I642" i="27"/>
  <c r="G643" i="27"/>
  <c r="F643" i="27"/>
  <c r="C592" i="28"/>
  <c r="H591" i="28"/>
  <c r="A646" i="16"/>
  <c r="B645" i="16"/>
  <c r="D645" i="16" a="1"/>
  <c r="D645" i="16" s="1"/>
  <c r="E645" i="16" s="1"/>
  <c r="C592" i="17"/>
  <c r="H591" i="17"/>
  <c r="B642" i="36" l="1"/>
  <c r="A643" i="36"/>
  <c r="B642" i="34"/>
  <c r="A643" i="34"/>
  <c r="B642" i="35"/>
  <c r="A643" i="35"/>
  <c r="B642" i="33"/>
  <c r="A643" i="33"/>
  <c r="C593" i="17"/>
  <c r="H592" i="17"/>
  <c r="F645" i="16"/>
  <c r="G645" i="16"/>
  <c r="C593" i="28"/>
  <c r="H592" i="28"/>
  <c r="I644" i="16"/>
  <c r="C593" i="27"/>
  <c r="H592" i="27"/>
  <c r="G644" i="27"/>
  <c r="F644" i="27"/>
  <c r="A647" i="16"/>
  <c r="B646" i="16"/>
  <c r="D646" i="16" a="1"/>
  <c r="D646" i="16" s="1"/>
  <c r="E646" i="16" s="1"/>
  <c r="I643" i="27"/>
  <c r="C593" i="16"/>
  <c r="H592" i="16"/>
  <c r="A646" i="27"/>
  <c r="B645" i="27"/>
  <c r="D645" i="27" a="1"/>
  <c r="D645" i="27" s="1"/>
  <c r="E645" i="27" s="1"/>
  <c r="B643" i="33" l="1"/>
  <c r="A644" i="33"/>
  <c r="B643" i="36"/>
  <c r="A644" i="36"/>
  <c r="B643" i="34"/>
  <c r="A644" i="34"/>
  <c r="B643" i="35"/>
  <c r="A644" i="35"/>
  <c r="I645" i="16"/>
  <c r="F645" i="27"/>
  <c r="G645" i="27"/>
  <c r="C594" i="16"/>
  <c r="H593" i="16"/>
  <c r="A648" i="16"/>
  <c r="B647" i="16"/>
  <c r="D647" i="16" a="1"/>
  <c r="D647" i="16" s="1"/>
  <c r="E647" i="16" s="1"/>
  <c r="B646" i="27"/>
  <c r="A647" i="27"/>
  <c r="D646" i="27" a="1"/>
  <c r="D646" i="27" s="1"/>
  <c r="E646" i="27" s="1"/>
  <c r="G646" i="16"/>
  <c r="F646" i="16"/>
  <c r="I644" i="27"/>
  <c r="C594" i="27"/>
  <c r="H593" i="27"/>
  <c r="C594" i="28"/>
  <c r="H593" i="28"/>
  <c r="C594" i="17"/>
  <c r="H593" i="17"/>
  <c r="B644" i="33" l="1"/>
  <c r="A645" i="33"/>
  <c r="B644" i="36"/>
  <c r="A645" i="36"/>
  <c r="B644" i="35"/>
  <c r="A645" i="35"/>
  <c r="B644" i="34"/>
  <c r="A645" i="34"/>
  <c r="G646" i="27"/>
  <c r="F646" i="27"/>
  <c r="I645" i="27"/>
  <c r="C595" i="27"/>
  <c r="H594" i="27"/>
  <c r="C595" i="28"/>
  <c r="H594" i="28"/>
  <c r="A648" i="27"/>
  <c r="B647" i="27"/>
  <c r="D647" i="27" a="1"/>
  <c r="D647" i="27" s="1"/>
  <c r="E647" i="27" s="1"/>
  <c r="A649" i="16"/>
  <c r="B648" i="16"/>
  <c r="D648" i="16" a="1"/>
  <c r="D648" i="16" s="1"/>
  <c r="E648" i="16" s="1"/>
  <c r="C595" i="17"/>
  <c r="H594" i="17"/>
  <c r="I646" i="16"/>
  <c r="F647" i="16"/>
  <c r="G647" i="16"/>
  <c r="C595" i="16"/>
  <c r="H594" i="16"/>
  <c r="B645" i="34" l="1"/>
  <c r="A646" i="34"/>
  <c r="B645" i="33"/>
  <c r="A646" i="33"/>
  <c r="B645" i="35"/>
  <c r="A646" i="35"/>
  <c r="B645" i="36"/>
  <c r="A646" i="36"/>
  <c r="G648" i="16"/>
  <c r="F648" i="16"/>
  <c r="C596" i="16"/>
  <c r="H595" i="16"/>
  <c r="I647" i="16"/>
  <c r="A650" i="16"/>
  <c r="B649" i="16"/>
  <c r="D649" i="16" a="1"/>
  <c r="D649" i="16" s="1"/>
  <c r="E649" i="16" s="1"/>
  <c r="F647" i="27"/>
  <c r="G647" i="27"/>
  <c r="C596" i="28"/>
  <c r="H595" i="28"/>
  <c r="C596" i="17"/>
  <c r="H595" i="17"/>
  <c r="B648" i="27"/>
  <c r="A649" i="27"/>
  <c r="D648" i="27" a="1"/>
  <c r="D648" i="27" s="1"/>
  <c r="E648" i="27" s="1"/>
  <c r="C596" i="27"/>
  <c r="H595" i="27"/>
  <c r="I646" i="27"/>
  <c r="B646" i="35" l="1"/>
  <c r="A647" i="35"/>
  <c r="B646" i="33"/>
  <c r="A647" i="33"/>
  <c r="B646" i="34"/>
  <c r="A647" i="34"/>
  <c r="B646" i="36"/>
  <c r="A647" i="36"/>
  <c r="A650" i="27"/>
  <c r="B649" i="27"/>
  <c r="D649" i="27" a="1"/>
  <c r="D649" i="27" s="1"/>
  <c r="E649" i="27" s="1"/>
  <c r="C597" i="28"/>
  <c r="H596" i="28"/>
  <c r="C597" i="27"/>
  <c r="H596" i="27"/>
  <c r="I647" i="27"/>
  <c r="A651" i="16"/>
  <c r="B650" i="16"/>
  <c r="D650" i="16" a="1"/>
  <c r="D650" i="16" s="1"/>
  <c r="E650" i="16" s="1"/>
  <c r="C597" i="16"/>
  <c r="H596" i="16"/>
  <c r="G648" i="27"/>
  <c r="F648" i="27"/>
  <c r="C597" i="17"/>
  <c r="H596" i="17"/>
  <c r="F649" i="16"/>
  <c r="G649" i="16"/>
  <c r="I648" i="16"/>
  <c r="B647" i="36" l="1"/>
  <c r="A648" i="36"/>
  <c r="B647" i="34"/>
  <c r="A648" i="34"/>
  <c r="B647" i="35"/>
  <c r="A648" i="35"/>
  <c r="B647" i="33"/>
  <c r="A648" i="33"/>
  <c r="G650" i="16"/>
  <c r="F650" i="16"/>
  <c r="C598" i="28"/>
  <c r="H597" i="28"/>
  <c r="F649" i="27"/>
  <c r="G649" i="27"/>
  <c r="I649" i="16"/>
  <c r="I648" i="27"/>
  <c r="C598" i="27"/>
  <c r="H597" i="27"/>
  <c r="A652" i="16"/>
  <c r="B651" i="16"/>
  <c r="D651" i="16" a="1"/>
  <c r="D651" i="16" s="1"/>
  <c r="E651" i="16" s="1"/>
  <c r="C598" i="17"/>
  <c r="H597" i="17"/>
  <c r="C598" i="16"/>
  <c r="H597" i="16"/>
  <c r="B650" i="27"/>
  <c r="A651" i="27"/>
  <c r="D650" i="27" a="1"/>
  <c r="D650" i="27" s="1"/>
  <c r="E650" i="27" s="1"/>
  <c r="B648" i="33" l="1"/>
  <c r="A649" i="33"/>
  <c r="B648" i="35"/>
  <c r="A649" i="35"/>
  <c r="B648" i="36"/>
  <c r="A649" i="36"/>
  <c r="B648" i="34"/>
  <c r="A649" i="34"/>
  <c r="C599" i="17"/>
  <c r="H598" i="17"/>
  <c r="G651" i="16"/>
  <c r="F651" i="16"/>
  <c r="C599" i="27"/>
  <c r="H598" i="27"/>
  <c r="C599" i="28"/>
  <c r="H598" i="28"/>
  <c r="I649" i="27"/>
  <c r="G650" i="27"/>
  <c r="F650" i="27"/>
  <c r="C599" i="16"/>
  <c r="H598" i="16"/>
  <c r="A652" i="27"/>
  <c r="B651" i="27"/>
  <c r="D651" i="27" a="1"/>
  <c r="D651" i="27" s="1"/>
  <c r="E651" i="27" s="1"/>
  <c r="A653" i="16"/>
  <c r="B652" i="16"/>
  <c r="D652" i="16" a="1"/>
  <c r="D652" i="16" s="1"/>
  <c r="E652" i="16" s="1"/>
  <c r="I650" i="16"/>
  <c r="B649" i="36" l="1"/>
  <c r="A650" i="36"/>
  <c r="B649" i="33"/>
  <c r="A650" i="33"/>
  <c r="B649" i="35"/>
  <c r="A650" i="35"/>
  <c r="B649" i="34"/>
  <c r="A650" i="34"/>
  <c r="F652" i="16"/>
  <c r="G652" i="16"/>
  <c r="I650" i="27"/>
  <c r="C600" i="28"/>
  <c r="H599" i="28"/>
  <c r="I651" i="16"/>
  <c r="K67" i="16"/>
  <c r="L72" i="17" s="1"/>
  <c r="B652" i="27"/>
  <c r="A653" i="27"/>
  <c r="D652" i="27" a="1"/>
  <c r="D652" i="27" s="1"/>
  <c r="E652" i="27" s="1"/>
  <c r="A654" i="16"/>
  <c r="B653" i="16"/>
  <c r="D653" i="16" a="1"/>
  <c r="D653" i="16" s="1"/>
  <c r="E653" i="16" s="1"/>
  <c r="F651" i="27"/>
  <c r="G651" i="27"/>
  <c r="C600" i="16"/>
  <c r="H599" i="16"/>
  <c r="C600" i="27"/>
  <c r="H599" i="27"/>
  <c r="C600" i="17"/>
  <c r="H599" i="17"/>
  <c r="B650" i="34" l="1"/>
  <c r="A651" i="34"/>
  <c r="B650" i="35"/>
  <c r="A651" i="35"/>
  <c r="B650" i="36"/>
  <c r="A651" i="36"/>
  <c r="B650" i="33"/>
  <c r="A651" i="33"/>
  <c r="F652" i="27"/>
  <c r="G652" i="27"/>
  <c r="F653" i="16"/>
  <c r="G653" i="16"/>
  <c r="A654" i="27"/>
  <c r="B653" i="27"/>
  <c r="D653" i="27" a="1"/>
  <c r="D653" i="27" s="1"/>
  <c r="E653" i="27" s="1"/>
  <c r="C601" i="27"/>
  <c r="H600" i="27"/>
  <c r="C601" i="17"/>
  <c r="H600" i="17"/>
  <c r="C601" i="16"/>
  <c r="H600" i="16"/>
  <c r="I652" i="16"/>
  <c r="I651" i="27"/>
  <c r="K67" i="27"/>
  <c r="N72" i="17" s="1"/>
  <c r="E77" i="9" s="1"/>
  <c r="F77" i="9" s="1"/>
  <c r="B654" i="16"/>
  <c r="A655" i="16"/>
  <c r="D654" i="16" a="1"/>
  <c r="D654" i="16" s="1"/>
  <c r="E654" i="16" s="1"/>
  <c r="C601" i="28"/>
  <c r="H600" i="28"/>
  <c r="O72" i="17" l="1"/>
  <c r="B651" i="34"/>
  <c r="A652" i="34"/>
  <c r="B651" i="33"/>
  <c r="A652" i="33"/>
  <c r="B651" i="35"/>
  <c r="A652" i="35"/>
  <c r="B651" i="36"/>
  <c r="A652" i="36"/>
  <c r="D77" i="9"/>
  <c r="C602" i="17"/>
  <c r="H601" i="17"/>
  <c r="A656" i="16"/>
  <c r="B655" i="16"/>
  <c r="D655" i="16" a="1"/>
  <c r="D655" i="16" s="1"/>
  <c r="E655" i="16" s="1"/>
  <c r="C602" i="16"/>
  <c r="H601" i="16"/>
  <c r="C602" i="27"/>
  <c r="H601" i="27"/>
  <c r="I653" i="16"/>
  <c r="G653" i="27"/>
  <c r="F653" i="27"/>
  <c r="C602" i="28"/>
  <c r="H601" i="28"/>
  <c r="I652" i="27"/>
  <c r="F654" i="16"/>
  <c r="G654" i="16"/>
  <c r="A655" i="27"/>
  <c r="B654" i="27"/>
  <c r="D654" i="27" a="1"/>
  <c r="D654" i="27" s="1"/>
  <c r="E654" i="27" s="1"/>
  <c r="B652" i="36" l="1"/>
  <c r="A653" i="36"/>
  <c r="B652" i="35"/>
  <c r="A653" i="35"/>
  <c r="B652" i="33"/>
  <c r="A653" i="33"/>
  <c r="B652" i="34"/>
  <c r="A653" i="34"/>
  <c r="G655" i="16"/>
  <c r="F655" i="16"/>
  <c r="C603" i="17"/>
  <c r="H602" i="17"/>
  <c r="I653" i="27"/>
  <c r="A656" i="27"/>
  <c r="B655" i="27"/>
  <c r="D655" i="27" a="1"/>
  <c r="D655" i="27" s="1"/>
  <c r="E655" i="27" s="1"/>
  <c r="C603" i="27"/>
  <c r="H602" i="27"/>
  <c r="I654" i="16"/>
  <c r="A657" i="16"/>
  <c r="B656" i="16"/>
  <c r="D656" i="16" a="1"/>
  <c r="D656" i="16" s="1"/>
  <c r="E656" i="16" s="1"/>
  <c r="F654" i="27"/>
  <c r="G654" i="27"/>
  <c r="C603" i="28"/>
  <c r="H602" i="28"/>
  <c r="C603" i="16"/>
  <c r="H602" i="16"/>
  <c r="B653" i="34" l="1"/>
  <c r="A654" i="34"/>
  <c r="B653" i="36"/>
  <c r="A654" i="36"/>
  <c r="B653" i="35"/>
  <c r="A654" i="35"/>
  <c r="B653" i="33"/>
  <c r="A654" i="33"/>
  <c r="F656" i="16"/>
  <c r="G656" i="16"/>
  <c r="C604" i="28"/>
  <c r="H603" i="28"/>
  <c r="I654" i="27"/>
  <c r="A658" i="16"/>
  <c r="B657" i="16"/>
  <c r="D657" i="16" a="1"/>
  <c r="D657" i="16" s="1"/>
  <c r="E657" i="16" s="1"/>
  <c r="C604" i="27"/>
  <c r="H603" i="27"/>
  <c r="F655" i="27"/>
  <c r="G655" i="27"/>
  <c r="C604" i="17"/>
  <c r="H603" i="17"/>
  <c r="C604" i="16"/>
  <c r="H603" i="16"/>
  <c r="B656" i="27"/>
  <c r="A657" i="27"/>
  <c r="D656" i="27" a="1"/>
  <c r="D656" i="27" s="1"/>
  <c r="E656" i="27" s="1"/>
  <c r="I655" i="16"/>
  <c r="B654" i="33" l="1"/>
  <c r="A655" i="33"/>
  <c r="B654" i="34"/>
  <c r="A655" i="34"/>
  <c r="B654" i="35"/>
  <c r="A655" i="35"/>
  <c r="B654" i="36"/>
  <c r="A655" i="36"/>
  <c r="G656" i="27"/>
  <c r="F656" i="27"/>
  <c r="C605" i="16"/>
  <c r="H604" i="16"/>
  <c r="I655" i="27"/>
  <c r="A658" i="27"/>
  <c r="B657" i="27"/>
  <c r="D657" i="27" a="1"/>
  <c r="D657" i="27" s="1"/>
  <c r="E657" i="27" s="1"/>
  <c r="A659" i="16"/>
  <c r="B658" i="16"/>
  <c r="D658" i="16" a="1"/>
  <c r="D658" i="16" s="1"/>
  <c r="E658" i="16" s="1"/>
  <c r="C605" i="28"/>
  <c r="H604" i="28"/>
  <c r="C605" i="17"/>
  <c r="H604" i="17"/>
  <c r="C605" i="27"/>
  <c r="H604" i="27"/>
  <c r="I656" i="16"/>
  <c r="F657" i="16"/>
  <c r="G657" i="16"/>
  <c r="B655" i="36" l="1"/>
  <c r="A656" i="36"/>
  <c r="B655" i="35"/>
  <c r="A656" i="35"/>
  <c r="B655" i="34"/>
  <c r="A656" i="34"/>
  <c r="B655" i="33"/>
  <c r="A656" i="33"/>
  <c r="F658" i="16"/>
  <c r="G658" i="16"/>
  <c r="C606" i="28"/>
  <c r="H605" i="28"/>
  <c r="C606" i="17"/>
  <c r="H605" i="17"/>
  <c r="B658" i="27"/>
  <c r="A659" i="27"/>
  <c r="D658" i="27" a="1"/>
  <c r="D658" i="27" s="1"/>
  <c r="E658" i="27" s="1"/>
  <c r="C606" i="16"/>
  <c r="H605" i="16"/>
  <c r="C606" i="27"/>
  <c r="H605" i="27"/>
  <c r="I657" i="16"/>
  <c r="A660" i="16"/>
  <c r="B659" i="16"/>
  <c r="D659" i="16" a="1"/>
  <c r="D659" i="16" s="1"/>
  <c r="E659" i="16" s="1"/>
  <c r="F657" i="27"/>
  <c r="G657" i="27"/>
  <c r="I656" i="27"/>
  <c r="B656" i="36" l="1"/>
  <c r="A657" i="36"/>
  <c r="B656" i="35"/>
  <c r="A657" i="35"/>
  <c r="B656" i="34"/>
  <c r="A657" i="34"/>
  <c r="B656" i="33"/>
  <c r="A657" i="33"/>
  <c r="I657" i="27"/>
  <c r="A661" i="16"/>
  <c r="B660" i="16"/>
  <c r="D660" i="16" a="1"/>
  <c r="D660" i="16" s="1"/>
  <c r="E660" i="16" s="1"/>
  <c r="C607" i="27"/>
  <c r="H606" i="27"/>
  <c r="A660" i="27"/>
  <c r="B659" i="27"/>
  <c r="D659" i="27" a="1"/>
  <c r="D659" i="27" s="1"/>
  <c r="E659" i="27" s="1"/>
  <c r="C607" i="28"/>
  <c r="H606" i="28"/>
  <c r="G659" i="16"/>
  <c r="F659" i="16"/>
  <c r="C607" i="16"/>
  <c r="H606" i="16"/>
  <c r="I658" i="16"/>
  <c r="G658" i="27"/>
  <c r="F658" i="27"/>
  <c r="C607" i="17"/>
  <c r="H606" i="17"/>
  <c r="B657" i="33" l="1"/>
  <c r="A658" i="33"/>
  <c r="B657" i="34"/>
  <c r="A658" i="34"/>
  <c r="B657" i="35"/>
  <c r="A658" i="35"/>
  <c r="B657" i="36"/>
  <c r="A658" i="36"/>
  <c r="B660" i="27"/>
  <c r="A661" i="27"/>
  <c r="D660" i="27" a="1"/>
  <c r="D660" i="27" s="1"/>
  <c r="E660" i="27" s="1"/>
  <c r="C608" i="17"/>
  <c r="H607" i="17"/>
  <c r="I659" i="16"/>
  <c r="I658" i="27"/>
  <c r="C608" i="16"/>
  <c r="H607" i="16"/>
  <c r="C608" i="28"/>
  <c r="H607" i="28"/>
  <c r="A662" i="16"/>
  <c r="B661" i="16"/>
  <c r="D661" i="16" a="1"/>
  <c r="D661" i="16" s="1"/>
  <c r="E661" i="16" s="1"/>
  <c r="G659" i="27"/>
  <c r="F659" i="27"/>
  <c r="C608" i="27"/>
  <c r="H607" i="27"/>
  <c r="F660" i="16"/>
  <c r="G660" i="16"/>
  <c r="B658" i="33" l="1"/>
  <c r="A659" i="33"/>
  <c r="B658" i="36"/>
  <c r="A659" i="36"/>
  <c r="B658" i="34"/>
  <c r="A659" i="34"/>
  <c r="B658" i="35"/>
  <c r="A659" i="35"/>
  <c r="G661" i="16"/>
  <c r="F661" i="16"/>
  <c r="C609" i="28"/>
  <c r="H608" i="28"/>
  <c r="C609" i="17"/>
  <c r="H608" i="17"/>
  <c r="F660" i="27"/>
  <c r="G660" i="27"/>
  <c r="I660" i="16"/>
  <c r="A663" i="16"/>
  <c r="B662" i="16"/>
  <c r="D662" i="16" a="1"/>
  <c r="D662" i="16" s="1"/>
  <c r="E662" i="16" s="1"/>
  <c r="C609" i="16"/>
  <c r="H608" i="16"/>
  <c r="A662" i="27"/>
  <c r="B661" i="27"/>
  <c r="D661" i="27" a="1"/>
  <c r="D661" i="27" s="1"/>
  <c r="E661" i="27" s="1"/>
  <c r="C609" i="27"/>
  <c r="H608" i="27"/>
  <c r="I659" i="27"/>
  <c r="B659" i="33" l="1"/>
  <c r="A660" i="33"/>
  <c r="B659" i="35"/>
  <c r="A660" i="35"/>
  <c r="B659" i="36"/>
  <c r="A660" i="36"/>
  <c r="B659" i="34"/>
  <c r="A660" i="34"/>
  <c r="B662" i="27"/>
  <c r="A663" i="27"/>
  <c r="D662" i="27" a="1"/>
  <c r="D662" i="27" s="1"/>
  <c r="E662" i="27" s="1"/>
  <c r="I660" i="27"/>
  <c r="C610" i="27"/>
  <c r="H609" i="27"/>
  <c r="A664" i="16"/>
  <c r="B663" i="16"/>
  <c r="D663" i="16" a="1"/>
  <c r="D663" i="16" s="1"/>
  <c r="E663" i="16" s="1"/>
  <c r="C610" i="28"/>
  <c r="H609" i="28"/>
  <c r="G661" i="27"/>
  <c r="F661" i="27"/>
  <c r="C610" i="16"/>
  <c r="H609" i="16"/>
  <c r="F662" i="16"/>
  <c r="G662" i="16"/>
  <c r="C610" i="17"/>
  <c r="H609" i="17"/>
  <c r="I661" i="16"/>
  <c r="K68" i="16"/>
  <c r="L73" i="17" s="1"/>
  <c r="B660" i="34" l="1"/>
  <c r="A661" i="34"/>
  <c r="B660" i="35"/>
  <c r="A661" i="35"/>
  <c r="B660" i="33"/>
  <c r="A661" i="33"/>
  <c r="B660" i="36"/>
  <c r="A661" i="36"/>
  <c r="C611" i="16"/>
  <c r="H610" i="16"/>
  <c r="C611" i="28"/>
  <c r="H610" i="28"/>
  <c r="I662" i="16"/>
  <c r="I661" i="27"/>
  <c r="K68" i="27"/>
  <c r="N73" i="17" s="1"/>
  <c r="E78" i="9" s="1"/>
  <c r="F78" i="9" s="1"/>
  <c r="A665" i="16"/>
  <c r="B664" i="16"/>
  <c r="D664" i="16" a="1"/>
  <c r="D664" i="16" s="1"/>
  <c r="E664" i="16" s="1"/>
  <c r="G662" i="27"/>
  <c r="F662" i="27"/>
  <c r="G663" i="16"/>
  <c r="F663" i="16"/>
  <c r="C611" i="27"/>
  <c r="H610" i="27"/>
  <c r="A664" i="27"/>
  <c r="B663" i="27"/>
  <c r="D663" i="27" a="1"/>
  <c r="D663" i="27" s="1"/>
  <c r="E663" i="27" s="1"/>
  <c r="C611" i="17"/>
  <c r="H610" i="17"/>
  <c r="O73" i="17" l="1"/>
  <c r="B661" i="35"/>
  <c r="A662" i="35"/>
  <c r="B661" i="36"/>
  <c r="A662" i="36"/>
  <c r="B661" i="33"/>
  <c r="A662" i="33"/>
  <c r="B661" i="34"/>
  <c r="A662" i="34"/>
  <c r="F664" i="16"/>
  <c r="G664" i="16"/>
  <c r="D78" i="9"/>
  <c r="C612" i="28"/>
  <c r="H611" i="28"/>
  <c r="B664" i="27"/>
  <c r="A665" i="27"/>
  <c r="D664" i="27" a="1"/>
  <c r="D664" i="27" s="1"/>
  <c r="E664" i="27" s="1"/>
  <c r="I663" i="16"/>
  <c r="C612" i="17"/>
  <c r="H611" i="17"/>
  <c r="A666" i="16"/>
  <c r="B665" i="16"/>
  <c r="D665" i="16" a="1"/>
  <c r="D665" i="16" s="1"/>
  <c r="E665" i="16" s="1"/>
  <c r="F663" i="27"/>
  <c r="G663" i="27"/>
  <c r="C612" i="27"/>
  <c r="H611" i="27"/>
  <c r="I662" i="27"/>
  <c r="C612" i="16"/>
  <c r="H611" i="16"/>
  <c r="B662" i="33" l="1"/>
  <c r="A663" i="33"/>
  <c r="B662" i="35"/>
  <c r="A663" i="35"/>
  <c r="B662" i="34"/>
  <c r="A663" i="34"/>
  <c r="B662" i="36"/>
  <c r="A663" i="36"/>
  <c r="C613" i="27"/>
  <c r="H612" i="27"/>
  <c r="C613" i="16"/>
  <c r="H612" i="16"/>
  <c r="I663" i="27"/>
  <c r="B666" i="16"/>
  <c r="A667" i="16"/>
  <c r="D666" i="16" a="1"/>
  <c r="D666" i="16" s="1"/>
  <c r="E666" i="16" s="1"/>
  <c r="F664" i="27"/>
  <c r="G664" i="27"/>
  <c r="C613" i="28"/>
  <c r="H612" i="28"/>
  <c r="I664" i="16"/>
  <c r="F665" i="16"/>
  <c r="G665" i="16"/>
  <c r="C613" i="17"/>
  <c r="H612" i="17"/>
  <c r="A666" i="27"/>
  <c r="B665" i="27"/>
  <c r="D665" i="27" a="1"/>
  <c r="D665" i="27" s="1"/>
  <c r="E665" i="27" s="1"/>
  <c r="B663" i="34" l="1"/>
  <c r="A664" i="34"/>
  <c r="B663" i="36"/>
  <c r="A664" i="36"/>
  <c r="B663" i="33"/>
  <c r="A664" i="33"/>
  <c r="B663" i="35"/>
  <c r="A664" i="35"/>
  <c r="G665" i="27"/>
  <c r="F665" i="27"/>
  <c r="C614" i="17"/>
  <c r="H613" i="17"/>
  <c r="F666" i="16"/>
  <c r="G666" i="16"/>
  <c r="I665" i="16"/>
  <c r="A667" i="27"/>
  <c r="B666" i="27"/>
  <c r="D666" i="27" a="1"/>
  <c r="D666" i="27" s="1"/>
  <c r="E666" i="27" s="1"/>
  <c r="C614" i="28"/>
  <c r="H613" i="28"/>
  <c r="A668" i="16"/>
  <c r="B667" i="16"/>
  <c r="D667" i="16" a="1"/>
  <c r="D667" i="16" s="1"/>
  <c r="E667" i="16" s="1"/>
  <c r="I664" i="27"/>
  <c r="C614" i="16"/>
  <c r="H613" i="16"/>
  <c r="C614" i="27"/>
  <c r="H613" i="27"/>
  <c r="B664" i="35" l="1"/>
  <c r="A665" i="35"/>
  <c r="B664" i="33"/>
  <c r="A665" i="33"/>
  <c r="B664" i="36"/>
  <c r="A665" i="36"/>
  <c r="B664" i="34"/>
  <c r="A665" i="34"/>
  <c r="F667" i="16"/>
  <c r="G667" i="16"/>
  <c r="C615" i="28"/>
  <c r="H614" i="28"/>
  <c r="F666" i="27"/>
  <c r="G666" i="27"/>
  <c r="C615" i="17"/>
  <c r="H614" i="17"/>
  <c r="C615" i="16"/>
  <c r="H614" i="16"/>
  <c r="I666" i="16"/>
  <c r="B668" i="16"/>
  <c r="A669" i="16"/>
  <c r="D668" i="16" a="1"/>
  <c r="D668" i="16" s="1"/>
  <c r="E668" i="16" s="1"/>
  <c r="C615" i="27"/>
  <c r="H614" i="27"/>
  <c r="A668" i="27"/>
  <c r="B667" i="27"/>
  <c r="D667" i="27" a="1"/>
  <c r="D667" i="27" s="1"/>
  <c r="E667" i="27" s="1"/>
  <c r="I665" i="27"/>
  <c r="B665" i="34" l="1"/>
  <c r="A666" i="34"/>
  <c r="B665" i="35"/>
  <c r="A666" i="35"/>
  <c r="B665" i="36"/>
  <c r="A666" i="36"/>
  <c r="B665" i="33"/>
  <c r="A666" i="33"/>
  <c r="G667" i="27"/>
  <c r="F667" i="27"/>
  <c r="C616" i="27"/>
  <c r="H615" i="27"/>
  <c r="F668" i="16"/>
  <c r="G668" i="16"/>
  <c r="C616" i="17"/>
  <c r="H615" i="17"/>
  <c r="C616" i="28"/>
  <c r="H615" i="28"/>
  <c r="A669" i="27"/>
  <c r="B668" i="27"/>
  <c r="D668" i="27" a="1"/>
  <c r="D668" i="27" s="1"/>
  <c r="E668" i="27" s="1"/>
  <c r="B669" i="16"/>
  <c r="A670" i="16"/>
  <c r="D669" i="16" a="1"/>
  <c r="D669" i="16" s="1"/>
  <c r="E669" i="16" s="1"/>
  <c r="I666" i="27"/>
  <c r="I667" i="16"/>
  <c r="C616" i="16"/>
  <c r="H615" i="16"/>
  <c r="B666" i="33" l="1"/>
  <c r="A667" i="33"/>
  <c r="B666" i="35"/>
  <c r="A667" i="35"/>
  <c r="B666" i="36"/>
  <c r="A667" i="36"/>
  <c r="B666" i="34"/>
  <c r="A667" i="34"/>
  <c r="F669" i="16"/>
  <c r="G669" i="16"/>
  <c r="C617" i="16"/>
  <c r="H616" i="16"/>
  <c r="A671" i="16"/>
  <c r="B670" i="16"/>
  <c r="D670" i="16" a="1"/>
  <c r="D670" i="16" s="1"/>
  <c r="E670" i="16" s="1"/>
  <c r="A670" i="27"/>
  <c r="B669" i="27"/>
  <c r="D669" i="27" a="1"/>
  <c r="D669" i="27" s="1"/>
  <c r="E669" i="27" s="1"/>
  <c r="C617" i="17"/>
  <c r="H616" i="17"/>
  <c r="C617" i="27"/>
  <c r="H616" i="27"/>
  <c r="I668" i="16"/>
  <c r="F668" i="27"/>
  <c r="G668" i="27"/>
  <c r="C617" i="28"/>
  <c r="H616" i="28"/>
  <c r="I667" i="27"/>
  <c r="B667" i="33" l="1"/>
  <c r="A668" i="33"/>
  <c r="B667" i="34"/>
  <c r="A668" i="34"/>
  <c r="B667" i="36"/>
  <c r="A668" i="36"/>
  <c r="B667" i="35"/>
  <c r="A668" i="35"/>
  <c r="G669" i="27"/>
  <c r="F669" i="27"/>
  <c r="C618" i="27"/>
  <c r="H617" i="27"/>
  <c r="A671" i="27"/>
  <c r="B670" i="27"/>
  <c r="D670" i="27" a="1"/>
  <c r="D670" i="27" s="1"/>
  <c r="E670" i="27" s="1"/>
  <c r="F670" i="16"/>
  <c r="G670" i="16"/>
  <c r="C618" i="16"/>
  <c r="H617" i="16"/>
  <c r="C618" i="28"/>
  <c r="H617" i="28"/>
  <c r="C618" i="17"/>
  <c r="H617" i="17"/>
  <c r="I668" i="27"/>
  <c r="I669" i="16"/>
  <c r="B671" i="16"/>
  <c r="A672" i="16"/>
  <c r="D671" i="16" a="1"/>
  <c r="D671" i="16" s="1"/>
  <c r="E671" i="16" s="1"/>
  <c r="B668" i="36" l="1"/>
  <c r="A669" i="36"/>
  <c r="B668" i="35"/>
  <c r="A669" i="35"/>
  <c r="B668" i="34"/>
  <c r="A669" i="34"/>
  <c r="B668" i="33"/>
  <c r="A669" i="33"/>
  <c r="F671" i="16"/>
  <c r="G671" i="16"/>
  <c r="C619" i="16"/>
  <c r="H618" i="16"/>
  <c r="B672" i="16"/>
  <c r="A673" i="16"/>
  <c r="D672" i="16" a="1"/>
  <c r="D672" i="16" s="1"/>
  <c r="E672" i="16" s="1"/>
  <c r="C619" i="28"/>
  <c r="H618" i="28"/>
  <c r="G670" i="27"/>
  <c r="F670" i="27"/>
  <c r="C619" i="27"/>
  <c r="H618" i="27"/>
  <c r="C619" i="17"/>
  <c r="H618" i="17"/>
  <c r="I670" i="16"/>
  <c r="A672" i="27"/>
  <c r="B671" i="27"/>
  <c r="D671" i="27" a="1"/>
  <c r="D671" i="27" s="1"/>
  <c r="E671" i="27" s="1"/>
  <c r="I669" i="27"/>
  <c r="B669" i="33" l="1"/>
  <c r="A670" i="33"/>
  <c r="B669" i="34"/>
  <c r="A670" i="34"/>
  <c r="B669" i="36"/>
  <c r="A670" i="36"/>
  <c r="B669" i="35"/>
  <c r="A670" i="35"/>
  <c r="G671" i="27"/>
  <c r="F671" i="27"/>
  <c r="C620" i="27"/>
  <c r="H619" i="27"/>
  <c r="C620" i="28"/>
  <c r="H619" i="28"/>
  <c r="F672" i="16"/>
  <c r="G672" i="16"/>
  <c r="C620" i="16"/>
  <c r="H619" i="16"/>
  <c r="A673" i="27"/>
  <c r="B672" i="27"/>
  <c r="D672" i="27" a="1"/>
  <c r="D672" i="27" s="1"/>
  <c r="E672" i="27" s="1"/>
  <c r="C620" i="17"/>
  <c r="H619" i="17"/>
  <c r="I670" i="27"/>
  <c r="B673" i="16"/>
  <c r="A674" i="16"/>
  <c r="D673" i="16" a="1"/>
  <c r="D673" i="16" s="1"/>
  <c r="E673" i="16" s="1"/>
  <c r="I671" i="16"/>
  <c r="K69" i="16"/>
  <c r="L74" i="17" s="1"/>
  <c r="B670" i="36" l="1"/>
  <c r="A671" i="36"/>
  <c r="B670" i="35"/>
  <c r="A671" i="35"/>
  <c r="B670" i="33"/>
  <c r="A671" i="33"/>
  <c r="B670" i="34"/>
  <c r="A671" i="34"/>
  <c r="F673" i="16"/>
  <c r="G673" i="16"/>
  <c r="I672" i="16"/>
  <c r="A675" i="16"/>
  <c r="B674" i="16"/>
  <c r="D674" i="16" a="1"/>
  <c r="D674" i="16" s="1"/>
  <c r="E674" i="16" s="1"/>
  <c r="A674" i="27"/>
  <c r="B673" i="27"/>
  <c r="D673" i="27" a="1"/>
  <c r="D673" i="27" s="1"/>
  <c r="E673" i="27" s="1"/>
  <c r="C621" i="27"/>
  <c r="H620" i="27"/>
  <c r="C621" i="17"/>
  <c r="H620" i="17"/>
  <c r="G672" i="27"/>
  <c r="F672" i="27"/>
  <c r="C621" i="16"/>
  <c r="H620" i="16"/>
  <c r="C621" i="28"/>
  <c r="H620" i="28"/>
  <c r="K69" i="27"/>
  <c r="N74" i="17" s="1"/>
  <c r="E79" i="9" s="1"/>
  <c r="F79" i="9" s="1"/>
  <c r="I671" i="27"/>
  <c r="O74" i="17" l="1"/>
  <c r="B671" i="35"/>
  <c r="A672" i="35"/>
  <c r="B671" i="33"/>
  <c r="A672" i="33"/>
  <c r="B671" i="34"/>
  <c r="A672" i="34"/>
  <c r="B671" i="36"/>
  <c r="A672" i="36"/>
  <c r="D79" i="9"/>
  <c r="F674" i="16"/>
  <c r="G674" i="16"/>
  <c r="G673" i="27"/>
  <c r="F673" i="27"/>
  <c r="C622" i="28"/>
  <c r="H621" i="28"/>
  <c r="C622" i="27"/>
  <c r="H621" i="27"/>
  <c r="C622" i="16"/>
  <c r="H621" i="16"/>
  <c r="A676" i="16"/>
  <c r="B675" i="16"/>
  <c r="D675" i="16" a="1"/>
  <c r="D675" i="16" s="1"/>
  <c r="E675" i="16" s="1"/>
  <c r="I673" i="16"/>
  <c r="I672" i="27"/>
  <c r="C622" i="17"/>
  <c r="H621" i="17"/>
  <c r="A675" i="27"/>
  <c r="B674" i="27"/>
  <c r="D674" i="27" a="1"/>
  <c r="D674" i="27" s="1"/>
  <c r="E674" i="27" s="1"/>
  <c r="B672" i="36" l="1"/>
  <c r="A673" i="36"/>
  <c r="B672" i="35"/>
  <c r="A673" i="35"/>
  <c r="B672" i="33"/>
  <c r="A673" i="33"/>
  <c r="B672" i="34"/>
  <c r="A673" i="34"/>
  <c r="F675" i="16"/>
  <c r="G675" i="16"/>
  <c r="C623" i="16"/>
  <c r="H622" i="16"/>
  <c r="C623" i="28"/>
  <c r="H622" i="28"/>
  <c r="B675" i="27"/>
  <c r="A676" i="27"/>
  <c r="D675" i="27" a="1"/>
  <c r="D675" i="27" s="1"/>
  <c r="E675" i="27" s="1"/>
  <c r="A677" i="16"/>
  <c r="B676" i="16"/>
  <c r="D676" i="16" a="1"/>
  <c r="D676" i="16" s="1"/>
  <c r="E676" i="16" s="1"/>
  <c r="C623" i="27"/>
  <c r="H622" i="27"/>
  <c r="I673" i="27"/>
  <c r="F674" i="27"/>
  <c r="G674" i="27"/>
  <c r="C623" i="17"/>
  <c r="H622" i="17"/>
  <c r="I674" i="16"/>
  <c r="B673" i="36" l="1"/>
  <c r="A674" i="36"/>
  <c r="B673" i="34"/>
  <c r="A674" i="34"/>
  <c r="B673" i="33"/>
  <c r="A674" i="33"/>
  <c r="B673" i="35"/>
  <c r="A674" i="35"/>
  <c r="F676" i="16"/>
  <c r="G676" i="16"/>
  <c r="A677" i="27"/>
  <c r="B676" i="27"/>
  <c r="D676" i="27" a="1"/>
  <c r="D676" i="27" s="1"/>
  <c r="E676" i="27" s="1"/>
  <c r="C624" i="17"/>
  <c r="H623" i="17"/>
  <c r="C624" i="16"/>
  <c r="H623" i="16"/>
  <c r="C624" i="27"/>
  <c r="H623" i="27"/>
  <c r="I674" i="27"/>
  <c r="A678" i="16"/>
  <c r="B677" i="16"/>
  <c r="D677" i="16" a="1"/>
  <c r="D677" i="16" s="1"/>
  <c r="E677" i="16" s="1"/>
  <c r="I675" i="16"/>
  <c r="G675" i="27"/>
  <c r="F675" i="27"/>
  <c r="C624" i="28"/>
  <c r="H623" i="28"/>
  <c r="B674" i="33" l="1"/>
  <c r="A675" i="33"/>
  <c r="B674" i="36"/>
  <c r="A675" i="36"/>
  <c r="B674" i="35"/>
  <c r="A675" i="35"/>
  <c r="B674" i="34"/>
  <c r="A675" i="34"/>
  <c r="G677" i="16"/>
  <c r="F677" i="16"/>
  <c r="C625" i="16"/>
  <c r="H624" i="16"/>
  <c r="A678" i="27"/>
  <c r="B677" i="27"/>
  <c r="D677" i="27" a="1"/>
  <c r="D677" i="27" s="1"/>
  <c r="E677" i="27" s="1"/>
  <c r="C625" i="28"/>
  <c r="H624" i="28"/>
  <c r="I675" i="27"/>
  <c r="B678" i="16"/>
  <c r="A679" i="16"/>
  <c r="D678" i="16" a="1"/>
  <c r="D678" i="16" s="1"/>
  <c r="E678" i="16" s="1"/>
  <c r="C625" i="27"/>
  <c r="H624" i="27"/>
  <c r="C625" i="17"/>
  <c r="H624" i="17"/>
  <c r="I676" i="16"/>
  <c r="G676" i="27"/>
  <c r="F676" i="27"/>
  <c r="B675" i="36" l="1"/>
  <c r="A676" i="36"/>
  <c r="B675" i="34"/>
  <c r="A676" i="34"/>
  <c r="B675" i="35"/>
  <c r="A676" i="35"/>
  <c r="B675" i="33"/>
  <c r="A676" i="33"/>
  <c r="C626" i="27"/>
  <c r="H625" i="27"/>
  <c r="C626" i="28"/>
  <c r="H625" i="28"/>
  <c r="F677" i="27"/>
  <c r="G677" i="27"/>
  <c r="C626" i="16"/>
  <c r="H625" i="16"/>
  <c r="F678" i="16"/>
  <c r="G678" i="16"/>
  <c r="I676" i="27"/>
  <c r="C626" i="17"/>
  <c r="H625" i="17"/>
  <c r="A680" i="16"/>
  <c r="B679" i="16"/>
  <c r="D679" i="16" a="1"/>
  <c r="D679" i="16" s="1"/>
  <c r="E679" i="16" s="1"/>
  <c r="A679" i="27"/>
  <c r="B678" i="27"/>
  <c r="D678" i="27" a="1"/>
  <c r="D678" i="27" s="1"/>
  <c r="E678" i="27" s="1"/>
  <c r="I677" i="16"/>
  <c r="B676" i="34" l="1"/>
  <c r="A677" i="34"/>
  <c r="B676" i="35"/>
  <c r="A677" i="35"/>
  <c r="B676" i="36"/>
  <c r="A677" i="36"/>
  <c r="B676" i="33"/>
  <c r="A677" i="33"/>
  <c r="F678" i="27"/>
  <c r="G678" i="27"/>
  <c r="B680" i="16"/>
  <c r="A681" i="16"/>
  <c r="D680" i="16" a="1"/>
  <c r="D680" i="16" s="1"/>
  <c r="E680" i="16" s="1"/>
  <c r="C627" i="16"/>
  <c r="H626" i="16"/>
  <c r="C627" i="28"/>
  <c r="H626" i="28"/>
  <c r="A680" i="27"/>
  <c r="B679" i="27"/>
  <c r="D679" i="27" a="1"/>
  <c r="D679" i="27" s="1"/>
  <c r="E679" i="27" s="1"/>
  <c r="I678" i="16"/>
  <c r="I677" i="27"/>
  <c r="G679" i="16"/>
  <c r="F679" i="16"/>
  <c r="C627" i="17"/>
  <c r="H626" i="17"/>
  <c r="C627" i="27"/>
  <c r="H626" i="27"/>
  <c r="B677" i="35" l="1"/>
  <c r="A678" i="35"/>
  <c r="B677" i="33"/>
  <c r="A678" i="33"/>
  <c r="B677" i="36"/>
  <c r="A678" i="36"/>
  <c r="B677" i="34"/>
  <c r="A678" i="34"/>
  <c r="G679" i="27"/>
  <c r="F679" i="27"/>
  <c r="C628" i="28"/>
  <c r="H627" i="28"/>
  <c r="A682" i="16"/>
  <c r="B681" i="16"/>
  <c r="D681" i="16" a="1"/>
  <c r="D681" i="16" s="1"/>
  <c r="E681" i="16" s="1"/>
  <c r="I679" i="16"/>
  <c r="C628" i="17"/>
  <c r="H627" i="17"/>
  <c r="C628" i="27"/>
  <c r="H627" i="27"/>
  <c r="A681" i="27"/>
  <c r="B680" i="27"/>
  <c r="D680" i="27" a="1"/>
  <c r="D680" i="27" s="1"/>
  <c r="E680" i="27" s="1"/>
  <c r="C628" i="16"/>
  <c r="H627" i="16"/>
  <c r="I678" i="27"/>
  <c r="F680" i="16"/>
  <c r="G680" i="16"/>
  <c r="B678" i="35" l="1"/>
  <c r="A679" i="35"/>
  <c r="B678" i="33"/>
  <c r="A679" i="33"/>
  <c r="B678" i="34"/>
  <c r="A679" i="34"/>
  <c r="B678" i="36"/>
  <c r="A679" i="36"/>
  <c r="F680" i="27"/>
  <c r="G680" i="27"/>
  <c r="C629" i="27"/>
  <c r="H628" i="27"/>
  <c r="F681" i="16"/>
  <c r="G681" i="16"/>
  <c r="C629" i="28"/>
  <c r="H628" i="28"/>
  <c r="I680" i="16"/>
  <c r="A682" i="27"/>
  <c r="B681" i="27"/>
  <c r="D681" i="27" a="1"/>
  <c r="D681" i="27" s="1"/>
  <c r="E681" i="27" s="1"/>
  <c r="C629" i="17"/>
  <c r="H628" i="17"/>
  <c r="C629" i="16"/>
  <c r="H628" i="16"/>
  <c r="A683" i="16"/>
  <c r="B682" i="16"/>
  <c r="D682" i="16" a="1"/>
  <c r="D682" i="16" s="1"/>
  <c r="E682" i="16" s="1"/>
  <c r="I679" i="27"/>
  <c r="B679" i="35" l="1"/>
  <c r="A680" i="35"/>
  <c r="B679" i="36"/>
  <c r="A680" i="36"/>
  <c r="B679" i="34"/>
  <c r="A680" i="34"/>
  <c r="B679" i="33"/>
  <c r="A680" i="33"/>
  <c r="F682" i="16"/>
  <c r="G682" i="16"/>
  <c r="C630" i="16"/>
  <c r="H629" i="16"/>
  <c r="B682" i="27"/>
  <c r="A683" i="27"/>
  <c r="D682" i="27" a="1"/>
  <c r="D682" i="27" s="1"/>
  <c r="E682" i="27" s="1"/>
  <c r="C630" i="28"/>
  <c r="H629" i="28"/>
  <c r="C630" i="27"/>
  <c r="H629" i="27"/>
  <c r="A684" i="16"/>
  <c r="B683" i="16"/>
  <c r="D683" i="16" a="1"/>
  <c r="D683" i="16" s="1"/>
  <c r="E683" i="16" s="1"/>
  <c r="C630" i="17"/>
  <c r="H629" i="17"/>
  <c r="K70" i="16"/>
  <c r="L75" i="17" s="1"/>
  <c r="I681" i="16"/>
  <c r="I680" i="27"/>
  <c r="G681" i="27"/>
  <c r="F681" i="27"/>
  <c r="B680" i="33" l="1"/>
  <c r="A681" i="33"/>
  <c r="B680" i="36"/>
  <c r="A681" i="36"/>
  <c r="B680" i="35"/>
  <c r="A681" i="35"/>
  <c r="B680" i="34"/>
  <c r="A681" i="34"/>
  <c r="C631" i="17"/>
  <c r="H630" i="17"/>
  <c r="K70" i="27"/>
  <c r="N75" i="17" s="1"/>
  <c r="E80" i="9" s="1"/>
  <c r="F80" i="9" s="1"/>
  <c r="I681" i="27"/>
  <c r="A685" i="16"/>
  <c r="B684" i="16"/>
  <c r="D684" i="16" a="1"/>
  <c r="D684" i="16" s="1"/>
  <c r="E684" i="16" s="1"/>
  <c r="C631" i="28"/>
  <c r="H630" i="28"/>
  <c r="G682" i="27"/>
  <c r="F682" i="27"/>
  <c r="C631" i="16"/>
  <c r="H630" i="16"/>
  <c r="F683" i="16"/>
  <c r="G683" i="16"/>
  <c r="C631" i="27"/>
  <c r="H630" i="27"/>
  <c r="B683" i="27"/>
  <c r="A684" i="27"/>
  <c r="D683" i="27" a="1"/>
  <c r="D683" i="27" s="1"/>
  <c r="E683" i="27" s="1"/>
  <c r="I682" i="16"/>
  <c r="O75" i="17" l="1"/>
  <c r="B681" i="35"/>
  <c r="A682" i="35"/>
  <c r="B681" i="34"/>
  <c r="A682" i="34"/>
  <c r="B681" i="36"/>
  <c r="A682" i="36"/>
  <c r="B681" i="33"/>
  <c r="A682" i="33"/>
  <c r="F684" i="16"/>
  <c r="G684" i="16"/>
  <c r="A685" i="27"/>
  <c r="B684" i="27"/>
  <c r="D684" i="27" a="1"/>
  <c r="D684" i="27" s="1"/>
  <c r="E684" i="27" s="1"/>
  <c r="D80" i="9"/>
  <c r="I683" i="16"/>
  <c r="I682" i="27"/>
  <c r="A686" i="16"/>
  <c r="B685" i="16"/>
  <c r="D685" i="16" a="1"/>
  <c r="D685" i="16" s="1"/>
  <c r="E685" i="16" s="1"/>
  <c r="F683" i="27"/>
  <c r="G683" i="27"/>
  <c r="C632" i="27"/>
  <c r="H631" i="27"/>
  <c r="C632" i="16"/>
  <c r="H631" i="16"/>
  <c r="C632" i="28"/>
  <c r="H631" i="28"/>
  <c r="C632" i="17"/>
  <c r="H631" i="17"/>
  <c r="B682" i="35" l="1"/>
  <c r="A683" i="35"/>
  <c r="B682" i="36"/>
  <c r="A683" i="36"/>
  <c r="B682" i="33"/>
  <c r="A683" i="33"/>
  <c r="B682" i="34"/>
  <c r="A683" i="34"/>
  <c r="I683" i="27"/>
  <c r="A687" i="16"/>
  <c r="B686" i="16"/>
  <c r="D686" i="16" a="1"/>
  <c r="D686" i="16" s="1"/>
  <c r="E686" i="16" s="1"/>
  <c r="C633" i="17"/>
  <c r="H632" i="17"/>
  <c r="C633" i="16"/>
  <c r="H632" i="16"/>
  <c r="G685" i="16"/>
  <c r="F685" i="16"/>
  <c r="A686" i="27"/>
  <c r="B685" i="27"/>
  <c r="D685" i="27" a="1"/>
  <c r="D685" i="27" s="1"/>
  <c r="E685" i="27" s="1"/>
  <c r="C633" i="28"/>
  <c r="H632" i="28"/>
  <c r="C633" i="27"/>
  <c r="H632" i="27"/>
  <c r="I684" i="16"/>
  <c r="F684" i="27"/>
  <c r="G684" i="27"/>
  <c r="B683" i="36" l="1"/>
  <c r="A684" i="36"/>
  <c r="B683" i="34"/>
  <c r="A684" i="34"/>
  <c r="B683" i="35"/>
  <c r="A684" i="35"/>
  <c r="B683" i="33"/>
  <c r="A684" i="33"/>
  <c r="F685" i="27"/>
  <c r="G685" i="27"/>
  <c r="C634" i="16"/>
  <c r="H633" i="16"/>
  <c r="A688" i="16"/>
  <c r="B687" i="16"/>
  <c r="D687" i="16" a="1"/>
  <c r="D687" i="16" s="1"/>
  <c r="E687" i="16" s="1"/>
  <c r="C634" i="28"/>
  <c r="H633" i="28"/>
  <c r="I684" i="27"/>
  <c r="C634" i="27"/>
  <c r="H633" i="27"/>
  <c r="A687" i="27"/>
  <c r="B686" i="27"/>
  <c r="D686" i="27" a="1"/>
  <c r="D686" i="27" s="1"/>
  <c r="E686" i="27" s="1"/>
  <c r="I685" i="16"/>
  <c r="C634" i="17"/>
  <c r="H633" i="17"/>
  <c r="F686" i="16"/>
  <c r="G686" i="16"/>
  <c r="B684" i="33" l="1"/>
  <c r="A685" i="33"/>
  <c r="B684" i="35"/>
  <c r="A685" i="35"/>
  <c r="B684" i="36"/>
  <c r="A685" i="36"/>
  <c r="B684" i="34"/>
  <c r="A685" i="34"/>
  <c r="F686" i="27"/>
  <c r="G686" i="27"/>
  <c r="C635" i="27"/>
  <c r="H634" i="27"/>
  <c r="C635" i="28"/>
  <c r="H634" i="28"/>
  <c r="F687" i="16"/>
  <c r="G687" i="16"/>
  <c r="C635" i="16"/>
  <c r="H634" i="16"/>
  <c r="C635" i="17"/>
  <c r="H634" i="17"/>
  <c r="I686" i="16"/>
  <c r="I685" i="27"/>
  <c r="A688" i="27"/>
  <c r="B687" i="27"/>
  <c r="D687" i="27" a="1"/>
  <c r="D687" i="27" s="1"/>
  <c r="E687" i="27" s="1"/>
  <c r="A689" i="16"/>
  <c r="B688" i="16"/>
  <c r="D688" i="16" a="1"/>
  <c r="D688" i="16" s="1"/>
  <c r="E688" i="16" s="1"/>
  <c r="B685" i="33" l="1"/>
  <c r="A686" i="33"/>
  <c r="B685" i="35"/>
  <c r="A686" i="35"/>
  <c r="B685" i="34"/>
  <c r="A686" i="34"/>
  <c r="B685" i="36"/>
  <c r="A686" i="36"/>
  <c r="C636" i="16"/>
  <c r="H635" i="16"/>
  <c r="A690" i="16"/>
  <c r="B689" i="16"/>
  <c r="D689" i="16" a="1"/>
  <c r="D689" i="16" s="1"/>
  <c r="E689" i="16" s="1"/>
  <c r="I687" i="16"/>
  <c r="F687" i="27"/>
  <c r="G687" i="27"/>
  <c r="C636" i="17"/>
  <c r="H635" i="17"/>
  <c r="C636" i="27"/>
  <c r="H635" i="27"/>
  <c r="F688" i="16"/>
  <c r="G688" i="16"/>
  <c r="I686" i="27"/>
  <c r="B688" i="27"/>
  <c r="A689" i="27"/>
  <c r="D688" i="27" a="1"/>
  <c r="D688" i="27" s="1"/>
  <c r="E688" i="27" s="1"/>
  <c r="C636" i="28"/>
  <c r="H635" i="28"/>
  <c r="B686" i="33" l="1"/>
  <c r="A687" i="33"/>
  <c r="B686" i="36"/>
  <c r="A687" i="36"/>
  <c r="B686" i="34"/>
  <c r="A687" i="34"/>
  <c r="B686" i="35"/>
  <c r="A687" i="35"/>
  <c r="G688" i="27"/>
  <c r="F688" i="27"/>
  <c r="C637" i="27"/>
  <c r="H636" i="27"/>
  <c r="C637" i="28"/>
  <c r="H636" i="28"/>
  <c r="I687" i="27"/>
  <c r="I688" i="16"/>
  <c r="B690" i="16"/>
  <c r="A691" i="16"/>
  <c r="D690" i="16" a="1"/>
  <c r="D690" i="16" s="1"/>
  <c r="E690" i="16" s="1"/>
  <c r="A690" i="27"/>
  <c r="B689" i="27"/>
  <c r="D689" i="27" a="1"/>
  <c r="D689" i="27" s="1"/>
  <c r="E689" i="27" s="1"/>
  <c r="C637" i="17"/>
  <c r="H636" i="17"/>
  <c r="F689" i="16"/>
  <c r="G689" i="16"/>
  <c r="C637" i="16"/>
  <c r="H636" i="16"/>
  <c r="B687" i="35" l="1"/>
  <c r="A688" i="35"/>
  <c r="B687" i="36"/>
  <c r="A688" i="36"/>
  <c r="B687" i="34"/>
  <c r="A688" i="34"/>
  <c r="B687" i="33"/>
  <c r="A688" i="33"/>
  <c r="F689" i="27"/>
  <c r="G689" i="27"/>
  <c r="A692" i="16"/>
  <c r="B691" i="16"/>
  <c r="D691" i="16" a="1"/>
  <c r="D691" i="16" s="1"/>
  <c r="E691" i="16" s="1"/>
  <c r="C638" i="16"/>
  <c r="H637" i="16"/>
  <c r="C638" i="17"/>
  <c r="H637" i="17"/>
  <c r="I689" i="16"/>
  <c r="C638" i="27"/>
  <c r="H637" i="27"/>
  <c r="A691" i="27"/>
  <c r="B690" i="27"/>
  <c r="D690" i="27" a="1"/>
  <c r="D690" i="27" s="1"/>
  <c r="E690" i="27" s="1"/>
  <c r="F690" i="16"/>
  <c r="G690" i="16"/>
  <c r="C638" i="28"/>
  <c r="H637" i="28"/>
  <c r="I688" i="27"/>
  <c r="B688" i="35" l="1"/>
  <c r="A689" i="35"/>
  <c r="B688" i="33"/>
  <c r="A689" i="33"/>
  <c r="B688" i="34"/>
  <c r="A689" i="34"/>
  <c r="B688" i="36"/>
  <c r="A689" i="36"/>
  <c r="G690" i="27"/>
  <c r="F690" i="27"/>
  <c r="C639" i="27"/>
  <c r="H638" i="27"/>
  <c r="C639" i="17"/>
  <c r="H638" i="17"/>
  <c r="A693" i="16"/>
  <c r="B692" i="16"/>
  <c r="D692" i="16" a="1"/>
  <c r="D692" i="16" s="1"/>
  <c r="E692" i="16" s="1"/>
  <c r="C639" i="28"/>
  <c r="H638" i="28"/>
  <c r="I690" i="16"/>
  <c r="A692" i="27"/>
  <c r="B691" i="27"/>
  <c r="D691" i="27" a="1"/>
  <c r="D691" i="27" s="1"/>
  <c r="E691" i="27" s="1"/>
  <c r="C639" i="16"/>
  <c r="H638" i="16"/>
  <c r="I689" i="27"/>
  <c r="F691" i="16"/>
  <c r="G691" i="16"/>
  <c r="B689" i="36" l="1"/>
  <c r="A690" i="36"/>
  <c r="B689" i="33"/>
  <c r="A690" i="33"/>
  <c r="B689" i="34"/>
  <c r="A690" i="34"/>
  <c r="B689" i="35"/>
  <c r="A690" i="35"/>
  <c r="F691" i="27"/>
  <c r="G691" i="27"/>
  <c r="A694" i="16"/>
  <c r="B693" i="16"/>
  <c r="D693" i="16" a="1"/>
  <c r="D693" i="16" s="1"/>
  <c r="E693" i="16" s="1"/>
  <c r="C640" i="27"/>
  <c r="H639" i="27"/>
  <c r="C640" i="16"/>
  <c r="H639" i="16"/>
  <c r="I691" i="16"/>
  <c r="K71" i="16"/>
  <c r="L76" i="17" s="1"/>
  <c r="B692" i="27"/>
  <c r="A693" i="27"/>
  <c r="D692" i="27" a="1"/>
  <c r="D692" i="27" s="1"/>
  <c r="E692" i="27" s="1"/>
  <c r="C640" i="28"/>
  <c r="H639" i="28"/>
  <c r="F692" i="16"/>
  <c r="G692" i="16"/>
  <c r="C640" i="17"/>
  <c r="H639" i="17"/>
  <c r="I690" i="27"/>
  <c r="B690" i="36" l="1"/>
  <c r="A691" i="36"/>
  <c r="B690" i="34"/>
  <c r="A691" i="34"/>
  <c r="B690" i="35"/>
  <c r="A691" i="35"/>
  <c r="B690" i="33"/>
  <c r="A691" i="33"/>
  <c r="C641" i="17"/>
  <c r="H640" i="17"/>
  <c r="C641" i="28"/>
  <c r="H640" i="28"/>
  <c r="C641" i="16"/>
  <c r="H640" i="16"/>
  <c r="F692" i="27"/>
  <c r="G692" i="27"/>
  <c r="B694" i="16"/>
  <c r="A695" i="16"/>
  <c r="D694" i="16" a="1"/>
  <c r="D694" i="16" s="1"/>
  <c r="E694" i="16" s="1"/>
  <c r="I692" i="16"/>
  <c r="A694" i="27"/>
  <c r="B693" i="27"/>
  <c r="D693" i="27" a="1"/>
  <c r="D693" i="27" s="1"/>
  <c r="E693" i="27" s="1"/>
  <c r="C641" i="27"/>
  <c r="H640" i="27"/>
  <c r="K71" i="27"/>
  <c r="N76" i="17" s="1"/>
  <c r="E81" i="9" s="1"/>
  <c r="F81" i="9" s="1"/>
  <c r="I691" i="27"/>
  <c r="F693" i="16"/>
  <c r="G693" i="16"/>
  <c r="O76" i="17" l="1"/>
  <c r="B691" i="35"/>
  <c r="A692" i="35"/>
  <c r="B691" i="33"/>
  <c r="A692" i="33"/>
  <c r="B691" i="34"/>
  <c r="A692" i="34"/>
  <c r="B691" i="36"/>
  <c r="A692" i="36"/>
  <c r="I693" i="16"/>
  <c r="I692" i="27"/>
  <c r="F694" i="16"/>
  <c r="G694" i="16"/>
  <c r="C642" i="28"/>
  <c r="H641" i="28"/>
  <c r="A695" i="27"/>
  <c r="B694" i="27"/>
  <c r="D694" i="27" a="1"/>
  <c r="D694" i="27" s="1"/>
  <c r="E694" i="27" s="1"/>
  <c r="C642" i="27"/>
  <c r="H641" i="27"/>
  <c r="D81" i="9"/>
  <c r="A696" i="16"/>
  <c r="B695" i="16"/>
  <c r="D695" i="16" a="1"/>
  <c r="D695" i="16" s="1"/>
  <c r="E695" i="16" s="1"/>
  <c r="F693" i="27"/>
  <c r="G693" i="27"/>
  <c r="C642" i="16"/>
  <c r="H641" i="16"/>
  <c r="C642" i="17"/>
  <c r="H641" i="17"/>
  <c r="B692" i="35" l="1"/>
  <c r="A693" i="35"/>
  <c r="B692" i="36"/>
  <c r="A693" i="36"/>
  <c r="B692" i="33"/>
  <c r="A693" i="33"/>
  <c r="B692" i="34"/>
  <c r="A693" i="34"/>
  <c r="F695" i="16"/>
  <c r="G695" i="16"/>
  <c r="I693" i="27"/>
  <c r="C643" i="17"/>
  <c r="H642" i="17"/>
  <c r="C643" i="27"/>
  <c r="H642" i="27"/>
  <c r="G694" i="27"/>
  <c r="F694" i="27"/>
  <c r="C643" i="28"/>
  <c r="H642" i="28"/>
  <c r="I694" i="16"/>
  <c r="C643" i="16"/>
  <c r="H642" i="16"/>
  <c r="A697" i="16"/>
  <c r="B696" i="16"/>
  <c r="D696" i="16" a="1"/>
  <c r="D696" i="16" s="1"/>
  <c r="E696" i="16" s="1"/>
  <c r="A696" i="27"/>
  <c r="B695" i="27"/>
  <c r="D695" i="27" a="1"/>
  <c r="D695" i="27" s="1"/>
  <c r="E695" i="27" s="1"/>
  <c r="B693" i="36" l="1"/>
  <c r="A694" i="36"/>
  <c r="B693" i="35"/>
  <c r="A694" i="35"/>
  <c r="B693" i="33"/>
  <c r="A694" i="33"/>
  <c r="B693" i="34"/>
  <c r="A694" i="34"/>
  <c r="F695" i="27"/>
  <c r="G695" i="27"/>
  <c r="B696" i="27"/>
  <c r="A697" i="27"/>
  <c r="D696" i="27" a="1"/>
  <c r="D696" i="27" s="1"/>
  <c r="E696" i="27" s="1"/>
  <c r="A698" i="16"/>
  <c r="B697" i="16"/>
  <c r="D697" i="16" a="1"/>
  <c r="D697" i="16" s="1"/>
  <c r="E697" i="16" s="1"/>
  <c r="I694" i="27"/>
  <c r="I695" i="16"/>
  <c r="G696" i="16"/>
  <c r="F696" i="16"/>
  <c r="C644" i="16"/>
  <c r="H643" i="16"/>
  <c r="C644" i="28"/>
  <c r="H643" i="28"/>
  <c r="C644" i="27"/>
  <c r="H643" i="27"/>
  <c r="C644" i="17"/>
  <c r="H643" i="17"/>
  <c r="B694" i="36" l="1"/>
  <c r="A695" i="36"/>
  <c r="B694" i="33"/>
  <c r="A695" i="33"/>
  <c r="B694" i="35"/>
  <c r="A695" i="35"/>
  <c r="B694" i="34"/>
  <c r="A695" i="34"/>
  <c r="F697" i="16"/>
  <c r="G697" i="16"/>
  <c r="A698" i="27"/>
  <c r="B697" i="27"/>
  <c r="D697" i="27" a="1"/>
  <c r="D697" i="27" s="1"/>
  <c r="E697" i="27" s="1"/>
  <c r="I696" i="16"/>
  <c r="C645" i="17"/>
  <c r="H644" i="17"/>
  <c r="C645" i="28"/>
  <c r="H644" i="28"/>
  <c r="C645" i="27"/>
  <c r="H644" i="27"/>
  <c r="C645" i="16"/>
  <c r="H644" i="16"/>
  <c r="A699" i="16"/>
  <c r="B698" i="16"/>
  <c r="D698" i="16" a="1"/>
  <c r="D698" i="16" s="1"/>
  <c r="E698" i="16" s="1"/>
  <c r="I695" i="27"/>
  <c r="G696" i="27"/>
  <c r="F696" i="27"/>
  <c r="B695" i="35" l="1"/>
  <c r="A696" i="35"/>
  <c r="B695" i="33"/>
  <c r="A696" i="33"/>
  <c r="B695" i="36"/>
  <c r="A696" i="36"/>
  <c r="B695" i="34"/>
  <c r="A696" i="34"/>
  <c r="A700" i="16"/>
  <c r="B699" i="16"/>
  <c r="D699" i="16" a="1"/>
  <c r="D699" i="16" s="1"/>
  <c r="E699" i="16" s="1"/>
  <c r="C646" i="27"/>
  <c r="H645" i="27"/>
  <c r="C646" i="17"/>
  <c r="H645" i="17"/>
  <c r="I696" i="27"/>
  <c r="B698" i="27"/>
  <c r="A699" i="27"/>
  <c r="D698" i="27" a="1"/>
  <c r="D698" i="27" s="1"/>
  <c r="E698" i="27" s="1"/>
  <c r="G698" i="16"/>
  <c r="F698" i="16"/>
  <c r="C646" i="16"/>
  <c r="H645" i="16"/>
  <c r="C646" i="28"/>
  <c r="H645" i="28"/>
  <c r="I697" i="16"/>
  <c r="G697" i="27"/>
  <c r="F697" i="27"/>
  <c r="B696" i="33" l="1"/>
  <c r="A697" i="33"/>
  <c r="B696" i="36"/>
  <c r="A697" i="36"/>
  <c r="B696" i="35"/>
  <c r="A697" i="35"/>
  <c r="B696" i="34"/>
  <c r="A697" i="34"/>
  <c r="G698" i="27"/>
  <c r="F698" i="27"/>
  <c r="C647" i="27"/>
  <c r="H646" i="27"/>
  <c r="F699" i="16"/>
  <c r="G699" i="16"/>
  <c r="C647" i="16"/>
  <c r="H646" i="16"/>
  <c r="C647" i="17"/>
  <c r="H646" i="17"/>
  <c r="A700" i="27"/>
  <c r="B699" i="27"/>
  <c r="D699" i="27" a="1"/>
  <c r="D699" i="27" s="1"/>
  <c r="E699" i="27" s="1"/>
  <c r="I697" i="27"/>
  <c r="C647" i="28"/>
  <c r="H646" i="28"/>
  <c r="I698" i="16"/>
  <c r="A701" i="16"/>
  <c r="B700" i="16"/>
  <c r="D700" i="16" a="1"/>
  <c r="D700" i="16" s="1"/>
  <c r="E700" i="16" s="1"/>
  <c r="B697" i="35" l="1"/>
  <c r="A698" i="35"/>
  <c r="B697" i="34"/>
  <c r="A698" i="34"/>
  <c r="B697" i="36"/>
  <c r="A698" i="36"/>
  <c r="B697" i="33"/>
  <c r="A698" i="33"/>
  <c r="A702" i="16"/>
  <c r="B701" i="16"/>
  <c r="D701" i="16" a="1"/>
  <c r="D701" i="16" s="1"/>
  <c r="E701" i="16" s="1"/>
  <c r="C648" i="28"/>
  <c r="H647" i="28"/>
  <c r="B700" i="27"/>
  <c r="A701" i="27"/>
  <c r="D700" i="27" a="1"/>
  <c r="D700" i="27" s="1"/>
  <c r="E700" i="27" s="1"/>
  <c r="C648" i="16"/>
  <c r="H647" i="16"/>
  <c r="C648" i="27"/>
  <c r="H647" i="27"/>
  <c r="F700" i="16"/>
  <c r="G700" i="16"/>
  <c r="I699" i="16"/>
  <c r="F699" i="27"/>
  <c r="G699" i="27"/>
  <c r="C648" i="17"/>
  <c r="H647" i="17"/>
  <c r="I698" i="27"/>
  <c r="B698" i="36" l="1"/>
  <c r="A699" i="36"/>
  <c r="B698" i="33"/>
  <c r="A699" i="33"/>
  <c r="B698" i="35"/>
  <c r="A699" i="35"/>
  <c r="B698" i="34"/>
  <c r="A699" i="34"/>
  <c r="G700" i="27"/>
  <c r="F700" i="27"/>
  <c r="C649" i="28"/>
  <c r="H648" i="28"/>
  <c r="F701" i="16"/>
  <c r="G701" i="16"/>
  <c r="I699" i="27"/>
  <c r="C649" i="17"/>
  <c r="H648" i="17"/>
  <c r="C649" i="27"/>
  <c r="H648" i="27"/>
  <c r="A702" i="27"/>
  <c r="B701" i="27"/>
  <c r="D701" i="27" a="1"/>
  <c r="D701" i="27" s="1"/>
  <c r="E701" i="27" s="1"/>
  <c r="I700" i="16"/>
  <c r="C649" i="16"/>
  <c r="H648" i="16"/>
  <c r="A703" i="16"/>
  <c r="B702" i="16"/>
  <c r="D702" i="16" a="1"/>
  <c r="D702" i="16" s="1"/>
  <c r="E702" i="16" s="1"/>
  <c r="B699" i="33" l="1"/>
  <c r="A700" i="33"/>
  <c r="B699" i="34"/>
  <c r="A700" i="34"/>
  <c r="B699" i="35"/>
  <c r="A700" i="35"/>
  <c r="B699" i="36"/>
  <c r="A700" i="36"/>
  <c r="F702" i="16"/>
  <c r="G702" i="16"/>
  <c r="C650" i="16"/>
  <c r="H649" i="16"/>
  <c r="A704" i="16"/>
  <c r="B703" i="16"/>
  <c r="D703" i="16" a="1"/>
  <c r="D703" i="16" s="1"/>
  <c r="E703" i="16" s="1"/>
  <c r="G701" i="27"/>
  <c r="F701" i="27"/>
  <c r="C650" i="27"/>
  <c r="H649" i="27"/>
  <c r="C650" i="28"/>
  <c r="H649" i="28"/>
  <c r="K72" i="16"/>
  <c r="L77" i="17" s="1"/>
  <c r="I701" i="16"/>
  <c r="B702" i="27"/>
  <c r="A703" i="27"/>
  <c r="D702" i="27" a="1"/>
  <c r="D702" i="27" s="1"/>
  <c r="E702" i="27" s="1"/>
  <c r="C650" i="17"/>
  <c r="H649" i="17"/>
  <c r="I700" i="27"/>
  <c r="B700" i="33" l="1"/>
  <c r="A701" i="33"/>
  <c r="B700" i="36"/>
  <c r="A701" i="36"/>
  <c r="B700" i="34"/>
  <c r="A701" i="34"/>
  <c r="B700" i="35"/>
  <c r="A701" i="35"/>
  <c r="C651" i="27"/>
  <c r="H650" i="27"/>
  <c r="C651" i="17"/>
  <c r="H650" i="17"/>
  <c r="C651" i="28"/>
  <c r="H650" i="28"/>
  <c r="K72" i="27"/>
  <c r="N77" i="17" s="1"/>
  <c r="E82" i="9" s="1"/>
  <c r="F82" i="9" s="1"/>
  <c r="I701" i="27"/>
  <c r="G703" i="16"/>
  <c r="F703" i="16"/>
  <c r="C651" i="16"/>
  <c r="H650" i="16"/>
  <c r="A704" i="27"/>
  <c r="B703" i="27"/>
  <c r="D703" i="27" a="1"/>
  <c r="D703" i="27" s="1"/>
  <c r="E703" i="27" s="1"/>
  <c r="I702" i="16"/>
  <c r="G702" i="27"/>
  <c r="F702" i="27"/>
  <c r="A705" i="16"/>
  <c r="B704" i="16"/>
  <c r="D704" i="16" a="1"/>
  <c r="D704" i="16" s="1"/>
  <c r="E704" i="16" s="1"/>
  <c r="O77" i="17" l="1"/>
  <c r="B701" i="35"/>
  <c r="A702" i="35"/>
  <c r="B701" i="34"/>
  <c r="A702" i="34"/>
  <c r="B701" i="36"/>
  <c r="A702" i="36"/>
  <c r="B701" i="33"/>
  <c r="A702" i="33"/>
  <c r="F704" i="16"/>
  <c r="G704" i="16"/>
  <c r="I702" i="27"/>
  <c r="C652" i="17"/>
  <c r="H651" i="17"/>
  <c r="B704" i="27"/>
  <c r="A705" i="27"/>
  <c r="D704" i="27" a="1"/>
  <c r="D704" i="27" s="1"/>
  <c r="E704" i="27" s="1"/>
  <c r="I703" i="16"/>
  <c r="A706" i="16"/>
  <c r="B705" i="16"/>
  <c r="D705" i="16" a="1"/>
  <c r="D705" i="16" s="1"/>
  <c r="E705" i="16" s="1"/>
  <c r="C652" i="28"/>
  <c r="H651" i="28"/>
  <c r="C652" i="27"/>
  <c r="H651" i="27"/>
  <c r="G703" i="27"/>
  <c r="F703" i="27"/>
  <c r="C652" i="16"/>
  <c r="H651" i="16"/>
  <c r="D82" i="9"/>
  <c r="B702" i="35" l="1"/>
  <c r="A703" i="35"/>
  <c r="B702" i="36"/>
  <c r="A703" i="36"/>
  <c r="B702" i="33"/>
  <c r="A703" i="33"/>
  <c r="B702" i="34"/>
  <c r="A703" i="34"/>
  <c r="C653" i="16"/>
  <c r="H652" i="16"/>
  <c r="C653" i="27"/>
  <c r="H652" i="27"/>
  <c r="A707" i="16"/>
  <c r="B706" i="16"/>
  <c r="D706" i="16" a="1"/>
  <c r="D706" i="16" s="1"/>
  <c r="E706" i="16" s="1"/>
  <c r="A706" i="27"/>
  <c r="B705" i="27"/>
  <c r="D705" i="27" a="1"/>
  <c r="D705" i="27" s="1"/>
  <c r="E705" i="27" s="1"/>
  <c r="I703" i="27"/>
  <c r="C653" i="28"/>
  <c r="H652" i="28"/>
  <c r="F705" i="16"/>
  <c r="G705" i="16"/>
  <c r="I704" i="16"/>
  <c r="G704" i="27"/>
  <c r="F704" i="27"/>
  <c r="C653" i="17"/>
  <c r="H652" i="17"/>
  <c r="B703" i="33" l="1"/>
  <c r="A704" i="33"/>
  <c r="B703" i="35"/>
  <c r="A704" i="35"/>
  <c r="B703" i="36"/>
  <c r="A704" i="36"/>
  <c r="B703" i="34"/>
  <c r="A704" i="34"/>
  <c r="F705" i="27"/>
  <c r="G705" i="27"/>
  <c r="I704" i="27"/>
  <c r="A708" i="16"/>
  <c r="B707" i="16"/>
  <c r="D707" i="16" a="1"/>
  <c r="D707" i="16" s="1"/>
  <c r="E707" i="16" s="1"/>
  <c r="C654" i="27"/>
  <c r="H653" i="27"/>
  <c r="C654" i="17"/>
  <c r="H653" i="17"/>
  <c r="C654" i="28"/>
  <c r="H653" i="28"/>
  <c r="I705" i="16"/>
  <c r="B706" i="27"/>
  <c r="A707" i="27"/>
  <c r="D706" i="27" a="1"/>
  <c r="D706" i="27" s="1"/>
  <c r="E706" i="27" s="1"/>
  <c r="F706" i="16"/>
  <c r="G706" i="16"/>
  <c r="C654" i="16"/>
  <c r="H653" i="16"/>
  <c r="B704" i="35" l="1"/>
  <c r="A705" i="35"/>
  <c r="B704" i="34"/>
  <c r="A705" i="34"/>
  <c r="B704" i="36"/>
  <c r="A705" i="36"/>
  <c r="B704" i="33"/>
  <c r="A705" i="33"/>
  <c r="I706" i="16"/>
  <c r="C655" i="28"/>
  <c r="H654" i="28"/>
  <c r="C655" i="27"/>
  <c r="H654" i="27"/>
  <c r="G707" i="16"/>
  <c r="F707" i="16"/>
  <c r="I705" i="27"/>
  <c r="F706" i="27"/>
  <c r="G706" i="27"/>
  <c r="C655" i="17"/>
  <c r="H654" i="17"/>
  <c r="C655" i="16"/>
  <c r="H654" i="16"/>
  <c r="A708" i="27"/>
  <c r="B707" i="27"/>
  <c r="D707" i="27" a="1"/>
  <c r="D707" i="27" s="1"/>
  <c r="E707" i="27" s="1"/>
  <c r="A709" i="16"/>
  <c r="B708" i="16"/>
  <c r="D708" i="16" a="1"/>
  <c r="D708" i="16" s="1"/>
  <c r="E708" i="16" s="1"/>
  <c r="B705" i="33" l="1"/>
  <c r="A706" i="33"/>
  <c r="B705" i="36"/>
  <c r="A706" i="36"/>
  <c r="B705" i="34"/>
  <c r="A706" i="34"/>
  <c r="B705" i="35"/>
  <c r="A706" i="35"/>
  <c r="C656" i="16"/>
  <c r="H655" i="16"/>
  <c r="A710" i="16"/>
  <c r="B709" i="16"/>
  <c r="D709" i="16" a="1"/>
  <c r="D709" i="16" s="1"/>
  <c r="E709" i="16" s="1"/>
  <c r="I706" i="27"/>
  <c r="G707" i="27"/>
  <c r="F707" i="27"/>
  <c r="I707" i="16"/>
  <c r="C656" i="28"/>
  <c r="H655" i="28"/>
  <c r="G708" i="16"/>
  <c r="F708" i="16"/>
  <c r="B708" i="27"/>
  <c r="A709" i="27"/>
  <c r="D708" i="27" a="1"/>
  <c r="D708" i="27" s="1"/>
  <c r="E708" i="27" s="1"/>
  <c r="C656" i="17"/>
  <c r="H655" i="17"/>
  <c r="C656" i="27"/>
  <c r="H655" i="27"/>
  <c r="B706" i="34" l="1"/>
  <c r="A707" i="34"/>
  <c r="B706" i="35"/>
  <c r="A707" i="35"/>
  <c r="B706" i="33"/>
  <c r="A707" i="33"/>
  <c r="B706" i="36"/>
  <c r="A707" i="36"/>
  <c r="C657" i="27"/>
  <c r="H656" i="27"/>
  <c r="C657" i="28"/>
  <c r="H656" i="28"/>
  <c r="I707" i="27"/>
  <c r="A710" i="27"/>
  <c r="B709" i="27"/>
  <c r="D709" i="27" a="1"/>
  <c r="D709" i="27" s="1"/>
  <c r="E709" i="27" s="1"/>
  <c r="C657" i="17"/>
  <c r="H656" i="17"/>
  <c r="A711" i="16"/>
  <c r="B710" i="16"/>
  <c r="D710" i="16" a="1"/>
  <c r="D710" i="16" s="1"/>
  <c r="E710" i="16" s="1"/>
  <c r="F708" i="27"/>
  <c r="G708" i="27"/>
  <c r="I708" i="16"/>
  <c r="G709" i="16"/>
  <c r="F709" i="16"/>
  <c r="C657" i="16"/>
  <c r="H656" i="16"/>
  <c r="B707" i="36" l="1"/>
  <c r="A708" i="36"/>
  <c r="B707" i="34"/>
  <c r="A708" i="34"/>
  <c r="B707" i="35"/>
  <c r="A708" i="35"/>
  <c r="B707" i="33"/>
  <c r="A708" i="33"/>
  <c r="C658" i="16"/>
  <c r="H657" i="16"/>
  <c r="I708" i="27"/>
  <c r="A712" i="16"/>
  <c r="B711" i="16"/>
  <c r="D711" i="16" a="1"/>
  <c r="D711" i="16" s="1"/>
  <c r="E711" i="16" s="1"/>
  <c r="I709" i="16"/>
  <c r="B710" i="27"/>
  <c r="A711" i="27"/>
  <c r="D710" i="27" a="1"/>
  <c r="D710" i="27" s="1"/>
  <c r="E710" i="27" s="1"/>
  <c r="C658" i="28"/>
  <c r="H657" i="28"/>
  <c r="G710" i="16"/>
  <c r="F710" i="16"/>
  <c r="C658" i="17"/>
  <c r="H657" i="17"/>
  <c r="F709" i="27"/>
  <c r="G709" i="27"/>
  <c r="C658" i="27"/>
  <c r="H657" i="27"/>
  <c r="B708" i="35" l="1"/>
  <c r="A709" i="35"/>
  <c r="B708" i="33"/>
  <c r="A709" i="33"/>
  <c r="B708" i="36"/>
  <c r="A709" i="36"/>
  <c r="B708" i="34"/>
  <c r="A709" i="34"/>
  <c r="F710" i="27"/>
  <c r="G710" i="27"/>
  <c r="F711" i="16"/>
  <c r="G711" i="16"/>
  <c r="I709" i="27"/>
  <c r="I710" i="16"/>
  <c r="A712" i="27"/>
  <c r="B711" i="27"/>
  <c r="D711" i="27" a="1"/>
  <c r="D711" i="27" s="1"/>
  <c r="E711" i="27" s="1"/>
  <c r="C659" i="27"/>
  <c r="H658" i="27"/>
  <c r="C659" i="17"/>
  <c r="H658" i="17"/>
  <c r="C659" i="28"/>
  <c r="H658" i="28"/>
  <c r="B712" i="16"/>
  <c r="A713" i="16"/>
  <c r="D712" i="16" a="1"/>
  <c r="D712" i="16" s="1"/>
  <c r="E712" i="16" s="1"/>
  <c r="C659" i="16"/>
  <c r="H658" i="16"/>
  <c r="B709" i="36" l="1"/>
  <c r="A710" i="36"/>
  <c r="B709" i="33"/>
  <c r="A710" i="33"/>
  <c r="B709" i="34"/>
  <c r="A710" i="34"/>
  <c r="B709" i="35"/>
  <c r="A710" i="35"/>
  <c r="F712" i="16"/>
  <c r="G712" i="16"/>
  <c r="C660" i="28"/>
  <c r="H659" i="28"/>
  <c r="C660" i="27"/>
  <c r="H659" i="27"/>
  <c r="K73" i="16"/>
  <c r="L78" i="17" s="1"/>
  <c r="I711" i="16"/>
  <c r="F711" i="27"/>
  <c r="G711" i="27"/>
  <c r="A714" i="16"/>
  <c r="B713" i="16"/>
  <c r="D713" i="16" a="1"/>
  <c r="D713" i="16" s="1"/>
  <c r="E713" i="16" s="1"/>
  <c r="I710" i="27"/>
  <c r="C660" i="17"/>
  <c r="H659" i="17"/>
  <c r="C660" i="16"/>
  <c r="H659" i="16"/>
  <c r="A713" i="27"/>
  <c r="B712" i="27"/>
  <c r="D712" i="27" a="1"/>
  <c r="D712" i="27" s="1"/>
  <c r="E712" i="27" s="1"/>
  <c r="B710" i="35" l="1"/>
  <c r="A711" i="35"/>
  <c r="B710" i="34"/>
  <c r="A711" i="34"/>
  <c r="B710" i="36"/>
  <c r="A711" i="36"/>
  <c r="B710" i="33"/>
  <c r="A711" i="33"/>
  <c r="A714" i="27"/>
  <c r="B713" i="27"/>
  <c r="D713" i="27" a="1"/>
  <c r="D713" i="27" s="1"/>
  <c r="E713" i="27" s="1"/>
  <c r="C661" i="17"/>
  <c r="H660" i="17"/>
  <c r="A715" i="16"/>
  <c r="B714" i="16"/>
  <c r="D714" i="16" a="1"/>
  <c r="D714" i="16" s="1"/>
  <c r="E714" i="16" s="1"/>
  <c r="F712" i="27"/>
  <c r="G712" i="27"/>
  <c r="C661" i="28"/>
  <c r="H660" i="28"/>
  <c r="G713" i="16"/>
  <c r="F713" i="16"/>
  <c r="I712" i="16"/>
  <c r="C661" i="16"/>
  <c r="H660" i="16"/>
  <c r="I711" i="27"/>
  <c r="K73" i="27"/>
  <c r="N78" i="17" s="1"/>
  <c r="E83" i="9" s="1"/>
  <c r="F83" i="9" s="1"/>
  <c r="C661" i="27"/>
  <c r="H660" i="27"/>
  <c r="O78" i="17" l="1"/>
  <c r="B711" i="36"/>
  <c r="A712" i="36"/>
  <c r="B711" i="35"/>
  <c r="A712" i="35"/>
  <c r="B711" i="33"/>
  <c r="A712" i="33"/>
  <c r="B711" i="34"/>
  <c r="A712" i="34"/>
  <c r="F714" i="16"/>
  <c r="G714" i="16"/>
  <c r="C662" i="17"/>
  <c r="H661" i="17"/>
  <c r="G713" i="27"/>
  <c r="F713" i="27"/>
  <c r="C662" i="27"/>
  <c r="H661" i="27"/>
  <c r="C662" i="16"/>
  <c r="H661" i="16"/>
  <c r="I712" i="27"/>
  <c r="A716" i="16"/>
  <c r="B715" i="16"/>
  <c r="D715" i="16" a="1"/>
  <c r="D715" i="16" s="1"/>
  <c r="E715" i="16" s="1"/>
  <c r="C662" i="28"/>
  <c r="H661" i="28"/>
  <c r="D83" i="9"/>
  <c r="I713" i="16"/>
  <c r="B714" i="27"/>
  <c r="A715" i="27"/>
  <c r="D714" i="27" a="1"/>
  <c r="D714" i="27" s="1"/>
  <c r="E714" i="27" s="1"/>
  <c r="B712" i="34" l="1"/>
  <c r="A713" i="34"/>
  <c r="B712" i="33"/>
  <c r="A713" i="33"/>
  <c r="B712" i="35"/>
  <c r="A713" i="35"/>
  <c r="B712" i="36"/>
  <c r="A713" i="36"/>
  <c r="A716" i="27"/>
  <c r="B715" i="27"/>
  <c r="D715" i="27" a="1"/>
  <c r="D715" i="27" s="1"/>
  <c r="E715" i="27" s="1"/>
  <c r="C663" i="28"/>
  <c r="H662" i="28"/>
  <c r="F715" i="16"/>
  <c r="G715" i="16"/>
  <c r="C663" i="27"/>
  <c r="H662" i="27"/>
  <c r="C663" i="17"/>
  <c r="H662" i="17"/>
  <c r="I714" i="16"/>
  <c r="G714" i="27"/>
  <c r="F714" i="27"/>
  <c r="A717" i="16"/>
  <c r="B716" i="16"/>
  <c r="D716" i="16" a="1"/>
  <c r="D716" i="16" s="1"/>
  <c r="E716" i="16" s="1"/>
  <c r="C663" i="16"/>
  <c r="H662" i="16"/>
  <c r="I713" i="27"/>
  <c r="B713" i="35" l="1"/>
  <c r="A714" i="35"/>
  <c r="B713" i="33"/>
  <c r="A714" i="33"/>
  <c r="B713" i="34"/>
  <c r="A714" i="34"/>
  <c r="B713" i="36"/>
  <c r="A714" i="36"/>
  <c r="F716" i="16"/>
  <c r="G716" i="16"/>
  <c r="C664" i="17"/>
  <c r="H663" i="17"/>
  <c r="B716" i="27"/>
  <c r="A717" i="27"/>
  <c r="D716" i="27" a="1"/>
  <c r="D716" i="27" s="1"/>
  <c r="E716" i="27" s="1"/>
  <c r="C664" i="16"/>
  <c r="H663" i="16"/>
  <c r="I715" i="16"/>
  <c r="I714" i="27"/>
  <c r="A718" i="16"/>
  <c r="B717" i="16"/>
  <c r="D717" i="16" a="1"/>
  <c r="D717" i="16" s="1"/>
  <c r="E717" i="16" s="1"/>
  <c r="C664" i="27"/>
  <c r="H663" i="27"/>
  <c r="C664" i="28"/>
  <c r="H663" i="28"/>
  <c r="G715" i="27"/>
  <c r="F715" i="27"/>
  <c r="B714" i="34" l="1"/>
  <c r="A715" i="34"/>
  <c r="B714" i="36"/>
  <c r="A715" i="36"/>
  <c r="B714" i="35"/>
  <c r="A715" i="35"/>
  <c r="B714" i="33"/>
  <c r="A715" i="33"/>
  <c r="F717" i="16"/>
  <c r="G717" i="16"/>
  <c r="C665" i="16"/>
  <c r="H664" i="16"/>
  <c r="G716" i="27"/>
  <c r="F716" i="27"/>
  <c r="C665" i="17"/>
  <c r="H664" i="17"/>
  <c r="A719" i="16"/>
  <c r="B718" i="16"/>
  <c r="D718" i="16" a="1"/>
  <c r="D718" i="16" s="1"/>
  <c r="E718" i="16" s="1"/>
  <c r="A718" i="27"/>
  <c r="B717" i="27"/>
  <c r="D717" i="27" a="1"/>
  <c r="D717" i="27" s="1"/>
  <c r="E717" i="27" s="1"/>
  <c r="I716" i="16"/>
  <c r="C665" i="28"/>
  <c r="H664" i="28"/>
  <c r="I715" i="27"/>
  <c r="C665" i="27"/>
  <c r="H664" i="27"/>
  <c r="B715" i="34" l="1"/>
  <c r="A716" i="34"/>
  <c r="B715" i="36"/>
  <c r="A716" i="36"/>
  <c r="B715" i="35"/>
  <c r="A716" i="35"/>
  <c r="B715" i="33"/>
  <c r="A716" i="33"/>
  <c r="B718" i="27"/>
  <c r="A719" i="27"/>
  <c r="D718" i="27" a="1"/>
  <c r="D718" i="27" s="1"/>
  <c r="E718" i="27" s="1"/>
  <c r="F718" i="16"/>
  <c r="G718" i="16"/>
  <c r="C666" i="17"/>
  <c r="H665" i="17"/>
  <c r="C666" i="16"/>
  <c r="H665" i="16"/>
  <c r="I717" i="16"/>
  <c r="G717" i="27"/>
  <c r="F717" i="27"/>
  <c r="C666" i="27"/>
  <c r="H665" i="27"/>
  <c r="C666" i="28"/>
  <c r="H665" i="28"/>
  <c r="A720" i="16"/>
  <c r="B719" i="16"/>
  <c r="D719" i="16" a="1"/>
  <c r="D719" i="16" s="1"/>
  <c r="E719" i="16" s="1"/>
  <c r="I716" i="27"/>
  <c r="B716" i="36" l="1"/>
  <c r="A717" i="36"/>
  <c r="B716" i="34"/>
  <c r="A717" i="34"/>
  <c r="B716" i="33"/>
  <c r="A717" i="33"/>
  <c r="B716" i="35"/>
  <c r="A717" i="35"/>
  <c r="G719" i="16"/>
  <c r="F719" i="16"/>
  <c r="C667" i="28"/>
  <c r="H666" i="28"/>
  <c r="I717" i="27"/>
  <c r="C667" i="16"/>
  <c r="H666" i="16"/>
  <c r="F718" i="27"/>
  <c r="G718" i="27"/>
  <c r="A721" i="16"/>
  <c r="B720" i="16"/>
  <c r="D720" i="16" a="1"/>
  <c r="D720" i="16" s="1"/>
  <c r="E720" i="16" s="1"/>
  <c r="C667" i="27"/>
  <c r="H666" i="27"/>
  <c r="C667" i="17"/>
  <c r="H666" i="17"/>
  <c r="A720" i="27"/>
  <c r="B719" i="27"/>
  <c r="D719" i="27" a="1"/>
  <c r="D719" i="27" s="1"/>
  <c r="E719" i="27" s="1"/>
  <c r="I718" i="16"/>
  <c r="B717" i="36" l="1"/>
  <c r="A718" i="36"/>
  <c r="B717" i="33"/>
  <c r="A718" i="33"/>
  <c r="B717" i="34"/>
  <c r="A718" i="34"/>
  <c r="B717" i="35"/>
  <c r="A718" i="35"/>
  <c r="F719" i="27"/>
  <c r="G719" i="27"/>
  <c r="C668" i="17"/>
  <c r="H667" i="17"/>
  <c r="A722" i="16"/>
  <c r="B721" i="16"/>
  <c r="D721" i="16" a="1"/>
  <c r="D721" i="16" s="1"/>
  <c r="E721" i="16" s="1"/>
  <c r="C668" i="16"/>
  <c r="H667" i="16"/>
  <c r="C668" i="28"/>
  <c r="H667" i="28"/>
  <c r="B720" i="27"/>
  <c r="A721" i="27"/>
  <c r="D720" i="27" a="1"/>
  <c r="D720" i="27" s="1"/>
  <c r="E720" i="27" s="1"/>
  <c r="C668" i="27"/>
  <c r="H667" i="27"/>
  <c r="I718" i="27"/>
  <c r="F720" i="16"/>
  <c r="G720" i="16"/>
  <c r="I719" i="16"/>
  <c r="B718" i="35" l="1"/>
  <c r="A719" i="35"/>
  <c r="B718" i="33"/>
  <c r="A719" i="33"/>
  <c r="B718" i="34"/>
  <c r="A719" i="34"/>
  <c r="B718" i="36"/>
  <c r="A719" i="36"/>
  <c r="C669" i="28"/>
  <c r="H668" i="28"/>
  <c r="I720" i="16"/>
  <c r="C669" i="16"/>
  <c r="H668" i="16"/>
  <c r="F721" i="16"/>
  <c r="G721" i="16"/>
  <c r="C669" i="17"/>
  <c r="H668" i="17"/>
  <c r="C669" i="27"/>
  <c r="H668" i="27"/>
  <c r="I719" i="27"/>
  <c r="F720" i="27"/>
  <c r="G720" i="27"/>
  <c r="A722" i="27"/>
  <c r="B721" i="27"/>
  <c r="D721" i="27" a="1"/>
  <c r="D721" i="27" s="1"/>
  <c r="E721" i="27" s="1"/>
  <c r="A723" i="16"/>
  <c r="B722" i="16"/>
  <c r="D722" i="16" a="1"/>
  <c r="D722" i="16" s="1"/>
  <c r="E722" i="16" s="1"/>
  <c r="B719" i="33" l="1"/>
  <c r="A720" i="33"/>
  <c r="B719" i="35"/>
  <c r="A720" i="35"/>
  <c r="B719" i="34"/>
  <c r="A720" i="34"/>
  <c r="B719" i="36"/>
  <c r="A720" i="36"/>
  <c r="B722" i="27"/>
  <c r="A723" i="27"/>
  <c r="D722" i="27" a="1"/>
  <c r="D722" i="27" s="1"/>
  <c r="E722" i="27" s="1"/>
  <c r="A724" i="16"/>
  <c r="B723" i="16"/>
  <c r="D723" i="16" a="1"/>
  <c r="D723" i="16" s="1"/>
  <c r="E723" i="16" s="1"/>
  <c r="I720" i="27"/>
  <c r="I721" i="16"/>
  <c r="K74" i="16"/>
  <c r="L79" i="17" s="1"/>
  <c r="F721" i="27"/>
  <c r="G721" i="27"/>
  <c r="C670" i="27"/>
  <c r="H669" i="27"/>
  <c r="F722" i="16"/>
  <c r="G722" i="16"/>
  <c r="C670" i="17"/>
  <c r="H669" i="17"/>
  <c r="C670" i="16"/>
  <c r="H669" i="16"/>
  <c r="C670" i="28"/>
  <c r="H669" i="28"/>
  <c r="B720" i="35" l="1"/>
  <c r="A721" i="35"/>
  <c r="B720" i="36"/>
  <c r="A721" i="36"/>
  <c r="B720" i="33"/>
  <c r="A721" i="33"/>
  <c r="B720" i="34"/>
  <c r="A721" i="34"/>
  <c r="C671" i="17"/>
  <c r="H670" i="17"/>
  <c r="I722" i="16"/>
  <c r="C671" i="16"/>
  <c r="H670" i="16"/>
  <c r="A725" i="16"/>
  <c r="B724" i="16"/>
  <c r="D724" i="16" a="1"/>
  <c r="D724" i="16" s="1"/>
  <c r="E724" i="16" s="1"/>
  <c r="G722" i="27"/>
  <c r="F722" i="27"/>
  <c r="F723" i="16"/>
  <c r="G723" i="16"/>
  <c r="A724" i="27"/>
  <c r="B723" i="27"/>
  <c r="D723" i="27" a="1"/>
  <c r="D723" i="27" s="1"/>
  <c r="E723" i="27" s="1"/>
  <c r="C671" i="28"/>
  <c r="H670" i="28"/>
  <c r="C671" i="27"/>
  <c r="H670" i="27"/>
  <c r="I721" i="27"/>
  <c r="K74" i="27"/>
  <c r="N79" i="17" s="1"/>
  <c r="E84" i="9" s="1"/>
  <c r="F84" i="9" s="1"/>
  <c r="O79" i="17" l="1"/>
  <c r="B721" i="34"/>
  <c r="A722" i="34"/>
  <c r="B721" i="35"/>
  <c r="A722" i="35"/>
  <c r="B721" i="33"/>
  <c r="A722" i="33"/>
  <c r="B721" i="36"/>
  <c r="A722" i="36"/>
  <c r="G723" i="27"/>
  <c r="F723" i="27"/>
  <c r="D84" i="9"/>
  <c r="B725" i="16"/>
  <c r="A726" i="16"/>
  <c r="D725" i="16" a="1"/>
  <c r="D725" i="16" s="1"/>
  <c r="E725" i="16" s="1"/>
  <c r="I723" i="16"/>
  <c r="C672" i="27"/>
  <c r="H671" i="27"/>
  <c r="C672" i="28"/>
  <c r="H671" i="28"/>
  <c r="B724" i="27"/>
  <c r="A725" i="27"/>
  <c r="D724" i="27" a="1"/>
  <c r="D724" i="27" s="1"/>
  <c r="E724" i="27" s="1"/>
  <c r="I722" i="27"/>
  <c r="F724" i="16"/>
  <c r="G724" i="16"/>
  <c r="C672" i="16"/>
  <c r="H671" i="16"/>
  <c r="C672" i="17"/>
  <c r="H671" i="17"/>
  <c r="B722" i="36" l="1"/>
  <c r="A723" i="36"/>
  <c r="B722" i="33"/>
  <c r="A723" i="33"/>
  <c r="B722" i="35"/>
  <c r="A723" i="35"/>
  <c r="B722" i="34"/>
  <c r="A723" i="34"/>
  <c r="F725" i="16"/>
  <c r="G725" i="16"/>
  <c r="C673" i="17"/>
  <c r="H672" i="17"/>
  <c r="C673" i="27"/>
  <c r="H672" i="27"/>
  <c r="A727" i="16"/>
  <c r="B726" i="16"/>
  <c r="D726" i="16" a="1"/>
  <c r="D726" i="16" s="1"/>
  <c r="E726" i="16" s="1"/>
  <c r="I724" i="16"/>
  <c r="A726" i="27"/>
  <c r="B725" i="27"/>
  <c r="D725" i="27" a="1"/>
  <c r="D725" i="27" s="1"/>
  <c r="E725" i="27" s="1"/>
  <c r="C673" i="16"/>
  <c r="H672" i="16"/>
  <c r="G724" i="27"/>
  <c r="F724" i="27"/>
  <c r="C673" i="28"/>
  <c r="H672" i="28"/>
  <c r="I723" i="27"/>
  <c r="B723" i="34" l="1"/>
  <c r="A724" i="34"/>
  <c r="B723" i="33"/>
  <c r="A724" i="33"/>
  <c r="B723" i="36"/>
  <c r="A724" i="36"/>
  <c r="B723" i="35"/>
  <c r="A724" i="35"/>
  <c r="F725" i="27"/>
  <c r="G725" i="27"/>
  <c r="B727" i="16"/>
  <c r="A728" i="16"/>
  <c r="D727" i="16" a="1"/>
  <c r="D727" i="16" s="1"/>
  <c r="E727" i="16" s="1"/>
  <c r="C674" i="17"/>
  <c r="H673" i="17"/>
  <c r="C674" i="28"/>
  <c r="H673" i="28"/>
  <c r="C674" i="16"/>
  <c r="H673" i="16"/>
  <c r="I724" i="27"/>
  <c r="A727" i="27"/>
  <c r="B726" i="27"/>
  <c r="D726" i="27" a="1"/>
  <c r="D726" i="27" s="1"/>
  <c r="E726" i="27" s="1"/>
  <c r="I725" i="16"/>
  <c r="G726" i="16"/>
  <c r="F726" i="16"/>
  <c r="C674" i="27"/>
  <c r="H673" i="27"/>
  <c r="B724" i="34" l="1"/>
  <c r="A725" i="34"/>
  <c r="B724" i="35"/>
  <c r="A725" i="35"/>
  <c r="B724" i="36"/>
  <c r="A725" i="36"/>
  <c r="B724" i="33"/>
  <c r="A725" i="33"/>
  <c r="F726" i="27"/>
  <c r="G726" i="27"/>
  <c r="C675" i="28"/>
  <c r="H674" i="28"/>
  <c r="A729" i="16"/>
  <c r="B728" i="16"/>
  <c r="D728" i="16" a="1"/>
  <c r="D728" i="16" s="1"/>
  <c r="E728" i="16" s="1"/>
  <c r="C675" i="27"/>
  <c r="H674" i="27"/>
  <c r="I726" i="16"/>
  <c r="A728" i="27"/>
  <c r="B727" i="27"/>
  <c r="D727" i="27" a="1"/>
  <c r="D727" i="27" s="1"/>
  <c r="E727" i="27" s="1"/>
  <c r="C675" i="16"/>
  <c r="H674" i="16"/>
  <c r="C675" i="17"/>
  <c r="H674" i="17"/>
  <c r="I725" i="27"/>
  <c r="G727" i="16"/>
  <c r="F727" i="16"/>
  <c r="B725" i="34" l="1"/>
  <c r="A726" i="34"/>
  <c r="B725" i="33"/>
  <c r="A726" i="33"/>
  <c r="B725" i="35"/>
  <c r="A726" i="35"/>
  <c r="B725" i="36"/>
  <c r="A726" i="36"/>
  <c r="G727" i="27"/>
  <c r="F727" i="27"/>
  <c r="I727" i="16"/>
  <c r="C676" i="17"/>
  <c r="H675" i="17"/>
  <c r="A729" i="27"/>
  <c r="B728" i="27"/>
  <c r="D728" i="27" a="1"/>
  <c r="D728" i="27" s="1"/>
  <c r="E728" i="27" s="1"/>
  <c r="C676" i="27"/>
  <c r="H675" i="27"/>
  <c r="G728" i="16"/>
  <c r="F728" i="16"/>
  <c r="C676" i="28"/>
  <c r="H675" i="28"/>
  <c r="I726" i="27"/>
  <c r="C676" i="16"/>
  <c r="H675" i="16"/>
  <c r="A730" i="16"/>
  <c r="B729" i="16"/>
  <c r="D729" i="16" a="1"/>
  <c r="D729" i="16" s="1"/>
  <c r="E729" i="16" s="1"/>
  <c r="B726" i="35" l="1"/>
  <c r="A727" i="35"/>
  <c r="B726" i="36"/>
  <c r="A727" i="36"/>
  <c r="B726" i="33"/>
  <c r="A727" i="33"/>
  <c r="B726" i="34"/>
  <c r="A727" i="34"/>
  <c r="I728" i="16"/>
  <c r="C677" i="16"/>
  <c r="H676" i="16"/>
  <c r="A731" i="16"/>
  <c r="B730" i="16"/>
  <c r="D730" i="16" a="1"/>
  <c r="D730" i="16" s="1"/>
  <c r="E730" i="16" s="1"/>
  <c r="B729" i="27"/>
  <c r="A730" i="27"/>
  <c r="D729" i="27" a="1"/>
  <c r="D729" i="27" s="1"/>
  <c r="E729" i="27" s="1"/>
  <c r="G729" i="16"/>
  <c r="F729" i="16"/>
  <c r="C677" i="28"/>
  <c r="H676" i="28"/>
  <c r="C677" i="27"/>
  <c r="H676" i="27"/>
  <c r="G728" i="27"/>
  <c r="F728" i="27"/>
  <c r="C677" i="17"/>
  <c r="H676" i="17"/>
  <c r="I727" i="27"/>
  <c r="B727" i="33" l="1"/>
  <c r="A728" i="33"/>
  <c r="B727" i="34"/>
  <c r="A728" i="34"/>
  <c r="B727" i="36"/>
  <c r="A728" i="36"/>
  <c r="B727" i="35"/>
  <c r="A728" i="35"/>
  <c r="C678" i="17"/>
  <c r="H677" i="17"/>
  <c r="C678" i="27"/>
  <c r="H677" i="27"/>
  <c r="F730" i="16"/>
  <c r="G730" i="16"/>
  <c r="C678" i="16"/>
  <c r="H677" i="16"/>
  <c r="I729" i="16"/>
  <c r="F729" i="27"/>
  <c r="G729" i="27"/>
  <c r="I728" i="27"/>
  <c r="C678" i="28"/>
  <c r="H677" i="28"/>
  <c r="B730" i="27"/>
  <c r="A731" i="27"/>
  <c r="D730" i="27" a="1"/>
  <c r="D730" i="27" s="1"/>
  <c r="E730" i="27" s="1"/>
  <c r="B731" i="16"/>
  <c r="A732" i="16"/>
  <c r="D731" i="16" a="1"/>
  <c r="D731" i="16" s="1"/>
  <c r="E731" i="16" s="1"/>
  <c r="B728" i="35" l="1"/>
  <c r="A729" i="35"/>
  <c r="B728" i="36"/>
  <c r="A729" i="36"/>
  <c r="B728" i="34"/>
  <c r="A729" i="34"/>
  <c r="B728" i="33"/>
  <c r="A729" i="33"/>
  <c r="B732" i="16"/>
  <c r="A733" i="16"/>
  <c r="D732" i="16" a="1"/>
  <c r="D732" i="16" s="1"/>
  <c r="E732" i="16" s="1"/>
  <c r="I729" i="27"/>
  <c r="G730" i="27"/>
  <c r="F730" i="27"/>
  <c r="C679" i="28"/>
  <c r="H678" i="28"/>
  <c r="C679" i="16"/>
  <c r="H678" i="16"/>
  <c r="C679" i="27"/>
  <c r="H678" i="27"/>
  <c r="G731" i="16"/>
  <c r="F731" i="16"/>
  <c r="A732" i="27"/>
  <c r="B731" i="27"/>
  <c r="D731" i="27" a="1"/>
  <c r="D731" i="27" s="1"/>
  <c r="E731" i="27" s="1"/>
  <c r="I730" i="16"/>
  <c r="C679" i="17"/>
  <c r="H678" i="17"/>
  <c r="B729" i="34" l="1"/>
  <c r="A730" i="34"/>
  <c r="B729" i="36"/>
  <c r="A730" i="36"/>
  <c r="B729" i="35"/>
  <c r="A730" i="35"/>
  <c r="B729" i="33"/>
  <c r="A730" i="33"/>
  <c r="C680" i="17"/>
  <c r="H679" i="17"/>
  <c r="A733" i="27"/>
  <c r="B732" i="27"/>
  <c r="D732" i="27" a="1"/>
  <c r="D732" i="27" s="1"/>
  <c r="E732" i="27" s="1"/>
  <c r="C680" i="27"/>
  <c r="H679" i="27"/>
  <c r="C680" i="28"/>
  <c r="H679" i="28"/>
  <c r="G732" i="16"/>
  <c r="F732" i="16"/>
  <c r="F731" i="27"/>
  <c r="G731" i="27"/>
  <c r="K75" i="16"/>
  <c r="L80" i="17" s="1"/>
  <c r="I731" i="16"/>
  <c r="C680" i="16"/>
  <c r="H679" i="16"/>
  <c r="I730" i="27"/>
  <c r="A734" i="16"/>
  <c r="B733" i="16"/>
  <c r="D733" i="16" a="1"/>
  <c r="D733" i="16" s="1"/>
  <c r="E733" i="16" s="1"/>
  <c r="B730" i="33" l="1"/>
  <c r="A731" i="33"/>
  <c r="B730" i="35"/>
  <c r="A731" i="35"/>
  <c r="B730" i="34"/>
  <c r="A731" i="34"/>
  <c r="B730" i="36"/>
  <c r="A731" i="36"/>
  <c r="B734" i="16"/>
  <c r="A735" i="16"/>
  <c r="D734" i="16" a="1"/>
  <c r="D734" i="16" s="1"/>
  <c r="E734" i="16" s="1"/>
  <c r="C681" i="16"/>
  <c r="H680" i="16"/>
  <c r="I731" i="27"/>
  <c r="K75" i="27"/>
  <c r="N80" i="17" s="1"/>
  <c r="E85" i="9" s="1"/>
  <c r="F85" i="9" s="1"/>
  <c r="C681" i="28"/>
  <c r="H680" i="28"/>
  <c r="G733" i="16"/>
  <c r="F733" i="16"/>
  <c r="A734" i="27"/>
  <c r="B733" i="27"/>
  <c r="D733" i="27" a="1"/>
  <c r="D733" i="27" s="1"/>
  <c r="E733" i="27" s="1"/>
  <c r="I732" i="16"/>
  <c r="C681" i="27"/>
  <c r="H680" i="27"/>
  <c r="G732" i="27"/>
  <c r="F732" i="27"/>
  <c r="C681" i="17"/>
  <c r="H680" i="17"/>
  <c r="O80" i="17" l="1"/>
  <c r="B731" i="36"/>
  <c r="A732" i="36"/>
  <c r="B731" i="35"/>
  <c r="A732" i="35"/>
  <c r="B731" i="33"/>
  <c r="A732" i="33"/>
  <c r="B731" i="34"/>
  <c r="A732" i="34"/>
  <c r="D85" i="9"/>
  <c r="C682" i="27"/>
  <c r="H681" i="27"/>
  <c r="I732" i="27"/>
  <c r="A735" i="27"/>
  <c r="B734" i="27"/>
  <c r="D734" i="27" a="1"/>
  <c r="D734" i="27" s="1"/>
  <c r="E734" i="27" s="1"/>
  <c r="C682" i="16"/>
  <c r="H681" i="16"/>
  <c r="F734" i="16"/>
  <c r="G734" i="16"/>
  <c r="G733" i="27"/>
  <c r="F733" i="27"/>
  <c r="I733" i="16"/>
  <c r="A736" i="16"/>
  <c r="B735" i="16"/>
  <c r="D735" i="16" a="1"/>
  <c r="D735" i="16" s="1"/>
  <c r="E735" i="16" s="1"/>
  <c r="C682" i="17"/>
  <c r="H681" i="17"/>
  <c r="C682" i="28"/>
  <c r="H681" i="28"/>
  <c r="B732" i="34" l="1"/>
  <c r="A733" i="34"/>
  <c r="B732" i="33"/>
  <c r="A733" i="33"/>
  <c r="B732" i="35"/>
  <c r="A733" i="35"/>
  <c r="B732" i="36"/>
  <c r="A733" i="36"/>
  <c r="I734" i="16"/>
  <c r="C683" i="28"/>
  <c r="H682" i="28"/>
  <c r="A736" i="27"/>
  <c r="B735" i="27"/>
  <c r="D735" i="27" a="1"/>
  <c r="D735" i="27" s="1"/>
  <c r="E735" i="27" s="1"/>
  <c r="C683" i="27"/>
  <c r="H682" i="27"/>
  <c r="F735" i="16"/>
  <c r="G735" i="16"/>
  <c r="A737" i="16"/>
  <c r="B736" i="16"/>
  <c r="D736" i="16" a="1"/>
  <c r="D736" i="16" s="1"/>
  <c r="E736" i="16" s="1"/>
  <c r="I733" i="27"/>
  <c r="C683" i="16"/>
  <c r="H682" i="16"/>
  <c r="F734" i="27"/>
  <c r="G734" i="27"/>
  <c r="C683" i="17"/>
  <c r="H682" i="17"/>
  <c r="B733" i="33" l="1"/>
  <c r="A734" i="33"/>
  <c r="B733" i="35"/>
  <c r="A734" i="35"/>
  <c r="B733" i="36"/>
  <c r="A734" i="36"/>
  <c r="B733" i="34"/>
  <c r="A734" i="34"/>
  <c r="G736" i="16"/>
  <c r="F736" i="16"/>
  <c r="C684" i="16"/>
  <c r="H683" i="16"/>
  <c r="I734" i="27"/>
  <c r="A738" i="16"/>
  <c r="B737" i="16"/>
  <c r="D737" i="16" a="1"/>
  <c r="D737" i="16" s="1"/>
  <c r="E737" i="16" s="1"/>
  <c r="C684" i="27"/>
  <c r="H683" i="27"/>
  <c r="G735" i="27"/>
  <c r="F735" i="27"/>
  <c r="C684" i="28"/>
  <c r="H683" i="28"/>
  <c r="C684" i="17"/>
  <c r="H683" i="17"/>
  <c r="I735" i="16"/>
  <c r="B736" i="27"/>
  <c r="A737" i="27"/>
  <c r="D736" i="27" a="1"/>
  <c r="D736" i="27" s="1"/>
  <c r="E736" i="27" s="1"/>
  <c r="B734" i="34" l="1"/>
  <c r="A735" i="34"/>
  <c r="B734" i="33"/>
  <c r="A735" i="33"/>
  <c r="B734" i="36"/>
  <c r="A735" i="36"/>
  <c r="B734" i="35"/>
  <c r="A735" i="35"/>
  <c r="C685" i="17"/>
  <c r="H684" i="17"/>
  <c r="I735" i="27"/>
  <c r="A738" i="27"/>
  <c r="B737" i="27"/>
  <c r="D737" i="27" a="1"/>
  <c r="D737" i="27" s="1"/>
  <c r="E737" i="27" s="1"/>
  <c r="A739" i="16"/>
  <c r="B738" i="16"/>
  <c r="D738" i="16" a="1"/>
  <c r="D738" i="16" s="1"/>
  <c r="E738" i="16" s="1"/>
  <c r="C685" i="16"/>
  <c r="H684" i="16"/>
  <c r="F736" i="27"/>
  <c r="G736" i="27"/>
  <c r="C685" i="28"/>
  <c r="H684" i="28"/>
  <c r="C685" i="27"/>
  <c r="H684" i="27"/>
  <c r="F737" i="16"/>
  <c r="G737" i="16"/>
  <c r="I736" i="16"/>
  <c r="B735" i="35" l="1"/>
  <c r="A736" i="35"/>
  <c r="B735" i="33"/>
  <c r="A736" i="33"/>
  <c r="B735" i="34"/>
  <c r="A736" i="34"/>
  <c r="B735" i="36"/>
  <c r="A736" i="36"/>
  <c r="G738" i="16"/>
  <c r="F738" i="16"/>
  <c r="C686" i="27"/>
  <c r="H685" i="27"/>
  <c r="I737" i="16"/>
  <c r="A740" i="16"/>
  <c r="B739" i="16"/>
  <c r="D739" i="16" a="1"/>
  <c r="D739" i="16" s="1"/>
  <c r="E739" i="16" s="1"/>
  <c r="F737" i="27"/>
  <c r="G737" i="27"/>
  <c r="C686" i="28"/>
  <c r="H685" i="28"/>
  <c r="I736" i="27"/>
  <c r="C686" i="16"/>
  <c r="H685" i="16"/>
  <c r="A739" i="27"/>
  <c r="B738" i="27"/>
  <c r="D738" i="27" a="1"/>
  <c r="D738" i="27" s="1"/>
  <c r="E738" i="27" s="1"/>
  <c r="C686" i="17"/>
  <c r="H685" i="17"/>
  <c r="B736" i="33" l="1"/>
  <c r="A737" i="33"/>
  <c r="B736" i="36"/>
  <c r="A737" i="36"/>
  <c r="B736" i="34"/>
  <c r="A737" i="34"/>
  <c r="B736" i="35"/>
  <c r="A737" i="35"/>
  <c r="F738" i="27"/>
  <c r="G738" i="27"/>
  <c r="C687" i="16"/>
  <c r="H686" i="16"/>
  <c r="C687" i="28"/>
  <c r="H686" i="28"/>
  <c r="I737" i="27"/>
  <c r="A741" i="16"/>
  <c r="B740" i="16"/>
  <c r="D740" i="16" a="1"/>
  <c r="D740" i="16" s="1"/>
  <c r="E740" i="16" s="1"/>
  <c r="C687" i="27"/>
  <c r="H686" i="27"/>
  <c r="C687" i="17"/>
  <c r="H686" i="17"/>
  <c r="A740" i="27"/>
  <c r="B739" i="27"/>
  <c r="D739" i="27" a="1"/>
  <c r="D739" i="27" s="1"/>
  <c r="E739" i="27" s="1"/>
  <c r="F739" i="16"/>
  <c r="G739" i="16"/>
  <c r="I738" i="16"/>
  <c r="B737" i="36" l="1"/>
  <c r="A738" i="36"/>
  <c r="B737" i="35"/>
  <c r="A738" i="35"/>
  <c r="B737" i="33"/>
  <c r="A738" i="33"/>
  <c r="B737" i="34"/>
  <c r="A738" i="34"/>
  <c r="G739" i="27"/>
  <c r="F739" i="27"/>
  <c r="C688" i="17"/>
  <c r="H687" i="17"/>
  <c r="I739" i="16"/>
  <c r="B740" i="27"/>
  <c r="A741" i="27"/>
  <c r="D740" i="27" a="1"/>
  <c r="D740" i="27" s="1"/>
  <c r="E740" i="27" s="1"/>
  <c r="C688" i="27"/>
  <c r="H687" i="27"/>
  <c r="G740" i="16"/>
  <c r="F740" i="16"/>
  <c r="C688" i="16"/>
  <c r="H687" i="16"/>
  <c r="I738" i="27"/>
  <c r="A742" i="16"/>
  <c r="B741" i="16"/>
  <c r="D741" i="16" a="1"/>
  <c r="D741" i="16" s="1"/>
  <c r="E741" i="16" s="1"/>
  <c r="C688" i="28"/>
  <c r="H687" i="28"/>
  <c r="B738" i="35" l="1"/>
  <c r="A739" i="35"/>
  <c r="B738" i="36"/>
  <c r="A739" i="36"/>
  <c r="B738" i="33"/>
  <c r="A739" i="33"/>
  <c r="B738" i="34"/>
  <c r="A739" i="34"/>
  <c r="F741" i="16"/>
  <c r="G741" i="16"/>
  <c r="I740" i="16"/>
  <c r="A742" i="27"/>
  <c r="B741" i="27"/>
  <c r="D741" i="27" a="1"/>
  <c r="D741" i="27" s="1"/>
  <c r="E741" i="27" s="1"/>
  <c r="C689" i="28"/>
  <c r="H688" i="28"/>
  <c r="C689" i="17"/>
  <c r="H688" i="17"/>
  <c r="A743" i="16"/>
  <c r="B742" i="16"/>
  <c r="D742" i="16" a="1"/>
  <c r="D742" i="16" s="1"/>
  <c r="E742" i="16" s="1"/>
  <c r="C689" i="16"/>
  <c r="H688" i="16"/>
  <c r="C689" i="27"/>
  <c r="H688" i="27"/>
  <c r="F740" i="27"/>
  <c r="G740" i="27"/>
  <c r="I739" i="27"/>
  <c r="B739" i="36" l="1"/>
  <c r="A740" i="36"/>
  <c r="B739" i="34"/>
  <c r="A740" i="34"/>
  <c r="B739" i="33"/>
  <c r="A740" i="33"/>
  <c r="B739" i="35"/>
  <c r="A740" i="35"/>
  <c r="F742" i="16"/>
  <c r="G742" i="16"/>
  <c r="C690" i="17"/>
  <c r="H689" i="17"/>
  <c r="C690" i="27"/>
  <c r="H689" i="27"/>
  <c r="I740" i="27"/>
  <c r="A744" i="16"/>
  <c r="B743" i="16"/>
  <c r="D743" i="16" a="1"/>
  <c r="D743" i="16" s="1"/>
  <c r="E743" i="16" s="1"/>
  <c r="C690" i="28"/>
  <c r="H689" i="28"/>
  <c r="G741" i="27"/>
  <c r="F741" i="27"/>
  <c r="I741" i="16"/>
  <c r="K76" i="16"/>
  <c r="L81" i="17" s="1"/>
  <c r="C690" i="16"/>
  <c r="H689" i="16"/>
  <c r="A743" i="27"/>
  <c r="B742" i="27"/>
  <c r="D742" i="27" a="1"/>
  <c r="D742" i="27" s="1"/>
  <c r="E742" i="27" s="1"/>
  <c r="B740" i="33" l="1"/>
  <c r="A741" i="33"/>
  <c r="B740" i="34"/>
  <c r="A741" i="34"/>
  <c r="B740" i="36"/>
  <c r="A741" i="36"/>
  <c r="B740" i="35"/>
  <c r="A741" i="35"/>
  <c r="G742" i="27"/>
  <c r="F742" i="27"/>
  <c r="C691" i="16"/>
  <c r="H690" i="16"/>
  <c r="B743" i="27"/>
  <c r="A744" i="27"/>
  <c r="D743" i="27" a="1"/>
  <c r="D743" i="27" s="1"/>
  <c r="E743" i="27" s="1"/>
  <c r="C691" i="28"/>
  <c r="H690" i="28"/>
  <c r="F743" i="16"/>
  <c r="G743" i="16"/>
  <c r="C691" i="17"/>
  <c r="H690" i="17"/>
  <c r="K76" i="27"/>
  <c r="N81" i="17" s="1"/>
  <c r="E86" i="9" s="1"/>
  <c r="F86" i="9" s="1"/>
  <c r="I741" i="27"/>
  <c r="I742" i="16"/>
  <c r="A745" i="16"/>
  <c r="B744" i="16"/>
  <c r="D744" i="16" a="1"/>
  <c r="D744" i="16" s="1"/>
  <c r="E744" i="16" s="1"/>
  <c r="C691" i="27"/>
  <c r="H690" i="27"/>
  <c r="O81" i="17" l="1"/>
  <c r="B741" i="35"/>
  <c r="A742" i="35"/>
  <c r="B741" i="36"/>
  <c r="A742" i="36"/>
  <c r="B741" i="33"/>
  <c r="A742" i="33"/>
  <c r="B741" i="34"/>
  <c r="A742" i="34"/>
  <c r="C692" i="27"/>
  <c r="H691" i="27"/>
  <c r="A746" i="16"/>
  <c r="B745" i="16"/>
  <c r="D745" i="16" a="1"/>
  <c r="D745" i="16" s="1"/>
  <c r="E745" i="16" s="1"/>
  <c r="C692" i="17"/>
  <c r="H691" i="17"/>
  <c r="C692" i="28"/>
  <c r="H691" i="28"/>
  <c r="G743" i="27"/>
  <c r="F743" i="27"/>
  <c r="C692" i="16"/>
  <c r="H691" i="16"/>
  <c r="F744" i="16"/>
  <c r="G744" i="16"/>
  <c r="A745" i="27"/>
  <c r="B744" i="27"/>
  <c r="D744" i="27" a="1"/>
  <c r="D744" i="27" s="1"/>
  <c r="E744" i="27" s="1"/>
  <c r="D86" i="9"/>
  <c r="I743" i="16"/>
  <c r="I742" i="27"/>
  <c r="B742" i="34" l="1"/>
  <c r="A743" i="34"/>
  <c r="B742" i="35"/>
  <c r="A743" i="35"/>
  <c r="B742" i="33"/>
  <c r="A743" i="33"/>
  <c r="B742" i="36"/>
  <c r="A743" i="36"/>
  <c r="B745" i="27"/>
  <c r="A746" i="27"/>
  <c r="D745" i="27" a="1"/>
  <c r="D745" i="27" s="1"/>
  <c r="E745" i="27" s="1"/>
  <c r="C693" i="16"/>
  <c r="H692" i="16"/>
  <c r="C693" i="28"/>
  <c r="H692" i="28"/>
  <c r="I744" i="16"/>
  <c r="A747" i="16"/>
  <c r="B746" i="16"/>
  <c r="D746" i="16" a="1"/>
  <c r="D746" i="16" s="1"/>
  <c r="E746" i="16" s="1"/>
  <c r="G744" i="27"/>
  <c r="F744" i="27"/>
  <c r="I743" i="27"/>
  <c r="C693" i="17"/>
  <c r="H692" i="17"/>
  <c r="F745" i="16"/>
  <c r="G745" i="16"/>
  <c r="C693" i="27"/>
  <c r="H692" i="27"/>
  <c r="B743" i="36" l="1"/>
  <c r="A744" i="36"/>
  <c r="B743" i="35"/>
  <c r="A744" i="35"/>
  <c r="B743" i="33"/>
  <c r="A744" i="33"/>
  <c r="B743" i="34"/>
  <c r="A744" i="34"/>
  <c r="C694" i="27"/>
  <c r="H693" i="27"/>
  <c r="I745" i="16"/>
  <c r="A748" i="16"/>
  <c r="B747" i="16"/>
  <c r="D747" i="16" a="1"/>
  <c r="D747" i="16" s="1"/>
  <c r="E747" i="16" s="1"/>
  <c r="C694" i="28"/>
  <c r="H693" i="28"/>
  <c r="A747" i="27"/>
  <c r="B746" i="27"/>
  <c r="D746" i="27" a="1"/>
  <c r="D746" i="27" s="1"/>
  <c r="E746" i="27" s="1"/>
  <c r="C694" i="17"/>
  <c r="H693" i="17"/>
  <c r="I744" i="27"/>
  <c r="G746" i="16"/>
  <c r="F746" i="16"/>
  <c r="C694" i="16"/>
  <c r="H693" i="16"/>
  <c r="G745" i="27"/>
  <c r="F745" i="27"/>
  <c r="B744" i="33" l="1"/>
  <c r="A745" i="33"/>
  <c r="B744" i="34"/>
  <c r="A745" i="34"/>
  <c r="B744" i="36"/>
  <c r="A745" i="36"/>
  <c r="B744" i="35"/>
  <c r="A745" i="35"/>
  <c r="F746" i="27"/>
  <c r="G746" i="27"/>
  <c r="C695" i="28"/>
  <c r="H694" i="28"/>
  <c r="F747" i="16"/>
  <c r="G747" i="16"/>
  <c r="C695" i="16"/>
  <c r="H694" i="16"/>
  <c r="B747" i="27"/>
  <c r="A748" i="27"/>
  <c r="D747" i="27" a="1"/>
  <c r="D747" i="27" s="1"/>
  <c r="E747" i="27" s="1"/>
  <c r="I745" i="27"/>
  <c r="I746" i="16"/>
  <c r="C695" i="17"/>
  <c r="H694" i="17"/>
  <c r="A749" i="16"/>
  <c r="B748" i="16"/>
  <c r="D748" i="16" a="1"/>
  <c r="D748" i="16" s="1"/>
  <c r="E748" i="16" s="1"/>
  <c r="C695" i="27"/>
  <c r="H694" i="27"/>
  <c r="B745" i="36" l="1"/>
  <c r="A746" i="36"/>
  <c r="B745" i="35"/>
  <c r="A746" i="35"/>
  <c r="B745" i="34"/>
  <c r="A746" i="34"/>
  <c r="B745" i="33"/>
  <c r="A746" i="33"/>
  <c r="F748" i="16"/>
  <c r="G748" i="16"/>
  <c r="C696" i="17"/>
  <c r="H695" i="17"/>
  <c r="F747" i="27"/>
  <c r="G747" i="27"/>
  <c r="C696" i="16"/>
  <c r="H695" i="16"/>
  <c r="C696" i="28"/>
  <c r="H695" i="28"/>
  <c r="A750" i="16"/>
  <c r="B749" i="16"/>
  <c r="D749" i="16" a="1"/>
  <c r="D749" i="16" s="1"/>
  <c r="E749" i="16" s="1"/>
  <c r="A749" i="27"/>
  <c r="B748" i="27"/>
  <c r="D748" i="27" a="1"/>
  <c r="D748" i="27" s="1"/>
  <c r="E748" i="27" s="1"/>
  <c r="I747" i="16"/>
  <c r="I746" i="27"/>
  <c r="C696" i="27"/>
  <c r="H695" i="27"/>
  <c r="B746" i="33" l="1"/>
  <c r="A747" i="33"/>
  <c r="B746" i="34"/>
  <c r="A747" i="34"/>
  <c r="B746" i="35"/>
  <c r="A747" i="35"/>
  <c r="B746" i="36"/>
  <c r="A747" i="36"/>
  <c r="G748" i="27"/>
  <c r="F748" i="27"/>
  <c r="A751" i="16"/>
  <c r="B750" i="16"/>
  <c r="D750" i="16" a="1"/>
  <c r="D750" i="16" s="1"/>
  <c r="E750" i="16" s="1"/>
  <c r="C697" i="16"/>
  <c r="H696" i="16"/>
  <c r="C697" i="17"/>
  <c r="H696" i="17"/>
  <c r="C697" i="27"/>
  <c r="H696" i="27"/>
  <c r="B749" i="27"/>
  <c r="A750" i="27"/>
  <c r="D749" i="27" a="1"/>
  <c r="D749" i="27" s="1"/>
  <c r="E749" i="27" s="1"/>
  <c r="I747" i="27"/>
  <c r="I748" i="16"/>
  <c r="F749" i="16"/>
  <c r="G749" i="16"/>
  <c r="C697" i="28"/>
  <c r="H696" i="28"/>
  <c r="B747" i="35" l="1"/>
  <c r="A748" i="35"/>
  <c r="B747" i="36"/>
  <c r="A748" i="36"/>
  <c r="B747" i="33"/>
  <c r="A748" i="33"/>
  <c r="B747" i="34"/>
  <c r="A748" i="34"/>
  <c r="A751" i="27"/>
  <c r="B750" i="27"/>
  <c r="D750" i="27" a="1"/>
  <c r="D750" i="27" s="1"/>
  <c r="E750" i="27" s="1"/>
  <c r="I749" i="16"/>
  <c r="C698" i="17"/>
  <c r="H697" i="17"/>
  <c r="C698" i="28"/>
  <c r="H697" i="28"/>
  <c r="A752" i="16"/>
  <c r="B751" i="16"/>
  <c r="D751" i="16" a="1"/>
  <c r="D751" i="16" s="1"/>
  <c r="E751" i="16" s="1"/>
  <c r="G749" i="27"/>
  <c r="F749" i="27"/>
  <c r="C698" i="27"/>
  <c r="H697" i="27"/>
  <c r="C698" i="16"/>
  <c r="H697" i="16"/>
  <c r="F750" i="16"/>
  <c r="G750" i="16"/>
  <c r="I748" i="27"/>
  <c r="B748" i="33" l="1"/>
  <c r="A749" i="33"/>
  <c r="B748" i="36"/>
  <c r="A749" i="36"/>
  <c r="B748" i="34"/>
  <c r="A749" i="34"/>
  <c r="B748" i="35"/>
  <c r="A749" i="35"/>
  <c r="G751" i="16"/>
  <c r="F751" i="16"/>
  <c r="C699" i="28"/>
  <c r="H698" i="28"/>
  <c r="G750" i="27"/>
  <c r="F750" i="27"/>
  <c r="I750" i="16"/>
  <c r="A753" i="16"/>
  <c r="B752" i="16"/>
  <c r="D752" i="16" a="1"/>
  <c r="D752" i="16" s="1"/>
  <c r="E752" i="16" s="1"/>
  <c r="C699" i="17"/>
  <c r="H698" i="17"/>
  <c r="C699" i="27"/>
  <c r="H698" i="27"/>
  <c r="C699" i="16"/>
  <c r="H698" i="16"/>
  <c r="I749" i="27"/>
  <c r="B751" i="27"/>
  <c r="A752" i="27"/>
  <c r="D751" i="27" a="1"/>
  <c r="D751" i="27" s="1"/>
  <c r="E751" i="27" s="1"/>
  <c r="B749" i="35" l="1"/>
  <c r="A750" i="35"/>
  <c r="B749" i="34"/>
  <c r="A750" i="34"/>
  <c r="B749" i="36"/>
  <c r="A750" i="36"/>
  <c r="B749" i="33"/>
  <c r="A750" i="33"/>
  <c r="A753" i="27"/>
  <c r="B752" i="27"/>
  <c r="D752" i="27" a="1"/>
  <c r="D752" i="27" s="1"/>
  <c r="E752" i="27" s="1"/>
  <c r="C700" i="16"/>
  <c r="H699" i="16"/>
  <c r="C700" i="17"/>
  <c r="H699" i="17"/>
  <c r="F752" i="16"/>
  <c r="G752" i="16"/>
  <c r="C700" i="28"/>
  <c r="H699" i="28"/>
  <c r="C700" i="27"/>
  <c r="H699" i="27"/>
  <c r="G751" i="27"/>
  <c r="F751" i="27"/>
  <c r="A754" i="16"/>
  <c r="B753" i="16"/>
  <c r="D753" i="16" a="1"/>
  <c r="D753" i="16" s="1"/>
  <c r="E753" i="16" s="1"/>
  <c r="I750" i="27"/>
  <c r="I751" i="16"/>
  <c r="K77" i="16"/>
  <c r="L82" i="17" s="1"/>
  <c r="B750" i="33" l="1"/>
  <c r="A751" i="33"/>
  <c r="B750" i="35"/>
  <c r="A751" i="35"/>
  <c r="B750" i="36"/>
  <c r="A751" i="36"/>
  <c r="B750" i="34"/>
  <c r="A751" i="34"/>
  <c r="F753" i="16"/>
  <c r="G753" i="16"/>
  <c r="A755" i="16"/>
  <c r="B754" i="16"/>
  <c r="D754" i="16" a="1"/>
  <c r="D754" i="16" s="1"/>
  <c r="E754" i="16" s="1"/>
  <c r="C701" i="27"/>
  <c r="H700" i="27"/>
  <c r="C701" i="16"/>
  <c r="H700" i="16"/>
  <c r="F752" i="27"/>
  <c r="G752" i="27"/>
  <c r="K77" i="27"/>
  <c r="N82" i="17" s="1"/>
  <c r="E87" i="9" s="1"/>
  <c r="F87" i="9" s="1"/>
  <c r="I751" i="27"/>
  <c r="C701" i="17"/>
  <c r="H700" i="17"/>
  <c r="C701" i="28"/>
  <c r="H700" i="28"/>
  <c r="I752" i="16"/>
  <c r="B753" i="27"/>
  <c r="A754" i="27"/>
  <c r="D753" i="27" a="1"/>
  <c r="D753" i="27" s="1"/>
  <c r="E753" i="27" s="1"/>
  <c r="O82" i="17" l="1"/>
  <c r="B751" i="34"/>
  <c r="A752" i="34"/>
  <c r="B751" i="36"/>
  <c r="A752" i="36"/>
  <c r="B751" i="35"/>
  <c r="A752" i="35"/>
  <c r="B751" i="33"/>
  <c r="A752" i="33"/>
  <c r="D87" i="9"/>
  <c r="F753" i="27"/>
  <c r="G753" i="27"/>
  <c r="C702" i="17"/>
  <c r="H701" i="17"/>
  <c r="C702" i="16"/>
  <c r="H701" i="16"/>
  <c r="A755" i="27"/>
  <c r="B754" i="27"/>
  <c r="D754" i="27" a="1"/>
  <c r="D754" i="27" s="1"/>
  <c r="E754" i="27" s="1"/>
  <c r="I752" i="27"/>
  <c r="A756" i="16"/>
  <c r="B755" i="16"/>
  <c r="D755" i="16" a="1"/>
  <c r="D755" i="16" s="1"/>
  <c r="E755" i="16" s="1"/>
  <c r="C702" i="28"/>
  <c r="H701" i="28"/>
  <c r="C702" i="27"/>
  <c r="H701" i="27"/>
  <c r="I753" i="16"/>
  <c r="F754" i="16"/>
  <c r="G754" i="16"/>
  <c r="B752" i="34" l="1"/>
  <c r="A753" i="34"/>
  <c r="B752" i="35"/>
  <c r="A753" i="35"/>
  <c r="B752" i="33"/>
  <c r="A753" i="33"/>
  <c r="B752" i="36"/>
  <c r="A753" i="36"/>
  <c r="G754" i="27"/>
  <c r="F754" i="27"/>
  <c r="C703" i="16"/>
  <c r="H702" i="16"/>
  <c r="I754" i="16"/>
  <c r="C703" i="27"/>
  <c r="H702" i="27"/>
  <c r="A757" i="16"/>
  <c r="B756" i="16"/>
  <c r="D756" i="16" a="1"/>
  <c r="D756" i="16" s="1"/>
  <c r="E756" i="16" s="1"/>
  <c r="C703" i="28"/>
  <c r="H702" i="28"/>
  <c r="B755" i="27"/>
  <c r="A756" i="27"/>
  <c r="D755" i="27" a="1"/>
  <c r="D755" i="27" s="1"/>
  <c r="E755" i="27" s="1"/>
  <c r="C703" i="17"/>
  <c r="H702" i="17"/>
  <c r="G755" i="16"/>
  <c r="F755" i="16"/>
  <c r="I753" i="27"/>
  <c r="B753" i="33" l="1"/>
  <c r="A754" i="33"/>
  <c r="B753" i="36"/>
  <c r="A754" i="36"/>
  <c r="B753" i="34"/>
  <c r="A754" i="34"/>
  <c r="B753" i="35"/>
  <c r="A754" i="35"/>
  <c r="I755" i="16"/>
  <c r="A757" i="27"/>
  <c r="B756" i="27"/>
  <c r="D756" i="27" a="1"/>
  <c r="D756" i="27" s="1"/>
  <c r="E756" i="27" s="1"/>
  <c r="C704" i="17"/>
  <c r="H703" i="17"/>
  <c r="A758" i="16"/>
  <c r="B757" i="16"/>
  <c r="D757" i="16" a="1"/>
  <c r="D757" i="16" s="1"/>
  <c r="E757" i="16" s="1"/>
  <c r="C704" i="27"/>
  <c r="H703" i="27"/>
  <c r="C704" i="16"/>
  <c r="H703" i="16"/>
  <c r="G755" i="27"/>
  <c r="F755" i="27"/>
  <c r="C704" i="28"/>
  <c r="H703" i="28"/>
  <c r="F756" i="16"/>
  <c r="G756" i="16"/>
  <c r="I754" i="27"/>
  <c r="B754" i="34" l="1"/>
  <c r="A755" i="34"/>
  <c r="B754" i="36"/>
  <c r="A755" i="36"/>
  <c r="B754" i="35"/>
  <c r="A755" i="35"/>
  <c r="B754" i="33"/>
  <c r="A755" i="33"/>
  <c r="C705" i="28"/>
  <c r="H704" i="28"/>
  <c r="I756" i="16"/>
  <c r="A759" i="16"/>
  <c r="B758" i="16"/>
  <c r="D758" i="16" a="1"/>
  <c r="D758" i="16" s="1"/>
  <c r="E758" i="16" s="1"/>
  <c r="C705" i="16"/>
  <c r="H704" i="16"/>
  <c r="I755" i="27"/>
  <c r="C705" i="27"/>
  <c r="H704" i="27"/>
  <c r="B757" i="27"/>
  <c r="A758" i="27"/>
  <c r="D757" i="27" a="1"/>
  <c r="D757" i="27" s="1"/>
  <c r="E757" i="27" s="1"/>
  <c r="G757" i="16"/>
  <c r="F757" i="16"/>
  <c r="C705" i="17"/>
  <c r="H704" i="17"/>
  <c r="F756" i="27"/>
  <c r="G756" i="27"/>
  <c r="B755" i="36" l="1"/>
  <c r="A756" i="36"/>
  <c r="B755" i="33"/>
  <c r="A756" i="33"/>
  <c r="B755" i="34"/>
  <c r="A756" i="34"/>
  <c r="B755" i="35"/>
  <c r="A756" i="35"/>
  <c r="G757" i="27"/>
  <c r="F757" i="27"/>
  <c r="C706" i="27"/>
  <c r="H705" i="27"/>
  <c r="C706" i="16"/>
  <c r="H705" i="16"/>
  <c r="F758" i="16"/>
  <c r="G758" i="16"/>
  <c r="C706" i="17"/>
  <c r="H705" i="17"/>
  <c r="A759" i="27"/>
  <c r="B758" i="27"/>
  <c r="D758" i="27" a="1"/>
  <c r="D758" i="27" s="1"/>
  <c r="E758" i="27" s="1"/>
  <c r="I756" i="27"/>
  <c r="I757" i="16"/>
  <c r="A760" i="16"/>
  <c r="B759" i="16"/>
  <c r="D759" i="16" a="1"/>
  <c r="D759" i="16" s="1"/>
  <c r="E759" i="16" s="1"/>
  <c r="C706" i="28"/>
  <c r="H705" i="28"/>
  <c r="B756" i="35" l="1"/>
  <c r="A757" i="35"/>
  <c r="B756" i="33"/>
  <c r="A757" i="33"/>
  <c r="B756" i="36"/>
  <c r="A757" i="36"/>
  <c r="B756" i="34"/>
  <c r="A757" i="34"/>
  <c r="F759" i="16"/>
  <c r="G759" i="16"/>
  <c r="I758" i="16"/>
  <c r="B759" i="27"/>
  <c r="A760" i="27"/>
  <c r="D759" i="27" a="1"/>
  <c r="D759" i="27" s="1"/>
  <c r="E759" i="27" s="1"/>
  <c r="C707" i="27"/>
  <c r="H706" i="27"/>
  <c r="C707" i="28"/>
  <c r="H706" i="28"/>
  <c r="A761" i="16"/>
  <c r="B760" i="16"/>
  <c r="D760" i="16" a="1"/>
  <c r="D760" i="16" s="1"/>
  <c r="E760" i="16" s="1"/>
  <c r="F758" i="27"/>
  <c r="G758" i="27"/>
  <c r="C707" i="17"/>
  <c r="H706" i="17"/>
  <c r="C707" i="16"/>
  <c r="H706" i="16"/>
  <c r="I757" i="27"/>
  <c r="B757" i="36" l="1"/>
  <c r="A758" i="36"/>
  <c r="B757" i="35"/>
  <c r="A758" i="35"/>
  <c r="B757" i="34"/>
  <c r="A758" i="34"/>
  <c r="B757" i="33"/>
  <c r="A758" i="33"/>
  <c r="I758" i="27"/>
  <c r="A762" i="16"/>
  <c r="B761" i="16"/>
  <c r="D761" i="16" a="1"/>
  <c r="D761" i="16" s="1"/>
  <c r="E761" i="16" s="1"/>
  <c r="C708" i="27"/>
  <c r="H707" i="27"/>
  <c r="G759" i="27"/>
  <c r="F759" i="27"/>
  <c r="F760" i="16"/>
  <c r="G760" i="16"/>
  <c r="C708" i="28"/>
  <c r="H707" i="28"/>
  <c r="A761" i="27"/>
  <c r="B760" i="27"/>
  <c r="D760" i="27" a="1"/>
  <c r="D760" i="27" s="1"/>
  <c r="E760" i="27" s="1"/>
  <c r="I759" i="16"/>
  <c r="C708" i="16"/>
  <c r="H707" i="16"/>
  <c r="C708" i="17"/>
  <c r="H707" i="17"/>
  <c r="B758" i="34" l="1"/>
  <c r="A759" i="34"/>
  <c r="B758" i="33"/>
  <c r="A759" i="33"/>
  <c r="B758" i="35"/>
  <c r="A759" i="35"/>
  <c r="B758" i="36"/>
  <c r="A759" i="36"/>
  <c r="F760" i="27"/>
  <c r="G760" i="27"/>
  <c r="C709" i="28"/>
  <c r="H708" i="28"/>
  <c r="I759" i="27"/>
  <c r="C709" i="17"/>
  <c r="H708" i="17"/>
  <c r="C709" i="16"/>
  <c r="H708" i="16"/>
  <c r="I760" i="16"/>
  <c r="A763" i="16"/>
  <c r="B762" i="16"/>
  <c r="D762" i="16" a="1"/>
  <c r="D762" i="16" s="1"/>
  <c r="E762" i="16" s="1"/>
  <c r="B761" i="27"/>
  <c r="A762" i="27"/>
  <c r="D761" i="27" a="1"/>
  <c r="D761" i="27" s="1"/>
  <c r="E761" i="27" s="1"/>
  <c r="C709" i="27"/>
  <c r="H708" i="27"/>
  <c r="F761" i="16"/>
  <c r="G761" i="16"/>
  <c r="B759" i="35" l="1"/>
  <c r="A760" i="35"/>
  <c r="B759" i="36"/>
  <c r="A760" i="36"/>
  <c r="B759" i="33"/>
  <c r="A760" i="33"/>
  <c r="B759" i="34"/>
  <c r="A760" i="34"/>
  <c r="C710" i="27"/>
  <c r="H709" i="27"/>
  <c r="I761" i="16"/>
  <c r="K78" i="16"/>
  <c r="L83" i="17" s="1"/>
  <c r="F762" i="16"/>
  <c r="G762" i="16"/>
  <c r="C710" i="17"/>
  <c r="H709" i="17"/>
  <c r="C710" i="28"/>
  <c r="H709" i="28"/>
  <c r="I760" i="27"/>
  <c r="F761" i="27"/>
  <c r="G761" i="27"/>
  <c r="A763" i="27"/>
  <c r="B762" i="27"/>
  <c r="D762" i="27" a="1"/>
  <c r="D762" i="27" s="1"/>
  <c r="E762" i="27" s="1"/>
  <c r="A764" i="16"/>
  <c r="B763" i="16"/>
  <c r="D763" i="16" a="1"/>
  <c r="D763" i="16" s="1"/>
  <c r="E763" i="16" s="1"/>
  <c r="C710" i="16"/>
  <c r="H709" i="16"/>
  <c r="B760" i="36" l="1"/>
  <c r="A761" i="36"/>
  <c r="B760" i="33"/>
  <c r="A761" i="33"/>
  <c r="B760" i="34"/>
  <c r="A761" i="34"/>
  <c r="B760" i="35"/>
  <c r="A761" i="35"/>
  <c r="F763" i="16"/>
  <c r="G763" i="16"/>
  <c r="B763" i="27"/>
  <c r="A764" i="27"/>
  <c r="D763" i="27" a="1"/>
  <c r="D763" i="27" s="1"/>
  <c r="E763" i="27" s="1"/>
  <c r="C711" i="17"/>
  <c r="H710" i="17"/>
  <c r="C711" i="16"/>
  <c r="H710" i="16"/>
  <c r="A765" i="16"/>
  <c r="B764" i="16"/>
  <c r="D764" i="16" a="1"/>
  <c r="D764" i="16" s="1"/>
  <c r="E764" i="16" s="1"/>
  <c r="K78" i="27"/>
  <c r="N83" i="17" s="1"/>
  <c r="E88" i="9" s="1"/>
  <c r="F88" i="9" s="1"/>
  <c r="I761" i="27"/>
  <c r="I762" i="16"/>
  <c r="F762" i="27"/>
  <c r="G762" i="27"/>
  <c r="C711" i="28"/>
  <c r="H710" i="28"/>
  <c r="C711" i="27"/>
  <c r="H710" i="27"/>
  <c r="O83" i="17" l="1"/>
  <c r="B761" i="33"/>
  <c r="A762" i="33"/>
  <c r="B761" i="34"/>
  <c r="A762" i="34"/>
  <c r="B761" i="36"/>
  <c r="A762" i="36"/>
  <c r="B761" i="35"/>
  <c r="A762" i="35"/>
  <c r="D88" i="9"/>
  <c r="F764" i="16"/>
  <c r="G764" i="16"/>
  <c r="C712" i="16"/>
  <c r="H711" i="16"/>
  <c r="B764" i="27"/>
  <c r="A765" i="27"/>
  <c r="D764" i="27" a="1"/>
  <c r="D764" i="27" s="1"/>
  <c r="E764" i="27" s="1"/>
  <c r="C712" i="27"/>
  <c r="H711" i="27"/>
  <c r="C712" i="28"/>
  <c r="H711" i="28"/>
  <c r="I762" i="27"/>
  <c r="A766" i="16"/>
  <c r="B765" i="16"/>
  <c r="D765" i="16" a="1"/>
  <c r="D765" i="16" s="1"/>
  <c r="E765" i="16" s="1"/>
  <c r="C712" i="17"/>
  <c r="H711" i="17"/>
  <c r="I763" i="16"/>
  <c r="F763" i="27"/>
  <c r="G763" i="27"/>
  <c r="B762" i="35" l="1"/>
  <c r="A763" i="35"/>
  <c r="B762" i="34"/>
  <c r="A763" i="34"/>
  <c r="B762" i="36"/>
  <c r="A763" i="36"/>
  <c r="B762" i="33"/>
  <c r="A763" i="33"/>
  <c r="I763" i="27"/>
  <c r="C713" i="17"/>
  <c r="H712" i="17"/>
  <c r="F765" i="16"/>
  <c r="G765" i="16"/>
  <c r="C713" i="27"/>
  <c r="H712" i="27"/>
  <c r="F764" i="27"/>
  <c r="G764" i="27"/>
  <c r="C713" i="16"/>
  <c r="H712" i="16"/>
  <c r="B766" i="16"/>
  <c r="A767" i="16"/>
  <c r="D766" i="16" a="1"/>
  <c r="D766" i="16" s="1"/>
  <c r="E766" i="16" s="1"/>
  <c r="C713" i="28"/>
  <c r="H712" i="28"/>
  <c r="A766" i="27"/>
  <c r="B765" i="27"/>
  <c r="D765" i="27" a="1"/>
  <c r="D765" i="27" s="1"/>
  <c r="E765" i="27" s="1"/>
  <c r="I764" i="16"/>
  <c r="B763" i="36" l="1"/>
  <c r="A764" i="36"/>
  <c r="B763" i="34"/>
  <c r="A764" i="34"/>
  <c r="B763" i="33"/>
  <c r="A764" i="33"/>
  <c r="B763" i="35"/>
  <c r="A764" i="35"/>
  <c r="F765" i="27"/>
  <c r="G765" i="27"/>
  <c r="C714" i="28"/>
  <c r="H713" i="28"/>
  <c r="F766" i="16"/>
  <c r="G766" i="16"/>
  <c r="C714" i="16"/>
  <c r="H713" i="16"/>
  <c r="C714" i="27"/>
  <c r="H713" i="27"/>
  <c r="C714" i="17"/>
  <c r="H713" i="17"/>
  <c r="A767" i="27"/>
  <c r="B766" i="27"/>
  <c r="D766" i="27" a="1"/>
  <c r="D766" i="27" s="1"/>
  <c r="E766" i="27" s="1"/>
  <c r="A768" i="16"/>
  <c r="B767" i="16"/>
  <c r="D767" i="16" a="1"/>
  <c r="D767" i="16" s="1"/>
  <c r="E767" i="16" s="1"/>
  <c r="I764" i="27"/>
  <c r="I765" i="16"/>
  <c r="B764" i="36" l="1"/>
  <c r="A765" i="36"/>
  <c r="B764" i="34"/>
  <c r="A765" i="34"/>
  <c r="B764" i="35"/>
  <c r="A765" i="35"/>
  <c r="B764" i="33"/>
  <c r="A765" i="33"/>
  <c r="F767" i="16"/>
  <c r="G767" i="16"/>
  <c r="A768" i="27"/>
  <c r="B767" i="27"/>
  <c r="D767" i="27" a="1"/>
  <c r="D767" i="27" s="1"/>
  <c r="E767" i="27" s="1"/>
  <c r="A769" i="16"/>
  <c r="B768" i="16"/>
  <c r="D768" i="16" a="1"/>
  <c r="D768" i="16" s="1"/>
  <c r="E768" i="16" s="1"/>
  <c r="F766" i="27"/>
  <c r="G766" i="27"/>
  <c r="C715" i="17"/>
  <c r="H714" i="17"/>
  <c r="C715" i="16"/>
  <c r="H714" i="16"/>
  <c r="C715" i="28"/>
  <c r="H714" i="28"/>
  <c r="I766" i="16"/>
  <c r="I765" i="27"/>
  <c r="C715" i="27"/>
  <c r="H714" i="27"/>
  <c r="B765" i="35" l="1"/>
  <c r="A766" i="35"/>
  <c r="B765" i="33"/>
  <c r="A766" i="33"/>
  <c r="B765" i="34"/>
  <c r="A766" i="34"/>
  <c r="B765" i="36"/>
  <c r="A766" i="36"/>
  <c r="G768" i="16"/>
  <c r="F768" i="16"/>
  <c r="C716" i="27"/>
  <c r="H715" i="27"/>
  <c r="C716" i="16"/>
  <c r="H715" i="16"/>
  <c r="A769" i="27"/>
  <c r="B768" i="27"/>
  <c r="D768" i="27" a="1"/>
  <c r="D768" i="27" s="1"/>
  <c r="E768" i="27" s="1"/>
  <c r="C716" i="28"/>
  <c r="H715" i="28"/>
  <c r="C716" i="17"/>
  <c r="H715" i="17"/>
  <c r="I766" i="27"/>
  <c r="A770" i="16"/>
  <c r="B769" i="16"/>
  <c r="D769" i="16" a="1"/>
  <c r="D769" i="16" s="1"/>
  <c r="E769" i="16" s="1"/>
  <c r="I767" i="16"/>
  <c r="F767" i="27"/>
  <c r="G767" i="27"/>
  <c r="B766" i="35" l="1"/>
  <c r="A767" i="35"/>
  <c r="B766" i="36"/>
  <c r="A767" i="36"/>
  <c r="B766" i="33"/>
  <c r="A767" i="33"/>
  <c r="B766" i="34"/>
  <c r="A767" i="34"/>
  <c r="I767" i="27"/>
  <c r="B770" i="16"/>
  <c r="A771" i="16"/>
  <c r="D770" i="16" a="1"/>
  <c r="D770" i="16" s="1"/>
  <c r="E770" i="16" s="1"/>
  <c r="C717" i="17"/>
  <c r="H716" i="17"/>
  <c r="A770" i="27"/>
  <c r="B769" i="27"/>
  <c r="D769" i="27" a="1"/>
  <c r="D769" i="27" s="1"/>
  <c r="E769" i="27" s="1"/>
  <c r="C717" i="27"/>
  <c r="H716" i="27"/>
  <c r="G769" i="16"/>
  <c r="F769" i="16"/>
  <c r="C717" i="28"/>
  <c r="H716" i="28"/>
  <c r="G768" i="27"/>
  <c r="F768" i="27"/>
  <c r="C717" i="16"/>
  <c r="H716" i="16"/>
  <c r="I768" i="16"/>
  <c r="B767" i="36" l="1"/>
  <c r="A768" i="36"/>
  <c r="B767" i="35"/>
  <c r="A768" i="35"/>
  <c r="B767" i="34"/>
  <c r="A768" i="34"/>
  <c r="B767" i="33"/>
  <c r="A768" i="33"/>
  <c r="I768" i="27"/>
  <c r="I769" i="16"/>
  <c r="A771" i="27"/>
  <c r="B770" i="27"/>
  <c r="D770" i="27" a="1"/>
  <c r="D770" i="27" s="1"/>
  <c r="E770" i="27" s="1"/>
  <c r="A772" i="16"/>
  <c r="B771" i="16"/>
  <c r="D771" i="16" a="1"/>
  <c r="D771" i="16" s="1"/>
  <c r="E771" i="16" s="1"/>
  <c r="C718" i="16"/>
  <c r="H717" i="16"/>
  <c r="C718" i="28"/>
  <c r="H717" i="28"/>
  <c r="C718" i="27"/>
  <c r="H717" i="27"/>
  <c r="F769" i="27"/>
  <c r="G769" i="27"/>
  <c r="C718" i="17"/>
  <c r="H717" i="17"/>
  <c r="G770" i="16"/>
  <c r="F770" i="16"/>
  <c r="B768" i="33" l="1"/>
  <c r="A769" i="33"/>
  <c r="B768" i="36"/>
  <c r="A769" i="36"/>
  <c r="B768" i="35"/>
  <c r="A769" i="35"/>
  <c r="B768" i="34"/>
  <c r="A769" i="34"/>
  <c r="C719" i="17"/>
  <c r="H718" i="17"/>
  <c r="C719" i="16"/>
  <c r="H718" i="16"/>
  <c r="I769" i="27"/>
  <c r="I770" i="16"/>
  <c r="C719" i="28"/>
  <c r="H718" i="28"/>
  <c r="A773" i="16"/>
  <c r="B772" i="16"/>
  <c r="D772" i="16" a="1"/>
  <c r="D772" i="16" s="1"/>
  <c r="E772" i="16" s="1"/>
  <c r="F770" i="27"/>
  <c r="G770" i="27"/>
  <c r="G771" i="16"/>
  <c r="F771" i="16"/>
  <c r="C719" i="27"/>
  <c r="H718" i="27"/>
  <c r="A772" i="27"/>
  <c r="B771" i="27"/>
  <c r="D771" i="27" a="1"/>
  <c r="D771" i="27" s="1"/>
  <c r="E771" i="27" s="1"/>
  <c r="B769" i="33" l="1"/>
  <c r="A770" i="33"/>
  <c r="B769" i="34"/>
  <c r="A770" i="34"/>
  <c r="B769" i="35"/>
  <c r="A770" i="35"/>
  <c r="B769" i="36"/>
  <c r="A770" i="36"/>
  <c r="A773" i="27"/>
  <c r="B772" i="27"/>
  <c r="D772" i="27" a="1"/>
  <c r="D772" i="27" s="1"/>
  <c r="E772" i="27" s="1"/>
  <c r="I771" i="16"/>
  <c r="K79" i="16"/>
  <c r="L84" i="17" s="1"/>
  <c r="I770" i="27"/>
  <c r="B773" i="16"/>
  <c r="A774" i="16"/>
  <c r="D773" i="16" a="1"/>
  <c r="D773" i="16" s="1"/>
  <c r="E773" i="16" s="1"/>
  <c r="C720" i="16"/>
  <c r="H719" i="16"/>
  <c r="F771" i="27"/>
  <c r="G771" i="27"/>
  <c r="C720" i="27"/>
  <c r="H719" i="27"/>
  <c r="G772" i="16"/>
  <c r="F772" i="16"/>
  <c r="C720" i="28"/>
  <c r="H719" i="28"/>
  <c r="C720" i="17"/>
  <c r="H719" i="17"/>
  <c r="B770" i="35" l="1"/>
  <c r="A771" i="35"/>
  <c r="B770" i="33"/>
  <c r="A771" i="33"/>
  <c r="B770" i="36"/>
  <c r="A771" i="36"/>
  <c r="B770" i="34"/>
  <c r="A771" i="34"/>
  <c r="G773" i="16"/>
  <c r="F773" i="16"/>
  <c r="I772" i="16"/>
  <c r="C721" i="28"/>
  <c r="H720" i="28"/>
  <c r="C721" i="27"/>
  <c r="H720" i="27"/>
  <c r="C721" i="16"/>
  <c r="H720" i="16"/>
  <c r="F772" i="27"/>
  <c r="G772" i="27"/>
  <c r="I771" i="27"/>
  <c r="K79" i="27"/>
  <c r="N84" i="17" s="1"/>
  <c r="E89" i="9" s="1"/>
  <c r="F89" i="9" s="1"/>
  <c r="C721" i="17"/>
  <c r="H720" i="17"/>
  <c r="A775" i="16"/>
  <c r="B774" i="16"/>
  <c r="D774" i="16" a="1"/>
  <c r="D774" i="16" s="1"/>
  <c r="E774" i="16" s="1"/>
  <c r="A774" i="27"/>
  <c r="B773" i="27"/>
  <c r="D773" i="27" a="1"/>
  <c r="D773" i="27" s="1"/>
  <c r="E773" i="27" s="1"/>
  <c r="O84" i="17" l="1"/>
  <c r="B771" i="36"/>
  <c r="A772" i="36"/>
  <c r="B771" i="33"/>
  <c r="A772" i="33"/>
  <c r="B771" i="34"/>
  <c r="A772" i="34"/>
  <c r="B771" i="35"/>
  <c r="A772" i="35"/>
  <c r="F774" i="16"/>
  <c r="G774" i="16"/>
  <c r="C722" i="17"/>
  <c r="H721" i="17"/>
  <c r="I772" i="27"/>
  <c r="C722" i="27"/>
  <c r="H721" i="27"/>
  <c r="A775" i="27"/>
  <c r="B774" i="27"/>
  <c r="D774" i="27" a="1"/>
  <c r="D774" i="27" s="1"/>
  <c r="E774" i="27" s="1"/>
  <c r="B775" i="16"/>
  <c r="A776" i="16"/>
  <c r="D775" i="16" a="1"/>
  <c r="D775" i="16" s="1"/>
  <c r="E775" i="16" s="1"/>
  <c r="F773" i="27"/>
  <c r="G773" i="27"/>
  <c r="D89" i="9"/>
  <c r="C722" i="16"/>
  <c r="H721" i="16"/>
  <c r="C722" i="28"/>
  <c r="H721" i="28"/>
  <c r="I773" i="16"/>
  <c r="B772" i="35" l="1"/>
  <c r="A773" i="35"/>
  <c r="B772" i="34"/>
  <c r="A773" i="34"/>
  <c r="B772" i="36"/>
  <c r="A773" i="36"/>
  <c r="B772" i="33"/>
  <c r="A773" i="33"/>
  <c r="C723" i="16"/>
  <c r="H722" i="16"/>
  <c r="I773" i="27"/>
  <c r="F774" i="27"/>
  <c r="G774" i="27"/>
  <c r="C723" i="27"/>
  <c r="H722" i="27"/>
  <c r="C723" i="17"/>
  <c r="H722" i="17"/>
  <c r="C723" i="28"/>
  <c r="H722" i="28"/>
  <c r="I774" i="16"/>
  <c r="F775" i="16"/>
  <c r="G775" i="16"/>
  <c r="A777" i="16"/>
  <c r="B776" i="16"/>
  <c r="D776" i="16" a="1"/>
  <c r="D776" i="16" s="1"/>
  <c r="E776" i="16" s="1"/>
  <c r="A776" i="27"/>
  <c r="B775" i="27"/>
  <c r="D775" i="27" a="1"/>
  <c r="D775" i="27" s="1"/>
  <c r="E775" i="27" s="1"/>
  <c r="B773" i="33" l="1"/>
  <c r="A774" i="33"/>
  <c r="B773" i="36"/>
  <c r="A774" i="36"/>
  <c r="B773" i="34"/>
  <c r="A774" i="34"/>
  <c r="B773" i="35"/>
  <c r="A774" i="35"/>
  <c r="F775" i="27"/>
  <c r="G775" i="27"/>
  <c r="A778" i="16"/>
  <c r="B777" i="16"/>
  <c r="D777" i="16" a="1"/>
  <c r="D777" i="16" s="1"/>
  <c r="E777" i="16" s="1"/>
  <c r="C724" i="28"/>
  <c r="H723" i="28"/>
  <c r="C724" i="27"/>
  <c r="H723" i="27"/>
  <c r="B776" i="27"/>
  <c r="A777" i="27"/>
  <c r="D776" i="27" a="1"/>
  <c r="D776" i="27" s="1"/>
  <c r="E776" i="27" s="1"/>
  <c r="I775" i="16"/>
  <c r="I774" i="27"/>
  <c r="F776" i="16"/>
  <c r="G776" i="16"/>
  <c r="C724" i="17"/>
  <c r="H723" i="17"/>
  <c r="C724" i="16"/>
  <c r="H723" i="16"/>
  <c r="B774" i="33" l="1"/>
  <c r="A775" i="33"/>
  <c r="B774" i="36"/>
  <c r="A775" i="36"/>
  <c r="B774" i="34"/>
  <c r="A775" i="34"/>
  <c r="B774" i="35"/>
  <c r="A775" i="35"/>
  <c r="G776" i="27"/>
  <c r="F776" i="27"/>
  <c r="C725" i="27"/>
  <c r="H724" i="27"/>
  <c r="I776" i="16"/>
  <c r="C725" i="16"/>
  <c r="H724" i="16"/>
  <c r="C725" i="17"/>
  <c r="H724" i="17"/>
  <c r="A778" i="27"/>
  <c r="B777" i="27"/>
  <c r="D777" i="27" a="1"/>
  <c r="D777" i="27" s="1"/>
  <c r="E777" i="27" s="1"/>
  <c r="A779" i="16"/>
  <c r="B778" i="16"/>
  <c r="D778" i="16" a="1"/>
  <c r="D778" i="16" s="1"/>
  <c r="E778" i="16" s="1"/>
  <c r="C725" i="28"/>
  <c r="H724" i="28"/>
  <c r="I775" i="27"/>
  <c r="G777" i="16"/>
  <c r="F777" i="16"/>
  <c r="B775" i="35" l="1"/>
  <c r="A776" i="35"/>
  <c r="B775" i="34"/>
  <c r="A776" i="34"/>
  <c r="B775" i="36"/>
  <c r="A776" i="36"/>
  <c r="B775" i="33"/>
  <c r="A776" i="33"/>
  <c r="F778" i="16"/>
  <c r="G778" i="16"/>
  <c r="A779" i="27"/>
  <c r="B778" i="27"/>
  <c r="D778" i="27" a="1"/>
  <c r="D778" i="27" s="1"/>
  <c r="E778" i="27" s="1"/>
  <c r="C726" i="16"/>
  <c r="H725" i="16"/>
  <c r="C726" i="27"/>
  <c r="H725" i="27"/>
  <c r="I777" i="16"/>
  <c r="C726" i="28"/>
  <c r="H725" i="28"/>
  <c r="B779" i="16"/>
  <c r="A780" i="16"/>
  <c r="D779" i="16" a="1"/>
  <c r="D779" i="16" s="1"/>
  <c r="E779" i="16" s="1"/>
  <c r="G777" i="27"/>
  <c r="F777" i="27"/>
  <c r="C726" i="17"/>
  <c r="H725" i="17"/>
  <c r="I776" i="27"/>
  <c r="B776" i="33" l="1"/>
  <c r="A777" i="33"/>
  <c r="B776" i="36"/>
  <c r="A777" i="36"/>
  <c r="B776" i="34"/>
  <c r="A777" i="34"/>
  <c r="B776" i="35"/>
  <c r="A777" i="35"/>
  <c r="G779" i="16"/>
  <c r="F779" i="16"/>
  <c r="C727" i="28"/>
  <c r="H726" i="28"/>
  <c r="C727" i="27"/>
  <c r="H726" i="27"/>
  <c r="C727" i="17"/>
  <c r="H726" i="17"/>
  <c r="A781" i="16"/>
  <c r="B780" i="16"/>
  <c r="D780" i="16" a="1"/>
  <c r="D780" i="16" s="1"/>
  <c r="E780" i="16" s="1"/>
  <c r="A780" i="27"/>
  <c r="B779" i="27"/>
  <c r="D779" i="27" a="1"/>
  <c r="D779" i="27" s="1"/>
  <c r="E779" i="27" s="1"/>
  <c r="I777" i="27"/>
  <c r="C727" i="16"/>
  <c r="H726" i="16"/>
  <c r="I778" i="16"/>
  <c r="F778" i="27"/>
  <c r="G778" i="27"/>
  <c r="B777" i="34" l="1"/>
  <c r="A778" i="34"/>
  <c r="B777" i="33"/>
  <c r="A778" i="33"/>
  <c r="B777" i="35"/>
  <c r="A778" i="35"/>
  <c r="B777" i="36"/>
  <c r="A778" i="36"/>
  <c r="F779" i="27"/>
  <c r="G779" i="27"/>
  <c r="C728" i="16"/>
  <c r="H727" i="16"/>
  <c r="A781" i="27"/>
  <c r="B780" i="27"/>
  <c r="D780" i="27" a="1"/>
  <c r="D780" i="27" s="1"/>
  <c r="E780" i="27" s="1"/>
  <c r="G780" i="16"/>
  <c r="F780" i="16"/>
  <c r="C728" i="17"/>
  <c r="H727" i="17"/>
  <c r="C728" i="28"/>
  <c r="H727" i="28"/>
  <c r="I778" i="27"/>
  <c r="A782" i="16"/>
  <c r="B781" i="16"/>
  <c r="D781" i="16" a="1"/>
  <c r="D781" i="16" s="1"/>
  <c r="E781" i="16" s="1"/>
  <c r="C728" i="27"/>
  <c r="H727" i="27"/>
  <c r="I779" i="16"/>
  <c r="B778" i="35" l="1"/>
  <c r="A779" i="35"/>
  <c r="B778" i="33"/>
  <c r="A779" i="33"/>
  <c r="B778" i="36"/>
  <c r="A779" i="36"/>
  <c r="B778" i="34"/>
  <c r="A779" i="34"/>
  <c r="C729" i="17"/>
  <c r="H728" i="17"/>
  <c r="A783" i="16"/>
  <c r="B782" i="16"/>
  <c r="D782" i="16" a="1"/>
  <c r="D782" i="16" s="1"/>
  <c r="E782" i="16" s="1"/>
  <c r="C729" i="28"/>
  <c r="H728" i="28"/>
  <c r="I780" i="16"/>
  <c r="G780" i="27"/>
  <c r="F780" i="27"/>
  <c r="C729" i="16"/>
  <c r="H728" i="16"/>
  <c r="F781" i="16"/>
  <c r="G781" i="16"/>
  <c r="I779" i="27"/>
  <c r="C729" i="27"/>
  <c r="H728" i="27"/>
  <c r="B781" i="27"/>
  <c r="A782" i="27"/>
  <c r="D781" i="27" a="1"/>
  <c r="D781" i="27" s="1"/>
  <c r="E781" i="27" s="1"/>
  <c r="B779" i="35" l="1"/>
  <c r="A780" i="35"/>
  <c r="B779" i="36"/>
  <c r="A780" i="36"/>
  <c r="B779" i="34"/>
  <c r="A780" i="34"/>
  <c r="B779" i="33"/>
  <c r="A780" i="33"/>
  <c r="F781" i="27"/>
  <c r="G781" i="27"/>
  <c r="B782" i="27"/>
  <c r="A783" i="27"/>
  <c r="D782" i="27" a="1"/>
  <c r="D782" i="27" s="1"/>
  <c r="E782" i="27" s="1"/>
  <c r="C730" i="16"/>
  <c r="H729" i="16"/>
  <c r="I781" i="16"/>
  <c r="K80" i="16"/>
  <c r="L85" i="17" s="1"/>
  <c r="A784" i="16"/>
  <c r="B783" i="16"/>
  <c r="D783" i="16" a="1"/>
  <c r="D783" i="16" s="1"/>
  <c r="E783" i="16" s="1"/>
  <c r="C730" i="27"/>
  <c r="H729" i="27"/>
  <c r="I780" i="27"/>
  <c r="C730" i="28"/>
  <c r="H729" i="28"/>
  <c r="F782" i="16"/>
  <c r="G782" i="16"/>
  <c r="C730" i="17"/>
  <c r="H729" i="17"/>
  <c r="B780" i="34" l="1"/>
  <c r="A781" i="34"/>
  <c r="B780" i="33"/>
  <c r="A781" i="33"/>
  <c r="B780" i="36"/>
  <c r="A781" i="36"/>
  <c r="B780" i="35"/>
  <c r="A781" i="35"/>
  <c r="G783" i="16"/>
  <c r="F783" i="16"/>
  <c r="A784" i="27"/>
  <c r="B783" i="27"/>
  <c r="D783" i="27" a="1"/>
  <c r="D783" i="27" s="1"/>
  <c r="E783" i="27" s="1"/>
  <c r="I782" i="16"/>
  <c r="A785" i="16"/>
  <c r="B784" i="16"/>
  <c r="D784" i="16" a="1"/>
  <c r="D784" i="16" s="1"/>
  <c r="E784" i="16" s="1"/>
  <c r="C731" i="17"/>
  <c r="H730" i="17"/>
  <c r="C731" i="28"/>
  <c r="H730" i="28"/>
  <c r="C731" i="27"/>
  <c r="H730" i="27"/>
  <c r="C731" i="16"/>
  <c r="H730" i="16"/>
  <c r="I781" i="27"/>
  <c r="K80" i="27"/>
  <c r="N85" i="17" s="1"/>
  <c r="E90" i="9" s="1"/>
  <c r="F90" i="9" s="1"/>
  <c r="F782" i="27"/>
  <c r="G782" i="27"/>
  <c r="O85" i="17" l="1"/>
  <c r="B781" i="35"/>
  <c r="A782" i="35"/>
  <c r="B781" i="36"/>
  <c r="A782" i="36"/>
  <c r="B781" i="33"/>
  <c r="A782" i="33"/>
  <c r="B781" i="34"/>
  <c r="A782" i="34"/>
  <c r="D90" i="9"/>
  <c r="B785" i="16"/>
  <c r="A786" i="16"/>
  <c r="D785" i="16" a="1"/>
  <c r="D785" i="16" s="1"/>
  <c r="E785" i="16" s="1"/>
  <c r="C732" i="16"/>
  <c r="H731" i="16"/>
  <c r="C732" i="28"/>
  <c r="H731" i="28"/>
  <c r="I782" i="27"/>
  <c r="C732" i="27"/>
  <c r="H731" i="27"/>
  <c r="C732" i="17"/>
  <c r="H731" i="17"/>
  <c r="A785" i="27"/>
  <c r="B784" i="27"/>
  <c r="D784" i="27" a="1"/>
  <c r="D784" i="27" s="1"/>
  <c r="E784" i="27" s="1"/>
  <c r="G784" i="16"/>
  <c r="F784" i="16"/>
  <c r="F783" i="27"/>
  <c r="G783" i="27"/>
  <c r="I783" i="16"/>
  <c r="B782" i="34" l="1"/>
  <c r="A783" i="34"/>
  <c r="B782" i="36"/>
  <c r="A783" i="36"/>
  <c r="B782" i="35"/>
  <c r="A783" i="35"/>
  <c r="B782" i="33"/>
  <c r="A783" i="33"/>
  <c r="I783" i="27"/>
  <c r="I784" i="16"/>
  <c r="F784" i="27"/>
  <c r="G784" i="27"/>
  <c r="C733" i="17"/>
  <c r="H732" i="17"/>
  <c r="C733" i="16"/>
  <c r="H732" i="16"/>
  <c r="G785" i="16"/>
  <c r="F785" i="16"/>
  <c r="A786" i="27"/>
  <c r="B785" i="27"/>
  <c r="D785" i="27" a="1"/>
  <c r="D785" i="27" s="1"/>
  <c r="E785" i="27" s="1"/>
  <c r="C733" i="27"/>
  <c r="H732" i="27"/>
  <c r="C733" i="28"/>
  <c r="H732" i="28"/>
  <c r="A787" i="16"/>
  <c r="B786" i="16"/>
  <c r="D786" i="16" a="1"/>
  <c r="D786" i="16" s="1"/>
  <c r="E786" i="16" s="1"/>
  <c r="B783" i="36" l="1"/>
  <c r="A784" i="36"/>
  <c r="B783" i="35"/>
  <c r="A784" i="35"/>
  <c r="B783" i="34"/>
  <c r="A784" i="34"/>
  <c r="B783" i="33"/>
  <c r="A784" i="33"/>
  <c r="A788" i="16"/>
  <c r="B787" i="16"/>
  <c r="D787" i="16" a="1"/>
  <c r="D787" i="16" s="1"/>
  <c r="E787" i="16" s="1"/>
  <c r="C734" i="27"/>
  <c r="H733" i="27"/>
  <c r="G785" i="27"/>
  <c r="F785" i="27"/>
  <c r="I785" i="16"/>
  <c r="C734" i="17"/>
  <c r="H733" i="17"/>
  <c r="F786" i="16"/>
  <c r="G786" i="16"/>
  <c r="C734" i="28"/>
  <c r="H733" i="28"/>
  <c r="I784" i="27"/>
  <c r="A787" i="27"/>
  <c r="B786" i="27"/>
  <c r="D786" i="27" a="1"/>
  <c r="D786" i="27" s="1"/>
  <c r="E786" i="27" s="1"/>
  <c r="C734" i="16"/>
  <c r="H733" i="16"/>
  <c r="B784" i="36" l="1"/>
  <c r="A785" i="36"/>
  <c r="B784" i="33"/>
  <c r="A785" i="33"/>
  <c r="B784" i="34"/>
  <c r="A785" i="34"/>
  <c r="B784" i="35"/>
  <c r="A785" i="35"/>
  <c r="F786" i="27"/>
  <c r="G786" i="27"/>
  <c r="C735" i="27"/>
  <c r="H734" i="27"/>
  <c r="G787" i="16"/>
  <c r="F787" i="16"/>
  <c r="C735" i="28"/>
  <c r="H734" i="28"/>
  <c r="I785" i="27"/>
  <c r="A788" i="27"/>
  <c r="B787" i="27"/>
  <c r="D787" i="27" a="1"/>
  <c r="D787" i="27" s="1"/>
  <c r="E787" i="27" s="1"/>
  <c r="C735" i="17"/>
  <c r="H734" i="17"/>
  <c r="C735" i="16"/>
  <c r="H734" i="16"/>
  <c r="I786" i="16"/>
  <c r="A789" i="16"/>
  <c r="B788" i="16"/>
  <c r="D788" i="16" a="1"/>
  <c r="D788" i="16" s="1"/>
  <c r="E788" i="16" s="1"/>
  <c r="B785" i="35" l="1"/>
  <c r="A786" i="35"/>
  <c r="B785" i="36"/>
  <c r="A786" i="36"/>
  <c r="B785" i="33"/>
  <c r="A786" i="33"/>
  <c r="B785" i="34"/>
  <c r="A786" i="34"/>
  <c r="A790" i="16"/>
  <c r="B789" i="16"/>
  <c r="D789" i="16" a="1"/>
  <c r="D789" i="16" s="1"/>
  <c r="E789" i="16" s="1"/>
  <c r="C736" i="16"/>
  <c r="H735" i="16"/>
  <c r="A789" i="27"/>
  <c r="B788" i="27"/>
  <c r="D788" i="27" a="1"/>
  <c r="D788" i="27" s="1"/>
  <c r="E788" i="27" s="1"/>
  <c r="C736" i="28"/>
  <c r="H735" i="28"/>
  <c r="C736" i="27"/>
  <c r="H735" i="27"/>
  <c r="G788" i="16"/>
  <c r="F788" i="16"/>
  <c r="C736" i="17"/>
  <c r="H735" i="17"/>
  <c r="I786" i="27"/>
  <c r="F787" i="27"/>
  <c r="G787" i="27"/>
  <c r="I787" i="16"/>
  <c r="B786" i="33" l="1"/>
  <c r="A787" i="33"/>
  <c r="B786" i="34"/>
  <c r="A787" i="34"/>
  <c r="B786" i="36"/>
  <c r="A787" i="36"/>
  <c r="B786" i="35"/>
  <c r="A787" i="35"/>
  <c r="F788" i="27"/>
  <c r="G788" i="27"/>
  <c r="C737" i="16"/>
  <c r="H736" i="16"/>
  <c r="F789" i="16"/>
  <c r="G789" i="16"/>
  <c r="C737" i="17"/>
  <c r="H736" i="17"/>
  <c r="C737" i="27"/>
  <c r="H736" i="27"/>
  <c r="B789" i="27"/>
  <c r="A790" i="27"/>
  <c r="D789" i="27" a="1"/>
  <c r="D789" i="27" s="1"/>
  <c r="E789" i="27" s="1"/>
  <c r="I787" i="27"/>
  <c r="I788" i="16"/>
  <c r="C737" i="28"/>
  <c r="H736" i="28"/>
  <c r="A791" i="16"/>
  <c r="B790" i="16"/>
  <c r="D790" i="16" a="1"/>
  <c r="D790" i="16" s="1"/>
  <c r="E790" i="16" s="1"/>
  <c r="B787" i="36" l="1"/>
  <c r="A788" i="36"/>
  <c r="B787" i="35"/>
  <c r="A788" i="35"/>
  <c r="B787" i="33"/>
  <c r="A788" i="33"/>
  <c r="B787" i="34"/>
  <c r="A788" i="34"/>
  <c r="A792" i="16"/>
  <c r="B791" i="16"/>
  <c r="D791" i="16" a="1"/>
  <c r="D791" i="16" s="1"/>
  <c r="E791" i="16" s="1"/>
  <c r="A791" i="27"/>
  <c r="B790" i="27"/>
  <c r="D790" i="27" a="1"/>
  <c r="D790" i="27" s="1"/>
  <c r="E790" i="27" s="1"/>
  <c r="C738" i="17"/>
  <c r="H737" i="17"/>
  <c r="C738" i="16"/>
  <c r="H737" i="16"/>
  <c r="F790" i="16"/>
  <c r="G790" i="16"/>
  <c r="C738" i="28"/>
  <c r="H737" i="28"/>
  <c r="I789" i="16"/>
  <c r="I788" i="27"/>
  <c r="G789" i="27"/>
  <c r="F789" i="27"/>
  <c r="C738" i="27"/>
  <c r="H737" i="27"/>
  <c r="B788" i="36" l="1"/>
  <c r="A789" i="36"/>
  <c r="B788" i="33"/>
  <c r="A789" i="33"/>
  <c r="B788" i="34"/>
  <c r="A789" i="34"/>
  <c r="B788" i="35"/>
  <c r="A789" i="35"/>
  <c r="C739" i="17"/>
  <c r="H738" i="17"/>
  <c r="C739" i="28"/>
  <c r="H738" i="28"/>
  <c r="C739" i="16"/>
  <c r="H738" i="16"/>
  <c r="I790" i="16"/>
  <c r="A792" i="27"/>
  <c r="B791" i="27"/>
  <c r="D791" i="27" a="1"/>
  <c r="D791" i="27" s="1"/>
  <c r="E791" i="27" s="1"/>
  <c r="G791" i="16"/>
  <c r="F791" i="16"/>
  <c r="F790" i="27"/>
  <c r="G790" i="27"/>
  <c r="I789" i="27"/>
  <c r="C739" i="27"/>
  <c r="H738" i="27"/>
  <c r="A793" i="16"/>
  <c r="B792" i="16"/>
  <c r="D792" i="16" a="1"/>
  <c r="D792" i="16" s="1"/>
  <c r="E792" i="16" s="1"/>
  <c r="B789" i="33" l="1"/>
  <c r="A790" i="33"/>
  <c r="B789" i="35"/>
  <c r="A790" i="35"/>
  <c r="B789" i="34"/>
  <c r="A790" i="34"/>
  <c r="B789" i="36"/>
  <c r="A790" i="36"/>
  <c r="G792" i="16"/>
  <c r="F792" i="16"/>
  <c r="C740" i="27"/>
  <c r="H739" i="27"/>
  <c r="B793" i="16"/>
  <c r="A794" i="16"/>
  <c r="D793" i="16" a="1"/>
  <c r="D793" i="16" s="1"/>
  <c r="E793" i="16" s="1"/>
  <c r="K81" i="16"/>
  <c r="L86" i="17" s="1"/>
  <c r="I791" i="16"/>
  <c r="G791" i="27"/>
  <c r="F791" i="27"/>
  <c r="C740" i="28"/>
  <c r="H739" i="28"/>
  <c r="I790" i="27"/>
  <c r="A793" i="27"/>
  <c r="B792" i="27"/>
  <c r="D792" i="27" a="1"/>
  <c r="D792" i="27" s="1"/>
  <c r="E792" i="27" s="1"/>
  <c r="C740" i="16"/>
  <c r="H739" i="16"/>
  <c r="C740" i="17"/>
  <c r="H739" i="17"/>
  <c r="B790" i="33" l="1"/>
  <c r="A791" i="33"/>
  <c r="B790" i="35"/>
  <c r="A791" i="35"/>
  <c r="B790" i="36"/>
  <c r="A791" i="36"/>
  <c r="B790" i="34"/>
  <c r="A791" i="34"/>
  <c r="C741" i="28"/>
  <c r="H740" i="28"/>
  <c r="C741" i="16"/>
  <c r="H740" i="16"/>
  <c r="G793" i="16"/>
  <c r="F793" i="16"/>
  <c r="C741" i="27"/>
  <c r="H740" i="27"/>
  <c r="F792" i="27"/>
  <c r="G792" i="27"/>
  <c r="C741" i="17"/>
  <c r="H740" i="17"/>
  <c r="A795" i="16"/>
  <c r="B794" i="16"/>
  <c r="D794" i="16" a="1"/>
  <c r="D794" i="16" s="1"/>
  <c r="E794" i="16" s="1"/>
  <c r="I791" i="27"/>
  <c r="K81" i="27"/>
  <c r="N86" i="17" s="1"/>
  <c r="E91" i="9" s="1"/>
  <c r="F91" i="9" s="1"/>
  <c r="A794" i="27"/>
  <c r="B793" i="27"/>
  <c r="D793" i="27" a="1"/>
  <c r="D793" i="27" s="1"/>
  <c r="E793" i="27" s="1"/>
  <c r="I792" i="16"/>
  <c r="O86" i="17" l="1"/>
  <c r="B791" i="33"/>
  <c r="A792" i="33"/>
  <c r="B791" i="35"/>
  <c r="A792" i="35"/>
  <c r="B791" i="34"/>
  <c r="A792" i="34"/>
  <c r="B791" i="36"/>
  <c r="A792" i="36"/>
  <c r="D91" i="9"/>
  <c r="F794" i="16"/>
  <c r="G794" i="16"/>
  <c r="C742" i="17"/>
  <c r="H741" i="17"/>
  <c r="C742" i="27"/>
  <c r="H741" i="27"/>
  <c r="I792" i="27"/>
  <c r="C742" i="16"/>
  <c r="H741" i="16"/>
  <c r="G793" i="27"/>
  <c r="F793" i="27"/>
  <c r="B795" i="16"/>
  <c r="A796" i="16"/>
  <c r="D795" i="16" a="1"/>
  <c r="D795" i="16" s="1"/>
  <c r="E795" i="16" s="1"/>
  <c r="I793" i="16"/>
  <c r="A795" i="27"/>
  <c r="B794" i="27"/>
  <c r="D794" i="27" a="1"/>
  <c r="D794" i="27" s="1"/>
  <c r="E794" i="27" s="1"/>
  <c r="C742" i="28"/>
  <c r="H741" i="28"/>
  <c r="B792" i="36" l="1"/>
  <c r="A793" i="36"/>
  <c r="B792" i="35"/>
  <c r="A793" i="35"/>
  <c r="B792" i="33"/>
  <c r="A793" i="33"/>
  <c r="B792" i="34"/>
  <c r="A793" i="34"/>
  <c r="C743" i="28"/>
  <c r="H742" i="28"/>
  <c r="C743" i="16"/>
  <c r="H742" i="16"/>
  <c r="C743" i="27"/>
  <c r="H742" i="27"/>
  <c r="F794" i="27"/>
  <c r="G794" i="27"/>
  <c r="G795" i="16"/>
  <c r="F795" i="16"/>
  <c r="I793" i="27"/>
  <c r="C743" i="17"/>
  <c r="H742" i="17"/>
  <c r="A796" i="27"/>
  <c r="B795" i="27"/>
  <c r="D795" i="27" a="1"/>
  <c r="D795" i="27" s="1"/>
  <c r="E795" i="27" s="1"/>
  <c r="A797" i="16"/>
  <c r="B796" i="16"/>
  <c r="D796" i="16" a="1"/>
  <c r="D796" i="16" s="1"/>
  <c r="E796" i="16" s="1"/>
  <c r="I794" i="16"/>
  <c r="B793" i="36" l="1"/>
  <c r="A794" i="36"/>
  <c r="B793" i="35"/>
  <c r="A794" i="35"/>
  <c r="B793" i="34"/>
  <c r="A794" i="34"/>
  <c r="B793" i="33"/>
  <c r="A794" i="33"/>
  <c r="A798" i="16"/>
  <c r="B797" i="16"/>
  <c r="D797" i="16" a="1"/>
  <c r="D797" i="16" s="1"/>
  <c r="E797" i="16" s="1"/>
  <c r="I794" i="27"/>
  <c r="G795" i="27"/>
  <c r="F795" i="27"/>
  <c r="C744" i="16"/>
  <c r="H743" i="16"/>
  <c r="F796" i="16"/>
  <c r="G796" i="16"/>
  <c r="A797" i="27"/>
  <c r="B796" i="27"/>
  <c r="D796" i="27" a="1"/>
  <c r="D796" i="27" s="1"/>
  <c r="E796" i="27" s="1"/>
  <c r="C744" i="17"/>
  <c r="H743" i="17"/>
  <c r="I795" i="16"/>
  <c r="C744" i="27"/>
  <c r="H743" i="27"/>
  <c r="C744" i="28"/>
  <c r="H743" i="28"/>
  <c r="B794" i="34" l="1"/>
  <c r="A795" i="34"/>
  <c r="B794" i="35"/>
  <c r="A795" i="35"/>
  <c r="B794" i="33"/>
  <c r="A795" i="33"/>
  <c r="B794" i="36"/>
  <c r="A795" i="36"/>
  <c r="C745" i="27"/>
  <c r="H744" i="27"/>
  <c r="I796" i="16"/>
  <c r="C745" i="28"/>
  <c r="H744" i="28"/>
  <c r="A798" i="27"/>
  <c r="B797" i="27"/>
  <c r="D797" i="27" a="1"/>
  <c r="D797" i="27" s="1"/>
  <c r="E797" i="27" s="1"/>
  <c r="C745" i="16"/>
  <c r="H744" i="16"/>
  <c r="G797" i="16"/>
  <c r="F797" i="16"/>
  <c r="F796" i="27"/>
  <c r="G796" i="27"/>
  <c r="I795" i="27"/>
  <c r="C745" i="17"/>
  <c r="H744" i="17"/>
  <c r="A799" i="16"/>
  <c r="B798" i="16"/>
  <c r="D798" i="16" a="1"/>
  <c r="D798" i="16" s="1"/>
  <c r="E798" i="16" s="1"/>
  <c r="B795" i="36" l="1"/>
  <c r="A796" i="36"/>
  <c r="B795" i="33"/>
  <c r="A796" i="33"/>
  <c r="B795" i="34"/>
  <c r="A796" i="34"/>
  <c r="B795" i="35"/>
  <c r="A796" i="35"/>
  <c r="A800" i="16"/>
  <c r="B799" i="16"/>
  <c r="D799" i="16" a="1"/>
  <c r="D799" i="16" s="1"/>
  <c r="E799" i="16" s="1"/>
  <c r="I797" i="16"/>
  <c r="I796" i="27"/>
  <c r="A799" i="27"/>
  <c r="B798" i="27"/>
  <c r="D798" i="27" a="1"/>
  <c r="D798" i="27" s="1"/>
  <c r="E798" i="27" s="1"/>
  <c r="F798" i="16"/>
  <c r="G798" i="16"/>
  <c r="C746" i="17"/>
  <c r="H745" i="17"/>
  <c r="C746" i="16"/>
  <c r="H745" i="16"/>
  <c r="F797" i="27"/>
  <c r="G797" i="27"/>
  <c r="C746" i="28"/>
  <c r="H745" i="28"/>
  <c r="C746" i="27"/>
  <c r="H745" i="27"/>
  <c r="B796" i="34" l="1"/>
  <c r="A797" i="34"/>
  <c r="B796" i="33"/>
  <c r="A797" i="33"/>
  <c r="B796" i="35"/>
  <c r="A797" i="35"/>
  <c r="B796" i="36"/>
  <c r="A797" i="36"/>
  <c r="C747" i="16"/>
  <c r="H746" i="16"/>
  <c r="I797" i="27"/>
  <c r="C747" i="27"/>
  <c r="H746" i="27"/>
  <c r="C747" i="17"/>
  <c r="H746" i="17"/>
  <c r="I798" i="16"/>
  <c r="B799" i="27"/>
  <c r="A800" i="27"/>
  <c r="D799" i="27" a="1"/>
  <c r="D799" i="27" s="1"/>
  <c r="E799" i="27" s="1"/>
  <c r="G799" i="16"/>
  <c r="F799" i="16"/>
  <c r="F798" i="27"/>
  <c r="G798" i="27"/>
  <c r="C747" i="28"/>
  <c r="H746" i="28"/>
  <c r="A801" i="16"/>
  <c r="B800" i="16"/>
  <c r="D800" i="16" a="1"/>
  <c r="D800" i="16" s="1"/>
  <c r="E800" i="16" s="1"/>
  <c r="B797" i="36" l="1"/>
  <c r="A798" i="36"/>
  <c r="B797" i="35"/>
  <c r="A798" i="35"/>
  <c r="B797" i="34"/>
  <c r="A798" i="34"/>
  <c r="B797" i="33"/>
  <c r="A798" i="33"/>
  <c r="I798" i="27"/>
  <c r="A802" i="16"/>
  <c r="B801" i="16"/>
  <c r="D801" i="16" a="1"/>
  <c r="D801" i="16" s="1"/>
  <c r="E801" i="16" s="1"/>
  <c r="B800" i="27"/>
  <c r="A801" i="27"/>
  <c r="D800" i="27" a="1"/>
  <c r="D800" i="27" s="1"/>
  <c r="E800" i="27" s="1"/>
  <c r="C748" i="17"/>
  <c r="H747" i="17"/>
  <c r="G800" i="16"/>
  <c r="F800" i="16"/>
  <c r="C748" i="28"/>
  <c r="H747" i="28"/>
  <c r="I799" i="16"/>
  <c r="G799" i="27"/>
  <c r="F799" i="27"/>
  <c r="C748" i="27"/>
  <c r="H747" i="27"/>
  <c r="C748" i="16"/>
  <c r="H747" i="16"/>
  <c r="B798" i="33" l="1"/>
  <c r="A799" i="33"/>
  <c r="B798" i="36"/>
  <c r="A799" i="36"/>
  <c r="B798" i="34"/>
  <c r="A799" i="34"/>
  <c r="B798" i="35"/>
  <c r="A799" i="35"/>
  <c r="F800" i="27"/>
  <c r="G800" i="27"/>
  <c r="I799" i="27"/>
  <c r="C749" i="17"/>
  <c r="H748" i="17"/>
  <c r="C749" i="27"/>
  <c r="H748" i="27"/>
  <c r="I800" i="16"/>
  <c r="A802" i="27"/>
  <c r="B801" i="27"/>
  <c r="D801" i="27" a="1"/>
  <c r="D801" i="27" s="1"/>
  <c r="E801" i="27" s="1"/>
  <c r="A803" i="16"/>
  <c r="B802" i="16"/>
  <c r="D802" i="16" a="1"/>
  <c r="D802" i="16" s="1"/>
  <c r="E802" i="16" s="1"/>
  <c r="C749" i="16"/>
  <c r="H748" i="16"/>
  <c r="C749" i="28"/>
  <c r="H748" i="28"/>
  <c r="G801" i="16"/>
  <c r="F801" i="16"/>
  <c r="B799" i="34" l="1"/>
  <c r="A800" i="34"/>
  <c r="B799" i="36"/>
  <c r="A800" i="36"/>
  <c r="B799" i="35"/>
  <c r="A800" i="35"/>
  <c r="B799" i="33"/>
  <c r="A800" i="33"/>
  <c r="G802" i="16"/>
  <c r="F802" i="16"/>
  <c r="I801" i="16"/>
  <c r="K82" i="16"/>
  <c r="L87" i="17" s="1"/>
  <c r="C750" i="16"/>
  <c r="H749" i="16"/>
  <c r="C750" i="28"/>
  <c r="H749" i="28"/>
  <c r="A803" i="27"/>
  <c r="B802" i="27"/>
  <c r="D802" i="27" a="1"/>
  <c r="D802" i="27" s="1"/>
  <c r="E802" i="27" s="1"/>
  <c r="C750" i="27"/>
  <c r="H749" i="27"/>
  <c r="B803" i="16"/>
  <c r="A804" i="16"/>
  <c r="D803" i="16" a="1"/>
  <c r="D803" i="16" s="1"/>
  <c r="E803" i="16" s="1"/>
  <c r="I800" i="27"/>
  <c r="G801" i="27"/>
  <c r="F801" i="27"/>
  <c r="C750" i="17"/>
  <c r="H749" i="17"/>
  <c r="B800" i="33" l="1"/>
  <c r="A801" i="33"/>
  <c r="B800" i="34"/>
  <c r="A801" i="34"/>
  <c r="B800" i="35"/>
  <c r="A801" i="35"/>
  <c r="B800" i="36"/>
  <c r="A801" i="36"/>
  <c r="F802" i="27"/>
  <c r="G802" i="27"/>
  <c r="C751" i="28"/>
  <c r="H750" i="28"/>
  <c r="A805" i="16"/>
  <c r="B804" i="16"/>
  <c r="D804" i="16" a="1"/>
  <c r="D804" i="16" s="1"/>
  <c r="E804" i="16" s="1"/>
  <c r="I801" i="27"/>
  <c r="K82" i="27"/>
  <c r="N87" i="17" s="1"/>
  <c r="O87" i="17" s="1"/>
  <c r="C751" i="17"/>
  <c r="H750" i="17"/>
  <c r="A804" i="27"/>
  <c r="B803" i="27"/>
  <c r="D803" i="27" a="1"/>
  <c r="D803" i="27" s="1"/>
  <c r="E803" i="27" s="1"/>
  <c r="C751" i="16"/>
  <c r="H750" i="16"/>
  <c r="G803" i="16"/>
  <c r="F803" i="16"/>
  <c r="C751" i="27"/>
  <c r="H750" i="27"/>
  <c r="I802" i="16"/>
  <c r="E92" i="9" l="1"/>
  <c r="F92" i="9" s="1"/>
  <c r="B801" i="33"/>
  <c r="A802" i="33"/>
  <c r="B801" i="35"/>
  <c r="A802" i="35"/>
  <c r="B801" i="36"/>
  <c r="A802" i="36"/>
  <c r="B801" i="34"/>
  <c r="A802" i="34"/>
  <c r="G803" i="27"/>
  <c r="F803" i="27"/>
  <c r="C752" i="27"/>
  <c r="H751" i="27"/>
  <c r="C752" i="16"/>
  <c r="H751" i="16"/>
  <c r="G804" i="16"/>
  <c r="F804" i="16"/>
  <c r="C752" i="28"/>
  <c r="H751" i="28"/>
  <c r="D92" i="9"/>
  <c r="I802" i="27"/>
  <c r="C752" i="17"/>
  <c r="H751" i="17"/>
  <c r="I803" i="16"/>
  <c r="A805" i="27"/>
  <c r="B804" i="27"/>
  <c r="D804" i="27" a="1"/>
  <c r="D804" i="27" s="1"/>
  <c r="E804" i="27" s="1"/>
  <c r="A806" i="16"/>
  <c r="B805" i="16"/>
  <c r="D805" i="16" a="1"/>
  <c r="D805" i="16" s="1"/>
  <c r="E805" i="16" s="1"/>
  <c r="B802" i="34" l="1"/>
  <c r="A803" i="34"/>
  <c r="B802" i="35"/>
  <c r="A803" i="35"/>
  <c r="B802" i="33"/>
  <c r="A803" i="33"/>
  <c r="B802" i="36"/>
  <c r="A803" i="36"/>
  <c r="B805" i="27"/>
  <c r="A806" i="27"/>
  <c r="D805" i="27" a="1"/>
  <c r="D805" i="27" s="1"/>
  <c r="E805" i="27" s="1"/>
  <c r="C753" i="17"/>
  <c r="H752" i="17"/>
  <c r="A807" i="16"/>
  <c r="B806" i="16"/>
  <c r="D806" i="16" a="1"/>
  <c r="D806" i="16" s="1"/>
  <c r="E806" i="16" s="1"/>
  <c r="I804" i="16"/>
  <c r="C753" i="27"/>
  <c r="H752" i="27"/>
  <c r="F804" i="27"/>
  <c r="G804" i="27"/>
  <c r="G805" i="16"/>
  <c r="F805" i="16"/>
  <c r="C753" i="28"/>
  <c r="H752" i="28"/>
  <c r="C753" i="16"/>
  <c r="H752" i="16"/>
  <c r="I803" i="27"/>
  <c r="B803" i="33" l="1"/>
  <c r="A804" i="33"/>
  <c r="B803" i="36"/>
  <c r="A804" i="36"/>
  <c r="B803" i="34"/>
  <c r="A804" i="34"/>
  <c r="B803" i="35"/>
  <c r="A804" i="35"/>
  <c r="C754" i="28"/>
  <c r="H753" i="28"/>
  <c r="C754" i="16"/>
  <c r="H753" i="16"/>
  <c r="I805" i="16"/>
  <c r="I804" i="27"/>
  <c r="A808" i="16"/>
  <c r="B807" i="16"/>
  <c r="D807" i="16" a="1"/>
  <c r="D807" i="16" s="1"/>
  <c r="E807" i="16" s="1"/>
  <c r="C754" i="17"/>
  <c r="H753" i="17"/>
  <c r="G805" i="27"/>
  <c r="F805" i="27"/>
  <c r="G806" i="16"/>
  <c r="F806" i="16"/>
  <c r="A807" i="27"/>
  <c r="B806" i="27"/>
  <c r="D806" i="27" a="1"/>
  <c r="D806" i="27" s="1"/>
  <c r="E806" i="27" s="1"/>
  <c r="C754" i="27"/>
  <c r="H753" i="27"/>
  <c r="B804" i="35" l="1"/>
  <c r="A805" i="35"/>
  <c r="B804" i="36"/>
  <c r="A805" i="36"/>
  <c r="B804" i="33"/>
  <c r="A805" i="33"/>
  <c r="B804" i="34"/>
  <c r="A805" i="34"/>
  <c r="F806" i="27"/>
  <c r="G806" i="27"/>
  <c r="I806" i="16"/>
  <c r="C755" i="17"/>
  <c r="H754" i="17"/>
  <c r="F807" i="16"/>
  <c r="G807" i="16"/>
  <c r="C755" i="16"/>
  <c r="H754" i="16"/>
  <c r="A808" i="27"/>
  <c r="B807" i="27"/>
  <c r="D807" i="27" a="1"/>
  <c r="D807" i="27" s="1"/>
  <c r="E807" i="27" s="1"/>
  <c r="I805" i="27"/>
  <c r="C755" i="27"/>
  <c r="H754" i="27"/>
  <c r="A809" i="16"/>
  <c r="B808" i="16"/>
  <c r="D808" i="16" a="1"/>
  <c r="D808" i="16" s="1"/>
  <c r="E808" i="16" s="1"/>
  <c r="C755" i="28"/>
  <c r="H754" i="28"/>
  <c r="B805" i="36" l="1"/>
  <c r="A806" i="36"/>
  <c r="B805" i="35"/>
  <c r="A806" i="35"/>
  <c r="B805" i="34"/>
  <c r="A806" i="34"/>
  <c r="B805" i="33"/>
  <c r="A806" i="33"/>
  <c r="F808" i="16"/>
  <c r="G808" i="16"/>
  <c r="C756" i="27"/>
  <c r="H755" i="27"/>
  <c r="I807" i="16"/>
  <c r="B808" i="27"/>
  <c r="A809" i="27"/>
  <c r="D808" i="27" a="1"/>
  <c r="D808" i="27" s="1"/>
  <c r="E808" i="27" s="1"/>
  <c r="C756" i="28"/>
  <c r="H755" i="28"/>
  <c r="A810" i="16"/>
  <c r="B809" i="16"/>
  <c r="D809" i="16" a="1"/>
  <c r="D809" i="16" s="1"/>
  <c r="E809" i="16" s="1"/>
  <c r="I806" i="27"/>
  <c r="F807" i="27"/>
  <c r="G807" i="27"/>
  <c r="C756" i="16"/>
  <c r="H755" i="16"/>
  <c r="C756" i="17"/>
  <c r="H755" i="17"/>
  <c r="B806" i="33" l="1"/>
  <c r="A807" i="33"/>
  <c r="B806" i="36"/>
  <c r="A807" i="36"/>
  <c r="B806" i="34"/>
  <c r="A807" i="34"/>
  <c r="B806" i="35"/>
  <c r="A807" i="35"/>
  <c r="C757" i="16"/>
  <c r="H756" i="16"/>
  <c r="I807" i="27"/>
  <c r="C757" i="17"/>
  <c r="H756" i="17"/>
  <c r="A811" i="16"/>
  <c r="B810" i="16"/>
  <c r="D810" i="16" a="1"/>
  <c r="D810" i="16" s="1"/>
  <c r="E810" i="16" s="1"/>
  <c r="A810" i="27"/>
  <c r="B809" i="27"/>
  <c r="D809" i="27" a="1"/>
  <c r="D809" i="27" s="1"/>
  <c r="E809" i="27" s="1"/>
  <c r="C757" i="27"/>
  <c r="H756" i="27"/>
  <c r="F809" i="16"/>
  <c r="G809" i="16"/>
  <c r="C757" i="28"/>
  <c r="H756" i="28"/>
  <c r="I808" i="16"/>
  <c r="G808" i="27"/>
  <c r="F808" i="27"/>
  <c r="B807" i="36" l="1"/>
  <c r="A808" i="36"/>
  <c r="B807" i="33"/>
  <c r="A808" i="33"/>
  <c r="B807" i="35"/>
  <c r="A808" i="35"/>
  <c r="B807" i="34"/>
  <c r="A808" i="34"/>
  <c r="G809" i="27"/>
  <c r="F809" i="27"/>
  <c r="I808" i="27"/>
  <c r="C758" i="27"/>
  <c r="H757" i="27"/>
  <c r="A812" i="16"/>
  <c r="B811" i="16"/>
  <c r="D811" i="16" a="1"/>
  <c r="D811" i="16" s="1"/>
  <c r="E811" i="16" s="1"/>
  <c r="C758" i="28"/>
  <c r="H757" i="28"/>
  <c r="I809" i="16"/>
  <c r="A811" i="27"/>
  <c r="B810" i="27"/>
  <c r="D810" i="27" a="1"/>
  <c r="D810" i="27" s="1"/>
  <c r="E810" i="27" s="1"/>
  <c r="F810" i="16"/>
  <c r="G810" i="16"/>
  <c r="C758" i="17"/>
  <c r="H757" i="17"/>
  <c r="C758" i="16"/>
  <c r="H757" i="16"/>
  <c r="B808" i="33" l="1"/>
  <c r="A809" i="33"/>
  <c r="B808" i="34"/>
  <c r="A809" i="34"/>
  <c r="B808" i="35"/>
  <c r="A809" i="35"/>
  <c r="B808" i="36"/>
  <c r="A809" i="36"/>
  <c r="G810" i="27"/>
  <c r="F810" i="27"/>
  <c r="C759" i="17"/>
  <c r="H758" i="17"/>
  <c r="A813" i="16"/>
  <c r="B812" i="16"/>
  <c r="D812" i="16" a="1"/>
  <c r="D812" i="16" s="1"/>
  <c r="E812" i="16" s="1"/>
  <c r="C759" i="16"/>
  <c r="H758" i="16"/>
  <c r="I810" i="16"/>
  <c r="A812" i="27"/>
  <c r="B811" i="27"/>
  <c r="D811" i="27" a="1"/>
  <c r="D811" i="27" s="1"/>
  <c r="E811" i="27" s="1"/>
  <c r="C759" i="28"/>
  <c r="H758" i="28"/>
  <c r="F811" i="16"/>
  <c r="G811" i="16"/>
  <c r="C759" i="27"/>
  <c r="H758" i="27"/>
  <c r="I809" i="27"/>
  <c r="B809" i="33" l="1"/>
  <c r="A810" i="33"/>
  <c r="B809" i="34"/>
  <c r="A810" i="34"/>
  <c r="B809" i="35"/>
  <c r="A810" i="35"/>
  <c r="B809" i="36"/>
  <c r="A810" i="36"/>
  <c r="G811" i="27"/>
  <c r="F811" i="27"/>
  <c r="B812" i="27"/>
  <c r="A813" i="27"/>
  <c r="D812" i="27" a="1"/>
  <c r="D812" i="27" s="1"/>
  <c r="E812" i="27" s="1"/>
  <c r="C760" i="16"/>
  <c r="H759" i="16"/>
  <c r="F812" i="16"/>
  <c r="G812" i="16"/>
  <c r="C760" i="17"/>
  <c r="H759" i="17"/>
  <c r="C760" i="28"/>
  <c r="H759" i="28"/>
  <c r="I811" i="16"/>
  <c r="K83" i="16"/>
  <c r="L88" i="17" s="1"/>
  <c r="C760" i="27"/>
  <c r="H759" i="27"/>
  <c r="A814" i="16"/>
  <c r="B813" i="16"/>
  <c r="D813" i="16" a="1"/>
  <c r="D813" i="16" s="1"/>
  <c r="E813" i="16" s="1"/>
  <c r="I810" i="27"/>
  <c r="B810" i="35" l="1"/>
  <c r="A811" i="35"/>
  <c r="B810" i="34"/>
  <c r="A811" i="34"/>
  <c r="B810" i="36"/>
  <c r="A811" i="36"/>
  <c r="B810" i="33"/>
  <c r="A811" i="33"/>
  <c r="I812" i="16"/>
  <c r="C761" i="28"/>
  <c r="H760" i="28"/>
  <c r="B813" i="27"/>
  <c r="A814" i="27"/>
  <c r="D813" i="27" a="1"/>
  <c r="D813" i="27" s="1"/>
  <c r="E813" i="27" s="1"/>
  <c r="G813" i="16"/>
  <c r="F813" i="16"/>
  <c r="C761" i="27"/>
  <c r="H760" i="27"/>
  <c r="A815" i="16"/>
  <c r="B814" i="16"/>
  <c r="D814" i="16" a="1"/>
  <c r="D814" i="16" s="1"/>
  <c r="E814" i="16" s="1"/>
  <c r="C761" i="17"/>
  <c r="H760" i="17"/>
  <c r="C761" i="16"/>
  <c r="H760" i="16"/>
  <c r="F812" i="27"/>
  <c r="G812" i="27"/>
  <c r="I811" i="27"/>
  <c r="K83" i="27"/>
  <c r="N88" i="17" s="1"/>
  <c r="E93" i="9" s="1"/>
  <c r="F93" i="9" s="1"/>
  <c r="O88" i="17" l="1"/>
  <c r="B811" i="36"/>
  <c r="A812" i="36"/>
  <c r="B811" i="33"/>
  <c r="A812" i="33"/>
  <c r="B811" i="35"/>
  <c r="A812" i="35"/>
  <c r="B811" i="34"/>
  <c r="A812" i="34"/>
  <c r="D93" i="9"/>
  <c r="F814" i="16"/>
  <c r="G814" i="16"/>
  <c r="I812" i="27"/>
  <c r="C762" i="17"/>
  <c r="H761" i="17"/>
  <c r="G813" i="27"/>
  <c r="F813" i="27"/>
  <c r="C762" i="28"/>
  <c r="H761" i="28"/>
  <c r="C762" i="27"/>
  <c r="H761" i="27"/>
  <c r="C762" i="16"/>
  <c r="H761" i="16"/>
  <c r="B814" i="27"/>
  <c r="A815" i="27"/>
  <c r="D814" i="27" a="1"/>
  <c r="D814" i="27" s="1"/>
  <c r="E814" i="27" s="1"/>
  <c r="B815" i="16"/>
  <c r="A816" i="16"/>
  <c r="D815" i="16" a="1"/>
  <c r="D815" i="16" s="1"/>
  <c r="E815" i="16" s="1"/>
  <c r="I813" i="16"/>
  <c r="B812" i="35" l="1"/>
  <c r="A813" i="35"/>
  <c r="B812" i="33"/>
  <c r="A813" i="33"/>
  <c r="B812" i="34"/>
  <c r="A813" i="34"/>
  <c r="B812" i="36"/>
  <c r="A813" i="36"/>
  <c r="G814" i="27"/>
  <c r="F814" i="27"/>
  <c r="C763" i="16"/>
  <c r="H762" i="16"/>
  <c r="C763" i="28"/>
  <c r="H762" i="28"/>
  <c r="C763" i="17"/>
  <c r="H762" i="17"/>
  <c r="G815" i="16"/>
  <c r="F815" i="16"/>
  <c r="A816" i="27"/>
  <c r="B815" i="27"/>
  <c r="D815" i="27" a="1"/>
  <c r="D815" i="27" s="1"/>
  <c r="E815" i="27" s="1"/>
  <c r="A817" i="16"/>
  <c r="B816" i="16"/>
  <c r="D816" i="16" a="1"/>
  <c r="D816" i="16" s="1"/>
  <c r="E816" i="16" s="1"/>
  <c r="C763" i="27"/>
  <c r="H762" i="27"/>
  <c r="I813" i="27"/>
  <c r="I814" i="16"/>
  <c r="B813" i="35" l="1"/>
  <c r="A814" i="35"/>
  <c r="B813" i="33"/>
  <c r="A814" i="33"/>
  <c r="B813" i="36"/>
  <c r="A814" i="36"/>
  <c r="B813" i="34"/>
  <c r="A814" i="34"/>
  <c r="G816" i="16"/>
  <c r="F816" i="16"/>
  <c r="A817" i="27"/>
  <c r="B816" i="27"/>
  <c r="D816" i="27" a="1"/>
  <c r="D816" i="27" s="1"/>
  <c r="E816" i="27" s="1"/>
  <c r="C764" i="17"/>
  <c r="H763" i="17"/>
  <c r="C764" i="16"/>
  <c r="H763" i="16"/>
  <c r="C764" i="27"/>
  <c r="H763" i="27"/>
  <c r="B817" i="16"/>
  <c r="A818" i="16"/>
  <c r="D817" i="16" a="1"/>
  <c r="D817" i="16" s="1"/>
  <c r="E817" i="16" s="1"/>
  <c r="F815" i="27"/>
  <c r="G815" i="27"/>
  <c r="I815" i="16"/>
  <c r="C764" i="28"/>
  <c r="H763" i="28"/>
  <c r="I814" i="27"/>
  <c r="B814" i="34" l="1"/>
  <c r="A815" i="34"/>
  <c r="B814" i="36"/>
  <c r="A815" i="36"/>
  <c r="B814" i="33"/>
  <c r="A815" i="33"/>
  <c r="B814" i="35"/>
  <c r="A815" i="35"/>
  <c r="A819" i="16"/>
  <c r="B818" i="16"/>
  <c r="D818" i="16" a="1"/>
  <c r="D818" i="16" s="1"/>
  <c r="E818" i="16" s="1"/>
  <c r="I815" i="27"/>
  <c r="C765" i="16"/>
  <c r="H764" i="16"/>
  <c r="C765" i="28"/>
  <c r="H764" i="28"/>
  <c r="B817" i="27"/>
  <c r="A818" i="27"/>
  <c r="D817" i="27" a="1"/>
  <c r="D817" i="27" s="1"/>
  <c r="E817" i="27" s="1"/>
  <c r="G817" i="16"/>
  <c r="F817" i="16"/>
  <c r="C765" i="27"/>
  <c r="H764" i="27"/>
  <c r="C765" i="17"/>
  <c r="H764" i="17"/>
  <c r="G816" i="27"/>
  <c r="F816" i="27"/>
  <c r="I816" i="16"/>
  <c r="B815" i="35" l="1"/>
  <c r="A816" i="35"/>
  <c r="B815" i="33"/>
  <c r="A816" i="33"/>
  <c r="B815" i="36"/>
  <c r="A816" i="36"/>
  <c r="B815" i="34"/>
  <c r="A816" i="34"/>
  <c r="F817" i="27"/>
  <c r="G817" i="27"/>
  <c r="C766" i="28"/>
  <c r="H765" i="28"/>
  <c r="G818" i="16"/>
  <c r="F818" i="16"/>
  <c r="C766" i="27"/>
  <c r="H765" i="27"/>
  <c r="A819" i="27"/>
  <c r="B818" i="27"/>
  <c r="D818" i="27" a="1"/>
  <c r="D818" i="27" s="1"/>
  <c r="E818" i="27" s="1"/>
  <c r="C766" i="16"/>
  <c r="H765" i="16"/>
  <c r="I816" i="27"/>
  <c r="C766" i="17"/>
  <c r="H765" i="17"/>
  <c r="I817" i="16"/>
  <c r="A820" i="16"/>
  <c r="B819" i="16"/>
  <c r="D819" i="16" a="1"/>
  <c r="D819" i="16" s="1"/>
  <c r="E819" i="16" s="1"/>
  <c r="B816" i="35" l="1"/>
  <c r="A817" i="35"/>
  <c r="B816" i="33"/>
  <c r="A817" i="33"/>
  <c r="B816" i="34"/>
  <c r="A817" i="34"/>
  <c r="B816" i="36"/>
  <c r="A817" i="36"/>
  <c r="A821" i="16"/>
  <c r="B820" i="16"/>
  <c r="D820" i="16" a="1"/>
  <c r="D820" i="16" s="1"/>
  <c r="E820" i="16" s="1"/>
  <c r="C767" i="17"/>
  <c r="H766" i="17"/>
  <c r="C767" i="16"/>
  <c r="H766" i="16"/>
  <c r="G818" i="27"/>
  <c r="F818" i="27"/>
  <c r="C767" i="27"/>
  <c r="H766" i="27"/>
  <c r="C767" i="28"/>
  <c r="H766" i="28"/>
  <c r="F819" i="16"/>
  <c r="G819" i="16"/>
  <c r="I817" i="27"/>
  <c r="A820" i="27"/>
  <c r="B819" i="27"/>
  <c r="D819" i="27" a="1"/>
  <c r="D819" i="27" s="1"/>
  <c r="E819" i="27" s="1"/>
  <c r="I818" i="16"/>
  <c r="B817" i="34" l="1"/>
  <c r="A818" i="34"/>
  <c r="B817" i="33"/>
  <c r="A818" i="33"/>
  <c r="B817" i="36"/>
  <c r="A818" i="36"/>
  <c r="B817" i="35"/>
  <c r="A818" i="35"/>
  <c r="F819" i="27"/>
  <c r="G819" i="27"/>
  <c r="C768" i="28"/>
  <c r="H767" i="28"/>
  <c r="I818" i="27"/>
  <c r="C768" i="17"/>
  <c r="H767" i="17"/>
  <c r="G820" i="16"/>
  <c r="F820" i="16"/>
  <c r="C768" i="16"/>
  <c r="H767" i="16"/>
  <c r="I819" i="16"/>
  <c r="A821" i="27"/>
  <c r="B820" i="27"/>
  <c r="D820" i="27" a="1"/>
  <c r="D820" i="27" s="1"/>
  <c r="E820" i="27" s="1"/>
  <c r="C768" i="27"/>
  <c r="H767" i="27"/>
  <c r="B821" i="16"/>
  <c r="A822" i="16"/>
  <c r="D821" i="16" a="1"/>
  <c r="D821" i="16" s="1"/>
  <c r="E821" i="16" s="1"/>
  <c r="B818" i="33" l="1"/>
  <c r="A819" i="33"/>
  <c r="B818" i="36"/>
  <c r="A819" i="36"/>
  <c r="B818" i="35"/>
  <c r="A819" i="35"/>
  <c r="B818" i="34"/>
  <c r="A819" i="34"/>
  <c r="A823" i="16"/>
  <c r="B822" i="16"/>
  <c r="D822" i="16" a="1"/>
  <c r="D822" i="16" s="1"/>
  <c r="E822" i="16" s="1"/>
  <c r="A822" i="27"/>
  <c r="B821" i="27"/>
  <c r="D821" i="27" a="1"/>
  <c r="D821" i="27" s="1"/>
  <c r="E821" i="27" s="1"/>
  <c r="C769" i="16"/>
  <c r="H768" i="16"/>
  <c r="C769" i="17"/>
  <c r="H768" i="17"/>
  <c r="C769" i="28"/>
  <c r="H768" i="28"/>
  <c r="G821" i="16"/>
  <c r="F821" i="16"/>
  <c r="C769" i="27"/>
  <c r="H768" i="27"/>
  <c r="I819" i="27"/>
  <c r="F820" i="27"/>
  <c r="G820" i="27"/>
  <c r="I820" i="16"/>
  <c r="B819" i="33" l="1"/>
  <c r="A820" i="33"/>
  <c r="B819" i="34"/>
  <c r="A820" i="34"/>
  <c r="B819" i="35"/>
  <c r="A820" i="35"/>
  <c r="B819" i="36"/>
  <c r="A820" i="36"/>
  <c r="C770" i="28"/>
  <c r="H769" i="28"/>
  <c r="C770" i="17"/>
  <c r="H769" i="17"/>
  <c r="I820" i="27"/>
  <c r="A823" i="27"/>
  <c r="B822" i="27"/>
  <c r="D822" i="27" a="1"/>
  <c r="D822" i="27" s="1"/>
  <c r="E822" i="27" s="1"/>
  <c r="F822" i="16"/>
  <c r="G822" i="16"/>
  <c r="F821" i="27"/>
  <c r="G821" i="27"/>
  <c r="C770" i="27"/>
  <c r="H769" i="27"/>
  <c r="C770" i="16"/>
  <c r="H769" i="16"/>
  <c r="I821" i="16"/>
  <c r="K84" i="16"/>
  <c r="L89" i="17" s="1"/>
  <c r="B823" i="16"/>
  <c r="A824" i="16"/>
  <c r="D823" i="16" a="1"/>
  <c r="D823" i="16" s="1"/>
  <c r="E823" i="16" s="1"/>
  <c r="B820" i="35" l="1"/>
  <c r="A821" i="35"/>
  <c r="B820" i="34"/>
  <c r="A821" i="34"/>
  <c r="B820" i="36"/>
  <c r="A821" i="36"/>
  <c r="B820" i="33"/>
  <c r="A821" i="33"/>
  <c r="I821" i="27"/>
  <c r="K84" i="27"/>
  <c r="N89" i="17" s="1"/>
  <c r="E94" i="9" s="1"/>
  <c r="F94" i="9" s="1"/>
  <c r="C771" i="16"/>
  <c r="H770" i="16"/>
  <c r="F823" i="16"/>
  <c r="G823" i="16"/>
  <c r="C771" i="17"/>
  <c r="H770" i="17"/>
  <c r="I822" i="16"/>
  <c r="A824" i="27"/>
  <c r="B823" i="27"/>
  <c r="D823" i="27" a="1"/>
  <c r="D823" i="27" s="1"/>
  <c r="E823" i="27" s="1"/>
  <c r="A825" i="16"/>
  <c r="B824" i="16"/>
  <c r="D824" i="16" a="1"/>
  <c r="D824" i="16" s="1"/>
  <c r="E824" i="16" s="1"/>
  <c r="C771" i="27"/>
  <c r="H770" i="27"/>
  <c r="G822" i="27"/>
  <c r="F822" i="27"/>
  <c r="C771" i="28"/>
  <c r="H770" i="28"/>
  <c r="O89" i="17" l="1"/>
  <c r="B821" i="33"/>
  <c r="A822" i="33"/>
  <c r="B821" i="35"/>
  <c r="A822" i="35"/>
  <c r="B821" i="36"/>
  <c r="A822" i="36"/>
  <c r="B821" i="34"/>
  <c r="A822" i="34"/>
  <c r="C772" i="28"/>
  <c r="H771" i="28"/>
  <c r="C772" i="27"/>
  <c r="H771" i="27"/>
  <c r="I822" i="27"/>
  <c r="A825" i="27"/>
  <c r="B824" i="27"/>
  <c r="D824" i="27" a="1"/>
  <c r="D824" i="27" s="1"/>
  <c r="E824" i="27" s="1"/>
  <c r="B825" i="16"/>
  <c r="A826" i="16"/>
  <c r="D825" i="16" a="1"/>
  <c r="D825" i="16" s="1"/>
  <c r="E825" i="16" s="1"/>
  <c r="C772" i="17"/>
  <c r="H771" i="17"/>
  <c r="C772" i="16"/>
  <c r="H771" i="16"/>
  <c r="F823" i="27"/>
  <c r="G823" i="27"/>
  <c r="I823" i="16"/>
  <c r="G824" i="16"/>
  <c r="F824" i="16"/>
  <c r="D94" i="9"/>
  <c r="B822" i="36" l="1"/>
  <c r="A823" i="36"/>
  <c r="B822" i="34"/>
  <c r="A823" i="34"/>
  <c r="B822" i="35"/>
  <c r="A823" i="35"/>
  <c r="B822" i="33"/>
  <c r="A823" i="33"/>
  <c r="F825" i="16"/>
  <c r="G825" i="16"/>
  <c r="C773" i="16"/>
  <c r="H772" i="16"/>
  <c r="A827" i="16"/>
  <c r="B826" i="16"/>
  <c r="D826" i="16" a="1"/>
  <c r="D826" i="16" s="1"/>
  <c r="E826" i="16" s="1"/>
  <c r="A826" i="27"/>
  <c r="B825" i="27"/>
  <c r="D825" i="27" a="1"/>
  <c r="D825" i="27" s="1"/>
  <c r="E825" i="27" s="1"/>
  <c r="C773" i="27"/>
  <c r="H772" i="27"/>
  <c r="I824" i="16"/>
  <c r="C773" i="17"/>
  <c r="H772" i="17"/>
  <c r="I823" i="27"/>
  <c r="G824" i="27"/>
  <c r="F824" i="27"/>
  <c r="C773" i="28"/>
  <c r="H772" i="28"/>
  <c r="B823" i="35" l="1"/>
  <c r="A824" i="35"/>
  <c r="B823" i="36"/>
  <c r="A824" i="36"/>
  <c r="B823" i="33"/>
  <c r="A824" i="33"/>
  <c r="B823" i="34"/>
  <c r="A824" i="34"/>
  <c r="F825" i="27"/>
  <c r="G825" i="27"/>
  <c r="C774" i="17"/>
  <c r="H773" i="17"/>
  <c r="C774" i="27"/>
  <c r="H773" i="27"/>
  <c r="B827" i="16"/>
  <c r="A828" i="16"/>
  <c r="D827" i="16" a="1"/>
  <c r="D827" i="16" s="1"/>
  <c r="E827" i="16" s="1"/>
  <c r="I824" i="27"/>
  <c r="C774" i="28"/>
  <c r="H773" i="28"/>
  <c r="A827" i="27"/>
  <c r="B826" i="27"/>
  <c r="D826" i="27" a="1"/>
  <c r="D826" i="27" s="1"/>
  <c r="E826" i="27" s="1"/>
  <c r="I825" i="16"/>
  <c r="F826" i="16"/>
  <c r="G826" i="16"/>
  <c r="C774" i="16"/>
  <c r="H773" i="16"/>
  <c r="B824" i="34" l="1"/>
  <c r="A825" i="34"/>
  <c r="B824" i="35"/>
  <c r="A825" i="35"/>
  <c r="B824" i="36"/>
  <c r="A825" i="36"/>
  <c r="B824" i="33"/>
  <c r="A825" i="33"/>
  <c r="G826" i="27"/>
  <c r="F826" i="27"/>
  <c r="C775" i="28"/>
  <c r="H774" i="28"/>
  <c r="A829" i="16"/>
  <c r="B828" i="16"/>
  <c r="D828" i="16" a="1"/>
  <c r="D828" i="16" s="1"/>
  <c r="E828" i="16" s="1"/>
  <c r="C775" i="17"/>
  <c r="H774" i="17"/>
  <c r="C775" i="16"/>
  <c r="H774" i="16"/>
  <c r="I826" i="16"/>
  <c r="A828" i="27"/>
  <c r="B827" i="27"/>
  <c r="D827" i="27" a="1"/>
  <c r="D827" i="27" s="1"/>
  <c r="E827" i="27" s="1"/>
  <c r="I825" i="27"/>
  <c r="G827" i="16"/>
  <c r="F827" i="16"/>
  <c r="C775" i="27"/>
  <c r="H774" i="27"/>
  <c r="B825" i="33" l="1"/>
  <c r="A826" i="33"/>
  <c r="B825" i="36"/>
  <c r="A826" i="36"/>
  <c r="B825" i="35"/>
  <c r="A826" i="35"/>
  <c r="B825" i="34"/>
  <c r="A826" i="34"/>
  <c r="F827" i="27"/>
  <c r="G827" i="27"/>
  <c r="C776" i="17"/>
  <c r="H775" i="17"/>
  <c r="G828" i="16"/>
  <c r="F828" i="16"/>
  <c r="C776" i="28"/>
  <c r="H775" i="28"/>
  <c r="I827" i="16"/>
  <c r="A829" i="27"/>
  <c r="B828" i="27"/>
  <c r="D828" i="27" a="1"/>
  <c r="D828" i="27" s="1"/>
  <c r="E828" i="27" s="1"/>
  <c r="C776" i="16"/>
  <c r="H775" i="16"/>
  <c r="C776" i="27"/>
  <c r="H775" i="27"/>
  <c r="B829" i="16"/>
  <c r="A830" i="16"/>
  <c r="D829" i="16" a="1"/>
  <c r="D829" i="16" s="1"/>
  <c r="E829" i="16" s="1"/>
  <c r="I826" i="27"/>
  <c r="B826" i="34" l="1"/>
  <c r="A827" i="34"/>
  <c r="B826" i="33"/>
  <c r="A827" i="33"/>
  <c r="B826" i="35"/>
  <c r="A827" i="35"/>
  <c r="B826" i="36"/>
  <c r="A827" i="36"/>
  <c r="G829" i="16"/>
  <c r="F829" i="16"/>
  <c r="C777" i="27"/>
  <c r="H776" i="27"/>
  <c r="A831" i="16"/>
  <c r="B830" i="16"/>
  <c r="D830" i="16" a="1"/>
  <c r="D830" i="16" s="1"/>
  <c r="E830" i="16" s="1"/>
  <c r="A830" i="27"/>
  <c r="B829" i="27"/>
  <c r="D829" i="27" a="1"/>
  <c r="D829" i="27" s="1"/>
  <c r="E829" i="27" s="1"/>
  <c r="C777" i="28"/>
  <c r="H776" i="28"/>
  <c r="C777" i="17"/>
  <c r="H776" i="17"/>
  <c r="C777" i="16"/>
  <c r="H776" i="16"/>
  <c r="I827" i="27"/>
  <c r="F828" i="27"/>
  <c r="G828" i="27"/>
  <c r="I828" i="16"/>
  <c r="B827" i="35" l="1"/>
  <c r="A828" i="35"/>
  <c r="B827" i="34"/>
  <c r="A828" i="34"/>
  <c r="B827" i="36"/>
  <c r="A828" i="36"/>
  <c r="B827" i="33"/>
  <c r="A828" i="33"/>
  <c r="F830" i="16"/>
  <c r="G830" i="16"/>
  <c r="C778" i="17"/>
  <c r="H777" i="17"/>
  <c r="I828" i="27"/>
  <c r="A831" i="27"/>
  <c r="B830" i="27"/>
  <c r="D830" i="27" a="1"/>
  <c r="D830" i="27" s="1"/>
  <c r="E830" i="27" s="1"/>
  <c r="C778" i="27"/>
  <c r="H777" i="27"/>
  <c r="G829" i="27"/>
  <c r="F829" i="27"/>
  <c r="C778" i="16"/>
  <c r="H777" i="16"/>
  <c r="C778" i="28"/>
  <c r="H777" i="28"/>
  <c r="B831" i="16"/>
  <c r="A832" i="16"/>
  <c r="D831" i="16" a="1"/>
  <c r="D831" i="16" s="1"/>
  <c r="E831" i="16" s="1"/>
  <c r="I829" i="16"/>
  <c r="B828" i="33" l="1"/>
  <c r="A829" i="33"/>
  <c r="B828" i="35"/>
  <c r="A829" i="35"/>
  <c r="B828" i="36"/>
  <c r="A829" i="36"/>
  <c r="B828" i="34"/>
  <c r="A829" i="34"/>
  <c r="G831" i="16"/>
  <c r="F831" i="16"/>
  <c r="C779" i="28"/>
  <c r="H778" i="28"/>
  <c r="I829" i="27"/>
  <c r="A833" i="16"/>
  <c r="B832" i="16"/>
  <c r="D832" i="16" a="1"/>
  <c r="D832" i="16" s="1"/>
  <c r="E832" i="16" s="1"/>
  <c r="A832" i="27"/>
  <c r="B831" i="27"/>
  <c r="D831" i="27" a="1"/>
  <c r="D831" i="27" s="1"/>
  <c r="E831" i="27" s="1"/>
  <c r="C779" i="17"/>
  <c r="H778" i="17"/>
  <c r="C779" i="16"/>
  <c r="H778" i="16"/>
  <c r="C779" i="27"/>
  <c r="H778" i="27"/>
  <c r="I830" i="16"/>
  <c r="F830" i="27"/>
  <c r="G830" i="27"/>
  <c r="B829" i="36" l="1"/>
  <c r="A830" i="36"/>
  <c r="B829" i="34"/>
  <c r="A830" i="34"/>
  <c r="B829" i="35"/>
  <c r="A830" i="35"/>
  <c r="B829" i="33"/>
  <c r="A830" i="33"/>
  <c r="G831" i="27"/>
  <c r="F831" i="27"/>
  <c r="C780" i="17"/>
  <c r="H779" i="17"/>
  <c r="B833" i="16"/>
  <c r="A834" i="16"/>
  <c r="D833" i="16" a="1"/>
  <c r="D833" i="16" s="1"/>
  <c r="E833" i="16" s="1"/>
  <c r="C780" i="28"/>
  <c r="H779" i="28"/>
  <c r="C780" i="27"/>
  <c r="H779" i="27"/>
  <c r="C780" i="16"/>
  <c r="H779" i="16"/>
  <c r="I830" i="27"/>
  <c r="A833" i="27"/>
  <c r="B832" i="27"/>
  <c r="D832" i="27" a="1"/>
  <c r="D832" i="27" s="1"/>
  <c r="E832" i="27" s="1"/>
  <c r="G832" i="16"/>
  <c r="F832" i="16"/>
  <c r="K85" i="16"/>
  <c r="L90" i="17" s="1"/>
  <c r="I831" i="16"/>
  <c r="B830" i="36" l="1"/>
  <c r="A831" i="36"/>
  <c r="B830" i="34"/>
  <c r="A831" i="34"/>
  <c r="B830" i="33"/>
  <c r="A831" i="33"/>
  <c r="B830" i="35"/>
  <c r="A831" i="35"/>
  <c r="A834" i="27"/>
  <c r="B833" i="27"/>
  <c r="D833" i="27" a="1"/>
  <c r="D833" i="27" s="1"/>
  <c r="E833" i="27" s="1"/>
  <c r="C781" i="16"/>
  <c r="H780" i="16"/>
  <c r="C781" i="28"/>
  <c r="H780" i="28"/>
  <c r="G833" i="16"/>
  <c r="F833" i="16"/>
  <c r="C781" i="17"/>
  <c r="H780" i="17"/>
  <c r="F832" i="27"/>
  <c r="G832" i="27"/>
  <c r="C781" i="27"/>
  <c r="H780" i="27"/>
  <c r="A835" i="16"/>
  <c r="B834" i="16"/>
  <c r="D834" i="16" a="1"/>
  <c r="D834" i="16" s="1"/>
  <c r="E834" i="16" s="1"/>
  <c r="I832" i="16"/>
  <c r="I831" i="27"/>
  <c r="K85" i="27"/>
  <c r="N90" i="17" s="1"/>
  <c r="E95" i="9" s="1"/>
  <c r="F95" i="9" s="1"/>
  <c r="O90" i="17" l="1"/>
  <c r="B831" i="36"/>
  <c r="A832" i="36"/>
  <c r="B831" i="35"/>
  <c r="A832" i="35"/>
  <c r="B831" i="33"/>
  <c r="A832" i="33"/>
  <c r="B831" i="34"/>
  <c r="A832" i="34"/>
  <c r="D95" i="9"/>
  <c r="B835" i="16"/>
  <c r="A836" i="16"/>
  <c r="D835" i="16" a="1"/>
  <c r="D835" i="16" s="1"/>
  <c r="E835" i="16" s="1"/>
  <c r="I833" i="16"/>
  <c r="C782" i="16"/>
  <c r="H781" i="16"/>
  <c r="G833" i="27"/>
  <c r="F833" i="27"/>
  <c r="G834" i="16"/>
  <c r="F834" i="16"/>
  <c r="C782" i="27"/>
  <c r="H781" i="27"/>
  <c r="C782" i="17"/>
  <c r="H781" i="17"/>
  <c r="C782" i="28"/>
  <c r="H781" i="28"/>
  <c r="I832" i="27"/>
  <c r="A835" i="27"/>
  <c r="B834" i="27"/>
  <c r="D834" i="27" a="1"/>
  <c r="D834" i="27" s="1"/>
  <c r="E834" i="27" s="1"/>
  <c r="B832" i="35" l="1"/>
  <c r="A833" i="35"/>
  <c r="B832" i="36"/>
  <c r="A833" i="36"/>
  <c r="B832" i="33"/>
  <c r="A833" i="33"/>
  <c r="B832" i="34"/>
  <c r="A833" i="34"/>
  <c r="A836" i="27"/>
  <c r="B835" i="27"/>
  <c r="D835" i="27" a="1"/>
  <c r="D835" i="27" s="1"/>
  <c r="E835" i="27" s="1"/>
  <c r="C783" i="28"/>
  <c r="H782" i="28"/>
  <c r="C783" i="27"/>
  <c r="H782" i="27"/>
  <c r="I833" i="27"/>
  <c r="G835" i="16"/>
  <c r="F835" i="16"/>
  <c r="F834" i="27"/>
  <c r="G834" i="27"/>
  <c r="C783" i="17"/>
  <c r="H782" i="17"/>
  <c r="I834" i="16"/>
  <c r="C783" i="16"/>
  <c r="H782" i="16"/>
  <c r="A837" i="16"/>
  <c r="B836" i="16"/>
  <c r="D836" i="16" a="1"/>
  <c r="D836" i="16" s="1"/>
  <c r="E836" i="16" s="1"/>
  <c r="B833" i="33" l="1"/>
  <c r="A834" i="33"/>
  <c r="B833" i="34"/>
  <c r="A834" i="34"/>
  <c r="B833" i="36"/>
  <c r="A834" i="36"/>
  <c r="B833" i="35"/>
  <c r="A834" i="35"/>
  <c r="F836" i="16"/>
  <c r="G836" i="16"/>
  <c r="C784" i="16"/>
  <c r="H783" i="16"/>
  <c r="C784" i="17"/>
  <c r="H783" i="17"/>
  <c r="I835" i="16"/>
  <c r="C784" i="28"/>
  <c r="H783" i="28"/>
  <c r="G835" i="27"/>
  <c r="F835" i="27"/>
  <c r="B837" i="16"/>
  <c r="A838" i="16"/>
  <c r="D837" i="16" a="1"/>
  <c r="D837" i="16" s="1"/>
  <c r="E837" i="16" s="1"/>
  <c r="C784" i="27"/>
  <c r="H783" i="27"/>
  <c r="I834" i="27"/>
  <c r="A837" i="27"/>
  <c r="B836" i="27"/>
  <c r="D836" i="27" a="1"/>
  <c r="D836" i="27" s="1"/>
  <c r="E836" i="27" s="1"/>
  <c r="B834" i="35" l="1"/>
  <c r="A835" i="35"/>
  <c r="B834" i="34"/>
  <c r="A835" i="34"/>
  <c r="B834" i="33"/>
  <c r="A835" i="33"/>
  <c r="B834" i="36"/>
  <c r="A835" i="36"/>
  <c r="A838" i="27"/>
  <c r="B837" i="27"/>
  <c r="D837" i="27" a="1"/>
  <c r="D837" i="27" s="1"/>
  <c r="E837" i="27" s="1"/>
  <c r="C785" i="27"/>
  <c r="H784" i="27"/>
  <c r="F837" i="16"/>
  <c r="G837" i="16"/>
  <c r="I835" i="27"/>
  <c r="C785" i="16"/>
  <c r="H784" i="16"/>
  <c r="F836" i="27"/>
  <c r="G836" i="27"/>
  <c r="A839" i="16"/>
  <c r="B838" i="16"/>
  <c r="D838" i="16" a="1"/>
  <c r="D838" i="16" s="1"/>
  <c r="E838" i="16" s="1"/>
  <c r="I836" i="16"/>
  <c r="C785" i="28"/>
  <c r="H784" i="28"/>
  <c r="C785" i="17"/>
  <c r="H784" i="17"/>
  <c r="B835" i="36" l="1"/>
  <c r="A836" i="36"/>
  <c r="B835" i="33"/>
  <c r="A836" i="33"/>
  <c r="B835" i="35"/>
  <c r="A836" i="35"/>
  <c r="B835" i="34"/>
  <c r="A836" i="34"/>
  <c r="F838" i="16"/>
  <c r="G838" i="16"/>
  <c r="C786" i="27"/>
  <c r="H785" i="27"/>
  <c r="G837" i="27"/>
  <c r="F837" i="27"/>
  <c r="I837" i="16"/>
  <c r="C786" i="16"/>
  <c r="H785" i="16"/>
  <c r="C786" i="28"/>
  <c r="H785" i="28"/>
  <c r="B839" i="16"/>
  <c r="A840" i="16"/>
  <c r="D839" i="16" a="1"/>
  <c r="D839" i="16" s="1"/>
  <c r="E839" i="16" s="1"/>
  <c r="C786" i="17"/>
  <c r="H785" i="17"/>
  <c r="I836" i="27"/>
  <c r="A839" i="27"/>
  <c r="B838" i="27"/>
  <c r="D838" i="27" a="1"/>
  <c r="D838" i="27" s="1"/>
  <c r="E838" i="27" s="1"/>
  <c r="B836" i="34" l="1"/>
  <c r="A837" i="34"/>
  <c r="B836" i="36"/>
  <c r="A837" i="36"/>
  <c r="B836" i="33"/>
  <c r="A837" i="33"/>
  <c r="B836" i="35"/>
  <c r="A837" i="35"/>
  <c r="A840" i="27"/>
  <c r="B839" i="27"/>
  <c r="D839" i="27" a="1"/>
  <c r="D839" i="27" s="1"/>
  <c r="E839" i="27" s="1"/>
  <c r="C787" i="17"/>
  <c r="H786" i="17"/>
  <c r="F839" i="16"/>
  <c r="G839" i="16"/>
  <c r="C787" i="28"/>
  <c r="H786" i="28"/>
  <c r="C787" i="27"/>
  <c r="H786" i="27"/>
  <c r="G838" i="27"/>
  <c r="F838" i="27"/>
  <c r="A841" i="16"/>
  <c r="B840" i="16"/>
  <c r="D840" i="16" a="1"/>
  <c r="D840" i="16" s="1"/>
  <c r="E840" i="16" s="1"/>
  <c r="I838" i="16"/>
  <c r="C787" i="16"/>
  <c r="H786" i="16"/>
  <c r="I837" i="27"/>
  <c r="B837" i="33" l="1"/>
  <c r="A838" i="33"/>
  <c r="B837" i="35"/>
  <c r="A838" i="35"/>
  <c r="B837" i="34"/>
  <c r="A838" i="34"/>
  <c r="B837" i="36"/>
  <c r="A838" i="36"/>
  <c r="F840" i="16"/>
  <c r="G840" i="16"/>
  <c r="I838" i="27"/>
  <c r="C788" i="28"/>
  <c r="H787" i="28"/>
  <c r="C788" i="17"/>
  <c r="H787" i="17"/>
  <c r="G839" i="27"/>
  <c r="F839" i="27"/>
  <c r="I839" i="16"/>
  <c r="C788" i="27"/>
  <c r="H787" i="27"/>
  <c r="C788" i="16"/>
  <c r="H787" i="16"/>
  <c r="B841" i="16"/>
  <c r="A842" i="16"/>
  <c r="D841" i="16" a="1"/>
  <c r="D841" i="16" s="1"/>
  <c r="E841" i="16" s="1"/>
  <c r="A841" i="27"/>
  <c r="B840" i="27"/>
  <c r="D840" i="27" a="1"/>
  <c r="D840" i="27" s="1"/>
  <c r="E840" i="27" s="1"/>
  <c r="B838" i="36" l="1"/>
  <c r="A839" i="36"/>
  <c r="B838" i="34"/>
  <c r="A839" i="34"/>
  <c r="B838" i="35"/>
  <c r="A839" i="35"/>
  <c r="B838" i="33"/>
  <c r="A839" i="33"/>
  <c r="A842" i="27"/>
  <c r="B841" i="27"/>
  <c r="D841" i="27" a="1"/>
  <c r="D841" i="27" s="1"/>
  <c r="E841" i="27" s="1"/>
  <c r="F841" i="16"/>
  <c r="G841" i="16"/>
  <c r="C789" i="16"/>
  <c r="H788" i="16"/>
  <c r="C789" i="17"/>
  <c r="H788" i="17"/>
  <c r="G840" i="27"/>
  <c r="F840" i="27"/>
  <c r="A843" i="16"/>
  <c r="B842" i="16"/>
  <c r="D842" i="16" a="1"/>
  <c r="D842" i="16" s="1"/>
  <c r="E842" i="16" s="1"/>
  <c r="I840" i="16"/>
  <c r="C789" i="27"/>
  <c r="H788" i="27"/>
  <c r="I839" i="27"/>
  <c r="C789" i="28"/>
  <c r="H788" i="28"/>
  <c r="B839" i="35" l="1"/>
  <c r="A840" i="35"/>
  <c r="B839" i="33"/>
  <c r="A840" i="33"/>
  <c r="B839" i="36"/>
  <c r="A840" i="36"/>
  <c r="B839" i="34"/>
  <c r="A840" i="34"/>
  <c r="F842" i="16"/>
  <c r="G842" i="16"/>
  <c r="C790" i="16"/>
  <c r="H789" i="16"/>
  <c r="C790" i="27"/>
  <c r="H789" i="27"/>
  <c r="B843" i="16"/>
  <c r="A844" i="16"/>
  <c r="D843" i="16" a="1"/>
  <c r="D843" i="16" s="1"/>
  <c r="E843" i="16" s="1"/>
  <c r="C790" i="17"/>
  <c r="H789" i="17"/>
  <c r="F841" i="27"/>
  <c r="G841" i="27"/>
  <c r="I840" i="27"/>
  <c r="C790" i="28"/>
  <c r="H789" i="28"/>
  <c r="K86" i="16"/>
  <c r="L91" i="17" s="1"/>
  <c r="I841" i="16"/>
  <c r="A843" i="27"/>
  <c r="B842" i="27"/>
  <c r="D842" i="27" a="1"/>
  <c r="D842" i="27" s="1"/>
  <c r="E842" i="27" s="1"/>
  <c r="B840" i="34" l="1"/>
  <c r="A841" i="34"/>
  <c r="B840" i="36"/>
  <c r="A841" i="36"/>
  <c r="B840" i="33"/>
  <c r="A841" i="33"/>
  <c r="B840" i="35"/>
  <c r="A841" i="35"/>
  <c r="A844" i="27"/>
  <c r="B843" i="27"/>
  <c r="D843" i="27" a="1"/>
  <c r="D843" i="27" s="1"/>
  <c r="E843" i="27" s="1"/>
  <c r="K86" i="27"/>
  <c r="N91" i="17" s="1"/>
  <c r="E96" i="9" s="1"/>
  <c r="F96" i="9" s="1"/>
  <c r="I841" i="27"/>
  <c r="C791" i="28"/>
  <c r="H790" i="28"/>
  <c r="A845" i="16"/>
  <c r="B844" i="16"/>
  <c r="D844" i="16" a="1"/>
  <c r="D844" i="16" s="1"/>
  <c r="E844" i="16" s="1"/>
  <c r="C791" i="16"/>
  <c r="H790" i="16"/>
  <c r="G842" i="27"/>
  <c r="F842" i="27"/>
  <c r="C791" i="17"/>
  <c r="H790" i="17"/>
  <c r="I842" i="16"/>
  <c r="F843" i="16"/>
  <c r="G843" i="16"/>
  <c r="C791" i="27"/>
  <c r="H790" i="27"/>
  <c r="O91" i="17" l="1"/>
  <c r="B841" i="33"/>
  <c r="A842" i="33"/>
  <c r="B841" i="35"/>
  <c r="A842" i="35"/>
  <c r="B841" i="34"/>
  <c r="A842" i="34"/>
  <c r="B841" i="36"/>
  <c r="A842" i="36"/>
  <c r="C792" i="28"/>
  <c r="H791" i="28"/>
  <c r="D96" i="9"/>
  <c r="C792" i="16"/>
  <c r="H791" i="16"/>
  <c r="G843" i="27"/>
  <c r="F843" i="27"/>
  <c r="C792" i="27"/>
  <c r="H791" i="27"/>
  <c r="I843" i="16"/>
  <c r="F844" i="16"/>
  <c r="G844" i="16"/>
  <c r="I842" i="27"/>
  <c r="C792" i="17"/>
  <c r="H791" i="17"/>
  <c r="A846" i="16"/>
  <c r="B845" i="16"/>
  <c r="D845" i="16" a="1"/>
  <c r="D845" i="16" s="1"/>
  <c r="E845" i="16" s="1"/>
  <c r="A845" i="27"/>
  <c r="B844" i="27"/>
  <c r="D844" i="27" a="1"/>
  <c r="D844" i="27" s="1"/>
  <c r="E844" i="27" s="1"/>
  <c r="B842" i="36" l="1"/>
  <c r="A843" i="36"/>
  <c r="B842" i="35"/>
  <c r="A843" i="35"/>
  <c r="B842" i="33"/>
  <c r="A843" i="33"/>
  <c r="B842" i="34"/>
  <c r="A843" i="34"/>
  <c r="A847" i="16"/>
  <c r="B846" i="16"/>
  <c r="D846" i="16" a="1"/>
  <c r="D846" i="16" s="1"/>
  <c r="E846" i="16" s="1"/>
  <c r="I843" i="27"/>
  <c r="F844" i="27"/>
  <c r="G844" i="27"/>
  <c r="B845" i="27"/>
  <c r="A846" i="27"/>
  <c r="D845" i="27" a="1"/>
  <c r="D845" i="27" s="1"/>
  <c r="E845" i="27" s="1"/>
  <c r="I844" i="16"/>
  <c r="G845" i="16"/>
  <c r="F845" i="16"/>
  <c r="C793" i="17"/>
  <c r="H792" i="17"/>
  <c r="C793" i="27"/>
  <c r="H792" i="27"/>
  <c r="C793" i="16"/>
  <c r="H792" i="16"/>
  <c r="C793" i="28"/>
  <c r="H792" i="28"/>
  <c r="B843" i="33" l="1"/>
  <c r="A844" i="33"/>
  <c r="B843" i="35"/>
  <c r="A844" i="35"/>
  <c r="B843" i="34"/>
  <c r="A844" i="34"/>
  <c r="B843" i="36"/>
  <c r="A844" i="36"/>
  <c r="C794" i="16"/>
  <c r="H793" i="16"/>
  <c r="I844" i="27"/>
  <c r="G846" i="16"/>
  <c r="F846" i="16"/>
  <c r="F845" i="27"/>
  <c r="G845" i="27"/>
  <c r="C794" i="28"/>
  <c r="H793" i="28"/>
  <c r="C794" i="17"/>
  <c r="H793" i="17"/>
  <c r="C794" i="27"/>
  <c r="H793" i="27"/>
  <c r="I845" i="16"/>
  <c r="A847" i="27"/>
  <c r="B846" i="27"/>
  <c r="D846" i="27" a="1"/>
  <c r="D846" i="27" s="1"/>
  <c r="E846" i="27" s="1"/>
  <c r="A848" i="16"/>
  <c r="B847" i="16"/>
  <c r="D847" i="16" a="1"/>
  <c r="D847" i="16" s="1"/>
  <c r="E847" i="16" s="1"/>
  <c r="B844" i="35" l="1"/>
  <c r="A845" i="35"/>
  <c r="B844" i="36"/>
  <c r="A845" i="36"/>
  <c r="B844" i="34"/>
  <c r="A845" i="34"/>
  <c r="B844" i="33"/>
  <c r="A845" i="33"/>
  <c r="A849" i="16"/>
  <c r="B848" i="16"/>
  <c r="D848" i="16" a="1"/>
  <c r="D848" i="16" s="1"/>
  <c r="E848" i="16" s="1"/>
  <c r="I845" i="27"/>
  <c r="F846" i="27"/>
  <c r="G846" i="27"/>
  <c r="C795" i="17"/>
  <c r="H794" i="17"/>
  <c r="F847" i="16"/>
  <c r="G847" i="16"/>
  <c r="B847" i="27"/>
  <c r="A848" i="27"/>
  <c r="D847" i="27" a="1"/>
  <c r="D847" i="27" s="1"/>
  <c r="E847" i="27" s="1"/>
  <c r="C795" i="27"/>
  <c r="H794" i="27"/>
  <c r="C795" i="28"/>
  <c r="H794" i="28"/>
  <c r="I846" i="16"/>
  <c r="C795" i="16"/>
  <c r="H794" i="16"/>
  <c r="B845" i="36" l="1"/>
  <c r="A846" i="36"/>
  <c r="B845" i="35"/>
  <c r="A846" i="35"/>
  <c r="B845" i="33"/>
  <c r="A846" i="33"/>
  <c r="B845" i="34"/>
  <c r="A846" i="34"/>
  <c r="C796" i="27"/>
  <c r="H795" i="27"/>
  <c r="I847" i="16"/>
  <c r="C796" i="17"/>
  <c r="H795" i="17"/>
  <c r="F848" i="16"/>
  <c r="G848" i="16"/>
  <c r="G847" i="27"/>
  <c r="F847" i="27"/>
  <c r="I846" i="27"/>
  <c r="C796" i="16"/>
  <c r="H795" i="16"/>
  <c r="C796" i="28"/>
  <c r="H795" i="28"/>
  <c r="A849" i="27"/>
  <c r="B848" i="27"/>
  <c r="D848" i="27" a="1"/>
  <c r="D848" i="27" s="1"/>
  <c r="E848" i="27" s="1"/>
  <c r="A850" i="16"/>
  <c r="B849" i="16"/>
  <c r="D849" i="16" a="1"/>
  <c r="D849" i="16" s="1"/>
  <c r="E849" i="16" s="1"/>
  <c r="B846" i="35" l="1"/>
  <c r="A847" i="35"/>
  <c r="B846" i="33"/>
  <c r="A847" i="33"/>
  <c r="B846" i="34"/>
  <c r="A847" i="34"/>
  <c r="B846" i="36"/>
  <c r="A847" i="36"/>
  <c r="F849" i="16"/>
  <c r="G849" i="16"/>
  <c r="A851" i="16"/>
  <c r="B850" i="16"/>
  <c r="D850" i="16" a="1"/>
  <c r="D850" i="16" s="1"/>
  <c r="E850" i="16" s="1"/>
  <c r="I848" i="16"/>
  <c r="G848" i="27"/>
  <c r="F848" i="27"/>
  <c r="C797" i="28"/>
  <c r="H796" i="28"/>
  <c r="B849" i="27"/>
  <c r="A850" i="27"/>
  <c r="D849" i="27" a="1"/>
  <c r="D849" i="27" s="1"/>
  <c r="E849" i="27" s="1"/>
  <c r="C797" i="16"/>
  <c r="H796" i="16"/>
  <c r="I847" i="27"/>
  <c r="C797" i="17"/>
  <c r="H796" i="17"/>
  <c r="C797" i="27"/>
  <c r="H796" i="27"/>
  <c r="B847" i="33" l="1"/>
  <c r="A848" i="33"/>
  <c r="B847" i="36"/>
  <c r="A848" i="36"/>
  <c r="B847" i="34"/>
  <c r="A848" i="34"/>
  <c r="B847" i="35"/>
  <c r="A848" i="35"/>
  <c r="C798" i="27"/>
  <c r="H797" i="27"/>
  <c r="A851" i="27"/>
  <c r="B850" i="27"/>
  <c r="D850" i="27" a="1"/>
  <c r="D850" i="27" s="1"/>
  <c r="E850" i="27" s="1"/>
  <c r="I848" i="27"/>
  <c r="C798" i="17"/>
  <c r="H797" i="17"/>
  <c r="C798" i="16"/>
  <c r="H797" i="16"/>
  <c r="A852" i="16"/>
  <c r="B851" i="16"/>
  <c r="D851" i="16" a="1"/>
  <c r="D851" i="16" s="1"/>
  <c r="E851" i="16" s="1"/>
  <c r="G849" i="27"/>
  <c r="F849" i="27"/>
  <c r="C798" i="28"/>
  <c r="H797" i="28"/>
  <c r="I849" i="16"/>
  <c r="F850" i="16"/>
  <c r="G850" i="16"/>
  <c r="B848" i="34" l="1"/>
  <c r="A849" i="34"/>
  <c r="B848" i="36"/>
  <c r="A849" i="36"/>
  <c r="B848" i="35"/>
  <c r="A849" i="35"/>
  <c r="B848" i="33"/>
  <c r="A849" i="33"/>
  <c r="I850" i="16"/>
  <c r="C799" i="28"/>
  <c r="H798" i="28"/>
  <c r="A853" i="16"/>
  <c r="B852" i="16"/>
  <c r="D852" i="16" a="1"/>
  <c r="D852" i="16" s="1"/>
  <c r="E852" i="16" s="1"/>
  <c r="C799" i="17"/>
  <c r="H798" i="17"/>
  <c r="I849" i="27"/>
  <c r="B851" i="27"/>
  <c r="A852" i="27"/>
  <c r="D851" i="27" a="1"/>
  <c r="D851" i="27" s="1"/>
  <c r="E851" i="27" s="1"/>
  <c r="F851" i="16"/>
  <c r="G851" i="16"/>
  <c r="C799" i="16"/>
  <c r="H798" i="16"/>
  <c r="G850" i="27"/>
  <c r="F850" i="27"/>
  <c r="C799" i="27"/>
  <c r="H798" i="27"/>
  <c r="B849" i="34" l="1"/>
  <c r="A850" i="34"/>
  <c r="B849" i="35"/>
  <c r="A850" i="35"/>
  <c r="B849" i="33"/>
  <c r="A850" i="33"/>
  <c r="B849" i="36"/>
  <c r="A850" i="36"/>
  <c r="I851" i="16"/>
  <c r="K87" i="16"/>
  <c r="L92" i="17" s="1"/>
  <c r="C800" i="17"/>
  <c r="H799" i="17"/>
  <c r="F852" i="16"/>
  <c r="G852" i="16"/>
  <c r="C800" i="28"/>
  <c r="H799" i="28"/>
  <c r="I850" i="27"/>
  <c r="F851" i="27"/>
  <c r="G851" i="27"/>
  <c r="C800" i="27"/>
  <c r="H799" i="27"/>
  <c r="C800" i="16"/>
  <c r="H799" i="16"/>
  <c r="A853" i="27"/>
  <c r="B852" i="27"/>
  <c r="D852" i="27" a="1"/>
  <c r="D852" i="27" s="1"/>
  <c r="E852" i="27" s="1"/>
  <c r="A854" i="16"/>
  <c r="B853" i="16"/>
  <c r="D853" i="16" a="1"/>
  <c r="D853" i="16" s="1"/>
  <c r="E853" i="16" s="1"/>
  <c r="B850" i="33" l="1"/>
  <c r="A851" i="33"/>
  <c r="B850" i="36"/>
  <c r="A851" i="36"/>
  <c r="B850" i="34"/>
  <c r="A851" i="34"/>
  <c r="B850" i="35"/>
  <c r="A851" i="35"/>
  <c r="G852" i="27"/>
  <c r="F852" i="27"/>
  <c r="C801" i="16"/>
  <c r="H800" i="16"/>
  <c r="C801" i="28"/>
  <c r="H800" i="28"/>
  <c r="C801" i="17"/>
  <c r="H800" i="17"/>
  <c r="F853" i="16"/>
  <c r="G853" i="16"/>
  <c r="I852" i="16"/>
  <c r="B853" i="27"/>
  <c r="A854" i="27"/>
  <c r="D853" i="27" a="1"/>
  <c r="D853" i="27" s="1"/>
  <c r="E853" i="27" s="1"/>
  <c r="C801" i="27"/>
  <c r="H800" i="27"/>
  <c r="A855" i="16"/>
  <c r="B854" i="16"/>
  <c r="D854" i="16" a="1"/>
  <c r="D854" i="16" s="1"/>
  <c r="E854" i="16" s="1"/>
  <c r="I851" i="27"/>
  <c r="K87" i="27"/>
  <c r="N92" i="17" s="1"/>
  <c r="E97" i="9" s="1"/>
  <c r="F97" i="9" s="1"/>
  <c r="O92" i="17" l="1"/>
  <c r="B851" i="35"/>
  <c r="A852" i="35"/>
  <c r="B851" i="34"/>
  <c r="A852" i="34"/>
  <c r="B851" i="36"/>
  <c r="A852" i="36"/>
  <c r="B851" i="33"/>
  <c r="A852" i="33"/>
  <c r="D97" i="9"/>
  <c r="G853" i="27"/>
  <c r="F853" i="27"/>
  <c r="A856" i="16"/>
  <c r="B855" i="16"/>
  <c r="D855" i="16" a="1"/>
  <c r="D855" i="16" s="1"/>
  <c r="E855" i="16" s="1"/>
  <c r="A855" i="27"/>
  <c r="B854" i="27"/>
  <c r="D854" i="27" a="1"/>
  <c r="D854" i="27" s="1"/>
  <c r="E854" i="27" s="1"/>
  <c r="C802" i="17"/>
  <c r="H801" i="17"/>
  <c r="C802" i="16"/>
  <c r="H801" i="16"/>
  <c r="I853" i="16"/>
  <c r="G854" i="16"/>
  <c r="F854" i="16"/>
  <c r="C802" i="27"/>
  <c r="H801" i="27"/>
  <c r="C802" i="28"/>
  <c r="H801" i="28"/>
  <c r="I852" i="27"/>
  <c r="B852" i="33" l="1"/>
  <c r="A853" i="33"/>
  <c r="B852" i="36"/>
  <c r="A853" i="36"/>
  <c r="B852" i="35"/>
  <c r="A853" i="35"/>
  <c r="B852" i="34"/>
  <c r="A853" i="34"/>
  <c r="F855" i="16"/>
  <c r="G855" i="16"/>
  <c r="I853" i="27"/>
  <c r="F854" i="27"/>
  <c r="G854" i="27"/>
  <c r="C803" i="17"/>
  <c r="H802" i="17"/>
  <c r="I854" i="16"/>
  <c r="A857" i="16"/>
  <c r="B856" i="16"/>
  <c r="D856" i="16" a="1"/>
  <c r="D856" i="16" s="1"/>
  <c r="E856" i="16" s="1"/>
  <c r="C803" i="27"/>
  <c r="H802" i="27"/>
  <c r="C803" i="28"/>
  <c r="H802" i="28"/>
  <c r="C803" i="16"/>
  <c r="H802" i="16"/>
  <c r="B855" i="27"/>
  <c r="A856" i="27"/>
  <c r="D855" i="27" a="1"/>
  <c r="D855" i="27" s="1"/>
  <c r="E855" i="27" s="1"/>
  <c r="B853" i="36" l="1"/>
  <c r="A854" i="36"/>
  <c r="B853" i="34"/>
  <c r="A854" i="34"/>
  <c r="B853" i="35"/>
  <c r="A854" i="35"/>
  <c r="B853" i="33"/>
  <c r="A854" i="33"/>
  <c r="C804" i="28"/>
  <c r="H803" i="28"/>
  <c r="A857" i="27"/>
  <c r="B856" i="27"/>
  <c r="D856" i="27" a="1"/>
  <c r="D856" i="27" s="1"/>
  <c r="E856" i="27" s="1"/>
  <c r="A858" i="16"/>
  <c r="B857" i="16"/>
  <c r="D857" i="16" a="1"/>
  <c r="D857" i="16" s="1"/>
  <c r="E857" i="16" s="1"/>
  <c r="C804" i="17"/>
  <c r="H803" i="17"/>
  <c r="G855" i="27"/>
  <c r="F855" i="27"/>
  <c r="C804" i="16"/>
  <c r="H803" i="16"/>
  <c r="C804" i="27"/>
  <c r="H803" i="27"/>
  <c r="I854" i="27"/>
  <c r="I855" i="16"/>
  <c r="G856" i="16"/>
  <c r="F856" i="16"/>
  <c r="B854" i="36" l="1"/>
  <c r="A855" i="36"/>
  <c r="B854" i="34"/>
  <c r="A855" i="34"/>
  <c r="B854" i="35"/>
  <c r="A855" i="35"/>
  <c r="B854" i="33"/>
  <c r="A855" i="33"/>
  <c r="F857" i="16"/>
  <c r="G857" i="16"/>
  <c r="I856" i="16"/>
  <c r="C805" i="17"/>
  <c r="H804" i="17"/>
  <c r="B857" i="27"/>
  <c r="A858" i="27"/>
  <c r="D857" i="27" a="1"/>
  <c r="D857" i="27" s="1"/>
  <c r="E857" i="27" s="1"/>
  <c r="C805" i="16"/>
  <c r="H804" i="16"/>
  <c r="C805" i="27"/>
  <c r="H804" i="27"/>
  <c r="I855" i="27"/>
  <c r="A859" i="16"/>
  <c r="B858" i="16"/>
  <c r="D858" i="16" a="1"/>
  <c r="D858" i="16" s="1"/>
  <c r="E858" i="16" s="1"/>
  <c r="G856" i="27"/>
  <c r="F856" i="27"/>
  <c r="C805" i="28"/>
  <c r="H804" i="28"/>
  <c r="B855" i="35" l="1"/>
  <c r="A856" i="35"/>
  <c r="B855" i="33"/>
  <c r="A856" i="33"/>
  <c r="B855" i="34"/>
  <c r="A856" i="34"/>
  <c r="B855" i="36"/>
  <c r="A856" i="36"/>
  <c r="F857" i="27"/>
  <c r="G857" i="27"/>
  <c r="A860" i="16"/>
  <c r="B859" i="16"/>
  <c r="D859" i="16" a="1"/>
  <c r="D859" i="16" s="1"/>
  <c r="E859" i="16" s="1"/>
  <c r="C806" i="27"/>
  <c r="H805" i="27"/>
  <c r="A859" i="27"/>
  <c r="B858" i="27"/>
  <c r="D858" i="27" a="1"/>
  <c r="D858" i="27" s="1"/>
  <c r="E858" i="27" s="1"/>
  <c r="I856" i="27"/>
  <c r="F858" i="16"/>
  <c r="G858" i="16"/>
  <c r="C806" i="16"/>
  <c r="H805" i="16"/>
  <c r="I857" i="16"/>
  <c r="C806" i="28"/>
  <c r="H805" i="28"/>
  <c r="C806" i="17"/>
  <c r="H805" i="17"/>
  <c r="B856" i="34" l="1"/>
  <c r="A857" i="34"/>
  <c r="B856" i="36"/>
  <c r="A857" i="36"/>
  <c r="B856" i="33"/>
  <c r="A857" i="33"/>
  <c r="B856" i="35"/>
  <c r="A857" i="35"/>
  <c r="I858" i="16"/>
  <c r="C807" i="17"/>
  <c r="H806" i="17"/>
  <c r="B859" i="27"/>
  <c r="A860" i="27"/>
  <c r="D859" i="27" a="1"/>
  <c r="D859" i="27" s="1"/>
  <c r="E859" i="27" s="1"/>
  <c r="C807" i="28"/>
  <c r="H806" i="28"/>
  <c r="C807" i="16"/>
  <c r="H806" i="16"/>
  <c r="A861" i="16"/>
  <c r="B860" i="16"/>
  <c r="D860" i="16" a="1"/>
  <c r="D860" i="16" s="1"/>
  <c r="E860" i="16" s="1"/>
  <c r="F858" i="27"/>
  <c r="G858" i="27"/>
  <c r="C807" i="27"/>
  <c r="H806" i="27"/>
  <c r="I857" i="27"/>
  <c r="F859" i="16"/>
  <c r="G859" i="16"/>
  <c r="B857" i="36" l="1"/>
  <c r="A858" i="36"/>
  <c r="B857" i="34"/>
  <c r="A858" i="34"/>
  <c r="B857" i="33"/>
  <c r="A858" i="33"/>
  <c r="B857" i="35"/>
  <c r="A858" i="35"/>
  <c r="I859" i="16"/>
  <c r="C808" i="27"/>
  <c r="H807" i="27"/>
  <c r="I858" i="27"/>
  <c r="A862" i="16"/>
  <c r="B861" i="16"/>
  <c r="D861" i="16" a="1"/>
  <c r="D861" i="16" s="1"/>
  <c r="E861" i="16" s="1"/>
  <c r="C808" i="28"/>
  <c r="H807" i="28"/>
  <c r="F859" i="27"/>
  <c r="G859" i="27"/>
  <c r="C808" i="17"/>
  <c r="H807" i="17"/>
  <c r="G860" i="16"/>
  <c r="F860" i="16"/>
  <c r="C808" i="16"/>
  <c r="H807" i="16"/>
  <c r="A861" i="27"/>
  <c r="B860" i="27"/>
  <c r="D860" i="27" a="1"/>
  <c r="D860" i="27" s="1"/>
  <c r="E860" i="27" s="1"/>
  <c r="B858" i="36" l="1"/>
  <c r="A859" i="36"/>
  <c r="B858" i="34"/>
  <c r="A859" i="34"/>
  <c r="B858" i="35"/>
  <c r="A859" i="35"/>
  <c r="B858" i="33"/>
  <c r="A859" i="33"/>
  <c r="I860" i="16"/>
  <c r="I859" i="27"/>
  <c r="B861" i="27"/>
  <c r="A862" i="27"/>
  <c r="D861" i="27" a="1"/>
  <c r="D861" i="27" s="1"/>
  <c r="E861" i="27" s="1"/>
  <c r="A863" i="16"/>
  <c r="B862" i="16"/>
  <c r="D862" i="16" a="1"/>
  <c r="D862" i="16" s="1"/>
  <c r="E862" i="16" s="1"/>
  <c r="C809" i="27"/>
  <c r="H808" i="27"/>
  <c r="F860" i="27"/>
  <c r="G860" i="27"/>
  <c r="C809" i="16"/>
  <c r="H808" i="16"/>
  <c r="C809" i="17"/>
  <c r="H808" i="17"/>
  <c r="C809" i="28"/>
  <c r="H808" i="28"/>
  <c r="G861" i="16"/>
  <c r="F861" i="16"/>
  <c r="B859" i="33" l="1"/>
  <c r="A860" i="33"/>
  <c r="B859" i="35"/>
  <c r="A860" i="35"/>
  <c r="B859" i="34"/>
  <c r="A860" i="34"/>
  <c r="B859" i="36"/>
  <c r="A860" i="36"/>
  <c r="C810" i="16"/>
  <c r="H809" i="16"/>
  <c r="I860" i="27"/>
  <c r="A864" i="16"/>
  <c r="B863" i="16"/>
  <c r="D863" i="16" a="1"/>
  <c r="D863" i="16" s="1"/>
  <c r="E863" i="16" s="1"/>
  <c r="G861" i="27"/>
  <c r="F861" i="27"/>
  <c r="F862" i="16"/>
  <c r="G862" i="16"/>
  <c r="A863" i="27"/>
  <c r="B862" i="27"/>
  <c r="D862" i="27" a="1"/>
  <c r="D862" i="27" s="1"/>
  <c r="E862" i="27" s="1"/>
  <c r="C810" i="28"/>
  <c r="H809" i="28"/>
  <c r="C810" i="27"/>
  <c r="H809" i="27"/>
  <c r="I861" i="16"/>
  <c r="K88" i="16"/>
  <c r="L93" i="17" s="1"/>
  <c r="C810" i="17"/>
  <c r="H809" i="17"/>
  <c r="B860" i="33" l="1"/>
  <c r="A861" i="33"/>
  <c r="B860" i="36"/>
  <c r="A861" i="36"/>
  <c r="B860" i="35"/>
  <c r="A861" i="35"/>
  <c r="B860" i="34"/>
  <c r="A861" i="34"/>
  <c r="I862" i="16"/>
  <c r="C811" i="27"/>
  <c r="H810" i="27"/>
  <c r="B863" i="27"/>
  <c r="A864" i="27"/>
  <c r="D863" i="27" a="1"/>
  <c r="D863" i="27" s="1"/>
  <c r="E863" i="27" s="1"/>
  <c r="I861" i="27"/>
  <c r="K88" i="27"/>
  <c r="N93" i="17" s="1"/>
  <c r="E98" i="9" s="1"/>
  <c r="F98" i="9" s="1"/>
  <c r="F863" i="16"/>
  <c r="G863" i="16"/>
  <c r="F862" i="27"/>
  <c r="G862" i="27"/>
  <c r="C811" i="28"/>
  <c r="H810" i="28"/>
  <c r="C811" i="17"/>
  <c r="H810" i="17"/>
  <c r="A865" i="16"/>
  <c r="B864" i="16"/>
  <c r="D864" i="16" a="1"/>
  <c r="D864" i="16" s="1"/>
  <c r="E864" i="16" s="1"/>
  <c r="C811" i="16"/>
  <c r="H810" i="16"/>
  <c r="O93" i="17" l="1"/>
  <c r="B861" i="35"/>
  <c r="A862" i="35"/>
  <c r="B861" i="36"/>
  <c r="A862" i="36"/>
  <c r="B861" i="33"/>
  <c r="A862" i="33"/>
  <c r="B861" i="34"/>
  <c r="A862" i="34"/>
  <c r="D98" i="9"/>
  <c r="F863" i="27"/>
  <c r="G863" i="27"/>
  <c r="G864" i="16"/>
  <c r="F864" i="16"/>
  <c r="A866" i="16"/>
  <c r="B865" i="16"/>
  <c r="D865" i="16" a="1"/>
  <c r="D865" i="16" s="1"/>
  <c r="E865" i="16" s="1"/>
  <c r="C812" i="28"/>
  <c r="H811" i="28"/>
  <c r="C812" i="16"/>
  <c r="H811" i="16"/>
  <c r="I862" i="27"/>
  <c r="A865" i="27"/>
  <c r="B864" i="27"/>
  <c r="D864" i="27" a="1"/>
  <c r="D864" i="27" s="1"/>
  <c r="E864" i="27" s="1"/>
  <c r="C812" i="27"/>
  <c r="H811" i="27"/>
  <c r="C812" i="17"/>
  <c r="H811" i="17"/>
  <c r="I863" i="16"/>
  <c r="B862" i="36" l="1"/>
  <c r="A863" i="36"/>
  <c r="B862" i="33"/>
  <c r="A863" i="33"/>
  <c r="B862" i="35"/>
  <c r="A863" i="35"/>
  <c r="B862" i="34"/>
  <c r="A863" i="34"/>
  <c r="B865" i="27"/>
  <c r="A866" i="27"/>
  <c r="D865" i="27" a="1"/>
  <c r="D865" i="27" s="1"/>
  <c r="E865" i="27" s="1"/>
  <c r="C813" i="16"/>
  <c r="H812" i="16"/>
  <c r="C813" i="27"/>
  <c r="H812" i="27"/>
  <c r="A867" i="16"/>
  <c r="B866" i="16"/>
  <c r="D866" i="16" a="1"/>
  <c r="D866" i="16" s="1"/>
  <c r="E866" i="16" s="1"/>
  <c r="G864" i="27"/>
  <c r="F864" i="27"/>
  <c r="C813" i="28"/>
  <c r="H812" i="28"/>
  <c r="F865" i="16"/>
  <c r="G865" i="16"/>
  <c r="I864" i="16"/>
  <c r="C813" i="17"/>
  <c r="H812" i="17"/>
  <c r="I863" i="27"/>
  <c r="B863" i="35" l="1"/>
  <c r="A864" i="35"/>
  <c r="B863" i="36"/>
  <c r="A864" i="36"/>
  <c r="B863" i="34"/>
  <c r="A864" i="34"/>
  <c r="B863" i="33"/>
  <c r="A864" i="33"/>
  <c r="I864" i="27"/>
  <c r="C814" i="17"/>
  <c r="H813" i="17"/>
  <c r="C814" i="28"/>
  <c r="H813" i="28"/>
  <c r="B867" i="16"/>
  <c r="A868" i="16"/>
  <c r="D867" i="16" a="1"/>
  <c r="D867" i="16" s="1"/>
  <c r="E867" i="16" s="1"/>
  <c r="C814" i="16"/>
  <c r="H813" i="16"/>
  <c r="G865" i="27"/>
  <c r="F865" i="27"/>
  <c r="F866" i="16"/>
  <c r="G866" i="16"/>
  <c r="C814" i="27"/>
  <c r="H813" i="27"/>
  <c r="A867" i="27"/>
  <c r="B866" i="27"/>
  <c r="D866" i="27" a="1"/>
  <c r="D866" i="27" s="1"/>
  <c r="E866" i="27" s="1"/>
  <c r="I865" i="16"/>
  <c r="B864" i="34" l="1"/>
  <c r="A865" i="34"/>
  <c r="B864" i="36"/>
  <c r="A865" i="36"/>
  <c r="B864" i="33"/>
  <c r="A865" i="33"/>
  <c r="B864" i="35"/>
  <c r="A865" i="35"/>
  <c r="G866" i="27"/>
  <c r="F866" i="27"/>
  <c r="C815" i="27"/>
  <c r="H814" i="27"/>
  <c r="I865" i="27"/>
  <c r="A869" i="16"/>
  <c r="B868" i="16"/>
  <c r="D868" i="16" a="1"/>
  <c r="D868" i="16" s="1"/>
  <c r="E868" i="16" s="1"/>
  <c r="C815" i="17"/>
  <c r="H814" i="17"/>
  <c r="I866" i="16"/>
  <c r="A868" i="27"/>
  <c r="B867" i="27"/>
  <c r="D867" i="27" a="1"/>
  <c r="D867" i="27" s="1"/>
  <c r="E867" i="27" s="1"/>
  <c r="C815" i="16"/>
  <c r="H814" i="16"/>
  <c r="F867" i="16"/>
  <c r="G867" i="16"/>
  <c r="C815" i="28"/>
  <c r="H814" i="28"/>
  <c r="B865" i="35" l="1"/>
  <c r="A866" i="35"/>
  <c r="B865" i="34"/>
  <c r="A866" i="34"/>
  <c r="B865" i="36"/>
  <c r="A866" i="36"/>
  <c r="B865" i="33"/>
  <c r="A866" i="33"/>
  <c r="F867" i="27"/>
  <c r="G867" i="27"/>
  <c r="C816" i="28"/>
  <c r="H815" i="28"/>
  <c r="I867" i="16"/>
  <c r="A870" i="16"/>
  <c r="B869" i="16"/>
  <c r="D869" i="16" a="1"/>
  <c r="D869" i="16" s="1"/>
  <c r="E869" i="16" s="1"/>
  <c r="C816" i="27"/>
  <c r="H815" i="27"/>
  <c r="C816" i="16"/>
  <c r="H815" i="16"/>
  <c r="A869" i="27"/>
  <c r="B868" i="27"/>
  <c r="D868" i="27" a="1"/>
  <c r="D868" i="27" s="1"/>
  <c r="E868" i="27" s="1"/>
  <c r="C816" i="17"/>
  <c r="H815" i="17"/>
  <c r="F868" i="16"/>
  <c r="G868" i="16"/>
  <c r="I866" i="27"/>
  <c r="B866" i="35" l="1"/>
  <c r="A867" i="35"/>
  <c r="B866" i="36"/>
  <c r="A867" i="36"/>
  <c r="B866" i="33"/>
  <c r="A867" i="33"/>
  <c r="B866" i="34"/>
  <c r="A867" i="34"/>
  <c r="G868" i="27"/>
  <c r="F868" i="27"/>
  <c r="C817" i="16"/>
  <c r="H816" i="16"/>
  <c r="A871" i="16"/>
  <c r="B870" i="16"/>
  <c r="D870" i="16" a="1"/>
  <c r="D870" i="16" s="1"/>
  <c r="E870" i="16" s="1"/>
  <c r="C817" i="28"/>
  <c r="H816" i="28"/>
  <c r="C817" i="17"/>
  <c r="H816" i="17"/>
  <c r="I868" i="16"/>
  <c r="A870" i="27"/>
  <c r="B869" i="27"/>
  <c r="D869" i="27" a="1"/>
  <c r="D869" i="27" s="1"/>
  <c r="E869" i="27" s="1"/>
  <c r="C817" i="27"/>
  <c r="H816" i="27"/>
  <c r="I867" i="27"/>
  <c r="G869" i="16"/>
  <c r="F869" i="16"/>
  <c r="B867" i="33" l="1"/>
  <c r="A868" i="33"/>
  <c r="B867" i="34"/>
  <c r="A868" i="34"/>
  <c r="B867" i="36"/>
  <c r="A868" i="36"/>
  <c r="B867" i="35"/>
  <c r="A868" i="35"/>
  <c r="G869" i="27"/>
  <c r="F869" i="27"/>
  <c r="C818" i="28"/>
  <c r="H817" i="28"/>
  <c r="F870" i="16"/>
  <c r="G870" i="16"/>
  <c r="C818" i="16"/>
  <c r="H817" i="16"/>
  <c r="A871" i="27"/>
  <c r="B870" i="27"/>
  <c r="D870" i="27" a="1"/>
  <c r="D870" i="27" s="1"/>
  <c r="E870" i="27" s="1"/>
  <c r="C818" i="17"/>
  <c r="H817" i="17"/>
  <c r="I869" i="16"/>
  <c r="C818" i="27"/>
  <c r="H817" i="27"/>
  <c r="A872" i="16"/>
  <c r="B871" i="16"/>
  <c r="D871" i="16" a="1"/>
  <c r="D871" i="16" s="1"/>
  <c r="E871" i="16" s="1"/>
  <c r="I868" i="27"/>
  <c r="B868" i="36" l="1"/>
  <c r="A869" i="36"/>
  <c r="B868" i="34"/>
  <c r="A869" i="34"/>
  <c r="B868" i="33"/>
  <c r="A869" i="33"/>
  <c r="B868" i="35"/>
  <c r="A869" i="35"/>
  <c r="F871" i="16"/>
  <c r="G871" i="16"/>
  <c r="C819" i="27"/>
  <c r="H818" i="27"/>
  <c r="C819" i="17"/>
  <c r="H818" i="17"/>
  <c r="F870" i="27"/>
  <c r="G870" i="27"/>
  <c r="C819" i="16"/>
  <c r="H818" i="16"/>
  <c r="C819" i="28"/>
  <c r="H818" i="28"/>
  <c r="A873" i="16"/>
  <c r="B872" i="16"/>
  <c r="D872" i="16" a="1"/>
  <c r="D872" i="16" s="1"/>
  <c r="E872" i="16" s="1"/>
  <c r="I870" i="16"/>
  <c r="A872" i="27"/>
  <c r="B871" i="27"/>
  <c r="D871" i="27" a="1"/>
  <c r="D871" i="27" s="1"/>
  <c r="E871" i="27" s="1"/>
  <c r="I869" i="27"/>
  <c r="B869" i="33" l="1"/>
  <c r="A870" i="33"/>
  <c r="B869" i="35"/>
  <c r="A870" i="35"/>
  <c r="B869" i="36"/>
  <c r="A870" i="36"/>
  <c r="B869" i="34"/>
  <c r="A870" i="34"/>
  <c r="G871" i="27"/>
  <c r="F871" i="27"/>
  <c r="I870" i="27"/>
  <c r="F872" i="16"/>
  <c r="G872" i="16"/>
  <c r="C820" i="28"/>
  <c r="H819" i="28"/>
  <c r="C820" i="27"/>
  <c r="H819" i="27"/>
  <c r="K89" i="16"/>
  <c r="L94" i="17" s="1"/>
  <c r="I871" i="16"/>
  <c r="A873" i="27"/>
  <c r="B872" i="27"/>
  <c r="D872" i="27" a="1"/>
  <c r="D872" i="27" s="1"/>
  <c r="E872" i="27" s="1"/>
  <c r="A874" i="16"/>
  <c r="B873" i="16"/>
  <c r="D873" i="16" a="1"/>
  <c r="D873" i="16" s="1"/>
  <c r="E873" i="16" s="1"/>
  <c r="C820" i="16"/>
  <c r="H819" i="16"/>
  <c r="C820" i="17"/>
  <c r="H819" i="17"/>
  <c r="B870" i="33" l="1"/>
  <c r="A871" i="33"/>
  <c r="B870" i="36"/>
  <c r="A871" i="36"/>
  <c r="B870" i="34"/>
  <c r="A871" i="34"/>
  <c r="B870" i="35"/>
  <c r="A871" i="35"/>
  <c r="G872" i="27"/>
  <c r="F872" i="27"/>
  <c r="C821" i="28"/>
  <c r="H820" i="28"/>
  <c r="C821" i="16"/>
  <c r="H820" i="16"/>
  <c r="B873" i="27"/>
  <c r="A874" i="27"/>
  <c r="D873" i="27" a="1"/>
  <c r="D873" i="27" s="1"/>
  <c r="E873" i="27" s="1"/>
  <c r="I872" i="16"/>
  <c r="F873" i="16"/>
  <c r="G873" i="16"/>
  <c r="C821" i="17"/>
  <c r="H820" i="17"/>
  <c r="A875" i="16"/>
  <c r="B874" i="16"/>
  <c r="D874" i="16" a="1"/>
  <c r="D874" i="16" s="1"/>
  <c r="E874" i="16" s="1"/>
  <c r="C821" i="27"/>
  <c r="H820" i="27"/>
  <c r="K89" i="27"/>
  <c r="N94" i="17" s="1"/>
  <c r="E99" i="9" s="1"/>
  <c r="F99" i="9" s="1"/>
  <c r="I871" i="27"/>
  <c r="O94" i="17" l="1"/>
  <c r="B871" i="34"/>
  <c r="A872" i="34"/>
  <c r="B871" i="36"/>
  <c r="A872" i="36"/>
  <c r="B871" i="35"/>
  <c r="A872" i="35"/>
  <c r="B871" i="33"/>
  <c r="A872" i="33"/>
  <c r="D99" i="9"/>
  <c r="C822" i="27"/>
  <c r="H821" i="27"/>
  <c r="C822" i="28"/>
  <c r="H821" i="28"/>
  <c r="G874" i="16"/>
  <c r="F874" i="16"/>
  <c r="C822" i="17"/>
  <c r="H821" i="17"/>
  <c r="G873" i="27"/>
  <c r="F873" i="27"/>
  <c r="C822" i="16"/>
  <c r="H821" i="16"/>
  <c r="I873" i="16"/>
  <c r="A876" i="16"/>
  <c r="B875" i="16"/>
  <c r="D875" i="16" a="1"/>
  <c r="D875" i="16" s="1"/>
  <c r="E875" i="16" s="1"/>
  <c r="B874" i="27"/>
  <c r="A875" i="27"/>
  <c r="D874" i="27" a="1"/>
  <c r="D874" i="27" s="1"/>
  <c r="E874" i="27" s="1"/>
  <c r="I872" i="27"/>
  <c r="B872" i="34" l="1"/>
  <c r="A873" i="34"/>
  <c r="B872" i="33"/>
  <c r="A873" i="33"/>
  <c r="B872" i="36"/>
  <c r="A873" i="36"/>
  <c r="B872" i="35"/>
  <c r="A873" i="35"/>
  <c r="F875" i="16"/>
  <c r="G875" i="16"/>
  <c r="I873" i="27"/>
  <c r="I874" i="16"/>
  <c r="C823" i="27"/>
  <c r="H822" i="27"/>
  <c r="F874" i="27"/>
  <c r="G874" i="27"/>
  <c r="A876" i="27"/>
  <c r="B875" i="27"/>
  <c r="D875" i="27" a="1"/>
  <c r="D875" i="27" s="1"/>
  <c r="E875" i="27" s="1"/>
  <c r="A877" i="16"/>
  <c r="B876" i="16"/>
  <c r="D876" i="16" a="1"/>
  <c r="D876" i="16" s="1"/>
  <c r="E876" i="16" s="1"/>
  <c r="C823" i="16"/>
  <c r="H822" i="16"/>
  <c r="C823" i="17"/>
  <c r="H822" i="17"/>
  <c r="C823" i="28"/>
  <c r="H822" i="28"/>
  <c r="B873" i="35" l="1"/>
  <c r="A874" i="35"/>
  <c r="B873" i="36"/>
  <c r="A874" i="36"/>
  <c r="B873" i="34"/>
  <c r="A874" i="34"/>
  <c r="B873" i="33"/>
  <c r="A874" i="33"/>
  <c r="F876" i="16"/>
  <c r="G876" i="16"/>
  <c r="C824" i="17"/>
  <c r="H823" i="17"/>
  <c r="A878" i="16"/>
  <c r="B877" i="16"/>
  <c r="D877" i="16" a="1"/>
  <c r="D877" i="16" s="1"/>
  <c r="E877" i="16" s="1"/>
  <c r="G875" i="27"/>
  <c r="F875" i="27"/>
  <c r="C824" i="27"/>
  <c r="H823" i="27"/>
  <c r="C824" i="28"/>
  <c r="H823" i="28"/>
  <c r="I874" i="27"/>
  <c r="I875" i="16"/>
  <c r="C824" i="16"/>
  <c r="H823" i="16"/>
  <c r="A877" i="27"/>
  <c r="B876" i="27"/>
  <c r="D876" i="27" a="1"/>
  <c r="D876" i="27" s="1"/>
  <c r="E876" i="27" s="1"/>
  <c r="B874" i="35" l="1"/>
  <c r="A875" i="35"/>
  <c r="B874" i="33"/>
  <c r="A875" i="33"/>
  <c r="B874" i="34"/>
  <c r="A875" i="34"/>
  <c r="B874" i="36"/>
  <c r="A875" i="36"/>
  <c r="C825" i="16"/>
  <c r="H824" i="16"/>
  <c r="C825" i="27"/>
  <c r="H824" i="27"/>
  <c r="A878" i="27"/>
  <c r="B877" i="27"/>
  <c r="D877" i="27" a="1"/>
  <c r="D877" i="27" s="1"/>
  <c r="E877" i="27" s="1"/>
  <c r="C825" i="28"/>
  <c r="H824" i="28"/>
  <c r="I875" i="27"/>
  <c r="F877" i="16"/>
  <c r="G877" i="16"/>
  <c r="C825" i="17"/>
  <c r="H824" i="17"/>
  <c r="F876" i="27"/>
  <c r="G876" i="27"/>
  <c r="I876" i="16"/>
  <c r="A879" i="16"/>
  <c r="B878" i="16"/>
  <c r="D878" i="16" a="1"/>
  <c r="D878" i="16" s="1"/>
  <c r="E878" i="16" s="1"/>
  <c r="B875" i="34" l="1"/>
  <c r="A876" i="34"/>
  <c r="B875" i="36"/>
  <c r="A876" i="36"/>
  <c r="B875" i="35"/>
  <c r="A876" i="35"/>
  <c r="B875" i="33"/>
  <c r="A876" i="33"/>
  <c r="I877" i="16"/>
  <c r="A880" i="16"/>
  <c r="B879" i="16"/>
  <c r="D879" i="16" a="1"/>
  <c r="D879" i="16" s="1"/>
  <c r="E879" i="16" s="1"/>
  <c r="C826" i="28"/>
  <c r="H825" i="28"/>
  <c r="F877" i="27"/>
  <c r="G877" i="27"/>
  <c r="C826" i="27"/>
  <c r="H825" i="27"/>
  <c r="G878" i="16"/>
  <c r="F878" i="16"/>
  <c r="C826" i="17"/>
  <c r="H825" i="17"/>
  <c r="I876" i="27"/>
  <c r="A879" i="27"/>
  <c r="B878" i="27"/>
  <c r="D878" i="27" a="1"/>
  <c r="D878" i="27" s="1"/>
  <c r="E878" i="27" s="1"/>
  <c r="C826" i="16"/>
  <c r="H825" i="16"/>
  <c r="B876" i="33" l="1"/>
  <c r="A877" i="33"/>
  <c r="B876" i="35"/>
  <c r="A877" i="35"/>
  <c r="B876" i="36"/>
  <c r="A877" i="36"/>
  <c r="B876" i="34"/>
  <c r="A877" i="34"/>
  <c r="F878" i="27"/>
  <c r="G878" i="27"/>
  <c r="I878" i="16"/>
  <c r="B880" i="16"/>
  <c r="A881" i="16"/>
  <c r="D880" i="16" a="1"/>
  <c r="D880" i="16" s="1"/>
  <c r="E880" i="16" s="1"/>
  <c r="C827" i="16"/>
  <c r="H826" i="16"/>
  <c r="I877" i="27"/>
  <c r="A880" i="27"/>
  <c r="B879" i="27"/>
  <c r="D879" i="27" a="1"/>
  <c r="D879" i="27" s="1"/>
  <c r="E879" i="27" s="1"/>
  <c r="C827" i="17"/>
  <c r="H826" i="17"/>
  <c r="C827" i="27"/>
  <c r="H826" i="27"/>
  <c r="C827" i="28"/>
  <c r="H826" i="28"/>
  <c r="F879" i="16"/>
  <c r="G879" i="16"/>
  <c r="B877" i="33" l="1"/>
  <c r="A878" i="33"/>
  <c r="B877" i="34"/>
  <c r="A878" i="34"/>
  <c r="B877" i="35"/>
  <c r="A878" i="35"/>
  <c r="B877" i="36"/>
  <c r="A878" i="36"/>
  <c r="C828" i="17"/>
  <c r="H827" i="17"/>
  <c r="B880" i="27"/>
  <c r="A881" i="27"/>
  <c r="D880" i="27" a="1"/>
  <c r="D880" i="27" s="1"/>
  <c r="E880" i="27" s="1"/>
  <c r="C828" i="16"/>
  <c r="H827" i="16"/>
  <c r="G880" i="16"/>
  <c r="F880" i="16"/>
  <c r="G879" i="27"/>
  <c r="F879" i="27"/>
  <c r="A882" i="16"/>
  <c r="B881" i="16"/>
  <c r="D881" i="16" a="1"/>
  <c r="D881" i="16" s="1"/>
  <c r="E881" i="16" s="1"/>
  <c r="I878" i="27"/>
  <c r="C828" i="28"/>
  <c r="H827" i="28"/>
  <c r="I879" i="16"/>
  <c r="C828" i="27"/>
  <c r="H827" i="27"/>
  <c r="B878" i="35" l="1"/>
  <c r="A879" i="35"/>
  <c r="B878" i="34"/>
  <c r="A879" i="34"/>
  <c r="B878" i="36"/>
  <c r="A879" i="36"/>
  <c r="B878" i="33"/>
  <c r="A879" i="33"/>
  <c r="C829" i="28"/>
  <c r="H828" i="28"/>
  <c r="A883" i="16"/>
  <c r="B882" i="16"/>
  <c r="D882" i="16" a="1"/>
  <c r="D882" i="16" s="1"/>
  <c r="E882" i="16" s="1"/>
  <c r="I880" i="16"/>
  <c r="A882" i="27"/>
  <c r="B881" i="27"/>
  <c r="D881" i="27" a="1"/>
  <c r="D881" i="27" s="1"/>
  <c r="E881" i="27" s="1"/>
  <c r="C829" i="27"/>
  <c r="H828" i="27"/>
  <c r="F881" i="16"/>
  <c r="G881" i="16"/>
  <c r="I879" i="27"/>
  <c r="C829" i="16"/>
  <c r="H828" i="16"/>
  <c r="F880" i="27"/>
  <c r="G880" i="27"/>
  <c r="C829" i="17"/>
  <c r="H828" i="17"/>
  <c r="B879" i="36" l="1"/>
  <c r="A880" i="36"/>
  <c r="B879" i="34"/>
  <c r="A880" i="34"/>
  <c r="B879" i="33"/>
  <c r="A880" i="33"/>
  <c r="B879" i="35"/>
  <c r="A880" i="35"/>
  <c r="C830" i="17"/>
  <c r="H829" i="17"/>
  <c r="I880" i="27"/>
  <c r="B882" i="27"/>
  <c r="A883" i="27"/>
  <c r="D882" i="27" a="1"/>
  <c r="D882" i="27" s="1"/>
  <c r="E882" i="27" s="1"/>
  <c r="K90" i="16"/>
  <c r="L95" i="17" s="1"/>
  <c r="I881" i="16"/>
  <c r="C830" i="16"/>
  <c r="H829" i="16"/>
  <c r="C830" i="27"/>
  <c r="H829" i="27"/>
  <c r="B883" i="16"/>
  <c r="A884" i="16"/>
  <c r="D883" i="16" a="1"/>
  <c r="D883" i="16" s="1"/>
  <c r="E883" i="16" s="1"/>
  <c r="F881" i="27"/>
  <c r="G881" i="27"/>
  <c r="G882" i="16"/>
  <c r="F882" i="16"/>
  <c r="C830" i="28"/>
  <c r="H829" i="28"/>
  <c r="B880" i="36" l="1"/>
  <c r="A881" i="36"/>
  <c r="B880" i="34"/>
  <c r="A881" i="34"/>
  <c r="B880" i="33"/>
  <c r="A881" i="33"/>
  <c r="B880" i="35"/>
  <c r="A881" i="35"/>
  <c r="G883" i="16"/>
  <c r="F883" i="16"/>
  <c r="I882" i="16"/>
  <c r="A885" i="16"/>
  <c r="B884" i="16"/>
  <c r="D884" i="16" a="1"/>
  <c r="D884" i="16" s="1"/>
  <c r="E884" i="16" s="1"/>
  <c r="F882" i="27"/>
  <c r="G882" i="27"/>
  <c r="C831" i="16"/>
  <c r="H830" i="16"/>
  <c r="C831" i="28"/>
  <c r="H830" i="28"/>
  <c r="B883" i="27"/>
  <c r="A884" i="27"/>
  <c r="D883" i="27" a="1"/>
  <c r="D883" i="27" s="1"/>
  <c r="E883" i="27" s="1"/>
  <c r="K90" i="27"/>
  <c r="N95" i="17" s="1"/>
  <c r="E100" i="9" s="1"/>
  <c r="F100" i="9" s="1"/>
  <c r="I881" i="27"/>
  <c r="C831" i="27"/>
  <c r="H830" i="27"/>
  <c r="C831" i="17"/>
  <c r="H830" i="17"/>
  <c r="O95" i="17" l="1"/>
  <c r="B881" i="34"/>
  <c r="A882" i="34"/>
  <c r="B881" i="35"/>
  <c r="A882" i="35"/>
  <c r="B881" i="33"/>
  <c r="A882" i="33"/>
  <c r="B881" i="36"/>
  <c r="A882" i="36"/>
  <c r="D100" i="9"/>
  <c r="C832" i="27"/>
  <c r="H831" i="27"/>
  <c r="A885" i="27"/>
  <c r="B884" i="27"/>
  <c r="D884" i="27" a="1"/>
  <c r="D884" i="27" s="1"/>
  <c r="E884" i="27" s="1"/>
  <c r="F884" i="16"/>
  <c r="G884" i="16"/>
  <c r="C832" i="17"/>
  <c r="H831" i="17"/>
  <c r="C832" i="16"/>
  <c r="H831" i="16"/>
  <c r="I882" i="27"/>
  <c r="G883" i="27"/>
  <c r="F883" i="27"/>
  <c r="C832" i="28"/>
  <c r="H831" i="28"/>
  <c r="B885" i="16"/>
  <c r="A886" i="16"/>
  <c r="D885" i="16" a="1"/>
  <c r="D885" i="16" s="1"/>
  <c r="E885" i="16" s="1"/>
  <c r="I883" i="16"/>
  <c r="B882" i="34" l="1"/>
  <c r="A883" i="34"/>
  <c r="B882" i="35"/>
  <c r="A883" i="35"/>
  <c r="B882" i="33"/>
  <c r="A883" i="33"/>
  <c r="B882" i="36"/>
  <c r="A883" i="36"/>
  <c r="G884" i="27"/>
  <c r="F884" i="27"/>
  <c r="C833" i="27"/>
  <c r="H832" i="27"/>
  <c r="C833" i="28"/>
  <c r="H832" i="28"/>
  <c r="C833" i="17"/>
  <c r="H832" i="17"/>
  <c r="F885" i="16"/>
  <c r="G885" i="16"/>
  <c r="A887" i="16"/>
  <c r="B886" i="16"/>
  <c r="D886" i="16" a="1"/>
  <c r="D886" i="16" s="1"/>
  <c r="E886" i="16" s="1"/>
  <c r="I884" i="16"/>
  <c r="A886" i="27"/>
  <c r="B885" i="27"/>
  <c r="D885" i="27" a="1"/>
  <c r="D885" i="27" s="1"/>
  <c r="E885" i="27" s="1"/>
  <c r="I883" i="27"/>
  <c r="C833" i="16"/>
  <c r="H832" i="16"/>
  <c r="B883" i="34" l="1"/>
  <c r="A884" i="34"/>
  <c r="B883" i="36"/>
  <c r="A884" i="36"/>
  <c r="B883" i="33"/>
  <c r="A884" i="33"/>
  <c r="B883" i="35"/>
  <c r="A884" i="35"/>
  <c r="F885" i="27"/>
  <c r="G885" i="27"/>
  <c r="I885" i="16"/>
  <c r="F886" i="16"/>
  <c r="G886" i="16"/>
  <c r="C834" i="17"/>
  <c r="H833" i="17"/>
  <c r="C834" i="27"/>
  <c r="H833" i="27"/>
  <c r="C834" i="16"/>
  <c r="H833" i="16"/>
  <c r="B886" i="27"/>
  <c r="A887" i="27"/>
  <c r="D886" i="27" a="1"/>
  <c r="D886" i="27" s="1"/>
  <c r="E886" i="27" s="1"/>
  <c r="A888" i="16"/>
  <c r="B887" i="16"/>
  <c r="D887" i="16" a="1"/>
  <c r="D887" i="16" s="1"/>
  <c r="E887" i="16" s="1"/>
  <c r="C834" i="28"/>
  <c r="H833" i="28"/>
  <c r="I884" i="27"/>
  <c r="B884" i="35" l="1"/>
  <c r="A885" i="35"/>
  <c r="B884" i="33"/>
  <c r="A885" i="33"/>
  <c r="B884" i="34"/>
  <c r="A885" i="34"/>
  <c r="B884" i="36"/>
  <c r="A885" i="36"/>
  <c r="A889" i="16"/>
  <c r="B888" i="16"/>
  <c r="D888" i="16" a="1"/>
  <c r="D888" i="16" s="1"/>
  <c r="E888" i="16" s="1"/>
  <c r="F886" i="27"/>
  <c r="G886" i="27"/>
  <c r="C835" i="16"/>
  <c r="H834" i="16"/>
  <c r="C835" i="17"/>
  <c r="H834" i="17"/>
  <c r="G887" i="16"/>
  <c r="F887" i="16"/>
  <c r="A888" i="27"/>
  <c r="B887" i="27"/>
  <c r="D887" i="27" a="1"/>
  <c r="D887" i="27" s="1"/>
  <c r="E887" i="27" s="1"/>
  <c r="I886" i="16"/>
  <c r="I885" i="27"/>
  <c r="C835" i="28"/>
  <c r="H834" i="28"/>
  <c r="C835" i="27"/>
  <c r="H834" i="27"/>
  <c r="B885" i="36" l="1"/>
  <c r="A886" i="36"/>
  <c r="B885" i="33"/>
  <c r="A886" i="33"/>
  <c r="B885" i="34"/>
  <c r="A886" i="34"/>
  <c r="B885" i="35"/>
  <c r="A886" i="35"/>
  <c r="C836" i="28"/>
  <c r="H835" i="28"/>
  <c r="A889" i="27"/>
  <c r="B888" i="27"/>
  <c r="D888" i="27" a="1"/>
  <c r="D888" i="27" s="1"/>
  <c r="E888" i="27" s="1"/>
  <c r="C836" i="17"/>
  <c r="H835" i="17"/>
  <c r="F888" i="16"/>
  <c r="G888" i="16"/>
  <c r="I887" i="16"/>
  <c r="C836" i="16"/>
  <c r="H835" i="16"/>
  <c r="G887" i="27"/>
  <c r="F887" i="27"/>
  <c r="C836" i="27"/>
  <c r="H835" i="27"/>
  <c r="I886" i="27"/>
  <c r="B889" i="16"/>
  <c r="A890" i="16"/>
  <c r="D889" i="16" a="1"/>
  <c r="D889" i="16" s="1"/>
  <c r="E889" i="16" s="1"/>
  <c r="B886" i="34" l="1"/>
  <c r="A887" i="34"/>
  <c r="B886" i="33"/>
  <c r="A887" i="33"/>
  <c r="B886" i="35"/>
  <c r="A887" i="35"/>
  <c r="B886" i="36"/>
  <c r="A887" i="36"/>
  <c r="A891" i="16"/>
  <c r="B890" i="16"/>
  <c r="D890" i="16" a="1"/>
  <c r="D890" i="16" s="1"/>
  <c r="E890" i="16" s="1"/>
  <c r="I888" i="16"/>
  <c r="C837" i="27"/>
  <c r="H836" i="27"/>
  <c r="C837" i="16"/>
  <c r="H836" i="16"/>
  <c r="A890" i="27"/>
  <c r="B889" i="27"/>
  <c r="D889" i="27" a="1"/>
  <c r="D889" i="27" s="1"/>
  <c r="E889" i="27" s="1"/>
  <c r="G889" i="16"/>
  <c r="F889" i="16"/>
  <c r="I887" i="27"/>
  <c r="C837" i="17"/>
  <c r="H836" i="17"/>
  <c r="F888" i="27"/>
  <c r="G888" i="27"/>
  <c r="C837" i="28"/>
  <c r="H836" i="28"/>
  <c r="B887" i="34" l="1"/>
  <c r="A888" i="34"/>
  <c r="B887" i="35"/>
  <c r="A888" i="35"/>
  <c r="B887" i="36"/>
  <c r="A888" i="36"/>
  <c r="B887" i="33"/>
  <c r="A888" i="33"/>
  <c r="G889" i="27"/>
  <c r="F889" i="27"/>
  <c r="C838" i="16"/>
  <c r="H837" i="16"/>
  <c r="F890" i="16"/>
  <c r="G890" i="16"/>
  <c r="A891" i="27"/>
  <c r="B890" i="27"/>
  <c r="D890" i="27" a="1"/>
  <c r="D890" i="27" s="1"/>
  <c r="E890" i="27" s="1"/>
  <c r="C838" i="27"/>
  <c r="H837" i="27"/>
  <c r="I888" i="27"/>
  <c r="C838" i="28"/>
  <c r="H837" i="28"/>
  <c r="C838" i="17"/>
  <c r="H837" i="17"/>
  <c r="I889" i="16"/>
  <c r="A892" i="16"/>
  <c r="B891" i="16"/>
  <c r="D891" i="16" a="1"/>
  <c r="D891" i="16" s="1"/>
  <c r="E891" i="16" s="1"/>
  <c r="B888" i="36" l="1"/>
  <c r="A889" i="36"/>
  <c r="B888" i="35"/>
  <c r="A889" i="35"/>
  <c r="B888" i="33"/>
  <c r="A889" i="33"/>
  <c r="B888" i="34"/>
  <c r="A889" i="34"/>
  <c r="A893" i="16"/>
  <c r="B892" i="16"/>
  <c r="D892" i="16" a="1"/>
  <c r="D892" i="16" s="1"/>
  <c r="E892" i="16" s="1"/>
  <c r="C839" i="17"/>
  <c r="H838" i="17"/>
  <c r="B891" i="27"/>
  <c r="A892" i="27"/>
  <c r="D891" i="27" a="1"/>
  <c r="D891" i="27" s="1"/>
  <c r="E891" i="27" s="1"/>
  <c r="C839" i="16"/>
  <c r="H838" i="16"/>
  <c r="F891" i="16"/>
  <c r="G891" i="16"/>
  <c r="C839" i="28"/>
  <c r="H838" i="28"/>
  <c r="C839" i="27"/>
  <c r="H838" i="27"/>
  <c r="I890" i="16"/>
  <c r="F890" i="27"/>
  <c r="G890" i="27"/>
  <c r="I889" i="27"/>
  <c r="B889" i="35" l="1"/>
  <c r="A890" i="35"/>
  <c r="B889" i="36"/>
  <c r="A890" i="36"/>
  <c r="B889" i="33"/>
  <c r="A890" i="33"/>
  <c r="B889" i="34"/>
  <c r="A890" i="34"/>
  <c r="F891" i="27"/>
  <c r="G891" i="27"/>
  <c r="C840" i="17"/>
  <c r="H839" i="17"/>
  <c r="F892" i="16"/>
  <c r="G892" i="16"/>
  <c r="I891" i="16"/>
  <c r="K91" i="16"/>
  <c r="L96" i="17" s="1"/>
  <c r="C840" i="27"/>
  <c r="H839" i="27"/>
  <c r="A893" i="27"/>
  <c r="B892" i="27"/>
  <c r="D892" i="27" a="1"/>
  <c r="D892" i="27" s="1"/>
  <c r="E892" i="27" s="1"/>
  <c r="I890" i="27"/>
  <c r="C840" i="28"/>
  <c r="H839" i="28"/>
  <c r="C840" i="16"/>
  <c r="H839" i="16"/>
  <c r="B893" i="16"/>
  <c r="A894" i="16"/>
  <c r="D893" i="16" a="1"/>
  <c r="D893" i="16" s="1"/>
  <c r="E893" i="16" s="1"/>
  <c r="B890" i="34" l="1"/>
  <c r="A891" i="34"/>
  <c r="B890" i="35"/>
  <c r="A891" i="35"/>
  <c r="B890" i="33"/>
  <c r="A891" i="33"/>
  <c r="B890" i="36"/>
  <c r="A891" i="36"/>
  <c r="A895" i="16"/>
  <c r="B894" i="16"/>
  <c r="D894" i="16" a="1"/>
  <c r="D894" i="16" s="1"/>
  <c r="E894" i="16" s="1"/>
  <c r="A894" i="27"/>
  <c r="B893" i="27"/>
  <c r="D893" i="27" a="1"/>
  <c r="D893" i="27" s="1"/>
  <c r="E893" i="27" s="1"/>
  <c r="G893" i="16"/>
  <c r="F893" i="16"/>
  <c r="C841" i="16"/>
  <c r="H840" i="16"/>
  <c r="C841" i="17"/>
  <c r="H840" i="17"/>
  <c r="F892" i="27"/>
  <c r="G892" i="27"/>
  <c r="C841" i="27"/>
  <c r="H840" i="27"/>
  <c r="I892" i="16"/>
  <c r="K91" i="27"/>
  <c r="N96" i="17" s="1"/>
  <c r="E101" i="9" s="1"/>
  <c r="F101" i="9" s="1"/>
  <c r="I891" i="27"/>
  <c r="C841" i="28"/>
  <c r="H840" i="28"/>
  <c r="O96" i="17" l="1"/>
  <c r="B891" i="33"/>
  <c r="A892" i="33"/>
  <c r="B891" i="34"/>
  <c r="A892" i="34"/>
  <c r="B891" i="36"/>
  <c r="A892" i="36"/>
  <c r="B891" i="35"/>
  <c r="A892" i="35"/>
  <c r="D101" i="9"/>
  <c r="C842" i="17"/>
  <c r="H841" i="17"/>
  <c r="C842" i="28"/>
  <c r="H841" i="28"/>
  <c r="C842" i="16"/>
  <c r="H841" i="16"/>
  <c r="A895" i="27"/>
  <c r="B894" i="27"/>
  <c r="D894" i="27" a="1"/>
  <c r="D894" i="27" s="1"/>
  <c r="E894" i="27" s="1"/>
  <c r="G894" i="16"/>
  <c r="F894" i="16"/>
  <c r="F893" i="27"/>
  <c r="G893" i="27"/>
  <c r="C842" i="27"/>
  <c r="H841" i="27"/>
  <c r="I893" i="16"/>
  <c r="I892" i="27"/>
  <c r="B895" i="16"/>
  <c r="A896" i="16"/>
  <c r="D895" i="16" a="1"/>
  <c r="D895" i="16" s="1"/>
  <c r="E895" i="16" s="1"/>
  <c r="B892" i="33" l="1"/>
  <c r="A893" i="33"/>
  <c r="B892" i="35"/>
  <c r="A893" i="35"/>
  <c r="B892" i="36"/>
  <c r="A893" i="36"/>
  <c r="B892" i="34"/>
  <c r="A893" i="34"/>
  <c r="G894" i="27"/>
  <c r="F894" i="27"/>
  <c r="C843" i="16"/>
  <c r="H842" i="16"/>
  <c r="C843" i="17"/>
  <c r="H842" i="17"/>
  <c r="I893" i="27"/>
  <c r="A897" i="16"/>
  <c r="B896" i="16"/>
  <c r="D896" i="16" a="1"/>
  <c r="D896" i="16" s="1"/>
  <c r="E896" i="16" s="1"/>
  <c r="A896" i="27"/>
  <c r="B895" i="27"/>
  <c r="D895" i="27" a="1"/>
  <c r="D895" i="27" s="1"/>
  <c r="E895" i="27" s="1"/>
  <c r="C843" i="28"/>
  <c r="H842" i="28"/>
  <c r="F895" i="16"/>
  <c r="G895" i="16"/>
  <c r="C843" i="27"/>
  <c r="H842" i="27"/>
  <c r="I894" i="16"/>
  <c r="B893" i="33" l="1"/>
  <c r="A894" i="33"/>
  <c r="B893" i="35"/>
  <c r="A894" i="35"/>
  <c r="B893" i="34"/>
  <c r="A894" i="34"/>
  <c r="B893" i="36"/>
  <c r="A894" i="36"/>
  <c r="F895" i="27"/>
  <c r="G895" i="27"/>
  <c r="A897" i="27"/>
  <c r="B896" i="27"/>
  <c r="D896" i="27" a="1"/>
  <c r="D896" i="27" s="1"/>
  <c r="E896" i="27" s="1"/>
  <c r="G896" i="16"/>
  <c r="F896" i="16"/>
  <c r="C844" i="16"/>
  <c r="H843" i="16"/>
  <c r="C844" i="27"/>
  <c r="H843" i="27"/>
  <c r="I895" i="16"/>
  <c r="C844" i="28"/>
  <c r="H843" i="28"/>
  <c r="B897" i="16"/>
  <c r="A898" i="16"/>
  <c r="D897" i="16" a="1"/>
  <c r="D897" i="16" s="1"/>
  <c r="E897" i="16" s="1"/>
  <c r="C844" i="17"/>
  <c r="H843" i="17"/>
  <c r="I894" i="27"/>
  <c r="B894" i="34" l="1"/>
  <c r="A895" i="34"/>
  <c r="B894" i="36"/>
  <c r="A895" i="36"/>
  <c r="B894" i="35"/>
  <c r="A895" i="35"/>
  <c r="B894" i="33"/>
  <c r="A895" i="33"/>
  <c r="C845" i="16"/>
  <c r="H844" i="16"/>
  <c r="A899" i="16"/>
  <c r="B898" i="16"/>
  <c r="D898" i="16" a="1"/>
  <c r="D898" i="16" s="1"/>
  <c r="E898" i="16" s="1"/>
  <c r="C845" i="17"/>
  <c r="H844" i="17"/>
  <c r="A898" i="27"/>
  <c r="B897" i="27"/>
  <c r="D897" i="27" a="1"/>
  <c r="D897" i="27" s="1"/>
  <c r="E897" i="27" s="1"/>
  <c r="F897" i="16"/>
  <c r="G897" i="16"/>
  <c r="C845" i="28"/>
  <c r="H844" i="28"/>
  <c r="C845" i="27"/>
  <c r="H844" i="27"/>
  <c r="I896" i="16"/>
  <c r="I895" i="27"/>
  <c r="F896" i="27"/>
  <c r="G896" i="27"/>
  <c r="B895" i="35" l="1"/>
  <c r="A896" i="35"/>
  <c r="B895" i="36"/>
  <c r="A896" i="36"/>
  <c r="B895" i="33"/>
  <c r="A896" i="33"/>
  <c r="B895" i="34"/>
  <c r="A896" i="34"/>
  <c r="I896" i="27"/>
  <c r="C846" i="28"/>
  <c r="H845" i="28"/>
  <c r="I897" i="16"/>
  <c r="A899" i="27"/>
  <c r="B898" i="27"/>
  <c r="D898" i="27" a="1"/>
  <c r="D898" i="27" s="1"/>
  <c r="E898" i="27" s="1"/>
  <c r="C846" i="27"/>
  <c r="H845" i="27"/>
  <c r="B899" i="16"/>
  <c r="A900" i="16"/>
  <c r="D899" i="16" a="1"/>
  <c r="D899" i="16" s="1"/>
  <c r="E899" i="16" s="1"/>
  <c r="F897" i="27"/>
  <c r="G897" i="27"/>
  <c r="C846" i="17"/>
  <c r="H845" i="17"/>
  <c r="G898" i="16"/>
  <c r="F898" i="16"/>
  <c r="C846" i="16"/>
  <c r="H845" i="16"/>
  <c r="B896" i="35" l="1"/>
  <c r="A897" i="35"/>
  <c r="B896" i="33"/>
  <c r="A897" i="33"/>
  <c r="B896" i="36"/>
  <c r="A897" i="36"/>
  <c r="B896" i="34"/>
  <c r="A897" i="34"/>
  <c r="C847" i="17"/>
  <c r="H846" i="17"/>
  <c r="C847" i="16"/>
  <c r="H846" i="16"/>
  <c r="A901" i="16"/>
  <c r="B900" i="16"/>
  <c r="D900" i="16" a="1"/>
  <c r="D900" i="16" s="1"/>
  <c r="E900" i="16" s="1"/>
  <c r="I897" i="27"/>
  <c r="I898" i="16"/>
  <c r="A900" i="27"/>
  <c r="B899" i="27"/>
  <c r="D899" i="27" a="1"/>
  <c r="D899" i="27" s="1"/>
  <c r="E899" i="27" s="1"/>
  <c r="C847" i="28"/>
  <c r="H846" i="28"/>
  <c r="F899" i="16"/>
  <c r="G899" i="16"/>
  <c r="C847" i="27"/>
  <c r="H846" i="27"/>
  <c r="G898" i="27"/>
  <c r="F898" i="27"/>
  <c r="B897" i="33" l="1"/>
  <c r="A898" i="33"/>
  <c r="B897" i="34"/>
  <c r="A898" i="34"/>
  <c r="B897" i="36"/>
  <c r="A898" i="36"/>
  <c r="B897" i="35"/>
  <c r="A898" i="35"/>
  <c r="G899" i="27"/>
  <c r="F899" i="27"/>
  <c r="I898" i="27"/>
  <c r="A901" i="27"/>
  <c r="B900" i="27"/>
  <c r="D900" i="27" a="1"/>
  <c r="D900" i="27" s="1"/>
  <c r="E900" i="27" s="1"/>
  <c r="G900" i="16"/>
  <c r="F900" i="16"/>
  <c r="C848" i="16"/>
  <c r="H847" i="16"/>
  <c r="C848" i="27"/>
  <c r="H847" i="27"/>
  <c r="C848" i="28"/>
  <c r="H847" i="28"/>
  <c r="I899" i="16"/>
  <c r="B901" i="16"/>
  <c r="A902" i="16"/>
  <c r="D901" i="16" a="1"/>
  <c r="D901" i="16" s="1"/>
  <c r="E901" i="16" s="1"/>
  <c r="C848" i="17"/>
  <c r="H847" i="17"/>
  <c r="B898" i="35" l="1"/>
  <c r="A899" i="35"/>
  <c r="B898" i="34"/>
  <c r="A899" i="34"/>
  <c r="B898" i="33"/>
  <c r="A899" i="33"/>
  <c r="B898" i="36"/>
  <c r="A899" i="36"/>
  <c r="G901" i="16"/>
  <c r="F901" i="16"/>
  <c r="C849" i="27"/>
  <c r="H848" i="27"/>
  <c r="I900" i="16"/>
  <c r="F900" i="27"/>
  <c r="G900" i="27"/>
  <c r="A903" i="16"/>
  <c r="B902" i="16"/>
  <c r="D902" i="16" a="1"/>
  <c r="D902" i="16" s="1"/>
  <c r="E902" i="16" s="1"/>
  <c r="C849" i="28"/>
  <c r="H848" i="28"/>
  <c r="C849" i="16"/>
  <c r="H848" i="16"/>
  <c r="C849" i="17"/>
  <c r="H848" i="17"/>
  <c r="A902" i="27"/>
  <c r="B901" i="27"/>
  <c r="D901" i="27" a="1"/>
  <c r="D901" i="27" s="1"/>
  <c r="E901" i="27" s="1"/>
  <c r="I899" i="27"/>
  <c r="B899" i="33" l="1"/>
  <c r="A900" i="33"/>
  <c r="B899" i="36"/>
  <c r="A900" i="36"/>
  <c r="B899" i="34"/>
  <c r="A900" i="34"/>
  <c r="B899" i="35"/>
  <c r="A900" i="35"/>
  <c r="F901" i="27"/>
  <c r="G901" i="27"/>
  <c r="C850" i="17"/>
  <c r="H849" i="17"/>
  <c r="C850" i="28"/>
  <c r="H849" i="28"/>
  <c r="I900" i="27"/>
  <c r="F902" i="16"/>
  <c r="G902" i="16"/>
  <c r="C850" i="27"/>
  <c r="H849" i="27"/>
  <c r="A903" i="27"/>
  <c r="B902" i="27"/>
  <c r="D902" i="27" a="1"/>
  <c r="D902" i="27" s="1"/>
  <c r="E902" i="27" s="1"/>
  <c r="C850" i="16"/>
  <c r="H849" i="16"/>
  <c r="B903" i="16"/>
  <c r="A904" i="16"/>
  <c r="D903" i="16" a="1"/>
  <c r="D903" i="16" s="1"/>
  <c r="E903" i="16" s="1"/>
  <c r="I901" i="16"/>
  <c r="K92" i="16"/>
  <c r="L97" i="17" s="1"/>
  <c r="B900" i="35" l="1"/>
  <c r="A901" i="35"/>
  <c r="B900" i="36"/>
  <c r="A901" i="36"/>
  <c r="B900" i="34"/>
  <c r="A901" i="34"/>
  <c r="B900" i="33"/>
  <c r="A901" i="33"/>
  <c r="F903" i="16"/>
  <c r="G903" i="16"/>
  <c r="C851" i="16"/>
  <c r="H850" i="16"/>
  <c r="F902" i="27"/>
  <c r="G902" i="27"/>
  <c r="C851" i="27"/>
  <c r="H850" i="27"/>
  <c r="C851" i="17"/>
  <c r="H850" i="17"/>
  <c r="A905" i="16"/>
  <c r="B904" i="16"/>
  <c r="D904" i="16" a="1"/>
  <c r="D904" i="16" s="1"/>
  <c r="E904" i="16" s="1"/>
  <c r="I902" i="16"/>
  <c r="I901" i="27"/>
  <c r="K92" i="27"/>
  <c r="N97" i="17" s="1"/>
  <c r="E102" i="9" s="1"/>
  <c r="F102" i="9" s="1"/>
  <c r="A904" i="27"/>
  <c r="B903" i="27"/>
  <c r="D903" i="27" a="1"/>
  <c r="D903" i="27" s="1"/>
  <c r="E903" i="27" s="1"/>
  <c r="C851" i="28"/>
  <c r="H850" i="28"/>
  <c r="O97" i="17" l="1"/>
  <c r="B901" i="33"/>
  <c r="A902" i="33"/>
  <c r="B901" i="36"/>
  <c r="A902" i="36"/>
  <c r="B901" i="34"/>
  <c r="A902" i="34"/>
  <c r="B901" i="35"/>
  <c r="A902" i="35"/>
  <c r="A905" i="27"/>
  <c r="B904" i="27"/>
  <c r="D904" i="27" a="1"/>
  <c r="D904" i="27" s="1"/>
  <c r="E904" i="27" s="1"/>
  <c r="C852" i="28"/>
  <c r="H851" i="28"/>
  <c r="D102" i="9"/>
  <c r="B905" i="16"/>
  <c r="A906" i="16"/>
  <c r="D905" i="16" a="1"/>
  <c r="D905" i="16" s="1"/>
  <c r="E905" i="16" s="1"/>
  <c r="C852" i="27"/>
  <c r="H851" i="27"/>
  <c r="C852" i="16"/>
  <c r="H851" i="16"/>
  <c r="F903" i="27"/>
  <c r="G903" i="27"/>
  <c r="I902" i="27"/>
  <c r="I903" i="16"/>
  <c r="F904" i="16"/>
  <c r="G904" i="16"/>
  <c r="C852" i="17"/>
  <c r="H851" i="17"/>
  <c r="B902" i="35" l="1"/>
  <c r="A903" i="35"/>
  <c r="B902" i="36"/>
  <c r="A903" i="36"/>
  <c r="B902" i="34"/>
  <c r="A903" i="34"/>
  <c r="B902" i="33"/>
  <c r="A903" i="33"/>
  <c r="F905" i="16"/>
  <c r="G905" i="16"/>
  <c r="I903" i="27"/>
  <c r="C853" i="17"/>
  <c r="H852" i="17"/>
  <c r="C853" i="27"/>
  <c r="H852" i="27"/>
  <c r="C853" i="28"/>
  <c r="H852" i="28"/>
  <c r="F904" i="27"/>
  <c r="G904" i="27"/>
  <c r="I904" i="16"/>
  <c r="C853" i="16"/>
  <c r="H852" i="16"/>
  <c r="A907" i="16"/>
  <c r="B906" i="16"/>
  <c r="D906" i="16" a="1"/>
  <c r="D906" i="16" s="1"/>
  <c r="E906" i="16" s="1"/>
  <c r="A906" i="27"/>
  <c r="B905" i="27"/>
  <c r="D905" i="27" a="1"/>
  <c r="D905" i="27" s="1"/>
  <c r="E905" i="27" s="1"/>
  <c r="B903" i="36" l="1"/>
  <c r="A904" i="36"/>
  <c r="B903" i="35"/>
  <c r="A904" i="35"/>
  <c r="B903" i="33"/>
  <c r="A904" i="33"/>
  <c r="B903" i="34"/>
  <c r="A904" i="34"/>
  <c r="F905" i="27"/>
  <c r="G905" i="27"/>
  <c r="I904" i="27"/>
  <c r="G906" i="16"/>
  <c r="F906" i="16"/>
  <c r="C854" i="16"/>
  <c r="H853" i="16"/>
  <c r="C854" i="27"/>
  <c r="H853" i="27"/>
  <c r="I905" i="16"/>
  <c r="A907" i="27"/>
  <c r="B906" i="27"/>
  <c r="D906" i="27" a="1"/>
  <c r="D906" i="27" s="1"/>
  <c r="E906" i="27" s="1"/>
  <c r="B907" i="16"/>
  <c r="A908" i="16"/>
  <c r="D907" i="16" a="1"/>
  <c r="D907" i="16" s="1"/>
  <c r="E907" i="16" s="1"/>
  <c r="C854" i="28"/>
  <c r="H853" i="28"/>
  <c r="C854" i="17"/>
  <c r="H853" i="17"/>
  <c r="B904" i="36" l="1"/>
  <c r="A905" i="36"/>
  <c r="B904" i="34"/>
  <c r="A905" i="34"/>
  <c r="B904" i="33"/>
  <c r="A905" i="33"/>
  <c r="B904" i="35"/>
  <c r="A905" i="35"/>
  <c r="C855" i="28"/>
  <c r="H854" i="28"/>
  <c r="F906" i="27"/>
  <c r="G906" i="27"/>
  <c r="C855" i="16"/>
  <c r="H854" i="16"/>
  <c r="I905" i="27"/>
  <c r="G907" i="16"/>
  <c r="F907" i="16"/>
  <c r="C855" i="17"/>
  <c r="H854" i="17"/>
  <c r="A909" i="16"/>
  <c r="B908" i="16"/>
  <c r="D908" i="16" a="1"/>
  <c r="D908" i="16" s="1"/>
  <c r="E908" i="16" s="1"/>
  <c r="A908" i="27"/>
  <c r="B907" i="27"/>
  <c r="D907" i="27" a="1"/>
  <c r="D907" i="27" s="1"/>
  <c r="E907" i="27" s="1"/>
  <c r="C855" i="27"/>
  <c r="H854" i="27"/>
  <c r="I906" i="16"/>
  <c r="B905" i="35" l="1"/>
  <c r="A906" i="35"/>
  <c r="B905" i="34"/>
  <c r="A906" i="34"/>
  <c r="B905" i="36"/>
  <c r="A906" i="36"/>
  <c r="B905" i="33"/>
  <c r="A906" i="33"/>
  <c r="G907" i="27"/>
  <c r="F907" i="27"/>
  <c r="A909" i="27"/>
  <c r="B908" i="27"/>
  <c r="D908" i="27" a="1"/>
  <c r="D908" i="27" s="1"/>
  <c r="E908" i="27" s="1"/>
  <c r="I906" i="27"/>
  <c r="G908" i="16"/>
  <c r="F908" i="16"/>
  <c r="C856" i="17"/>
  <c r="H855" i="17"/>
  <c r="C856" i="27"/>
  <c r="H855" i="27"/>
  <c r="B909" i="16"/>
  <c r="A910" i="16"/>
  <c r="D909" i="16" a="1"/>
  <c r="D909" i="16" s="1"/>
  <c r="E909" i="16" s="1"/>
  <c r="I907" i="16"/>
  <c r="C856" i="16"/>
  <c r="H855" i="16"/>
  <c r="C856" i="28"/>
  <c r="H855" i="28"/>
  <c r="B906" i="33" l="1"/>
  <c r="A907" i="33"/>
  <c r="B906" i="36"/>
  <c r="A907" i="36"/>
  <c r="B906" i="35"/>
  <c r="A907" i="35"/>
  <c r="B906" i="34"/>
  <c r="A907" i="34"/>
  <c r="G909" i="16"/>
  <c r="F909" i="16"/>
  <c r="C857" i="27"/>
  <c r="H856" i="27"/>
  <c r="I908" i="16"/>
  <c r="C857" i="16"/>
  <c r="H856" i="16"/>
  <c r="A911" i="16"/>
  <c r="B910" i="16"/>
  <c r="D910" i="16" a="1"/>
  <c r="D910" i="16" s="1"/>
  <c r="E910" i="16" s="1"/>
  <c r="A910" i="27"/>
  <c r="B909" i="27"/>
  <c r="D909" i="27" a="1"/>
  <c r="D909" i="27" s="1"/>
  <c r="E909" i="27" s="1"/>
  <c r="C857" i="28"/>
  <c r="H856" i="28"/>
  <c r="C857" i="17"/>
  <c r="H856" i="17"/>
  <c r="F908" i="27"/>
  <c r="G908" i="27"/>
  <c r="I907" i="27"/>
  <c r="B907" i="35" l="1"/>
  <c r="A908" i="35"/>
  <c r="B907" i="33"/>
  <c r="A908" i="33"/>
  <c r="B907" i="34"/>
  <c r="A908" i="34"/>
  <c r="B907" i="36"/>
  <c r="A908" i="36"/>
  <c r="G909" i="27"/>
  <c r="F909" i="27"/>
  <c r="C858" i="17"/>
  <c r="H857" i="17"/>
  <c r="I908" i="27"/>
  <c r="A911" i="27"/>
  <c r="B910" i="27"/>
  <c r="D910" i="27" a="1"/>
  <c r="D910" i="27" s="1"/>
  <c r="E910" i="27" s="1"/>
  <c r="G910" i="16"/>
  <c r="F910" i="16"/>
  <c r="C858" i="16"/>
  <c r="H857" i="16"/>
  <c r="C858" i="27"/>
  <c r="H857" i="27"/>
  <c r="C858" i="28"/>
  <c r="H857" i="28"/>
  <c r="B911" i="16"/>
  <c r="A912" i="16"/>
  <c r="D911" i="16" a="1"/>
  <c r="D911" i="16" s="1"/>
  <c r="E911" i="16" s="1"/>
  <c r="I909" i="16"/>
  <c r="B908" i="36" l="1"/>
  <c r="A909" i="36"/>
  <c r="B908" i="33"/>
  <c r="A909" i="33"/>
  <c r="B908" i="34"/>
  <c r="A909" i="34"/>
  <c r="B908" i="35"/>
  <c r="A909" i="35"/>
  <c r="F911" i="16"/>
  <c r="G911" i="16"/>
  <c r="C859" i="16"/>
  <c r="H858" i="16"/>
  <c r="C859" i="28"/>
  <c r="H858" i="28"/>
  <c r="A913" i="16"/>
  <c r="B912" i="16"/>
  <c r="D912" i="16" a="1"/>
  <c r="D912" i="16" s="1"/>
  <c r="E912" i="16" s="1"/>
  <c r="A912" i="27"/>
  <c r="B911" i="27"/>
  <c r="D911" i="27" a="1"/>
  <c r="D911" i="27" s="1"/>
  <c r="E911" i="27" s="1"/>
  <c r="C859" i="17"/>
  <c r="H858" i="17"/>
  <c r="C859" i="27"/>
  <c r="H858" i="27"/>
  <c r="I910" i="16"/>
  <c r="F910" i="27"/>
  <c r="G910" i="27"/>
  <c r="I909" i="27"/>
  <c r="B909" i="36" l="1"/>
  <c r="A910" i="36"/>
  <c r="B909" i="33"/>
  <c r="A910" i="33"/>
  <c r="B909" i="34"/>
  <c r="A910" i="34"/>
  <c r="B909" i="35"/>
  <c r="A910" i="35"/>
  <c r="F911" i="27"/>
  <c r="G911" i="27"/>
  <c r="I910" i="27"/>
  <c r="B913" i="16"/>
  <c r="A914" i="16"/>
  <c r="D913" i="16" a="1"/>
  <c r="D913" i="16" s="1"/>
  <c r="E913" i="16" s="1"/>
  <c r="C860" i="16"/>
  <c r="H859" i="16"/>
  <c r="C860" i="17"/>
  <c r="H859" i="17"/>
  <c r="C860" i="27"/>
  <c r="H859" i="27"/>
  <c r="A913" i="27"/>
  <c r="B912" i="27"/>
  <c r="D912" i="27" a="1"/>
  <c r="D912" i="27" s="1"/>
  <c r="E912" i="27" s="1"/>
  <c r="I911" i="16"/>
  <c r="K93" i="16"/>
  <c r="L98" i="17" s="1"/>
  <c r="F912" i="16"/>
  <c r="G912" i="16"/>
  <c r="C860" i="28"/>
  <c r="H859" i="28"/>
  <c r="B910" i="36" l="1"/>
  <c r="A911" i="36"/>
  <c r="B910" i="33"/>
  <c r="A911" i="33"/>
  <c r="B910" i="35"/>
  <c r="A911" i="35"/>
  <c r="B910" i="34"/>
  <c r="A911" i="34"/>
  <c r="F912" i="27"/>
  <c r="G912" i="27"/>
  <c r="C861" i="27"/>
  <c r="H860" i="27"/>
  <c r="C861" i="16"/>
  <c r="H860" i="16"/>
  <c r="F913" i="16"/>
  <c r="G913" i="16"/>
  <c r="C861" i="28"/>
  <c r="H860" i="28"/>
  <c r="A914" i="27"/>
  <c r="B913" i="27"/>
  <c r="D913" i="27" a="1"/>
  <c r="D913" i="27" s="1"/>
  <c r="E913" i="27" s="1"/>
  <c r="C861" i="17"/>
  <c r="H860" i="17"/>
  <c r="A915" i="16"/>
  <c r="B914" i="16"/>
  <c r="D914" i="16" a="1"/>
  <c r="D914" i="16" s="1"/>
  <c r="E914" i="16" s="1"/>
  <c r="I911" i="27"/>
  <c r="K93" i="27"/>
  <c r="N98" i="17" s="1"/>
  <c r="O98" i="17" s="1"/>
  <c r="E103" i="9"/>
  <c r="F103" i="9" s="1"/>
  <c r="I912" i="16"/>
  <c r="B911" i="36" l="1"/>
  <c r="A912" i="36"/>
  <c r="B911" i="33"/>
  <c r="A912" i="33"/>
  <c r="B911" i="35"/>
  <c r="A912" i="35"/>
  <c r="B911" i="34"/>
  <c r="A912" i="34"/>
  <c r="D103" i="9"/>
  <c r="A916" i="16"/>
  <c r="B915" i="16"/>
  <c r="D915" i="16" a="1"/>
  <c r="D915" i="16" s="1"/>
  <c r="E915" i="16" s="1"/>
  <c r="I913" i="16"/>
  <c r="A915" i="27"/>
  <c r="B914" i="27"/>
  <c r="D914" i="27" a="1"/>
  <c r="D914" i="27" s="1"/>
  <c r="E914" i="27" s="1"/>
  <c r="C862" i="27"/>
  <c r="H861" i="27"/>
  <c r="G914" i="16"/>
  <c r="F914" i="16"/>
  <c r="C862" i="17"/>
  <c r="H861" i="17"/>
  <c r="I912" i="27"/>
  <c r="F913" i="27"/>
  <c r="G913" i="27"/>
  <c r="C862" i="28"/>
  <c r="H861" i="28"/>
  <c r="C862" i="16"/>
  <c r="H861" i="16"/>
  <c r="B912" i="34" l="1"/>
  <c r="A913" i="34"/>
  <c r="B912" i="33"/>
  <c r="A913" i="33"/>
  <c r="B912" i="36"/>
  <c r="A913" i="36"/>
  <c r="B912" i="35"/>
  <c r="A913" i="35"/>
  <c r="B915" i="27"/>
  <c r="A916" i="27"/>
  <c r="D915" i="27" a="1"/>
  <c r="D915" i="27" s="1"/>
  <c r="E915" i="27" s="1"/>
  <c r="C863" i="16"/>
  <c r="H862" i="16"/>
  <c r="C863" i="17"/>
  <c r="H862" i="17"/>
  <c r="C863" i="27"/>
  <c r="H862" i="27"/>
  <c r="A917" i="16"/>
  <c r="B916" i="16"/>
  <c r="D916" i="16" a="1"/>
  <c r="D916" i="16" s="1"/>
  <c r="E916" i="16" s="1"/>
  <c r="G914" i="27"/>
  <c r="F914" i="27"/>
  <c r="F915" i="16"/>
  <c r="G915" i="16"/>
  <c r="C863" i="28"/>
  <c r="H862" i="28"/>
  <c r="I914" i="16"/>
  <c r="I913" i="27"/>
  <c r="B913" i="35" l="1"/>
  <c r="A914" i="35"/>
  <c r="B913" i="36"/>
  <c r="A914" i="36"/>
  <c r="B913" i="33"/>
  <c r="A914" i="33"/>
  <c r="B913" i="34"/>
  <c r="A914" i="34"/>
  <c r="G916" i="16"/>
  <c r="F916" i="16"/>
  <c r="C864" i="27"/>
  <c r="H863" i="27"/>
  <c r="C864" i="16"/>
  <c r="H863" i="16"/>
  <c r="G915" i="27"/>
  <c r="F915" i="27"/>
  <c r="C864" i="28"/>
  <c r="H863" i="28"/>
  <c r="I915" i="16"/>
  <c r="A918" i="16"/>
  <c r="B917" i="16"/>
  <c r="D917" i="16" a="1"/>
  <c r="D917" i="16" s="1"/>
  <c r="E917" i="16" s="1"/>
  <c r="C864" i="17"/>
  <c r="H863" i="17"/>
  <c r="B916" i="27"/>
  <c r="A917" i="27"/>
  <c r="D916" i="27" a="1"/>
  <c r="D916" i="27" s="1"/>
  <c r="E916" i="27" s="1"/>
  <c r="I914" i="27"/>
  <c r="B914" i="33" l="1"/>
  <c r="A915" i="33"/>
  <c r="B914" i="34"/>
  <c r="A915" i="34"/>
  <c r="B914" i="35"/>
  <c r="A915" i="35"/>
  <c r="B914" i="36"/>
  <c r="A915" i="36"/>
  <c r="F916" i="27"/>
  <c r="G916" i="27"/>
  <c r="C865" i="17"/>
  <c r="H864" i="17"/>
  <c r="G917" i="16"/>
  <c r="F917" i="16"/>
  <c r="I915" i="27"/>
  <c r="C865" i="27"/>
  <c r="H864" i="27"/>
  <c r="A918" i="27"/>
  <c r="B917" i="27"/>
  <c r="D917" i="27" a="1"/>
  <c r="D917" i="27" s="1"/>
  <c r="E917" i="27" s="1"/>
  <c r="A919" i="16"/>
  <c r="B918" i="16"/>
  <c r="D918" i="16" a="1"/>
  <c r="D918" i="16" s="1"/>
  <c r="E918" i="16" s="1"/>
  <c r="C865" i="28"/>
  <c r="H864" i="28"/>
  <c r="C865" i="16"/>
  <c r="H864" i="16"/>
  <c r="I916" i="16"/>
  <c r="B915" i="33" l="1"/>
  <c r="A916" i="33"/>
  <c r="B915" i="34"/>
  <c r="A916" i="34"/>
  <c r="B915" i="35"/>
  <c r="A916" i="35"/>
  <c r="B915" i="36"/>
  <c r="A916" i="36"/>
  <c r="F918" i="16"/>
  <c r="G918" i="16"/>
  <c r="A919" i="27"/>
  <c r="B918" i="27"/>
  <c r="D918" i="27" a="1"/>
  <c r="D918" i="27" s="1"/>
  <c r="E918" i="27" s="1"/>
  <c r="C866" i="17"/>
  <c r="H865" i="17"/>
  <c r="C866" i="28"/>
  <c r="H865" i="28"/>
  <c r="C866" i="16"/>
  <c r="H865" i="16"/>
  <c r="B919" i="16"/>
  <c r="A920" i="16"/>
  <c r="D919" i="16" a="1"/>
  <c r="D919" i="16" s="1"/>
  <c r="E919" i="16" s="1"/>
  <c r="I916" i="27"/>
  <c r="F917" i="27"/>
  <c r="G917" i="27"/>
  <c r="C866" i="27"/>
  <c r="H865" i="27"/>
  <c r="I917" i="16"/>
  <c r="B916" i="33" l="1"/>
  <c r="A917" i="33"/>
  <c r="B916" i="36"/>
  <c r="A917" i="36"/>
  <c r="B916" i="35"/>
  <c r="A917" i="35"/>
  <c r="B916" i="34"/>
  <c r="A917" i="34"/>
  <c r="A921" i="16"/>
  <c r="B920" i="16"/>
  <c r="D920" i="16" a="1"/>
  <c r="D920" i="16" s="1"/>
  <c r="E920" i="16" s="1"/>
  <c r="C867" i="28"/>
  <c r="H866" i="28"/>
  <c r="I917" i="27"/>
  <c r="C867" i="27"/>
  <c r="H866" i="27"/>
  <c r="A920" i="27"/>
  <c r="B919" i="27"/>
  <c r="D919" i="27" a="1"/>
  <c r="D919" i="27" s="1"/>
  <c r="E919" i="27" s="1"/>
  <c r="F919" i="16"/>
  <c r="G919" i="16"/>
  <c r="C867" i="16"/>
  <c r="H866" i="16"/>
  <c r="C867" i="17"/>
  <c r="H866" i="17"/>
  <c r="I918" i="16"/>
  <c r="F918" i="27"/>
  <c r="G918" i="27"/>
  <c r="B917" i="33" l="1"/>
  <c r="A918" i="33"/>
  <c r="B917" i="35"/>
  <c r="A918" i="35"/>
  <c r="B917" i="34"/>
  <c r="A918" i="34"/>
  <c r="B917" i="36"/>
  <c r="A918" i="36"/>
  <c r="G919" i="27"/>
  <c r="F919" i="27"/>
  <c r="C868" i="27"/>
  <c r="H867" i="27"/>
  <c r="C868" i="28"/>
  <c r="H867" i="28"/>
  <c r="G920" i="16"/>
  <c r="F920" i="16"/>
  <c r="I918" i="27"/>
  <c r="I919" i="16"/>
  <c r="A921" i="27"/>
  <c r="B920" i="27"/>
  <c r="D920" i="27" a="1"/>
  <c r="D920" i="27" s="1"/>
  <c r="E920" i="27" s="1"/>
  <c r="C868" i="16"/>
  <c r="H867" i="16"/>
  <c r="C868" i="17"/>
  <c r="H867" i="17"/>
  <c r="A922" i="16"/>
  <c r="B921" i="16"/>
  <c r="D921" i="16" a="1"/>
  <c r="D921" i="16" s="1"/>
  <c r="E921" i="16" s="1"/>
  <c r="B918" i="34" l="1"/>
  <c r="A919" i="34"/>
  <c r="B918" i="33"/>
  <c r="A919" i="33"/>
  <c r="B918" i="36"/>
  <c r="A919" i="36"/>
  <c r="B918" i="35"/>
  <c r="A919" i="35"/>
  <c r="A922" i="27"/>
  <c r="B921" i="27"/>
  <c r="D921" i="27" a="1"/>
  <c r="D921" i="27" s="1"/>
  <c r="E921" i="27" s="1"/>
  <c r="A923" i="16"/>
  <c r="B922" i="16"/>
  <c r="D922" i="16" a="1"/>
  <c r="D922" i="16" s="1"/>
  <c r="E922" i="16" s="1"/>
  <c r="C869" i="16"/>
  <c r="H868" i="16"/>
  <c r="F920" i="27"/>
  <c r="G920" i="27"/>
  <c r="I920" i="16"/>
  <c r="C869" i="27"/>
  <c r="H868" i="27"/>
  <c r="G921" i="16"/>
  <c r="F921" i="16"/>
  <c r="C869" i="17"/>
  <c r="H868" i="17"/>
  <c r="C869" i="28"/>
  <c r="H868" i="28"/>
  <c r="I919" i="27"/>
  <c r="B919" i="36" l="1"/>
  <c r="A920" i="36"/>
  <c r="B919" i="34"/>
  <c r="A920" i="34"/>
  <c r="B919" i="35"/>
  <c r="A920" i="35"/>
  <c r="B919" i="33"/>
  <c r="A920" i="33"/>
  <c r="C870" i="28"/>
  <c r="H869" i="28"/>
  <c r="I920" i="27"/>
  <c r="C870" i="17"/>
  <c r="H869" i="17"/>
  <c r="C870" i="27"/>
  <c r="H869" i="27"/>
  <c r="B923" i="16"/>
  <c r="A924" i="16"/>
  <c r="D923" i="16" a="1"/>
  <c r="D923" i="16" s="1"/>
  <c r="E923" i="16" s="1"/>
  <c r="F921" i="27"/>
  <c r="G921" i="27"/>
  <c r="F922" i="16"/>
  <c r="G922" i="16"/>
  <c r="I921" i="16"/>
  <c r="K94" i="16"/>
  <c r="L99" i="17" s="1"/>
  <c r="C870" i="16"/>
  <c r="H869" i="16"/>
  <c r="B922" i="27"/>
  <c r="A923" i="27"/>
  <c r="D922" i="27" a="1"/>
  <c r="D922" i="27" s="1"/>
  <c r="E922" i="27" s="1"/>
  <c r="B920" i="35" l="1"/>
  <c r="A921" i="35"/>
  <c r="B920" i="33"/>
  <c r="A921" i="33"/>
  <c r="B920" i="34"/>
  <c r="A921" i="34"/>
  <c r="B920" i="36"/>
  <c r="A921" i="36"/>
  <c r="I921" i="27"/>
  <c r="K94" i="27"/>
  <c r="N99" i="17" s="1"/>
  <c r="O99" i="17" s="1"/>
  <c r="G923" i="16"/>
  <c r="F923" i="16"/>
  <c r="C871" i="27"/>
  <c r="H870" i="27"/>
  <c r="G922" i="27"/>
  <c r="F922" i="27"/>
  <c r="C871" i="16"/>
  <c r="H870" i="16"/>
  <c r="A924" i="27"/>
  <c r="B923" i="27"/>
  <c r="D923" i="27" a="1"/>
  <c r="D923" i="27" s="1"/>
  <c r="E923" i="27" s="1"/>
  <c r="E104" i="9"/>
  <c r="F104" i="9" s="1"/>
  <c r="A925" i="16"/>
  <c r="B924" i="16"/>
  <c r="D924" i="16" a="1"/>
  <c r="D924" i="16" s="1"/>
  <c r="E924" i="16" s="1"/>
  <c r="I922" i="16"/>
  <c r="C871" i="17"/>
  <c r="H870" i="17"/>
  <c r="C871" i="28"/>
  <c r="H870" i="28"/>
  <c r="B921" i="36" l="1"/>
  <c r="A922" i="36"/>
  <c r="B921" i="35"/>
  <c r="A922" i="35"/>
  <c r="B921" i="33"/>
  <c r="A922" i="33"/>
  <c r="B921" i="34"/>
  <c r="A922" i="34"/>
  <c r="B925" i="16"/>
  <c r="A926" i="16"/>
  <c r="D925" i="16" a="1"/>
  <c r="D925" i="16" s="1"/>
  <c r="E925" i="16" s="1"/>
  <c r="A925" i="27"/>
  <c r="B924" i="27"/>
  <c r="D924" i="27" a="1"/>
  <c r="D924" i="27" s="1"/>
  <c r="E924" i="27" s="1"/>
  <c r="I922" i="27"/>
  <c r="I923" i="16"/>
  <c r="F924" i="16"/>
  <c r="G924" i="16"/>
  <c r="C872" i="28"/>
  <c r="H871" i="28"/>
  <c r="D104" i="9"/>
  <c r="F923" i="27"/>
  <c r="G923" i="27"/>
  <c r="C872" i="16"/>
  <c r="H871" i="16"/>
  <c r="C872" i="27"/>
  <c r="H871" i="27"/>
  <c r="C872" i="17"/>
  <c r="H871" i="17"/>
  <c r="B922" i="35" l="1"/>
  <c r="A923" i="35"/>
  <c r="B922" i="33"/>
  <c r="A923" i="33"/>
  <c r="B922" i="36"/>
  <c r="A923" i="36"/>
  <c r="B922" i="34"/>
  <c r="A923" i="34"/>
  <c r="I923" i="27"/>
  <c r="C873" i="28"/>
  <c r="H872" i="28"/>
  <c r="C873" i="17"/>
  <c r="H872" i="17"/>
  <c r="C873" i="16"/>
  <c r="H872" i="16"/>
  <c r="I924" i="16"/>
  <c r="A926" i="27"/>
  <c r="B925" i="27"/>
  <c r="D925" i="27" a="1"/>
  <c r="D925" i="27" s="1"/>
  <c r="E925" i="27" s="1"/>
  <c r="G925" i="16"/>
  <c r="F925" i="16"/>
  <c r="F924" i="27"/>
  <c r="G924" i="27"/>
  <c r="A927" i="16"/>
  <c r="B926" i="16"/>
  <c r="D926" i="16" a="1"/>
  <c r="D926" i="16" s="1"/>
  <c r="E926" i="16" s="1"/>
  <c r="C873" i="27"/>
  <c r="H872" i="27"/>
  <c r="B923" i="34" l="1"/>
  <c r="A924" i="34"/>
  <c r="B923" i="33"/>
  <c r="A924" i="33"/>
  <c r="B923" i="35"/>
  <c r="A924" i="35"/>
  <c r="B923" i="36"/>
  <c r="A924" i="36"/>
  <c r="C874" i="27"/>
  <c r="H873" i="27"/>
  <c r="A928" i="16"/>
  <c r="B927" i="16"/>
  <c r="D927" i="16" a="1"/>
  <c r="D927" i="16" s="1"/>
  <c r="E927" i="16" s="1"/>
  <c r="I925" i="16"/>
  <c r="F925" i="27"/>
  <c r="G925" i="27"/>
  <c r="C874" i="16"/>
  <c r="H873" i="16"/>
  <c r="C874" i="28"/>
  <c r="H873" i="28"/>
  <c r="I924" i="27"/>
  <c r="G926" i="16"/>
  <c r="F926" i="16"/>
  <c r="A927" i="27"/>
  <c r="B926" i="27"/>
  <c r="D926" i="27" a="1"/>
  <c r="D926" i="27" s="1"/>
  <c r="E926" i="27" s="1"/>
  <c r="C874" i="17"/>
  <c r="H873" i="17"/>
  <c r="B924" i="36" l="1"/>
  <c r="A925" i="36"/>
  <c r="B924" i="35"/>
  <c r="A925" i="35"/>
  <c r="B924" i="33"/>
  <c r="A925" i="33"/>
  <c r="B924" i="34"/>
  <c r="A925" i="34"/>
  <c r="G926" i="27"/>
  <c r="F926" i="27"/>
  <c r="C875" i="28"/>
  <c r="H874" i="28"/>
  <c r="A929" i="16"/>
  <c r="B928" i="16"/>
  <c r="D928" i="16" a="1"/>
  <c r="D928" i="16" s="1"/>
  <c r="E928" i="16" s="1"/>
  <c r="C875" i="17"/>
  <c r="H874" i="17"/>
  <c r="I925" i="27"/>
  <c r="I926" i="16"/>
  <c r="B927" i="27"/>
  <c r="A928" i="27"/>
  <c r="D927" i="27" a="1"/>
  <c r="D927" i="27" s="1"/>
  <c r="E927" i="27" s="1"/>
  <c r="C875" i="16"/>
  <c r="H874" i="16"/>
  <c r="F927" i="16"/>
  <c r="G927" i="16"/>
  <c r="C875" i="27"/>
  <c r="H874" i="27"/>
  <c r="B925" i="34" l="1"/>
  <c r="A926" i="34"/>
  <c r="B925" i="36"/>
  <c r="A926" i="36"/>
  <c r="B925" i="33"/>
  <c r="A926" i="33"/>
  <c r="B925" i="35"/>
  <c r="A926" i="35"/>
  <c r="F927" i="27"/>
  <c r="G927" i="27"/>
  <c r="C876" i="17"/>
  <c r="H875" i="17"/>
  <c r="F928" i="16"/>
  <c r="G928" i="16"/>
  <c r="C876" i="28"/>
  <c r="H875" i="28"/>
  <c r="I927" i="16"/>
  <c r="A929" i="27"/>
  <c r="B928" i="27"/>
  <c r="D928" i="27" a="1"/>
  <c r="D928" i="27" s="1"/>
  <c r="E928" i="27" s="1"/>
  <c r="C876" i="27"/>
  <c r="H875" i="27"/>
  <c r="C876" i="16"/>
  <c r="H875" i="16"/>
  <c r="A930" i="16"/>
  <c r="B929" i="16"/>
  <c r="D929" i="16" a="1"/>
  <c r="D929" i="16" s="1"/>
  <c r="E929" i="16" s="1"/>
  <c r="I926" i="27"/>
  <c r="B926" i="33" l="1"/>
  <c r="A927" i="33"/>
  <c r="B926" i="35"/>
  <c r="A927" i="35"/>
  <c r="B926" i="36"/>
  <c r="A927" i="36"/>
  <c r="B926" i="34"/>
  <c r="A927" i="34"/>
  <c r="G929" i="16"/>
  <c r="F929" i="16"/>
  <c r="B929" i="27"/>
  <c r="A930" i="27"/>
  <c r="D929" i="27" a="1"/>
  <c r="D929" i="27" s="1"/>
  <c r="E929" i="27" s="1"/>
  <c r="C877" i="28"/>
  <c r="H876" i="28"/>
  <c r="C877" i="17"/>
  <c r="H876" i="17"/>
  <c r="C877" i="16"/>
  <c r="H876" i="16"/>
  <c r="A931" i="16"/>
  <c r="B930" i="16"/>
  <c r="D930" i="16" a="1"/>
  <c r="D930" i="16" s="1"/>
  <c r="E930" i="16" s="1"/>
  <c r="C877" i="27"/>
  <c r="H876" i="27"/>
  <c r="I928" i="16"/>
  <c r="I927" i="27"/>
  <c r="F928" i="27"/>
  <c r="G928" i="27"/>
  <c r="B927" i="33" l="1"/>
  <c r="A928" i="33"/>
  <c r="B927" i="36"/>
  <c r="A928" i="36"/>
  <c r="B927" i="34"/>
  <c r="A928" i="34"/>
  <c r="B927" i="35"/>
  <c r="A928" i="35"/>
  <c r="I928" i="27"/>
  <c r="A932" i="16"/>
  <c r="B931" i="16"/>
  <c r="D931" i="16" a="1"/>
  <c r="D931" i="16" s="1"/>
  <c r="E931" i="16" s="1"/>
  <c r="C878" i="17"/>
  <c r="H877" i="17"/>
  <c r="A931" i="27"/>
  <c r="B930" i="27"/>
  <c r="D930" i="27" a="1"/>
  <c r="D930" i="27" s="1"/>
  <c r="E930" i="27" s="1"/>
  <c r="C878" i="27"/>
  <c r="H877" i="27"/>
  <c r="F930" i="16"/>
  <c r="G930" i="16"/>
  <c r="C878" i="16"/>
  <c r="H877" i="16"/>
  <c r="C878" i="28"/>
  <c r="H877" i="28"/>
  <c r="G929" i="27"/>
  <c r="F929" i="27"/>
  <c r="I929" i="16"/>
  <c r="B928" i="33" l="1"/>
  <c r="A929" i="33"/>
  <c r="B928" i="36"/>
  <c r="A929" i="36"/>
  <c r="B928" i="35"/>
  <c r="A929" i="35"/>
  <c r="B928" i="34"/>
  <c r="A929" i="34"/>
  <c r="I930" i="16"/>
  <c r="C879" i="28"/>
  <c r="H878" i="28"/>
  <c r="B931" i="27"/>
  <c r="A932" i="27"/>
  <c r="D931" i="27" a="1"/>
  <c r="D931" i="27" s="1"/>
  <c r="E931" i="27" s="1"/>
  <c r="I929" i="27"/>
  <c r="C879" i="16"/>
  <c r="H878" i="16"/>
  <c r="C879" i="27"/>
  <c r="H878" i="27"/>
  <c r="A933" i="16"/>
  <c r="B932" i="16"/>
  <c r="D932" i="16" a="1"/>
  <c r="D932" i="16" s="1"/>
  <c r="E932" i="16" s="1"/>
  <c r="G930" i="27"/>
  <c r="F930" i="27"/>
  <c r="C879" i="17"/>
  <c r="H878" i="17"/>
  <c r="F931" i="16"/>
  <c r="G931" i="16"/>
  <c r="B929" i="36" l="1"/>
  <c r="A930" i="36"/>
  <c r="B929" i="35"/>
  <c r="A930" i="35"/>
  <c r="B929" i="33"/>
  <c r="A930" i="33"/>
  <c r="B929" i="34"/>
  <c r="A930" i="34"/>
  <c r="F932" i="16"/>
  <c r="G932" i="16"/>
  <c r="C880" i="27"/>
  <c r="H879" i="27"/>
  <c r="G931" i="27"/>
  <c r="F931" i="27"/>
  <c r="C880" i="28"/>
  <c r="H879" i="28"/>
  <c r="I931" i="16"/>
  <c r="K95" i="16"/>
  <c r="L100" i="17" s="1"/>
  <c r="A934" i="16"/>
  <c r="B933" i="16"/>
  <c r="D933" i="16" a="1"/>
  <c r="D933" i="16" s="1"/>
  <c r="E933" i="16" s="1"/>
  <c r="C880" i="16"/>
  <c r="H879" i="16"/>
  <c r="A933" i="27"/>
  <c r="B932" i="27"/>
  <c r="D932" i="27" a="1"/>
  <c r="D932" i="27" s="1"/>
  <c r="E932" i="27" s="1"/>
  <c r="C880" i="17"/>
  <c r="H879" i="17"/>
  <c r="I930" i="27"/>
  <c r="B930" i="35" l="1"/>
  <c r="A931" i="35"/>
  <c r="B930" i="33"/>
  <c r="A931" i="33"/>
  <c r="B930" i="36"/>
  <c r="A931" i="36"/>
  <c r="B930" i="34"/>
  <c r="A931" i="34"/>
  <c r="B933" i="27"/>
  <c r="A934" i="27"/>
  <c r="D933" i="27" a="1"/>
  <c r="D933" i="27" s="1"/>
  <c r="E933" i="27" s="1"/>
  <c r="C881" i="17"/>
  <c r="H880" i="17"/>
  <c r="A935" i="16"/>
  <c r="B934" i="16"/>
  <c r="D934" i="16" a="1"/>
  <c r="D934" i="16" s="1"/>
  <c r="E934" i="16" s="1"/>
  <c r="F932" i="27"/>
  <c r="G932" i="27"/>
  <c r="C881" i="16"/>
  <c r="H880" i="16"/>
  <c r="C881" i="28"/>
  <c r="H880" i="28"/>
  <c r="C881" i="27"/>
  <c r="H880" i="27"/>
  <c r="G933" i="16"/>
  <c r="F933" i="16"/>
  <c r="I932" i="16"/>
  <c r="K95" i="27"/>
  <c r="N100" i="17" s="1"/>
  <c r="E105" i="9" s="1"/>
  <c r="F105" i="9" s="1"/>
  <c r="I931" i="27"/>
  <c r="O100" i="17" l="1"/>
  <c r="B931" i="33"/>
  <c r="A932" i="33"/>
  <c r="B931" i="36"/>
  <c r="A932" i="36"/>
  <c r="B931" i="35"/>
  <c r="A932" i="35"/>
  <c r="B931" i="34"/>
  <c r="A932" i="34"/>
  <c r="G934" i="16"/>
  <c r="F934" i="16"/>
  <c r="C882" i="17"/>
  <c r="H881" i="17"/>
  <c r="F933" i="27"/>
  <c r="G933" i="27"/>
  <c r="C882" i="27"/>
  <c r="H881" i="27"/>
  <c r="C882" i="16"/>
  <c r="H881" i="16"/>
  <c r="I933" i="16"/>
  <c r="C882" i="28"/>
  <c r="H881" i="28"/>
  <c r="I932" i="27"/>
  <c r="B935" i="16"/>
  <c r="A936" i="16"/>
  <c r="D935" i="16" a="1"/>
  <c r="D935" i="16" s="1"/>
  <c r="E935" i="16" s="1"/>
  <c r="A935" i="27"/>
  <c r="B934" i="27"/>
  <c r="D934" i="27" a="1"/>
  <c r="D934" i="27" s="1"/>
  <c r="E934" i="27" s="1"/>
  <c r="D105" i="9"/>
  <c r="B932" i="35" l="1"/>
  <c r="A933" i="35"/>
  <c r="B932" i="33"/>
  <c r="A933" i="33"/>
  <c r="B932" i="36"/>
  <c r="A933" i="36"/>
  <c r="B932" i="34"/>
  <c r="A933" i="34"/>
  <c r="A936" i="27"/>
  <c r="B935" i="27"/>
  <c r="D935" i="27" a="1"/>
  <c r="D935" i="27" s="1"/>
  <c r="E935" i="27" s="1"/>
  <c r="G935" i="16"/>
  <c r="F935" i="16"/>
  <c r="C883" i="27"/>
  <c r="H882" i="27"/>
  <c r="C883" i="17"/>
  <c r="H882" i="17"/>
  <c r="F934" i="27"/>
  <c r="G934" i="27"/>
  <c r="A937" i="16"/>
  <c r="B936" i="16"/>
  <c r="D936" i="16" a="1"/>
  <c r="D936" i="16" s="1"/>
  <c r="E936" i="16" s="1"/>
  <c r="I933" i="27"/>
  <c r="C883" i="28"/>
  <c r="H882" i="28"/>
  <c r="C883" i="16"/>
  <c r="H882" i="16"/>
  <c r="I934" i="16"/>
  <c r="B933" i="36" l="1"/>
  <c r="A934" i="36"/>
  <c r="B933" i="33"/>
  <c r="A934" i="33"/>
  <c r="B933" i="35"/>
  <c r="A934" i="35"/>
  <c r="B933" i="34"/>
  <c r="A934" i="34"/>
  <c r="F936" i="16"/>
  <c r="G936" i="16"/>
  <c r="C884" i="27"/>
  <c r="H883" i="27"/>
  <c r="C884" i="16"/>
  <c r="H883" i="16"/>
  <c r="I934" i="27"/>
  <c r="A937" i="27"/>
  <c r="B936" i="27"/>
  <c r="D936" i="27" a="1"/>
  <c r="D936" i="27" s="1"/>
  <c r="E936" i="27" s="1"/>
  <c r="C884" i="28"/>
  <c r="H883" i="28"/>
  <c r="B937" i="16"/>
  <c r="A938" i="16"/>
  <c r="D937" i="16" a="1"/>
  <c r="D937" i="16" s="1"/>
  <c r="E937" i="16" s="1"/>
  <c r="C884" i="17"/>
  <c r="H883" i="17"/>
  <c r="I935" i="16"/>
  <c r="G935" i="27"/>
  <c r="F935" i="27"/>
  <c r="B934" i="35" l="1"/>
  <c r="A935" i="35"/>
  <c r="B934" i="34"/>
  <c r="A935" i="34"/>
  <c r="B934" i="33"/>
  <c r="A935" i="33"/>
  <c r="B934" i="36"/>
  <c r="A935" i="36"/>
  <c r="F937" i="16"/>
  <c r="G937" i="16"/>
  <c r="C885" i="28"/>
  <c r="H884" i="28"/>
  <c r="F936" i="27"/>
  <c r="G936" i="27"/>
  <c r="C885" i="27"/>
  <c r="H884" i="27"/>
  <c r="A939" i="16"/>
  <c r="B938" i="16"/>
  <c r="D938" i="16" a="1"/>
  <c r="D938" i="16" s="1"/>
  <c r="E938" i="16" s="1"/>
  <c r="I936" i="16"/>
  <c r="I935" i="27"/>
  <c r="C885" i="17"/>
  <c r="H884" i="17"/>
  <c r="A938" i="27"/>
  <c r="B937" i="27"/>
  <c r="D937" i="27" a="1"/>
  <c r="D937" i="27" s="1"/>
  <c r="E937" i="27" s="1"/>
  <c r="C885" i="16"/>
  <c r="H884" i="16"/>
  <c r="B935" i="34" l="1"/>
  <c r="A936" i="34"/>
  <c r="B935" i="33"/>
  <c r="A936" i="33"/>
  <c r="B935" i="35"/>
  <c r="A936" i="35"/>
  <c r="B935" i="36"/>
  <c r="A936" i="36"/>
  <c r="G937" i="27"/>
  <c r="F937" i="27"/>
  <c r="C886" i="17"/>
  <c r="H885" i="17"/>
  <c r="F938" i="16"/>
  <c r="G938" i="16"/>
  <c r="C886" i="27"/>
  <c r="H885" i="27"/>
  <c r="C886" i="28"/>
  <c r="H885" i="28"/>
  <c r="I936" i="27"/>
  <c r="I937" i="16"/>
  <c r="A939" i="27"/>
  <c r="B938" i="27"/>
  <c r="D938" i="27" a="1"/>
  <c r="D938" i="27" s="1"/>
  <c r="E938" i="27" s="1"/>
  <c r="C886" i="16"/>
  <c r="H885" i="16"/>
  <c r="B939" i="16"/>
  <c r="A940" i="16"/>
  <c r="D939" i="16" a="1"/>
  <c r="D939" i="16" s="1"/>
  <c r="E939" i="16" s="1"/>
  <c r="B936" i="36" l="1"/>
  <c r="A937" i="36"/>
  <c r="B936" i="35"/>
  <c r="A937" i="35"/>
  <c r="B936" i="33"/>
  <c r="A937" i="33"/>
  <c r="B936" i="34"/>
  <c r="A937" i="34"/>
  <c r="A941" i="16"/>
  <c r="B940" i="16"/>
  <c r="D940" i="16" a="1"/>
  <c r="D940" i="16" s="1"/>
  <c r="E940" i="16" s="1"/>
  <c r="A940" i="27"/>
  <c r="B939" i="27"/>
  <c r="D939" i="27" a="1"/>
  <c r="D939" i="27" s="1"/>
  <c r="E939" i="27" s="1"/>
  <c r="C887" i="27"/>
  <c r="H886" i="27"/>
  <c r="C887" i="17"/>
  <c r="H886" i="17"/>
  <c r="F939" i="16"/>
  <c r="G939" i="16"/>
  <c r="C887" i="16"/>
  <c r="H886" i="16"/>
  <c r="I938" i="16"/>
  <c r="G938" i="27"/>
  <c r="F938" i="27"/>
  <c r="C887" i="28"/>
  <c r="H886" i="28"/>
  <c r="I937" i="27"/>
  <c r="B937" i="33" l="1"/>
  <c r="A938" i="33"/>
  <c r="B937" i="34"/>
  <c r="A938" i="34"/>
  <c r="B937" i="36"/>
  <c r="A938" i="36"/>
  <c r="B937" i="35"/>
  <c r="A938" i="35"/>
  <c r="C888" i="28"/>
  <c r="H887" i="28"/>
  <c r="I938" i="27"/>
  <c r="C888" i="16"/>
  <c r="H887" i="16"/>
  <c r="C888" i="17"/>
  <c r="H887" i="17"/>
  <c r="I939" i="16"/>
  <c r="A941" i="27"/>
  <c r="B940" i="27"/>
  <c r="D940" i="27" a="1"/>
  <c r="D940" i="27" s="1"/>
  <c r="E940" i="27" s="1"/>
  <c r="F940" i="16"/>
  <c r="G940" i="16"/>
  <c r="G939" i="27"/>
  <c r="F939" i="27"/>
  <c r="C888" i="27"/>
  <c r="H887" i="27"/>
  <c r="B941" i="16"/>
  <c r="A942" i="16"/>
  <c r="D941" i="16" a="1"/>
  <c r="D941" i="16" s="1"/>
  <c r="E941" i="16" s="1"/>
  <c r="B938" i="35" l="1"/>
  <c r="A939" i="35"/>
  <c r="B938" i="33"/>
  <c r="A939" i="33"/>
  <c r="B938" i="36"/>
  <c r="A939" i="36"/>
  <c r="B938" i="34"/>
  <c r="A939" i="34"/>
  <c r="A943" i="16"/>
  <c r="B942" i="16"/>
  <c r="D942" i="16" a="1"/>
  <c r="D942" i="16" s="1"/>
  <c r="E942" i="16" s="1"/>
  <c r="I939" i="27"/>
  <c r="I940" i="16"/>
  <c r="A942" i="27"/>
  <c r="B941" i="27"/>
  <c r="D941" i="27" a="1"/>
  <c r="D941" i="27" s="1"/>
  <c r="E941" i="27" s="1"/>
  <c r="C889" i="17"/>
  <c r="H888" i="17"/>
  <c r="F941" i="16"/>
  <c r="G941" i="16"/>
  <c r="C889" i="27"/>
  <c r="H888" i="27"/>
  <c r="G940" i="27"/>
  <c r="F940" i="27"/>
  <c r="C889" i="16"/>
  <c r="H888" i="16"/>
  <c r="C889" i="28"/>
  <c r="H888" i="28"/>
  <c r="B939" i="33" l="1"/>
  <c r="A940" i="33"/>
  <c r="B939" i="36"/>
  <c r="A940" i="36"/>
  <c r="B939" i="35"/>
  <c r="A940" i="35"/>
  <c r="B939" i="34"/>
  <c r="A940" i="34"/>
  <c r="C890" i="16"/>
  <c r="H889" i="16"/>
  <c r="C890" i="17"/>
  <c r="H889" i="17"/>
  <c r="I941" i="16"/>
  <c r="K96" i="16"/>
  <c r="L101" i="17" s="1"/>
  <c r="C890" i="28"/>
  <c r="H889" i="28"/>
  <c r="I940" i="27"/>
  <c r="B942" i="27"/>
  <c r="A943" i="27"/>
  <c r="D942" i="27" a="1"/>
  <c r="D942" i="27" s="1"/>
  <c r="E942" i="27" s="1"/>
  <c r="G942" i="16"/>
  <c r="F942" i="16"/>
  <c r="F941" i="27"/>
  <c r="G941" i="27"/>
  <c r="C890" i="27"/>
  <c r="H889" i="27"/>
  <c r="A944" i="16"/>
  <c r="B943" i="16"/>
  <c r="D943" i="16" a="1"/>
  <c r="D943" i="16" s="1"/>
  <c r="E943" i="16" s="1"/>
  <c r="B940" i="33" l="1"/>
  <c r="A941" i="33"/>
  <c r="B940" i="35"/>
  <c r="A941" i="35"/>
  <c r="B940" i="34"/>
  <c r="A941" i="34"/>
  <c r="B940" i="36"/>
  <c r="A941" i="36"/>
  <c r="C891" i="28"/>
  <c r="H890" i="28"/>
  <c r="F943" i="16"/>
  <c r="G943" i="16"/>
  <c r="C891" i="27"/>
  <c r="H890" i="27"/>
  <c r="I942" i="16"/>
  <c r="C891" i="17"/>
  <c r="H890" i="17"/>
  <c r="I941" i="27"/>
  <c r="K96" i="27"/>
  <c r="N101" i="17" s="1"/>
  <c r="E106" i="9" s="1"/>
  <c r="F106" i="9" s="1"/>
  <c r="F942" i="27"/>
  <c r="G942" i="27"/>
  <c r="A945" i="16"/>
  <c r="B944" i="16"/>
  <c r="D944" i="16" a="1"/>
  <c r="D944" i="16" s="1"/>
  <c r="E944" i="16" s="1"/>
  <c r="A944" i="27"/>
  <c r="B943" i="27"/>
  <c r="D943" i="27" a="1"/>
  <c r="D943" i="27" s="1"/>
  <c r="E943" i="27" s="1"/>
  <c r="C891" i="16"/>
  <c r="H890" i="16"/>
  <c r="O101" i="17" l="1"/>
  <c r="B941" i="34"/>
  <c r="A942" i="34"/>
  <c r="B941" i="36"/>
  <c r="A942" i="36"/>
  <c r="B941" i="33"/>
  <c r="A942" i="33"/>
  <c r="B941" i="35"/>
  <c r="A942" i="35"/>
  <c r="A945" i="27"/>
  <c r="B944" i="27"/>
  <c r="D944" i="27" a="1"/>
  <c r="D944" i="27" s="1"/>
  <c r="E944" i="27" s="1"/>
  <c r="I942" i="27"/>
  <c r="I943" i="16"/>
  <c r="F944" i="16"/>
  <c r="G944" i="16"/>
  <c r="F943" i="27"/>
  <c r="G943" i="27"/>
  <c r="D106" i="9"/>
  <c r="C892" i="16"/>
  <c r="H891" i="16"/>
  <c r="B945" i="16"/>
  <c r="A946" i="16"/>
  <c r="D945" i="16" a="1"/>
  <c r="D945" i="16" s="1"/>
  <c r="E945" i="16" s="1"/>
  <c r="C892" i="17"/>
  <c r="H891" i="17"/>
  <c r="C892" i="27"/>
  <c r="H891" i="27"/>
  <c r="C892" i="28"/>
  <c r="H891" i="28"/>
  <c r="B942" i="33" l="1"/>
  <c r="A943" i="33"/>
  <c r="B942" i="35"/>
  <c r="A943" i="35"/>
  <c r="B942" i="34"/>
  <c r="A943" i="34"/>
  <c r="B942" i="36"/>
  <c r="A943" i="36"/>
  <c r="C893" i="16"/>
  <c r="H892" i="16"/>
  <c r="C893" i="28"/>
  <c r="H892" i="28"/>
  <c r="C893" i="17"/>
  <c r="H892" i="17"/>
  <c r="F944" i="27"/>
  <c r="G944" i="27"/>
  <c r="I943" i="27"/>
  <c r="C893" i="27"/>
  <c r="H892" i="27"/>
  <c r="A947" i="16"/>
  <c r="B946" i="16"/>
  <c r="D946" i="16" a="1"/>
  <c r="D946" i="16" s="1"/>
  <c r="E946" i="16" s="1"/>
  <c r="F945" i="16"/>
  <c r="G945" i="16"/>
  <c r="I944" i="16"/>
  <c r="A946" i="27"/>
  <c r="B945" i="27"/>
  <c r="D945" i="27" a="1"/>
  <c r="D945" i="27" s="1"/>
  <c r="E945" i="27" s="1"/>
  <c r="B943" i="35" l="1"/>
  <c r="A944" i="35"/>
  <c r="B943" i="33"/>
  <c r="A944" i="33"/>
  <c r="B943" i="34"/>
  <c r="A944" i="34"/>
  <c r="B943" i="36"/>
  <c r="A944" i="36"/>
  <c r="G945" i="27"/>
  <c r="F945" i="27"/>
  <c r="I944" i="27"/>
  <c r="G946" i="16"/>
  <c r="F946" i="16"/>
  <c r="C894" i="27"/>
  <c r="H893" i="27"/>
  <c r="C894" i="28"/>
  <c r="H893" i="28"/>
  <c r="I945" i="16"/>
  <c r="A947" i="27"/>
  <c r="B946" i="27"/>
  <c r="D946" i="27" a="1"/>
  <c r="D946" i="27" s="1"/>
  <c r="E946" i="27" s="1"/>
  <c r="B947" i="16"/>
  <c r="A948" i="16"/>
  <c r="D947" i="16" a="1"/>
  <c r="D947" i="16" s="1"/>
  <c r="E947" i="16" s="1"/>
  <c r="C894" i="17"/>
  <c r="H893" i="17"/>
  <c r="C894" i="16"/>
  <c r="H893" i="16"/>
  <c r="B944" i="35" l="1"/>
  <c r="A945" i="35"/>
  <c r="B944" i="33"/>
  <c r="A945" i="33"/>
  <c r="B944" i="34"/>
  <c r="A945" i="34"/>
  <c r="B944" i="36"/>
  <c r="A945" i="36"/>
  <c r="C895" i="17"/>
  <c r="H894" i="17"/>
  <c r="G946" i="27"/>
  <c r="F946" i="27"/>
  <c r="C895" i="27"/>
  <c r="H894" i="27"/>
  <c r="G947" i="16"/>
  <c r="F947" i="16"/>
  <c r="C895" i="16"/>
  <c r="H894" i="16"/>
  <c r="A949" i="16"/>
  <c r="B948" i="16"/>
  <c r="D948" i="16" a="1"/>
  <c r="D948" i="16" s="1"/>
  <c r="E948" i="16" s="1"/>
  <c r="A948" i="27"/>
  <c r="B947" i="27"/>
  <c r="D947" i="27" a="1"/>
  <c r="D947" i="27" s="1"/>
  <c r="E947" i="27" s="1"/>
  <c r="C895" i="28"/>
  <c r="H894" i="28"/>
  <c r="I946" i="16"/>
  <c r="I945" i="27"/>
  <c r="B945" i="33" l="1"/>
  <c r="A946" i="33"/>
  <c r="B945" i="34"/>
  <c r="A946" i="34"/>
  <c r="B945" i="36"/>
  <c r="A946" i="36"/>
  <c r="B945" i="35"/>
  <c r="A946" i="35"/>
  <c r="F947" i="27"/>
  <c r="G947" i="27"/>
  <c r="B949" i="16"/>
  <c r="A950" i="16"/>
  <c r="D949" i="16" a="1"/>
  <c r="D949" i="16" s="1"/>
  <c r="E949" i="16" s="1"/>
  <c r="I947" i="16"/>
  <c r="I946" i="27"/>
  <c r="C896" i="28"/>
  <c r="H895" i="28"/>
  <c r="A949" i="27"/>
  <c r="B948" i="27"/>
  <c r="D948" i="27" a="1"/>
  <c r="D948" i="27" s="1"/>
  <c r="E948" i="27" s="1"/>
  <c r="F948" i="16"/>
  <c r="G948" i="16"/>
  <c r="C896" i="16"/>
  <c r="H895" i="16"/>
  <c r="C896" i="27"/>
  <c r="H895" i="27"/>
  <c r="C896" i="17"/>
  <c r="H895" i="17"/>
  <c r="B946" i="36" l="1"/>
  <c r="A947" i="36"/>
  <c r="B946" i="33"/>
  <c r="A947" i="33"/>
  <c r="B946" i="35"/>
  <c r="A947" i="35"/>
  <c r="B946" i="34"/>
  <c r="A947" i="34"/>
  <c r="C897" i="16"/>
  <c r="H896" i="16"/>
  <c r="I948" i="16"/>
  <c r="A950" i="27"/>
  <c r="B949" i="27"/>
  <c r="D949" i="27" a="1"/>
  <c r="D949" i="27" s="1"/>
  <c r="E949" i="27" s="1"/>
  <c r="A951" i="16"/>
  <c r="B950" i="16"/>
  <c r="D950" i="16" a="1"/>
  <c r="D950" i="16" s="1"/>
  <c r="E950" i="16" s="1"/>
  <c r="C897" i="17"/>
  <c r="H896" i="17"/>
  <c r="C897" i="27"/>
  <c r="H896" i="27"/>
  <c r="F948" i="27"/>
  <c r="G948" i="27"/>
  <c r="C897" i="28"/>
  <c r="H896" i="28"/>
  <c r="I947" i="27"/>
  <c r="F949" i="16"/>
  <c r="G949" i="16"/>
  <c r="B947" i="34" l="1"/>
  <c r="A948" i="34"/>
  <c r="B947" i="36"/>
  <c r="A948" i="36"/>
  <c r="B947" i="35"/>
  <c r="A948" i="35"/>
  <c r="B947" i="33"/>
  <c r="A948" i="33"/>
  <c r="I949" i="16"/>
  <c r="C898" i="28"/>
  <c r="H897" i="28"/>
  <c r="C898" i="27"/>
  <c r="H897" i="27"/>
  <c r="I948" i="27"/>
  <c r="B951" i="16"/>
  <c r="A952" i="16"/>
  <c r="D951" i="16" a="1"/>
  <c r="D951" i="16" s="1"/>
  <c r="E951" i="16" s="1"/>
  <c r="F949" i="27"/>
  <c r="G949" i="27"/>
  <c r="G950" i="16"/>
  <c r="F950" i="16"/>
  <c r="C898" i="17"/>
  <c r="H897" i="17"/>
  <c r="A951" i="27"/>
  <c r="B950" i="27"/>
  <c r="D950" i="27" a="1"/>
  <c r="D950" i="27" s="1"/>
  <c r="E950" i="27" s="1"/>
  <c r="C898" i="16"/>
  <c r="H897" i="16"/>
  <c r="B948" i="35" l="1"/>
  <c r="A949" i="35"/>
  <c r="B948" i="33"/>
  <c r="A949" i="33"/>
  <c r="B948" i="34"/>
  <c r="A949" i="34"/>
  <c r="B948" i="36"/>
  <c r="A949" i="36"/>
  <c r="G950" i="27"/>
  <c r="F950" i="27"/>
  <c r="C899" i="17"/>
  <c r="H898" i="17"/>
  <c r="C899" i="28"/>
  <c r="H898" i="28"/>
  <c r="F951" i="16"/>
  <c r="G951" i="16"/>
  <c r="A952" i="27"/>
  <c r="B951" i="27"/>
  <c r="D951" i="27" a="1"/>
  <c r="D951" i="27" s="1"/>
  <c r="E951" i="27" s="1"/>
  <c r="I950" i="16"/>
  <c r="A953" i="16"/>
  <c r="B952" i="16"/>
  <c r="D952" i="16" a="1"/>
  <c r="D952" i="16" s="1"/>
  <c r="E952" i="16" s="1"/>
  <c r="C899" i="16"/>
  <c r="H898" i="16"/>
  <c r="I949" i="27"/>
  <c r="C899" i="27"/>
  <c r="H898" i="27"/>
  <c r="B949" i="35" l="1"/>
  <c r="A950" i="35"/>
  <c r="B949" i="36"/>
  <c r="A950" i="36"/>
  <c r="B949" i="34"/>
  <c r="A950" i="34"/>
  <c r="B949" i="33"/>
  <c r="A950" i="33"/>
  <c r="F952" i="16"/>
  <c r="G952" i="16"/>
  <c r="I951" i="16"/>
  <c r="K97" i="16"/>
  <c r="L102" i="17" s="1"/>
  <c r="G951" i="27"/>
  <c r="F951" i="27"/>
  <c r="C900" i="17"/>
  <c r="H899" i="17"/>
  <c r="B953" i="16"/>
  <c r="A954" i="16"/>
  <c r="D953" i="16" a="1"/>
  <c r="D953" i="16" s="1"/>
  <c r="E953" i="16" s="1"/>
  <c r="C900" i="27"/>
  <c r="H899" i="27"/>
  <c r="C900" i="16"/>
  <c r="H899" i="16"/>
  <c r="A953" i="27"/>
  <c r="B952" i="27"/>
  <c r="D952" i="27" a="1"/>
  <c r="D952" i="27" s="1"/>
  <c r="E952" i="27" s="1"/>
  <c r="C900" i="28"/>
  <c r="H899" i="28"/>
  <c r="I950" i="27"/>
  <c r="B950" i="36" l="1"/>
  <c r="A951" i="36"/>
  <c r="B950" i="34"/>
  <c r="A951" i="34"/>
  <c r="B950" i="35"/>
  <c r="A951" i="35"/>
  <c r="B950" i="33"/>
  <c r="A951" i="33"/>
  <c r="G953" i="16"/>
  <c r="F953" i="16"/>
  <c r="C901" i="17"/>
  <c r="H900" i="17"/>
  <c r="F952" i="27"/>
  <c r="G952" i="27"/>
  <c r="C901" i="16"/>
  <c r="H900" i="16"/>
  <c r="A955" i="16"/>
  <c r="B954" i="16"/>
  <c r="D954" i="16" a="1"/>
  <c r="D954" i="16" s="1"/>
  <c r="E954" i="16" s="1"/>
  <c r="C901" i="28"/>
  <c r="H900" i="28"/>
  <c r="I951" i="27"/>
  <c r="K97" i="27"/>
  <c r="N102" i="17" s="1"/>
  <c r="E107" i="9" s="1"/>
  <c r="F107" i="9" s="1"/>
  <c r="I952" i="16"/>
  <c r="A954" i="27"/>
  <c r="B953" i="27"/>
  <c r="D953" i="27" a="1"/>
  <c r="D953" i="27" s="1"/>
  <c r="E953" i="27" s="1"/>
  <c r="C901" i="27"/>
  <c r="H900" i="27"/>
  <c r="O102" i="17" l="1"/>
  <c r="B951" i="36"/>
  <c r="A952" i="36"/>
  <c r="B951" i="34"/>
  <c r="A952" i="34"/>
  <c r="B951" i="33"/>
  <c r="A952" i="33"/>
  <c r="B951" i="35"/>
  <c r="A952" i="35"/>
  <c r="A955" i="27"/>
  <c r="B954" i="27"/>
  <c r="D954" i="27" a="1"/>
  <c r="D954" i="27" s="1"/>
  <c r="E954" i="27" s="1"/>
  <c r="D107" i="9"/>
  <c r="C902" i="28"/>
  <c r="H901" i="28"/>
  <c r="F954" i="16"/>
  <c r="G954" i="16"/>
  <c r="C902" i="16"/>
  <c r="H901" i="16"/>
  <c r="C902" i="17"/>
  <c r="H901" i="17"/>
  <c r="C902" i="27"/>
  <c r="H901" i="27"/>
  <c r="I952" i="27"/>
  <c r="F953" i="27"/>
  <c r="G953" i="27"/>
  <c r="A956" i="16"/>
  <c r="B955" i="16"/>
  <c r="D955" i="16" a="1"/>
  <c r="D955" i="16" s="1"/>
  <c r="E955" i="16" s="1"/>
  <c r="I953" i="16"/>
  <c r="B952" i="35" l="1"/>
  <c r="A953" i="35"/>
  <c r="B952" i="36"/>
  <c r="A953" i="36"/>
  <c r="B952" i="34"/>
  <c r="A953" i="34"/>
  <c r="B952" i="33"/>
  <c r="A953" i="33"/>
  <c r="I954" i="16"/>
  <c r="I953" i="27"/>
  <c r="F954" i="27"/>
  <c r="G954" i="27"/>
  <c r="G955" i="16"/>
  <c r="F955" i="16"/>
  <c r="C903" i="27"/>
  <c r="H902" i="27"/>
  <c r="C903" i="28"/>
  <c r="H902" i="28"/>
  <c r="C903" i="16"/>
  <c r="H902" i="16"/>
  <c r="A957" i="16"/>
  <c r="B956" i="16"/>
  <c r="D956" i="16" a="1"/>
  <c r="D956" i="16" s="1"/>
  <c r="E956" i="16" s="1"/>
  <c r="C903" i="17"/>
  <c r="H902" i="17"/>
  <c r="B955" i="27"/>
  <c r="A956" i="27"/>
  <c r="D955" i="27" a="1"/>
  <c r="D955" i="27" s="1"/>
  <c r="E955" i="27" s="1"/>
  <c r="B953" i="36" l="1"/>
  <c r="A954" i="36"/>
  <c r="B953" i="35"/>
  <c r="A954" i="35"/>
  <c r="B953" i="34"/>
  <c r="A954" i="34"/>
  <c r="B953" i="33"/>
  <c r="A954" i="33"/>
  <c r="G955" i="27"/>
  <c r="F955" i="27"/>
  <c r="C904" i="17"/>
  <c r="H903" i="17"/>
  <c r="I954" i="27"/>
  <c r="F956" i="16"/>
  <c r="G956" i="16"/>
  <c r="C904" i="16"/>
  <c r="H903" i="16"/>
  <c r="C904" i="27"/>
  <c r="H903" i="27"/>
  <c r="A957" i="27"/>
  <c r="B956" i="27"/>
  <c r="D956" i="27" a="1"/>
  <c r="D956" i="27" s="1"/>
  <c r="E956" i="27" s="1"/>
  <c r="A958" i="16"/>
  <c r="B957" i="16"/>
  <c r="D957" i="16" a="1"/>
  <c r="D957" i="16" s="1"/>
  <c r="E957" i="16" s="1"/>
  <c r="C904" i="28"/>
  <c r="H903" i="28"/>
  <c r="I955" i="16"/>
  <c r="B954" i="34" l="1"/>
  <c r="A955" i="34"/>
  <c r="B954" i="35"/>
  <c r="A955" i="35"/>
  <c r="B954" i="33"/>
  <c r="A955" i="33"/>
  <c r="B954" i="36"/>
  <c r="A955" i="36"/>
  <c r="C905" i="28"/>
  <c r="H904" i="28"/>
  <c r="A959" i="16"/>
  <c r="B958" i="16"/>
  <c r="D958" i="16" a="1"/>
  <c r="D958" i="16" s="1"/>
  <c r="E958" i="16" s="1"/>
  <c r="I956" i="16"/>
  <c r="G956" i="27"/>
  <c r="F956" i="27"/>
  <c r="C905" i="27"/>
  <c r="H904" i="27"/>
  <c r="C905" i="17"/>
  <c r="H904" i="17"/>
  <c r="G957" i="16"/>
  <c r="F957" i="16"/>
  <c r="B957" i="27"/>
  <c r="A958" i="27"/>
  <c r="D957" i="27" a="1"/>
  <c r="D957" i="27" s="1"/>
  <c r="E957" i="27" s="1"/>
  <c r="C905" i="16"/>
  <c r="H904" i="16"/>
  <c r="I955" i="27"/>
  <c r="B955" i="36" l="1"/>
  <c r="A956" i="36"/>
  <c r="B955" i="33"/>
  <c r="A956" i="33"/>
  <c r="B955" i="34"/>
  <c r="A956" i="34"/>
  <c r="B955" i="35"/>
  <c r="A956" i="35"/>
  <c r="C906" i="17"/>
  <c r="H905" i="17"/>
  <c r="I956" i="27"/>
  <c r="A959" i="27"/>
  <c r="B958" i="27"/>
  <c r="D958" i="27" a="1"/>
  <c r="D958" i="27" s="1"/>
  <c r="E958" i="27" s="1"/>
  <c r="C906" i="16"/>
  <c r="H905" i="16"/>
  <c r="A960" i="16"/>
  <c r="B959" i="16"/>
  <c r="D959" i="16" a="1"/>
  <c r="D959" i="16" s="1"/>
  <c r="E959" i="16" s="1"/>
  <c r="F957" i="27"/>
  <c r="G957" i="27"/>
  <c r="I957" i="16"/>
  <c r="C906" i="27"/>
  <c r="H905" i="27"/>
  <c r="G958" i="16"/>
  <c r="F958" i="16"/>
  <c r="C906" i="28"/>
  <c r="H905" i="28"/>
  <c r="B956" i="34" l="1"/>
  <c r="A957" i="34"/>
  <c r="B956" i="35"/>
  <c r="A957" i="35"/>
  <c r="B956" i="36"/>
  <c r="A957" i="36"/>
  <c r="B956" i="33"/>
  <c r="A957" i="33"/>
  <c r="G959" i="16"/>
  <c r="F959" i="16"/>
  <c r="C907" i="16"/>
  <c r="H906" i="16"/>
  <c r="F958" i="27"/>
  <c r="G958" i="27"/>
  <c r="I957" i="27"/>
  <c r="I958" i="16"/>
  <c r="A961" i="16"/>
  <c r="B960" i="16"/>
  <c r="D960" i="16" a="1"/>
  <c r="D960" i="16" s="1"/>
  <c r="E960" i="16" s="1"/>
  <c r="C907" i="28"/>
  <c r="H906" i="28"/>
  <c r="C907" i="27"/>
  <c r="H906" i="27"/>
  <c r="B959" i="27"/>
  <c r="A960" i="27"/>
  <c r="D959" i="27" a="1"/>
  <c r="D959" i="27" s="1"/>
  <c r="E959" i="27" s="1"/>
  <c r="C907" i="17"/>
  <c r="H906" i="17"/>
  <c r="B957" i="34" l="1"/>
  <c r="A958" i="34"/>
  <c r="B957" i="35"/>
  <c r="A958" i="35"/>
  <c r="B957" i="33"/>
  <c r="A958" i="33"/>
  <c r="B957" i="36"/>
  <c r="A958" i="36"/>
  <c r="C908" i="17"/>
  <c r="H907" i="17"/>
  <c r="C908" i="27"/>
  <c r="H907" i="27"/>
  <c r="F959" i="27"/>
  <c r="G959" i="27"/>
  <c r="A961" i="27"/>
  <c r="B960" i="27"/>
  <c r="D960" i="27" a="1"/>
  <c r="D960" i="27" s="1"/>
  <c r="E960" i="27" s="1"/>
  <c r="A962" i="16"/>
  <c r="B961" i="16"/>
  <c r="D961" i="16" a="1"/>
  <c r="D961" i="16" s="1"/>
  <c r="E961" i="16" s="1"/>
  <c r="C908" i="16"/>
  <c r="H907" i="16"/>
  <c r="C908" i="28"/>
  <c r="H907" i="28"/>
  <c r="I958" i="27"/>
  <c r="F960" i="16"/>
  <c r="G960" i="16"/>
  <c r="I959" i="16"/>
  <c r="B958" i="34" l="1"/>
  <c r="A959" i="34"/>
  <c r="B958" i="36"/>
  <c r="A959" i="36"/>
  <c r="B958" i="35"/>
  <c r="A959" i="35"/>
  <c r="B958" i="33"/>
  <c r="A959" i="33"/>
  <c r="G961" i="16"/>
  <c r="F961" i="16"/>
  <c r="I960" i="16"/>
  <c r="B961" i="27"/>
  <c r="A962" i="27"/>
  <c r="D961" i="27" a="1"/>
  <c r="D961" i="27" s="1"/>
  <c r="E961" i="27" s="1"/>
  <c r="C909" i="27"/>
  <c r="H908" i="27"/>
  <c r="C909" i="16"/>
  <c r="H908" i="16"/>
  <c r="C909" i="28"/>
  <c r="H908" i="28"/>
  <c r="A963" i="16"/>
  <c r="B962" i="16"/>
  <c r="D962" i="16" a="1"/>
  <c r="D962" i="16" s="1"/>
  <c r="E962" i="16" s="1"/>
  <c r="I959" i="27"/>
  <c r="F960" i="27"/>
  <c r="G960" i="27"/>
  <c r="C909" i="17"/>
  <c r="H908" i="17"/>
  <c r="B959" i="34" l="1"/>
  <c r="A960" i="34"/>
  <c r="B959" i="33"/>
  <c r="A960" i="33"/>
  <c r="B959" i="35"/>
  <c r="A960" i="35"/>
  <c r="B959" i="36"/>
  <c r="A960" i="36"/>
  <c r="F962" i="16"/>
  <c r="G962" i="16"/>
  <c r="C910" i="28"/>
  <c r="H909" i="28"/>
  <c r="C910" i="27"/>
  <c r="H909" i="27"/>
  <c r="F961" i="27"/>
  <c r="G961" i="27"/>
  <c r="A964" i="16"/>
  <c r="B963" i="16"/>
  <c r="D963" i="16" a="1"/>
  <c r="D963" i="16" s="1"/>
  <c r="E963" i="16" s="1"/>
  <c r="C910" i="16"/>
  <c r="H909" i="16"/>
  <c r="A963" i="27"/>
  <c r="B962" i="27"/>
  <c r="D962" i="27" a="1"/>
  <c r="D962" i="27" s="1"/>
  <c r="E962" i="27" s="1"/>
  <c r="I960" i="27"/>
  <c r="C910" i="17"/>
  <c r="H909" i="17"/>
  <c r="K98" i="16"/>
  <c r="L103" i="17" s="1"/>
  <c r="I961" i="16"/>
  <c r="B960" i="35" l="1"/>
  <c r="A961" i="35"/>
  <c r="B960" i="34"/>
  <c r="A961" i="34"/>
  <c r="B960" i="36"/>
  <c r="A961" i="36"/>
  <c r="B960" i="33"/>
  <c r="A961" i="33"/>
  <c r="F962" i="27"/>
  <c r="G962" i="27"/>
  <c r="C911" i="16"/>
  <c r="H910" i="16"/>
  <c r="I961" i="27"/>
  <c r="K98" i="27"/>
  <c r="N103" i="17" s="1"/>
  <c r="E108" i="9" s="1"/>
  <c r="F108" i="9" s="1"/>
  <c r="G963" i="16"/>
  <c r="F963" i="16"/>
  <c r="C911" i="28"/>
  <c r="H910" i="28"/>
  <c r="C911" i="17"/>
  <c r="H910" i="17"/>
  <c r="I962" i="16"/>
  <c r="B963" i="27"/>
  <c r="A964" i="27"/>
  <c r="D963" i="27" a="1"/>
  <c r="D963" i="27" s="1"/>
  <c r="E963" i="27" s="1"/>
  <c r="A965" i="16"/>
  <c r="B964" i="16"/>
  <c r="D964" i="16" a="1"/>
  <c r="D964" i="16" s="1"/>
  <c r="E964" i="16" s="1"/>
  <c r="C911" i="27"/>
  <c r="H910" i="27"/>
  <c r="O103" i="17" l="1"/>
  <c r="B961" i="35"/>
  <c r="A962" i="35"/>
  <c r="B961" i="34"/>
  <c r="A962" i="34"/>
  <c r="B961" i="33"/>
  <c r="A962" i="33"/>
  <c r="B961" i="36"/>
  <c r="A962" i="36"/>
  <c r="D108" i="9"/>
  <c r="C912" i="27"/>
  <c r="H911" i="27"/>
  <c r="B965" i="16"/>
  <c r="A966" i="16"/>
  <c r="D965" i="16" a="1"/>
  <c r="D965" i="16" s="1"/>
  <c r="E965" i="16" s="1"/>
  <c r="C912" i="17"/>
  <c r="H911" i="17"/>
  <c r="I963" i="16"/>
  <c r="G963" i="27"/>
  <c r="F963" i="27"/>
  <c r="C912" i="16"/>
  <c r="H911" i="16"/>
  <c r="F964" i="16"/>
  <c r="G964" i="16"/>
  <c r="A965" i="27"/>
  <c r="B964" i="27"/>
  <c r="D964" i="27" a="1"/>
  <c r="D964" i="27" s="1"/>
  <c r="E964" i="27" s="1"/>
  <c r="C912" i="28"/>
  <c r="H911" i="28"/>
  <c r="I962" i="27"/>
  <c r="B962" i="34" l="1"/>
  <c r="A963" i="34"/>
  <c r="B962" i="36"/>
  <c r="A963" i="36"/>
  <c r="B962" i="33"/>
  <c r="A963" i="33"/>
  <c r="B962" i="35"/>
  <c r="A963" i="35"/>
  <c r="F965" i="16"/>
  <c r="G965" i="16"/>
  <c r="C913" i="27"/>
  <c r="H912" i="27"/>
  <c r="A966" i="27"/>
  <c r="B965" i="27"/>
  <c r="D965" i="27" a="1"/>
  <c r="D965" i="27" s="1"/>
  <c r="E965" i="27" s="1"/>
  <c r="C913" i="16"/>
  <c r="H912" i="16"/>
  <c r="A967" i="16"/>
  <c r="B966" i="16"/>
  <c r="D966" i="16" a="1"/>
  <c r="D966" i="16" s="1"/>
  <c r="E966" i="16" s="1"/>
  <c r="C913" i="28"/>
  <c r="H912" i="28"/>
  <c r="I964" i="16"/>
  <c r="F964" i="27"/>
  <c r="G964" i="27"/>
  <c r="I963" i="27"/>
  <c r="C913" i="17"/>
  <c r="H912" i="17"/>
  <c r="B963" i="35" l="1"/>
  <c r="A964" i="35"/>
  <c r="B963" i="36"/>
  <c r="A964" i="36"/>
  <c r="B963" i="33"/>
  <c r="A964" i="33"/>
  <c r="B963" i="34"/>
  <c r="A964" i="34"/>
  <c r="G966" i="16"/>
  <c r="F966" i="16"/>
  <c r="C914" i="16"/>
  <c r="H913" i="16"/>
  <c r="G965" i="27"/>
  <c r="F965" i="27"/>
  <c r="C914" i="27"/>
  <c r="H913" i="27"/>
  <c r="I964" i="27"/>
  <c r="C914" i="17"/>
  <c r="H913" i="17"/>
  <c r="B967" i="16"/>
  <c r="A968" i="16"/>
  <c r="D967" i="16" a="1"/>
  <c r="D967" i="16" s="1"/>
  <c r="E967" i="16" s="1"/>
  <c r="I965" i="16"/>
  <c r="C914" i="28"/>
  <c r="H913" i="28"/>
  <c r="A967" i="27"/>
  <c r="B966" i="27"/>
  <c r="D966" i="27" a="1"/>
  <c r="D966" i="27" s="1"/>
  <c r="E966" i="27" s="1"/>
  <c r="B964" i="33" l="1"/>
  <c r="A965" i="33"/>
  <c r="B964" i="34"/>
  <c r="A965" i="34"/>
  <c r="B964" i="36"/>
  <c r="A965" i="36"/>
  <c r="B964" i="35"/>
  <c r="A965" i="35"/>
  <c r="A968" i="27"/>
  <c r="B967" i="27"/>
  <c r="D967" i="27" a="1"/>
  <c r="D967" i="27" s="1"/>
  <c r="E967" i="27" s="1"/>
  <c r="G967" i="16"/>
  <c r="F967" i="16"/>
  <c r="C915" i="17"/>
  <c r="H914" i="17"/>
  <c r="C915" i="27"/>
  <c r="H914" i="27"/>
  <c r="C915" i="16"/>
  <c r="H914" i="16"/>
  <c r="G966" i="27"/>
  <c r="F966" i="27"/>
  <c r="C915" i="28"/>
  <c r="H914" i="28"/>
  <c r="A969" i="16"/>
  <c r="B968" i="16"/>
  <c r="D968" i="16" a="1"/>
  <c r="D968" i="16" s="1"/>
  <c r="E968" i="16" s="1"/>
  <c r="I965" i="27"/>
  <c r="I966" i="16"/>
  <c r="B965" i="35" l="1"/>
  <c r="A966" i="35"/>
  <c r="B965" i="33"/>
  <c r="A966" i="33"/>
  <c r="B965" i="34"/>
  <c r="A966" i="34"/>
  <c r="B965" i="36"/>
  <c r="A966" i="36"/>
  <c r="B969" i="16"/>
  <c r="A970" i="16"/>
  <c r="D969" i="16" a="1"/>
  <c r="D969" i="16" s="1"/>
  <c r="E969" i="16" s="1"/>
  <c r="I966" i="27"/>
  <c r="C916" i="27"/>
  <c r="H915" i="27"/>
  <c r="I967" i="16"/>
  <c r="F967" i="27"/>
  <c r="G967" i="27"/>
  <c r="C916" i="28"/>
  <c r="H915" i="28"/>
  <c r="C916" i="17"/>
  <c r="H915" i="17"/>
  <c r="F968" i="16"/>
  <c r="G968" i="16"/>
  <c r="C916" i="16"/>
  <c r="H915" i="16"/>
  <c r="A969" i="27"/>
  <c r="B968" i="27"/>
  <c r="D968" i="27" a="1"/>
  <c r="D968" i="27" s="1"/>
  <c r="E968" i="27" s="1"/>
  <c r="B966" i="34" l="1"/>
  <c r="A967" i="34"/>
  <c r="B966" i="36"/>
  <c r="A967" i="36"/>
  <c r="B966" i="33"/>
  <c r="A967" i="33"/>
  <c r="B966" i="35"/>
  <c r="A967" i="35"/>
  <c r="A970" i="27"/>
  <c r="B969" i="27"/>
  <c r="D969" i="27" a="1"/>
  <c r="D969" i="27" s="1"/>
  <c r="E969" i="27" s="1"/>
  <c r="C917" i="28"/>
  <c r="H916" i="28"/>
  <c r="F969" i="16"/>
  <c r="G969" i="16"/>
  <c r="G968" i="27"/>
  <c r="F968" i="27"/>
  <c r="C917" i="16"/>
  <c r="H916" i="16"/>
  <c r="C917" i="17"/>
  <c r="H916" i="17"/>
  <c r="C917" i="27"/>
  <c r="H916" i="27"/>
  <c r="A971" i="16"/>
  <c r="B970" i="16"/>
  <c r="D970" i="16" a="1"/>
  <c r="D970" i="16" s="1"/>
  <c r="E970" i="16" s="1"/>
  <c r="I967" i="27"/>
  <c r="I968" i="16"/>
  <c r="B967" i="35" l="1"/>
  <c r="A968" i="35"/>
  <c r="B967" i="33"/>
  <c r="A968" i="33"/>
  <c r="B967" i="34"/>
  <c r="A968" i="34"/>
  <c r="B967" i="36"/>
  <c r="A968" i="36"/>
  <c r="I969" i="16"/>
  <c r="B971" i="16"/>
  <c r="A972" i="16"/>
  <c r="D971" i="16" a="1"/>
  <c r="D971" i="16" s="1"/>
  <c r="E971" i="16" s="1"/>
  <c r="C918" i="17"/>
  <c r="H917" i="17"/>
  <c r="I968" i="27"/>
  <c r="C918" i="28"/>
  <c r="H917" i="28"/>
  <c r="F969" i="27"/>
  <c r="G969" i="27"/>
  <c r="C918" i="27"/>
  <c r="H917" i="27"/>
  <c r="C918" i="16"/>
  <c r="H917" i="16"/>
  <c r="F970" i="16"/>
  <c r="G970" i="16"/>
  <c r="A971" i="27"/>
  <c r="B970" i="27"/>
  <c r="D970" i="27" a="1"/>
  <c r="D970" i="27" s="1"/>
  <c r="E970" i="27" s="1"/>
  <c r="B968" i="35" l="1"/>
  <c r="A969" i="35"/>
  <c r="B968" i="33"/>
  <c r="A969" i="33"/>
  <c r="B968" i="36"/>
  <c r="A969" i="36"/>
  <c r="B968" i="34"/>
  <c r="A969" i="34"/>
  <c r="I969" i="27"/>
  <c r="A972" i="27"/>
  <c r="B971" i="27"/>
  <c r="D971" i="27" a="1"/>
  <c r="D971" i="27" s="1"/>
  <c r="E971" i="27" s="1"/>
  <c r="C919" i="16"/>
  <c r="H918" i="16"/>
  <c r="A973" i="16"/>
  <c r="B972" i="16"/>
  <c r="D972" i="16" a="1"/>
  <c r="D972" i="16" s="1"/>
  <c r="E972" i="16" s="1"/>
  <c r="I970" i="16"/>
  <c r="F970" i="27"/>
  <c r="G970" i="27"/>
  <c r="C919" i="27"/>
  <c r="H918" i="27"/>
  <c r="C919" i="28"/>
  <c r="H918" i="28"/>
  <c r="C919" i="17"/>
  <c r="H918" i="17"/>
  <c r="G971" i="16"/>
  <c r="F971" i="16"/>
  <c r="B969" i="36" l="1"/>
  <c r="A970" i="36"/>
  <c r="B969" i="35"/>
  <c r="A970" i="35"/>
  <c r="B969" i="34"/>
  <c r="A970" i="34"/>
  <c r="B969" i="33"/>
  <c r="A970" i="33"/>
  <c r="I970" i="27"/>
  <c r="B973" i="16"/>
  <c r="A974" i="16"/>
  <c r="D973" i="16" a="1"/>
  <c r="D973" i="16" s="1"/>
  <c r="E973" i="16" s="1"/>
  <c r="K99" i="16"/>
  <c r="L104" i="17" s="1"/>
  <c r="I971" i="16"/>
  <c r="C920" i="28"/>
  <c r="H919" i="28"/>
  <c r="C920" i="17"/>
  <c r="H919" i="17"/>
  <c r="C920" i="27"/>
  <c r="H919" i="27"/>
  <c r="A973" i="27"/>
  <c r="B972" i="27"/>
  <c r="D972" i="27" a="1"/>
  <c r="D972" i="27" s="1"/>
  <c r="E972" i="27" s="1"/>
  <c r="F972" i="16"/>
  <c r="G972" i="16"/>
  <c r="C920" i="16"/>
  <c r="H919" i="16"/>
  <c r="F971" i="27"/>
  <c r="G971" i="27"/>
  <c r="B970" i="33" l="1"/>
  <c r="A971" i="33"/>
  <c r="B970" i="34"/>
  <c r="A971" i="34"/>
  <c r="B970" i="36"/>
  <c r="A971" i="36"/>
  <c r="B970" i="35"/>
  <c r="A971" i="35"/>
  <c r="F972" i="27"/>
  <c r="G972" i="27"/>
  <c r="C921" i="27"/>
  <c r="H920" i="27"/>
  <c r="C921" i="28"/>
  <c r="H920" i="28"/>
  <c r="C921" i="16"/>
  <c r="H920" i="16"/>
  <c r="A975" i="16"/>
  <c r="B974" i="16"/>
  <c r="D974" i="16" a="1"/>
  <c r="D974" i="16" s="1"/>
  <c r="E974" i="16" s="1"/>
  <c r="I971" i="27"/>
  <c r="K99" i="27"/>
  <c r="N104" i="17" s="1"/>
  <c r="E109" i="9" s="1"/>
  <c r="F109" i="9" s="1"/>
  <c r="A974" i="27"/>
  <c r="B973" i="27"/>
  <c r="D973" i="27" a="1"/>
  <c r="D973" i="27" s="1"/>
  <c r="E973" i="27" s="1"/>
  <c r="C921" i="17"/>
  <c r="H920" i="17"/>
  <c r="I972" i="16"/>
  <c r="F973" i="16"/>
  <c r="G973" i="16"/>
  <c r="O104" i="17" l="1"/>
  <c r="B971" i="34"/>
  <c r="A972" i="34"/>
  <c r="B971" i="36"/>
  <c r="A972" i="36"/>
  <c r="B971" i="33"/>
  <c r="A972" i="33"/>
  <c r="B971" i="35"/>
  <c r="A972" i="35"/>
  <c r="A975" i="27"/>
  <c r="B974" i="27"/>
  <c r="D974" i="27" a="1"/>
  <c r="D974" i="27" s="1"/>
  <c r="E974" i="27" s="1"/>
  <c r="I973" i="16"/>
  <c r="F974" i="16"/>
  <c r="G974" i="16"/>
  <c r="C922" i="16"/>
  <c r="H921" i="16"/>
  <c r="C922" i="27"/>
  <c r="H921" i="27"/>
  <c r="D109" i="9"/>
  <c r="C922" i="17"/>
  <c r="H921" i="17"/>
  <c r="I972" i="27"/>
  <c r="G973" i="27"/>
  <c r="F973" i="27"/>
  <c r="A976" i="16"/>
  <c r="B975" i="16"/>
  <c r="D975" i="16" a="1"/>
  <c r="D975" i="16" s="1"/>
  <c r="E975" i="16" s="1"/>
  <c r="C922" i="28"/>
  <c r="H921" i="28"/>
  <c r="B972" i="33" l="1"/>
  <c r="A973" i="33"/>
  <c r="B972" i="34"/>
  <c r="A973" i="34"/>
  <c r="B972" i="35"/>
  <c r="A973" i="35"/>
  <c r="B972" i="36"/>
  <c r="A973" i="36"/>
  <c r="A977" i="16"/>
  <c r="B976" i="16"/>
  <c r="D976" i="16" a="1"/>
  <c r="D976" i="16" s="1"/>
  <c r="E976" i="16" s="1"/>
  <c r="C923" i="28"/>
  <c r="H922" i="28"/>
  <c r="C923" i="16"/>
  <c r="H922" i="16"/>
  <c r="G974" i="27"/>
  <c r="F974" i="27"/>
  <c r="F975" i="16"/>
  <c r="G975" i="16"/>
  <c r="C923" i="17"/>
  <c r="H922" i="17"/>
  <c r="C923" i="27"/>
  <c r="H922" i="27"/>
  <c r="I973" i="27"/>
  <c r="I974" i="16"/>
  <c r="B975" i="27"/>
  <c r="A976" i="27"/>
  <c r="D975" i="27" a="1"/>
  <c r="D975" i="27" s="1"/>
  <c r="E975" i="27" s="1"/>
  <c r="B973" i="36" l="1"/>
  <c r="A974" i="36"/>
  <c r="B973" i="34"/>
  <c r="A974" i="34"/>
  <c r="B973" i="35"/>
  <c r="A974" i="35"/>
  <c r="B973" i="33"/>
  <c r="A974" i="33"/>
  <c r="G975" i="27"/>
  <c r="F975" i="27"/>
  <c r="C924" i="27"/>
  <c r="H923" i="27"/>
  <c r="C924" i="17"/>
  <c r="H923" i="17"/>
  <c r="I974" i="27"/>
  <c r="C924" i="28"/>
  <c r="H923" i="28"/>
  <c r="G976" i="16"/>
  <c r="F976" i="16"/>
  <c r="A977" i="27"/>
  <c r="B976" i="27"/>
  <c r="D976" i="27" a="1"/>
  <c r="D976" i="27" s="1"/>
  <c r="E976" i="27" s="1"/>
  <c r="C924" i="16"/>
  <c r="H923" i="16"/>
  <c r="I975" i="16"/>
  <c r="A978" i="16"/>
  <c r="B977" i="16"/>
  <c r="D977" i="16" a="1"/>
  <c r="D977" i="16" s="1"/>
  <c r="E977" i="16" s="1"/>
  <c r="B974" i="35" l="1"/>
  <c r="A975" i="35"/>
  <c r="B974" i="33"/>
  <c r="A975" i="33"/>
  <c r="B974" i="36"/>
  <c r="A975" i="36"/>
  <c r="B974" i="34"/>
  <c r="A975" i="34"/>
  <c r="G977" i="16"/>
  <c r="F977" i="16"/>
  <c r="C925" i="28"/>
  <c r="H924" i="28"/>
  <c r="A979" i="16"/>
  <c r="B978" i="16"/>
  <c r="D978" i="16" a="1"/>
  <c r="D978" i="16" s="1"/>
  <c r="E978" i="16" s="1"/>
  <c r="C925" i="16"/>
  <c r="H924" i="16"/>
  <c r="F976" i="27"/>
  <c r="G976" i="27"/>
  <c r="I976" i="16"/>
  <c r="C925" i="27"/>
  <c r="H924" i="27"/>
  <c r="B977" i="27"/>
  <c r="A978" i="27"/>
  <c r="D977" i="27" a="1"/>
  <c r="D977" i="27" s="1"/>
  <c r="E977" i="27" s="1"/>
  <c r="C925" i="17"/>
  <c r="H924" i="17"/>
  <c r="I975" i="27"/>
  <c r="B975" i="33" l="1"/>
  <c r="A976" i="33"/>
  <c r="B975" i="34"/>
  <c r="A976" i="34"/>
  <c r="B975" i="35"/>
  <c r="A976" i="35"/>
  <c r="B975" i="36"/>
  <c r="A976" i="36"/>
  <c r="C926" i="16"/>
  <c r="H925" i="16"/>
  <c r="G978" i="16"/>
  <c r="F978" i="16"/>
  <c r="C926" i="28"/>
  <c r="H925" i="28"/>
  <c r="F977" i="27"/>
  <c r="G977" i="27"/>
  <c r="C926" i="17"/>
  <c r="H925" i="17"/>
  <c r="I976" i="27"/>
  <c r="C926" i="27"/>
  <c r="H925" i="27"/>
  <c r="A979" i="27"/>
  <c r="B978" i="27"/>
  <c r="D978" i="27" a="1"/>
  <c r="D978" i="27" s="1"/>
  <c r="E978" i="27" s="1"/>
  <c r="A980" i="16"/>
  <c r="B979" i="16"/>
  <c r="D979" i="16" a="1"/>
  <c r="D979" i="16" s="1"/>
  <c r="E979" i="16" s="1"/>
  <c r="I977" i="16"/>
  <c r="B976" i="33" l="1"/>
  <c r="A977" i="33"/>
  <c r="B976" i="34"/>
  <c r="A977" i="34"/>
  <c r="B976" i="36"/>
  <c r="A977" i="36"/>
  <c r="B976" i="35"/>
  <c r="A977" i="35"/>
  <c r="I977" i="27"/>
  <c r="B979" i="27"/>
  <c r="A980" i="27"/>
  <c r="D979" i="27" a="1"/>
  <c r="D979" i="27" s="1"/>
  <c r="E979" i="27" s="1"/>
  <c r="I978" i="16"/>
  <c r="F979" i="16"/>
  <c r="G979" i="16"/>
  <c r="A981" i="16"/>
  <c r="B980" i="16"/>
  <c r="D980" i="16" a="1"/>
  <c r="D980" i="16" s="1"/>
  <c r="E980" i="16" s="1"/>
  <c r="G978" i="27"/>
  <c r="F978" i="27"/>
  <c r="C927" i="27"/>
  <c r="H926" i="27"/>
  <c r="C927" i="17"/>
  <c r="H926" i="17"/>
  <c r="C927" i="28"/>
  <c r="H926" i="28"/>
  <c r="C927" i="16"/>
  <c r="H926" i="16"/>
  <c r="B977" i="35" l="1"/>
  <c r="A978" i="35"/>
  <c r="B977" i="36"/>
  <c r="A978" i="36"/>
  <c r="B977" i="34"/>
  <c r="A978" i="34"/>
  <c r="B977" i="33"/>
  <c r="A978" i="33"/>
  <c r="G980" i="16"/>
  <c r="F980" i="16"/>
  <c r="A981" i="27"/>
  <c r="B980" i="27"/>
  <c r="D980" i="27" a="1"/>
  <c r="D980" i="27" s="1"/>
  <c r="E980" i="27" s="1"/>
  <c r="C928" i="17"/>
  <c r="H927" i="17"/>
  <c r="I979" i="16"/>
  <c r="C928" i="16"/>
  <c r="H927" i="16"/>
  <c r="I978" i="27"/>
  <c r="C928" i="28"/>
  <c r="H927" i="28"/>
  <c r="C928" i="27"/>
  <c r="H927" i="27"/>
  <c r="A982" i="16"/>
  <c r="B981" i="16"/>
  <c r="D981" i="16" a="1"/>
  <c r="D981" i="16" s="1"/>
  <c r="E981" i="16" s="1"/>
  <c r="F979" i="27"/>
  <c r="G979" i="27"/>
  <c r="B978" i="35" l="1"/>
  <c r="A979" i="35"/>
  <c r="B978" i="34"/>
  <c r="A979" i="34"/>
  <c r="B978" i="33"/>
  <c r="A979" i="33"/>
  <c r="B978" i="36"/>
  <c r="A979" i="36"/>
  <c r="F981" i="16"/>
  <c r="G981" i="16"/>
  <c r="C929" i="27"/>
  <c r="H928" i="27"/>
  <c r="B981" i="27"/>
  <c r="A982" i="27"/>
  <c r="D981" i="27" a="1"/>
  <c r="D981" i="27" s="1"/>
  <c r="E981" i="27" s="1"/>
  <c r="I979" i="27"/>
  <c r="A983" i="16"/>
  <c r="B982" i="16"/>
  <c r="D982" i="16" a="1"/>
  <c r="D982" i="16" s="1"/>
  <c r="E982" i="16" s="1"/>
  <c r="C929" i="28"/>
  <c r="H928" i="28"/>
  <c r="C929" i="16"/>
  <c r="H928" i="16"/>
  <c r="C929" i="17"/>
  <c r="H928" i="17"/>
  <c r="G980" i="27"/>
  <c r="F980" i="27"/>
  <c r="I980" i="16"/>
  <c r="B979" i="33" l="1"/>
  <c r="A980" i="33"/>
  <c r="B979" i="36"/>
  <c r="A980" i="36"/>
  <c r="B979" i="34"/>
  <c r="A980" i="34"/>
  <c r="B979" i="35"/>
  <c r="A980" i="35"/>
  <c r="F982" i="16"/>
  <c r="G982" i="16"/>
  <c r="F981" i="27"/>
  <c r="G981" i="27"/>
  <c r="C930" i="27"/>
  <c r="H929" i="27"/>
  <c r="I980" i="27"/>
  <c r="A984" i="16"/>
  <c r="B983" i="16"/>
  <c r="D983" i="16" a="1"/>
  <c r="D983" i="16" s="1"/>
  <c r="E983" i="16" s="1"/>
  <c r="A983" i="27"/>
  <c r="B982" i="27"/>
  <c r="D982" i="27" a="1"/>
  <c r="D982" i="27" s="1"/>
  <c r="E982" i="27" s="1"/>
  <c r="I981" i="16"/>
  <c r="K100" i="16"/>
  <c r="L105" i="17" s="1"/>
  <c r="C930" i="16"/>
  <c r="H929" i="16"/>
  <c r="C930" i="17"/>
  <c r="H929" i="17"/>
  <c r="C930" i="28"/>
  <c r="H929" i="28"/>
  <c r="B980" i="36" l="1"/>
  <c r="A981" i="36"/>
  <c r="B980" i="34"/>
  <c r="A981" i="34"/>
  <c r="B980" i="33"/>
  <c r="A981" i="33"/>
  <c r="B980" i="35"/>
  <c r="A981" i="35"/>
  <c r="C931" i="16"/>
  <c r="H930" i="16"/>
  <c r="C931" i="17"/>
  <c r="H930" i="17"/>
  <c r="B983" i="27"/>
  <c r="A984" i="27"/>
  <c r="D983" i="27" a="1"/>
  <c r="D983" i="27" s="1"/>
  <c r="E983" i="27" s="1"/>
  <c r="K100" i="27"/>
  <c r="N105" i="17" s="1"/>
  <c r="E110" i="9" s="1"/>
  <c r="F110" i="9" s="1"/>
  <c r="I981" i="27"/>
  <c r="F983" i="16"/>
  <c r="G983" i="16"/>
  <c r="F982" i="27"/>
  <c r="G982" i="27"/>
  <c r="I982" i="16"/>
  <c r="C931" i="28"/>
  <c r="H930" i="28"/>
  <c r="A985" i="16"/>
  <c r="B984" i="16"/>
  <c r="D984" i="16" a="1"/>
  <c r="D984" i="16" s="1"/>
  <c r="E984" i="16" s="1"/>
  <c r="C931" i="27"/>
  <c r="H930" i="27"/>
  <c r="O105" i="17" l="1"/>
  <c r="B981" i="36"/>
  <c r="A982" i="36"/>
  <c r="B981" i="34"/>
  <c r="A982" i="34"/>
  <c r="B981" i="33"/>
  <c r="A982" i="33"/>
  <c r="B981" i="35"/>
  <c r="A982" i="35"/>
  <c r="D110" i="9"/>
  <c r="G983" i="27"/>
  <c r="F983" i="27"/>
  <c r="C932" i="17"/>
  <c r="H931" i="17"/>
  <c r="C932" i="27"/>
  <c r="H931" i="27"/>
  <c r="I982" i="27"/>
  <c r="A985" i="27"/>
  <c r="B984" i="27"/>
  <c r="D984" i="27" a="1"/>
  <c r="D984" i="27" s="1"/>
  <c r="E984" i="27" s="1"/>
  <c r="F984" i="16"/>
  <c r="G984" i="16"/>
  <c r="C932" i="28"/>
  <c r="H931" i="28"/>
  <c r="A986" i="16"/>
  <c r="B985" i="16"/>
  <c r="D985" i="16" a="1"/>
  <c r="D985" i="16" s="1"/>
  <c r="E985" i="16" s="1"/>
  <c r="I983" i="16"/>
  <c r="C932" i="16"/>
  <c r="H931" i="16"/>
  <c r="B982" i="35" l="1"/>
  <c r="A983" i="35"/>
  <c r="B982" i="34"/>
  <c r="A983" i="34"/>
  <c r="B982" i="33"/>
  <c r="A983" i="33"/>
  <c r="B982" i="36"/>
  <c r="A983" i="36"/>
  <c r="C933" i="16"/>
  <c r="H932" i="16"/>
  <c r="I984" i="16"/>
  <c r="B985" i="27"/>
  <c r="A986" i="27"/>
  <c r="D985" i="27" a="1"/>
  <c r="D985" i="27" s="1"/>
  <c r="E985" i="27" s="1"/>
  <c r="C933" i="27"/>
  <c r="H932" i="27"/>
  <c r="I983" i="27"/>
  <c r="C933" i="28"/>
  <c r="H932" i="28"/>
  <c r="A987" i="16"/>
  <c r="B986" i="16"/>
  <c r="D986" i="16" a="1"/>
  <c r="D986" i="16" s="1"/>
  <c r="E986" i="16" s="1"/>
  <c r="F984" i="27"/>
  <c r="G984" i="27"/>
  <c r="C933" i="17"/>
  <c r="H932" i="17"/>
  <c r="G985" i="16"/>
  <c r="F985" i="16"/>
  <c r="B983" i="35" l="1"/>
  <c r="A984" i="35"/>
  <c r="B983" i="33"/>
  <c r="A984" i="33"/>
  <c r="B983" i="34"/>
  <c r="A984" i="34"/>
  <c r="B983" i="36"/>
  <c r="A984" i="36"/>
  <c r="F986" i="16"/>
  <c r="G986" i="16"/>
  <c r="C934" i="28"/>
  <c r="H933" i="28"/>
  <c r="C934" i="27"/>
  <c r="H933" i="27"/>
  <c r="F985" i="27"/>
  <c r="G985" i="27"/>
  <c r="C934" i="17"/>
  <c r="H933" i="17"/>
  <c r="I984" i="27"/>
  <c r="A988" i="16"/>
  <c r="B987" i="16"/>
  <c r="D987" i="16" a="1"/>
  <c r="D987" i="16" s="1"/>
  <c r="E987" i="16" s="1"/>
  <c r="A987" i="27"/>
  <c r="B986" i="27"/>
  <c r="D986" i="27" a="1"/>
  <c r="D986" i="27" s="1"/>
  <c r="E986" i="27" s="1"/>
  <c r="I985" i="16"/>
  <c r="C934" i="16"/>
  <c r="H933" i="16"/>
  <c r="B984" i="33" l="1"/>
  <c r="A985" i="33"/>
  <c r="B984" i="36"/>
  <c r="A985" i="36"/>
  <c r="B984" i="34"/>
  <c r="A985" i="34"/>
  <c r="B984" i="35"/>
  <c r="A985" i="35"/>
  <c r="B987" i="27"/>
  <c r="A988" i="27"/>
  <c r="D987" i="27" a="1"/>
  <c r="D987" i="27" s="1"/>
  <c r="E987" i="27" s="1"/>
  <c r="I985" i="27"/>
  <c r="F987" i="16"/>
  <c r="G987" i="16"/>
  <c r="C935" i="28"/>
  <c r="H934" i="28"/>
  <c r="I986" i="16"/>
  <c r="G986" i="27"/>
  <c r="F986" i="27"/>
  <c r="C935" i="16"/>
  <c r="H934" i="16"/>
  <c r="A989" i="16"/>
  <c r="B988" i="16"/>
  <c r="D988" i="16" a="1"/>
  <c r="D988" i="16" s="1"/>
  <c r="E988" i="16" s="1"/>
  <c r="C935" i="17"/>
  <c r="H934" i="17"/>
  <c r="C935" i="27"/>
  <c r="H934" i="27"/>
  <c r="B985" i="33" l="1"/>
  <c r="A986" i="33"/>
  <c r="B985" i="34"/>
  <c r="A986" i="34"/>
  <c r="B985" i="35"/>
  <c r="A986" i="35"/>
  <c r="B985" i="36"/>
  <c r="A986" i="36"/>
  <c r="C936" i="17"/>
  <c r="H935" i="17"/>
  <c r="A990" i="16"/>
  <c r="B989" i="16"/>
  <c r="D989" i="16" a="1"/>
  <c r="D989" i="16" s="1"/>
  <c r="E989" i="16" s="1"/>
  <c r="I986" i="27"/>
  <c r="C936" i="28"/>
  <c r="H935" i="28"/>
  <c r="F987" i="27"/>
  <c r="G987" i="27"/>
  <c r="F988" i="16"/>
  <c r="G988" i="16"/>
  <c r="C936" i="16"/>
  <c r="H935" i="16"/>
  <c r="A989" i="27"/>
  <c r="B988" i="27"/>
  <c r="D988" i="27" a="1"/>
  <c r="D988" i="27" s="1"/>
  <c r="E988" i="27" s="1"/>
  <c r="I987" i="16"/>
  <c r="C936" i="27"/>
  <c r="H935" i="27"/>
  <c r="B986" i="36" l="1"/>
  <c r="A987" i="36"/>
  <c r="B986" i="34"/>
  <c r="A987" i="34"/>
  <c r="B986" i="35"/>
  <c r="A987" i="35"/>
  <c r="B986" i="33"/>
  <c r="A987" i="33"/>
  <c r="C937" i="27"/>
  <c r="H936" i="27"/>
  <c r="I988" i="16"/>
  <c r="B989" i="27"/>
  <c r="A990" i="27"/>
  <c r="D989" i="27" a="1"/>
  <c r="D989" i="27" s="1"/>
  <c r="E989" i="27" s="1"/>
  <c r="C937" i="28"/>
  <c r="H936" i="28"/>
  <c r="I987" i="27"/>
  <c r="A991" i="16"/>
  <c r="B990" i="16"/>
  <c r="D990" i="16" a="1"/>
  <c r="D990" i="16" s="1"/>
  <c r="E990" i="16" s="1"/>
  <c r="G988" i="27"/>
  <c r="F988" i="27"/>
  <c r="C937" i="16"/>
  <c r="H936" i="16"/>
  <c r="F989" i="16"/>
  <c r="G989" i="16"/>
  <c r="C937" i="17"/>
  <c r="H936" i="17"/>
  <c r="B987" i="35" l="1"/>
  <c r="A988" i="35"/>
  <c r="B987" i="33"/>
  <c r="A988" i="33"/>
  <c r="B987" i="34"/>
  <c r="A988" i="34"/>
  <c r="B987" i="36"/>
  <c r="A988" i="36"/>
  <c r="I989" i="16"/>
  <c r="A992" i="16"/>
  <c r="B991" i="16"/>
  <c r="D991" i="16" a="1"/>
  <c r="D991" i="16" s="1"/>
  <c r="E991" i="16" s="1"/>
  <c r="C938" i="28"/>
  <c r="H937" i="28"/>
  <c r="F989" i="27"/>
  <c r="G989" i="27"/>
  <c r="G990" i="16"/>
  <c r="F990" i="16"/>
  <c r="A991" i="27"/>
  <c r="B990" i="27"/>
  <c r="D990" i="27" a="1"/>
  <c r="D990" i="27" s="1"/>
  <c r="E990" i="27" s="1"/>
  <c r="I988" i="27"/>
  <c r="C938" i="17"/>
  <c r="H937" i="17"/>
  <c r="C938" i="16"/>
  <c r="H937" i="16"/>
  <c r="C938" i="27"/>
  <c r="H937" i="27"/>
  <c r="B988" i="36" l="1"/>
  <c r="A989" i="36"/>
  <c r="B988" i="34"/>
  <c r="A989" i="34"/>
  <c r="B988" i="35"/>
  <c r="A989" i="35"/>
  <c r="B988" i="33"/>
  <c r="A989" i="33"/>
  <c r="C939" i="27"/>
  <c r="H938" i="27"/>
  <c r="C939" i="17"/>
  <c r="H938" i="17"/>
  <c r="I989" i="27"/>
  <c r="B991" i="27"/>
  <c r="A992" i="27"/>
  <c r="D991" i="27" a="1"/>
  <c r="D991" i="27" s="1"/>
  <c r="E991" i="27" s="1"/>
  <c r="C939" i="16"/>
  <c r="H938" i="16"/>
  <c r="A993" i="16"/>
  <c r="B992" i="16"/>
  <c r="D992" i="16" a="1"/>
  <c r="D992" i="16" s="1"/>
  <c r="E992" i="16" s="1"/>
  <c r="G990" i="27"/>
  <c r="F990" i="27"/>
  <c r="I990" i="16"/>
  <c r="C939" i="28"/>
  <c r="H938" i="28"/>
  <c r="G991" i="16"/>
  <c r="F991" i="16"/>
  <c r="B989" i="33" l="1"/>
  <c r="A990" i="33"/>
  <c r="B989" i="34"/>
  <c r="A990" i="34"/>
  <c r="B989" i="35"/>
  <c r="A990" i="35"/>
  <c r="B989" i="36"/>
  <c r="A990" i="36"/>
  <c r="I991" i="16"/>
  <c r="K101" i="16"/>
  <c r="L106" i="17" s="1"/>
  <c r="A994" i="16"/>
  <c r="B993" i="16"/>
  <c r="D993" i="16" a="1"/>
  <c r="D993" i="16" s="1"/>
  <c r="E993" i="16" s="1"/>
  <c r="A993" i="27"/>
  <c r="B992" i="27"/>
  <c r="D992" i="27" a="1"/>
  <c r="D992" i="27" s="1"/>
  <c r="E992" i="27" s="1"/>
  <c r="C940" i="28"/>
  <c r="H939" i="28"/>
  <c r="I990" i="27"/>
  <c r="C940" i="17"/>
  <c r="H939" i="17"/>
  <c r="F992" i="16"/>
  <c r="G992" i="16"/>
  <c r="C940" i="16"/>
  <c r="H939" i="16"/>
  <c r="G991" i="27"/>
  <c r="F991" i="27"/>
  <c r="C940" i="27"/>
  <c r="H939" i="27"/>
  <c r="B990" i="35" l="1"/>
  <c r="A991" i="35"/>
  <c r="B990" i="36"/>
  <c r="A991" i="36"/>
  <c r="B990" i="33"/>
  <c r="A991" i="33"/>
  <c r="B990" i="34"/>
  <c r="A991" i="34"/>
  <c r="G992" i="27"/>
  <c r="F992" i="27"/>
  <c r="K101" i="27"/>
  <c r="N106" i="17" s="1"/>
  <c r="E111" i="9" s="1"/>
  <c r="F111" i="9" s="1"/>
  <c r="I991" i="27"/>
  <c r="A995" i="16"/>
  <c r="B994" i="16"/>
  <c r="D994" i="16" a="1"/>
  <c r="D994" i="16" s="1"/>
  <c r="E994" i="16" s="1"/>
  <c r="C941" i="16"/>
  <c r="H940" i="16"/>
  <c r="C941" i="17"/>
  <c r="H940" i="17"/>
  <c r="B993" i="27"/>
  <c r="A994" i="27"/>
  <c r="D993" i="27" a="1"/>
  <c r="D993" i="27" s="1"/>
  <c r="E993" i="27" s="1"/>
  <c r="F993" i="16"/>
  <c r="G993" i="16"/>
  <c r="C941" i="27"/>
  <c r="H940" i="27"/>
  <c r="C941" i="28"/>
  <c r="H940" i="28"/>
  <c r="I992" i="16"/>
  <c r="O106" i="17" l="1"/>
  <c r="B991" i="33"/>
  <c r="A992" i="33"/>
  <c r="B991" i="34"/>
  <c r="A992" i="34"/>
  <c r="B991" i="36"/>
  <c r="A992" i="36"/>
  <c r="B991" i="35"/>
  <c r="A992" i="35"/>
  <c r="G994" i="16"/>
  <c r="F994" i="16"/>
  <c r="C942" i="27"/>
  <c r="H941" i="27"/>
  <c r="C942" i="17"/>
  <c r="H941" i="17"/>
  <c r="G993" i="27"/>
  <c r="F993" i="27"/>
  <c r="D111" i="9"/>
  <c r="A995" i="27"/>
  <c r="B994" i="27"/>
  <c r="D994" i="27" a="1"/>
  <c r="D994" i="27" s="1"/>
  <c r="E994" i="27" s="1"/>
  <c r="A996" i="16"/>
  <c r="B995" i="16"/>
  <c r="D995" i="16" a="1"/>
  <c r="D995" i="16" s="1"/>
  <c r="E995" i="16" s="1"/>
  <c r="C942" i="28"/>
  <c r="H941" i="28"/>
  <c r="I993" i="16"/>
  <c r="C942" i="16"/>
  <c r="H941" i="16"/>
  <c r="I992" i="27"/>
  <c r="B992" i="34" l="1"/>
  <c r="A993" i="34"/>
  <c r="B992" i="36"/>
  <c r="A993" i="36"/>
  <c r="B992" i="33"/>
  <c r="A993" i="33"/>
  <c r="B992" i="35"/>
  <c r="A993" i="35"/>
  <c r="F995" i="16"/>
  <c r="G995" i="16"/>
  <c r="B995" i="27"/>
  <c r="A996" i="27"/>
  <c r="D995" i="27" a="1"/>
  <c r="D995" i="27" s="1"/>
  <c r="E995" i="27" s="1"/>
  <c r="C943" i="28"/>
  <c r="H942" i="28"/>
  <c r="A997" i="16"/>
  <c r="B996" i="16"/>
  <c r="D996" i="16" a="1"/>
  <c r="D996" i="16" s="1"/>
  <c r="E996" i="16" s="1"/>
  <c r="I993" i="27"/>
  <c r="C943" i="27"/>
  <c r="H942" i="27"/>
  <c r="F994" i="27"/>
  <c r="G994" i="27"/>
  <c r="C943" i="16"/>
  <c r="H942" i="16"/>
  <c r="C943" i="17"/>
  <c r="H942" i="17"/>
  <c r="I994" i="16"/>
  <c r="B993" i="34" l="1"/>
  <c r="A994" i="34"/>
  <c r="B993" i="36"/>
  <c r="A994" i="36"/>
  <c r="B993" i="35"/>
  <c r="A994" i="35"/>
  <c r="B993" i="33"/>
  <c r="A994" i="33"/>
  <c r="C944" i="17"/>
  <c r="H943" i="17"/>
  <c r="C944" i="16"/>
  <c r="H943" i="16"/>
  <c r="C944" i="27"/>
  <c r="H943" i="27"/>
  <c r="I994" i="27"/>
  <c r="A998" i="16"/>
  <c r="B997" i="16"/>
  <c r="D997" i="16" a="1"/>
  <c r="D997" i="16" s="1"/>
  <c r="E997" i="16" s="1"/>
  <c r="A997" i="27"/>
  <c r="B996" i="27"/>
  <c r="D996" i="27" a="1"/>
  <c r="D996" i="27" s="1"/>
  <c r="E996" i="27" s="1"/>
  <c r="G996" i="16"/>
  <c r="F996" i="16"/>
  <c r="C944" i="28"/>
  <c r="H943" i="28"/>
  <c r="I995" i="16"/>
  <c r="G995" i="27"/>
  <c r="F995" i="27"/>
  <c r="B994" i="34" l="1"/>
  <c r="A995" i="34"/>
  <c r="B994" i="35"/>
  <c r="A995" i="35"/>
  <c r="B994" i="33"/>
  <c r="A995" i="33"/>
  <c r="B994" i="36"/>
  <c r="A995" i="36"/>
  <c r="I996" i="16"/>
  <c r="A998" i="27"/>
  <c r="B997" i="27"/>
  <c r="D997" i="27" a="1"/>
  <c r="D997" i="27" s="1"/>
  <c r="E997" i="27" s="1"/>
  <c r="F997" i="16"/>
  <c r="G997" i="16"/>
  <c r="C945" i="16"/>
  <c r="H944" i="16"/>
  <c r="F996" i="27"/>
  <c r="G996" i="27"/>
  <c r="I995" i="27"/>
  <c r="C945" i="28"/>
  <c r="H944" i="28"/>
  <c r="A999" i="16"/>
  <c r="B998" i="16"/>
  <c r="D998" i="16" a="1"/>
  <c r="D998" i="16" s="1"/>
  <c r="E998" i="16" s="1"/>
  <c r="C945" i="27"/>
  <c r="H944" i="27"/>
  <c r="C945" i="17"/>
  <c r="H944" i="17"/>
  <c r="B995" i="36" l="1"/>
  <c r="A996" i="36"/>
  <c r="B995" i="33"/>
  <c r="A996" i="33"/>
  <c r="B995" i="35"/>
  <c r="A996" i="35"/>
  <c r="B995" i="34"/>
  <c r="A996" i="34"/>
  <c r="A1000" i="16"/>
  <c r="B999" i="16"/>
  <c r="D999" i="16" a="1"/>
  <c r="D999" i="16" s="1"/>
  <c r="E999" i="16" s="1"/>
  <c r="C946" i="16"/>
  <c r="H945" i="16"/>
  <c r="C946" i="17"/>
  <c r="H945" i="17"/>
  <c r="C946" i="27"/>
  <c r="H945" i="27"/>
  <c r="I996" i="27"/>
  <c r="I997" i="16"/>
  <c r="A999" i="27"/>
  <c r="B998" i="27"/>
  <c r="D998" i="27" a="1"/>
  <c r="D998" i="27" s="1"/>
  <c r="E998" i="27" s="1"/>
  <c r="F998" i="16"/>
  <c r="G998" i="16"/>
  <c r="C946" i="28"/>
  <c r="H945" i="28"/>
  <c r="F997" i="27"/>
  <c r="G997" i="27"/>
  <c r="B996" i="36" l="1"/>
  <c r="A997" i="36"/>
  <c r="B996" i="35"/>
  <c r="A997" i="35"/>
  <c r="B996" i="34"/>
  <c r="A997" i="34"/>
  <c r="B996" i="33"/>
  <c r="A997" i="33"/>
  <c r="F998" i="27"/>
  <c r="G998" i="27"/>
  <c r="C947" i="27"/>
  <c r="H946" i="27"/>
  <c r="C947" i="16"/>
  <c r="H946" i="16"/>
  <c r="F999" i="16"/>
  <c r="G999" i="16"/>
  <c r="I997" i="27"/>
  <c r="C947" i="17"/>
  <c r="H946" i="17"/>
  <c r="C947" i="28"/>
  <c r="H946" i="28"/>
  <c r="I998" i="16"/>
  <c r="A1000" i="27"/>
  <c r="B999" i="27"/>
  <c r="D999" i="27" a="1"/>
  <c r="D999" i="27" s="1"/>
  <c r="E999" i="27" s="1"/>
  <c r="A1001" i="16"/>
  <c r="B1000" i="16"/>
  <c r="D1000" i="16" a="1"/>
  <c r="D1000" i="16" s="1"/>
  <c r="E1000" i="16" s="1"/>
  <c r="B997" i="33" l="1"/>
  <c r="A998" i="33"/>
  <c r="B997" i="35"/>
  <c r="A998" i="35"/>
  <c r="B997" i="36"/>
  <c r="A998" i="36"/>
  <c r="B997" i="34"/>
  <c r="A998" i="34"/>
  <c r="B1000" i="27"/>
  <c r="A1001" i="27"/>
  <c r="D1000" i="27" a="1"/>
  <c r="D1000" i="27" s="1"/>
  <c r="E1000" i="27" s="1"/>
  <c r="C948" i="28"/>
  <c r="H947" i="28"/>
  <c r="A1002" i="16"/>
  <c r="B1001" i="16"/>
  <c r="D1001" i="16" a="1"/>
  <c r="D1001" i="16" s="1"/>
  <c r="E1001" i="16" s="1"/>
  <c r="I999" i="16"/>
  <c r="C948" i="17"/>
  <c r="H947" i="17"/>
  <c r="C948" i="27"/>
  <c r="H947" i="27"/>
  <c r="G999" i="27"/>
  <c r="F999" i="27"/>
  <c r="I998" i="27"/>
  <c r="F1000" i="16"/>
  <c r="G1000" i="16"/>
  <c r="C948" i="16"/>
  <c r="H947" i="16"/>
  <c r="B998" i="35" l="1"/>
  <c r="A999" i="35"/>
  <c r="B998" i="36"/>
  <c r="A999" i="36"/>
  <c r="B998" i="33"/>
  <c r="A999" i="33"/>
  <c r="B998" i="34"/>
  <c r="A999" i="34"/>
  <c r="G1001" i="16"/>
  <c r="F1001" i="16"/>
  <c r="C949" i="28"/>
  <c r="H948" i="28"/>
  <c r="G1000" i="27"/>
  <c r="F1000" i="27"/>
  <c r="I999" i="27"/>
  <c r="C949" i="17"/>
  <c r="H948" i="17"/>
  <c r="A1003" i="16"/>
  <c r="B1002" i="16"/>
  <c r="D1002" i="16" a="1"/>
  <c r="D1002" i="16" s="1"/>
  <c r="E1002" i="16" s="1"/>
  <c r="B1001" i="27"/>
  <c r="A1002" i="27"/>
  <c r="D1001" i="27" a="1"/>
  <c r="D1001" i="27" s="1"/>
  <c r="E1001" i="27" s="1"/>
  <c r="I1000" i="16"/>
  <c r="C949" i="16"/>
  <c r="H948" i="16"/>
  <c r="C949" i="27"/>
  <c r="H948" i="27"/>
  <c r="B999" i="34" l="1"/>
  <c r="A1000" i="34"/>
  <c r="B999" i="35"/>
  <c r="A1000" i="35"/>
  <c r="B999" i="33"/>
  <c r="A1000" i="33"/>
  <c r="B999" i="36"/>
  <c r="A1000" i="36"/>
  <c r="F1001" i="27"/>
  <c r="G1001" i="27"/>
  <c r="C950" i="27"/>
  <c r="H949" i="27"/>
  <c r="C950" i="16"/>
  <c r="H949" i="16"/>
  <c r="B1002" i="27"/>
  <c r="A1003" i="27"/>
  <c r="D1002" i="27" a="1"/>
  <c r="D1002" i="27" s="1"/>
  <c r="E1002" i="27" s="1"/>
  <c r="A1004" i="16"/>
  <c r="B1003" i="16"/>
  <c r="D1003" i="16" a="1"/>
  <c r="D1003" i="16" s="1"/>
  <c r="E1003" i="16" s="1"/>
  <c r="C950" i="28"/>
  <c r="H949" i="28"/>
  <c r="F1002" i="16"/>
  <c r="G1002" i="16"/>
  <c r="C950" i="17"/>
  <c r="H949" i="17"/>
  <c r="I1000" i="27"/>
  <c r="I1001" i="16"/>
  <c r="K102" i="16"/>
  <c r="L107" i="17" s="1"/>
  <c r="B1000" i="33" l="1"/>
  <c r="A1001" i="33"/>
  <c r="B1000" i="36"/>
  <c r="A1001" i="36"/>
  <c r="B1000" i="35"/>
  <c r="A1001" i="35"/>
  <c r="B1000" i="34"/>
  <c r="A1001" i="34"/>
  <c r="F1003" i="16"/>
  <c r="G1003" i="16"/>
  <c r="B1003" i="27"/>
  <c r="A1004" i="27"/>
  <c r="D1003" i="27" a="1"/>
  <c r="D1003" i="27" s="1"/>
  <c r="E1003" i="27" s="1"/>
  <c r="C951" i="28"/>
  <c r="H950" i="28"/>
  <c r="I1002" i="16"/>
  <c r="C951" i="27"/>
  <c r="H950" i="27"/>
  <c r="C951" i="17"/>
  <c r="H950" i="17"/>
  <c r="A1005" i="16"/>
  <c r="B1004" i="16"/>
  <c r="D1004" i="16" a="1"/>
  <c r="D1004" i="16" s="1"/>
  <c r="E1004" i="16" s="1"/>
  <c r="I1001" i="27"/>
  <c r="K102" i="27"/>
  <c r="N107" i="17" s="1"/>
  <c r="E112" i="9" s="1"/>
  <c r="F112" i="9" s="1"/>
  <c r="F1002" i="27"/>
  <c r="G1002" i="27"/>
  <c r="C951" i="16"/>
  <c r="H950" i="16"/>
  <c r="O107" i="17" l="1"/>
  <c r="B1001" i="34"/>
  <c r="A1002" i="34"/>
  <c r="B1001" i="35"/>
  <c r="A1002" i="35"/>
  <c r="B1001" i="33"/>
  <c r="A1002" i="33"/>
  <c r="B1001" i="36"/>
  <c r="A1002" i="36"/>
  <c r="C952" i="17"/>
  <c r="H951" i="17"/>
  <c r="B1004" i="27"/>
  <c r="A1005" i="27"/>
  <c r="D1004" i="27" a="1"/>
  <c r="D1004" i="27" s="1"/>
  <c r="E1004" i="27" s="1"/>
  <c r="F1004" i="16"/>
  <c r="G1004" i="16"/>
  <c r="C952" i="16"/>
  <c r="H951" i="16"/>
  <c r="A1006" i="16"/>
  <c r="B1005" i="16"/>
  <c r="D1005" i="16" a="1"/>
  <c r="D1005" i="16" s="1"/>
  <c r="E1005" i="16" s="1"/>
  <c r="I1002" i="27"/>
  <c r="D112" i="9"/>
  <c r="C952" i="27"/>
  <c r="H951" i="27"/>
  <c r="C952" i="28"/>
  <c r="H951" i="28"/>
  <c r="I1003" i="16"/>
  <c r="G1003" i="27"/>
  <c r="F1003" i="27"/>
  <c r="B1002" i="35" l="1"/>
  <c r="A1003" i="35"/>
  <c r="B1002" i="33"/>
  <c r="A1003" i="33"/>
  <c r="B1002" i="34"/>
  <c r="A1003" i="34"/>
  <c r="B1002" i="36"/>
  <c r="A1003" i="36"/>
  <c r="F1005" i="16"/>
  <c r="G1005" i="16"/>
  <c r="C953" i="16"/>
  <c r="H952" i="16"/>
  <c r="B1005" i="27"/>
  <c r="A1006" i="27"/>
  <c r="D1005" i="27" a="1"/>
  <c r="D1005" i="27" s="1"/>
  <c r="E1005" i="27" s="1"/>
  <c r="C953" i="28"/>
  <c r="H952" i="28"/>
  <c r="I1003" i="27"/>
  <c r="I1004" i="16"/>
  <c r="C953" i="27"/>
  <c r="H952" i="27"/>
  <c r="A1007" i="16"/>
  <c r="B1006" i="16"/>
  <c r="D1006" i="16" a="1"/>
  <c r="D1006" i="16" s="1"/>
  <c r="E1006" i="16" s="1"/>
  <c r="F1004" i="27"/>
  <c r="G1004" i="27"/>
  <c r="C953" i="17"/>
  <c r="H952" i="17"/>
  <c r="B1003" i="35" l="1"/>
  <c r="A1004" i="35"/>
  <c r="B1003" i="36"/>
  <c r="A1004" i="36"/>
  <c r="B1003" i="33"/>
  <c r="A1004" i="33"/>
  <c r="B1003" i="34"/>
  <c r="A1004" i="34"/>
  <c r="F1006" i="16"/>
  <c r="G1006" i="16"/>
  <c r="C954" i="27"/>
  <c r="H953" i="27"/>
  <c r="G1005" i="27"/>
  <c r="F1005" i="27"/>
  <c r="C954" i="16"/>
  <c r="H953" i="16"/>
  <c r="I1004" i="27"/>
  <c r="B1007" i="16"/>
  <c r="D1007" i="16" a="1"/>
  <c r="D1007" i="16" s="1"/>
  <c r="E1007" i="16" s="1"/>
  <c r="C954" i="28"/>
  <c r="H953" i="28"/>
  <c r="B1006" i="27"/>
  <c r="A1007" i="27"/>
  <c r="D1006" i="27" a="1"/>
  <c r="D1006" i="27" s="1"/>
  <c r="E1006" i="27" s="1"/>
  <c r="I1005" i="16"/>
  <c r="C954" i="17"/>
  <c r="H953" i="17"/>
  <c r="B1004" i="36" l="1"/>
  <c r="A1005" i="36"/>
  <c r="B1004" i="34"/>
  <c r="A1005" i="34"/>
  <c r="B1004" i="33"/>
  <c r="A1005" i="33"/>
  <c r="B1004" i="35"/>
  <c r="A1005" i="35"/>
  <c r="F1007" i="16"/>
  <c r="G1007" i="16"/>
  <c r="C955" i="17"/>
  <c r="H954" i="17"/>
  <c r="B1007" i="27"/>
  <c r="D1007" i="27" a="1"/>
  <c r="D1007" i="27" s="1"/>
  <c r="E1007" i="27" s="1"/>
  <c r="C955" i="16"/>
  <c r="H954" i="16"/>
  <c r="C955" i="27"/>
  <c r="H954" i="27"/>
  <c r="I1006" i="16"/>
  <c r="G1006" i="27"/>
  <c r="F1006" i="27"/>
  <c r="C955" i="28"/>
  <c r="H954" i="28"/>
  <c r="I1005" i="27"/>
  <c r="B1005" i="34" l="1"/>
  <c r="A1006" i="34"/>
  <c r="B1005" i="36"/>
  <c r="A1006" i="36"/>
  <c r="B1005" i="33"/>
  <c r="A1006" i="33"/>
  <c r="B1005" i="35"/>
  <c r="A1006" i="35"/>
  <c r="I1006" i="27"/>
  <c r="C956" i="27"/>
  <c r="H955" i="27"/>
  <c r="C956" i="28"/>
  <c r="H955" i="28"/>
  <c r="C956" i="16"/>
  <c r="H955" i="16"/>
  <c r="C956" i="17"/>
  <c r="H955" i="17"/>
  <c r="F1007" i="27"/>
  <c r="G1007" i="27"/>
  <c r="I1007" i="16"/>
  <c r="B1006" i="34" l="1"/>
  <c r="A1007" i="34"/>
  <c r="B1006" i="36"/>
  <c r="A1007" i="36"/>
  <c r="B1006" i="35"/>
  <c r="A1007" i="35"/>
  <c r="B1006" i="33"/>
  <c r="A1007" i="33"/>
  <c r="I1007" i="27"/>
  <c r="C957" i="16"/>
  <c r="H956" i="16"/>
  <c r="C957" i="27"/>
  <c r="H956" i="27"/>
  <c r="C957" i="17"/>
  <c r="H956" i="17"/>
  <c r="C957" i="28"/>
  <c r="H956" i="28"/>
  <c r="B1007" i="35" l="1"/>
  <c r="B1007" i="33"/>
  <c r="B1007" i="36"/>
  <c r="B1007" i="34"/>
  <c r="C958" i="28"/>
  <c r="H957" i="28"/>
  <c r="C958" i="16"/>
  <c r="H957" i="16"/>
  <c r="C958" i="17"/>
  <c r="H957" i="17"/>
  <c r="C958" i="27"/>
  <c r="H957" i="27"/>
  <c r="C959" i="27" l="1"/>
  <c r="H958" i="27"/>
  <c r="C959" i="17"/>
  <c r="H958" i="17"/>
  <c r="C959" i="16"/>
  <c r="H958" i="16"/>
  <c r="C959" i="28"/>
  <c r="H958" i="28"/>
  <c r="C960" i="28" l="1"/>
  <c r="H959" i="28"/>
  <c r="C960" i="16"/>
  <c r="H959" i="16"/>
  <c r="C960" i="17"/>
  <c r="H959" i="17"/>
  <c r="C960" i="27"/>
  <c r="H959" i="27"/>
  <c r="C961" i="16" l="1"/>
  <c r="H960" i="16"/>
  <c r="C961" i="17"/>
  <c r="H960" i="17"/>
  <c r="C961" i="28"/>
  <c r="H960" i="28"/>
  <c r="C961" i="27"/>
  <c r="H960" i="27"/>
  <c r="C962" i="27" l="1"/>
  <c r="H961" i="27"/>
  <c r="C962" i="17"/>
  <c r="H961" i="17"/>
  <c r="C962" i="28"/>
  <c r="H961" i="28"/>
  <c r="C962" i="16"/>
  <c r="H961" i="16"/>
  <c r="C963" i="28" l="1"/>
  <c r="H962" i="28"/>
  <c r="C963" i="17"/>
  <c r="H962" i="17"/>
  <c r="C963" i="16"/>
  <c r="H962" i="16"/>
  <c r="C963" i="27"/>
  <c r="H962" i="27"/>
  <c r="C964" i="27" l="1"/>
  <c r="H963" i="27"/>
  <c r="C964" i="16"/>
  <c r="H963" i="16"/>
  <c r="C964" i="17"/>
  <c r="H963" i="17"/>
  <c r="C964" i="28"/>
  <c r="H963" i="28"/>
  <c r="C965" i="16" l="1"/>
  <c r="H964" i="16"/>
  <c r="C965" i="28"/>
  <c r="H964" i="28"/>
  <c r="C965" i="17"/>
  <c r="H964" i="17"/>
  <c r="C965" i="27"/>
  <c r="H964" i="27"/>
  <c r="C966" i="27" l="1"/>
  <c r="H965" i="27"/>
  <c r="C966" i="17"/>
  <c r="H965" i="17"/>
  <c r="C966" i="28"/>
  <c r="H965" i="28"/>
  <c r="C966" i="16"/>
  <c r="H965" i="16"/>
  <c r="C967" i="28" l="1"/>
  <c r="H966" i="28"/>
  <c r="C967" i="17"/>
  <c r="H966" i="17"/>
  <c r="C967" i="16"/>
  <c r="H966" i="16"/>
  <c r="C967" i="27"/>
  <c r="H966" i="27"/>
  <c r="C968" i="27" l="1"/>
  <c r="H967" i="27"/>
  <c r="C968" i="16"/>
  <c r="H967" i="16"/>
  <c r="C968" i="17"/>
  <c r="H967" i="17"/>
  <c r="C968" i="28"/>
  <c r="H967" i="28"/>
  <c r="C969" i="17" l="1"/>
  <c r="H968" i="17"/>
  <c r="C969" i="28"/>
  <c r="H968" i="28"/>
  <c r="C969" i="16"/>
  <c r="H968" i="16"/>
  <c r="C969" i="27"/>
  <c r="H968" i="27"/>
  <c r="C970" i="16" l="1"/>
  <c r="H969" i="16"/>
  <c r="C970" i="28"/>
  <c r="H969" i="28"/>
  <c r="C970" i="27"/>
  <c r="H969" i="27"/>
  <c r="C970" i="17"/>
  <c r="H969" i="17"/>
  <c r="C971" i="28" l="1"/>
  <c r="H970" i="28"/>
  <c r="C971" i="27"/>
  <c r="H970" i="27"/>
  <c r="C971" i="17"/>
  <c r="H970" i="17"/>
  <c r="C971" i="16"/>
  <c r="H970" i="16"/>
  <c r="C972" i="16" l="1"/>
  <c r="H971" i="16"/>
  <c r="C972" i="27"/>
  <c r="H971" i="27"/>
  <c r="C972" i="17"/>
  <c r="H971" i="17"/>
  <c r="C972" i="28"/>
  <c r="H971" i="28"/>
  <c r="C973" i="28" l="1"/>
  <c r="H972" i="28"/>
  <c r="C973" i="27"/>
  <c r="H972" i="27"/>
  <c r="C973" i="17"/>
  <c r="H972" i="17"/>
  <c r="C973" i="16"/>
  <c r="H972" i="16"/>
  <c r="C974" i="16" l="1"/>
  <c r="H973" i="16"/>
  <c r="C974" i="17"/>
  <c r="H973" i="17"/>
  <c r="C974" i="27"/>
  <c r="H973" i="27"/>
  <c r="C974" i="28"/>
  <c r="H973" i="28"/>
  <c r="C975" i="16" l="1"/>
  <c r="H974" i="16"/>
  <c r="C975" i="28"/>
  <c r="H974" i="28"/>
  <c r="C975" i="17"/>
  <c r="H974" i="17"/>
  <c r="C975" i="27"/>
  <c r="H974" i="27"/>
  <c r="C976" i="27" l="1"/>
  <c r="H975" i="27"/>
  <c r="C976" i="17"/>
  <c r="H975" i="17"/>
  <c r="C976" i="28"/>
  <c r="H975" i="28"/>
  <c r="C976" i="16"/>
  <c r="H975" i="16"/>
  <c r="C977" i="28" l="1"/>
  <c r="H976" i="28"/>
  <c r="C977" i="27"/>
  <c r="H976" i="27"/>
  <c r="C977" i="16"/>
  <c r="H976" i="16"/>
  <c r="C977" i="17"/>
  <c r="H976" i="17"/>
  <c r="C978" i="16" l="1"/>
  <c r="H977" i="16"/>
  <c r="C978" i="27"/>
  <c r="H977" i="27"/>
  <c r="C978" i="17"/>
  <c r="H977" i="17"/>
  <c r="C978" i="28"/>
  <c r="H977" i="28"/>
  <c r="C979" i="28" l="1"/>
  <c r="H978" i="28"/>
  <c r="C979" i="17"/>
  <c r="H978" i="17"/>
  <c r="C979" i="27"/>
  <c r="H978" i="27"/>
  <c r="C979" i="16"/>
  <c r="H978" i="16"/>
  <c r="C980" i="27" l="1"/>
  <c r="H979" i="27"/>
  <c r="C980" i="17"/>
  <c r="H979" i="17"/>
  <c r="C980" i="16"/>
  <c r="H979" i="16"/>
  <c r="C980" i="28"/>
  <c r="H979" i="28"/>
  <c r="C981" i="28" l="1"/>
  <c r="H980" i="28"/>
  <c r="C981" i="16"/>
  <c r="H980" i="16"/>
  <c r="C981" i="17"/>
  <c r="H980" i="17"/>
  <c r="C981" i="27"/>
  <c r="H980" i="27"/>
  <c r="C982" i="16" l="1"/>
  <c r="H981" i="16"/>
  <c r="C982" i="17"/>
  <c r="H981" i="17"/>
  <c r="C982" i="27"/>
  <c r="H981" i="27"/>
  <c r="C982" i="28"/>
  <c r="H981" i="28"/>
  <c r="C983" i="28" l="1"/>
  <c r="H982" i="28"/>
  <c r="C983" i="27"/>
  <c r="H982" i="27"/>
  <c r="C983" i="17"/>
  <c r="H982" i="17"/>
  <c r="C983" i="16"/>
  <c r="H982" i="16"/>
  <c r="C984" i="17" l="1"/>
  <c r="H983" i="17"/>
  <c r="C984" i="27"/>
  <c r="H983" i="27"/>
  <c r="C984" i="16"/>
  <c r="H983" i="16"/>
  <c r="C984" i="28"/>
  <c r="H983" i="28"/>
  <c r="C985" i="16" l="1"/>
  <c r="H984" i="16"/>
  <c r="C985" i="27"/>
  <c r="H984" i="27"/>
  <c r="C985" i="28"/>
  <c r="H984" i="28"/>
  <c r="C985" i="17"/>
  <c r="H984" i="17"/>
  <c r="C986" i="17" l="1"/>
  <c r="H985" i="17"/>
  <c r="C986" i="28"/>
  <c r="H985" i="28"/>
  <c r="C986" i="27"/>
  <c r="H985" i="27"/>
  <c r="C986" i="16"/>
  <c r="H985" i="16"/>
  <c r="C987" i="16" l="1"/>
  <c r="H986" i="16"/>
  <c r="C987" i="27"/>
  <c r="H986" i="27"/>
  <c r="C987" i="28"/>
  <c r="H986" i="28"/>
  <c r="C987" i="17"/>
  <c r="H986" i="17"/>
  <c r="C988" i="27" l="1"/>
  <c r="H987" i="27"/>
  <c r="C988" i="28"/>
  <c r="H987" i="28"/>
  <c r="C988" i="16"/>
  <c r="H987" i="16"/>
  <c r="C988" i="17"/>
  <c r="H987" i="17"/>
  <c r="C989" i="17" l="1"/>
  <c r="H988" i="17"/>
  <c r="C989" i="28"/>
  <c r="H988" i="28"/>
  <c r="C989" i="16"/>
  <c r="H988" i="16"/>
  <c r="C989" i="27"/>
  <c r="H988" i="27"/>
  <c r="C990" i="27" l="1"/>
  <c r="H989" i="27"/>
  <c r="C990" i="28"/>
  <c r="H989" i="28"/>
  <c r="C990" i="16"/>
  <c r="H989" i="16"/>
  <c r="C990" i="17"/>
  <c r="H989" i="17"/>
  <c r="C991" i="28" l="1"/>
  <c r="H990" i="28"/>
  <c r="C991" i="16"/>
  <c r="H990" i="16"/>
  <c r="C991" i="17"/>
  <c r="H990" i="17"/>
  <c r="C991" i="27"/>
  <c r="H990" i="27"/>
  <c r="C992" i="27" l="1"/>
  <c r="H991" i="27"/>
  <c r="C992" i="16"/>
  <c r="H991" i="16"/>
  <c r="C992" i="17"/>
  <c r="H991" i="17"/>
  <c r="C992" i="28"/>
  <c r="H991" i="28"/>
  <c r="C993" i="17" l="1"/>
  <c r="H992" i="17"/>
  <c r="C993" i="28"/>
  <c r="H992" i="28"/>
  <c r="C993" i="16"/>
  <c r="H992" i="16"/>
  <c r="C993" i="27"/>
  <c r="H992" i="27"/>
  <c r="C994" i="27" l="1"/>
  <c r="H993" i="27"/>
  <c r="C994" i="16"/>
  <c r="H993" i="16"/>
  <c r="C994" i="17"/>
  <c r="H993" i="17"/>
  <c r="C994" i="28"/>
  <c r="H993" i="28"/>
  <c r="C995" i="28" l="1"/>
  <c r="H994" i="28"/>
  <c r="C995" i="17"/>
  <c r="H994" i="17"/>
  <c r="C995" i="16"/>
  <c r="H994" i="16"/>
  <c r="C995" i="27"/>
  <c r="H994" i="27"/>
  <c r="C996" i="16" l="1"/>
  <c r="H995" i="16"/>
  <c r="C996" i="17"/>
  <c r="H995" i="17"/>
  <c r="C996" i="27"/>
  <c r="H995" i="27"/>
  <c r="C996" i="28"/>
  <c r="H995" i="28"/>
  <c r="C997" i="27" l="1"/>
  <c r="H996" i="27"/>
  <c r="C997" i="17"/>
  <c r="H996" i="17"/>
  <c r="C997" i="28"/>
  <c r="H996" i="28"/>
  <c r="C997" i="16"/>
  <c r="H996" i="16"/>
  <c r="C998" i="28" l="1"/>
  <c r="H997" i="28"/>
  <c r="C998" i="17"/>
  <c r="H997" i="17"/>
  <c r="C998" i="16"/>
  <c r="H997" i="16"/>
  <c r="C998" i="27"/>
  <c r="H997" i="27"/>
  <c r="C999" i="27" l="1"/>
  <c r="H998" i="27"/>
  <c r="C999" i="16"/>
  <c r="H998" i="16"/>
  <c r="C999" i="17"/>
  <c r="H998" i="17"/>
  <c r="C999" i="28"/>
  <c r="H998" i="28"/>
  <c r="C1000" i="28" l="1"/>
  <c r="H999" i="28"/>
  <c r="C1000" i="17"/>
  <c r="H999" i="17"/>
  <c r="C1000" i="16"/>
  <c r="H999" i="16"/>
  <c r="C1000" i="27"/>
  <c r="H999" i="27"/>
  <c r="C1001" i="16" l="1"/>
  <c r="H1000" i="16"/>
  <c r="C1001" i="17"/>
  <c r="H1000" i="17"/>
  <c r="C1001" i="27"/>
  <c r="H1000" i="27"/>
  <c r="C1001" i="28"/>
  <c r="H1000" i="28"/>
  <c r="C1002" i="28" l="1"/>
  <c r="H1001" i="28"/>
  <c r="C1002" i="27"/>
  <c r="H1001" i="27"/>
  <c r="C1002" i="17"/>
  <c r="H1001" i="17"/>
  <c r="C1002" i="16"/>
  <c r="H1001" i="16"/>
  <c r="C1003" i="17" l="1"/>
  <c r="H1002" i="17"/>
  <c r="C1003" i="27"/>
  <c r="H1002" i="27"/>
  <c r="C1003" i="16"/>
  <c r="H1002" i="16"/>
  <c r="C1003" i="28"/>
  <c r="H1002" i="28"/>
  <c r="C1004" i="16" l="1"/>
  <c r="H1003" i="16"/>
  <c r="C1004" i="27"/>
  <c r="H1003" i="27"/>
  <c r="C1004" i="28"/>
  <c r="H1003" i="28"/>
  <c r="C1004" i="17"/>
  <c r="H1003" i="17"/>
  <c r="C1005" i="27" l="1"/>
  <c r="H1004" i="27"/>
  <c r="C1005" i="28"/>
  <c r="H1004" i="28"/>
  <c r="C1005" i="16"/>
  <c r="H1004" i="16"/>
  <c r="C1005" i="17"/>
  <c r="H1004" i="17"/>
  <c r="C1006" i="17" l="1"/>
  <c r="H1005" i="17"/>
  <c r="C1006" i="28"/>
  <c r="H1005" i="28"/>
  <c r="C1006" i="16"/>
  <c r="H1005" i="16"/>
  <c r="C1006" i="27"/>
  <c r="H1005" i="27"/>
  <c r="C1007" i="27" l="1"/>
  <c r="H1007" i="27" s="1"/>
  <c r="H1006" i="27"/>
  <c r="C1007" i="28"/>
  <c r="H1007" i="28" s="1"/>
  <c r="H1006" i="28"/>
  <c r="C1007" i="16"/>
  <c r="H1007" i="16" s="1"/>
  <c r="H1006" i="16"/>
  <c r="C1007" i="17"/>
  <c r="H1007" i="17" s="1"/>
  <c r="H1006" i="17"/>
  <c r="C6" i="31"/>
  <c r="B5" i="37"/>
  <c r="B4" i="37"/>
  <c r="B7" i="36" s="1"/>
  <c r="D12" i="36" l="1" a="1"/>
  <c r="D12" i="36"/>
  <c r="E12" i="36" s="1"/>
  <c r="C7" i="36"/>
  <c r="B19" i="35"/>
  <c r="B23" i="34"/>
  <c r="B26" i="35"/>
  <c r="B19" i="34"/>
  <c r="B23" i="35"/>
  <c r="D5" i="37"/>
  <c r="B20" i="33"/>
  <c r="B24" i="35"/>
  <c r="B17" i="36"/>
  <c r="B21" i="35"/>
  <c r="B25" i="35"/>
  <c r="E5" i="37"/>
  <c r="B20" i="35"/>
  <c r="B24" i="34"/>
  <c r="F5" i="37"/>
  <c r="B20" i="34"/>
  <c r="B24" i="36"/>
  <c r="B17" i="35"/>
  <c r="B21" i="33"/>
  <c r="B25" i="33"/>
  <c r="B18" i="36"/>
  <c r="D982" i="36" s="1" a="1"/>
  <c r="B22" i="34"/>
  <c r="B17" i="34"/>
  <c r="B21" i="34"/>
  <c r="B25" i="36"/>
  <c r="B17" i="33"/>
  <c r="B21" i="36"/>
  <c r="B25" i="34"/>
  <c r="B18" i="33"/>
  <c r="B22" i="33"/>
  <c r="B26" i="34"/>
  <c r="B19" i="33"/>
  <c r="B23" i="36"/>
  <c r="B18" i="34"/>
  <c r="B22" i="35"/>
  <c r="B26" i="36"/>
  <c r="B18" i="35"/>
  <c r="B22" i="36"/>
  <c r="B26" i="33"/>
  <c r="B19" i="36"/>
  <c r="B23" i="33"/>
  <c r="G5" i="37"/>
  <c r="B20" i="36"/>
  <c r="B24" i="33"/>
  <c r="G4" i="37"/>
  <c r="B11" i="35"/>
  <c r="B15" i="33"/>
  <c r="B9" i="34"/>
  <c r="B13" i="34"/>
  <c r="E4" i="37"/>
  <c r="B11" i="36"/>
  <c r="B15" i="35"/>
  <c r="B10" i="34"/>
  <c r="B13" i="33"/>
  <c r="B9" i="35"/>
  <c r="B12" i="36"/>
  <c r="B16" i="36"/>
  <c r="B10" i="33"/>
  <c r="B14" i="36"/>
  <c r="B8" i="36"/>
  <c r="D477" i="36" s="1" a="1"/>
  <c r="B12" i="35"/>
  <c r="B16" i="35"/>
  <c r="B10" i="36"/>
  <c r="B14" i="33"/>
  <c r="B9" i="33"/>
  <c r="B13" i="36"/>
  <c r="B8" i="35"/>
  <c r="B11" i="34"/>
  <c r="B15" i="34"/>
  <c r="B8" i="34"/>
  <c r="B13" i="35"/>
  <c r="B9" i="36"/>
  <c r="B11" i="33"/>
  <c r="B15" i="36"/>
  <c r="B10" i="35"/>
  <c r="B14" i="35"/>
  <c r="F4" i="37"/>
  <c r="B12" i="34"/>
  <c r="B16" i="33"/>
  <c r="B8" i="33"/>
  <c r="B14" i="34"/>
  <c r="D4" i="37"/>
  <c r="B12" i="33"/>
  <c r="B16" i="34"/>
  <c r="C4" i="37"/>
  <c r="C5" i="37" s="1"/>
  <c r="C6" i="37" s="1"/>
  <c r="C7" i="37" s="1"/>
  <c r="C8" i="37" s="1"/>
  <c r="C9" i="37" s="1"/>
  <c r="C10" i="37" s="1"/>
  <c r="C11" i="37" s="1"/>
  <c r="C12" i="37" s="1"/>
  <c r="C13" i="37" s="1"/>
  <c r="C14" i="37" s="1"/>
  <c r="C15" i="37" s="1"/>
  <c r="C16" i="37" s="1"/>
  <c r="C17" i="37" s="1"/>
  <c r="C18" i="37" s="1"/>
  <c r="C19" i="37" s="1"/>
  <c r="C20" i="37" s="1"/>
  <c r="C21" i="37" s="1"/>
  <c r="C22" i="37" s="1"/>
  <c r="C23" i="37" s="1"/>
  <c r="C24" i="37" s="1"/>
  <c r="C25" i="37" s="1"/>
  <c r="C26" i="37" s="1"/>
  <c r="C27" i="37" s="1"/>
  <c r="C28" i="37" s="1"/>
  <c r="C29" i="37" s="1"/>
  <c r="C30" i="37" s="1"/>
  <c r="C31" i="37" s="1"/>
  <c r="C32" i="37" s="1"/>
  <c r="C33" i="37" s="1"/>
  <c r="C34" i="37" s="1"/>
  <c r="C35" i="37" s="1"/>
  <c r="C36" i="37" s="1"/>
  <c r="C37" i="37" s="1"/>
  <c r="C38" i="37" s="1"/>
  <c r="C39" i="37" s="1"/>
  <c r="C40" i="37" s="1"/>
  <c r="C41" i="37" s="1"/>
  <c r="C42" i="37" s="1"/>
  <c r="C43" i="37" s="1"/>
  <c r="C44" i="37" s="1"/>
  <c r="C45" i="37" s="1"/>
  <c r="C46" i="37" s="1"/>
  <c r="C47" i="37" s="1"/>
  <c r="C48" i="37" s="1"/>
  <c r="C49" i="37" s="1"/>
  <c r="C50" i="37" s="1"/>
  <c r="C51" i="37" s="1"/>
  <c r="C52" i="37" s="1"/>
  <c r="C53" i="37" s="1"/>
  <c r="C54" i="37" s="1"/>
  <c r="C55" i="37" s="1"/>
  <c r="C56" i="37" s="1"/>
  <c r="C57" i="37" s="1"/>
  <c r="C58" i="37" s="1"/>
  <c r="C59" i="37" s="1"/>
  <c r="C60" i="37" s="1"/>
  <c r="C61" i="37" s="1"/>
  <c r="C62" i="37" s="1"/>
  <c r="C63" i="37" s="1"/>
  <c r="C64" i="37" s="1"/>
  <c r="C65" i="37" s="1"/>
  <c r="C66" i="37" s="1"/>
  <c r="C67" i="37" s="1"/>
  <c r="C68" i="37" s="1"/>
  <c r="C69" i="37" s="1"/>
  <c r="C70" i="37" s="1"/>
  <c r="C71" i="37" s="1"/>
  <c r="C72" i="37" s="1"/>
  <c r="C73" i="37" s="1"/>
  <c r="C74" i="37" s="1"/>
  <c r="C75" i="37" s="1"/>
  <c r="C76" i="37" s="1"/>
  <c r="C77" i="37" s="1"/>
  <c r="C78" i="37" s="1"/>
  <c r="C79" i="37" s="1"/>
  <c r="C80" i="37" s="1"/>
  <c r="C81" i="37" s="1"/>
  <c r="C82" i="37" s="1"/>
  <c r="C83" i="37" s="1"/>
  <c r="C84" i="37" s="1"/>
  <c r="C85" i="37" s="1"/>
  <c r="C86" i="37" s="1"/>
  <c r="C87" i="37" s="1"/>
  <c r="C88" i="37" s="1"/>
  <c r="C89" i="37" s="1"/>
  <c r="C90" i="37" s="1"/>
  <c r="C91" i="37" s="1"/>
  <c r="C92" i="37" s="1"/>
  <c r="C93" i="37" s="1"/>
  <c r="C94" i="37" s="1"/>
  <c r="C95" i="37" s="1"/>
  <c r="C96" i="37" s="1"/>
  <c r="C97" i="37" s="1"/>
  <c r="C98" i="37" s="1"/>
  <c r="C99" i="37" s="1"/>
  <c r="C100" i="37" s="1"/>
  <c r="C101" i="37" s="1"/>
  <c r="C102" i="37" s="1"/>
  <c r="C103" i="37" s="1"/>
  <c r="B7" i="35"/>
  <c r="B7" i="34"/>
  <c r="B7" i="33"/>
  <c r="C7" i="31"/>
  <c r="C8" i="31" s="1"/>
  <c r="C9" i="31" s="1"/>
  <c r="C10" i="31" s="1"/>
  <c r="C11" i="31" s="1"/>
  <c r="C12" i="31" s="1"/>
  <c r="C13" i="31" s="1"/>
  <c r="C14" i="31" s="1"/>
  <c r="C15" i="31" s="1"/>
  <c r="C16" i="31" s="1"/>
  <c r="C17" i="31" s="1"/>
  <c r="C18" i="31" s="1"/>
  <c r="C19" i="31" s="1"/>
  <c r="C20" i="31" s="1"/>
  <c r="C21" i="31" s="1"/>
  <c r="C22" i="31" s="1"/>
  <c r="C23" i="31" s="1"/>
  <c r="C24" i="31" s="1"/>
  <c r="C25" i="31" s="1"/>
  <c r="C26" i="31" s="1"/>
  <c r="C27" i="31" s="1"/>
  <c r="C28" i="31" s="1"/>
  <c r="C29" i="31" s="1"/>
  <c r="C30" i="31" s="1"/>
  <c r="C31" i="31" s="1"/>
  <c r="C32" i="31" s="1"/>
  <c r="C33" i="31" s="1"/>
  <c r="C34" i="31" s="1"/>
  <c r="C35" i="31" s="1"/>
  <c r="C36" i="31" s="1"/>
  <c r="C37" i="31" s="1"/>
  <c r="C38" i="31" s="1"/>
  <c r="C39" i="31" s="1"/>
  <c r="C40" i="31" s="1"/>
  <c r="C41" i="31" s="1"/>
  <c r="C42" i="31" s="1"/>
  <c r="C43" i="31" s="1"/>
  <c r="C44" i="31" s="1"/>
  <c r="C45" i="31" s="1"/>
  <c r="C46" i="31" s="1"/>
  <c r="C47" i="31" s="1"/>
  <c r="C48" i="31" s="1"/>
  <c r="C49" i="31" s="1"/>
  <c r="C50" i="31" s="1"/>
  <c r="C51" i="31" s="1"/>
  <c r="C52" i="31" s="1"/>
  <c r="C53" i="31" s="1"/>
  <c r="C54" i="31" s="1"/>
  <c r="C55" i="31" s="1"/>
  <c r="C56" i="31" s="1"/>
  <c r="C57" i="31" s="1"/>
  <c r="C58" i="31" s="1"/>
  <c r="C59" i="31" s="1"/>
  <c r="C60" i="31" s="1"/>
  <c r="C61" i="31" s="1"/>
  <c r="C62" i="31" s="1"/>
  <c r="C63" i="31" s="1"/>
  <c r="C64" i="31" s="1"/>
  <c r="C65" i="31" s="1"/>
  <c r="C66" i="31" s="1"/>
  <c r="C67" i="31" s="1"/>
  <c r="C68" i="31" s="1"/>
  <c r="C69" i="31" s="1"/>
  <c r="C70" i="31" s="1"/>
  <c r="C71" i="31" s="1"/>
  <c r="C72" i="31" s="1"/>
  <c r="C73" i="31" s="1"/>
  <c r="C74" i="31" s="1"/>
  <c r="C75" i="31" s="1"/>
  <c r="C76" i="31" s="1"/>
  <c r="C77" i="31" s="1"/>
  <c r="C78" i="31" s="1"/>
  <c r="C79" i="31" s="1"/>
  <c r="C80" i="31" s="1"/>
  <c r="C81" i="31" s="1"/>
  <c r="C82" i="31" s="1"/>
  <c r="C83" i="31" s="1"/>
  <c r="C84" i="31" s="1"/>
  <c r="C85" i="31" s="1"/>
  <c r="C86" i="31" s="1"/>
  <c r="C87" i="31" s="1"/>
  <c r="C88" i="31" s="1"/>
  <c r="C89" i="31" s="1"/>
  <c r="C90" i="31" s="1"/>
  <c r="C91" i="31" s="1"/>
  <c r="C92" i="31" s="1"/>
  <c r="C93" i="31" s="1"/>
  <c r="C94" i="31" s="1"/>
  <c r="C95" i="31" s="1"/>
  <c r="C96" i="31" s="1"/>
  <c r="C97" i="31" s="1"/>
  <c r="C98" i="31" s="1"/>
  <c r="C99" i="31" s="1"/>
  <c r="C100" i="31" s="1"/>
  <c r="C101" i="31" s="1"/>
  <c r="C102" i="31" s="1"/>
  <c r="C103" i="31" s="1"/>
  <c r="C104" i="31" s="1"/>
  <c r="C105" i="31" s="1"/>
  <c r="D998" i="36" l="1" a="1"/>
  <c r="D12" i="35" a="1"/>
  <c r="D13" i="35" a="1"/>
  <c r="D14" i="35" a="1"/>
  <c r="D15" i="35" a="1"/>
  <c r="D16" i="35" a="1"/>
  <c r="D17" i="35" a="1"/>
  <c r="D18" i="35" a="1"/>
  <c r="D19" i="35" a="1"/>
  <c r="D20" i="35" a="1"/>
  <c r="D21" i="35" a="1"/>
  <c r="D22" i="35" a="1"/>
  <c r="D23" i="35" a="1"/>
  <c r="D24" i="35" a="1"/>
  <c r="D25" i="35" a="1"/>
  <c r="D26" i="35" a="1"/>
  <c r="D27" i="35" a="1"/>
  <c r="D28" i="35" a="1"/>
  <c r="D29" i="35" a="1"/>
  <c r="D30" i="35" a="1"/>
  <c r="D31" i="35" a="1"/>
  <c r="D32" i="35" a="1"/>
  <c r="D33" i="35" a="1"/>
  <c r="D34" i="35" a="1"/>
  <c r="D35" i="35" a="1"/>
  <c r="D36" i="35" a="1"/>
  <c r="D37" i="35" a="1"/>
  <c r="D38" i="35" a="1"/>
  <c r="D39" i="35" a="1"/>
  <c r="D40" i="35" a="1"/>
  <c r="D41" i="35" a="1"/>
  <c r="D42" i="35" a="1"/>
  <c r="D43" i="35" a="1"/>
  <c r="D44" i="35" a="1"/>
  <c r="D45" i="35" a="1"/>
  <c r="D46" i="35" a="1"/>
  <c r="D47" i="35" a="1"/>
  <c r="D48" i="35" a="1"/>
  <c r="D49" i="35" a="1"/>
  <c r="D50" i="35" a="1"/>
  <c r="D51" i="35" a="1"/>
  <c r="D52" i="35" a="1"/>
  <c r="D53" i="35" a="1"/>
  <c r="D54" i="35" a="1"/>
  <c r="D55" i="35" a="1"/>
  <c r="D56" i="35" a="1"/>
  <c r="D57" i="35" a="1"/>
  <c r="D58" i="35" a="1"/>
  <c r="D59" i="35" a="1"/>
  <c r="D60" i="35" a="1"/>
  <c r="D61" i="35" a="1"/>
  <c r="D62" i="35" a="1"/>
  <c r="D63" i="35" a="1"/>
  <c r="D64" i="35" a="1"/>
  <c r="D65" i="35" a="1"/>
  <c r="D66" i="35" a="1"/>
  <c r="D67" i="35" a="1"/>
  <c r="D68" i="35" a="1"/>
  <c r="D69" i="35" a="1"/>
  <c r="D70" i="35" a="1"/>
  <c r="D71" i="35" a="1"/>
  <c r="D72" i="35" a="1"/>
  <c r="D73" i="35" a="1"/>
  <c r="D74" i="35" a="1"/>
  <c r="D75" i="35" a="1"/>
  <c r="D76" i="35" a="1"/>
  <c r="D77" i="35" a="1"/>
  <c r="D78" i="35" a="1"/>
  <c r="D79" i="35" a="1"/>
  <c r="D80" i="35" a="1"/>
  <c r="D81" i="35" a="1"/>
  <c r="D82" i="35" a="1"/>
  <c r="D83" i="35" a="1"/>
  <c r="D84" i="35" a="1"/>
  <c r="D85" i="35" a="1"/>
  <c r="D86" i="35" a="1"/>
  <c r="D87" i="35" a="1"/>
  <c r="D88" i="35" a="1"/>
  <c r="D89" i="35" a="1"/>
  <c r="D90" i="35" a="1"/>
  <c r="D91" i="35" a="1"/>
  <c r="D92" i="35" a="1"/>
  <c r="D93" i="35" a="1"/>
  <c r="D94" i="35" a="1"/>
  <c r="D95" i="35" a="1"/>
  <c r="D96" i="35" a="1"/>
  <c r="D97" i="35" a="1"/>
  <c r="D98" i="35" a="1"/>
  <c r="D99" i="35" a="1"/>
  <c r="D100" i="35" a="1"/>
  <c r="D101" i="35" a="1"/>
  <c r="D102" i="35" a="1"/>
  <c r="D103" i="35" a="1"/>
  <c r="D104" i="35" a="1"/>
  <c r="D105" i="35" a="1"/>
  <c r="D106" i="35" a="1"/>
  <c r="D107" i="35" a="1"/>
  <c r="D108" i="35" a="1"/>
  <c r="D109" i="35" a="1"/>
  <c r="D110" i="35" a="1"/>
  <c r="D111" i="35" a="1"/>
  <c r="D112" i="35" a="1"/>
  <c r="D113" i="35" a="1"/>
  <c r="D114" i="35" a="1"/>
  <c r="D115" i="35" a="1"/>
  <c r="D116" i="35" a="1"/>
  <c r="D117" i="35" a="1"/>
  <c r="D118" i="35" a="1"/>
  <c r="D119" i="35" a="1"/>
  <c r="D120" i="35" a="1"/>
  <c r="D121" i="35" a="1"/>
  <c r="D122" i="35" a="1"/>
  <c r="D123" i="35" a="1"/>
  <c r="D124" i="35" a="1"/>
  <c r="D125" i="35" a="1"/>
  <c r="D126" i="35" a="1"/>
  <c r="D127" i="35" a="1"/>
  <c r="D128" i="35" a="1"/>
  <c r="D129" i="35" a="1"/>
  <c r="D130" i="35" a="1"/>
  <c r="D131" i="35" a="1"/>
  <c r="D132" i="35" a="1"/>
  <c r="D133" i="35" a="1"/>
  <c r="D134" i="35" a="1"/>
  <c r="D135" i="35" a="1"/>
  <c r="D136" i="35" a="1"/>
  <c r="D137" i="35" a="1"/>
  <c r="D138" i="35" a="1"/>
  <c r="D139" i="35" a="1"/>
  <c r="D140" i="35" a="1"/>
  <c r="D141" i="35" a="1"/>
  <c r="D142" i="35" a="1"/>
  <c r="D143" i="35" a="1"/>
  <c r="D144" i="35" a="1"/>
  <c r="D145" i="35" a="1"/>
  <c r="D146" i="35" a="1"/>
  <c r="D147" i="35" a="1"/>
  <c r="D148" i="35" a="1"/>
  <c r="D149" i="35" a="1"/>
  <c r="D150" i="35" a="1"/>
  <c r="D151" i="35" a="1"/>
  <c r="D152" i="35" a="1"/>
  <c r="D153" i="35" a="1"/>
  <c r="D154" i="35" a="1"/>
  <c r="D155" i="35" a="1"/>
  <c r="D156" i="35" a="1"/>
  <c r="D157" i="35" a="1"/>
  <c r="D158" i="35" a="1"/>
  <c r="D159" i="35" a="1"/>
  <c r="D160" i="35" a="1"/>
  <c r="D161" i="35" a="1"/>
  <c r="D162" i="35" a="1"/>
  <c r="D163" i="35" a="1"/>
  <c r="D164" i="35" a="1"/>
  <c r="D165" i="35" a="1"/>
  <c r="D166" i="35" a="1"/>
  <c r="D167" i="35" a="1"/>
  <c r="D168" i="35" a="1"/>
  <c r="D169" i="35" a="1"/>
  <c r="D170" i="35" a="1"/>
  <c r="D171" i="35" a="1"/>
  <c r="D172" i="35" a="1"/>
  <c r="D173" i="35" a="1"/>
  <c r="D174" i="35" a="1"/>
  <c r="D175" i="35" a="1"/>
  <c r="D176" i="35" a="1"/>
  <c r="D177" i="35" a="1"/>
  <c r="D178" i="35" a="1"/>
  <c r="D179" i="35" a="1"/>
  <c r="D180" i="35" a="1"/>
  <c r="D181" i="35" a="1"/>
  <c r="D182" i="35" a="1"/>
  <c r="D183" i="35" a="1"/>
  <c r="D184" i="35" a="1"/>
  <c r="D185" i="35" a="1"/>
  <c r="D186" i="35" a="1"/>
  <c r="D187" i="35" a="1"/>
  <c r="D188" i="35" a="1"/>
  <c r="D189" i="35" a="1"/>
  <c r="D190" i="35" a="1"/>
  <c r="D191" i="35" a="1"/>
  <c r="D192" i="35" a="1"/>
  <c r="D193" i="35" a="1"/>
  <c r="D194" i="35" a="1"/>
  <c r="D195" i="35" a="1"/>
  <c r="D196" i="35" a="1"/>
  <c r="D197" i="35" a="1"/>
  <c r="D198" i="35" a="1"/>
  <c r="D199" i="35" a="1"/>
  <c r="D200" i="35" a="1"/>
  <c r="D201" i="35" a="1"/>
  <c r="D202" i="35" a="1"/>
  <c r="D203" i="35" a="1"/>
  <c r="D204" i="35" a="1"/>
  <c r="D205" i="35" a="1"/>
  <c r="D206" i="35" a="1"/>
  <c r="D207" i="35" a="1"/>
  <c r="D208" i="35" a="1"/>
  <c r="D209" i="35" a="1"/>
  <c r="D210" i="35" a="1"/>
  <c r="D211" i="35" a="1"/>
  <c r="D212" i="35" a="1"/>
  <c r="D213" i="35" a="1"/>
  <c r="D214" i="35" a="1"/>
  <c r="D215" i="35" a="1"/>
  <c r="D216" i="35" a="1"/>
  <c r="D217" i="35" a="1"/>
  <c r="D218" i="35" a="1"/>
  <c r="D219" i="35" a="1"/>
  <c r="D220" i="35" a="1"/>
  <c r="D221" i="35" a="1"/>
  <c r="D222" i="35" a="1"/>
  <c r="D223" i="35" a="1"/>
  <c r="D224" i="35" a="1"/>
  <c r="D225" i="35" a="1"/>
  <c r="D226" i="35" a="1"/>
  <c r="D227" i="35" a="1"/>
  <c r="D228" i="35" a="1"/>
  <c r="D229" i="35" a="1"/>
  <c r="D230" i="35" a="1"/>
  <c r="D231" i="35" a="1"/>
  <c r="D232" i="35" a="1"/>
  <c r="D233" i="35" a="1"/>
  <c r="D234" i="35" a="1"/>
  <c r="D235" i="35" a="1"/>
  <c r="D236" i="35" a="1"/>
  <c r="D237" i="35" a="1"/>
  <c r="D238" i="35" a="1"/>
  <c r="D239" i="35" a="1"/>
  <c r="D240" i="35" a="1"/>
  <c r="D241" i="35" a="1"/>
  <c r="D242" i="35" a="1"/>
  <c r="D243" i="35" a="1"/>
  <c r="D244" i="35" a="1"/>
  <c r="D245" i="35" a="1"/>
  <c r="D246" i="35" a="1"/>
  <c r="D247" i="35" a="1"/>
  <c r="D248" i="35" a="1"/>
  <c r="D249" i="35" a="1"/>
  <c r="D250" i="35" a="1"/>
  <c r="D251" i="35" a="1"/>
  <c r="D252" i="35" a="1"/>
  <c r="D253" i="35" a="1"/>
  <c r="D254" i="35" a="1"/>
  <c r="D255" i="35" a="1"/>
  <c r="D256" i="35" a="1"/>
  <c r="D257" i="35" a="1"/>
  <c r="D258" i="35" a="1"/>
  <c r="D259" i="35" a="1"/>
  <c r="D260" i="35" a="1"/>
  <c r="D261" i="35" a="1"/>
  <c r="D262" i="35" a="1"/>
  <c r="D263" i="35" a="1"/>
  <c r="D264" i="35" a="1"/>
  <c r="D265" i="35" a="1"/>
  <c r="D266" i="35" a="1"/>
  <c r="D267" i="35" a="1"/>
  <c r="D268" i="35" a="1"/>
  <c r="D269" i="35" a="1"/>
  <c r="D270" i="35" a="1"/>
  <c r="D271" i="35" a="1"/>
  <c r="D272" i="35" a="1"/>
  <c r="D273" i="35" a="1"/>
  <c r="D274" i="35" a="1"/>
  <c r="D275" i="35" a="1"/>
  <c r="D276" i="35" a="1"/>
  <c r="D277" i="35" a="1"/>
  <c r="D278" i="35" a="1"/>
  <c r="D279" i="35" a="1"/>
  <c r="D280" i="35" a="1"/>
  <c r="D281" i="35" a="1"/>
  <c r="D282" i="35" a="1"/>
  <c r="D283" i="35" a="1"/>
  <c r="D284" i="35" a="1"/>
  <c r="D285" i="35" a="1"/>
  <c r="D286" i="35" a="1"/>
  <c r="D287" i="35" a="1"/>
  <c r="D288" i="35" a="1"/>
  <c r="D289" i="35" a="1"/>
  <c r="D290" i="35" a="1"/>
  <c r="D291" i="35" a="1"/>
  <c r="D292" i="35" a="1"/>
  <c r="D293" i="35" a="1"/>
  <c r="D294" i="35" a="1"/>
  <c r="D295" i="35" a="1"/>
  <c r="D296" i="35" a="1"/>
  <c r="D297" i="35" a="1"/>
  <c r="D298" i="35" a="1"/>
  <c r="D299" i="35" a="1"/>
  <c r="D300" i="35" a="1"/>
  <c r="D301" i="35" a="1"/>
  <c r="D302" i="35" a="1"/>
  <c r="D303" i="35" a="1"/>
  <c r="D304" i="35" a="1"/>
  <c r="D305" i="35" a="1"/>
  <c r="D306" i="35" a="1"/>
  <c r="D307" i="35" a="1"/>
  <c r="D308" i="35" a="1"/>
  <c r="D309" i="35" a="1"/>
  <c r="D310" i="35" a="1"/>
  <c r="D311" i="35" a="1"/>
  <c r="D312" i="35" a="1"/>
  <c r="D313" i="35" a="1"/>
  <c r="D314" i="35" a="1"/>
  <c r="D315" i="35" a="1"/>
  <c r="D316" i="35" a="1"/>
  <c r="D317" i="35" a="1"/>
  <c r="D318" i="35" a="1"/>
  <c r="D319" i="35" a="1"/>
  <c r="D320" i="35" a="1"/>
  <c r="D321" i="35" a="1"/>
  <c r="D322" i="35" a="1"/>
  <c r="D323" i="35" a="1"/>
  <c r="D324" i="35" a="1"/>
  <c r="D325" i="35" a="1"/>
  <c r="D326" i="35" a="1"/>
  <c r="D327" i="35" a="1"/>
  <c r="D328" i="35" a="1"/>
  <c r="D329" i="35" a="1"/>
  <c r="D330" i="35" a="1"/>
  <c r="D331" i="35" a="1"/>
  <c r="D332" i="35" a="1"/>
  <c r="D333" i="35" a="1"/>
  <c r="D334" i="35" a="1"/>
  <c r="D335" i="35" a="1"/>
  <c r="D336" i="35" a="1"/>
  <c r="D337" i="35" a="1"/>
  <c r="D338" i="35" a="1"/>
  <c r="D339" i="35" a="1"/>
  <c r="D340" i="35" a="1"/>
  <c r="D341" i="35" a="1"/>
  <c r="D342" i="35" a="1"/>
  <c r="D343" i="35" a="1"/>
  <c r="D344" i="35" a="1"/>
  <c r="D345" i="35" a="1"/>
  <c r="D346" i="35" a="1"/>
  <c r="D347" i="35" a="1"/>
  <c r="D348" i="35" a="1"/>
  <c r="D349" i="35" a="1"/>
  <c r="D350" i="35" a="1"/>
  <c r="D351" i="35" a="1"/>
  <c r="D352" i="35" a="1"/>
  <c r="D353" i="35" a="1"/>
  <c r="D354" i="35" a="1"/>
  <c r="D355" i="35" a="1"/>
  <c r="D356" i="35" a="1"/>
  <c r="D357" i="35" a="1"/>
  <c r="D358" i="35" a="1"/>
  <c r="D359" i="35" a="1"/>
  <c r="D360" i="35" a="1"/>
  <c r="D361" i="35" a="1"/>
  <c r="D362" i="35" a="1"/>
  <c r="D363" i="35" a="1"/>
  <c r="D364" i="35" a="1"/>
  <c r="D365" i="35" a="1"/>
  <c r="D366" i="35" a="1"/>
  <c r="D367" i="35" a="1"/>
  <c r="D368" i="35" a="1"/>
  <c r="D369" i="35" a="1"/>
  <c r="D370" i="35" a="1"/>
  <c r="D371" i="35" a="1"/>
  <c r="D372" i="35" a="1"/>
  <c r="D373" i="35" a="1"/>
  <c r="D374" i="35" a="1"/>
  <c r="D375" i="35" a="1"/>
  <c r="D376" i="35" a="1"/>
  <c r="D377" i="35" a="1"/>
  <c r="D378" i="35" a="1"/>
  <c r="D379" i="35" a="1"/>
  <c r="D380" i="35" a="1"/>
  <c r="D381" i="35" a="1"/>
  <c r="D382" i="35" a="1"/>
  <c r="D383" i="35" a="1"/>
  <c r="D384" i="35" a="1"/>
  <c r="D385" i="35" a="1"/>
  <c r="D386" i="35" a="1"/>
  <c r="D387" i="35" a="1"/>
  <c r="D388" i="35" a="1"/>
  <c r="D389" i="35" a="1"/>
  <c r="D390" i="35" a="1"/>
  <c r="D391" i="35" a="1"/>
  <c r="D392" i="35" a="1"/>
  <c r="D393" i="35" a="1"/>
  <c r="D394" i="35" a="1"/>
  <c r="D395" i="35" a="1"/>
  <c r="D396" i="35" a="1"/>
  <c r="D397" i="35" a="1"/>
  <c r="D398" i="35" a="1"/>
  <c r="D399" i="35" a="1"/>
  <c r="D400" i="35" a="1"/>
  <c r="D401" i="35" a="1"/>
  <c r="D402" i="35" a="1"/>
  <c r="D403" i="35" a="1"/>
  <c r="D404" i="35" a="1"/>
  <c r="D405" i="35" a="1"/>
  <c r="D406" i="35" a="1"/>
  <c r="D407" i="35" a="1"/>
  <c r="D408" i="35" a="1"/>
  <c r="D409" i="35" a="1"/>
  <c r="D410" i="35" a="1"/>
  <c r="D411" i="35" a="1"/>
  <c r="D412" i="35" a="1"/>
  <c r="D413" i="35" a="1"/>
  <c r="D414" i="35" a="1"/>
  <c r="D415" i="35" a="1"/>
  <c r="D416" i="35" a="1"/>
  <c r="D417" i="35" a="1"/>
  <c r="D418" i="35" a="1"/>
  <c r="D419" i="35" a="1"/>
  <c r="D420" i="35" a="1"/>
  <c r="D421" i="35" a="1"/>
  <c r="D422" i="35" a="1"/>
  <c r="D423" i="35" a="1"/>
  <c r="D424" i="35" a="1"/>
  <c r="D425" i="35" a="1"/>
  <c r="D426" i="35" a="1"/>
  <c r="D427" i="35" a="1"/>
  <c r="D428" i="35" a="1"/>
  <c r="D429" i="35" a="1"/>
  <c r="D430" i="35" a="1"/>
  <c r="D431" i="35" a="1"/>
  <c r="D432" i="35" a="1"/>
  <c r="D433" i="35" a="1"/>
  <c r="D434" i="35" a="1"/>
  <c r="D435" i="35" a="1"/>
  <c r="D436" i="35" a="1"/>
  <c r="D437" i="35" a="1"/>
  <c r="D438" i="35" a="1"/>
  <c r="D439" i="35" a="1"/>
  <c r="D440" i="35" a="1"/>
  <c r="D441" i="35" a="1"/>
  <c r="D442" i="35" a="1"/>
  <c r="D443" i="35" a="1"/>
  <c r="D444" i="35" a="1"/>
  <c r="D445" i="35" a="1"/>
  <c r="D446" i="35" a="1"/>
  <c r="D447" i="35" a="1"/>
  <c r="D448" i="35" a="1"/>
  <c r="D449" i="35" a="1"/>
  <c r="D450" i="35" a="1"/>
  <c r="D451" i="35" a="1"/>
  <c r="D452" i="35" a="1"/>
  <c r="D453" i="35" a="1"/>
  <c r="D454" i="35" a="1"/>
  <c r="D455" i="35" a="1"/>
  <c r="D456" i="35" a="1"/>
  <c r="D457" i="35" a="1"/>
  <c r="D458" i="35" a="1"/>
  <c r="D459" i="35" a="1"/>
  <c r="D460" i="35" a="1"/>
  <c r="D461" i="35" a="1"/>
  <c r="D462" i="35" a="1"/>
  <c r="D463" i="35" a="1"/>
  <c r="D464" i="35" a="1"/>
  <c r="D465" i="35" a="1"/>
  <c r="D466" i="35" a="1"/>
  <c r="D467" i="35" a="1"/>
  <c r="D468" i="35" a="1"/>
  <c r="D469" i="35" a="1"/>
  <c r="D470" i="35" a="1"/>
  <c r="D471" i="35" a="1"/>
  <c r="D472" i="35" a="1"/>
  <c r="D473" i="35" a="1"/>
  <c r="D474" i="35" a="1"/>
  <c r="D475" i="35" a="1"/>
  <c r="D476" i="35" a="1"/>
  <c r="D477" i="35" a="1"/>
  <c r="D478" i="35" a="1"/>
  <c r="D479" i="35" a="1"/>
  <c r="D480" i="35" a="1"/>
  <c r="D481" i="35" a="1"/>
  <c r="D482" i="35" a="1"/>
  <c r="D483" i="35" a="1"/>
  <c r="D484" i="35" a="1"/>
  <c r="D485" i="35" a="1"/>
  <c r="D486" i="35" a="1"/>
  <c r="D487" i="35" a="1"/>
  <c r="D488" i="35" a="1"/>
  <c r="D489" i="35" a="1"/>
  <c r="D490" i="35" a="1"/>
  <c r="D491" i="35" a="1"/>
  <c r="D492" i="35" a="1"/>
  <c r="D493" i="35" a="1"/>
  <c r="D494" i="35" a="1"/>
  <c r="D495" i="35" a="1"/>
  <c r="D496" i="35" a="1"/>
  <c r="D497" i="35" a="1"/>
  <c r="D498" i="35" a="1"/>
  <c r="D499" i="35" a="1"/>
  <c r="D500" i="35" a="1"/>
  <c r="D501" i="35" a="1"/>
  <c r="D502" i="35" a="1"/>
  <c r="D503" i="35" a="1"/>
  <c r="D504" i="35" a="1"/>
  <c r="D505" i="35" a="1"/>
  <c r="D506" i="35" a="1"/>
  <c r="D507" i="35" a="1"/>
  <c r="D508" i="35" a="1"/>
  <c r="D509" i="35" a="1"/>
  <c r="D510" i="35" a="1"/>
  <c r="D511" i="35" a="1"/>
  <c r="D512" i="35" a="1"/>
  <c r="D513" i="35" a="1"/>
  <c r="D514" i="35" a="1"/>
  <c r="D515" i="35" a="1"/>
  <c r="D516" i="35" a="1"/>
  <c r="D517" i="35" a="1"/>
  <c r="D518" i="35" a="1"/>
  <c r="D519" i="35" a="1"/>
  <c r="D520" i="35" a="1"/>
  <c r="D521" i="35" a="1"/>
  <c r="D522" i="35" a="1"/>
  <c r="D523" i="35" a="1"/>
  <c r="D524" i="35" a="1"/>
  <c r="D525" i="35" a="1"/>
  <c r="D526" i="35" a="1"/>
  <c r="D527" i="35" a="1"/>
  <c r="D528" i="35" a="1"/>
  <c r="D529" i="35" a="1"/>
  <c r="D530" i="35" a="1"/>
  <c r="D531" i="35" a="1"/>
  <c r="D532" i="35" a="1"/>
  <c r="D533" i="35" a="1"/>
  <c r="D534" i="35" a="1"/>
  <c r="D535" i="35" a="1"/>
  <c r="D536" i="35" a="1"/>
  <c r="D537" i="35" a="1"/>
  <c r="D538" i="35" a="1"/>
  <c r="D539" i="35" a="1"/>
  <c r="D540" i="35" a="1"/>
  <c r="D541" i="35" a="1"/>
  <c r="D542" i="35" a="1"/>
  <c r="D543" i="35" a="1"/>
  <c r="D544" i="35" a="1"/>
  <c r="D545" i="35" a="1"/>
  <c r="D546" i="35" a="1"/>
  <c r="D547" i="35" a="1"/>
  <c r="D548" i="35" a="1"/>
  <c r="D549" i="35" a="1"/>
  <c r="D550" i="35" a="1"/>
  <c r="D551" i="35" a="1"/>
  <c r="D552" i="35" a="1"/>
  <c r="D553" i="35" a="1"/>
  <c r="D554" i="35" a="1"/>
  <c r="D555" i="35" a="1"/>
  <c r="D556" i="35" a="1"/>
  <c r="D557" i="35" a="1"/>
  <c r="D558" i="35" a="1"/>
  <c r="D559" i="35" a="1"/>
  <c r="D560" i="35" a="1"/>
  <c r="D561" i="35" a="1"/>
  <c r="D562" i="35" a="1"/>
  <c r="D563" i="35" a="1"/>
  <c r="D564" i="35" a="1"/>
  <c r="D565" i="35" a="1"/>
  <c r="D566" i="35" a="1"/>
  <c r="D567" i="35" a="1"/>
  <c r="D568" i="35" a="1"/>
  <c r="D569" i="35" a="1"/>
  <c r="D570" i="35" a="1"/>
  <c r="D571" i="35" a="1"/>
  <c r="D572" i="35" a="1"/>
  <c r="D573" i="35" a="1"/>
  <c r="D574" i="35" a="1"/>
  <c r="D575" i="35" a="1"/>
  <c r="D576" i="35" a="1"/>
  <c r="D577" i="35" a="1"/>
  <c r="D578" i="35" a="1"/>
  <c r="D579" i="35" a="1"/>
  <c r="D580" i="35" a="1"/>
  <c r="D581" i="35" a="1"/>
  <c r="D582" i="35" a="1"/>
  <c r="D583" i="35" a="1"/>
  <c r="D584" i="35" a="1"/>
  <c r="D585" i="35" a="1"/>
  <c r="D586" i="35" a="1"/>
  <c r="D587" i="35" a="1"/>
  <c r="D588" i="35" a="1"/>
  <c r="D589" i="35" a="1"/>
  <c r="D590" i="35" a="1"/>
  <c r="D591" i="35" a="1"/>
  <c r="D592" i="35" a="1"/>
  <c r="D593" i="35" a="1"/>
  <c r="D594" i="35" a="1"/>
  <c r="D595" i="35" a="1"/>
  <c r="D596" i="35" a="1"/>
  <c r="D597" i="35" a="1"/>
  <c r="D598" i="35" a="1"/>
  <c r="D599" i="35" a="1"/>
  <c r="D600" i="35" a="1"/>
  <c r="D601" i="35" a="1"/>
  <c r="D602" i="35" a="1"/>
  <c r="D603" i="35" a="1"/>
  <c r="D604" i="35" a="1"/>
  <c r="D605" i="35" a="1"/>
  <c r="D606" i="35" a="1"/>
  <c r="D607" i="35" a="1"/>
  <c r="D608" i="35" a="1"/>
  <c r="D609" i="35" a="1"/>
  <c r="D610" i="35" a="1"/>
  <c r="D611" i="35" a="1"/>
  <c r="D612" i="35" a="1"/>
  <c r="D613" i="35" a="1"/>
  <c r="D614" i="35" a="1"/>
  <c r="D615" i="35" a="1"/>
  <c r="D616" i="35" a="1"/>
  <c r="D617" i="35" a="1"/>
  <c r="D618" i="35" a="1"/>
  <c r="D619" i="35" a="1"/>
  <c r="D620" i="35" a="1"/>
  <c r="D621" i="35" a="1"/>
  <c r="D622" i="35" a="1"/>
  <c r="D623" i="35" a="1"/>
  <c r="D624" i="35" a="1"/>
  <c r="D625" i="35" a="1"/>
  <c r="D626" i="35" a="1"/>
  <c r="D627" i="35" a="1"/>
  <c r="D628" i="35" a="1"/>
  <c r="D629" i="35" a="1"/>
  <c r="D630" i="35" a="1"/>
  <c r="D631" i="35" a="1"/>
  <c r="D632" i="35" a="1"/>
  <c r="D633" i="35" a="1"/>
  <c r="D634" i="35" a="1"/>
  <c r="D635" i="35" a="1"/>
  <c r="D636" i="35" a="1"/>
  <c r="D637" i="35" a="1"/>
  <c r="D638" i="35" a="1"/>
  <c r="D639" i="35" a="1"/>
  <c r="D640" i="35" a="1"/>
  <c r="D641" i="35" a="1"/>
  <c r="D642" i="35" a="1"/>
  <c r="D643" i="35" a="1"/>
  <c r="D644" i="35" a="1"/>
  <c r="D645" i="35" a="1"/>
  <c r="D646" i="35" a="1"/>
  <c r="D647" i="35" a="1"/>
  <c r="D648" i="35" a="1"/>
  <c r="D649" i="35" a="1"/>
  <c r="D650" i="35" a="1"/>
  <c r="D651" i="35" a="1"/>
  <c r="D652" i="35" a="1"/>
  <c r="D653" i="35" a="1"/>
  <c r="D654" i="35" a="1"/>
  <c r="D655" i="35" a="1"/>
  <c r="D656" i="35" a="1"/>
  <c r="D657" i="35" a="1"/>
  <c r="D658" i="35" a="1"/>
  <c r="D659" i="35" a="1"/>
  <c r="D660" i="35" a="1"/>
  <c r="D661" i="35" a="1"/>
  <c r="D662" i="35" a="1"/>
  <c r="D663" i="35" a="1"/>
  <c r="D664" i="35" a="1"/>
  <c r="D665" i="35" a="1"/>
  <c r="D666" i="35" a="1"/>
  <c r="D667" i="35" a="1"/>
  <c r="D668" i="35" a="1"/>
  <c r="D669" i="35" a="1"/>
  <c r="D670" i="35" a="1"/>
  <c r="D671" i="35" a="1"/>
  <c r="D672" i="35" a="1"/>
  <c r="D673" i="35" a="1"/>
  <c r="D674" i="35" a="1"/>
  <c r="D675" i="35" a="1"/>
  <c r="D676" i="35" a="1"/>
  <c r="D677" i="35" a="1"/>
  <c r="D678" i="35" a="1"/>
  <c r="D679" i="35" a="1"/>
  <c r="D680" i="35" a="1"/>
  <c r="D681" i="35" a="1"/>
  <c r="D682" i="35" a="1"/>
  <c r="D683" i="35" a="1"/>
  <c r="D684" i="35" a="1"/>
  <c r="D685" i="35" a="1"/>
  <c r="D686" i="35" a="1"/>
  <c r="D687" i="35" a="1"/>
  <c r="D688" i="35" a="1"/>
  <c r="D689" i="35" a="1"/>
  <c r="D690" i="35" a="1"/>
  <c r="D691" i="35" a="1"/>
  <c r="D692" i="35" a="1"/>
  <c r="D693" i="35" a="1"/>
  <c r="D694" i="35" a="1"/>
  <c r="D695" i="35" a="1"/>
  <c r="D696" i="35" a="1"/>
  <c r="D697" i="35" a="1"/>
  <c r="D698" i="35" a="1"/>
  <c r="D699" i="35" a="1"/>
  <c r="D700" i="35" a="1"/>
  <c r="D701" i="35" a="1"/>
  <c r="D702" i="35" a="1"/>
  <c r="D703" i="35" a="1"/>
  <c r="D704" i="35" a="1"/>
  <c r="D705" i="35" a="1"/>
  <c r="D706" i="35" a="1"/>
  <c r="D707" i="35" a="1"/>
  <c r="D708" i="35" a="1"/>
  <c r="D709" i="35" a="1"/>
  <c r="D710" i="35" a="1"/>
  <c r="D711" i="35" a="1"/>
  <c r="D712" i="35" a="1"/>
  <c r="D713" i="35" a="1"/>
  <c r="D714" i="35" a="1"/>
  <c r="D715" i="35" a="1"/>
  <c r="D716" i="35" a="1"/>
  <c r="D717" i="35" a="1"/>
  <c r="D718" i="35" a="1"/>
  <c r="D719" i="35" a="1"/>
  <c r="D720" i="35" a="1"/>
  <c r="D721" i="35" a="1"/>
  <c r="D722" i="35" a="1"/>
  <c r="D723" i="35" a="1"/>
  <c r="D724" i="35" a="1"/>
  <c r="D725" i="35" a="1"/>
  <c r="D726" i="35" a="1"/>
  <c r="D727" i="35" a="1"/>
  <c r="D728" i="35" a="1"/>
  <c r="D729" i="35" a="1"/>
  <c r="D730" i="35" a="1"/>
  <c r="D731" i="35" a="1"/>
  <c r="D732" i="35" a="1"/>
  <c r="D733" i="35" a="1"/>
  <c r="D734" i="35" a="1"/>
  <c r="D735" i="35" a="1"/>
  <c r="D736" i="35" a="1"/>
  <c r="D737" i="35" a="1"/>
  <c r="D738" i="35" a="1"/>
  <c r="D739" i="35" a="1"/>
  <c r="D740" i="35" a="1"/>
  <c r="D741" i="35" a="1"/>
  <c r="D742" i="35" a="1"/>
  <c r="D743" i="35" a="1"/>
  <c r="D744" i="35" a="1"/>
  <c r="D745" i="35" a="1"/>
  <c r="D746" i="35" a="1"/>
  <c r="D747" i="35" a="1"/>
  <c r="D748" i="35" a="1"/>
  <c r="D749" i="35" a="1"/>
  <c r="D750" i="35" a="1"/>
  <c r="D751" i="35" a="1"/>
  <c r="D752" i="35" a="1"/>
  <c r="D753" i="35" a="1"/>
  <c r="D754" i="35" a="1"/>
  <c r="D755" i="35" a="1"/>
  <c r="D756" i="35" a="1"/>
  <c r="D757" i="35" a="1"/>
  <c r="D758" i="35" a="1"/>
  <c r="D759" i="35" a="1"/>
  <c r="D760" i="35" a="1"/>
  <c r="D761" i="35" a="1"/>
  <c r="D762" i="35" a="1"/>
  <c r="D763" i="35" a="1"/>
  <c r="D764" i="35" a="1"/>
  <c r="D765" i="35" a="1"/>
  <c r="D766" i="35" a="1"/>
  <c r="D767" i="35" a="1"/>
  <c r="D768" i="35" a="1"/>
  <c r="D769" i="35" a="1"/>
  <c r="D770" i="35" a="1"/>
  <c r="D771" i="35" a="1"/>
  <c r="D772" i="35" a="1"/>
  <c r="D773" i="35" a="1"/>
  <c r="D774" i="35" a="1"/>
  <c r="D775" i="35" a="1"/>
  <c r="D776" i="35" a="1"/>
  <c r="D777" i="35" a="1"/>
  <c r="D778" i="35" a="1"/>
  <c r="D779" i="35" a="1"/>
  <c r="D780" i="35" a="1"/>
  <c r="D781" i="35" a="1"/>
  <c r="D782" i="35" a="1"/>
  <c r="D783" i="35" a="1"/>
  <c r="D784" i="35" a="1"/>
  <c r="D785" i="35" a="1"/>
  <c r="D786" i="35" a="1"/>
  <c r="D787" i="35" a="1"/>
  <c r="D788" i="35" a="1"/>
  <c r="D789" i="35" a="1"/>
  <c r="D790" i="35" a="1"/>
  <c r="D791" i="35" a="1"/>
  <c r="D792" i="35" a="1"/>
  <c r="D792" i="35" s="1"/>
  <c r="E792" i="35" s="1"/>
  <c r="D793" i="35" a="1"/>
  <c r="D794" i="35" a="1"/>
  <c r="D795" i="35" a="1"/>
  <c r="D796" i="35" a="1"/>
  <c r="D797" i="35" a="1"/>
  <c r="D798" i="35" a="1"/>
  <c r="D799" i="35" a="1"/>
  <c r="D800" i="35" a="1"/>
  <c r="D800" i="35" s="1"/>
  <c r="E800" i="35" s="1"/>
  <c r="D801" i="35" a="1"/>
  <c r="D802" i="35" a="1"/>
  <c r="D803" i="35" a="1"/>
  <c r="D804" i="35" a="1"/>
  <c r="D805" i="35" a="1"/>
  <c r="D806" i="35" a="1"/>
  <c r="D807" i="35" a="1"/>
  <c r="D808" i="35" a="1"/>
  <c r="D808" i="35" s="1"/>
  <c r="E808" i="35" s="1"/>
  <c r="D809" i="35" a="1"/>
  <c r="D810" i="35" a="1"/>
  <c r="D811" i="35" a="1"/>
  <c r="D812" i="35" a="1"/>
  <c r="D813" i="35" a="1"/>
  <c r="D814" i="35" a="1"/>
  <c r="D815" i="35" a="1"/>
  <c r="D816" i="35" a="1"/>
  <c r="D816" i="35" s="1"/>
  <c r="E816" i="35" s="1"/>
  <c r="D817" i="35" a="1"/>
  <c r="D818" i="35" a="1"/>
  <c r="D819" i="35" a="1"/>
  <c r="D820" i="35" a="1"/>
  <c r="D821" i="35" a="1"/>
  <c r="D822" i="35" a="1"/>
  <c r="D823" i="35" a="1"/>
  <c r="D824" i="35" a="1"/>
  <c r="D825" i="35" a="1"/>
  <c r="D826" i="35" a="1"/>
  <c r="D827" i="35" a="1"/>
  <c r="D828" i="35" a="1"/>
  <c r="D829" i="35" a="1"/>
  <c r="D830" i="35" a="1"/>
  <c r="D831" i="35" a="1"/>
  <c r="D832" i="35" a="1"/>
  <c r="D832" i="35" s="1"/>
  <c r="E832" i="35" s="1"/>
  <c r="D833" i="35" a="1"/>
  <c r="D834" i="35" a="1"/>
  <c r="D835" i="35" a="1"/>
  <c r="D836" i="35" a="1"/>
  <c r="D837" i="35" a="1"/>
  <c r="D838" i="35" a="1"/>
  <c r="D839" i="35" a="1"/>
  <c r="D840" i="35" a="1"/>
  <c r="D840" i="35" s="1"/>
  <c r="E840" i="35" s="1"/>
  <c r="D841" i="35" a="1"/>
  <c r="D842" i="35" a="1"/>
  <c r="D843" i="35" a="1"/>
  <c r="D844" i="35" a="1"/>
  <c r="D845" i="35" a="1"/>
  <c r="D846" i="35" a="1"/>
  <c r="D847" i="35" a="1"/>
  <c r="D848" i="35" a="1"/>
  <c r="D848" i="35" s="1"/>
  <c r="E848" i="35" s="1"/>
  <c r="D849" i="35" a="1"/>
  <c r="D850" i="35" a="1"/>
  <c r="D851" i="35" a="1"/>
  <c r="D852" i="35" a="1"/>
  <c r="D853" i="35" a="1"/>
  <c r="D854" i="35" a="1"/>
  <c r="D855" i="35" a="1"/>
  <c r="D856" i="35" a="1"/>
  <c r="D856" i="35" s="1"/>
  <c r="E856" i="35" s="1"/>
  <c r="D857" i="35" a="1"/>
  <c r="D858" i="35" a="1"/>
  <c r="D859" i="35" a="1"/>
  <c r="D860" i="35" a="1"/>
  <c r="D861" i="35" a="1"/>
  <c r="D862" i="35" a="1"/>
  <c r="D863" i="35" a="1"/>
  <c r="D864" i="35" a="1"/>
  <c r="D864" i="35" s="1"/>
  <c r="E864" i="35" s="1"/>
  <c r="D865" i="35" a="1"/>
  <c r="D866" i="35" a="1"/>
  <c r="D867" i="35" a="1"/>
  <c r="D868" i="35" a="1"/>
  <c r="D869" i="35" a="1"/>
  <c r="D870" i="35" a="1"/>
  <c r="D871" i="35" a="1"/>
  <c r="D872" i="35" a="1"/>
  <c r="D873" i="35" a="1"/>
  <c r="D874" i="35" a="1"/>
  <c r="D875" i="35" a="1"/>
  <c r="D876" i="35" a="1"/>
  <c r="D877" i="35" a="1"/>
  <c r="D878" i="35" a="1"/>
  <c r="D879" i="35" a="1"/>
  <c r="D880" i="35" a="1"/>
  <c r="D881" i="35" a="1"/>
  <c r="D882" i="35" a="1"/>
  <c r="D883" i="35" a="1"/>
  <c r="D884" i="35" a="1"/>
  <c r="D885" i="35" a="1"/>
  <c r="D886" i="35" a="1"/>
  <c r="D887" i="35" a="1"/>
  <c r="D888" i="35" a="1"/>
  <c r="D888" i="35" s="1"/>
  <c r="E888" i="35" s="1"/>
  <c r="D889" i="35" a="1"/>
  <c r="D890" i="35" a="1"/>
  <c r="D891" i="35" a="1"/>
  <c r="D892" i="35" a="1"/>
  <c r="D893" i="35" a="1"/>
  <c r="D894" i="35" a="1"/>
  <c r="D895" i="35" a="1"/>
  <c r="D896" i="35" a="1"/>
  <c r="D896" i="35" s="1"/>
  <c r="E896" i="35" s="1"/>
  <c r="D897" i="35" a="1"/>
  <c r="D898" i="35" a="1"/>
  <c r="D899" i="35" a="1"/>
  <c r="D900" i="35" a="1"/>
  <c r="D901" i="35" a="1"/>
  <c r="D902" i="35" a="1"/>
  <c r="D903" i="35" a="1"/>
  <c r="D904" i="35" a="1"/>
  <c r="D905" i="35" a="1"/>
  <c r="D906" i="35" a="1"/>
  <c r="D907" i="35" a="1"/>
  <c r="D908" i="35" a="1"/>
  <c r="D909" i="35" a="1"/>
  <c r="D910" i="35" a="1"/>
  <c r="D911" i="35" a="1"/>
  <c r="D912" i="35" a="1"/>
  <c r="D912" i="35" s="1"/>
  <c r="E912" i="35" s="1"/>
  <c r="D913" i="35" a="1"/>
  <c r="D914" i="35" a="1"/>
  <c r="D915" i="35" a="1"/>
  <c r="D916" i="35" a="1"/>
  <c r="D917" i="35" a="1"/>
  <c r="D918" i="35" a="1"/>
  <c r="D919" i="35" a="1"/>
  <c r="D920" i="35" a="1"/>
  <c r="D920" i="35" s="1"/>
  <c r="E920" i="35" s="1"/>
  <c r="D921" i="35" a="1"/>
  <c r="D922" i="35" a="1"/>
  <c r="D923" i="35" a="1"/>
  <c r="D924" i="35" a="1"/>
  <c r="D925" i="35" a="1"/>
  <c r="D926" i="35" a="1"/>
  <c r="D927" i="35" a="1"/>
  <c r="D928" i="35" a="1"/>
  <c r="D928" i="35" s="1"/>
  <c r="E928" i="35" s="1"/>
  <c r="D929" i="35" a="1"/>
  <c r="D930" i="35" a="1"/>
  <c r="D931" i="35" a="1"/>
  <c r="D932" i="35" a="1"/>
  <c r="D933" i="35" a="1"/>
  <c r="D934" i="35" a="1"/>
  <c r="D935" i="35" a="1"/>
  <c r="D936" i="35" a="1"/>
  <c r="D936" i="35" s="1"/>
  <c r="E936" i="35" s="1"/>
  <c r="D937" i="35" a="1"/>
  <c r="D938" i="35" a="1"/>
  <c r="D939" i="35" a="1"/>
  <c r="D940" i="35" a="1"/>
  <c r="D941" i="35" a="1"/>
  <c r="D942" i="35" a="1"/>
  <c r="D943" i="35" a="1"/>
  <c r="D944" i="35" a="1"/>
  <c r="D944" i="35" s="1"/>
  <c r="E944" i="35" s="1"/>
  <c r="D945" i="35" a="1"/>
  <c r="D946" i="35" a="1"/>
  <c r="D947" i="35" a="1"/>
  <c r="D948" i="35" a="1"/>
  <c r="D949" i="35" a="1"/>
  <c r="D950" i="35" a="1"/>
  <c r="D951" i="35" a="1"/>
  <c r="D952" i="35" a="1"/>
  <c r="D953" i="35" a="1"/>
  <c r="D954" i="35" a="1"/>
  <c r="D955" i="35" a="1"/>
  <c r="D956" i="35" a="1"/>
  <c r="D957" i="35" a="1"/>
  <c r="D958" i="35" a="1"/>
  <c r="D959" i="35" a="1"/>
  <c r="D960" i="35" a="1"/>
  <c r="D960" i="35" s="1"/>
  <c r="E960" i="35" s="1"/>
  <c r="D961" i="35" a="1"/>
  <c r="D962" i="35" a="1"/>
  <c r="D963" i="35" a="1"/>
  <c r="D964" i="35" a="1"/>
  <c r="D965" i="35" a="1"/>
  <c r="D966" i="35" a="1"/>
  <c r="D967" i="35" a="1"/>
  <c r="D968" i="35" a="1"/>
  <c r="D968" i="35" s="1"/>
  <c r="E968" i="35" s="1"/>
  <c r="D969" i="35" a="1"/>
  <c r="D970" i="35" a="1"/>
  <c r="D971" i="35" a="1"/>
  <c r="D972" i="35" a="1"/>
  <c r="D973" i="35" a="1"/>
  <c r="D974" i="35" a="1"/>
  <c r="D975" i="35" a="1"/>
  <c r="D976" i="35" a="1"/>
  <c r="D977" i="35" a="1"/>
  <c r="D978" i="35" a="1"/>
  <c r="D979" i="35" a="1"/>
  <c r="D980" i="35" a="1"/>
  <c r="D981" i="35" a="1"/>
  <c r="D982" i="35" a="1"/>
  <c r="D983" i="35" a="1"/>
  <c r="D984" i="35" a="1"/>
  <c r="D985" i="35" a="1"/>
  <c r="D986" i="35" a="1"/>
  <c r="D987" i="35" a="1"/>
  <c r="D988" i="35" a="1"/>
  <c r="D989" i="35" a="1"/>
  <c r="D990" i="35" a="1"/>
  <c r="D991" i="35" a="1"/>
  <c r="D992" i="35" a="1"/>
  <c r="D992" i="35" s="1"/>
  <c r="E992" i="35" s="1"/>
  <c r="D993" i="35" a="1"/>
  <c r="D994" i="35" a="1"/>
  <c r="D995" i="35" a="1"/>
  <c r="D996" i="35" a="1"/>
  <c r="D997" i="35" a="1"/>
  <c r="D998" i="35" a="1"/>
  <c r="D999" i="35" a="1"/>
  <c r="D1000" i="35" a="1"/>
  <c r="D1001" i="35" a="1"/>
  <c r="D1002" i="35" a="1"/>
  <c r="D1003" i="35" a="1"/>
  <c r="D1004" i="35" a="1"/>
  <c r="D1005" i="35" a="1"/>
  <c r="D1006" i="35" a="1"/>
  <c r="D1007" i="35" a="1"/>
  <c r="D1007" i="36" a="1"/>
  <c r="D1007" i="36" s="1"/>
  <c r="E1007" i="36" s="1"/>
  <c r="D999" i="36" a="1"/>
  <c r="D991" i="36" a="1"/>
  <c r="D983" i="36" a="1"/>
  <c r="D975" i="36" a="1"/>
  <c r="D967" i="36" a="1"/>
  <c r="D959" i="36" a="1"/>
  <c r="D951" i="36" a="1"/>
  <c r="D943" i="36" a="1"/>
  <c r="D935" i="36" a="1"/>
  <c r="D927" i="36" a="1"/>
  <c r="D919" i="36" a="1"/>
  <c r="D911" i="36" a="1"/>
  <c r="D903" i="36" a="1"/>
  <c r="D895" i="36" a="1"/>
  <c r="D887" i="36" a="1"/>
  <c r="D879" i="36" a="1"/>
  <c r="D879" i="36" s="1"/>
  <c r="E879" i="36" s="1"/>
  <c r="D871" i="36" a="1"/>
  <c r="D863" i="36" a="1"/>
  <c r="D855" i="36" a="1"/>
  <c r="D847" i="36" a="1"/>
  <c r="D839" i="36" a="1"/>
  <c r="D831" i="36" a="1"/>
  <c r="D823" i="36" a="1"/>
  <c r="D815" i="36" a="1"/>
  <c r="D815" i="36" s="1"/>
  <c r="E815" i="36" s="1"/>
  <c r="D807" i="36" a="1"/>
  <c r="D799" i="36" a="1"/>
  <c r="D791" i="36" a="1"/>
  <c r="D783" i="36" a="1"/>
  <c r="D775" i="36" a="1"/>
  <c r="D767" i="36" a="1"/>
  <c r="D759" i="36" a="1"/>
  <c r="D751" i="36" a="1"/>
  <c r="D743" i="36" a="1"/>
  <c r="D735" i="36" a="1"/>
  <c r="D727" i="36" a="1"/>
  <c r="D719" i="36" a="1"/>
  <c r="D711" i="36" a="1"/>
  <c r="D703" i="36" a="1"/>
  <c r="D695" i="36" a="1"/>
  <c r="D682" i="36" a="1"/>
  <c r="D682" i="36" s="1"/>
  <c r="E682" i="36" s="1"/>
  <c r="D645" i="36" a="1"/>
  <c r="D581" i="36" a="1"/>
  <c r="D517" i="36" a="1"/>
  <c r="D958" i="36" a="1"/>
  <c r="D950" i="36" a="1"/>
  <c r="D942" i="36" a="1"/>
  <c r="D934" i="36" a="1"/>
  <c r="D926" i="36" a="1"/>
  <c r="D918" i="36" a="1"/>
  <c r="D910" i="36" a="1"/>
  <c r="D902" i="36" a="1"/>
  <c r="D894" i="36" a="1"/>
  <c r="D886" i="36" a="1"/>
  <c r="D878" i="36" a="1"/>
  <c r="D870" i="36" a="1"/>
  <c r="D862" i="36" a="1"/>
  <c r="D854" i="36" a="1"/>
  <c r="D846" i="36" a="1"/>
  <c r="D838" i="36" a="1"/>
  <c r="D830" i="36" a="1"/>
  <c r="D822" i="36" a="1"/>
  <c r="D814" i="36" a="1"/>
  <c r="D806" i="36" a="1"/>
  <c r="D798" i="36" a="1"/>
  <c r="D798" i="36" s="1"/>
  <c r="E798" i="36" s="1"/>
  <c r="D790" i="36" a="1"/>
  <c r="D782" i="36" a="1"/>
  <c r="D774" i="36" a="1"/>
  <c r="D766" i="36" a="1"/>
  <c r="D758" i="36" a="1"/>
  <c r="D750" i="36" a="1"/>
  <c r="D742" i="36" a="1"/>
  <c r="D734" i="36" a="1"/>
  <c r="D734" i="36" s="1"/>
  <c r="E734" i="36" s="1"/>
  <c r="D726" i="36" a="1"/>
  <c r="D718" i="36" a="1"/>
  <c r="D710" i="36" a="1"/>
  <c r="D702" i="36" a="1"/>
  <c r="D694" i="36" a="1"/>
  <c r="D677" i="36" a="1"/>
  <c r="D637" i="36" a="1"/>
  <c r="D573" i="36" a="1"/>
  <c r="D573" i="36" s="1"/>
  <c r="E573" i="36" s="1"/>
  <c r="D509" i="36" a="1"/>
  <c r="D1006" i="36" a="1"/>
  <c r="D1005" i="36" a="1"/>
  <c r="D997" i="36" a="1"/>
  <c r="D989" i="36" a="1"/>
  <c r="D981" i="36" a="1"/>
  <c r="D973" i="36" a="1"/>
  <c r="D965" i="36" a="1"/>
  <c r="D957" i="36" a="1"/>
  <c r="D949" i="36" a="1"/>
  <c r="D941" i="36" a="1"/>
  <c r="D933" i="36" a="1"/>
  <c r="D925" i="36" a="1"/>
  <c r="D917" i="36" a="1"/>
  <c r="D909" i="36" a="1"/>
  <c r="D901" i="36" a="1"/>
  <c r="D901" i="36" s="1"/>
  <c r="E901" i="36" s="1"/>
  <c r="D893" i="36" a="1"/>
  <c r="D885" i="36" a="1"/>
  <c r="D877" i="36" a="1"/>
  <c r="D869" i="36" a="1"/>
  <c r="D861" i="36" a="1"/>
  <c r="D853" i="36" a="1"/>
  <c r="D845" i="36" a="1"/>
  <c r="D837" i="36" a="1"/>
  <c r="D837" i="36" s="1"/>
  <c r="E837" i="36" s="1"/>
  <c r="D829" i="36" a="1"/>
  <c r="D821" i="36" a="1"/>
  <c r="D813" i="36" a="1"/>
  <c r="D805" i="36" a="1"/>
  <c r="D797" i="36" a="1"/>
  <c r="D789" i="36" a="1"/>
  <c r="D781" i="36" a="1"/>
  <c r="D773" i="36" a="1"/>
  <c r="D773" i="36" s="1"/>
  <c r="E773" i="36" s="1"/>
  <c r="D765" i="36" a="1"/>
  <c r="D757" i="36" a="1"/>
  <c r="D749" i="36" a="1"/>
  <c r="D741" i="36" a="1"/>
  <c r="D733" i="36" a="1"/>
  <c r="D725" i="36" a="1"/>
  <c r="D717" i="36" a="1"/>
  <c r="D709" i="36" a="1"/>
  <c r="D709" i="36" s="1"/>
  <c r="E709" i="36" s="1"/>
  <c r="D701" i="36" a="1"/>
  <c r="D693" i="36" a="1"/>
  <c r="D675" i="36" a="1"/>
  <c r="D629" i="36" a="1"/>
  <c r="D565" i="36" a="1"/>
  <c r="D501" i="36" a="1"/>
  <c r="D990" i="36" a="1"/>
  <c r="D1004" i="36" a="1"/>
  <c r="D1004" i="36" s="1"/>
  <c r="E1004" i="36" s="1"/>
  <c r="D996" i="36" a="1"/>
  <c r="D988" i="36" a="1"/>
  <c r="D980" i="36" a="1"/>
  <c r="D972" i="36" a="1"/>
  <c r="D964" i="36" a="1"/>
  <c r="D956" i="36" a="1"/>
  <c r="D948" i="36" a="1"/>
  <c r="D940" i="36" a="1"/>
  <c r="D932" i="36" a="1"/>
  <c r="D924" i="36" a="1"/>
  <c r="D916" i="36" a="1"/>
  <c r="D908" i="36" a="1"/>
  <c r="D900" i="36" a="1"/>
  <c r="D892" i="36" a="1"/>
  <c r="D884" i="36" a="1"/>
  <c r="D876" i="36" a="1"/>
  <c r="D876" i="36" s="1"/>
  <c r="E876" i="36" s="1"/>
  <c r="D868" i="36" a="1"/>
  <c r="D860" i="36" a="1"/>
  <c r="D852" i="36" a="1"/>
  <c r="D844" i="36" a="1"/>
  <c r="D836" i="36" a="1"/>
  <c r="D828" i="36" a="1"/>
  <c r="D820" i="36" a="1"/>
  <c r="D812" i="36" a="1"/>
  <c r="D812" i="36" s="1"/>
  <c r="E812" i="36" s="1"/>
  <c r="D804" i="36" a="1"/>
  <c r="D796" i="36" a="1"/>
  <c r="D788" i="36" a="1"/>
  <c r="D780" i="36" a="1"/>
  <c r="D772" i="36" a="1"/>
  <c r="D764" i="36" a="1"/>
  <c r="D756" i="36" a="1"/>
  <c r="D748" i="36" a="1"/>
  <c r="D748" i="36" s="1"/>
  <c r="E748" i="36" s="1"/>
  <c r="D740" i="36" a="1"/>
  <c r="D732" i="36" a="1"/>
  <c r="D724" i="36" a="1"/>
  <c r="D716" i="36" a="1"/>
  <c r="D708" i="36" a="1"/>
  <c r="D700" i="36" a="1"/>
  <c r="D692" i="36" a="1"/>
  <c r="D669" i="36" a="1"/>
  <c r="D669" i="36" s="1"/>
  <c r="E669" i="36" s="1"/>
  <c r="D621" i="36" a="1"/>
  <c r="D557" i="36" a="1"/>
  <c r="D493" i="36" a="1"/>
  <c r="D1003" i="36" a="1"/>
  <c r="D995" i="36" a="1"/>
  <c r="D987" i="36" a="1"/>
  <c r="D979" i="36" a="1"/>
  <c r="D971" i="36" a="1"/>
  <c r="D971" i="36" s="1"/>
  <c r="E971" i="36" s="1"/>
  <c r="D963" i="36" a="1"/>
  <c r="D955" i="36" a="1"/>
  <c r="D947" i="36" a="1"/>
  <c r="D939" i="36" a="1"/>
  <c r="D931" i="36" a="1"/>
  <c r="D923" i="36" a="1"/>
  <c r="D915" i="36" a="1"/>
  <c r="D907" i="36" a="1"/>
  <c r="D907" i="36" s="1"/>
  <c r="E907" i="36" s="1"/>
  <c r="D899" i="36" a="1"/>
  <c r="D891" i="36" a="1"/>
  <c r="D883" i="36" a="1"/>
  <c r="D875" i="36" a="1"/>
  <c r="D867" i="36" a="1"/>
  <c r="D859" i="36" a="1"/>
  <c r="D851" i="36" a="1"/>
  <c r="D843" i="36" a="1"/>
  <c r="D843" i="36" s="1"/>
  <c r="E843" i="36" s="1"/>
  <c r="D835" i="36" a="1"/>
  <c r="D827" i="36" a="1"/>
  <c r="D819" i="36" a="1"/>
  <c r="D811" i="36" a="1"/>
  <c r="D803" i="36" a="1"/>
  <c r="D795" i="36" a="1"/>
  <c r="D787" i="36" a="1"/>
  <c r="D779" i="36" a="1"/>
  <c r="D779" i="36" s="1"/>
  <c r="E779" i="36" s="1"/>
  <c r="D771" i="36" a="1"/>
  <c r="D763" i="36" a="1"/>
  <c r="D755" i="36" a="1"/>
  <c r="D747" i="36" a="1"/>
  <c r="D739" i="36" a="1"/>
  <c r="D731" i="36" a="1"/>
  <c r="D723" i="36" a="1"/>
  <c r="D715" i="36" a="1"/>
  <c r="D707" i="36" a="1"/>
  <c r="D699" i="36" a="1"/>
  <c r="D691" i="36" a="1"/>
  <c r="D667" i="36" a="1"/>
  <c r="D613" i="36" a="1"/>
  <c r="D549" i="36" a="1"/>
  <c r="D485" i="36" a="1"/>
  <c r="D974" i="36" a="1"/>
  <c r="D1002" i="36" a="1"/>
  <c r="D994" i="36" a="1"/>
  <c r="D986" i="36" a="1"/>
  <c r="D978" i="36" a="1"/>
  <c r="D970" i="36" a="1"/>
  <c r="D962" i="36" a="1"/>
  <c r="D954" i="36" a="1"/>
  <c r="D946" i="36" a="1"/>
  <c r="D938" i="36" a="1"/>
  <c r="D930" i="36" a="1"/>
  <c r="D922" i="36" a="1"/>
  <c r="D914" i="36" a="1"/>
  <c r="D906" i="36" a="1"/>
  <c r="D898" i="36" a="1"/>
  <c r="D890" i="36" a="1"/>
  <c r="D882" i="36" a="1"/>
  <c r="D874" i="36" a="1"/>
  <c r="D866" i="36" a="1"/>
  <c r="D858" i="36" a="1"/>
  <c r="D850" i="36" a="1"/>
  <c r="D842" i="36" a="1"/>
  <c r="D834" i="36" a="1"/>
  <c r="D826" i="36" a="1"/>
  <c r="D818" i="36" a="1"/>
  <c r="D810" i="36" a="1"/>
  <c r="D802" i="36" a="1"/>
  <c r="D794" i="36" a="1"/>
  <c r="D786" i="36" a="1"/>
  <c r="D778" i="36" a="1"/>
  <c r="D770" i="36" a="1"/>
  <c r="D762" i="36" a="1"/>
  <c r="D754" i="36" a="1"/>
  <c r="D754" i="36" s="1"/>
  <c r="E754" i="36" s="1"/>
  <c r="D746" i="36" a="1"/>
  <c r="D738" i="36" a="1"/>
  <c r="D730" i="36" a="1"/>
  <c r="D722" i="36" a="1"/>
  <c r="D714" i="36" a="1"/>
  <c r="D706" i="36" a="1"/>
  <c r="D698" i="36" a="1"/>
  <c r="D690" i="36" a="1"/>
  <c r="D661" i="36" a="1"/>
  <c r="D605" i="36" a="1"/>
  <c r="D541" i="36" a="1"/>
  <c r="D966" i="36" a="1"/>
  <c r="D20" i="36" a="1"/>
  <c r="D28" i="36" a="1"/>
  <c r="D36" i="36" a="1"/>
  <c r="D44" i="36" a="1"/>
  <c r="D52" i="36" a="1"/>
  <c r="D60" i="36" a="1"/>
  <c r="D68" i="36" a="1"/>
  <c r="D76" i="36" a="1"/>
  <c r="D84" i="36" a="1"/>
  <c r="D92" i="36" a="1"/>
  <c r="D100" i="36" a="1"/>
  <c r="D108" i="36" a="1"/>
  <c r="D108" i="36" s="1"/>
  <c r="E108" i="36" s="1"/>
  <c r="D116" i="36" a="1"/>
  <c r="D124" i="36" a="1"/>
  <c r="D132" i="36" a="1"/>
  <c r="D140" i="36" a="1"/>
  <c r="D148" i="36" a="1"/>
  <c r="D156" i="36" a="1"/>
  <c r="D164" i="36" a="1"/>
  <c r="D172" i="36" a="1"/>
  <c r="D172" i="36" s="1"/>
  <c r="E172" i="36" s="1"/>
  <c r="D180" i="36" a="1"/>
  <c r="D188" i="36" a="1"/>
  <c r="D196" i="36" a="1"/>
  <c r="D204" i="36" a="1"/>
  <c r="D212" i="36" a="1"/>
  <c r="D220" i="36" a="1"/>
  <c r="D228" i="36" a="1"/>
  <c r="D236" i="36" a="1"/>
  <c r="D236" i="36" s="1"/>
  <c r="E236" i="36" s="1"/>
  <c r="D244" i="36" a="1"/>
  <c r="D252" i="36" a="1"/>
  <c r="D260" i="36" a="1"/>
  <c r="D268" i="36" a="1"/>
  <c r="D276" i="36" a="1"/>
  <c r="D284" i="36" a="1"/>
  <c r="D292" i="36" a="1"/>
  <c r="D300" i="36" a="1"/>
  <c r="D300" i="36" s="1"/>
  <c r="E300" i="36" s="1"/>
  <c r="D308" i="36" a="1"/>
  <c r="D316" i="36" a="1"/>
  <c r="D324" i="36" a="1"/>
  <c r="D332" i="36" a="1"/>
  <c r="D340" i="36" a="1"/>
  <c r="D348" i="36" a="1"/>
  <c r="D356" i="36" a="1"/>
  <c r="D364" i="36" a="1"/>
  <c r="D364" i="36" s="1"/>
  <c r="E364" i="36" s="1"/>
  <c r="D372" i="36" a="1"/>
  <c r="D380" i="36" a="1"/>
  <c r="D388" i="36" a="1"/>
  <c r="D396" i="36" a="1"/>
  <c r="D404" i="36" a="1"/>
  <c r="D412" i="36" a="1"/>
  <c r="D420" i="36" a="1"/>
  <c r="D428" i="36" a="1"/>
  <c r="D428" i="36" s="1"/>
  <c r="E428" i="36" s="1"/>
  <c r="D436" i="36" a="1"/>
  <c r="D444" i="36" a="1"/>
  <c r="D452" i="36" a="1"/>
  <c r="D460" i="36" a="1"/>
  <c r="D468" i="36" a="1"/>
  <c r="D476" i="36" a="1"/>
  <c r="D484" i="36" a="1"/>
  <c r="D492" i="36" a="1"/>
  <c r="D500" i="36" a="1"/>
  <c r="D508" i="36" a="1"/>
  <c r="D516" i="36" a="1"/>
  <c r="D524" i="36" a="1"/>
  <c r="D532" i="36" a="1"/>
  <c r="D540" i="36" a="1"/>
  <c r="D548" i="36" a="1"/>
  <c r="D556" i="36" a="1"/>
  <c r="D564" i="36" a="1"/>
  <c r="D572" i="36" a="1"/>
  <c r="D580" i="36" a="1"/>
  <c r="D588" i="36" a="1"/>
  <c r="D596" i="36" a="1"/>
  <c r="D604" i="36" a="1"/>
  <c r="D612" i="36" a="1"/>
  <c r="D620" i="36" a="1"/>
  <c r="D620" i="36" s="1"/>
  <c r="E620" i="36" s="1"/>
  <c r="D628" i="36" a="1"/>
  <c r="D636" i="36" a="1"/>
  <c r="D644" i="36" a="1"/>
  <c r="D652" i="36" a="1"/>
  <c r="D660" i="36" a="1"/>
  <c r="D668" i="36" a="1"/>
  <c r="D676" i="36" a="1"/>
  <c r="D684" i="36" a="1"/>
  <c r="D684" i="36" s="1"/>
  <c r="E684" i="36" s="1"/>
  <c r="D13" i="36" a="1"/>
  <c r="D21" i="36" a="1"/>
  <c r="D29" i="36" a="1"/>
  <c r="D37" i="36" a="1"/>
  <c r="D45" i="36" a="1"/>
  <c r="D53" i="36" a="1"/>
  <c r="D61" i="36" a="1"/>
  <c r="D69" i="36" a="1"/>
  <c r="D69" i="36" s="1"/>
  <c r="E69" i="36" s="1"/>
  <c r="D77" i="36" a="1"/>
  <c r="D85" i="36" a="1"/>
  <c r="D93" i="36" a="1"/>
  <c r="D101" i="36" a="1"/>
  <c r="D109" i="36" a="1"/>
  <c r="D117" i="36" a="1"/>
  <c r="D125" i="36" a="1"/>
  <c r="D133" i="36" a="1"/>
  <c r="D133" i="36" s="1"/>
  <c r="E133" i="36" s="1"/>
  <c r="D141" i="36" a="1"/>
  <c r="D149" i="36" a="1"/>
  <c r="D157" i="36" a="1"/>
  <c r="D165" i="36" a="1"/>
  <c r="D173" i="36" a="1"/>
  <c r="D181" i="36" a="1"/>
  <c r="D189" i="36" a="1"/>
  <c r="D197" i="36" a="1"/>
  <c r="D205" i="36" a="1"/>
  <c r="D213" i="36" a="1"/>
  <c r="D221" i="36" a="1"/>
  <c r="D229" i="36" a="1"/>
  <c r="D237" i="36" a="1"/>
  <c r="D245" i="36" a="1"/>
  <c r="D253" i="36" a="1"/>
  <c r="D261" i="36" a="1"/>
  <c r="D269" i="36" a="1"/>
  <c r="D277" i="36" a="1"/>
  <c r="D285" i="36" a="1"/>
  <c r="D293" i="36" a="1"/>
  <c r="D301" i="36" a="1"/>
  <c r="D309" i="36" a="1"/>
  <c r="D317" i="36" a="1"/>
  <c r="D325" i="36" a="1"/>
  <c r="D325" i="36" s="1"/>
  <c r="E325" i="36" s="1"/>
  <c r="D333" i="36" a="1"/>
  <c r="D341" i="36" a="1"/>
  <c r="D349" i="36" a="1"/>
  <c r="D357" i="36" a="1"/>
  <c r="D365" i="36" a="1"/>
  <c r="D373" i="36" a="1"/>
  <c r="D381" i="36" a="1"/>
  <c r="D389" i="36" a="1"/>
  <c r="D389" i="36" s="1"/>
  <c r="E389" i="36" s="1"/>
  <c r="D397" i="36" a="1"/>
  <c r="D405" i="36" a="1"/>
  <c r="D413" i="36" a="1"/>
  <c r="D421" i="36" a="1"/>
  <c r="D429" i="36" a="1"/>
  <c r="D437" i="36" a="1"/>
  <c r="D445" i="36" a="1"/>
  <c r="D453" i="36" a="1"/>
  <c r="D453" i="36" s="1"/>
  <c r="E453" i="36" s="1"/>
  <c r="D461" i="36" a="1"/>
  <c r="D14" i="36" a="1"/>
  <c r="D22" i="36" a="1"/>
  <c r="D30" i="36" a="1"/>
  <c r="D38" i="36" a="1"/>
  <c r="D46" i="36" a="1"/>
  <c r="D54" i="36" a="1"/>
  <c r="D62" i="36" a="1"/>
  <c r="D62" i="36" s="1"/>
  <c r="E62" i="36" s="1"/>
  <c r="D70" i="36" a="1"/>
  <c r="D78" i="36" a="1"/>
  <c r="D86" i="36" a="1"/>
  <c r="D94" i="36" a="1"/>
  <c r="D102" i="36" a="1"/>
  <c r="D110" i="36" a="1"/>
  <c r="D118" i="36" a="1"/>
  <c r="D126" i="36" a="1"/>
  <c r="D134" i="36" a="1"/>
  <c r="D142" i="36" a="1"/>
  <c r="D150" i="36" a="1"/>
  <c r="D158" i="36" a="1"/>
  <c r="D166" i="36" a="1"/>
  <c r="D174" i="36" a="1"/>
  <c r="D182" i="36" a="1"/>
  <c r="D190" i="36" a="1"/>
  <c r="D190" i="36" s="1"/>
  <c r="E190" i="36" s="1"/>
  <c r="D198" i="36" a="1"/>
  <c r="D206" i="36" a="1"/>
  <c r="D214" i="36" a="1"/>
  <c r="D222" i="36" a="1"/>
  <c r="D230" i="36" a="1"/>
  <c r="D238" i="36" a="1"/>
  <c r="D246" i="36" a="1"/>
  <c r="D254" i="36" a="1"/>
  <c r="D254" i="36" s="1"/>
  <c r="E254" i="36" s="1"/>
  <c r="D262" i="36" a="1"/>
  <c r="D270" i="36" a="1"/>
  <c r="D278" i="36" a="1"/>
  <c r="D286" i="36" a="1"/>
  <c r="D294" i="36" a="1"/>
  <c r="D302" i="36" a="1"/>
  <c r="D310" i="36" a="1"/>
  <c r="D318" i="36" a="1"/>
  <c r="D318" i="36" s="1"/>
  <c r="E318" i="36" s="1"/>
  <c r="D326" i="36" a="1"/>
  <c r="D334" i="36" a="1"/>
  <c r="D342" i="36" a="1"/>
  <c r="D350" i="36" a="1"/>
  <c r="D358" i="36" a="1"/>
  <c r="D366" i="36" a="1"/>
  <c r="D374" i="36" a="1"/>
  <c r="D382" i="36" a="1"/>
  <c r="D390" i="36" a="1"/>
  <c r="D398" i="36" a="1"/>
  <c r="D406" i="36" a="1"/>
  <c r="D414" i="36" a="1"/>
  <c r="D422" i="36" a="1"/>
  <c r="D430" i="36" a="1"/>
  <c r="D438" i="36" a="1"/>
  <c r="D446" i="36" a="1"/>
  <c r="D446" i="36" s="1"/>
  <c r="E446" i="36" s="1"/>
  <c r="D454" i="36" a="1"/>
  <c r="D462" i="36" a="1"/>
  <c r="D470" i="36" a="1"/>
  <c r="D478" i="36" a="1"/>
  <c r="D486" i="36" a="1"/>
  <c r="D494" i="36" a="1"/>
  <c r="D502" i="36" a="1"/>
  <c r="D510" i="36" a="1"/>
  <c r="D510" i="36" s="1"/>
  <c r="E510" i="36" s="1"/>
  <c r="D518" i="36" a="1"/>
  <c r="D526" i="36" a="1"/>
  <c r="D534" i="36" a="1"/>
  <c r="D542" i="36" a="1"/>
  <c r="D550" i="36" a="1"/>
  <c r="D558" i="36" a="1"/>
  <c r="D566" i="36" a="1"/>
  <c r="D574" i="36" a="1"/>
  <c r="D574" i="36" s="1"/>
  <c r="E574" i="36" s="1"/>
  <c r="D582" i="36" a="1"/>
  <c r="D590" i="36" a="1"/>
  <c r="D598" i="36" a="1"/>
  <c r="D606" i="36" a="1"/>
  <c r="D614" i="36" a="1"/>
  <c r="D622" i="36" a="1"/>
  <c r="D630" i="36" a="1"/>
  <c r="D638" i="36" a="1"/>
  <c r="D638" i="36" s="1"/>
  <c r="E638" i="36" s="1"/>
  <c r="D646" i="36" a="1"/>
  <c r="D654" i="36" a="1"/>
  <c r="D662" i="36" a="1"/>
  <c r="D670" i="36" a="1"/>
  <c r="D678" i="36" a="1"/>
  <c r="D686" i="36" a="1"/>
  <c r="D15" i="36" a="1"/>
  <c r="D23" i="36" a="1"/>
  <c r="D23" i="36" s="1"/>
  <c r="E23" i="36" s="1"/>
  <c r="D31" i="36" a="1"/>
  <c r="D39" i="36" a="1"/>
  <c r="D47" i="36" a="1"/>
  <c r="D55" i="36" a="1"/>
  <c r="D63" i="36" a="1"/>
  <c r="D71" i="36" a="1"/>
  <c r="D79" i="36" a="1"/>
  <c r="D87" i="36" a="1"/>
  <c r="D87" i="36" s="1"/>
  <c r="E87" i="36" s="1"/>
  <c r="D95" i="36" a="1"/>
  <c r="D103" i="36" a="1"/>
  <c r="D111" i="36" a="1"/>
  <c r="D119" i="36" a="1"/>
  <c r="D127" i="36" a="1"/>
  <c r="D135" i="36" a="1"/>
  <c r="D143" i="36" a="1"/>
  <c r="D151" i="36" a="1"/>
  <c r="D151" i="36" s="1"/>
  <c r="E151" i="36" s="1"/>
  <c r="D159" i="36" a="1"/>
  <c r="D167" i="36" a="1"/>
  <c r="D175" i="36" a="1"/>
  <c r="D183" i="36" a="1"/>
  <c r="D191" i="36" a="1"/>
  <c r="D199" i="36" a="1"/>
  <c r="D207" i="36" a="1"/>
  <c r="D215" i="36" a="1"/>
  <c r="D223" i="36" a="1"/>
  <c r="D231" i="36" a="1"/>
  <c r="D239" i="36" a="1"/>
  <c r="D247" i="36" a="1"/>
  <c r="D255" i="36" a="1"/>
  <c r="D263" i="36" a="1"/>
  <c r="D271" i="36" a="1"/>
  <c r="D279" i="36" a="1"/>
  <c r="D279" i="36" s="1"/>
  <c r="E279" i="36" s="1"/>
  <c r="D287" i="36" a="1"/>
  <c r="D295" i="36" a="1"/>
  <c r="D303" i="36" a="1"/>
  <c r="D311" i="36" a="1"/>
  <c r="D319" i="36" a="1"/>
  <c r="D327" i="36" a="1"/>
  <c r="D335" i="36" a="1"/>
  <c r="D343" i="36" a="1"/>
  <c r="D343" i="36" s="1"/>
  <c r="E343" i="36" s="1"/>
  <c r="D351" i="36" a="1"/>
  <c r="D359" i="36" a="1"/>
  <c r="D367" i="36" a="1"/>
  <c r="D375" i="36" a="1"/>
  <c r="D383" i="36" a="1"/>
  <c r="D391" i="36" a="1"/>
  <c r="D399" i="36" a="1"/>
  <c r="D407" i="36" a="1"/>
  <c r="D415" i="36" a="1"/>
  <c r="D423" i="36" a="1"/>
  <c r="D431" i="36" a="1"/>
  <c r="D439" i="36" a="1"/>
  <c r="D447" i="36" a="1"/>
  <c r="D455" i="36" a="1"/>
  <c r="D463" i="36" a="1"/>
  <c r="D471" i="36" a="1"/>
  <c r="D479" i="36" a="1"/>
  <c r="D487" i="36" a="1"/>
  <c r="D495" i="36" a="1"/>
  <c r="D503" i="36" a="1"/>
  <c r="D511" i="36" a="1"/>
  <c r="D519" i="36" a="1"/>
  <c r="D527" i="36" a="1"/>
  <c r="D535" i="36" a="1"/>
  <c r="D543" i="36" a="1"/>
  <c r="D551" i="36" a="1"/>
  <c r="D559" i="36" a="1"/>
  <c r="D567" i="36" a="1"/>
  <c r="D575" i="36" a="1"/>
  <c r="D583" i="36" a="1"/>
  <c r="D591" i="36" a="1"/>
  <c r="D599" i="36" a="1"/>
  <c r="D599" i="36" s="1"/>
  <c r="E599" i="36" s="1"/>
  <c r="D607" i="36" a="1"/>
  <c r="D615" i="36" a="1"/>
  <c r="D623" i="36" a="1"/>
  <c r="D631" i="36" a="1"/>
  <c r="D639" i="36" a="1"/>
  <c r="D647" i="36" a="1"/>
  <c r="D655" i="36" a="1"/>
  <c r="D663" i="36" a="1"/>
  <c r="D663" i="36" s="1"/>
  <c r="E663" i="36" s="1"/>
  <c r="D671" i="36" a="1"/>
  <c r="D679" i="36" a="1"/>
  <c r="D687" i="36" a="1"/>
  <c r="D16" i="36" a="1"/>
  <c r="D24" i="36" a="1"/>
  <c r="D32" i="36" a="1"/>
  <c r="D40" i="36" a="1"/>
  <c r="D48" i="36" a="1"/>
  <c r="D48" i="36" s="1"/>
  <c r="E48" i="36" s="1"/>
  <c r="D56" i="36" a="1"/>
  <c r="D64" i="36" a="1"/>
  <c r="D72" i="36" a="1"/>
  <c r="D80" i="36" a="1"/>
  <c r="D88" i="36" a="1"/>
  <c r="D96" i="36" a="1"/>
  <c r="D104" i="36" a="1"/>
  <c r="D112" i="36" a="1"/>
  <c r="D112" i="36" s="1"/>
  <c r="E112" i="36" s="1"/>
  <c r="D120" i="36" a="1"/>
  <c r="D128" i="36" a="1"/>
  <c r="D136" i="36" a="1"/>
  <c r="D144" i="36" a="1"/>
  <c r="D152" i="36" a="1"/>
  <c r="D160" i="36" a="1"/>
  <c r="D168" i="36" a="1"/>
  <c r="D176" i="36" a="1"/>
  <c r="D184" i="36" a="1"/>
  <c r="D192" i="36" a="1"/>
  <c r="D200" i="36" a="1"/>
  <c r="D208" i="36" a="1"/>
  <c r="D216" i="36" a="1"/>
  <c r="D224" i="36" a="1"/>
  <c r="D232" i="36" a="1"/>
  <c r="D240" i="36" a="1"/>
  <c r="D248" i="36" a="1"/>
  <c r="D256" i="36" a="1"/>
  <c r="D264" i="36" a="1"/>
  <c r="D272" i="36" a="1"/>
  <c r="D280" i="36" a="1"/>
  <c r="D288" i="36" a="1"/>
  <c r="D296" i="36" a="1"/>
  <c r="D304" i="36" a="1"/>
  <c r="D304" i="36" s="1"/>
  <c r="E304" i="36" s="1"/>
  <c r="D312" i="36" a="1"/>
  <c r="D320" i="36" a="1"/>
  <c r="D328" i="36" a="1"/>
  <c r="D336" i="36" a="1"/>
  <c r="D344" i="36" a="1"/>
  <c r="D352" i="36" a="1"/>
  <c r="D360" i="36" a="1"/>
  <c r="D368" i="36" a="1"/>
  <c r="D368" i="36" s="1"/>
  <c r="E368" i="36" s="1"/>
  <c r="D376" i="36" a="1"/>
  <c r="D384" i="36" a="1"/>
  <c r="D392" i="36" a="1"/>
  <c r="D400" i="36" a="1"/>
  <c r="D408" i="36" a="1"/>
  <c r="D416" i="36" a="1"/>
  <c r="D424" i="36" a="1"/>
  <c r="D432" i="36" a="1"/>
  <c r="D432" i="36" s="1"/>
  <c r="E432" i="36" s="1"/>
  <c r="D440" i="36" a="1"/>
  <c r="D448" i="36" a="1"/>
  <c r="D456" i="36" a="1"/>
  <c r="D464" i="36" a="1"/>
  <c r="D472" i="36" a="1"/>
  <c r="D480" i="36" a="1"/>
  <c r="D488" i="36" a="1"/>
  <c r="D496" i="36" a="1"/>
  <c r="D504" i="36" a="1"/>
  <c r="D512" i="36" a="1"/>
  <c r="D520" i="36" a="1"/>
  <c r="D528" i="36" a="1"/>
  <c r="D536" i="36" a="1"/>
  <c r="D544" i="36" a="1"/>
  <c r="D552" i="36" a="1"/>
  <c r="D560" i="36" a="1"/>
  <c r="D568" i="36" a="1"/>
  <c r="D576" i="36" a="1"/>
  <c r="D584" i="36" a="1"/>
  <c r="D592" i="36" a="1"/>
  <c r="D600" i="36" a="1"/>
  <c r="D608" i="36" a="1"/>
  <c r="D616" i="36" a="1"/>
  <c r="D624" i="36" a="1"/>
  <c r="D632" i="36" a="1"/>
  <c r="D640" i="36" a="1"/>
  <c r="D648" i="36" a="1"/>
  <c r="D656" i="36" a="1"/>
  <c r="D664" i="36" a="1"/>
  <c r="D672" i="36" a="1"/>
  <c r="D680" i="36" a="1"/>
  <c r="D688" i="36" a="1"/>
  <c r="D688" i="36" s="1"/>
  <c r="E688" i="36" s="1"/>
  <c r="D17" i="36" a="1"/>
  <c r="D25" i="36" a="1"/>
  <c r="D33" i="36" a="1"/>
  <c r="D41" i="36" a="1"/>
  <c r="D49" i="36" a="1"/>
  <c r="D57" i="36" a="1"/>
  <c r="D65" i="36" a="1"/>
  <c r="D73" i="36" a="1"/>
  <c r="D73" i="36" s="1"/>
  <c r="E73" i="36" s="1"/>
  <c r="D81" i="36" a="1"/>
  <c r="D89" i="36" a="1"/>
  <c r="D97" i="36" a="1"/>
  <c r="D105" i="36" a="1"/>
  <c r="D113" i="36" a="1"/>
  <c r="D121" i="36" a="1"/>
  <c r="D129" i="36" a="1"/>
  <c r="D137" i="36" a="1"/>
  <c r="D137" i="36" s="1"/>
  <c r="E137" i="36" s="1"/>
  <c r="D145" i="36" a="1"/>
  <c r="D153" i="36" a="1"/>
  <c r="D161" i="36" a="1"/>
  <c r="D169" i="36" a="1"/>
  <c r="D177" i="36" a="1"/>
  <c r="D185" i="36" a="1"/>
  <c r="D193" i="36" a="1"/>
  <c r="D201" i="36" a="1"/>
  <c r="D209" i="36" a="1"/>
  <c r="D217" i="36" a="1"/>
  <c r="D225" i="36" a="1"/>
  <c r="D233" i="36" a="1"/>
  <c r="D241" i="36" a="1"/>
  <c r="D249" i="36" a="1"/>
  <c r="D257" i="36" a="1"/>
  <c r="D265" i="36" a="1"/>
  <c r="D273" i="36" a="1"/>
  <c r="D281" i="36" a="1"/>
  <c r="D289" i="36" a="1"/>
  <c r="D297" i="36" a="1"/>
  <c r="D305" i="36" a="1"/>
  <c r="D313" i="36" a="1"/>
  <c r="D321" i="36" a="1"/>
  <c r="D329" i="36" a="1"/>
  <c r="D329" i="36" s="1"/>
  <c r="E329" i="36" s="1"/>
  <c r="D337" i="36" a="1"/>
  <c r="D345" i="36" a="1"/>
  <c r="D353" i="36" a="1"/>
  <c r="D361" i="36" a="1"/>
  <c r="D369" i="36" a="1"/>
  <c r="D377" i="36" a="1"/>
  <c r="D385" i="36" a="1"/>
  <c r="D393" i="36" a="1"/>
  <c r="D393" i="36" s="1"/>
  <c r="E393" i="36" s="1"/>
  <c r="D401" i="36" a="1"/>
  <c r="D409" i="36" a="1"/>
  <c r="D417" i="36" a="1"/>
  <c r="D425" i="36" a="1"/>
  <c r="D433" i="36" a="1"/>
  <c r="D441" i="36" a="1"/>
  <c r="D449" i="36" a="1"/>
  <c r="D457" i="36" a="1"/>
  <c r="D465" i="36" a="1"/>
  <c r="D473" i="36" a="1"/>
  <c r="D481" i="36" a="1"/>
  <c r="D489" i="36" a="1"/>
  <c r="D497" i="36" a="1"/>
  <c r="D505" i="36" a="1"/>
  <c r="D513" i="36" a="1"/>
  <c r="D521" i="36" a="1"/>
  <c r="D521" i="36" s="1"/>
  <c r="E521" i="36" s="1"/>
  <c r="D529" i="36" a="1"/>
  <c r="D537" i="36" a="1"/>
  <c r="D545" i="36" a="1"/>
  <c r="D553" i="36" a="1"/>
  <c r="D561" i="36" a="1"/>
  <c r="D569" i="36" a="1"/>
  <c r="D577" i="36" a="1"/>
  <c r="D585" i="36" a="1"/>
  <c r="D585" i="36" s="1"/>
  <c r="E585" i="36" s="1"/>
  <c r="D593" i="36" a="1"/>
  <c r="D601" i="36" a="1"/>
  <c r="D609" i="36" a="1"/>
  <c r="D617" i="36" a="1"/>
  <c r="D625" i="36" a="1"/>
  <c r="D633" i="36" a="1"/>
  <c r="D641" i="36" a="1"/>
  <c r="D649" i="36" a="1"/>
  <c r="D649" i="36" s="1"/>
  <c r="E649" i="36" s="1"/>
  <c r="D657" i="36" a="1"/>
  <c r="D665" i="36" a="1"/>
  <c r="D673" i="36" a="1"/>
  <c r="D681" i="36" a="1"/>
  <c r="D689" i="36" a="1"/>
  <c r="D18" i="36" a="1"/>
  <c r="D26" i="36" a="1"/>
  <c r="D34" i="36" a="1"/>
  <c r="D34" i="36" s="1"/>
  <c r="E34" i="36" s="1"/>
  <c r="D42" i="36" a="1"/>
  <c r="D50" i="36" a="1"/>
  <c r="D58" i="36" a="1"/>
  <c r="D66" i="36" a="1"/>
  <c r="D74" i="36" a="1"/>
  <c r="D82" i="36" a="1"/>
  <c r="D90" i="36" a="1"/>
  <c r="D98" i="36" a="1"/>
  <c r="D106" i="36" a="1"/>
  <c r="D114" i="36" a="1"/>
  <c r="D122" i="36" a="1"/>
  <c r="D130" i="36" a="1"/>
  <c r="D138" i="36" a="1"/>
  <c r="D146" i="36" a="1"/>
  <c r="D154" i="36" a="1"/>
  <c r="D162" i="36" a="1"/>
  <c r="D162" i="36" s="1"/>
  <c r="E162" i="36" s="1"/>
  <c r="D170" i="36" a="1"/>
  <c r="D178" i="36" a="1"/>
  <c r="D186" i="36" a="1"/>
  <c r="D194" i="36" a="1"/>
  <c r="D202" i="36" a="1"/>
  <c r="D210" i="36" a="1"/>
  <c r="D218" i="36" a="1"/>
  <c r="D226" i="36" a="1"/>
  <c r="D234" i="36" a="1"/>
  <c r="D242" i="36" a="1"/>
  <c r="D250" i="36" a="1"/>
  <c r="D258" i="36" a="1"/>
  <c r="D266" i="36" a="1"/>
  <c r="D274" i="36" a="1"/>
  <c r="D282" i="36" a="1"/>
  <c r="D290" i="36" a="1"/>
  <c r="D290" i="36" s="1"/>
  <c r="E290" i="36" s="1"/>
  <c r="D298" i="36" a="1"/>
  <c r="D306" i="36" a="1"/>
  <c r="D314" i="36" a="1"/>
  <c r="D322" i="36" a="1"/>
  <c r="D330" i="36" a="1"/>
  <c r="D338" i="36" a="1"/>
  <c r="D346" i="36" a="1"/>
  <c r="D354" i="36" a="1"/>
  <c r="D362" i="36" a="1"/>
  <c r="D370" i="36" a="1"/>
  <c r="D378" i="36" a="1"/>
  <c r="D386" i="36" a="1"/>
  <c r="D394" i="36" a="1"/>
  <c r="D402" i="36" a="1"/>
  <c r="D410" i="36" a="1"/>
  <c r="D418" i="36" a="1"/>
  <c r="D418" i="36" s="1"/>
  <c r="E418" i="36" s="1"/>
  <c r="D426" i="36" a="1"/>
  <c r="D434" i="36" a="1"/>
  <c r="D442" i="36" a="1"/>
  <c r="D450" i="36" a="1"/>
  <c r="D458" i="36" a="1"/>
  <c r="D466" i="36" a="1"/>
  <c r="D474" i="36" a="1"/>
  <c r="D482" i="36" a="1"/>
  <c r="D482" i="36" s="1"/>
  <c r="E482" i="36" s="1"/>
  <c r="D490" i="36" a="1"/>
  <c r="D498" i="36" a="1"/>
  <c r="D506" i="36" a="1"/>
  <c r="D514" i="36" a="1"/>
  <c r="D522" i="36" a="1"/>
  <c r="D530" i="36" a="1"/>
  <c r="D538" i="36" a="1"/>
  <c r="D546" i="36" a="1"/>
  <c r="D546" i="36" s="1"/>
  <c r="E546" i="36" s="1"/>
  <c r="D554" i="36" a="1"/>
  <c r="D562" i="36" a="1"/>
  <c r="D570" i="36" a="1"/>
  <c r="D578" i="36" a="1"/>
  <c r="D586" i="36" a="1"/>
  <c r="D594" i="36" a="1"/>
  <c r="D602" i="36" a="1"/>
  <c r="D610" i="36" a="1"/>
  <c r="D618" i="36" a="1"/>
  <c r="D626" i="36" a="1"/>
  <c r="D634" i="36" a="1"/>
  <c r="D642" i="36" a="1"/>
  <c r="D650" i="36" a="1"/>
  <c r="D658" i="36" a="1"/>
  <c r="D666" i="36" a="1"/>
  <c r="D674" i="36" a="1"/>
  <c r="D674" i="36" s="1"/>
  <c r="E674" i="36" s="1"/>
  <c r="D19" i="36" a="1"/>
  <c r="D27" i="36" a="1"/>
  <c r="D35" i="36" a="1"/>
  <c r="D43" i="36" a="1"/>
  <c r="D51" i="36" a="1"/>
  <c r="D59" i="36" a="1"/>
  <c r="D67" i="36" a="1"/>
  <c r="D75" i="36" a="1"/>
  <c r="D75" i="36" s="1"/>
  <c r="E75" i="36" s="1"/>
  <c r="D83" i="36" a="1"/>
  <c r="D91" i="36" a="1"/>
  <c r="D99" i="36" a="1"/>
  <c r="D107" i="36" a="1"/>
  <c r="D115" i="36" a="1"/>
  <c r="D123" i="36" a="1"/>
  <c r="D131" i="36" a="1"/>
  <c r="D139" i="36" a="1"/>
  <c r="D139" i="36" s="1"/>
  <c r="E139" i="36" s="1"/>
  <c r="D147" i="36" a="1"/>
  <c r="D155" i="36" a="1"/>
  <c r="D163" i="36" a="1"/>
  <c r="D171" i="36" a="1"/>
  <c r="D179" i="36" a="1"/>
  <c r="D187" i="36" a="1"/>
  <c r="D195" i="36" a="1"/>
  <c r="D203" i="36" a="1"/>
  <c r="D203" i="36" s="1"/>
  <c r="E203" i="36" s="1"/>
  <c r="D211" i="36" a="1"/>
  <c r="D219" i="36" a="1"/>
  <c r="D227" i="36" a="1"/>
  <c r="D235" i="36" a="1"/>
  <c r="D243" i="36" a="1"/>
  <c r="D251" i="36" a="1"/>
  <c r="D259" i="36" a="1"/>
  <c r="D267" i="36" a="1"/>
  <c r="D267" i="36" s="1"/>
  <c r="E267" i="36" s="1"/>
  <c r="D275" i="36" a="1"/>
  <c r="D283" i="36" a="1"/>
  <c r="D291" i="36" a="1"/>
  <c r="D299" i="36" a="1"/>
  <c r="D307" i="36" a="1"/>
  <c r="D315" i="36" a="1"/>
  <c r="D323" i="36" a="1"/>
  <c r="D331" i="36" a="1"/>
  <c r="D331" i="36" s="1"/>
  <c r="E331" i="36" s="1"/>
  <c r="D339" i="36" a="1"/>
  <c r="D347" i="36" a="1"/>
  <c r="D355" i="36" a="1"/>
  <c r="D363" i="36" a="1"/>
  <c r="D371" i="36" a="1"/>
  <c r="D379" i="36" a="1"/>
  <c r="D387" i="36" a="1"/>
  <c r="D395" i="36" a="1"/>
  <c r="D395" i="36" s="1"/>
  <c r="E395" i="36" s="1"/>
  <c r="D403" i="36" a="1"/>
  <c r="D411" i="36" a="1"/>
  <c r="D419" i="36" a="1"/>
  <c r="D427" i="36" a="1"/>
  <c r="D435" i="36" a="1"/>
  <c r="D443" i="36" a="1"/>
  <c r="D451" i="36" a="1"/>
  <c r="D459" i="36" a="1"/>
  <c r="D467" i="36" a="1"/>
  <c r="D475" i="36" a="1"/>
  <c r="D483" i="36" a="1"/>
  <c r="D491" i="36" a="1"/>
  <c r="D499" i="36" a="1"/>
  <c r="D507" i="36" a="1"/>
  <c r="D515" i="36" a="1"/>
  <c r="D523" i="36" a="1"/>
  <c r="D531" i="36" a="1"/>
  <c r="D539" i="36" a="1"/>
  <c r="D547" i="36" a="1"/>
  <c r="D555" i="36" a="1"/>
  <c r="D563" i="36" a="1"/>
  <c r="D571" i="36" a="1"/>
  <c r="D579" i="36" a="1"/>
  <c r="D587" i="36" a="1"/>
  <c r="D587" i="36" s="1"/>
  <c r="E587" i="36" s="1"/>
  <c r="D595" i="36" a="1"/>
  <c r="D603" i="36" a="1"/>
  <c r="D611" i="36" a="1"/>
  <c r="D619" i="36" a="1"/>
  <c r="D627" i="36" a="1"/>
  <c r="D635" i="36" a="1"/>
  <c r="D643" i="36" a="1"/>
  <c r="D651" i="36" a="1"/>
  <c r="D651" i="36" s="1"/>
  <c r="E651" i="36" s="1"/>
  <c r="D12" i="33" a="1"/>
  <c r="D13" i="33" a="1"/>
  <c r="D14" i="33" a="1"/>
  <c r="D15" i="33" a="1"/>
  <c r="D16" i="33" a="1"/>
  <c r="D17" i="33" a="1"/>
  <c r="D18" i="33" a="1"/>
  <c r="D19" i="33" a="1"/>
  <c r="D19" i="33" s="1"/>
  <c r="E19" i="33" s="1"/>
  <c r="D20" i="33" a="1"/>
  <c r="D21" i="33" a="1"/>
  <c r="D22" i="33" a="1"/>
  <c r="D23" i="33" a="1"/>
  <c r="D24" i="33" a="1"/>
  <c r="D25" i="33" a="1"/>
  <c r="D26" i="33" a="1"/>
  <c r="D27" i="33" a="1"/>
  <c r="D28" i="33" a="1"/>
  <c r="D29" i="33" a="1"/>
  <c r="D30" i="33" a="1"/>
  <c r="D31" i="33" a="1"/>
  <c r="D32" i="33" a="1"/>
  <c r="D33" i="33" a="1"/>
  <c r="D34" i="33" a="1"/>
  <c r="D35" i="33" a="1"/>
  <c r="D35" i="33" s="1"/>
  <c r="E35" i="33" s="1"/>
  <c r="D36" i="33" a="1"/>
  <c r="D37" i="33" a="1"/>
  <c r="D38" i="33" a="1"/>
  <c r="D39" i="33" a="1"/>
  <c r="D40" i="33" a="1"/>
  <c r="D41" i="33" a="1"/>
  <c r="D42" i="33" a="1"/>
  <c r="D43" i="33" a="1"/>
  <c r="D44" i="33" a="1"/>
  <c r="D45" i="33" a="1"/>
  <c r="D46" i="33" a="1"/>
  <c r="D47" i="33" a="1"/>
  <c r="D48" i="33" a="1"/>
  <c r="D49" i="33" a="1"/>
  <c r="D50" i="33" a="1"/>
  <c r="D51" i="33" a="1"/>
  <c r="D51" i="33" s="1"/>
  <c r="E51" i="33" s="1"/>
  <c r="D52" i="33" a="1"/>
  <c r="D53" i="33" a="1"/>
  <c r="D54" i="33" a="1"/>
  <c r="D55" i="33" a="1"/>
  <c r="D56" i="33" a="1"/>
  <c r="D57" i="33" a="1"/>
  <c r="D58" i="33" a="1"/>
  <c r="D59" i="33" a="1"/>
  <c r="D59" i="33" s="1"/>
  <c r="E59" i="33" s="1"/>
  <c r="D60" i="33" a="1"/>
  <c r="D61" i="33" a="1"/>
  <c r="D62" i="33" a="1"/>
  <c r="D63" i="33" a="1"/>
  <c r="D64" i="33" a="1"/>
  <c r="D65" i="33" a="1"/>
  <c r="D66" i="33" a="1"/>
  <c r="D67" i="33" a="1"/>
  <c r="D67" i="33" s="1"/>
  <c r="E67" i="33" s="1"/>
  <c r="D68" i="33" a="1"/>
  <c r="D69" i="33" a="1"/>
  <c r="D70" i="33" a="1"/>
  <c r="D71" i="33" a="1"/>
  <c r="D72" i="33" a="1"/>
  <c r="D73" i="33" a="1"/>
  <c r="D74" i="33" a="1"/>
  <c r="D75" i="33" a="1"/>
  <c r="D75" i="33" s="1"/>
  <c r="E75" i="33" s="1"/>
  <c r="D76" i="33" a="1"/>
  <c r="D77" i="33" a="1"/>
  <c r="D78" i="33" a="1"/>
  <c r="D79" i="33" a="1"/>
  <c r="D80" i="33" a="1"/>
  <c r="D81" i="33" a="1"/>
  <c r="D82" i="33" a="1"/>
  <c r="D83" i="33" a="1"/>
  <c r="D83" i="33" s="1"/>
  <c r="E83" i="33" s="1"/>
  <c r="D84" i="33" a="1"/>
  <c r="D85" i="33" a="1"/>
  <c r="D86" i="33" a="1"/>
  <c r="D87" i="33" a="1"/>
  <c r="D88" i="33" a="1"/>
  <c r="D89" i="33" a="1"/>
  <c r="D90" i="33" a="1"/>
  <c r="D91" i="33" a="1"/>
  <c r="D91" i="33" s="1"/>
  <c r="E91" i="33" s="1"/>
  <c r="D92" i="33" a="1"/>
  <c r="D93" i="33" a="1"/>
  <c r="D94" i="33" a="1"/>
  <c r="D95" i="33" a="1"/>
  <c r="D96" i="33" a="1"/>
  <c r="D97" i="33" a="1"/>
  <c r="D98" i="33" a="1"/>
  <c r="D99" i="33" a="1"/>
  <c r="D100" i="33" a="1"/>
  <c r="D101" i="33" a="1"/>
  <c r="D102" i="33" a="1"/>
  <c r="D103" i="33" a="1"/>
  <c r="D104" i="33" a="1"/>
  <c r="D105" i="33" a="1"/>
  <c r="D106" i="33" a="1"/>
  <c r="D107" i="33" a="1"/>
  <c r="D107" i="33" s="1"/>
  <c r="E107" i="33" s="1"/>
  <c r="D108" i="33" a="1"/>
  <c r="D109" i="33" a="1"/>
  <c r="D110" i="33" a="1"/>
  <c r="D111" i="33" a="1"/>
  <c r="D112" i="33" a="1"/>
  <c r="D113" i="33" a="1"/>
  <c r="D114" i="33" a="1"/>
  <c r="D115" i="33" a="1"/>
  <c r="D115" i="33" s="1"/>
  <c r="E115" i="33" s="1"/>
  <c r="D116" i="33" a="1"/>
  <c r="D117" i="33" a="1"/>
  <c r="D118" i="33" a="1"/>
  <c r="D119" i="33" a="1"/>
  <c r="D120" i="33" a="1"/>
  <c r="D121" i="33" a="1"/>
  <c r="D122" i="33" a="1"/>
  <c r="D123" i="33" a="1"/>
  <c r="D123" i="33" s="1"/>
  <c r="E123" i="33" s="1"/>
  <c r="D124" i="33" a="1"/>
  <c r="D125" i="33" a="1"/>
  <c r="D126" i="33" a="1"/>
  <c r="D127" i="33" a="1"/>
  <c r="D128" i="33" a="1"/>
  <c r="D129" i="33" a="1"/>
  <c r="D130" i="33" a="1"/>
  <c r="D131" i="33" a="1"/>
  <c r="D131" i="33" s="1"/>
  <c r="E131" i="33" s="1"/>
  <c r="D132" i="33" a="1"/>
  <c r="D133" i="33" a="1"/>
  <c r="D134" i="33" a="1"/>
  <c r="D135" i="33" a="1"/>
  <c r="D136" i="33" a="1"/>
  <c r="D137" i="33" a="1"/>
  <c r="D138" i="33" a="1"/>
  <c r="D139" i="33" a="1"/>
  <c r="D139" i="33" s="1"/>
  <c r="E139" i="33" s="1"/>
  <c r="D140" i="33" a="1"/>
  <c r="D141" i="33" a="1"/>
  <c r="D142" i="33" a="1"/>
  <c r="D143" i="33" a="1"/>
  <c r="D144" i="33" a="1"/>
  <c r="D145" i="33" a="1"/>
  <c r="D146" i="33" a="1"/>
  <c r="D147" i="33" a="1"/>
  <c r="D147" i="33" s="1"/>
  <c r="E147" i="33" s="1"/>
  <c r="D148" i="33" a="1"/>
  <c r="D149" i="33" a="1"/>
  <c r="D150" i="33" a="1"/>
  <c r="D151" i="33" a="1"/>
  <c r="D152" i="33" a="1"/>
  <c r="D153" i="33" a="1"/>
  <c r="D154" i="33" a="1"/>
  <c r="D155" i="33" a="1"/>
  <c r="D155" i="33" s="1"/>
  <c r="E155" i="33" s="1"/>
  <c r="D156" i="33" a="1"/>
  <c r="D157" i="33" a="1"/>
  <c r="D158" i="33" a="1"/>
  <c r="D159" i="33" a="1"/>
  <c r="D160" i="33" a="1"/>
  <c r="D161" i="33" a="1"/>
  <c r="D162" i="33" a="1"/>
  <c r="D163" i="33" a="1"/>
  <c r="D164" i="33" a="1"/>
  <c r="D165" i="33" a="1"/>
  <c r="D166" i="33" a="1"/>
  <c r="D167" i="33" a="1"/>
  <c r="D168" i="33" a="1"/>
  <c r="D169" i="33" a="1"/>
  <c r="D170" i="33" a="1"/>
  <c r="D171" i="33" a="1"/>
  <c r="D172" i="33" a="1"/>
  <c r="D173" i="33" a="1"/>
  <c r="D174" i="33" a="1"/>
  <c r="D175" i="33" a="1"/>
  <c r="D176" i="33" a="1"/>
  <c r="D177" i="33" a="1"/>
  <c r="D178" i="33" a="1"/>
  <c r="D179" i="33" a="1"/>
  <c r="D179" i="33" s="1"/>
  <c r="E179" i="33" s="1"/>
  <c r="D180" i="33" a="1"/>
  <c r="D181" i="33" a="1"/>
  <c r="D182" i="33" a="1"/>
  <c r="D183" i="33" a="1"/>
  <c r="D184" i="33" a="1"/>
  <c r="D185" i="33" a="1"/>
  <c r="D186" i="33" a="1"/>
  <c r="D187" i="33" a="1"/>
  <c r="D187" i="33" s="1"/>
  <c r="E187" i="33" s="1"/>
  <c r="D188" i="33" a="1"/>
  <c r="D189" i="33" a="1"/>
  <c r="D190" i="33" a="1"/>
  <c r="D191" i="33" a="1"/>
  <c r="D192" i="33" a="1"/>
  <c r="D193" i="33" a="1"/>
  <c r="D194" i="33" a="1"/>
  <c r="D195" i="33" a="1"/>
  <c r="D196" i="33" a="1"/>
  <c r="D197" i="33" a="1"/>
  <c r="D198" i="33" a="1"/>
  <c r="D199" i="33" a="1"/>
  <c r="D200" i="33" a="1"/>
  <c r="D201" i="33" a="1"/>
  <c r="D202" i="33" a="1"/>
  <c r="D203" i="33" a="1"/>
  <c r="D203" i="33" s="1"/>
  <c r="E203" i="33" s="1"/>
  <c r="D204" i="33" a="1"/>
  <c r="D205" i="33" a="1"/>
  <c r="D206" i="33" a="1"/>
  <c r="D207" i="33" a="1"/>
  <c r="D208" i="33" a="1"/>
  <c r="D209" i="33" a="1"/>
  <c r="D210" i="33" a="1"/>
  <c r="D211" i="33" a="1"/>
  <c r="D211" i="33" s="1"/>
  <c r="E211" i="33" s="1"/>
  <c r="D212" i="33" a="1"/>
  <c r="D213" i="33" a="1"/>
  <c r="D214" i="33" a="1"/>
  <c r="D215" i="33" a="1"/>
  <c r="D216" i="33" a="1"/>
  <c r="D217" i="33" a="1"/>
  <c r="D218" i="33" a="1"/>
  <c r="D219" i="33" a="1"/>
  <c r="D219" i="33" s="1"/>
  <c r="E219" i="33" s="1"/>
  <c r="D220" i="33" a="1"/>
  <c r="D221" i="33" a="1"/>
  <c r="D222" i="33" a="1"/>
  <c r="D223" i="33" a="1"/>
  <c r="D224" i="33" a="1"/>
  <c r="D225" i="33" a="1"/>
  <c r="D226" i="33" a="1"/>
  <c r="D227" i="33" a="1"/>
  <c r="D228" i="33" a="1"/>
  <c r="D229" i="33" a="1"/>
  <c r="D230" i="33" a="1"/>
  <c r="D231" i="33" a="1"/>
  <c r="D232" i="33" a="1"/>
  <c r="D233" i="33" a="1"/>
  <c r="D234" i="33" a="1"/>
  <c r="D235" i="33" a="1"/>
  <c r="D236" i="33" a="1"/>
  <c r="D237" i="33" a="1"/>
  <c r="D238" i="33" a="1"/>
  <c r="D239" i="33" a="1"/>
  <c r="D240" i="33" a="1"/>
  <c r="D241" i="33" a="1"/>
  <c r="D242" i="33" a="1"/>
  <c r="D243" i="33" a="1"/>
  <c r="D244" i="33" a="1"/>
  <c r="D245" i="33" a="1"/>
  <c r="D246" i="33" a="1"/>
  <c r="D247" i="33" a="1"/>
  <c r="D248" i="33" a="1"/>
  <c r="D249" i="33" a="1"/>
  <c r="D250" i="33" a="1"/>
  <c r="D251" i="33" a="1"/>
  <c r="D251" i="33" s="1"/>
  <c r="E251" i="33" s="1"/>
  <c r="D252" i="33" a="1"/>
  <c r="D253" i="33" a="1"/>
  <c r="D254" i="33" a="1"/>
  <c r="D255" i="33" a="1"/>
  <c r="D256" i="33" a="1"/>
  <c r="D257" i="33" a="1"/>
  <c r="D258" i="33" a="1"/>
  <c r="D259" i="33" a="1"/>
  <c r="D259" i="33" s="1"/>
  <c r="E259" i="33" s="1"/>
  <c r="D260" i="33" a="1"/>
  <c r="D261" i="33" a="1"/>
  <c r="D262" i="33" a="1"/>
  <c r="D263" i="33" a="1"/>
  <c r="D264" i="33" a="1"/>
  <c r="D265" i="33" a="1"/>
  <c r="D266" i="33" a="1"/>
  <c r="D267" i="33" a="1"/>
  <c r="D267" i="33" s="1"/>
  <c r="E267" i="33" s="1"/>
  <c r="D268" i="33" a="1"/>
  <c r="D269" i="33" a="1"/>
  <c r="D270" i="33" a="1"/>
  <c r="D271" i="33" a="1"/>
  <c r="D272" i="33" a="1"/>
  <c r="D273" i="33" a="1"/>
  <c r="D274" i="33" a="1"/>
  <c r="D275" i="33" a="1"/>
  <c r="D275" i="33" s="1"/>
  <c r="E275" i="33" s="1"/>
  <c r="D276" i="33" a="1"/>
  <c r="D277" i="33" a="1"/>
  <c r="D278" i="33" a="1"/>
  <c r="D279" i="33" a="1"/>
  <c r="D280" i="33" a="1"/>
  <c r="D281" i="33" a="1"/>
  <c r="D282" i="33" a="1"/>
  <c r="D283" i="33" a="1"/>
  <c r="D283" i="33" s="1"/>
  <c r="E283" i="33" s="1"/>
  <c r="D284" i="33" a="1"/>
  <c r="D285" i="33" a="1"/>
  <c r="D286" i="33" a="1"/>
  <c r="D287" i="33" a="1"/>
  <c r="D288" i="33" a="1"/>
  <c r="D289" i="33" a="1"/>
  <c r="D290" i="33" a="1"/>
  <c r="D291" i="33" a="1"/>
  <c r="D291" i="33" s="1"/>
  <c r="E291" i="33" s="1"/>
  <c r="D292" i="33" a="1"/>
  <c r="D293" i="33" a="1"/>
  <c r="D294" i="33" a="1"/>
  <c r="D295" i="33" a="1"/>
  <c r="D296" i="33" a="1"/>
  <c r="D297" i="33" a="1"/>
  <c r="D298" i="33" a="1"/>
  <c r="D299" i="33" a="1"/>
  <c r="D299" i="33" s="1"/>
  <c r="E299" i="33" s="1"/>
  <c r="D300" i="33" a="1"/>
  <c r="D301" i="33" a="1"/>
  <c r="D302" i="33" a="1"/>
  <c r="D303" i="33" a="1"/>
  <c r="D304" i="33" a="1"/>
  <c r="D305" i="33" a="1"/>
  <c r="D306" i="33" a="1"/>
  <c r="D307" i="33" a="1"/>
  <c r="D307" i="33" s="1"/>
  <c r="E307" i="33" s="1"/>
  <c r="D308" i="33" a="1"/>
  <c r="D309" i="33" a="1"/>
  <c r="D310" i="33" a="1"/>
  <c r="D311" i="33" a="1"/>
  <c r="D312" i="33" a="1"/>
  <c r="D313" i="33" a="1"/>
  <c r="D314" i="33" a="1"/>
  <c r="D315" i="33" a="1"/>
  <c r="D316" i="33" a="1"/>
  <c r="D317" i="33" a="1"/>
  <c r="D318" i="33" a="1"/>
  <c r="D319" i="33" a="1"/>
  <c r="D320" i="33" a="1"/>
  <c r="D321" i="33" a="1"/>
  <c r="D322" i="33" a="1"/>
  <c r="D323" i="33" a="1"/>
  <c r="D324" i="33" a="1"/>
  <c r="D325" i="33" a="1"/>
  <c r="D326" i="33" a="1"/>
  <c r="D327" i="33" a="1"/>
  <c r="D328" i="33" a="1"/>
  <c r="D329" i="33" a="1"/>
  <c r="D330" i="33" a="1"/>
  <c r="D331" i="33" a="1"/>
  <c r="D332" i="33" a="1"/>
  <c r="D333" i="33" a="1"/>
  <c r="D334" i="33" a="1"/>
  <c r="D335" i="33" a="1"/>
  <c r="D336" i="33" a="1"/>
  <c r="D337" i="33" a="1"/>
  <c r="D338" i="33" a="1"/>
  <c r="D339" i="33" a="1"/>
  <c r="D339" i="33" s="1"/>
  <c r="E339" i="33" s="1"/>
  <c r="D340" i="33" a="1"/>
  <c r="D341" i="33" a="1"/>
  <c r="D342" i="33" a="1"/>
  <c r="D343" i="33" a="1"/>
  <c r="D344" i="33" a="1"/>
  <c r="D345" i="33" a="1"/>
  <c r="D346" i="33" a="1"/>
  <c r="D347" i="33" a="1"/>
  <c r="D347" i="33" s="1"/>
  <c r="E347" i="33" s="1"/>
  <c r="D348" i="33" a="1"/>
  <c r="D349" i="33" a="1"/>
  <c r="D350" i="33" a="1"/>
  <c r="D351" i="33" a="1"/>
  <c r="D352" i="33" a="1"/>
  <c r="D353" i="33" a="1"/>
  <c r="D354" i="33" a="1"/>
  <c r="D355" i="33" a="1"/>
  <c r="D355" i="33" s="1"/>
  <c r="E355" i="33" s="1"/>
  <c r="D356" i="33" a="1"/>
  <c r="D357" i="33" a="1"/>
  <c r="D358" i="33" a="1"/>
  <c r="D359" i="33" a="1"/>
  <c r="D360" i="33" a="1"/>
  <c r="D361" i="33" a="1"/>
  <c r="D362" i="33" a="1"/>
  <c r="D363" i="33" a="1"/>
  <c r="D363" i="33" s="1"/>
  <c r="E363" i="33" s="1"/>
  <c r="D364" i="33" a="1"/>
  <c r="D365" i="33" a="1"/>
  <c r="D366" i="33" a="1"/>
  <c r="D367" i="33" a="1"/>
  <c r="D368" i="33" a="1"/>
  <c r="D369" i="33" a="1"/>
  <c r="D370" i="33" a="1"/>
  <c r="D371" i="33" a="1"/>
  <c r="D372" i="33" a="1"/>
  <c r="D373" i="33" a="1"/>
  <c r="D374" i="33" a="1"/>
  <c r="D375" i="33" a="1"/>
  <c r="D376" i="33" a="1"/>
  <c r="D377" i="33" a="1"/>
  <c r="D378" i="33" a="1"/>
  <c r="D379" i="33" a="1"/>
  <c r="D380" i="33" a="1"/>
  <c r="D381" i="33" a="1"/>
  <c r="D382" i="33" a="1"/>
  <c r="D383" i="33" a="1"/>
  <c r="D384" i="33" a="1"/>
  <c r="D385" i="33" a="1"/>
  <c r="D386" i="33" a="1"/>
  <c r="D387" i="33" a="1"/>
  <c r="D387" i="33" s="1"/>
  <c r="E387" i="33" s="1"/>
  <c r="D388" i="33" a="1"/>
  <c r="D389" i="33" a="1"/>
  <c r="D390" i="33" a="1"/>
  <c r="D391" i="33" a="1"/>
  <c r="D392" i="33" a="1"/>
  <c r="D393" i="33" a="1"/>
  <c r="D394" i="33" a="1"/>
  <c r="D395" i="33" a="1"/>
  <c r="D396" i="33" a="1"/>
  <c r="D397" i="33" a="1"/>
  <c r="D398" i="33" a="1"/>
  <c r="D399" i="33" a="1"/>
  <c r="D400" i="33" a="1"/>
  <c r="D401" i="33" a="1"/>
  <c r="D402" i="33" a="1"/>
  <c r="D403" i="33" a="1"/>
  <c r="D403" i="33" s="1"/>
  <c r="E403" i="33" s="1"/>
  <c r="D404" i="33" a="1"/>
  <c r="D405" i="33" a="1"/>
  <c r="D406" i="33" a="1"/>
  <c r="D407" i="33" a="1"/>
  <c r="D408" i="33" a="1"/>
  <c r="D409" i="33" a="1"/>
  <c r="D410" i="33" a="1"/>
  <c r="D411" i="33" a="1"/>
  <c r="D412" i="33" a="1"/>
  <c r="D413" i="33" a="1"/>
  <c r="D414" i="33" a="1"/>
  <c r="D415" i="33" a="1"/>
  <c r="D416" i="33" a="1"/>
  <c r="D417" i="33" a="1"/>
  <c r="D418" i="33" a="1"/>
  <c r="D419" i="33" a="1"/>
  <c r="D420" i="33" a="1"/>
  <c r="D421" i="33" a="1"/>
  <c r="D422" i="33" a="1"/>
  <c r="D423" i="33" a="1"/>
  <c r="D424" i="33" a="1"/>
  <c r="D425" i="33" a="1"/>
  <c r="D426" i="33" a="1"/>
  <c r="D427" i="33" a="1"/>
  <c r="D428" i="33" a="1"/>
  <c r="D429" i="33" a="1"/>
  <c r="D430" i="33" a="1"/>
  <c r="D431" i="33" a="1"/>
  <c r="D432" i="33" a="1"/>
  <c r="D433" i="33" a="1"/>
  <c r="D434" i="33" a="1"/>
  <c r="D435" i="33" a="1"/>
  <c r="D435" i="33" s="1"/>
  <c r="E435" i="33" s="1"/>
  <c r="D436" i="33" a="1"/>
  <c r="D437" i="33" a="1"/>
  <c r="D438" i="33" a="1"/>
  <c r="D439" i="33" a="1"/>
  <c r="D440" i="33" a="1"/>
  <c r="D441" i="33" a="1"/>
  <c r="D442" i="33" a="1"/>
  <c r="D443" i="33" a="1"/>
  <c r="D444" i="33" a="1"/>
  <c r="D445" i="33" a="1"/>
  <c r="D446" i="33" a="1"/>
  <c r="D447" i="33" a="1"/>
  <c r="D448" i="33" a="1"/>
  <c r="D449" i="33" a="1"/>
  <c r="D450" i="33" a="1"/>
  <c r="D451" i="33" a="1"/>
  <c r="D452" i="33" a="1"/>
  <c r="D453" i="33" a="1"/>
  <c r="D454" i="33" a="1"/>
  <c r="D455" i="33" a="1"/>
  <c r="D456" i="33" a="1"/>
  <c r="D457" i="33" a="1"/>
  <c r="D458" i="33" a="1"/>
  <c r="D459" i="33" a="1"/>
  <c r="D459" i="33" s="1"/>
  <c r="E459" i="33" s="1"/>
  <c r="D460" i="33" a="1"/>
  <c r="D461" i="33" a="1"/>
  <c r="D462" i="33" a="1"/>
  <c r="D463" i="33" a="1"/>
  <c r="D464" i="33" a="1"/>
  <c r="D465" i="33" a="1"/>
  <c r="D466" i="33" a="1"/>
  <c r="D467" i="33" a="1"/>
  <c r="D467" i="33" s="1"/>
  <c r="E467" i="33" s="1"/>
  <c r="D468" i="33" a="1"/>
  <c r="D469" i="33" a="1"/>
  <c r="D470" i="33" a="1"/>
  <c r="D471" i="33" a="1"/>
  <c r="D472" i="33" a="1"/>
  <c r="D473" i="33" a="1"/>
  <c r="D474" i="33" a="1"/>
  <c r="D475" i="33" a="1"/>
  <c r="D476" i="33" a="1"/>
  <c r="D477" i="33" a="1"/>
  <c r="D478" i="33" a="1"/>
  <c r="D479" i="33" a="1"/>
  <c r="D480" i="33" a="1"/>
  <c r="D481" i="33" a="1"/>
  <c r="D482" i="33" a="1"/>
  <c r="D483" i="33" a="1"/>
  <c r="D483" i="33" s="1"/>
  <c r="E483" i="33" s="1"/>
  <c r="D484" i="33" a="1"/>
  <c r="D485" i="33" a="1"/>
  <c r="D486" i="33" a="1"/>
  <c r="D487" i="33" a="1"/>
  <c r="D488" i="33" a="1"/>
  <c r="D489" i="33" a="1"/>
  <c r="D490" i="33" a="1"/>
  <c r="D491" i="33" a="1"/>
  <c r="D491" i="33" s="1"/>
  <c r="E491" i="33" s="1"/>
  <c r="D492" i="33" a="1"/>
  <c r="D493" i="33" a="1"/>
  <c r="D494" i="33" a="1"/>
  <c r="D495" i="33" a="1"/>
  <c r="D496" i="33" a="1"/>
  <c r="D497" i="33" a="1"/>
  <c r="D498" i="33" a="1"/>
  <c r="D499" i="33" a="1"/>
  <c r="D499" i="33" s="1"/>
  <c r="E499" i="33" s="1"/>
  <c r="D500" i="33" a="1"/>
  <c r="D501" i="33" a="1"/>
  <c r="D502" i="33" a="1"/>
  <c r="D503" i="33" a="1"/>
  <c r="D504" i="33" a="1"/>
  <c r="D505" i="33" a="1"/>
  <c r="D506" i="33" a="1"/>
  <c r="D507" i="33" a="1"/>
  <c r="D507" i="33" s="1"/>
  <c r="E507" i="33" s="1"/>
  <c r="D508" i="33" a="1"/>
  <c r="D509" i="33" a="1"/>
  <c r="D510" i="33" a="1"/>
  <c r="D511" i="33" a="1"/>
  <c r="D512" i="33" a="1"/>
  <c r="D513" i="33" a="1"/>
  <c r="D514" i="33" a="1"/>
  <c r="D515" i="33" a="1"/>
  <c r="D515" i="33" s="1"/>
  <c r="E515" i="33" s="1"/>
  <c r="D516" i="33" a="1"/>
  <c r="D517" i="33" a="1"/>
  <c r="D518" i="33" a="1"/>
  <c r="D519" i="33" a="1"/>
  <c r="D520" i="33" a="1"/>
  <c r="D521" i="33" a="1"/>
  <c r="D522" i="33" a="1"/>
  <c r="D523" i="33" a="1"/>
  <c r="D523" i="33" s="1"/>
  <c r="E523" i="33" s="1"/>
  <c r="D524" i="33" a="1"/>
  <c r="D525" i="33" a="1"/>
  <c r="D526" i="33" a="1"/>
  <c r="D527" i="33" a="1"/>
  <c r="D528" i="33" a="1"/>
  <c r="D529" i="33" a="1"/>
  <c r="D530" i="33" a="1"/>
  <c r="D531" i="33" a="1"/>
  <c r="D532" i="33" a="1"/>
  <c r="D533" i="33" a="1"/>
  <c r="D534" i="33" a="1"/>
  <c r="D535" i="33" a="1"/>
  <c r="D536" i="33" a="1"/>
  <c r="D537" i="33" a="1"/>
  <c r="D538" i="33" a="1"/>
  <c r="D539" i="33" a="1"/>
  <c r="D540" i="33" a="1"/>
  <c r="D541" i="33" a="1"/>
  <c r="D542" i="33" a="1"/>
  <c r="D543" i="33" a="1"/>
  <c r="D544" i="33" a="1"/>
  <c r="D545" i="33" a="1"/>
  <c r="D546" i="33" a="1"/>
  <c r="D547" i="33" a="1"/>
  <c r="D547" i="33" s="1"/>
  <c r="E547" i="33" s="1"/>
  <c r="D548" i="33" a="1"/>
  <c r="D549" i="33" a="1"/>
  <c r="D550" i="33" a="1"/>
  <c r="D551" i="33" a="1"/>
  <c r="D552" i="33" a="1"/>
  <c r="D553" i="33" a="1"/>
  <c r="D554" i="33" a="1"/>
  <c r="D555" i="33" a="1"/>
  <c r="D556" i="33" a="1"/>
  <c r="D557" i="33" a="1"/>
  <c r="D558" i="33" a="1"/>
  <c r="D559" i="33" a="1"/>
  <c r="D560" i="33" a="1"/>
  <c r="D561" i="33" a="1"/>
  <c r="D562" i="33" a="1"/>
  <c r="D563" i="33" a="1"/>
  <c r="D563" i="33" s="1"/>
  <c r="E563" i="33" s="1"/>
  <c r="D564" i="33" a="1"/>
  <c r="D565" i="33" a="1"/>
  <c r="D566" i="33" a="1"/>
  <c r="D567" i="33" a="1"/>
  <c r="D568" i="33" a="1"/>
  <c r="D569" i="33" a="1"/>
  <c r="D570" i="33" a="1"/>
  <c r="D571" i="33" a="1"/>
  <c r="D571" i="33" s="1"/>
  <c r="E571" i="33" s="1"/>
  <c r="D572" i="33" a="1"/>
  <c r="D573" i="33" a="1"/>
  <c r="D574" i="33" a="1"/>
  <c r="D575" i="33" a="1"/>
  <c r="D576" i="33" a="1"/>
  <c r="D577" i="33" a="1"/>
  <c r="D578" i="33" a="1"/>
  <c r="D579" i="33" a="1"/>
  <c r="D579" i="33" s="1"/>
  <c r="E579" i="33" s="1"/>
  <c r="D580" i="33" a="1"/>
  <c r="D581" i="33" a="1"/>
  <c r="D582" i="33" a="1"/>
  <c r="D583" i="33" a="1"/>
  <c r="D584" i="33" a="1"/>
  <c r="D585" i="33" a="1"/>
  <c r="D586" i="33" a="1"/>
  <c r="D587" i="33" a="1"/>
  <c r="D588" i="33" a="1"/>
  <c r="D589" i="33" a="1"/>
  <c r="D590" i="33" a="1"/>
  <c r="D591" i="33" a="1"/>
  <c r="D592" i="33" a="1"/>
  <c r="D593" i="33" a="1"/>
  <c r="D594" i="33" a="1"/>
  <c r="D595" i="33" a="1"/>
  <c r="D595" i="33" s="1"/>
  <c r="E595" i="33" s="1"/>
  <c r="D596" i="33" a="1"/>
  <c r="D597" i="33" a="1"/>
  <c r="D598" i="33" a="1"/>
  <c r="D599" i="33" a="1"/>
  <c r="D600" i="33" a="1"/>
  <c r="D601" i="33" a="1"/>
  <c r="D602" i="33" a="1"/>
  <c r="D603" i="33" a="1"/>
  <c r="D604" i="33" a="1"/>
  <c r="D605" i="33" a="1"/>
  <c r="D606" i="33" a="1"/>
  <c r="D607" i="33" a="1"/>
  <c r="D608" i="33" a="1"/>
  <c r="D609" i="33" a="1"/>
  <c r="D610" i="33" a="1"/>
  <c r="D611" i="33" a="1"/>
  <c r="D611" i="33" s="1"/>
  <c r="E611" i="33" s="1"/>
  <c r="D612" i="33" a="1"/>
  <c r="D613" i="33" a="1"/>
  <c r="D614" i="33" a="1"/>
  <c r="D615" i="33" a="1"/>
  <c r="D616" i="33" a="1"/>
  <c r="D617" i="33" a="1"/>
  <c r="D618" i="33" a="1"/>
  <c r="D619" i="33" a="1"/>
  <c r="D620" i="33" a="1"/>
  <c r="D621" i="33" a="1"/>
  <c r="D622" i="33" a="1"/>
  <c r="D623" i="33" a="1"/>
  <c r="D624" i="33" a="1"/>
  <c r="D625" i="33" a="1"/>
  <c r="D626" i="33" a="1"/>
  <c r="D627" i="33" a="1"/>
  <c r="D627" i="33" s="1"/>
  <c r="E627" i="33" s="1"/>
  <c r="D628" i="33" a="1"/>
  <c r="D629" i="33" a="1"/>
  <c r="D630" i="33" a="1"/>
  <c r="D631" i="33" a="1"/>
  <c r="D632" i="33" a="1"/>
  <c r="D633" i="33" a="1"/>
  <c r="D634" i="33" a="1"/>
  <c r="D635" i="33" a="1"/>
  <c r="D635" i="33" s="1"/>
  <c r="E635" i="33" s="1"/>
  <c r="D636" i="33" a="1"/>
  <c r="D637" i="33" a="1"/>
  <c r="D638" i="33" a="1"/>
  <c r="D639" i="33" a="1"/>
  <c r="D640" i="33" a="1"/>
  <c r="D641" i="33" a="1"/>
  <c r="D642" i="33" a="1"/>
  <c r="D643" i="33" a="1"/>
  <c r="D643" i="33" s="1"/>
  <c r="E643" i="33" s="1"/>
  <c r="D644" i="33" a="1"/>
  <c r="D645" i="33" a="1"/>
  <c r="D646" i="33" a="1"/>
  <c r="D647" i="33" a="1"/>
  <c r="D648" i="33" a="1"/>
  <c r="D649" i="33" a="1"/>
  <c r="D650" i="33" a="1"/>
  <c r="D651" i="33" a="1"/>
  <c r="D651" i="33" s="1"/>
  <c r="E651" i="33" s="1"/>
  <c r="D652" i="33" a="1"/>
  <c r="D653" i="33" a="1"/>
  <c r="D654" i="33" a="1"/>
  <c r="D655" i="33" a="1"/>
  <c r="D656" i="33" a="1"/>
  <c r="D657" i="33" a="1"/>
  <c r="D658" i="33" a="1"/>
  <c r="D659" i="33" a="1"/>
  <c r="D659" i="33" s="1"/>
  <c r="E659" i="33" s="1"/>
  <c r="D660" i="33" a="1"/>
  <c r="D661" i="33" a="1"/>
  <c r="D662" i="33" a="1"/>
  <c r="D663" i="33" a="1"/>
  <c r="D664" i="33" a="1"/>
  <c r="D665" i="33" a="1"/>
  <c r="D666" i="33" a="1"/>
  <c r="D667" i="33" a="1"/>
  <c r="D667" i="33" s="1"/>
  <c r="E667" i="33" s="1"/>
  <c r="D668" i="33" a="1"/>
  <c r="D669" i="33" a="1"/>
  <c r="D670" i="33" a="1"/>
  <c r="D671" i="33" a="1"/>
  <c r="D672" i="33" a="1"/>
  <c r="D673" i="33" a="1"/>
  <c r="D674" i="33" a="1"/>
  <c r="D675" i="33" a="1"/>
  <c r="D676" i="33" a="1"/>
  <c r="D677" i="33" a="1"/>
  <c r="D678" i="33" a="1"/>
  <c r="D679" i="33" a="1"/>
  <c r="D680" i="33" a="1"/>
  <c r="D681" i="33" a="1"/>
  <c r="D682" i="33" a="1"/>
  <c r="D683" i="33" a="1"/>
  <c r="D683" i="33" s="1"/>
  <c r="E683" i="33" s="1"/>
  <c r="D684" i="33" a="1"/>
  <c r="D685" i="33" a="1"/>
  <c r="D686" i="33" a="1"/>
  <c r="D687" i="33" a="1"/>
  <c r="D688" i="33" a="1"/>
  <c r="D689" i="33" a="1"/>
  <c r="D690" i="33" a="1"/>
  <c r="D691" i="33" a="1"/>
  <c r="D692" i="33" a="1"/>
  <c r="D693" i="33" a="1"/>
  <c r="D694" i="33" a="1"/>
  <c r="D695" i="33" a="1"/>
  <c r="D696" i="33" a="1"/>
  <c r="D697" i="33" a="1"/>
  <c r="D698" i="33" a="1"/>
  <c r="D699" i="33" a="1"/>
  <c r="D699" i="33" s="1"/>
  <c r="E699" i="33" s="1"/>
  <c r="D700" i="33" a="1"/>
  <c r="D701" i="33" a="1"/>
  <c r="D702" i="33" a="1"/>
  <c r="D703" i="33" a="1"/>
  <c r="D704" i="33" a="1"/>
  <c r="D705" i="33" a="1"/>
  <c r="D706" i="33" a="1"/>
  <c r="D707" i="33" a="1"/>
  <c r="D708" i="33" a="1"/>
  <c r="D709" i="33" a="1"/>
  <c r="D710" i="33" a="1"/>
  <c r="D711" i="33" a="1"/>
  <c r="D712" i="33" a="1"/>
  <c r="D713" i="33" a="1"/>
  <c r="D714" i="33" a="1"/>
  <c r="D715" i="33" a="1"/>
  <c r="D716" i="33" a="1"/>
  <c r="D717" i="33" a="1"/>
  <c r="D718" i="33" a="1"/>
  <c r="D719" i="33" a="1"/>
  <c r="D720" i="33" a="1"/>
  <c r="D721" i="33" a="1"/>
  <c r="D722" i="33" a="1"/>
  <c r="D723" i="33" a="1"/>
  <c r="D723" i="33" s="1"/>
  <c r="E723" i="33" s="1"/>
  <c r="D724" i="33" a="1"/>
  <c r="D725" i="33" a="1"/>
  <c r="D726" i="33" a="1"/>
  <c r="D727" i="33" a="1"/>
  <c r="D728" i="33" a="1"/>
  <c r="D729" i="33" a="1"/>
  <c r="D730" i="33" a="1"/>
  <c r="D731" i="33" a="1"/>
  <c r="D731" i="33" s="1"/>
  <c r="E731" i="33" s="1"/>
  <c r="D732" i="33" a="1"/>
  <c r="D733" i="33" a="1"/>
  <c r="D734" i="33" a="1"/>
  <c r="D735" i="33" a="1"/>
  <c r="D736" i="33" a="1"/>
  <c r="D737" i="33" a="1"/>
  <c r="D738" i="33" a="1"/>
  <c r="D739" i="33" a="1"/>
  <c r="D740" i="33" a="1"/>
  <c r="D741" i="33" a="1"/>
  <c r="D742" i="33" a="1"/>
  <c r="D743" i="33" a="1"/>
  <c r="D744" i="33" a="1"/>
  <c r="D745" i="33" a="1"/>
  <c r="D746" i="33" a="1"/>
  <c r="D747" i="33" a="1"/>
  <c r="D747" i="33" s="1"/>
  <c r="E747" i="33" s="1"/>
  <c r="D748" i="33" a="1"/>
  <c r="D749" i="33" a="1"/>
  <c r="D750" i="33" a="1"/>
  <c r="D751" i="33" a="1"/>
  <c r="D752" i="33" a="1"/>
  <c r="D753" i="33" a="1"/>
  <c r="D754" i="33" a="1"/>
  <c r="D755" i="33" a="1"/>
  <c r="D755" i="33" s="1"/>
  <c r="E755" i="33" s="1"/>
  <c r="D756" i="33" a="1"/>
  <c r="D757" i="33" a="1"/>
  <c r="D758" i="33" a="1"/>
  <c r="D759" i="33" a="1"/>
  <c r="D760" i="33" a="1"/>
  <c r="D761" i="33" a="1"/>
  <c r="D762" i="33" a="1"/>
  <c r="D763" i="33" a="1"/>
  <c r="D763" i="33" s="1"/>
  <c r="E763" i="33" s="1"/>
  <c r="D764" i="33" a="1"/>
  <c r="D765" i="33" a="1"/>
  <c r="D766" i="33" a="1"/>
  <c r="D767" i="33" a="1"/>
  <c r="D768" i="33" a="1"/>
  <c r="D769" i="33" a="1"/>
  <c r="D770" i="33" a="1"/>
  <c r="D771" i="33" a="1"/>
  <c r="D772" i="33" a="1"/>
  <c r="D773" i="33" a="1"/>
  <c r="D774" i="33" a="1"/>
  <c r="D775" i="33" a="1"/>
  <c r="D776" i="33" a="1"/>
  <c r="D777" i="33" a="1"/>
  <c r="D778" i="33" a="1"/>
  <c r="D779" i="33" a="1"/>
  <c r="D780" i="33" a="1"/>
  <c r="D781" i="33" a="1"/>
  <c r="D782" i="33" a="1"/>
  <c r="D783" i="33" a="1"/>
  <c r="D784" i="33" a="1"/>
  <c r="D785" i="33" a="1"/>
  <c r="D786" i="33" a="1"/>
  <c r="D787" i="33" a="1"/>
  <c r="D787" i="33" s="1"/>
  <c r="E787" i="33" s="1"/>
  <c r="D788" i="33" a="1"/>
  <c r="D789" i="33" a="1"/>
  <c r="D790" i="33" a="1"/>
  <c r="D791" i="33" a="1"/>
  <c r="D792" i="33" a="1"/>
  <c r="D793" i="33" a="1"/>
  <c r="D794" i="33" a="1"/>
  <c r="D795" i="33" a="1"/>
  <c r="D795" i="33" s="1"/>
  <c r="E795" i="33" s="1"/>
  <c r="D796" i="33" a="1"/>
  <c r="D797" i="33" a="1"/>
  <c r="D798" i="33" a="1"/>
  <c r="D799" i="33" a="1"/>
  <c r="D800" i="33" a="1"/>
  <c r="D801" i="33" a="1"/>
  <c r="D802" i="33" a="1"/>
  <c r="D803" i="33" a="1"/>
  <c r="D804" i="33" a="1"/>
  <c r="D805" i="33" a="1"/>
  <c r="D806" i="33" a="1"/>
  <c r="D807" i="33" a="1"/>
  <c r="D808" i="33" a="1"/>
  <c r="D809" i="33" a="1"/>
  <c r="D810" i="33" a="1"/>
  <c r="D811" i="33" a="1"/>
  <c r="D811" i="33" s="1"/>
  <c r="E811" i="33" s="1"/>
  <c r="D812" i="33" a="1"/>
  <c r="D813" i="33" a="1"/>
  <c r="D814" i="33" a="1"/>
  <c r="D815" i="33" a="1"/>
  <c r="D816" i="33" a="1"/>
  <c r="D817" i="33" a="1"/>
  <c r="D818" i="33" a="1"/>
  <c r="D819" i="33" a="1"/>
  <c r="D820" i="33" a="1"/>
  <c r="D821" i="33" a="1"/>
  <c r="D822" i="33" a="1"/>
  <c r="D823" i="33" a="1"/>
  <c r="D824" i="33" a="1"/>
  <c r="D825" i="33" a="1"/>
  <c r="D826" i="33" a="1"/>
  <c r="D827" i="33" a="1"/>
  <c r="D827" i="33" s="1"/>
  <c r="E827" i="33" s="1"/>
  <c r="D828" i="33" a="1"/>
  <c r="D829" i="33" a="1"/>
  <c r="D830" i="33" a="1"/>
  <c r="D831" i="33" a="1"/>
  <c r="D832" i="33" a="1"/>
  <c r="D833" i="33" a="1"/>
  <c r="D834" i="33" a="1"/>
  <c r="D835" i="33" a="1"/>
  <c r="D835" i="33" s="1"/>
  <c r="E835" i="33" s="1"/>
  <c r="D836" i="33" a="1"/>
  <c r="D837" i="33" a="1"/>
  <c r="D838" i="33" a="1"/>
  <c r="D839" i="33" a="1"/>
  <c r="D840" i="33" a="1"/>
  <c r="D841" i="33" a="1"/>
  <c r="D842" i="33" a="1"/>
  <c r="D843" i="33" a="1"/>
  <c r="D843" i="33" s="1"/>
  <c r="E843" i="33" s="1"/>
  <c r="D844" i="33" a="1"/>
  <c r="D845" i="33" a="1"/>
  <c r="D846" i="33" a="1"/>
  <c r="D847" i="33" a="1"/>
  <c r="D848" i="33" a="1"/>
  <c r="D849" i="33" a="1"/>
  <c r="D850" i="33" a="1"/>
  <c r="D851" i="33" a="1"/>
  <c r="D851" i="33" s="1"/>
  <c r="E851" i="33" s="1"/>
  <c r="D852" i="33" a="1"/>
  <c r="D853" i="33" a="1"/>
  <c r="D854" i="33" a="1"/>
  <c r="D855" i="33" a="1"/>
  <c r="D856" i="33" a="1"/>
  <c r="D857" i="33" a="1"/>
  <c r="D858" i="33" a="1"/>
  <c r="D859" i="33" a="1"/>
  <c r="D859" i="33" s="1"/>
  <c r="E859" i="33" s="1"/>
  <c r="D860" i="33" a="1"/>
  <c r="D861" i="33" a="1"/>
  <c r="D862" i="33" a="1"/>
  <c r="D863" i="33" a="1"/>
  <c r="D864" i="33" a="1"/>
  <c r="D865" i="33" a="1"/>
  <c r="D866" i="33" a="1"/>
  <c r="D867" i="33" a="1"/>
  <c r="D867" i="33" s="1"/>
  <c r="E867" i="33" s="1"/>
  <c r="D868" i="33" a="1"/>
  <c r="D869" i="33" a="1"/>
  <c r="D870" i="33" a="1"/>
  <c r="D871" i="33" a="1"/>
  <c r="D872" i="33" a="1"/>
  <c r="D873" i="33" a="1"/>
  <c r="D874" i="33" a="1"/>
  <c r="D875" i="33" a="1"/>
  <c r="D875" i="33" s="1"/>
  <c r="E875" i="33" s="1"/>
  <c r="D876" i="33" a="1"/>
  <c r="D877" i="33" a="1"/>
  <c r="D878" i="33" a="1"/>
  <c r="D879" i="33" a="1"/>
  <c r="D880" i="33" a="1"/>
  <c r="D881" i="33" a="1"/>
  <c r="D882" i="33" a="1"/>
  <c r="D883" i="33" a="1"/>
  <c r="D884" i="33" a="1"/>
  <c r="D885" i="33" a="1"/>
  <c r="D886" i="33" a="1"/>
  <c r="D887" i="33" a="1"/>
  <c r="D888" i="33" a="1"/>
  <c r="D889" i="33" a="1"/>
  <c r="D890" i="33" a="1"/>
  <c r="D891" i="33" a="1"/>
  <c r="D891" i="33" s="1"/>
  <c r="E891" i="33" s="1"/>
  <c r="D892" i="33" a="1"/>
  <c r="D893" i="33" a="1"/>
  <c r="D894" i="33" a="1"/>
  <c r="D895" i="33" a="1"/>
  <c r="D896" i="33" a="1"/>
  <c r="D897" i="33" a="1"/>
  <c r="D898" i="33" a="1"/>
  <c r="D899" i="33" a="1"/>
  <c r="D899" i="33" s="1"/>
  <c r="E899" i="33" s="1"/>
  <c r="D900" i="33" a="1"/>
  <c r="D901" i="33" a="1"/>
  <c r="D902" i="33" a="1"/>
  <c r="D903" i="33" a="1"/>
  <c r="D904" i="33" a="1"/>
  <c r="D905" i="33" a="1"/>
  <c r="D906" i="33" a="1"/>
  <c r="D907" i="33" a="1"/>
  <c r="D907" i="33" s="1"/>
  <c r="E907" i="33" s="1"/>
  <c r="D908" i="33" a="1"/>
  <c r="D909" i="33" a="1"/>
  <c r="D910" i="33" a="1"/>
  <c r="D911" i="33" a="1"/>
  <c r="D912" i="33" a="1"/>
  <c r="D913" i="33" a="1"/>
  <c r="D914" i="33" a="1"/>
  <c r="D915" i="33" a="1"/>
  <c r="D915" i="33" s="1"/>
  <c r="E915" i="33" s="1"/>
  <c r="D916" i="33" a="1"/>
  <c r="D917" i="33" a="1"/>
  <c r="D918" i="33" a="1"/>
  <c r="D919" i="33" a="1"/>
  <c r="D920" i="33" a="1"/>
  <c r="D921" i="33" a="1"/>
  <c r="D922" i="33" a="1"/>
  <c r="D923" i="33" a="1"/>
  <c r="D924" i="33" a="1"/>
  <c r="D925" i="33" a="1"/>
  <c r="D926" i="33" a="1"/>
  <c r="D927" i="33" a="1"/>
  <c r="D928" i="33" a="1"/>
  <c r="D929" i="33" a="1"/>
  <c r="D930" i="33" a="1"/>
  <c r="D931" i="33" a="1"/>
  <c r="D931" i="33" s="1"/>
  <c r="E931" i="33" s="1"/>
  <c r="D932" i="33" a="1"/>
  <c r="D933" i="33" a="1"/>
  <c r="D934" i="33" a="1"/>
  <c r="D935" i="33" a="1"/>
  <c r="D936" i="33" a="1"/>
  <c r="D937" i="33" a="1"/>
  <c r="D938" i="33" a="1"/>
  <c r="D939" i="33" a="1"/>
  <c r="D939" i="33" s="1"/>
  <c r="E939" i="33" s="1"/>
  <c r="D940" i="33" a="1"/>
  <c r="D941" i="33" a="1"/>
  <c r="D942" i="33" a="1"/>
  <c r="D943" i="33" a="1"/>
  <c r="D944" i="33" a="1"/>
  <c r="D945" i="33" a="1"/>
  <c r="D946" i="33" a="1"/>
  <c r="D947" i="33" a="1"/>
  <c r="D947" i="33" s="1"/>
  <c r="E947" i="33" s="1"/>
  <c r="D948" i="33" a="1"/>
  <c r="D949" i="33" a="1"/>
  <c r="D950" i="33" a="1"/>
  <c r="D951" i="33" a="1"/>
  <c r="D952" i="33" a="1"/>
  <c r="D953" i="33" a="1"/>
  <c r="D954" i="33" a="1"/>
  <c r="D955" i="33" a="1"/>
  <c r="D955" i="33" s="1"/>
  <c r="E955" i="33" s="1"/>
  <c r="D956" i="33" a="1"/>
  <c r="D957" i="33" a="1"/>
  <c r="D958" i="33" a="1"/>
  <c r="D959" i="33" a="1"/>
  <c r="D960" i="33" a="1"/>
  <c r="D961" i="33" a="1"/>
  <c r="D962" i="33" a="1"/>
  <c r="D963" i="33" a="1"/>
  <c r="D963" i="33" s="1"/>
  <c r="E963" i="33" s="1"/>
  <c r="D964" i="33" a="1"/>
  <c r="D965" i="33" a="1"/>
  <c r="D966" i="33" a="1"/>
  <c r="D967" i="33" a="1"/>
  <c r="D968" i="33" a="1"/>
  <c r="D969" i="33" a="1"/>
  <c r="D970" i="33" a="1"/>
  <c r="D971" i="33" a="1"/>
  <c r="D971" i="33" s="1"/>
  <c r="E971" i="33" s="1"/>
  <c r="D972" i="33" a="1"/>
  <c r="D973" i="33" a="1"/>
  <c r="D974" i="33" a="1"/>
  <c r="D975" i="33" a="1"/>
  <c r="D976" i="33" a="1"/>
  <c r="D977" i="33" a="1"/>
  <c r="D978" i="33" a="1"/>
  <c r="D979" i="33" a="1"/>
  <c r="D979" i="33" s="1"/>
  <c r="E979" i="33" s="1"/>
  <c r="D980" i="33" a="1"/>
  <c r="D981" i="33" a="1"/>
  <c r="D982" i="33" a="1"/>
  <c r="D983" i="33" a="1"/>
  <c r="D984" i="33" a="1"/>
  <c r="D985" i="33" a="1"/>
  <c r="D986" i="33" a="1"/>
  <c r="D987" i="33" a="1"/>
  <c r="D987" i="33" s="1"/>
  <c r="E987" i="33" s="1"/>
  <c r="D988" i="33" a="1"/>
  <c r="D989" i="33" a="1"/>
  <c r="D990" i="33" a="1"/>
  <c r="D991" i="33" a="1"/>
  <c r="D992" i="33" a="1"/>
  <c r="D993" i="33" a="1"/>
  <c r="D994" i="33" a="1"/>
  <c r="D995" i="33" a="1"/>
  <c r="D995" i="33" s="1"/>
  <c r="E995" i="33" s="1"/>
  <c r="D996" i="33" a="1"/>
  <c r="D997" i="33" a="1"/>
  <c r="D998" i="33" a="1"/>
  <c r="D999" i="33" a="1"/>
  <c r="D1000" i="33" a="1"/>
  <c r="D1001" i="33" a="1"/>
  <c r="D1002" i="33" a="1"/>
  <c r="D1003" i="33" a="1"/>
  <c r="D1003" i="33" s="1"/>
  <c r="E1003" i="33" s="1"/>
  <c r="D1004" i="33" a="1"/>
  <c r="D1005" i="33" a="1"/>
  <c r="D1006" i="33" a="1"/>
  <c r="D1007" i="33" a="1"/>
  <c r="D993" i="36" a="1"/>
  <c r="D985" i="36" a="1"/>
  <c r="D977" i="36" a="1"/>
  <c r="D969" i="36" a="1"/>
  <c r="D969" i="36" s="1"/>
  <c r="E969" i="36" s="1"/>
  <c r="D961" i="36" a="1"/>
  <c r="D953" i="36" a="1"/>
  <c r="D945" i="36" a="1"/>
  <c r="D937" i="36" a="1"/>
  <c r="D929" i="36" a="1"/>
  <c r="D921" i="36" a="1"/>
  <c r="D913" i="36" a="1"/>
  <c r="D905" i="36" a="1"/>
  <c r="D905" i="36" s="1"/>
  <c r="E905" i="36" s="1"/>
  <c r="D897" i="36" a="1"/>
  <c r="D889" i="36" a="1"/>
  <c r="D881" i="36" a="1"/>
  <c r="D873" i="36" a="1"/>
  <c r="D865" i="36" a="1"/>
  <c r="D857" i="36" a="1"/>
  <c r="D849" i="36" a="1"/>
  <c r="D841" i="36" a="1"/>
  <c r="D841" i="36" s="1"/>
  <c r="E841" i="36" s="1"/>
  <c r="D833" i="36" a="1"/>
  <c r="D825" i="36" a="1"/>
  <c r="D817" i="36" a="1"/>
  <c r="D809" i="36" a="1"/>
  <c r="D801" i="36" a="1"/>
  <c r="D793" i="36" a="1"/>
  <c r="D785" i="36" a="1"/>
  <c r="D777" i="36" a="1"/>
  <c r="D769" i="36" a="1"/>
  <c r="D761" i="36" a="1"/>
  <c r="D753" i="36" a="1"/>
  <c r="D745" i="36" a="1"/>
  <c r="D737" i="36" a="1"/>
  <c r="D729" i="36" a="1"/>
  <c r="D721" i="36" a="1"/>
  <c r="D713" i="36" a="1"/>
  <c r="D705" i="36" a="1"/>
  <c r="D697" i="36" a="1"/>
  <c r="D685" i="36" a="1"/>
  <c r="D659" i="36" a="1"/>
  <c r="D597" i="36" a="1"/>
  <c r="D533" i="36" a="1"/>
  <c r="D469" i="36" a="1"/>
  <c r="D1001" i="36" a="1"/>
  <c r="D12" i="34" a="1"/>
  <c r="D13" i="34" a="1"/>
  <c r="D14" i="34" a="1"/>
  <c r="D15" i="34" a="1"/>
  <c r="D16" i="34" a="1"/>
  <c r="D17" i="34" a="1"/>
  <c r="D18" i="34" a="1"/>
  <c r="D19" i="34" a="1"/>
  <c r="D20" i="34" a="1"/>
  <c r="D21" i="34" a="1"/>
  <c r="D22" i="34" a="1"/>
  <c r="D23" i="34" a="1"/>
  <c r="D24" i="34" a="1"/>
  <c r="D25" i="34" a="1"/>
  <c r="D26" i="34" a="1"/>
  <c r="D27" i="34" a="1"/>
  <c r="D27" i="34" s="1"/>
  <c r="E27" i="34" s="1"/>
  <c r="D28" i="34" a="1"/>
  <c r="D29" i="34" a="1"/>
  <c r="D30" i="34" a="1"/>
  <c r="D31" i="34" a="1"/>
  <c r="D32" i="34" a="1"/>
  <c r="D33" i="34" a="1"/>
  <c r="D34" i="34" a="1"/>
  <c r="D35" i="34" a="1"/>
  <c r="D35" i="34" s="1"/>
  <c r="E35" i="34" s="1"/>
  <c r="D36" i="34" a="1"/>
  <c r="D37" i="34" a="1"/>
  <c r="D38" i="34" a="1"/>
  <c r="D39" i="34" a="1"/>
  <c r="D40" i="34" a="1"/>
  <c r="D41" i="34" a="1"/>
  <c r="D42" i="34" a="1"/>
  <c r="D43" i="34" a="1"/>
  <c r="D43" i="34" s="1"/>
  <c r="E43" i="34" s="1"/>
  <c r="D44" i="34" a="1"/>
  <c r="D45" i="34" a="1"/>
  <c r="D46" i="34" a="1"/>
  <c r="D47" i="34" a="1"/>
  <c r="D48" i="34" a="1"/>
  <c r="D49" i="34" a="1"/>
  <c r="D50" i="34" a="1"/>
  <c r="D51" i="34" a="1"/>
  <c r="D51" i="34" s="1"/>
  <c r="E51" i="34" s="1"/>
  <c r="D52" i="34" a="1"/>
  <c r="D53" i="34" a="1"/>
  <c r="D54" i="34" a="1"/>
  <c r="D55" i="34" a="1"/>
  <c r="D56" i="34" a="1"/>
  <c r="D57" i="34" a="1"/>
  <c r="D58" i="34" a="1"/>
  <c r="D59" i="34" a="1"/>
  <c r="D59" i="34" s="1"/>
  <c r="E59" i="34" s="1"/>
  <c r="D60" i="34" a="1"/>
  <c r="D61" i="34" a="1"/>
  <c r="D62" i="34" a="1"/>
  <c r="D63" i="34" a="1"/>
  <c r="D64" i="34" a="1"/>
  <c r="D65" i="34" a="1"/>
  <c r="D66" i="34" a="1"/>
  <c r="D67" i="34" a="1"/>
  <c r="D67" i="34" s="1"/>
  <c r="E67" i="34" s="1"/>
  <c r="D68" i="34" a="1"/>
  <c r="D69" i="34" a="1"/>
  <c r="D70" i="34" a="1"/>
  <c r="D71" i="34" a="1"/>
  <c r="D72" i="34" a="1"/>
  <c r="D73" i="34" a="1"/>
  <c r="D74" i="34" a="1"/>
  <c r="D75" i="34" a="1"/>
  <c r="D75" i="34" s="1"/>
  <c r="E75" i="34" s="1"/>
  <c r="D76" i="34" a="1"/>
  <c r="D77" i="34" a="1"/>
  <c r="D78" i="34" a="1"/>
  <c r="D79" i="34" a="1"/>
  <c r="D80" i="34" a="1"/>
  <c r="D81" i="34" a="1"/>
  <c r="D82" i="34" a="1"/>
  <c r="D83" i="34" a="1"/>
  <c r="D83" i="34" s="1"/>
  <c r="E83" i="34" s="1"/>
  <c r="D84" i="34" a="1"/>
  <c r="D85" i="34" a="1"/>
  <c r="D86" i="34" a="1"/>
  <c r="D87" i="34" a="1"/>
  <c r="D88" i="34" a="1"/>
  <c r="D89" i="34" a="1"/>
  <c r="D90" i="34" a="1"/>
  <c r="D91" i="34" a="1"/>
  <c r="D91" i="34" s="1"/>
  <c r="E91" i="34" s="1"/>
  <c r="D92" i="34" a="1"/>
  <c r="D93" i="34" a="1"/>
  <c r="D94" i="34" a="1"/>
  <c r="D95" i="34" a="1"/>
  <c r="D96" i="34" a="1"/>
  <c r="D97" i="34" a="1"/>
  <c r="D98" i="34" a="1"/>
  <c r="D99" i="34" a="1"/>
  <c r="D100" i="34" a="1"/>
  <c r="D101" i="34" a="1"/>
  <c r="D102" i="34" a="1"/>
  <c r="D103" i="34" a="1"/>
  <c r="D104" i="34" a="1"/>
  <c r="D105" i="34" a="1"/>
  <c r="D106" i="34" a="1"/>
  <c r="D107" i="34" a="1"/>
  <c r="D107" i="34" s="1"/>
  <c r="E107" i="34" s="1"/>
  <c r="D108" i="34" a="1"/>
  <c r="D109" i="34" a="1"/>
  <c r="D110" i="34" a="1"/>
  <c r="D111" i="34" a="1"/>
  <c r="D112" i="34" a="1"/>
  <c r="D113" i="34" a="1"/>
  <c r="D114" i="34" a="1"/>
  <c r="D115" i="34" a="1"/>
  <c r="D115" i="34" s="1"/>
  <c r="E115" i="34" s="1"/>
  <c r="D116" i="34" a="1"/>
  <c r="D117" i="34" a="1"/>
  <c r="D118" i="34" a="1"/>
  <c r="D119" i="34" a="1"/>
  <c r="D120" i="34" a="1"/>
  <c r="D121" i="34" a="1"/>
  <c r="D122" i="34" a="1"/>
  <c r="D123" i="34" a="1"/>
  <c r="D124" i="34" a="1"/>
  <c r="D125" i="34" a="1"/>
  <c r="D126" i="34" a="1"/>
  <c r="D127" i="34" a="1"/>
  <c r="D128" i="34" a="1"/>
  <c r="D129" i="34" a="1"/>
  <c r="D130" i="34" a="1"/>
  <c r="D131" i="34" a="1"/>
  <c r="D131" i="34" s="1"/>
  <c r="E131" i="34" s="1"/>
  <c r="D132" i="34" a="1"/>
  <c r="D133" i="34" a="1"/>
  <c r="D134" i="34" a="1"/>
  <c r="D135" i="34" a="1"/>
  <c r="D136" i="34" a="1"/>
  <c r="D137" i="34" a="1"/>
  <c r="D138" i="34" a="1"/>
  <c r="D139" i="34" a="1"/>
  <c r="D139" i="34" s="1"/>
  <c r="E139" i="34" s="1"/>
  <c r="D140" i="34" a="1"/>
  <c r="D141" i="34" a="1"/>
  <c r="D142" i="34" a="1"/>
  <c r="D143" i="34" a="1"/>
  <c r="D144" i="34" a="1"/>
  <c r="D145" i="34" a="1"/>
  <c r="D146" i="34" a="1"/>
  <c r="D147" i="34" a="1"/>
  <c r="D147" i="34" s="1"/>
  <c r="E147" i="34" s="1"/>
  <c r="D148" i="34" a="1"/>
  <c r="D149" i="34" a="1"/>
  <c r="D150" i="34" a="1"/>
  <c r="D151" i="34" a="1"/>
  <c r="D152" i="34" a="1"/>
  <c r="D153" i="34" a="1"/>
  <c r="D154" i="34" a="1"/>
  <c r="D155" i="34" a="1"/>
  <c r="D156" i="34" a="1"/>
  <c r="D157" i="34" a="1"/>
  <c r="D158" i="34" a="1"/>
  <c r="D159" i="34" a="1"/>
  <c r="D160" i="34" a="1"/>
  <c r="D161" i="34" a="1"/>
  <c r="D162" i="34" a="1"/>
  <c r="D163" i="34" a="1"/>
  <c r="D164" i="34" a="1"/>
  <c r="D165" i="34" a="1"/>
  <c r="D166" i="34" a="1"/>
  <c r="D167" i="34" a="1"/>
  <c r="D168" i="34" a="1"/>
  <c r="D169" i="34" a="1"/>
  <c r="D170" i="34" a="1"/>
  <c r="D171" i="34" a="1"/>
  <c r="D171" i="34" s="1"/>
  <c r="E171" i="34" s="1"/>
  <c r="D172" i="34" a="1"/>
  <c r="D173" i="34" a="1"/>
  <c r="D174" i="34" a="1"/>
  <c r="D175" i="34" a="1"/>
  <c r="D176" i="34" a="1"/>
  <c r="D177" i="34" a="1"/>
  <c r="D178" i="34" a="1"/>
  <c r="D179" i="34" a="1"/>
  <c r="D179" i="34" s="1"/>
  <c r="E179" i="34" s="1"/>
  <c r="D180" i="34" a="1"/>
  <c r="D181" i="34" a="1"/>
  <c r="D182" i="34" a="1"/>
  <c r="D183" i="34" a="1"/>
  <c r="D184" i="34" a="1"/>
  <c r="D185" i="34" a="1"/>
  <c r="D186" i="34" a="1"/>
  <c r="D187" i="34" a="1"/>
  <c r="D187" i="34" s="1"/>
  <c r="E187" i="34" s="1"/>
  <c r="D188" i="34" a="1"/>
  <c r="D189" i="34" a="1"/>
  <c r="D190" i="34" a="1"/>
  <c r="D191" i="34" a="1"/>
  <c r="D192" i="34" a="1"/>
  <c r="D193" i="34" a="1"/>
  <c r="D194" i="34" a="1"/>
  <c r="D195" i="34" a="1"/>
  <c r="D195" i="34" s="1"/>
  <c r="E195" i="34" s="1"/>
  <c r="D196" i="34" a="1"/>
  <c r="D197" i="34" a="1"/>
  <c r="D198" i="34" a="1"/>
  <c r="D199" i="34" a="1"/>
  <c r="D200" i="34" a="1"/>
  <c r="D201" i="34" a="1"/>
  <c r="D202" i="34" a="1"/>
  <c r="D203" i="34" a="1"/>
  <c r="D203" i="34" s="1"/>
  <c r="E203" i="34" s="1"/>
  <c r="D204" i="34" a="1"/>
  <c r="D205" i="34" a="1"/>
  <c r="D206" i="34" a="1"/>
  <c r="D207" i="34" a="1"/>
  <c r="D208" i="34" a="1"/>
  <c r="D209" i="34" a="1"/>
  <c r="D210" i="34" a="1"/>
  <c r="D211" i="34" a="1"/>
  <c r="D212" i="34" a="1"/>
  <c r="D213" i="34" a="1"/>
  <c r="D214" i="34" a="1"/>
  <c r="D215" i="34" a="1"/>
  <c r="D216" i="34" a="1"/>
  <c r="D217" i="34" a="1"/>
  <c r="D218" i="34" a="1"/>
  <c r="D219" i="34" a="1"/>
  <c r="D219" i="34" s="1"/>
  <c r="E219" i="34" s="1"/>
  <c r="D220" i="34" a="1"/>
  <c r="D221" i="34" a="1"/>
  <c r="D222" i="34" a="1"/>
  <c r="D223" i="34" a="1"/>
  <c r="D224" i="34" a="1"/>
  <c r="D225" i="34" a="1"/>
  <c r="D226" i="34" a="1"/>
  <c r="D227" i="34" a="1"/>
  <c r="D227" i="34" s="1"/>
  <c r="E227" i="34" s="1"/>
  <c r="D228" i="34" a="1"/>
  <c r="D229" i="34" a="1"/>
  <c r="D230" i="34" a="1"/>
  <c r="D231" i="34" a="1"/>
  <c r="D232" i="34" a="1"/>
  <c r="D233" i="34" a="1"/>
  <c r="D234" i="34" a="1"/>
  <c r="D235" i="34" a="1"/>
  <c r="D235" i="34" s="1"/>
  <c r="E235" i="34" s="1"/>
  <c r="D236" i="34" a="1"/>
  <c r="D237" i="34" a="1"/>
  <c r="D238" i="34" a="1"/>
  <c r="D239" i="34" a="1"/>
  <c r="D240" i="34" a="1"/>
  <c r="D241" i="34" a="1"/>
  <c r="D242" i="34" a="1"/>
  <c r="D243" i="34" a="1"/>
  <c r="D243" i="34" s="1"/>
  <c r="E243" i="34" s="1"/>
  <c r="D244" i="34" a="1"/>
  <c r="D245" i="34" a="1"/>
  <c r="D246" i="34" a="1"/>
  <c r="D247" i="34" a="1"/>
  <c r="D248" i="34" a="1"/>
  <c r="D249" i="34" a="1"/>
  <c r="D250" i="34" a="1"/>
  <c r="D251" i="34" a="1"/>
  <c r="D251" i="34" s="1"/>
  <c r="E251" i="34" s="1"/>
  <c r="D252" i="34" a="1"/>
  <c r="D253" i="34" a="1"/>
  <c r="D254" i="34" a="1"/>
  <c r="D255" i="34" a="1"/>
  <c r="D256" i="34" a="1"/>
  <c r="D257" i="34" a="1"/>
  <c r="D258" i="34" a="1"/>
  <c r="D259" i="34" a="1"/>
  <c r="D259" i="34" s="1"/>
  <c r="E259" i="34" s="1"/>
  <c r="D260" i="34" a="1"/>
  <c r="D261" i="34" a="1"/>
  <c r="D262" i="34" a="1"/>
  <c r="D263" i="34" a="1"/>
  <c r="D264" i="34" a="1"/>
  <c r="D265" i="34" a="1"/>
  <c r="D266" i="34" a="1"/>
  <c r="D267" i="34" a="1"/>
  <c r="D267" i="34" s="1"/>
  <c r="E267" i="34" s="1"/>
  <c r="D268" i="34" a="1"/>
  <c r="D269" i="34" a="1"/>
  <c r="D270" i="34" a="1"/>
  <c r="D271" i="34" a="1"/>
  <c r="D272" i="34" a="1"/>
  <c r="D273" i="34" a="1"/>
  <c r="D274" i="34" a="1"/>
  <c r="D275" i="34" a="1"/>
  <c r="D275" i="34" s="1"/>
  <c r="E275" i="34" s="1"/>
  <c r="D276" i="34" a="1"/>
  <c r="D277" i="34" a="1"/>
  <c r="D278" i="34" a="1"/>
  <c r="D279" i="34" a="1"/>
  <c r="D280" i="34" a="1"/>
  <c r="D281" i="34" a="1"/>
  <c r="D282" i="34" a="1"/>
  <c r="D283" i="34" a="1"/>
  <c r="D283" i="34" s="1"/>
  <c r="E283" i="34" s="1"/>
  <c r="D284" i="34" a="1"/>
  <c r="D285" i="34" a="1"/>
  <c r="D286" i="34" a="1"/>
  <c r="D287" i="34" a="1"/>
  <c r="D288" i="34" a="1"/>
  <c r="D289" i="34" a="1"/>
  <c r="D290" i="34" a="1"/>
  <c r="D291" i="34" a="1"/>
  <c r="D292" i="34" a="1"/>
  <c r="D293" i="34" a="1"/>
  <c r="D294" i="34" a="1"/>
  <c r="D295" i="34" a="1"/>
  <c r="D296" i="34" a="1"/>
  <c r="D297" i="34" a="1"/>
  <c r="D298" i="34" a="1"/>
  <c r="D299" i="34" a="1"/>
  <c r="D299" i="34" s="1"/>
  <c r="E299" i="34" s="1"/>
  <c r="D300" i="34" a="1"/>
  <c r="D301" i="34" a="1"/>
  <c r="D302" i="34" a="1"/>
  <c r="D303" i="34" a="1"/>
  <c r="D304" i="34" a="1"/>
  <c r="D305" i="34" a="1"/>
  <c r="D306" i="34" a="1"/>
  <c r="D307" i="34" a="1"/>
  <c r="D307" i="34" s="1"/>
  <c r="E307" i="34" s="1"/>
  <c r="D308" i="34" a="1"/>
  <c r="D309" i="34" a="1"/>
  <c r="D310" i="34" a="1"/>
  <c r="D311" i="34" a="1"/>
  <c r="D312" i="34" a="1"/>
  <c r="D313" i="34" a="1"/>
  <c r="D314" i="34" a="1"/>
  <c r="D315" i="34" a="1"/>
  <c r="D315" i="34" s="1"/>
  <c r="E315" i="34" s="1"/>
  <c r="D316" i="34" a="1"/>
  <c r="D317" i="34" a="1"/>
  <c r="D318" i="34" a="1"/>
  <c r="D319" i="34" a="1"/>
  <c r="D320" i="34" a="1"/>
  <c r="D321" i="34" a="1"/>
  <c r="D322" i="34" a="1"/>
  <c r="D323" i="34" a="1"/>
  <c r="D323" i="34" s="1"/>
  <c r="E323" i="34" s="1"/>
  <c r="D324" i="34" a="1"/>
  <c r="D325" i="34" a="1"/>
  <c r="D326" i="34" a="1"/>
  <c r="D327" i="34" a="1"/>
  <c r="D328" i="34" a="1"/>
  <c r="D329" i="34" a="1"/>
  <c r="D330" i="34" a="1"/>
  <c r="D331" i="34" a="1"/>
  <c r="D332" i="34" a="1"/>
  <c r="D333" i="34" a="1"/>
  <c r="D334" i="34" a="1"/>
  <c r="D335" i="34" a="1"/>
  <c r="D336" i="34" a="1"/>
  <c r="D337" i="34" a="1"/>
  <c r="D338" i="34" a="1"/>
  <c r="D339" i="34" a="1"/>
  <c r="D339" i="34" s="1"/>
  <c r="E339" i="34" s="1"/>
  <c r="D340" i="34" a="1"/>
  <c r="D341" i="34" a="1"/>
  <c r="D342" i="34" a="1"/>
  <c r="D343" i="34" a="1"/>
  <c r="D344" i="34" a="1"/>
  <c r="D345" i="34" a="1"/>
  <c r="D346" i="34" a="1"/>
  <c r="D347" i="34" a="1"/>
  <c r="D347" i="34" s="1"/>
  <c r="E347" i="34" s="1"/>
  <c r="D348" i="34" a="1"/>
  <c r="D349" i="34" a="1"/>
  <c r="D350" i="34" a="1"/>
  <c r="D351" i="34" a="1"/>
  <c r="D352" i="34" a="1"/>
  <c r="D353" i="34" a="1"/>
  <c r="D354" i="34" a="1"/>
  <c r="D355" i="34" a="1"/>
  <c r="D355" i="34" s="1"/>
  <c r="E355" i="34" s="1"/>
  <c r="D356" i="34" a="1"/>
  <c r="D357" i="34" a="1"/>
  <c r="D358" i="34" a="1"/>
  <c r="D359" i="34" a="1"/>
  <c r="D360" i="34" a="1"/>
  <c r="D361" i="34" a="1"/>
  <c r="D362" i="34" a="1"/>
  <c r="D363" i="34" a="1"/>
  <c r="D363" i="34" s="1"/>
  <c r="E363" i="34" s="1"/>
  <c r="D364" i="34" a="1"/>
  <c r="D365" i="34" a="1"/>
  <c r="D366" i="34" a="1"/>
  <c r="D367" i="34" a="1"/>
  <c r="D368" i="34" a="1"/>
  <c r="D369" i="34" a="1"/>
  <c r="D370" i="34" a="1"/>
  <c r="D371" i="34" a="1"/>
  <c r="D371" i="34" s="1"/>
  <c r="E371" i="34" s="1"/>
  <c r="D372" i="34" a="1"/>
  <c r="D373" i="34" a="1"/>
  <c r="D374" i="34" a="1"/>
  <c r="D375" i="34" a="1"/>
  <c r="D376" i="34" a="1"/>
  <c r="D377" i="34" a="1"/>
  <c r="D378" i="34" a="1"/>
  <c r="D379" i="34" a="1"/>
  <c r="D380" i="34" a="1"/>
  <c r="D381" i="34" a="1"/>
  <c r="D382" i="34" a="1"/>
  <c r="D383" i="34" a="1"/>
  <c r="D384" i="34" a="1"/>
  <c r="D385" i="34" a="1"/>
  <c r="D386" i="34" a="1"/>
  <c r="D387" i="34" a="1"/>
  <c r="D387" i="34" s="1"/>
  <c r="E387" i="34" s="1"/>
  <c r="D388" i="34" a="1"/>
  <c r="D389" i="34" a="1"/>
  <c r="D390" i="34" a="1"/>
  <c r="D391" i="34" a="1"/>
  <c r="D392" i="34" a="1"/>
  <c r="D393" i="34" a="1"/>
  <c r="D394" i="34" a="1"/>
  <c r="D395" i="34" a="1"/>
  <c r="D395" i="34" s="1"/>
  <c r="E395" i="34" s="1"/>
  <c r="D396" i="34" a="1"/>
  <c r="D397" i="34" a="1"/>
  <c r="D398" i="34" a="1"/>
  <c r="D399" i="34" a="1"/>
  <c r="D400" i="34" a="1"/>
  <c r="D401" i="34" a="1"/>
  <c r="D402" i="34" a="1"/>
  <c r="D403" i="34" a="1"/>
  <c r="D403" i="34" s="1"/>
  <c r="E403" i="34" s="1"/>
  <c r="D404" i="34" a="1"/>
  <c r="D405" i="34" a="1"/>
  <c r="D406" i="34" a="1"/>
  <c r="D407" i="34" a="1"/>
  <c r="D408" i="34" a="1"/>
  <c r="D409" i="34" a="1"/>
  <c r="D410" i="34" a="1"/>
  <c r="D411" i="34" a="1"/>
  <c r="D412" i="34" a="1"/>
  <c r="D413" i="34" a="1"/>
  <c r="D414" i="34" a="1"/>
  <c r="D415" i="34" a="1"/>
  <c r="D416" i="34" a="1"/>
  <c r="D417" i="34" a="1"/>
  <c r="D418" i="34" a="1"/>
  <c r="D419" i="34" a="1"/>
  <c r="D419" i="34" s="1"/>
  <c r="E419" i="34" s="1"/>
  <c r="D420" i="34" a="1"/>
  <c r="D421" i="34" a="1"/>
  <c r="D422" i="34" a="1"/>
  <c r="D423" i="34" a="1"/>
  <c r="D424" i="34" a="1"/>
  <c r="D425" i="34" a="1"/>
  <c r="D426" i="34" a="1"/>
  <c r="D427" i="34" a="1"/>
  <c r="D427" i="34" s="1"/>
  <c r="E427" i="34" s="1"/>
  <c r="D428" i="34" a="1"/>
  <c r="D429" i="34" a="1"/>
  <c r="D430" i="34" a="1"/>
  <c r="D431" i="34" a="1"/>
  <c r="D432" i="34" a="1"/>
  <c r="D433" i="34" a="1"/>
  <c r="D434" i="34" a="1"/>
  <c r="D435" i="34" a="1"/>
  <c r="D435" i="34" s="1"/>
  <c r="E435" i="34" s="1"/>
  <c r="D436" i="34" a="1"/>
  <c r="D437" i="34" a="1"/>
  <c r="D438" i="34" a="1"/>
  <c r="D439" i="34" a="1"/>
  <c r="D440" i="34" a="1"/>
  <c r="D441" i="34" a="1"/>
  <c r="D442" i="34" a="1"/>
  <c r="D443" i="34" a="1"/>
  <c r="D443" i="34" s="1"/>
  <c r="E443" i="34" s="1"/>
  <c r="D444" i="34" a="1"/>
  <c r="D445" i="34" a="1"/>
  <c r="D446" i="34" a="1"/>
  <c r="D447" i="34" a="1"/>
  <c r="D448" i="34" a="1"/>
  <c r="D449" i="34" a="1"/>
  <c r="D450" i="34" a="1"/>
  <c r="D451" i="34" a="1"/>
  <c r="D451" i="34" s="1"/>
  <c r="E451" i="34" s="1"/>
  <c r="D452" i="34" a="1"/>
  <c r="D453" i="34" a="1"/>
  <c r="D454" i="34" a="1"/>
  <c r="D455" i="34" a="1"/>
  <c r="D456" i="34" a="1"/>
  <c r="D457" i="34" a="1"/>
  <c r="D458" i="34" a="1"/>
  <c r="D459" i="34" a="1"/>
  <c r="D459" i="34" s="1"/>
  <c r="E459" i="34" s="1"/>
  <c r="D460" i="34" a="1"/>
  <c r="D461" i="34" a="1"/>
  <c r="D462" i="34" a="1"/>
  <c r="D463" i="34" a="1"/>
  <c r="D464" i="34" a="1"/>
  <c r="D465" i="34" a="1"/>
  <c r="D466" i="34" a="1"/>
  <c r="D467" i="34" a="1"/>
  <c r="D467" i="34" s="1"/>
  <c r="E467" i="34" s="1"/>
  <c r="D468" i="34" a="1"/>
  <c r="D469" i="34" a="1"/>
  <c r="D470" i="34" a="1"/>
  <c r="D471" i="34" a="1"/>
  <c r="D472" i="34" a="1"/>
  <c r="D473" i="34" a="1"/>
  <c r="D474" i="34" a="1"/>
  <c r="D475" i="34" a="1"/>
  <c r="D475" i="34" s="1"/>
  <c r="E475" i="34" s="1"/>
  <c r="D476" i="34" a="1"/>
  <c r="D477" i="34" a="1"/>
  <c r="D478" i="34" a="1"/>
  <c r="D479" i="34" a="1"/>
  <c r="D480" i="34" a="1"/>
  <c r="D481" i="34" a="1"/>
  <c r="D482" i="34" a="1"/>
  <c r="D483" i="34" a="1"/>
  <c r="D483" i="34" s="1"/>
  <c r="E483" i="34" s="1"/>
  <c r="D484" i="34" a="1"/>
  <c r="D485" i="34" a="1"/>
  <c r="D486" i="34" a="1"/>
  <c r="D487" i="34" a="1"/>
  <c r="D488" i="34" a="1"/>
  <c r="D489" i="34" a="1"/>
  <c r="D490" i="34" a="1"/>
  <c r="D491" i="34" a="1"/>
  <c r="D492" i="34" a="1"/>
  <c r="D493" i="34" a="1"/>
  <c r="D494" i="34" a="1"/>
  <c r="D495" i="34" a="1"/>
  <c r="D496" i="34" a="1"/>
  <c r="D497" i="34" a="1"/>
  <c r="D498" i="34" a="1"/>
  <c r="D499" i="34" a="1"/>
  <c r="D499" i="34" s="1"/>
  <c r="E499" i="34" s="1"/>
  <c r="D500" i="34" a="1"/>
  <c r="D501" i="34" a="1"/>
  <c r="D502" i="34" a="1"/>
  <c r="D503" i="34" a="1"/>
  <c r="D504" i="34" a="1"/>
  <c r="D505" i="34" a="1"/>
  <c r="D506" i="34" a="1"/>
  <c r="D507" i="34" a="1"/>
  <c r="D507" i="34" s="1"/>
  <c r="E507" i="34" s="1"/>
  <c r="D508" i="34" a="1"/>
  <c r="D509" i="34" a="1"/>
  <c r="D510" i="34" a="1"/>
  <c r="D511" i="34" a="1"/>
  <c r="D512" i="34" a="1"/>
  <c r="D513" i="34" a="1"/>
  <c r="D514" i="34" a="1"/>
  <c r="D515" i="34" a="1"/>
  <c r="D516" i="34" a="1"/>
  <c r="D517" i="34" a="1"/>
  <c r="D518" i="34" a="1"/>
  <c r="D519" i="34" a="1"/>
  <c r="D520" i="34" a="1"/>
  <c r="D521" i="34" a="1"/>
  <c r="D522" i="34" a="1"/>
  <c r="D523" i="34" a="1"/>
  <c r="D523" i="34" s="1"/>
  <c r="E523" i="34" s="1"/>
  <c r="D524" i="34" a="1"/>
  <c r="D525" i="34" a="1"/>
  <c r="D526" i="34" a="1"/>
  <c r="D527" i="34" a="1"/>
  <c r="D528" i="34" a="1"/>
  <c r="D529" i="34" a="1"/>
  <c r="D530" i="34" a="1"/>
  <c r="D531" i="34" a="1"/>
  <c r="D531" i="34" s="1"/>
  <c r="E531" i="34" s="1"/>
  <c r="D532" i="34" a="1"/>
  <c r="D533" i="34" a="1"/>
  <c r="D534" i="34" a="1"/>
  <c r="D535" i="34" a="1"/>
  <c r="D536" i="34" a="1"/>
  <c r="D537" i="34" a="1"/>
  <c r="D538" i="34" a="1"/>
  <c r="D539" i="34" a="1"/>
  <c r="D539" i="34" s="1"/>
  <c r="E539" i="34" s="1"/>
  <c r="D540" i="34" a="1"/>
  <c r="D541" i="34" a="1"/>
  <c r="D542" i="34" a="1"/>
  <c r="D543" i="34" a="1"/>
  <c r="D544" i="34" a="1"/>
  <c r="D545" i="34" a="1"/>
  <c r="D546" i="34" a="1"/>
  <c r="D547" i="34" a="1"/>
  <c r="D547" i="34" s="1"/>
  <c r="E547" i="34" s="1"/>
  <c r="D548" i="34" a="1"/>
  <c r="D549" i="34" a="1"/>
  <c r="D550" i="34" a="1"/>
  <c r="D551" i="34" a="1"/>
  <c r="D552" i="34" a="1"/>
  <c r="D553" i="34" a="1"/>
  <c r="D554" i="34" a="1"/>
  <c r="D555" i="34" a="1"/>
  <c r="D556" i="34" a="1"/>
  <c r="D557" i="34" a="1"/>
  <c r="D558" i="34" a="1"/>
  <c r="D559" i="34" a="1"/>
  <c r="D560" i="34" a="1"/>
  <c r="D561" i="34" a="1"/>
  <c r="D562" i="34" a="1"/>
  <c r="D563" i="34" a="1"/>
  <c r="D563" i="34" s="1"/>
  <c r="E563" i="34" s="1"/>
  <c r="D564" i="34" a="1"/>
  <c r="D565" i="34" a="1"/>
  <c r="D566" i="34" a="1"/>
  <c r="D567" i="34" a="1"/>
  <c r="D568" i="34" a="1"/>
  <c r="D569" i="34" a="1"/>
  <c r="D570" i="34" a="1"/>
  <c r="D571" i="34" a="1"/>
  <c r="D571" i="34" s="1"/>
  <c r="E571" i="34" s="1"/>
  <c r="D572" i="34" a="1"/>
  <c r="D573" i="34" a="1"/>
  <c r="D574" i="34" a="1"/>
  <c r="D575" i="34" a="1"/>
  <c r="D576" i="34" a="1"/>
  <c r="D577" i="34" a="1"/>
  <c r="D578" i="34" a="1"/>
  <c r="D579" i="34" a="1"/>
  <c r="D579" i="34" s="1"/>
  <c r="E579" i="34" s="1"/>
  <c r="D580" i="34" a="1"/>
  <c r="D581" i="34" a="1"/>
  <c r="D582" i="34" a="1"/>
  <c r="D583" i="34" a="1"/>
  <c r="D584" i="34" a="1"/>
  <c r="D585" i="34" a="1"/>
  <c r="D586" i="34" a="1"/>
  <c r="D587" i="34" a="1"/>
  <c r="D587" i="34" s="1"/>
  <c r="E587" i="34" s="1"/>
  <c r="D588" i="34" a="1"/>
  <c r="D589" i="34" a="1"/>
  <c r="D590" i="34" a="1"/>
  <c r="D591" i="34" a="1"/>
  <c r="D592" i="34" a="1"/>
  <c r="D593" i="34" a="1"/>
  <c r="D594" i="34" a="1"/>
  <c r="D595" i="34" a="1"/>
  <c r="D595" i="34" s="1"/>
  <c r="E595" i="34" s="1"/>
  <c r="D596" i="34" a="1"/>
  <c r="D597" i="34" a="1"/>
  <c r="D598" i="34" a="1"/>
  <c r="D599" i="34" a="1"/>
  <c r="D600" i="34" a="1"/>
  <c r="D601" i="34" a="1"/>
  <c r="D602" i="34" a="1"/>
  <c r="D603" i="34" a="1"/>
  <c r="D603" i="34" s="1"/>
  <c r="E603" i="34" s="1"/>
  <c r="D604" i="34" a="1"/>
  <c r="D605" i="34" a="1"/>
  <c r="D606" i="34" a="1"/>
  <c r="D607" i="34" a="1"/>
  <c r="D608" i="34" a="1"/>
  <c r="D609" i="34" a="1"/>
  <c r="D610" i="34" a="1"/>
  <c r="D611" i="34" a="1"/>
  <c r="D611" i="34" s="1"/>
  <c r="E611" i="34" s="1"/>
  <c r="D612" i="34" a="1"/>
  <c r="D613" i="34" a="1"/>
  <c r="D614" i="34" a="1"/>
  <c r="D615" i="34" a="1"/>
  <c r="D616" i="34" a="1"/>
  <c r="D617" i="34" a="1"/>
  <c r="D618" i="34" a="1"/>
  <c r="D619" i="34" a="1"/>
  <c r="D620" i="34" a="1"/>
  <c r="D621" i="34" a="1"/>
  <c r="D622" i="34" a="1"/>
  <c r="D623" i="34" a="1"/>
  <c r="D624" i="34" a="1"/>
  <c r="D625" i="34" a="1"/>
  <c r="D626" i="34" a="1"/>
  <c r="D627" i="34" a="1"/>
  <c r="D628" i="34" a="1"/>
  <c r="D629" i="34" a="1"/>
  <c r="D630" i="34" a="1"/>
  <c r="D631" i="34" a="1"/>
  <c r="D632" i="34" a="1"/>
  <c r="D633" i="34" a="1"/>
  <c r="D634" i="34" a="1"/>
  <c r="D635" i="34" a="1"/>
  <c r="D635" i="34" s="1"/>
  <c r="E635" i="34" s="1"/>
  <c r="D636" i="34" a="1"/>
  <c r="D637" i="34" a="1"/>
  <c r="D638" i="34" a="1"/>
  <c r="D639" i="34" a="1"/>
  <c r="D640" i="34" a="1"/>
  <c r="D641" i="34" a="1"/>
  <c r="D642" i="34" a="1"/>
  <c r="D643" i="34" a="1"/>
  <c r="D643" i="34" s="1"/>
  <c r="E643" i="34" s="1"/>
  <c r="D644" i="34" a="1"/>
  <c r="D645" i="34" a="1"/>
  <c r="D646" i="34" a="1"/>
  <c r="D647" i="34" a="1"/>
  <c r="D648" i="34" a="1"/>
  <c r="D649" i="34" a="1"/>
  <c r="D650" i="34" a="1"/>
  <c r="D651" i="34" a="1"/>
  <c r="D651" i="34" s="1"/>
  <c r="E651" i="34" s="1"/>
  <c r="D652" i="34" a="1"/>
  <c r="D653" i="34" a="1"/>
  <c r="D654" i="34" a="1"/>
  <c r="D655" i="34" a="1"/>
  <c r="D656" i="34" a="1"/>
  <c r="D657" i="34" a="1"/>
  <c r="D658" i="34" a="1"/>
  <c r="D659" i="34" a="1"/>
  <c r="D659" i="34" s="1"/>
  <c r="E659" i="34" s="1"/>
  <c r="D660" i="34" a="1"/>
  <c r="D661" i="34" a="1"/>
  <c r="D662" i="34" a="1"/>
  <c r="D662" i="34" s="1"/>
  <c r="E662" i="34" s="1"/>
  <c r="D663" i="34" a="1"/>
  <c r="D664" i="34" a="1"/>
  <c r="D665" i="34" a="1"/>
  <c r="D666" i="34" a="1"/>
  <c r="D667" i="34" a="1"/>
  <c r="D667" i="34" s="1"/>
  <c r="E667" i="34" s="1"/>
  <c r="D668" i="34" a="1"/>
  <c r="D669" i="34" a="1"/>
  <c r="D670" i="34" a="1"/>
  <c r="D671" i="34" a="1"/>
  <c r="D672" i="34" a="1"/>
  <c r="D673" i="34" a="1"/>
  <c r="D674" i="34" a="1"/>
  <c r="D675" i="34" a="1"/>
  <c r="D675" i="34" s="1"/>
  <c r="E675" i="34" s="1"/>
  <c r="D676" i="34" a="1"/>
  <c r="D677" i="34" a="1"/>
  <c r="D678" i="34" a="1"/>
  <c r="D678" i="34" s="1"/>
  <c r="E678" i="34" s="1"/>
  <c r="D679" i="34" a="1"/>
  <c r="D680" i="34" a="1"/>
  <c r="D681" i="34" a="1"/>
  <c r="D682" i="34" a="1"/>
  <c r="D683" i="34" a="1"/>
  <c r="D683" i="34" s="1"/>
  <c r="E683" i="34" s="1"/>
  <c r="D684" i="34" a="1"/>
  <c r="D685" i="34" a="1"/>
  <c r="D686" i="34" a="1"/>
  <c r="D686" i="34" s="1"/>
  <c r="E686" i="34" s="1"/>
  <c r="D687" i="34" a="1"/>
  <c r="D688" i="34" a="1"/>
  <c r="D689" i="34" a="1"/>
  <c r="D690" i="34" a="1"/>
  <c r="D691" i="34" a="1"/>
  <c r="D691" i="34" s="1"/>
  <c r="E691" i="34" s="1"/>
  <c r="D692" i="34" a="1"/>
  <c r="D693" i="34" a="1"/>
  <c r="D694" i="34" a="1"/>
  <c r="D694" i="34" s="1"/>
  <c r="E694" i="34" s="1"/>
  <c r="D695" i="34" a="1"/>
  <c r="D696" i="34" a="1"/>
  <c r="D697" i="34" a="1"/>
  <c r="D698" i="34" a="1"/>
  <c r="D699" i="34" a="1"/>
  <c r="D700" i="34" a="1"/>
  <c r="D701" i="34" a="1"/>
  <c r="D702" i="34" a="1"/>
  <c r="D702" i="34" s="1"/>
  <c r="E702" i="34" s="1"/>
  <c r="D703" i="34" a="1"/>
  <c r="D704" i="34" a="1"/>
  <c r="D705" i="34" a="1"/>
  <c r="D706" i="34" a="1"/>
  <c r="D707" i="34" a="1"/>
  <c r="D707" i="34" s="1"/>
  <c r="E707" i="34" s="1"/>
  <c r="D708" i="34" a="1"/>
  <c r="D709" i="34" a="1"/>
  <c r="D710" i="34" a="1"/>
  <c r="D710" i="34" s="1"/>
  <c r="E710" i="34" s="1"/>
  <c r="D711" i="34" a="1"/>
  <c r="D712" i="34" a="1"/>
  <c r="D713" i="34" a="1"/>
  <c r="D714" i="34" a="1"/>
  <c r="D715" i="34" a="1"/>
  <c r="D715" i="34" s="1"/>
  <c r="E715" i="34" s="1"/>
  <c r="D716" i="34" a="1"/>
  <c r="D717" i="34" a="1"/>
  <c r="D718" i="34" a="1"/>
  <c r="D719" i="34" a="1"/>
  <c r="D720" i="34" a="1"/>
  <c r="D721" i="34" a="1"/>
  <c r="D722" i="34" a="1"/>
  <c r="D723" i="34" a="1"/>
  <c r="D723" i="34" s="1"/>
  <c r="E723" i="34" s="1"/>
  <c r="D724" i="34" a="1"/>
  <c r="D724" i="34" s="1"/>
  <c r="E724" i="34" s="1"/>
  <c r="D725" i="34" a="1"/>
  <c r="D726" i="34" a="1"/>
  <c r="D727" i="34" a="1"/>
  <c r="D728" i="34" a="1"/>
  <c r="D729" i="34" a="1"/>
  <c r="D730" i="34" a="1"/>
  <c r="D731" i="34" a="1"/>
  <c r="D731" i="34" s="1"/>
  <c r="E731" i="34" s="1"/>
  <c r="D732" i="34" a="1"/>
  <c r="D733" i="34" a="1"/>
  <c r="D734" i="34" a="1"/>
  <c r="D734" i="34" s="1"/>
  <c r="E734" i="34" s="1"/>
  <c r="D735" i="34" a="1"/>
  <c r="D736" i="34" a="1"/>
  <c r="D737" i="34" a="1"/>
  <c r="D738" i="34" a="1"/>
  <c r="D739" i="34" a="1"/>
  <c r="D739" i="34" s="1"/>
  <c r="E739" i="34" s="1"/>
  <c r="D740" i="34" a="1"/>
  <c r="D741" i="34" a="1"/>
  <c r="D742" i="34" a="1"/>
  <c r="D742" i="34" s="1"/>
  <c r="E742" i="34" s="1"/>
  <c r="D743" i="34" a="1"/>
  <c r="D744" i="34" a="1"/>
  <c r="D745" i="34" a="1"/>
  <c r="D746" i="34" a="1"/>
  <c r="D747" i="34" a="1"/>
  <c r="D747" i="34" s="1"/>
  <c r="E747" i="34" s="1"/>
  <c r="D748" i="34" a="1"/>
  <c r="D748" i="34" s="1"/>
  <c r="E748" i="34" s="1"/>
  <c r="D749" i="34" a="1"/>
  <c r="D750" i="34" a="1"/>
  <c r="D751" i="34" a="1"/>
  <c r="D752" i="34" a="1"/>
  <c r="D753" i="34" a="1"/>
  <c r="D754" i="34" a="1"/>
  <c r="D755" i="34" a="1"/>
  <c r="D755" i="34" s="1"/>
  <c r="E755" i="34" s="1"/>
  <c r="D756" i="34" a="1"/>
  <c r="D756" i="34" s="1"/>
  <c r="E756" i="34" s="1"/>
  <c r="D757" i="34" a="1"/>
  <c r="D758" i="34" a="1"/>
  <c r="D758" i="34" s="1"/>
  <c r="E758" i="34" s="1"/>
  <c r="D759" i="34" a="1"/>
  <c r="D760" i="34" a="1"/>
  <c r="D761" i="34" a="1"/>
  <c r="D762" i="34" a="1"/>
  <c r="D763" i="34" a="1"/>
  <c r="D763" i="34" s="1"/>
  <c r="E763" i="34" s="1"/>
  <c r="D764" i="34" a="1"/>
  <c r="D764" i="34" s="1"/>
  <c r="E764" i="34" s="1"/>
  <c r="D765" i="34" a="1"/>
  <c r="D766" i="34" a="1"/>
  <c r="D766" i="34" s="1"/>
  <c r="E766" i="34" s="1"/>
  <c r="D767" i="34" a="1"/>
  <c r="D768" i="34" a="1"/>
  <c r="D769" i="34" a="1"/>
  <c r="D770" i="34" a="1"/>
  <c r="D771" i="34" a="1"/>
  <c r="D771" i="34" s="1"/>
  <c r="E771" i="34" s="1"/>
  <c r="D772" i="34" a="1"/>
  <c r="D772" i="34" s="1"/>
  <c r="E772" i="34" s="1"/>
  <c r="D773" i="34" a="1"/>
  <c r="D774" i="34" a="1"/>
  <c r="D774" i="34" s="1"/>
  <c r="E774" i="34" s="1"/>
  <c r="D775" i="34" a="1"/>
  <c r="D776" i="34" a="1"/>
  <c r="D777" i="34" a="1"/>
  <c r="D778" i="34" a="1"/>
  <c r="D779" i="34" a="1"/>
  <c r="D779" i="34" s="1"/>
  <c r="E779" i="34" s="1"/>
  <c r="D780" i="34" a="1"/>
  <c r="D781" i="34" a="1"/>
  <c r="D782" i="34" a="1"/>
  <c r="D783" i="34" a="1"/>
  <c r="D784" i="34" a="1"/>
  <c r="D785" i="34" a="1"/>
  <c r="D786" i="34" a="1"/>
  <c r="D787" i="34" a="1"/>
  <c r="D787" i="34" s="1"/>
  <c r="E787" i="34" s="1"/>
  <c r="D788" i="34" a="1"/>
  <c r="D789" i="34" a="1"/>
  <c r="D790" i="34" a="1"/>
  <c r="D791" i="34" a="1"/>
  <c r="D792" i="34" a="1"/>
  <c r="D793" i="34" a="1"/>
  <c r="D794" i="34" a="1"/>
  <c r="D795" i="34" a="1"/>
  <c r="D795" i="34" s="1"/>
  <c r="E795" i="34" s="1"/>
  <c r="D796" i="34" a="1"/>
  <c r="D796" i="34" s="1"/>
  <c r="E796" i="34" s="1"/>
  <c r="D797" i="34" a="1"/>
  <c r="D798" i="34" a="1"/>
  <c r="D798" i="34" s="1"/>
  <c r="E798" i="34" s="1"/>
  <c r="D799" i="34" a="1"/>
  <c r="D800" i="34" a="1"/>
  <c r="D801" i="34" a="1"/>
  <c r="D802" i="34" a="1"/>
  <c r="D803" i="34" a="1"/>
  <c r="D803" i="34" s="1"/>
  <c r="E803" i="34" s="1"/>
  <c r="D804" i="34" a="1"/>
  <c r="D804" i="34" s="1"/>
  <c r="E804" i="34" s="1"/>
  <c r="D805" i="34" a="1"/>
  <c r="D806" i="34" a="1"/>
  <c r="D807" i="34" a="1"/>
  <c r="D808" i="34" a="1"/>
  <c r="D809" i="34" a="1"/>
  <c r="D810" i="34" a="1"/>
  <c r="D811" i="34" a="1"/>
  <c r="D811" i="34" s="1"/>
  <c r="E811" i="34" s="1"/>
  <c r="D812" i="34" a="1"/>
  <c r="D812" i="34" s="1"/>
  <c r="E812" i="34" s="1"/>
  <c r="D813" i="34" a="1"/>
  <c r="D814" i="34" a="1"/>
  <c r="D815" i="34" a="1"/>
  <c r="D816" i="34" a="1"/>
  <c r="D817" i="34" a="1"/>
  <c r="D818" i="34" a="1"/>
  <c r="D819" i="34" a="1"/>
  <c r="D819" i="34" s="1"/>
  <c r="E819" i="34" s="1"/>
  <c r="D820" i="34" a="1"/>
  <c r="D821" i="34" a="1"/>
  <c r="D822" i="34" a="1"/>
  <c r="D822" i="34" s="1"/>
  <c r="E822" i="34" s="1"/>
  <c r="D823" i="34" a="1"/>
  <c r="D824" i="34" a="1"/>
  <c r="D825" i="34" a="1"/>
  <c r="D826" i="34" a="1"/>
  <c r="D827" i="34" a="1"/>
  <c r="D827" i="34" s="1"/>
  <c r="E827" i="34" s="1"/>
  <c r="D828" i="34" a="1"/>
  <c r="D828" i="34" s="1"/>
  <c r="E828" i="34" s="1"/>
  <c r="D829" i="34" a="1"/>
  <c r="D830" i="34" a="1"/>
  <c r="D831" i="34" a="1"/>
  <c r="D832" i="34" a="1"/>
  <c r="D833" i="34" a="1"/>
  <c r="D834" i="34" a="1"/>
  <c r="D835" i="34" a="1"/>
  <c r="D835" i="34" s="1"/>
  <c r="E835" i="34" s="1"/>
  <c r="D836" i="34" a="1"/>
  <c r="D836" i="34" s="1"/>
  <c r="E836" i="34" s="1"/>
  <c r="D837" i="34" a="1"/>
  <c r="D838" i="34" a="1"/>
  <c r="D838" i="34" s="1"/>
  <c r="E838" i="34" s="1"/>
  <c r="D839" i="34" a="1"/>
  <c r="D840" i="34" a="1"/>
  <c r="D841" i="34" a="1"/>
  <c r="D842" i="34" a="1"/>
  <c r="D843" i="34" a="1"/>
  <c r="D843" i="34" s="1"/>
  <c r="E843" i="34" s="1"/>
  <c r="D844" i="34" a="1"/>
  <c r="D845" i="34" a="1"/>
  <c r="D846" i="34" a="1"/>
  <c r="D846" i="34" s="1"/>
  <c r="E846" i="34" s="1"/>
  <c r="D847" i="34" a="1"/>
  <c r="D848" i="34" a="1"/>
  <c r="D849" i="34" a="1"/>
  <c r="D850" i="34" a="1"/>
  <c r="D851" i="34" a="1"/>
  <c r="D851" i="34" s="1"/>
  <c r="E851" i="34" s="1"/>
  <c r="D852" i="34" a="1"/>
  <c r="D852" i="34" s="1"/>
  <c r="E852" i="34" s="1"/>
  <c r="D853" i="34" a="1"/>
  <c r="D854" i="34" a="1"/>
  <c r="D855" i="34" a="1"/>
  <c r="D856" i="34" a="1"/>
  <c r="D857" i="34" a="1"/>
  <c r="D858" i="34" a="1"/>
  <c r="D859" i="34" a="1"/>
  <c r="D859" i="34" s="1"/>
  <c r="E859" i="34" s="1"/>
  <c r="D860" i="34" a="1"/>
  <c r="D861" i="34" a="1"/>
  <c r="D862" i="34" a="1"/>
  <c r="D862" i="34" s="1"/>
  <c r="E862" i="34" s="1"/>
  <c r="D863" i="34" a="1"/>
  <c r="D864" i="34" a="1"/>
  <c r="D865" i="34" a="1"/>
  <c r="D866" i="34" a="1"/>
  <c r="D867" i="34" a="1"/>
  <c r="D867" i="34" s="1"/>
  <c r="E867" i="34" s="1"/>
  <c r="D868" i="34" a="1"/>
  <c r="D868" i="34" s="1"/>
  <c r="E868" i="34" s="1"/>
  <c r="D869" i="34" a="1"/>
  <c r="D870" i="34" a="1"/>
  <c r="D870" i="34" s="1"/>
  <c r="E870" i="34" s="1"/>
  <c r="D871" i="34" a="1"/>
  <c r="D872" i="34" a="1"/>
  <c r="D873" i="34" a="1"/>
  <c r="D874" i="34" a="1"/>
  <c r="D875" i="34" a="1"/>
  <c r="D875" i="34" s="1"/>
  <c r="E875" i="34" s="1"/>
  <c r="D876" i="34" a="1"/>
  <c r="D876" i="34" s="1"/>
  <c r="E876" i="34" s="1"/>
  <c r="D877" i="34" a="1"/>
  <c r="D878" i="34" a="1"/>
  <c r="D879" i="34" a="1"/>
  <c r="D880" i="34" a="1"/>
  <c r="D881" i="34" a="1"/>
  <c r="D882" i="34" a="1"/>
  <c r="D883" i="34" a="1"/>
  <c r="D883" i="34" s="1"/>
  <c r="E883" i="34" s="1"/>
  <c r="D884" i="34" a="1"/>
  <c r="D884" i="34" s="1"/>
  <c r="E884" i="34" s="1"/>
  <c r="D885" i="34" a="1"/>
  <c r="D886" i="34" a="1"/>
  <c r="D886" i="34" s="1"/>
  <c r="E886" i="34" s="1"/>
  <c r="D887" i="34" a="1"/>
  <c r="D888" i="34" a="1"/>
  <c r="D889" i="34" a="1"/>
  <c r="D890" i="34" a="1"/>
  <c r="D891" i="34" a="1"/>
  <c r="D892" i="34" a="1"/>
  <c r="D893" i="34" a="1"/>
  <c r="D894" i="34" a="1"/>
  <c r="D894" i="34" s="1"/>
  <c r="E894" i="34" s="1"/>
  <c r="D895" i="34" a="1"/>
  <c r="D896" i="34" a="1"/>
  <c r="D897" i="34" a="1"/>
  <c r="D898" i="34" a="1"/>
  <c r="D899" i="34" a="1"/>
  <c r="D899" i="34" s="1"/>
  <c r="E899" i="34" s="1"/>
  <c r="D900" i="34" a="1"/>
  <c r="D900" i="34" s="1"/>
  <c r="E900" i="34" s="1"/>
  <c r="D901" i="34" a="1"/>
  <c r="D902" i="34" a="1"/>
  <c r="D902" i="34" s="1"/>
  <c r="E902" i="34" s="1"/>
  <c r="D903" i="34" a="1"/>
  <c r="D904" i="34" a="1"/>
  <c r="D905" i="34" a="1"/>
  <c r="D906" i="34" a="1"/>
  <c r="D907" i="34" a="1"/>
  <c r="D907" i="34" s="1"/>
  <c r="E907" i="34" s="1"/>
  <c r="D908" i="34" a="1"/>
  <c r="D908" i="34" s="1"/>
  <c r="E908" i="34" s="1"/>
  <c r="D909" i="34" a="1"/>
  <c r="D910" i="34" a="1"/>
  <c r="D910" i="34" s="1"/>
  <c r="E910" i="34" s="1"/>
  <c r="D911" i="34" a="1"/>
  <c r="D912" i="34" a="1"/>
  <c r="D913" i="34" a="1"/>
  <c r="D914" i="34" a="1"/>
  <c r="D915" i="34" a="1"/>
  <c r="D915" i="34" s="1"/>
  <c r="E915" i="34" s="1"/>
  <c r="D916" i="34" a="1"/>
  <c r="D916" i="34" s="1"/>
  <c r="E916" i="34" s="1"/>
  <c r="D917" i="34" a="1"/>
  <c r="D918" i="34" a="1"/>
  <c r="D918" i="34" s="1"/>
  <c r="E918" i="34" s="1"/>
  <c r="D919" i="34" a="1"/>
  <c r="D920" i="34" a="1"/>
  <c r="D921" i="34" a="1"/>
  <c r="D922" i="34" a="1"/>
  <c r="D923" i="34" a="1"/>
  <c r="D923" i="34" s="1"/>
  <c r="E923" i="34" s="1"/>
  <c r="D924" i="34" a="1"/>
  <c r="D925" i="34" a="1"/>
  <c r="D926" i="34" a="1"/>
  <c r="D927" i="34" a="1"/>
  <c r="D928" i="34" a="1"/>
  <c r="D929" i="34" a="1"/>
  <c r="D930" i="34" a="1"/>
  <c r="D931" i="34" a="1"/>
  <c r="D931" i="34" s="1"/>
  <c r="E931" i="34" s="1"/>
  <c r="D932" i="34" a="1"/>
  <c r="D932" i="34" s="1"/>
  <c r="E932" i="34" s="1"/>
  <c r="D933" i="34" a="1"/>
  <c r="D934" i="34" a="1"/>
  <c r="D935" i="34" a="1"/>
  <c r="D936" i="34" a="1"/>
  <c r="D937" i="34" a="1"/>
  <c r="D938" i="34" a="1"/>
  <c r="D939" i="34" a="1"/>
  <c r="D939" i="34" s="1"/>
  <c r="E939" i="34" s="1"/>
  <c r="D940" i="34" a="1"/>
  <c r="D941" i="34" a="1"/>
  <c r="D942" i="34" a="1"/>
  <c r="D943" i="34" a="1"/>
  <c r="D944" i="34" a="1"/>
  <c r="D945" i="34" a="1"/>
  <c r="D946" i="34" a="1"/>
  <c r="D947" i="34" a="1"/>
  <c r="D947" i="34" s="1"/>
  <c r="E947" i="34" s="1"/>
  <c r="D948" i="34" a="1"/>
  <c r="D949" i="34" a="1"/>
  <c r="D950" i="34" a="1"/>
  <c r="D950" i="34" s="1"/>
  <c r="E950" i="34" s="1"/>
  <c r="D951" i="34" a="1"/>
  <c r="D952" i="34" a="1"/>
  <c r="D953" i="34" a="1"/>
  <c r="D954" i="34" a="1"/>
  <c r="D955" i="34" a="1"/>
  <c r="D955" i="34" s="1"/>
  <c r="E955" i="34" s="1"/>
  <c r="D956" i="34" a="1"/>
  <c r="D956" i="34" s="1"/>
  <c r="E956" i="34" s="1"/>
  <c r="D957" i="34" a="1"/>
  <c r="D958" i="34" a="1"/>
  <c r="D958" i="34" s="1"/>
  <c r="E958" i="34" s="1"/>
  <c r="D959" i="34" a="1"/>
  <c r="D960" i="34" a="1"/>
  <c r="D961" i="34" a="1"/>
  <c r="D962" i="34" a="1"/>
  <c r="D963" i="34" a="1"/>
  <c r="D963" i="34" s="1"/>
  <c r="E963" i="34" s="1"/>
  <c r="D964" i="34" a="1"/>
  <c r="D964" i="34" s="1"/>
  <c r="E964" i="34" s="1"/>
  <c r="D965" i="34" a="1"/>
  <c r="D966" i="34" a="1"/>
  <c r="D967" i="34" a="1"/>
  <c r="D968" i="34" a="1"/>
  <c r="D969" i="34" a="1"/>
  <c r="D970" i="34" a="1"/>
  <c r="D971" i="34" a="1"/>
  <c r="D971" i="34" s="1"/>
  <c r="E971" i="34" s="1"/>
  <c r="D972" i="34" a="1"/>
  <c r="D973" i="34" a="1"/>
  <c r="D974" i="34" a="1"/>
  <c r="D975" i="34" a="1"/>
  <c r="D976" i="34" a="1"/>
  <c r="D977" i="34" a="1"/>
  <c r="D978" i="34" a="1"/>
  <c r="D979" i="34" a="1"/>
  <c r="D979" i="34" s="1"/>
  <c r="E979" i="34" s="1"/>
  <c r="D980" i="34" a="1"/>
  <c r="D980" i="34" s="1"/>
  <c r="E980" i="34" s="1"/>
  <c r="D981" i="34" a="1"/>
  <c r="D982" i="34" a="1"/>
  <c r="D983" i="34" a="1"/>
  <c r="D984" i="34" a="1"/>
  <c r="D985" i="34" a="1"/>
  <c r="D986" i="34" a="1"/>
  <c r="D987" i="34" a="1"/>
  <c r="D987" i="34" s="1"/>
  <c r="E987" i="34" s="1"/>
  <c r="D988" i="34" a="1"/>
  <c r="D989" i="34" a="1"/>
  <c r="D990" i="34" a="1"/>
  <c r="D991" i="34" a="1"/>
  <c r="D992" i="34" a="1"/>
  <c r="D993" i="34" a="1"/>
  <c r="D994" i="34" a="1"/>
  <c r="D995" i="34" a="1"/>
  <c r="D995" i="34" s="1"/>
  <c r="E995" i="34" s="1"/>
  <c r="D996" i="34" a="1"/>
  <c r="D996" i="34" s="1"/>
  <c r="E996" i="34" s="1"/>
  <c r="D997" i="34" a="1"/>
  <c r="D998" i="34" a="1"/>
  <c r="D998" i="34" s="1"/>
  <c r="E998" i="34" s="1"/>
  <c r="D999" i="34" a="1"/>
  <c r="D1000" i="34" a="1"/>
  <c r="D1001" i="34" a="1"/>
  <c r="D1002" i="34" a="1"/>
  <c r="D1003" i="34" a="1"/>
  <c r="D1003" i="34" s="1"/>
  <c r="E1003" i="34" s="1"/>
  <c r="D1004" i="34" a="1"/>
  <c r="D1004" i="34" s="1"/>
  <c r="E1004" i="34" s="1"/>
  <c r="D1005" i="34" a="1"/>
  <c r="D1006" i="34" a="1"/>
  <c r="D1007" i="34" a="1"/>
  <c r="D1000" i="36" a="1"/>
  <c r="D992" i="36" a="1"/>
  <c r="D984" i="36" a="1"/>
  <c r="D976" i="36" a="1"/>
  <c r="D976" i="36" s="1"/>
  <c r="E976" i="36" s="1"/>
  <c r="D968" i="36" a="1"/>
  <c r="D968" i="36" s="1"/>
  <c r="E968" i="36" s="1"/>
  <c r="D960" i="36" a="1"/>
  <c r="D952" i="36" a="1"/>
  <c r="D952" i="36" s="1"/>
  <c r="E952" i="36" s="1"/>
  <c r="D944" i="36" a="1"/>
  <c r="D936" i="36" a="1"/>
  <c r="D928" i="36" a="1"/>
  <c r="D920" i="36" a="1"/>
  <c r="D912" i="36" a="1"/>
  <c r="D912" i="36" s="1"/>
  <c r="E912" i="36" s="1"/>
  <c r="D904" i="36" a="1"/>
  <c r="D896" i="36" a="1"/>
  <c r="D888" i="36" a="1"/>
  <c r="D888" i="36" s="1"/>
  <c r="E888" i="36" s="1"/>
  <c r="D880" i="36" a="1"/>
  <c r="D872" i="36" a="1"/>
  <c r="D864" i="36" a="1"/>
  <c r="D856" i="36" a="1"/>
  <c r="D848" i="36" a="1"/>
  <c r="D848" i="36" s="1"/>
  <c r="E848" i="36" s="1"/>
  <c r="D840" i="36" a="1"/>
  <c r="D840" i="36" s="1"/>
  <c r="E840" i="36" s="1"/>
  <c r="D832" i="36" a="1"/>
  <c r="D824" i="36" a="1"/>
  <c r="D824" i="36" s="1"/>
  <c r="E824" i="36" s="1"/>
  <c r="D816" i="36" a="1"/>
  <c r="D816" i="36" s="1"/>
  <c r="E816" i="36" s="1"/>
  <c r="D808" i="36" a="1"/>
  <c r="D800" i="36" a="1"/>
  <c r="D792" i="36" a="1"/>
  <c r="D784" i="36" a="1"/>
  <c r="D784" i="36" s="1"/>
  <c r="E784" i="36" s="1"/>
  <c r="D776" i="36" a="1"/>
  <c r="D776" i="36" s="1"/>
  <c r="E776" i="36" s="1"/>
  <c r="D768" i="36" a="1"/>
  <c r="D760" i="36" a="1"/>
  <c r="D760" i="36" s="1"/>
  <c r="E760" i="36" s="1"/>
  <c r="D752" i="36" a="1"/>
  <c r="D752" i="36" s="1"/>
  <c r="E752" i="36" s="1"/>
  <c r="D744" i="36" a="1"/>
  <c r="D736" i="36" a="1"/>
  <c r="D728" i="36" a="1"/>
  <c r="D720" i="36" a="1"/>
  <c r="D720" i="36" s="1"/>
  <c r="E720" i="36" s="1"/>
  <c r="D712" i="36" a="1"/>
  <c r="D704" i="36" a="1"/>
  <c r="D696" i="36" a="1"/>
  <c r="D696" i="36" s="1"/>
  <c r="E696" i="36" s="1"/>
  <c r="D683" i="36" a="1"/>
  <c r="D683" i="36" s="1"/>
  <c r="E683" i="36" s="1"/>
  <c r="D653" i="36" a="1"/>
  <c r="D653" i="36" s="1"/>
  <c r="E653" i="36" s="1"/>
  <c r="D589" i="36" a="1"/>
  <c r="D525" i="36" a="1"/>
  <c r="D1000" i="36"/>
  <c r="E1000" i="36" s="1"/>
  <c r="G1000" i="36" s="1"/>
  <c r="D18" i="36"/>
  <c r="E18" i="36" s="1"/>
  <c r="F18" i="36" s="1"/>
  <c r="D1002" i="36"/>
  <c r="E1002" i="36" s="1"/>
  <c r="D994" i="36"/>
  <c r="E994" i="36" s="1"/>
  <c r="D990" i="36"/>
  <c r="E990" i="36" s="1"/>
  <c r="D1006" i="36"/>
  <c r="E1006" i="36" s="1"/>
  <c r="D21" i="36"/>
  <c r="E21" i="36" s="1"/>
  <c r="D959" i="36"/>
  <c r="E959" i="36" s="1"/>
  <c r="D926" i="36"/>
  <c r="E926" i="36" s="1"/>
  <c r="D975" i="36"/>
  <c r="E975" i="36" s="1"/>
  <c r="D951" i="36"/>
  <c r="E951" i="36" s="1"/>
  <c r="D942" i="36"/>
  <c r="E942" i="36" s="1"/>
  <c r="D913" i="36"/>
  <c r="E913" i="36" s="1"/>
  <c r="D995" i="36"/>
  <c r="E995" i="36" s="1"/>
  <c r="D930" i="36"/>
  <c r="E930" i="36" s="1"/>
  <c r="D980" i="36"/>
  <c r="E980" i="36" s="1"/>
  <c r="D964" i="36"/>
  <c r="E964" i="36" s="1"/>
  <c r="D962" i="36"/>
  <c r="E962" i="36" s="1"/>
  <c r="D932" i="36"/>
  <c r="E932" i="36" s="1"/>
  <c r="D874" i="36"/>
  <c r="E874" i="36" s="1"/>
  <c r="D852" i="36"/>
  <c r="E852" i="36" s="1"/>
  <c r="D804" i="36"/>
  <c r="E804" i="36" s="1"/>
  <c r="D791" i="36"/>
  <c r="E791" i="36" s="1"/>
  <c r="D947" i="36"/>
  <c r="E947" i="36" s="1"/>
  <c r="D916" i="36"/>
  <c r="E916" i="36" s="1"/>
  <c r="D894" i="36"/>
  <c r="E894" i="36" s="1"/>
  <c r="D872" i="36"/>
  <c r="E872" i="36" s="1"/>
  <c r="D785" i="36"/>
  <c r="E785" i="36" s="1"/>
  <c r="D764" i="36"/>
  <c r="E764" i="36" s="1"/>
  <c r="D715" i="36"/>
  <c r="E715" i="36" s="1"/>
  <c r="D882" i="36"/>
  <c r="E882" i="36" s="1"/>
  <c r="D853" i="36"/>
  <c r="E853" i="36" s="1"/>
  <c r="D831" i="36"/>
  <c r="E831" i="36" s="1"/>
  <c r="D805" i="36"/>
  <c r="E805" i="36" s="1"/>
  <c r="D906" i="36"/>
  <c r="E906" i="36" s="1"/>
  <c r="D859" i="36"/>
  <c r="E859" i="36" s="1"/>
  <c r="D801" i="36"/>
  <c r="E801" i="36" s="1"/>
  <c r="D765" i="36"/>
  <c r="E765" i="36" s="1"/>
  <c r="D744" i="36"/>
  <c r="E744" i="36" s="1"/>
  <c r="D714" i="36"/>
  <c r="E714" i="36" s="1"/>
  <c r="D700" i="36"/>
  <c r="E700" i="36" s="1"/>
  <c r="D884" i="36"/>
  <c r="E884" i="36" s="1"/>
  <c r="D862" i="36"/>
  <c r="E862" i="36" s="1"/>
  <c r="D830" i="36"/>
  <c r="E830" i="36" s="1"/>
  <c r="D807" i="36"/>
  <c r="E807" i="36" s="1"/>
  <c r="D924" i="36"/>
  <c r="E924" i="36" s="1"/>
  <c r="D890" i="36"/>
  <c r="E890" i="36" s="1"/>
  <c r="D860" i="36"/>
  <c r="E860" i="36" s="1"/>
  <c r="D832" i="36"/>
  <c r="E832" i="36" s="1"/>
  <c r="D777" i="36"/>
  <c r="E777" i="36" s="1"/>
  <c r="D742" i="36"/>
  <c r="E742" i="36" s="1"/>
  <c r="D728" i="36"/>
  <c r="E728" i="36" s="1"/>
  <c r="D911" i="36"/>
  <c r="E911" i="36" s="1"/>
  <c r="D864" i="36"/>
  <c r="E864" i="36" s="1"/>
  <c r="D834" i="36"/>
  <c r="E834" i="36" s="1"/>
  <c r="D818" i="36"/>
  <c r="E818" i="36" s="1"/>
  <c r="D955" i="36"/>
  <c r="E955" i="36" s="1"/>
  <c r="D929" i="36"/>
  <c r="E929" i="36" s="1"/>
  <c r="D919" i="36"/>
  <c r="E919" i="36" s="1"/>
  <c r="D885" i="36"/>
  <c r="E885" i="36" s="1"/>
  <c r="D842" i="36"/>
  <c r="E842" i="36" s="1"/>
  <c r="D814" i="36"/>
  <c r="E814" i="36" s="1"/>
  <c r="D780" i="36"/>
  <c r="E780" i="36" s="1"/>
  <c r="D759" i="36"/>
  <c r="E759" i="36" s="1"/>
  <c r="D753" i="36"/>
  <c r="E753" i="36" s="1"/>
  <c r="D697" i="36"/>
  <c r="E697" i="36" s="1"/>
  <c r="D672" i="36"/>
  <c r="E672" i="36" s="1"/>
  <c r="D743" i="36"/>
  <c r="E743" i="36" s="1"/>
  <c r="D695" i="36"/>
  <c r="E695" i="36" s="1"/>
  <c r="D680" i="36"/>
  <c r="E680" i="36" s="1"/>
  <c r="D675" i="36"/>
  <c r="E675" i="36" s="1"/>
  <c r="D648" i="36"/>
  <c r="E648" i="36" s="1"/>
  <c r="D621" i="36"/>
  <c r="E621" i="36" s="1"/>
  <c r="D581" i="36"/>
  <c r="E581" i="36" s="1"/>
  <c r="D566" i="36"/>
  <c r="E566" i="36" s="1"/>
  <c r="D750" i="36"/>
  <c r="E750" i="36" s="1"/>
  <c r="D619" i="36"/>
  <c r="E619" i="36" s="1"/>
  <c r="D589" i="36"/>
  <c r="E589" i="36" s="1"/>
  <c r="D561" i="36"/>
  <c r="E561" i="36" s="1"/>
  <c r="D735" i="36"/>
  <c r="E735" i="36" s="1"/>
  <c r="D627" i="36"/>
  <c r="E627" i="36" s="1"/>
  <c r="D612" i="36"/>
  <c r="E612" i="36" s="1"/>
  <c r="D763" i="36"/>
  <c r="E763" i="36" s="1"/>
  <c r="D686" i="36"/>
  <c r="E686" i="36" s="1"/>
  <c r="D673" i="36"/>
  <c r="E673" i="36" s="1"/>
  <c r="D637" i="36"/>
  <c r="E637" i="36" s="1"/>
  <c r="D600" i="36"/>
  <c r="E600" i="36" s="1"/>
  <c r="D646" i="36"/>
  <c r="E646" i="36" s="1"/>
  <c r="D577" i="36"/>
  <c r="E577" i="36" s="1"/>
  <c r="D557" i="36"/>
  <c r="E557" i="36" s="1"/>
  <c r="D518" i="36"/>
  <c r="E518" i="36" s="1"/>
  <c r="D471" i="36"/>
  <c r="E471" i="36" s="1"/>
  <c r="D598" i="36"/>
  <c r="E598" i="36" s="1"/>
  <c r="D580" i="36"/>
  <c r="E580" i="36" s="1"/>
  <c r="D552" i="36"/>
  <c r="E552" i="36" s="1"/>
  <c r="D536" i="36"/>
  <c r="E536" i="36" s="1"/>
  <c r="D525" i="36"/>
  <c r="E525" i="36" s="1"/>
  <c r="D495" i="36"/>
  <c r="E495" i="36" s="1"/>
  <c r="D472" i="36"/>
  <c r="E472" i="36" s="1"/>
  <c r="D644" i="36"/>
  <c r="E644" i="36" s="1"/>
  <c r="D563" i="36"/>
  <c r="E563" i="36" s="1"/>
  <c r="D553" i="36"/>
  <c r="E553" i="36" s="1"/>
  <c r="D517" i="36"/>
  <c r="E517" i="36" s="1"/>
  <c r="D494" i="36"/>
  <c r="E494" i="36" s="1"/>
  <c r="D548" i="36"/>
  <c r="E548" i="36" s="1"/>
  <c r="D635" i="36"/>
  <c r="E635" i="36" s="1"/>
  <c r="D607" i="36"/>
  <c r="E607" i="36" s="1"/>
  <c r="D588" i="36"/>
  <c r="E588" i="36" s="1"/>
  <c r="D564" i="36"/>
  <c r="E564" i="36" s="1"/>
  <c r="D549" i="36"/>
  <c r="E549" i="36" s="1"/>
  <c r="D522" i="36"/>
  <c r="E522" i="36" s="1"/>
  <c r="D457" i="36"/>
  <c r="E457" i="36" s="1"/>
  <c r="D523" i="36"/>
  <c r="E523" i="36" s="1"/>
  <c r="D483" i="36"/>
  <c r="E483" i="36" s="1"/>
  <c r="D450" i="36"/>
  <c r="E450" i="36" s="1"/>
  <c r="D442" i="36"/>
  <c r="E442" i="36" s="1"/>
  <c r="D415" i="36"/>
  <c r="E415" i="36" s="1"/>
  <c r="D404" i="36"/>
  <c r="E404" i="36" s="1"/>
  <c r="D543" i="36"/>
  <c r="E543" i="36" s="1"/>
  <c r="D500" i="36"/>
  <c r="E500" i="36" s="1"/>
  <c r="D475" i="36"/>
  <c r="E475" i="36" s="1"/>
  <c r="D439" i="36"/>
  <c r="E439" i="36" s="1"/>
  <c r="D417" i="36"/>
  <c r="E417" i="36" s="1"/>
  <c r="D394" i="36"/>
  <c r="E394" i="36" s="1"/>
  <c r="D378" i="36"/>
  <c r="E378" i="36" s="1"/>
  <c r="D515" i="36"/>
  <c r="E515" i="36" s="1"/>
  <c r="D488" i="36"/>
  <c r="E488" i="36" s="1"/>
  <c r="D460" i="36"/>
  <c r="E460" i="36" s="1"/>
  <c r="D443" i="36"/>
  <c r="E443" i="36" s="1"/>
  <c r="D429" i="36"/>
  <c r="E429" i="36" s="1"/>
  <c r="D372" i="36"/>
  <c r="E372" i="36" s="1"/>
  <c r="D467" i="36"/>
  <c r="E467" i="36" s="1"/>
  <c r="D534" i="36"/>
  <c r="E534" i="36" s="1"/>
  <c r="D489" i="36"/>
  <c r="E489" i="36" s="1"/>
  <c r="D459" i="36"/>
  <c r="E459" i="36" s="1"/>
  <c r="D425" i="36"/>
  <c r="E425" i="36" s="1"/>
  <c r="D409" i="36"/>
  <c r="E409" i="36" s="1"/>
  <c r="D388" i="36"/>
  <c r="E388" i="36" s="1"/>
  <c r="D452" i="36"/>
  <c r="E452" i="36" s="1"/>
  <c r="D353" i="36"/>
  <c r="E353" i="36" s="1"/>
  <c r="D323" i="36"/>
  <c r="E323" i="36" s="1"/>
  <c r="D340" i="36"/>
  <c r="E340" i="36" s="1"/>
  <c r="D299" i="36"/>
  <c r="E299" i="36" s="1"/>
  <c r="D421" i="36"/>
  <c r="E421" i="36" s="1"/>
  <c r="D374" i="36"/>
  <c r="E374" i="36" s="1"/>
  <c r="D338" i="36"/>
  <c r="E338" i="36" s="1"/>
  <c r="D360" i="36"/>
  <c r="E360" i="36" s="1"/>
  <c r="D309" i="36"/>
  <c r="E309" i="36" s="1"/>
  <c r="D413" i="36"/>
  <c r="E413" i="36" s="1"/>
  <c r="D373" i="36"/>
  <c r="E373" i="36" s="1"/>
  <c r="D330" i="36"/>
  <c r="E330" i="36" s="1"/>
  <c r="D305" i="36"/>
  <c r="E305" i="36" s="1"/>
  <c r="D346" i="36"/>
  <c r="E346" i="36" s="1"/>
  <c r="D307" i="36"/>
  <c r="E307" i="36" s="1"/>
  <c r="D363" i="36"/>
  <c r="E363" i="36" s="1"/>
  <c r="D328" i="36"/>
  <c r="E328" i="36" s="1"/>
  <c r="D319" i="36"/>
  <c r="E319" i="36" s="1"/>
  <c r="D286" i="36"/>
  <c r="E286" i="36" s="1"/>
  <c r="D275" i="36"/>
  <c r="E275" i="36" s="1"/>
  <c r="D298" i="36"/>
  <c r="E298" i="36" s="1"/>
  <c r="D266" i="36"/>
  <c r="E266" i="36" s="1"/>
  <c r="D294" i="36"/>
  <c r="E294" i="36" s="1"/>
  <c r="D277" i="36"/>
  <c r="E277" i="36" s="1"/>
  <c r="D284" i="36"/>
  <c r="E284" i="36" s="1"/>
  <c r="D269" i="36"/>
  <c r="E269" i="36" s="1"/>
  <c r="D315" i="36"/>
  <c r="E315" i="36" s="1"/>
  <c r="D274" i="36"/>
  <c r="E274" i="36" s="1"/>
  <c r="D268" i="36"/>
  <c r="E268" i="36" s="1"/>
  <c r="D324" i="36"/>
  <c r="E324" i="36" s="1"/>
  <c r="D297" i="36"/>
  <c r="E297" i="36" s="1"/>
  <c r="D263" i="36"/>
  <c r="E263" i="36" s="1"/>
  <c r="D242" i="36"/>
  <c r="E242" i="36" s="1"/>
  <c r="D240" i="36"/>
  <c r="E240" i="36" s="1"/>
  <c r="D225" i="36"/>
  <c r="E225" i="36" s="1"/>
  <c r="D210" i="36"/>
  <c r="E210" i="36" s="1"/>
  <c r="D204" i="36"/>
  <c r="E204" i="36" s="1"/>
  <c r="D217" i="36"/>
  <c r="E217" i="36" s="1"/>
  <c r="D208" i="36"/>
  <c r="E208" i="36" s="1"/>
  <c r="D228" i="36"/>
  <c r="E228" i="36" s="1"/>
  <c r="D224" i="36"/>
  <c r="E224" i="36" s="1"/>
  <c r="D255" i="36"/>
  <c r="E255" i="36" s="1"/>
  <c r="D244" i="36"/>
  <c r="E244" i="36" s="1"/>
  <c r="D211" i="36"/>
  <c r="E211" i="36" s="1"/>
  <c r="D191" i="36"/>
  <c r="E191" i="36" s="1"/>
  <c r="D175" i="36"/>
  <c r="E175" i="36" s="1"/>
  <c r="D193" i="36"/>
  <c r="E193" i="36" s="1"/>
  <c r="D200" i="36"/>
  <c r="E200" i="36" s="1"/>
  <c r="D183" i="36"/>
  <c r="E183" i="36" s="1"/>
  <c r="D197" i="36"/>
  <c r="E197" i="36" s="1"/>
  <c r="D196" i="36"/>
  <c r="E196" i="36" s="1"/>
  <c r="D170" i="36"/>
  <c r="E170" i="36" s="1"/>
  <c r="D182" i="36"/>
  <c r="E182" i="36" s="1"/>
  <c r="D189" i="36"/>
  <c r="E189" i="36" s="1"/>
  <c r="D158" i="36"/>
  <c r="E158" i="36" s="1"/>
  <c r="D131" i="36"/>
  <c r="E131" i="36" s="1"/>
  <c r="D147" i="36"/>
  <c r="E147" i="36" s="1"/>
  <c r="D121" i="36"/>
  <c r="E121" i="36" s="1"/>
  <c r="D155" i="36"/>
  <c r="E155" i="36" s="1"/>
  <c r="D143" i="36"/>
  <c r="E143" i="36" s="1"/>
  <c r="D123" i="36"/>
  <c r="E123" i="36" s="1"/>
  <c r="D105" i="36"/>
  <c r="E105" i="36" s="1"/>
  <c r="D110" i="36"/>
  <c r="E110" i="36" s="1"/>
  <c r="D97" i="36"/>
  <c r="E97" i="36" s="1"/>
  <c r="D109" i="36"/>
  <c r="E109" i="36" s="1"/>
  <c r="D103" i="36"/>
  <c r="E103" i="36" s="1"/>
  <c r="D99" i="36"/>
  <c r="E99" i="36" s="1"/>
  <c r="D82" i="36"/>
  <c r="E82" i="36" s="1"/>
  <c r="D88" i="36"/>
  <c r="E88" i="36" s="1"/>
  <c r="D91" i="36"/>
  <c r="E91" i="36" s="1"/>
  <c r="D84" i="36"/>
  <c r="E84" i="36" s="1"/>
  <c r="D67" i="36"/>
  <c r="E67" i="36" s="1"/>
  <c r="D54" i="36"/>
  <c r="E54" i="36" s="1"/>
  <c r="D94" i="36"/>
  <c r="E94" i="36" s="1"/>
  <c r="D76" i="36"/>
  <c r="E76" i="36" s="1"/>
  <c r="D31" i="36"/>
  <c r="E31" i="36" s="1"/>
  <c r="D41" i="36"/>
  <c r="E41" i="36" s="1"/>
  <c r="D47" i="36"/>
  <c r="E47" i="36" s="1"/>
  <c r="D53" i="36"/>
  <c r="E53" i="36" s="1"/>
  <c r="D52" i="36"/>
  <c r="E52" i="36" s="1"/>
  <c r="D45" i="36"/>
  <c r="E45" i="36" s="1"/>
  <c r="D28" i="36"/>
  <c r="E28" i="36" s="1"/>
  <c r="D30" i="36"/>
  <c r="E30" i="36" s="1"/>
  <c r="D16" i="36"/>
  <c r="E16" i="36" s="1"/>
  <c r="F12" i="36"/>
  <c r="G12" i="36"/>
  <c r="D25" i="36"/>
  <c r="E25" i="36" s="1"/>
  <c r="D1005" i="36"/>
  <c r="E1005" i="36" s="1"/>
  <c r="D12" i="34"/>
  <c r="E12" i="34" s="1"/>
  <c r="D13" i="34"/>
  <c r="E13" i="34" s="1"/>
  <c r="D14" i="34"/>
  <c r="E14" i="34" s="1"/>
  <c r="D21" i="34"/>
  <c r="E21" i="34" s="1"/>
  <c r="D19" i="34"/>
  <c r="E19" i="34" s="1"/>
  <c r="D17" i="34"/>
  <c r="E17" i="34" s="1"/>
  <c r="D20" i="34"/>
  <c r="E20" i="34" s="1"/>
  <c r="D24" i="34"/>
  <c r="E24" i="34" s="1"/>
  <c r="D16" i="34"/>
  <c r="E16" i="34" s="1"/>
  <c r="D18" i="34"/>
  <c r="E18" i="34" s="1"/>
  <c r="D15" i="34"/>
  <c r="E15" i="34" s="1"/>
  <c r="D22" i="34"/>
  <c r="E22" i="34" s="1"/>
  <c r="D25" i="34"/>
  <c r="E25" i="34" s="1"/>
  <c r="D32" i="34"/>
  <c r="E32" i="34" s="1"/>
  <c r="D37" i="34"/>
  <c r="E37" i="34" s="1"/>
  <c r="D26" i="34"/>
  <c r="E26" i="34" s="1"/>
  <c r="D29" i="34"/>
  <c r="E29" i="34" s="1"/>
  <c r="D23" i="34"/>
  <c r="E23" i="34" s="1"/>
  <c r="D31" i="34"/>
  <c r="E31" i="34" s="1"/>
  <c r="D36" i="34"/>
  <c r="E36" i="34" s="1"/>
  <c r="D28" i="34"/>
  <c r="E28" i="34" s="1"/>
  <c r="D30" i="34"/>
  <c r="E30" i="34" s="1"/>
  <c r="D33" i="34"/>
  <c r="E33" i="34" s="1"/>
  <c r="D34" i="34"/>
  <c r="E34" i="34" s="1"/>
  <c r="D49" i="34"/>
  <c r="E49" i="34" s="1"/>
  <c r="D38" i="34"/>
  <c r="E38" i="34" s="1"/>
  <c r="D40" i="34"/>
  <c r="E40" i="34" s="1"/>
  <c r="D46" i="34"/>
  <c r="E46" i="34" s="1"/>
  <c r="D39" i="34"/>
  <c r="E39" i="34" s="1"/>
  <c r="D45" i="34"/>
  <c r="E45" i="34" s="1"/>
  <c r="D48" i="34"/>
  <c r="E48" i="34" s="1"/>
  <c r="D52" i="34"/>
  <c r="E52" i="34" s="1"/>
  <c r="D60" i="34"/>
  <c r="E60" i="34" s="1"/>
  <c r="D62" i="34"/>
  <c r="E62" i="34" s="1"/>
  <c r="D42" i="34"/>
  <c r="E42" i="34" s="1"/>
  <c r="D53" i="34"/>
  <c r="E53" i="34" s="1"/>
  <c r="D55" i="34"/>
  <c r="E55" i="34" s="1"/>
  <c r="D41" i="34"/>
  <c r="E41" i="34" s="1"/>
  <c r="D44" i="34"/>
  <c r="E44" i="34" s="1"/>
  <c r="D47" i="34"/>
  <c r="E47" i="34" s="1"/>
  <c r="D50" i="34"/>
  <c r="E50" i="34" s="1"/>
  <c r="D54" i="34"/>
  <c r="E54" i="34" s="1"/>
  <c r="D71" i="34"/>
  <c r="E71" i="34" s="1"/>
  <c r="D56" i="34"/>
  <c r="E56" i="34" s="1"/>
  <c r="D57" i="34"/>
  <c r="E57" i="34" s="1"/>
  <c r="D61" i="34"/>
  <c r="E61" i="34" s="1"/>
  <c r="D63" i="34"/>
  <c r="E63" i="34" s="1"/>
  <c r="D70" i="34"/>
  <c r="E70" i="34" s="1"/>
  <c r="D68" i="34"/>
  <c r="E68" i="34" s="1"/>
  <c r="D72" i="34"/>
  <c r="E72" i="34" s="1"/>
  <c r="D78" i="34"/>
  <c r="E78" i="34" s="1"/>
  <c r="D66" i="34"/>
  <c r="E66" i="34" s="1"/>
  <c r="D69" i="34"/>
  <c r="E69" i="34" s="1"/>
  <c r="D58" i="34"/>
  <c r="E58" i="34" s="1"/>
  <c r="D65" i="34"/>
  <c r="E65" i="34" s="1"/>
  <c r="D77" i="34"/>
  <c r="E77" i="34" s="1"/>
  <c r="D76" i="34"/>
  <c r="E76" i="34" s="1"/>
  <c r="D64" i="34"/>
  <c r="E64" i="34" s="1"/>
  <c r="D74" i="34"/>
  <c r="E74" i="34" s="1"/>
  <c r="D93" i="34"/>
  <c r="E93" i="34" s="1"/>
  <c r="D80" i="34"/>
  <c r="E80" i="34" s="1"/>
  <c r="D82" i="34"/>
  <c r="E82" i="34" s="1"/>
  <c r="D89" i="34"/>
  <c r="E89" i="34" s="1"/>
  <c r="D81" i="34"/>
  <c r="E81" i="34" s="1"/>
  <c r="D73" i="34"/>
  <c r="E73" i="34" s="1"/>
  <c r="D88" i="34"/>
  <c r="E88" i="34" s="1"/>
  <c r="D90" i="34"/>
  <c r="E90" i="34" s="1"/>
  <c r="D86" i="34"/>
  <c r="E86" i="34" s="1"/>
  <c r="D79" i="34"/>
  <c r="E79" i="34" s="1"/>
  <c r="D84" i="34"/>
  <c r="E84" i="34" s="1"/>
  <c r="D87" i="34"/>
  <c r="E87" i="34" s="1"/>
  <c r="D94" i="34"/>
  <c r="E94" i="34" s="1"/>
  <c r="D85" i="34"/>
  <c r="E85" i="34" s="1"/>
  <c r="D92" i="34"/>
  <c r="E92" i="34" s="1"/>
  <c r="D96" i="34"/>
  <c r="E96" i="34" s="1"/>
  <c r="D100" i="34"/>
  <c r="E100" i="34" s="1"/>
  <c r="D97" i="34"/>
  <c r="E97" i="34" s="1"/>
  <c r="D101" i="34"/>
  <c r="E101" i="34" s="1"/>
  <c r="D102" i="34"/>
  <c r="E102" i="34" s="1"/>
  <c r="D109" i="34"/>
  <c r="E109" i="34" s="1"/>
  <c r="D119" i="34"/>
  <c r="E119" i="34" s="1"/>
  <c r="D95" i="34"/>
  <c r="E95" i="34" s="1"/>
  <c r="D112" i="34"/>
  <c r="E112" i="34" s="1"/>
  <c r="D113" i="34"/>
  <c r="E113" i="34" s="1"/>
  <c r="D114" i="34"/>
  <c r="E114" i="34" s="1"/>
  <c r="D98" i="34"/>
  <c r="E98" i="34" s="1"/>
  <c r="D103" i="34"/>
  <c r="E103" i="34" s="1"/>
  <c r="D104" i="34"/>
  <c r="E104" i="34" s="1"/>
  <c r="D116" i="34"/>
  <c r="E116" i="34" s="1"/>
  <c r="D118" i="34"/>
  <c r="E118" i="34" s="1"/>
  <c r="D99" i="34"/>
  <c r="E99" i="34" s="1"/>
  <c r="D106" i="34"/>
  <c r="E106" i="34" s="1"/>
  <c r="D111" i="34"/>
  <c r="E111" i="34" s="1"/>
  <c r="D105" i="34"/>
  <c r="E105" i="34" s="1"/>
  <c r="D108" i="34"/>
  <c r="E108" i="34" s="1"/>
  <c r="D110" i="34"/>
  <c r="E110" i="34" s="1"/>
  <c r="D117" i="34"/>
  <c r="E117" i="34" s="1"/>
  <c r="D123" i="34"/>
  <c r="E123" i="34" s="1"/>
  <c r="D144" i="34"/>
  <c r="E144" i="34" s="1"/>
  <c r="D125" i="34"/>
  <c r="E125" i="34" s="1"/>
  <c r="D135" i="34"/>
  <c r="E135" i="34" s="1"/>
  <c r="D122" i="34"/>
  <c r="E122" i="34" s="1"/>
  <c r="D133" i="34"/>
  <c r="E133" i="34" s="1"/>
  <c r="D136" i="34"/>
  <c r="E136" i="34" s="1"/>
  <c r="D140" i="34"/>
  <c r="E140" i="34" s="1"/>
  <c r="D142" i="34"/>
  <c r="E142" i="34" s="1"/>
  <c r="D143" i="34"/>
  <c r="E143" i="34" s="1"/>
  <c r="D120" i="34"/>
  <c r="E120" i="34" s="1"/>
  <c r="D126" i="34"/>
  <c r="E126" i="34" s="1"/>
  <c r="D127" i="34"/>
  <c r="E127" i="34" s="1"/>
  <c r="D128" i="34"/>
  <c r="E128" i="34" s="1"/>
  <c r="D130" i="34"/>
  <c r="E130" i="34" s="1"/>
  <c r="D145" i="34"/>
  <c r="E145" i="34" s="1"/>
  <c r="D146" i="34"/>
  <c r="E146" i="34" s="1"/>
  <c r="D134" i="34"/>
  <c r="E134" i="34" s="1"/>
  <c r="D138" i="34"/>
  <c r="E138" i="34" s="1"/>
  <c r="D141" i="34"/>
  <c r="E141" i="34" s="1"/>
  <c r="D124" i="34"/>
  <c r="E124" i="34" s="1"/>
  <c r="D132" i="34"/>
  <c r="E132" i="34" s="1"/>
  <c r="D137" i="34"/>
  <c r="E137" i="34" s="1"/>
  <c r="D121" i="34"/>
  <c r="E121" i="34" s="1"/>
  <c r="D129" i="34"/>
  <c r="E129" i="34" s="1"/>
  <c r="D181" i="34"/>
  <c r="E181" i="34" s="1"/>
  <c r="D149" i="34"/>
  <c r="E149" i="34" s="1"/>
  <c r="D162" i="34"/>
  <c r="E162" i="34" s="1"/>
  <c r="D166" i="34"/>
  <c r="E166" i="34" s="1"/>
  <c r="D176" i="34"/>
  <c r="E176" i="34" s="1"/>
  <c r="D188" i="34"/>
  <c r="E188" i="34" s="1"/>
  <c r="D189" i="34"/>
  <c r="E189" i="34" s="1"/>
  <c r="D159" i="34"/>
  <c r="E159" i="34" s="1"/>
  <c r="D164" i="34"/>
  <c r="E164" i="34" s="1"/>
  <c r="D185" i="34"/>
  <c r="E185" i="34" s="1"/>
  <c r="D196" i="34"/>
  <c r="E196" i="34" s="1"/>
  <c r="D148" i="34"/>
  <c r="E148" i="34" s="1"/>
  <c r="D169" i="34"/>
  <c r="E169" i="34" s="1"/>
  <c r="D170" i="34"/>
  <c r="E170" i="34" s="1"/>
  <c r="D172" i="34"/>
  <c r="E172" i="34" s="1"/>
  <c r="D175" i="34"/>
  <c r="E175" i="34" s="1"/>
  <c r="D182" i="34"/>
  <c r="E182" i="34" s="1"/>
  <c r="D153" i="34"/>
  <c r="E153" i="34" s="1"/>
  <c r="D157" i="34"/>
  <c r="E157" i="34" s="1"/>
  <c r="D158" i="34"/>
  <c r="E158" i="34" s="1"/>
  <c r="D165" i="34"/>
  <c r="E165" i="34" s="1"/>
  <c r="D184" i="34"/>
  <c r="E184" i="34" s="1"/>
  <c r="D197" i="34"/>
  <c r="E197" i="34" s="1"/>
  <c r="D161" i="34"/>
  <c r="E161" i="34" s="1"/>
  <c r="D174" i="34"/>
  <c r="E174" i="34" s="1"/>
  <c r="D154" i="34"/>
  <c r="E154" i="34" s="1"/>
  <c r="D173" i="34"/>
  <c r="E173" i="34" s="1"/>
  <c r="D178" i="34"/>
  <c r="E178" i="34" s="1"/>
  <c r="D180" i="34"/>
  <c r="E180" i="34" s="1"/>
  <c r="D192" i="34"/>
  <c r="E192" i="34" s="1"/>
  <c r="D193" i="34"/>
  <c r="E193" i="34" s="1"/>
  <c r="D200" i="34"/>
  <c r="E200" i="34" s="1"/>
  <c r="D201" i="34"/>
  <c r="E201" i="34" s="1"/>
  <c r="D150" i="34"/>
  <c r="E150" i="34" s="1"/>
  <c r="D155" i="34"/>
  <c r="E155" i="34" s="1"/>
  <c r="D156" i="34"/>
  <c r="E156" i="34" s="1"/>
  <c r="D160" i="34"/>
  <c r="E160" i="34" s="1"/>
  <c r="D167" i="34"/>
  <c r="E167" i="34" s="1"/>
  <c r="D186" i="34"/>
  <c r="E186" i="34" s="1"/>
  <c r="D151" i="34"/>
  <c r="E151" i="34" s="1"/>
  <c r="D152" i="34"/>
  <c r="E152" i="34" s="1"/>
  <c r="D163" i="34"/>
  <c r="E163" i="34" s="1"/>
  <c r="D168" i="34"/>
  <c r="E168" i="34" s="1"/>
  <c r="D177" i="34"/>
  <c r="E177" i="34" s="1"/>
  <c r="D183" i="34"/>
  <c r="E183" i="34" s="1"/>
  <c r="D190" i="34"/>
  <c r="E190" i="34" s="1"/>
  <c r="D191" i="34"/>
  <c r="E191" i="34" s="1"/>
  <c r="D194" i="34"/>
  <c r="E194" i="34" s="1"/>
  <c r="D198" i="34"/>
  <c r="E198" i="34" s="1"/>
  <c r="D209" i="34"/>
  <c r="E209" i="34" s="1"/>
  <c r="D217" i="34"/>
  <c r="E217" i="34" s="1"/>
  <c r="D207" i="34"/>
  <c r="E207" i="34" s="1"/>
  <c r="D231" i="34"/>
  <c r="E231" i="34" s="1"/>
  <c r="D236" i="34"/>
  <c r="E236" i="34" s="1"/>
  <c r="D237" i="34"/>
  <c r="E237" i="34" s="1"/>
  <c r="D245" i="34"/>
  <c r="E245" i="34" s="1"/>
  <c r="D246" i="34"/>
  <c r="E246" i="34" s="1"/>
  <c r="D242" i="34"/>
  <c r="E242" i="34" s="1"/>
  <c r="D216" i="34"/>
  <c r="E216" i="34" s="1"/>
  <c r="D220" i="34"/>
  <c r="E220" i="34" s="1"/>
  <c r="D206" i="34"/>
  <c r="E206" i="34" s="1"/>
  <c r="D212" i="34"/>
  <c r="E212" i="34" s="1"/>
  <c r="D222" i="34"/>
  <c r="E222" i="34" s="1"/>
  <c r="D225" i="34"/>
  <c r="E225" i="34" s="1"/>
  <c r="D229" i="34"/>
  <c r="E229" i="34" s="1"/>
  <c r="D233" i="34"/>
  <c r="E233" i="34" s="1"/>
  <c r="D244" i="34"/>
  <c r="E244" i="34" s="1"/>
  <c r="D202" i="34"/>
  <c r="E202" i="34" s="1"/>
  <c r="D205" i="34"/>
  <c r="E205" i="34" s="1"/>
  <c r="D223" i="34"/>
  <c r="E223" i="34" s="1"/>
  <c r="D230" i="34"/>
  <c r="E230" i="34" s="1"/>
  <c r="D232" i="34"/>
  <c r="E232" i="34" s="1"/>
  <c r="D204" i="34"/>
  <c r="E204" i="34" s="1"/>
  <c r="D210" i="34"/>
  <c r="E210" i="34" s="1"/>
  <c r="D213" i="34"/>
  <c r="E213" i="34" s="1"/>
  <c r="D218" i="34"/>
  <c r="E218" i="34" s="1"/>
  <c r="D221" i="34"/>
  <c r="E221" i="34" s="1"/>
  <c r="D234" i="34"/>
  <c r="E234" i="34" s="1"/>
  <c r="D238" i="34"/>
  <c r="E238" i="34" s="1"/>
  <c r="D250" i="34"/>
  <c r="E250" i="34" s="1"/>
  <c r="D199" i="34"/>
  <c r="E199" i="34" s="1"/>
  <c r="D208" i="34"/>
  <c r="E208" i="34" s="1"/>
  <c r="D226" i="34"/>
  <c r="E226" i="34" s="1"/>
  <c r="D228" i="34"/>
  <c r="E228" i="34" s="1"/>
  <c r="D211" i="34"/>
  <c r="E211" i="34" s="1"/>
  <c r="D214" i="34"/>
  <c r="E214" i="34" s="1"/>
  <c r="D215" i="34"/>
  <c r="E215" i="34" s="1"/>
  <c r="D224" i="34"/>
  <c r="E224" i="34" s="1"/>
  <c r="D239" i="34"/>
  <c r="E239" i="34" s="1"/>
  <c r="D249" i="34"/>
  <c r="E249" i="34" s="1"/>
  <c r="D272" i="34"/>
  <c r="E272" i="34" s="1"/>
  <c r="D279" i="34"/>
  <c r="E279" i="34" s="1"/>
  <c r="D293" i="34"/>
  <c r="E293" i="34" s="1"/>
  <c r="D241" i="34"/>
  <c r="E241" i="34" s="1"/>
  <c r="D269" i="34"/>
  <c r="E269" i="34" s="1"/>
  <c r="D271" i="34"/>
  <c r="E271" i="34" s="1"/>
  <c r="D282" i="34"/>
  <c r="E282" i="34" s="1"/>
  <c r="D288" i="34"/>
  <c r="E288" i="34" s="1"/>
  <c r="D291" i="34"/>
  <c r="E291" i="34" s="1"/>
  <c r="D294" i="34"/>
  <c r="E294" i="34" s="1"/>
  <c r="D300" i="34"/>
  <c r="E300" i="34" s="1"/>
  <c r="D303" i="34"/>
  <c r="E303" i="34" s="1"/>
  <c r="D330" i="34"/>
  <c r="E330" i="34" s="1"/>
  <c r="D252" i="34"/>
  <c r="E252" i="34" s="1"/>
  <c r="D255" i="34"/>
  <c r="E255" i="34" s="1"/>
  <c r="D278" i="34"/>
  <c r="E278" i="34" s="1"/>
  <c r="D284" i="34"/>
  <c r="E284" i="34" s="1"/>
  <c r="D289" i="34"/>
  <c r="E289" i="34" s="1"/>
  <c r="D248" i="34"/>
  <c r="E248" i="34" s="1"/>
  <c r="D260" i="34"/>
  <c r="E260" i="34" s="1"/>
  <c r="D273" i="34"/>
  <c r="E273" i="34" s="1"/>
  <c r="D280" i="34"/>
  <c r="E280" i="34" s="1"/>
  <c r="D285" i="34"/>
  <c r="E285" i="34" s="1"/>
  <c r="D286" i="34"/>
  <c r="E286" i="34" s="1"/>
  <c r="D304" i="34"/>
  <c r="E304" i="34" s="1"/>
  <c r="D311" i="34"/>
  <c r="E311" i="34" s="1"/>
  <c r="D302" i="34"/>
  <c r="E302" i="34" s="1"/>
  <c r="D314" i="34"/>
  <c r="E314" i="34" s="1"/>
  <c r="D247" i="34"/>
  <c r="E247" i="34" s="1"/>
  <c r="D257" i="34"/>
  <c r="E257" i="34" s="1"/>
  <c r="D263" i="34"/>
  <c r="E263" i="34" s="1"/>
  <c r="D268" i="34"/>
  <c r="E268" i="34" s="1"/>
  <c r="D270" i="34"/>
  <c r="E270" i="34" s="1"/>
  <c r="D276" i="34"/>
  <c r="E276" i="34" s="1"/>
  <c r="D287" i="34"/>
  <c r="E287" i="34" s="1"/>
  <c r="D290" i="34"/>
  <c r="E290" i="34" s="1"/>
  <c r="D240" i="34"/>
  <c r="E240" i="34" s="1"/>
  <c r="D254" i="34"/>
  <c r="E254" i="34" s="1"/>
  <c r="D258" i="34"/>
  <c r="E258" i="34" s="1"/>
  <c r="D261" i="34"/>
  <c r="E261" i="34" s="1"/>
  <c r="D266" i="34"/>
  <c r="E266" i="34" s="1"/>
  <c r="D281" i="34"/>
  <c r="E281" i="34" s="1"/>
  <c r="D292" i="34"/>
  <c r="E292" i="34" s="1"/>
  <c r="D295" i="34"/>
  <c r="E295" i="34" s="1"/>
  <c r="D305" i="34"/>
  <c r="E305" i="34" s="1"/>
  <c r="D253" i="34"/>
  <c r="E253" i="34" s="1"/>
  <c r="D256" i="34"/>
  <c r="E256" i="34" s="1"/>
  <c r="D264" i="34"/>
  <c r="E264" i="34" s="1"/>
  <c r="D277" i="34"/>
  <c r="E277" i="34" s="1"/>
  <c r="D262" i="34"/>
  <c r="E262" i="34" s="1"/>
  <c r="D265" i="34"/>
  <c r="E265" i="34" s="1"/>
  <c r="D274" i="34"/>
  <c r="E274" i="34" s="1"/>
  <c r="D296" i="34"/>
  <c r="E296" i="34" s="1"/>
  <c r="D297" i="34"/>
  <c r="E297" i="34" s="1"/>
  <c r="D306" i="34"/>
  <c r="E306" i="34" s="1"/>
  <c r="D301" i="34"/>
  <c r="E301" i="34" s="1"/>
  <c r="D336" i="34"/>
  <c r="E336" i="34" s="1"/>
  <c r="D345" i="34"/>
  <c r="E345" i="34" s="1"/>
  <c r="D349" i="34"/>
  <c r="E349" i="34" s="1"/>
  <c r="D358" i="34"/>
  <c r="E358" i="34" s="1"/>
  <c r="D309" i="34"/>
  <c r="E309" i="34" s="1"/>
  <c r="D312" i="34"/>
  <c r="E312" i="34" s="1"/>
  <c r="D327" i="34"/>
  <c r="E327" i="34" s="1"/>
  <c r="D352" i="34"/>
  <c r="E352" i="34" s="1"/>
  <c r="D431" i="34"/>
  <c r="E431" i="34" s="1"/>
  <c r="D361" i="34"/>
  <c r="E361" i="34" s="1"/>
  <c r="D368" i="34"/>
  <c r="E368" i="34" s="1"/>
  <c r="D373" i="34"/>
  <c r="E373" i="34" s="1"/>
  <c r="D389" i="34"/>
  <c r="E389" i="34" s="1"/>
  <c r="D401" i="34"/>
  <c r="E401" i="34" s="1"/>
  <c r="D429" i="34"/>
  <c r="E429" i="34" s="1"/>
  <c r="D434" i="34"/>
  <c r="E434" i="34" s="1"/>
  <c r="D436" i="34"/>
  <c r="E436" i="34" s="1"/>
  <c r="D437" i="34"/>
  <c r="E437" i="34" s="1"/>
  <c r="D319" i="34"/>
  <c r="E319" i="34" s="1"/>
  <c r="D321" i="34"/>
  <c r="E321" i="34" s="1"/>
  <c r="D329" i="34"/>
  <c r="E329" i="34" s="1"/>
  <c r="D331" i="34"/>
  <c r="E331" i="34" s="1"/>
  <c r="D333" i="34"/>
  <c r="E333" i="34" s="1"/>
  <c r="D334" i="34"/>
  <c r="E334" i="34" s="1"/>
  <c r="D338" i="34"/>
  <c r="E338" i="34" s="1"/>
  <c r="D310" i="34"/>
  <c r="E310" i="34" s="1"/>
  <c r="D337" i="34"/>
  <c r="E337" i="34" s="1"/>
  <c r="D348" i="34"/>
  <c r="E348" i="34" s="1"/>
  <c r="D350" i="34"/>
  <c r="E350" i="34" s="1"/>
  <c r="D354" i="34"/>
  <c r="E354" i="34" s="1"/>
  <c r="D366" i="34"/>
  <c r="E366" i="34" s="1"/>
  <c r="D372" i="34"/>
  <c r="E372" i="34" s="1"/>
  <c r="D374" i="34"/>
  <c r="E374" i="34" s="1"/>
  <c r="D375" i="34"/>
  <c r="E375" i="34" s="1"/>
  <c r="D377" i="34"/>
  <c r="E377" i="34" s="1"/>
  <c r="D379" i="34"/>
  <c r="E379" i="34" s="1"/>
  <c r="D380" i="34"/>
  <c r="E380" i="34" s="1"/>
  <c r="D396" i="34"/>
  <c r="E396" i="34" s="1"/>
  <c r="D406" i="34"/>
  <c r="E406" i="34" s="1"/>
  <c r="D413" i="34"/>
  <c r="E413" i="34" s="1"/>
  <c r="D428" i="34"/>
  <c r="E428" i="34" s="1"/>
  <c r="D332" i="34"/>
  <c r="E332" i="34" s="1"/>
  <c r="D340" i="34"/>
  <c r="E340" i="34" s="1"/>
  <c r="D342" i="34"/>
  <c r="E342" i="34" s="1"/>
  <c r="D343" i="34"/>
  <c r="E343" i="34" s="1"/>
  <c r="D344" i="34"/>
  <c r="E344" i="34" s="1"/>
  <c r="D353" i="34"/>
  <c r="E353" i="34" s="1"/>
  <c r="D356" i="34"/>
  <c r="E356" i="34" s="1"/>
  <c r="D316" i="34"/>
  <c r="E316" i="34" s="1"/>
  <c r="D318" i="34"/>
  <c r="E318" i="34" s="1"/>
  <c r="D317" i="34"/>
  <c r="E317" i="34" s="1"/>
  <c r="D320" i="34"/>
  <c r="E320" i="34" s="1"/>
  <c r="D322" i="34"/>
  <c r="E322" i="34" s="1"/>
  <c r="D324" i="34"/>
  <c r="E324" i="34" s="1"/>
  <c r="D326" i="34"/>
  <c r="E326" i="34" s="1"/>
  <c r="D335" i="34"/>
  <c r="E335" i="34" s="1"/>
  <c r="D341" i="34"/>
  <c r="E341" i="34" s="1"/>
  <c r="D346" i="34"/>
  <c r="E346" i="34" s="1"/>
  <c r="D357" i="34"/>
  <c r="E357" i="34" s="1"/>
  <c r="D364" i="34"/>
  <c r="E364" i="34" s="1"/>
  <c r="D384" i="34"/>
  <c r="E384" i="34" s="1"/>
  <c r="D412" i="34"/>
  <c r="E412" i="34" s="1"/>
  <c r="D415" i="34"/>
  <c r="E415" i="34" s="1"/>
  <c r="D432" i="34"/>
  <c r="E432" i="34" s="1"/>
  <c r="D298" i="34"/>
  <c r="E298" i="34" s="1"/>
  <c r="D308" i="34"/>
  <c r="E308" i="34" s="1"/>
  <c r="D313" i="34"/>
  <c r="E313" i="34" s="1"/>
  <c r="D325" i="34"/>
  <c r="E325" i="34" s="1"/>
  <c r="D328" i="34"/>
  <c r="E328" i="34" s="1"/>
  <c r="D351" i="34"/>
  <c r="E351" i="34" s="1"/>
  <c r="D359" i="34"/>
  <c r="E359" i="34" s="1"/>
  <c r="D421" i="34"/>
  <c r="E421" i="34" s="1"/>
  <c r="D385" i="34"/>
  <c r="E385" i="34" s="1"/>
  <c r="D388" i="34"/>
  <c r="E388" i="34" s="1"/>
  <c r="D405" i="34"/>
  <c r="E405" i="34" s="1"/>
  <c r="D407" i="34"/>
  <c r="E407" i="34" s="1"/>
  <c r="D410" i="34"/>
  <c r="E410" i="34" s="1"/>
  <c r="D417" i="34"/>
  <c r="E417" i="34" s="1"/>
  <c r="D420" i="34"/>
  <c r="E420" i="34" s="1"/>
  <c r="D423" i="34"/>
  <c r="E423" i="34" s="1"/>
  <c r="D430" i="34"/>
  <c r="E430" i="34" s="1"/>
  <c r="D433" i="34"/>
  <c r="E433" i="34" s="1"/>
  <c r="D439" i="34"/>
  <c r="E439" i="34" s="1"/>
  <c r="D447" i="34"/>
  <c r="E447" i="34" s="1"/>
  <c r="D449" i="34"/>
  <c r="E449" i="34" s="1"/>
  <c r="D456" i="34"/>
  <c r="E456" i="34" s="1"/>
  <c r="D362" i="34"/>
  <c r="E362" i="34" s="1"/>
  <c r="D381" i="34"/>
  <c r="E381" i="34" s="1"/>
  <c r="D386" i="34"/>
  <c r="E386" i="34" s="1"/>
  <c r="D414" i="34"/>
  <c r="E414" i="34" s="1"/>
  <c r="D416" i="34"/>
  <c r="E416" i="34" s="1"/>
  <c r="D418" i="34"/>
  <c r="E418" i="34" s="1"/>
  <c r="D438" i="34"/>
  <c r="E438" i="34" s="1"/>
  <c r="D445" i="34"/>
  <c r="E445" i="34" s="1"/>
  <c r="D457" i="34"/>
  <c r="E457" i="34" s="1"/>
  <c r="D460" i="34"/>
  <c r="E460" i="34" s="1"/>
  <c r="D465" i="34"/>
  <c r="E465" i="34" s="1"/>
  <c r="D469" i="34"/>
  <c r="E469" i="34" s="1"/>
  <c r="D470" i="34"/>
  <c r="E470" i="34" s="1"/>
  <c r="D473" i="34"/>
  <c r="E473" i="34" s="1"/>
  <c r="D477" i="34"/>
  <c r="E477" i="34" s="1"/>
  <c r="D497" i="34"/>
  <c r="E497" i="34" s="1"/>
  <c r="D503" i="34"/>
  <c r="E503" i="34" s="1"/>
  <c r="D541" i="34"/>
  <c r="E541" i="34" s="1"/>
  <c r="D546" i="34"/>
  <c r="E546" i="34" s="1"/>
  <c r="D463" i="34"/>
  <c r="E463" i="34" s="1"/>
  <c r="D369" i="34"/>
  <c r="E369" i="34" s="1"/>
  <c r="D376" i="34"/>
  <c r="E376" i="34" s="1"/>
  <c r="D390" i="34"/>
  <c r="E390" i="34" s="1"/>
  <c r="D391" i="34"/>
  <c r="E391" i="34" s="1"/>
  <c r="D393" i="34"/>
  <c r="E393" i="34" s="1"/>
  <c r="D397" i="34"/>
  <c r="E397" i="34" s="1"/>
  <c r="D398" i="34"/>
  <c r="E398" i="34" s="1"/>
  <c r="D408" i="34"/>
  <c r="E408" i="34" s="1"/>
  <c r="D426" i="34"/>
  <c r="E426" i="34" s="1"/>
  <c r="D442" i="34"/>
  <c r="E442" i="34" s="1"/>
  <c r="D441" i="34"/>
  <c r="E441" i="34" s="1"/>
  <c r="D444" i="34"/>
  <c r="E444" i="34" s="1"/>
  <c r="D450" i="34"/>
  <c r="E450" i="34" s="1"/>
  <c r="D461" i="34"/>
  <c r="E461" i="34" s="1"/>
  <c r="D454" i="34"/>
  <c r="E454" i="34" s="1"/>
  <c r="D452" i="34"/>
  <c r="E452" i="34" s="1"/>
  <c r="D472" i="34"/>
  <c r="E472" i="34" s="1"/>
  <c r="D496" i="34"/>
  <c r="E496" i="34" s="1"/>
  <c r="D502" i="34"/>
  <c r="E502" i="34" s="1"/>
  <c r="D526" i="34"/>
  <c r="E526" i="34" s="1"/>
  <c r="D527" i="34"/>
  <c r="E527" i="34" s="1"/>
  <c r="D530" i="34"/>
  <c r="E530" i="34" s="1"/>
  <c r="D365" i="34"/>
  <c r="E365" i="34" s="1"/>
  <c r="D367" i="34"/>
  <c r="E367" i="34" s="1"/>
  <c r="D370" i="34"/>
  <c r="E370" i="34" s="1"/>
  <c r="D392" i="34"/>
  <c r="E392" i="34" s="1"/>
  <c r="D399" i="34"/>
  <c r="E399" i="34" s="1"/>
  <c r="D400" i="34"/>
  <c r="E400" i="34" s="1"/>
  <c r="D402" i="34"/>
  <c r="E402" i="34" s="1"/>
  <c r="D409" i="34"/>
  <c r="E409" i="34" s="1"/>
  <c r="D440" i="34"/>
  <c r="E440" i="34" s="1"/>
  <c r="D446" i="34"/>
  <c r="E446" i="34" s="1"/>
  <c r="D455" i="34"/>
  <c r="E455" i="34" s="1"/>
  <c r="D479" i="34"/>
  <c r="E479" i="34" s="1"/>
  <c r="D480" i="34"/>
  <c r="E480" i="34" s="1"/>
  <c r="D495" i="34"/>
  <c r="E495" i="34" s="1"/>
  <c r="D500" i="34"/>
  <c r="E500" i="34" s="1"/>
  <c r="D525" i="34"/>
  <c r="E525" i="34" s="1"/>
  <c r="D529" i="34"/>
  <c r="E529" i="34" s="1"/>
  <c r="D544" i="34"/>
  <c r="E544" i="34" s="1"/>
  <c r="D360" i="34"/>
  <c r="E360" i="34" s="1"/>
  <c r="D378" i="34"/>
  <c r="E378" i="34" s="1"/>
  <c r="D382" i="34"/>
  <c r="E382" i="34" s="1"/>
  <c r="D383" i="34"/>
  <c r="E383" i="34" s="1"/>
  <c r="D394" i="34"/>
  <c r="E394" i="34" s="1"/>
  <c r="D404" i="34"/>
  <c r="E404" i="34" s="1"/>
  <c r="D411" i="34"/>
  <c r="E411" i="34" s="1"/>
  <c r="D422" i="34"/>
  <c r="E422" i="34" s="1"/>
  <c r="D424" i="34"/>
  <c r="E424" i="34" s="1"/>
  <c r="D425" i="34"/>
  <c r="E425" i="34" s="1"/>
  <c r="D448" i="34"/>
  <c r="E448" i="34" s="1"/>
  <c r="D458" i="34"/>
  <c r="E458" i="34" s="1"/>
  <c r="D462" i="34"/>
  <c r="E462" i="34" s="1"/>
  <c r="D464" i="34"/>
  <c r="E464" i="34" s="1"/>
  <c r="D466" i="34"/>
  <c r="E466" i="34" s="1"/>
  <c r="D468" i="34"/>
  <c r="E468" i="34" s="1"/>
  <c r="D476" i="34"/>
  <c r="E476" i="34" s="1"/>
  <c r="D486" i="34"/>
  <c r="E486" i="34" s="1"/>
  <c r="D487" i="34"/>
  <c r="E487" i="34" s="1"/>
  <c r="D494" i="34"/>
  <c r="E494" i="34" s="1"/>
  <c r="D504" i="34"/>
  <c r="E504" i="34" s="1"/>
  <c r="D513" i="34"/>
  <c r="E513" i="34" s="1"/>
  <c r="D519" i="34"/>
  <c r="E519" i="34" s="1"/>
  <c r="D534" i="34"/>
  <c r="E534" i="34" s="1"/>
  <c r="D552" i="34"/>
  <c r="E552" i="34" s="1"/>
  <c r="D471" i="34"/>
  <c r="E471" i="34" s="1"/>
  <c r="D489" i="34"/>
  <c r="E489" i="34" s="1"/>
  <c r="D510" i="34"/>
  <c r="E510" i="34" s="1"/>
  <c r="D512" i="34"/>
  <c r="E512" i="34" s="1"/>
  <c r="D514" i="34"/>
  <c r="E514" i="34" s="1"/>
  <c r="D515" i="34"/>
  <c r="E515" i="34" s="1"/>
  <c r="D518" i="34"/>
  <c r="E518" i="34" s="1"/>
  <c r="D522" i="34"/>
  <c r="E522" i="34" s="1"/>
  <c r="D537" i="34"/>
  <c r="E537" i="34" s="1"/>
  <c r="D540" i="34"/>
  <c r="E540" i="34" s="1"/>
  <c r="D545" i="34"/>
  <c r="E545" i="34" s="1"/>
  <c r="D550" i="34"/>
  <c r="E550" i="34" s="1"/>
  <c r="D551" i="34"/>
  <c r="E551" i="34" s="1"/>
  <c r="D553" i="34"/>
  <c r="E553" i="34" s="1"/>
  <c r="D555" i="34"/>
  <c r="E555" i="34" s="1"/>
  <c r="D554" i="34"/>
  <c r="E554" i="34" s="1"/>
  <c r="D572" i="34"/>
  <c r="E572" i="34" s="1"/>
  <c r="D582" i="34"/>
  <c r="E582" i="34" s="1"/>
  <c r="D592" i="34"/>
  <c r="E592" i="34" s="1"/>
  <c r="D594" i="34"/>
  <c r="E594" i="34" s="1"/>
  <c r="D599" i="34"/>
  <c r="E599" i="34" s="1"/>
  <c r="D604" i="34"/>
  <c r="E604" i="34" s="1"/>
  <c r="D612" i="34"/>
  <c r="E612" i="34" s="1"/>
  <c r="D629" i="34"/>
  <c r="E629" i="34" s="1"/>
  <c r="D481" i="34"/>
  <c r="E481" i="34" s="1"/>
  <c r="D484" i="34"/>
  <c r="E484" i="34" s="1"/>
  <c r="D491" i="34"/>
  <c r="E491" i="34" s="1"/>
  <c r="D493" i="34"/>
  <c r="E493" i="34" s="1"/>
  <c r="D509" i="34"/>
  <c r="E509" i="34" s="1"/>
  <c r="D511" i="34"/>
  <c r="E511" i="34" s="1"/>
  <c r="D520" i="34"/>
  <c r="E520" i="34" s="1"/>
  <c r="D521" i="34"/>
  <c r="E521" i="34" s="1"/>
  <c r="D532" i="34"/>
  <c r="E532" i="34" s="1"/>
  <c r="D533" i="34"/>
  <c r="E533" i="34" s="1"/>
  <c r="D536" i="34"/>
  <c r="E536" i="34" s="1"/>
  <c r="D542" i="34"/>
  <c r="E542" i="34" s="1"/>
  <c r="D549" i="34"/>
  <c r="E549" i="34" s="1"/>
  <c r="D556" i="34"/>
  <c r="E556" i="34" s="1"/>
  <c r="D557" i="34"/>
  <c r="E557" i="34" s="1"/>
  <c r="D567" i="34"/>
  <c r="E567" i="34" s="1"/>
  <c r="D569" i="34"/>
  <c r="E569" i="34" s="1"/>
  <c r="D576" i="34"/>
  <c r="E576" i="34" s="1"/>
  <c r="D583" i="34"/>
  <c r="E583" i="34" s="1"/>
  <c r="D593" i="34"/>
  <c r="E593" i="34" s="1"/>
  <c r="D597" i="34"/>
  <c r="E597" i="34" s="1"/>
  <c r="D606" i="34"/>
  <c r="E606" i="34" s="1"/>
  <c r="D621" i="34"/>
  <c r="E621" i="34" s="1"/>
  <c r="D624" i="34"/>
  <c r="E624" i="34" s="1"/>
  <c r="D627" i="34"/>
  <c r="E627" i="34" s="1"/>
  <c r="D641" i="34"/>
  <c r="E641" i="34" s="1"/>
  <c r="D648" i="34"/>
  <c r="E648" i="34" s="1"/>
  <c r="D564" i="34"/>
  <c r="E564" i="34" s="1"/>
  <c r="D474" i="34"/>
  <c r="E474" i="34" s="1"/>
  <c r="D478" i="34"/>
  <c r="E478" i="34" s="1"/>
  <c r="D485" i="34"/>
  <c r="E485" i="34" s="1"/>
  <c r="D506" i="34"/>
  <c r="E506" i="34" s="1"/>
  <c r="D508" i="34"/>
  <c r="E508" i="34" s="1"/>
  <c r="D516" i="34"/>
  <c r="E516" i="34" s="1"/>
  <c r="D517" i="34"/>
  <c r="E517" i="34" s="1"/>
  <c r="D535" i="34"/>
  <c r="E535" i="34" s="1"/>
  <c r="D538" i="34"/>
  <c r="E538" i="34" s="1"/>
  <c r="D543" i="34"/>
  <c r="E543" i="34" s="1"/>
  <c r="D562" i="34"/>
  <c r="E562" i="34" s="1"/>
  <c r="D561" i="34"/>
  <c r="E561" i="34" s="1"/>
  <c r="D575" i="34"/>
  <c r="E575" i="34" s="1"/>
  <c r="D580" i="34"/>
  <c r="E580" i="34" s="1"/>
  <c r="D598" i="34"/>
  <c r="E598" i="34" s="1"/>
  <c r="D623" i="34"/>
  <c r="E623" i="34" s="1"/>
  <c r="D626" i="34"/>
  <c r="E626" i="34" s="1"/>
  <c r="D636" i="34"/>
  <c r="E636" i="34" s="1"/>
  <c r="D638" i="34"/>
  <c r="E638" i="34" s="1"/>
  <c r="D565" i="34"/>
  <c r="E565" i="34" s="1"/>
  <c r="D566" i="34"/>
  <c r="E566" i="34" s="1"/>
  <c r="D548" i="34"/>
  <c r="E548" i="34" s="1"/>
  <c r="D453" i="34"/>
  <c r="E453" i="34" s="1"/>
  <c r="D482" i="34"/>
  <c r="E482" i="34" s="1"/>
  <c r="D488" i="34"/>
  <c r="E488" i="34" s="1"/>
  <c r="D490" i="34"/>
  <c r="E490" i="34" s="1"/>
  <c r="D492" i="34"/>
  <c r="E492" i="34" s="1"/>
  <c r="D498" i="34"/>
  <c r="E498" i="34" s="1"/>
  <c r="D501" i="34"/>
  <c r="E501" i="34" s="1"/>
  <c r="D505" i="34"/>
  <c r="E505" i="34" s="1"/>
  <c r="D524" i="34"/>
  <c r="E524" i="34" s="1"/>
  <c r="D528" i="34"/>
  <c r="E528" i="34" s="1"/>
  <c r="D558" i="34"/>
  <c r="E558" i="34" s="1"/>
  <c r="D560" i="34"/>
  <c r="E560" i="34" s="1"/>
  <c r="D570" i="34"/>
  <c r="E570" i="34" s="1"/>
  <c r="D610" i="34"/>
  <c r="E610" i="34" s="1"/>
  <c r="D617" i="34"/>
  <c r="E617" i="34" s="1"/>
  <c r="D645" i="34"/>
  <c r="E645" i="34" s="1"/>
  <c r="D646" i="34"/>
  <c r="E646" i="34" s="1"/>
  <c r="D650" i="34"/>
  <c r="E650" i="34" s="1"/>
  <c r="D653" i="34"/>
  <c r="E653" i="34" s="1"/>
  <c r="D581" i="34"/>
  <c r="E581" i="34" s="1"/>
  <c r="D584" i="34"/>
  <c r="E584" i="34" s="1"/>
  <c r="D585" i="34"/>
  <c r="E585" i="34" s="1"/>
  <c r="D588" i="34"/>
  <c r="E588" i="34" s="1"/>
  <c r="D596" i="34"/>
  <c r="E596" i="34" s="1"/>
  <c r="D602" i="34"/>
  <c r="E602" i="34" s="1"/>
  <c r="D605" i="34"/>
  <c r="E605" i="34" s="1"/>
  <c r="D615" i="34"/>
  <c r="E615" i="34" s="1"/>
  <c r="D616" i="34"/>
  <c r="E616" i="34" s="1"/>
  <c r="D622" i="34"/>
  <c r="E622" i="34" s="1"/>
  <c r="D660" i="34"/>
  <c r="E660" i="34" s="1"/>
  <c r="D661" i="34"/>
  <c r="E661" i="34" s="1"/>
  <c r="D672" i="34"/>
  <c r="E672" i="34" s="1"/>
  <c r="D751" i="34"/>
  <c r="E751" i="34" s="1"/>
  <c r="D663" i="34"/>
  <c r="E663" i="34" s="1"/>
  <c r="D681" i="34"/>
  <c r="E681" i="34" s="1"/>
  <c r="D693" i="34"/>
  <c r="E693" i="34" s="1"/>
  <c r="D709" i="34"/>
  <c r="E709" i="34" s="1"/>
  <c r="D712" i="34"/>
  <c r="E712" i="34" s="1"/>
  <c r="D725" i="34"/>
  <c r="E725" i="34" s="1"/>
  <c r="D736" i="34"/>
  <c r="E736" i="34" s="1"/>
  <c r="D765" i="34"/>
  <c r="E765" i="34" s="1"/>
  <c r="D658" i="34"/>
  <c r="E658" i="34" s="1"/>
  <c r="D574" i="34"/>
  <c r="E574" i="34" s="1"/>
  <c r="D586" i="34"/>
  <c r="E586" i="34" s="1"/>
  <c r="D591" i="34"/>
  <c r="E591" i="34" s="1"/>
  <c r="D614" i="34"/>
  <c r="E614" i="34" s="1"/>
  <c r="D620" i="34"/>
  <c r="E620" i="34" s="1"/>
  <c r="D625" i="34"/>
  <c r="E625" i="34" s="1"/>
  <c r="D630" i="34"/>
  <c r="E630" i="34" s="1"/>
  <c r="D633" i="34"/>
  <c r="E633" i="34" s="1"/>
  <c r="D637" i="34"/>
  <c r="E637" i="34" s="1"/>
  <c r="D639" i="34"/>
  <c r="E639" i="34" s="1"/>
  <c r="D640" i="34"/>
  <c r="E640" i="34" s="1"/>
  <c r="D649" i="34"/>
  <c r="E649" i="34" s="1"/>
  <c r="D655" i="34"/>
  <c r="E655" i="34" s="1"/>
  <c r="D664" i="34"/>
  <c r="E664" i="34" s="1"/>
  <c r="D676" i="34"/>
  <c r="E676" i="34" s="1"/>
  <c r="D682" i="34"/>
  <c r="E682" i="34" s="1"/>
  <c r="D671" i="34"/>
  <c r="E671" i="34" s="1"/>
  <c r="D673" i="34"/>
  <c r="E673" i="34" s="1"/>
  <c r="D685" i="34"/>
  <c r="E685" i="34" s="1"/>
  <c r="D687" i="34"/>
  <c r="E687" i="34" s="1"/>
  <c r="D698" i="34"/>
  <c r="E698" i="34" s="1"/>
  <c r="D703" i="34"/>
  <c r="E703" i="34" s="1"/>
  <c r="D718" i="34"/>
  <c r="E718" i="34" s="1"/>
  <c r="D722" i="34"/>
  <c r="E722" i="34" s="1"/>
  <c r="D728" i="34"/>
  <c r="E728" i="34" s="1"/>
  <c r="D737" i="34"/>
  <c r="E737" i="34" s="1"/>
  <c r="D754" i="34"/>
  <c r="E754" i="34" s="1"/>
  <c r="D757" i="34"/>
  <c r="E757" i="34" s="1"/>
  <c r="D760" i="34"/>
  <c r="E760" i="34" s="1"/>
  <c r="D769" i="34"/>
  <c r="E769" i="34" s="1"/>
  <c r="D559" i="34"/>
  <c r="E559" i="34" s="1"/>
  <c r="D578" i="34"/>
  <c r="E578" i="34" s="1"/>
  <c r="D600" i="34"/>
  <c r="E600" i="34" s="1"/>
  <c r="D607" i="34"/>
  <c r="E607" i="34" s="1"/>
  <c r="D608" i="34"/>
  <c r="E608" i="34" s="1"/>
  <c r="D619" i="34"/>
  <c r="E619" i="34" s="1"/>
  <c r="D631" i="34"/>
  <c r="E631" i="34" s="1"/>
  <c r="D632" i="34"/>
  <c r="E632" i="34" s="1"/>
  <c r="D634" i="34"/>
  <c r="E634" i="34" s="1"/>
  <c r="D644" i="34"/>
  <c r="E644" i="34" s="1"/>
  <c r="D647" i="34"/>
  <c r="E647" i="34" s="1"/>
  <c r="D652" i="34"/>
  <c r="E652" i="34" s="1"/>
  <c r="D656" i="34"/>
  <c r="E656" i="34" s="1"/>
  <c r="D669" i="34"/>
  <c r="E669" i="34" s="1"/>
  <c r="D666" i="34"/>
  <c r="E666" i="34" s="1"/>
  <c r="D668" i="34"/>
  <c r="E668" i="34" s="1"/>
  <c r="D677" i="34"/>
  <c r="E677" i="34" s="1"/>
  <c r="D670" i="34"/>
  <c r="E670" i="34" s="1"/>
  <c r="D695" i="34"/>
  <c r="E695" i="34" s="1"/>
  <c r="D699" i="34"/>
  <c r="E699" i="34" s="1"/>
  <c r="D708" i="34"/>
  <c r="E708" i="34" s="1"/>
  <c r="D740" i="34"/>
  <c r="E740" i="34" s="1"/>
  <c r="D746" i="34"/>
  <c r="E746" i="34" s="1"/>
  <c r="D657" i="34"/>
  <c r="E657" i="34" s="1"/>
  <c r="D568" i="34"/>
  <c r="E568" i="34" s="1"/>
  <c r="D573" i="34"/>
  <c r="E573" i="34" s="1"/>
  <c r="D577" i="34"/>
  <c r="E577" i="34" s="1"/>
  <c r="D589" i="34"/>
  <c r="E589" i="34" s="1"/>
  <c r="D590" i="34"/>
  <c r="E590" i="34" s="1"/>
  <c r="D601" i="34"/>
  <c r="E601" i="34" s="1"/>
  <c r="D609" i="34"/>
  <c r="E609" i="34" s="1"/>
  <c r="D613" i="34"/>
  <c r="E613" i="34" s="1"/>
  <c r="D618" i="34"/>
  <c r="E618" i="34" s="1"/>
  <c r="D628" i="34"/>
  <c r="E628" i="34" s="1"/>
  <c r="D642" i="34"/>
  <c r="E642" i="34" s="1"/>
  <c r="D654" i="34"/>
  <c r="E654" i="34" s="1"/>
  <c r="D665" i="34"/>
  <c r="E665" i="34" s="1"/>
  <c r="D674" i="34"/>
  <c r="E674" i="34" s="1"/>
  <c r="D679" i="34"/>
  <c r="E679" i="34" s="1"/>
  <c r="D688" i="34"/>
  <c r="E688" i="34" s="1"/>
  <c r="D700" i="34"/>
  <c r="E700" i="34" s="1"/>
  <c r="D752" i="34"/>
  <c r="E752" i="34" s="1"/>
  <c r="D768" i="34"/>
  <c r="E768" i="34" s="1"/>
  <c r="D680" i="34"/>
  <c r="E680" i="34" s="1"/>
  <c r="D696" i="34"/>
  <c r="E696" i="34" s="1"/>
  <c r="D711" i="34"/>
  <c r="E711" i="34" s="1"/>
  <c r="D745" i="34"/>
  <c r="E745" i="34" s="1"/>
  <c r="D750" i="34"/>
  <c r="E750" i="34" s="1"/>
  <c r="D791" i="34"/>
  <c r="E791" i="34" s="1"/>
  <c r="D841" i="34"/>
  <c r="E841" i="34" s="1"/>
  <c r="D847" i="34"/>
  <c r="E847" i="34" s="1"/>
  <c r="D860" i="34"/>
  <c r="E860" i="34" s="1"/>
  <c r="D865" i="34"/>
  <c r="E865" i="34" s="1"/>
  <c r="D882" i="34"/>
  <c r="E882" i="34" s="1"/>
  <c r="D942" i="34"/>
  <c r="E942" i="34" s="1"/>
  <c r="D946" i="34"/>
  <c r="E946" i="34" s="1"/>
  <c r="D948" i="34"/>
  <c r="E948" i="34" s="1"/>
  <c r="D949" i="34"/>
  <c r="E949" i="34" s="1"/>
  <c r="D953" i="34"/>
  <c r="E953" i="34" s="1"/>
  <c r="D778" i="34"/>
  <c r="E778" i="34" s="1"/>
  <c r="D786" i="34"/>
  <c r="E786" i="34" s="1"/>
  <c r="D792" i="34"/>
  <c r="E792" i="34" s="1"/>
  <c r="D801" i="34"/>
  <c r="E801" i="34" s="1"/>
  <c r="D810" i="34"/>
  <c r="E810" i="34" s="1"/>
  <c r="D813" i="34"/>
  <c r="E813" i="34" s="1"/>
  <c r="D814" i="34"/>
  <c r="E814" i="34" s="1"/>
  <c r="D821" i="34"/>
  <c r="E821" i="34" s="1"/>
  <c r="D826" i="34"/>
  <c r="E826" i="34" s="1"/>
  <c r="D849" i="34"/>
  <c r="E849" i="34" s="1"/>
  <c r="D871" i="34"/>
  <c r="E871" i="34" s="1"/>
  <c r="D888" i="34"/>
  <c r="E888" i="34" s="1"/>
  <c r="D903" i="34"/>
  <c r="E903" i="34" s="1"/>
  <c r="D704" i="34"/>
  <c r="E704" i="34" s="1"/>
  <c r="D713" i="34"/>
  <c r="E713" i="34" s="1"/>
  <c r="D716" i="34"/>
  <c r="E716" i="34" s="1"/>
  <c r="D721" i="34"/>
  <c r="E721" i="34" s="1"/>
  <c r="D727" i="34"/>
  <c r="E727" i="34" s="1"/>
  <c r="D733" i="34"/>
  <c r="E733" i="34" s="1"/>
  <c r="D738" i="34"/>
  <c r="E738" i="34" s="1"/>
  <c r="D741" i="34"/>
  <c r="E741" i="34" s="1"/>
  <c r="D744" i="34"/>
  <c r="E744" i="34" s="1"/>
  <c r="D749" i="34"/>
  <c r="E749" i="34" s="1"/>
  <c r="D753" i="34"/>
  <c r="E753" i="34" s="1"/>
  <c r="D759" i="34"/>
  <c r="E759" i="34" s="1"/>
  <c r="D770" i="34"/>
  <c r="E770" i="34" s="1"/>
  <c r="D781" i="34"/>
  <c r="E781" i="34" s="1"/>
  <c r="D793" i="34"/>
  <c r="E793" i="34" s="1"/>
  <c r="D817" i="34"/>
  <c r="E817" i="34" s="1"/>
  <c r="D820" i="34"/>
  <c r="E820" i="34" s="1"/>
  <c r="D844" i="34"/>
  <c r="E844" i="34" s="1"/>
  <c r="D861" i="34"/>
  <c r="E861" i="34" s="1"/>
  <c r="D864" i="34"/>
  <c r="E864" i="34" s="1"/>
  <c r="D878" i="34"/>
  <c r="E878" i="34" s="1"/>
  <c r="D879" i="34"/>
  <c r="E879" i="34" s="1"/>
  <c r="D895" i="34"/>
  <c r="E895" i="34" s="1"/>
  <c r="D912" i="34"/>
  <c r="E912" i="34" s="1"/>
  <c r="D917" i="34"/>
  <c r="E917" i="34" s="1"/>
  <c r="D920" i="34"/>
  <c r="E920" i="34" s="1"/>
  <c r="D927" i="34"/>
  <c r="E927" i="34" s="1"/>
  <c r="D934" i="34"/>
  <c r="E934" i="34" s="1"/>
  <c r="D780" i="34"/>
  <c r="E780" i="34" s="1"/>
  <c r="D783" i="34"/>
  <c r="E783" i="34" s="1"/>
  <c r="D794" i="34"/>
  <c r="E794" i="34" s="1"/>
  <c r="D800" i="34"/>
  <c r="E800" i="34" s="1"/>
  <c r="D837" i="34"/>
  <c r="E837" i="34" s="1"/>
  <c r="D840" i="34"/>
  <c r="E840" i="34" s="1"/>
  <c r="D842" i="34"/>
  <c r="E842" i="34" s="1"/>
  <c r="D850" i="34"/>
  <c r="E850" i="34" s="1"/>
  <c r="D856" i="34"/>
  <c r="E856" i="34" s="1"/>
  <c r="D880" i="34"/>
  <c r="E880" i="34" s="1"/>
  <c r="D891" i="34"/>
  <c r="E891" i="34" s="1"/>
  <c r="D892" i="34"/>
  <c r="E892" i="34" s="1"/>
  <c r="D896" i="34"/>
  <c r="E896" i="34" s="1"/>
  <c r="D909" i="34"/>
  <c r="E909" i="34" s="1"/>
  <c r="D767" i="34"/>
  <c r="E767" i="34" s="1"/>
  <c r="D684" i="34"/>
  <c r="E684" i="34" s="1"/>
  <c r="D689" i="34"/>
  <c r="E689" i="34" s="1"/>
  <c r="D701" i="34"/>
  <c r="E701" i="34" s="1"/>
  <c r="D706" i="34"/>
  <c r="E706" i="34" s="1"/>
  <c r="D714" i="34"/>
  <c r="E714" i="34" s="1"/>
  <c r="D720" i="34"/>
  <c r="E720" i="34" s="1"/>
  <c r="D732" i="34"/>
  <c r="E732" i="34" s="1"/>
  <c r="D773" i="34"/>
  <c r="E773" i="34" s="1"/>
  <c r="D782" i="34"/>
  <c r="E782" i="34" s="1"/>
  <c r="D901" i="34"/>
  <c r="E901" i="34" s="1"/>
  <c r="D785" i="34"/>
  <c r="E785" i="34" s="1"/>
  <c r="D807" i="34"/>
  <c r="E807" i="34" s="1"/>
  <c r="D848" i="34"/>
  <c r="E848" i="34" s="1"/>
  <c r="D854" i="34"/>
  <c r="E854" i="34" s="1"/>
  <c r="D855" i="34"/>
  <c r="E855" i="34" s="1"/>
  <c r="D873" i="34"/>
  <c r="E873" i="34" s="1"/>
  <c r="D897" i="34"/>
  <c r="E897" i="34" s="1"/>
  <c r="D913" i="34"/>
  <c r="E913" i="34" s="1"/>
  <c r="D914" i="34"/>
  <c r="E914" i="34" s="1"/>
  <c r="D959" i="34"/>
  <c r="E959" i="34" s="1"/>
  <c r="D806" i="34"/>
  <c r="E806" i="34" s="1"/>
  <c r="D808" i="34"/>
  <c r="E808" i="34" s="1"/>
  <c r="D809" i="34"/>
  <c r="E809" i="34" s="1"/>
  <c r="D823" i="34"/>
  <c r="E823" i="34" s="1"/>
  <c r="D829" i="34"/>
  <c r="E829" i="34" s="1"/>
  <c r="D830" i="34"/>
  <c r="E830" i="34" s="1"/>
  <c r="D831" i="34"/>
  <c r="E831" i="34" s="1"/>
  <c r="D833" i="34"/>
  <c r="E833" i="34" s="1"/>
  <c r="D839" i="34"/>
  <c r="E839" i="34" s="1"/>
  <c r="D858" i="34"/>
  <c r="E858" i="34" s="1"/>
  <c r="D863" i="34"/>
  <c r="E863" i="34" s="1"/>
  <c r="D874" i="34"/>
  <c r="E874" i="34" s="1"/>
  <c r="D885" i="34"/>
  <c r="E885" i="34" s="1"/>
  <c r="D887" i="34"/>
  <c r="E887" i="34" s="1"/>
  <c r="D690" i="34"/>
  <c r="E690" i="34" s="1"/>
  <c r="D692" i="34"/>
  <c r="E692" i="34" s="1"/>
  <c r="D697" i="34"/>
  <c r="E697" i="34" s="1"/>
  <c r="D705" i="34"/>
  <c r="E705" i="34" s="1"/>
  <c r="D717" i="34"/>
  <c r="E717" i="34" s="1"/>
  <c r="D719" i="34"/>
  <c r="E719" i="34" s="1"/>
  <c r="D726" i="34"/>
  <c r="E726" i="34" s="1"/>
  <c r="D729" i="34"/>
  <c r="E729" i="34" s="1"/>
  <c r="D730" i="34"/>
  <c r="E730" i="34" s="1"/>
  <c r="D735" i="34"/>
  <c r="E735" i="34" s="1"/>
  <c r="D743" i="34"/>
  <c r="E743" i="34" s="1"/>
  <c r="D761" i="34"/>
  <c r="E761" i="34" s="1"/>
  <c r="D762" i="34"/>
  <c r="E762" i="34" s="1"/>
  <c r="D776" i="34"/>
  <c r="E776" i="34" s="1"/>
  <c r="D777" i="34"/>
  <c r="E777" i="34" s="1"/>
  <c r="D775" i="34"/>
  <c r="E775" i="34" s="1"/>
  <c r="D961" i="34"/>
  <c r="E961" i="34" s="1"/>
  <c r="D789" i="34"/>
  <c r="E789" i="34" s="1"/>
  <c r="D790" i="34"/>
  <c r="E790" i="34" s="1"/>
  <c r="D797" i="34"/>
  <c r="E797" i="34" s="1"/>
  <c r="D818" i="34"/>
  <c r="E818" i="34" s="1"/>
  <c r="D824" i="34"/>
  <c r="E824" i="34" s="1"/>
  <c r="D834" i="34"/>
  <c r="E834" i="34" s="1"/>
  <c r="D853" i="34"/>
  <c r="E853" i="34" s="1"/>
  <c r="D866" i="34"/>
  <c r="E866" i="34" s="1"/>
  <c r="D869" i="34"/>
  <c r="E869" i="34" s="1"/>
  <c r="D872" i="34"/>
  <c r="E872" i="34" s="1"/>
  <c r="D889" i="34"/>
  <c r="E889" i="34" s="1"/>
  <c r="D890" i="34"/>
  <c r="E890" i="34" s="1"/>
  <c r="D898" i="34"/>
  <c r="E898" i="34" s="1"/>
  <c r="D906" i="34"/>
  <c r="E906" i="34" s="1"/>
  <c r="D938" i="34"/>
  <c r="E938" i="34" s="1"/>
  <c r="D957" i="34"/>
  <c r="E957" i="34" s="1"/>
  <c r="D784" i="34"/>
  <c r="E784" i="34" s="1"/>
  <c r="D788" i="34"/>
  <c r="E788" i="34" s="1"/>
  <c r="D799" i="34"/>
  <c r="E799" i="34" s="1"/>
  <c r="D802" i="34"/>
  <c r="E802" i="34" s="1"/>
  <c r="D805" i="34"/>
  <c r="E805" i="34" s="1"/>
  <c r="D815" i="34"/>
  <c r="E815" i="34" s="1"/>
  <c r="D816" i="34"/>
  <c r="E816" i="34" s="1"/>
  <c r="D825" i="34"/>
  <c r="E825" i="34" s="1"/>
  <c r="D832" i="34"/>
  <c r="E832" i="34" s="1"/>
  <c r="D845" i="34"/>
  <c r="E845" i="34" s="1"/>
  <c r="D857" i="34"/>
  <c r="E857" i="34" s="1"/>
  <c r="D877" i="34"/>
  <c r="E877" i="34" s="1"/>
  <c r="D881" i="34"/>
  <c r="E881" i="34" s="1"/>
  <c r="D893" i="34"/>
  <c r="E893" i="34" s="1"/>
  <c r="D904" i="34"/>
  <c r="E904" i="34" s="1"/>
  <c r="D905" i="34"/>
  <c r="E905" i="34" s="1"/>
  <c r="D941" i="34"/>
  <c r="E941" i="34" s="1"/>
  <c r="D944" i="34"/>
  <c r="E944" i="34" s="1"/>
  <c r="D951" i="34"/>
  <c r="E951" i="34" s="1"/>
  <c r="D962" i="34"/>
  <c r="E962" i="34" s="1"/>
  <c r="D967" i="34"/>
  <c r="E967" i="34" s="1"/>
  <c r="D973" i="34"/>
  <c r="E973" i="34" s="1"/>
  <c r="D976" i="34"/>
  <c r="E976" i="34" s="1"/>
  <c r="D970" i="34"/>
  <c r="E970" i="34" s="1"/>
  <c r="D977" i="34"/>
  <c r="E977" i="34" s="1"/>
  <c r="D1002" i="34"/>
  <c r="E1002" i="34" s="1"/>
  <c r="D972" i="34"/>
  <c r="E972" i="34" s="1"/>
  <c r="D991" i="34"/>
  <c r="E991" i="34" s="1"/>
  <c r="D919" i="34"/>
  <c r="E919" i="34" s="1"/>
  <c r="D921" i="34"/>
  <c r="E921" i="34" s="1"/>
  <c r="D924" i="34"/>
  <c r="E924" i="34" s="1"/>
  <c r="D925" i="34"/>
  <c r="E925" i="34" s="1"/>
  <c r="D926" i="34"/>
  <c r="E926" i="34" s="1"/>
  <c r="D930" i="34"/>
  <c r="E930" i="34" s="1"/>
  <c r="D935" i="34"/>
  <c r="E935" i="34" s="1"/>
  <c r="D937" i="34"/>
  <c r="E937" i="34" s="1"/>
  <c r="D968" i="34"/>
  <c r="E968" i="34" s="1"/>
  <c r="D966" i="34"/>
  <c r="E966" i="34" s="1"/>
  <c r="D974" i="34"/>
  <c r="E974" i="34" s="1"/>
  <c r="D985" i="34"/>
  <c r="E985" i="34" s="1"/>
  <c r="D911" i="34"/>
  <c r="E911" i="34" s="1"/>
  <c r="D929" i="34"/>
  <c r="E929" i="34" s="1"/>
  <c r="D933" i="34"/>
  <c r="E933" i="34" s="1"/>
  <c r="D936" i="34"/>
  <c r="E936" i="34" s="1"/>
  <c r="D940" i="34"/>
  <c r="E940" i="34" s="1"/>
  <c r="D952" i="34"/>
  <c r="E952" i="34" s="1"/>
  <c r="D954" i="34"/>
  <c r="E954" i="34" s="1"/>
  <c r="D960" i="34"/>
  <c r="E960" i="34" s="1"/>
  <c r="D965" i="34"/>
  <c r="E965" i="34" s="1"/>
  <c r="D982" i="34"/>
  <c r="E982" i="34" s="1"/>
  <c r="D989" i="34"/>
  <c r="E989" i="34" s="1"/>
  <c r="D993" i="34"/>
  <c r="E993" i="34" s="1"/>
  <c r="D994" i="34"/>
  <c r="E994" i="34" s="1"/>
  <c r="D922" i="34"/>
  <c r="E922" i="34" s="1"/>
  <c r="D928" i="34"/>
  <c r="E928" i="34" s="1"/>
  <c r="D943" i="34"/>
  <c r="E943" i="34" s="1"/>
  <c r="D945" i="34"/>
  <c r="E945" i="34" s="1"/>
  <c r="D984" i="34"/>
  <c r="E984" i="34" s="1"/>
  <c r="D969" i="34"/>
  <c r="E969" i="34" s="1"/>
  <c r="D983" i="34"/>
  <c r="E983" i="34" s="1"/>
  <c r="D986" i="34"/>
  <c r="E986" i="34" s="1"/>
  <c r="D988" i="34"/>
  <c r="E988" i="34" s="1"/>
  <c r="D999" i="34"/>
  <c r="E999" i="34" s="1"/>
  <c r="D1006" i="34"/>
  <c r="E1006" i="34" s="1"/>
  <c r="D1005" i="34"/>
  <c r="E1005" i="34" s="1"/>
  <c r="D1007" i="34"/>
  <c r="E1007" i="34" s="1"/>
  <c r="C7" i="34"/>
  <c r="D1001" i="34"/>
  <c r="E1001" i="34" s="1"/>
  <c r="D1000" i="34"/>
  <c r="E1000" i="34" s="1"/>
  <c r="D975" i="34"/>
  <c r="E975" i="34" s="1"/>
  <c r="D978" i="34"/>
  <c r="E978" i="34" s="1"/>
  <c r="D981" i="34"/>
  <c r="E981" i="34" s="1"/>
  <c r="D992" i="34"/>
  <c r="E992" i="34" s="1"/>
  <c r="D997" i="34"/>
  <c r="E997" i="34" s="1"/>
  <c r="D990" i="34"/>
  <c r="E990" i="34" s="1"/>
  <c r="D12" i="35"/>
  <c r="E12" i="35" s="1"/>
  <c r="D16" i="35"/>
  <c r="E16" i="35" s="1"/>
  <c r="D18" i="35"/>
  <c r="E18" i="35" s="1"/>
  <c r="D26" i="35"/>
  <c r="E26" i="35" s="1"/>
  <c r="D13" i="35"/>
  <c r="E13" i="35" s="1"/>
  <c r="D14" i="35"/>
  <c r="E14" i="35" s="1"/>
  <c r="D21" i="35"/>
  <c r="E21" i="35" s="1"/>
  <c r="D15" i="35"/>
  <c r="E15" i="35" s="1"/>
  <c r="D17" i="35"/>
  <c r="E17" i="35" s="1"/>
  <c r="D20" i="35"/>
  <c r="E20" i="35" s="1"/>
  <c r="D22" i="35"/>
  <c r="E22" i="35" s="1"/>
  <c r="D25" i="35"/>
  <c r="E25" i="35" s="1"/>
  <c r="D23" i="35"/>
  <c r="E23" i="35" s="1"/>
  <c r="D19" i="35"/>
  <c r="E19" i="35" s="1"/>
  <c r="D30" i="35"/>
  <c r="E30" i="35" s="1"/>
  <c r="D29" i="35"/>
  <c r="E29" i="35" s="1"/>
  <c r="D35" i="35"/>
  <c r="E35" i="35" s="1"/>
  <c r="D36" i="35"/>
  <c r="E36" i="35" s="1"/>
  <c r="D27" i="35"/>
  <c r="E27" i="35" s="1"/>
  <c r="D32" i="35"/>
  <c r="E32" i="35" s="1"/>
  <c r="D24" i="35"/>
  <c r="E24" i="35" s="1"/>
  <c r="D31" i="35"/>
  <c r="E31" i="35" s="1"/>
  <c r="D33" i="35"/>
  <c r="E33" i="35" s="1"/>
  <c r="D34" i="35"/>
  <c r="E34" i="35" s="1"/>
  <c r="D37" i="35"/>
  <c r="E37" i="35" s="1"/>
  <c r="D28" i="35"/>
  <c r="E28" i="35" s="1"/>
  <c r="D38" i="35"/>
  <c r="E38" i="35" s="1"/>
  <c r="D40" i="35"/>
  <c r="E40" i="35" s="1"/>
  <c r="D46" i="35"/>
  <c r="E46" i="35" s="1"/>
  <c r="D49" i="35"/>
  <c r="E49" i="35" s="1"/>
  <c r="D51" i="35"/>
  <c r="E51" i="35" s="1"/>
  <c r="D52" i="35"/>
  <c r="E52" i="35" s="1"/>
  <c r="D53" i="35"/>
  <c r="E53" i="35" s="1"/>
  <c r="D61" i="35"/>
  <c r="E61" i="35" s="1"/>
  <c r="D55" i="35"/>
  <c r="E55" i="35" s="1"/>
  <c r="D60" i="35"/>
  <c r="E60" i="35" s="1"/>
  <c r="D43" i="35"/>
  <c r="E43" i="35" s="1"/>
  <c r="D50" i="35"/>
  <c r="E50" i="35" s="1"/>
  <c r="D71" i="35"/>
  <c r="E71" i="35" s="1"/>
  <c r="D45" i="35"/>
  <c r="E45" i="35" s="1"/>
  <c r="D42" i="35"/>
  <c r="E42" i="35" s="1"/>
  <c r="D44" i="35"/>
  <c r="E44" i="35" s="1"/>
  <c r="D39" i="35"/>
  <c r="E39" i="35" s="1"/>
  <c r="D41" i="35"/>
  <c r="E41" i="35" s="1"/>
  <c r="D47" i="35"/>
  <c r="E47" i="35" s="1"/>
  <c r="D48" i="35"/>
  <c r="E48" i="35" s="1"/>
  <c r="D54" i="35"/>
  <c r="E54" i="35" s="1"/>
  <c r="D72" i="35"/>
  <c r="E72" i="35" s="1"/>
  <c r="D56" i="35"/>
  <c r="E56" i="35" s="1"/>
  <c r="D59" i="35"/>
  <c r="E59" i="35" s="1"/>
  <c r="D62" i="35"/>
  <c r="E62" i="35" s="1"/>
  <c r="D64" i="35"/>
  <c r="E64" i="35" s="1"/>
  <c r="D67" i="35"/>
  <c r="E67" i="35" s="1"/>
  <c r="D63" i="35"/>
  <c r="E63" i="35" s="1"/>
  <c r="D57" i="35"/>
  <c r="E57" i="35" s="1"/>
  <c r="D58" i="35"/>
  <c r="E58" i="35" s="1"/>
  <c r="D65" i="35"/>
  <c r="E65" i="35" s="1"/>
  <c r="D69" i="35"/>
  <c r="E69" i="35" s="1"/>
  <c r="D68" i="35"/>
  <c r="E68" i="35" s="1"/>
  <c r="D78" i="35"/>
  <c r="E78" i="35" s="1"/>
  <c r="D66" i="35"/>
  <c r="E66" i="35" s="1"/>
  <c r="D88" i="35"/>
  <c r="E88" i="35" s="1"/>
  <c r="D82" i="35"/>
  <c r="E82" i="35" s="1"/>
  <c r="D73" i="35"/>
  <c r="E73" i="35" s="1"/>
  <c r="D70" i="35"/>
  <c r="E70" i="35" s="1"/>
  <c r="D77" i="35"/>
  <c r="E77" i="35" s="1"/>
  <c r="D80" i="35"/>
  <c r="E80" i="35" s="1"/>
  <c r="D91" i="35"/>
  <c r="E91" i="35" s="1"/>
  <c r="D74" i="35"/>
  <c r="E74" i="35" s="1"/>
  <c r="D92" i="35"/>
  <c r="E92" i="35" s="1"/>
  <c r="D85" i="35"/>
  <c r="E85" i="35" s="1"/>
  <c r="D89" i="35"/>
  <c r="E89" i="35" s="1"/>
  <c r="D90" i="35"/>
  <c r="E90" i="35" s="1"/>
  <c r="D75" i="35"/>
  <c r="E75" i="35" s="1"/>
  <c r="D81" i="35"/>
  <c r="E81" i="35" s="1"/>
  <c r="D86" i="35"/>
  <c r="E86" i="35" s="1"/>
  <c r="D94" i="35"/>
  <c r="E94" i="35" s="1"/>
  <c r="D98" i="35"/>
  <c r="E98" i="35" s="1"/>
  <c r="D79" i="35"/>
  <c r="E79" i="35" s="1"/>
  <c r="D76" i="35"/>
  <c r="E76" i="35" s="1"/>
  <c r="D83" i="35"/>
  <c r="E83" i="35" s="1"/>
  <c r="D84" i="35"/>
  <c r="E84" i="35" s="1"/>
  <c r="D87" i="35"/>
  <c r="E87" i="35" s="1"/>
  <c r="D93" i="35"/>
  <c r="E93" i="35" s="1"/>
  <c r="D95" i="35"/>
  <c r="E95" i="35" s="1"/>
  <c r="D99" i="35"/>
  <c r="E99" i="35" s="1"/>
  <c r="D96" i="35"/>
  <c r="E96" i="35" s="1"/>
  <c r="D97" i="35"/>
  <c r="E97" i="35" s="1"/>
  <c r="D100" i="35"/>
  <c r="E100" i="35" s="1"/>
  <c r="D103" i="35"/>
  <c r="E103" i="35" s="1"/>
  <c r="D113" i="35"/>
  <c r="E113" i="35" s="1"/>
  <c r="D114" i="35"/>
  <c r="E114" i="35" s="1"/>
  <c r="D102" i="35"/>
  <c r="E102" i="35" s="1"/>
  <c r="D107" i="35"/>
  <c r="E107" i="35" s="1"/>
  <c r="D105" i="35"/>
  <c r="E105" i="35" s="1"/>
  <c r="D106" i="35"/>
  <c r="E106" i="35" s="1"/>
  <c r="D108" i="35"/>
  <c r="E108" i="35" s="1"/>
  <c r="D117" i="35"/>
  <c r="E117" i="35" s="1"/>
  <c r="D118" i="35"/>
  <c r="E118" i="35" s="1"/>
  <c r="D119" i="35"/>
  <c r="E119" i="35" s="1"/>
  <c r="D124" i="35"/>
  <c r="E124" i="35" s="1"/>
  <c r="D111" i="35"/>
  <c r="E111" i="35" s="1"/>
  <c r="D115" i="35"/>
  <c r="E115" i="35" s="1"/>
  <c r="D116" i="35"/>
  <c r="E116" i="35" s="1"/>
  <c r="D101" i="35"/>
  <c r="E101" i="35" s="1"/>
  <c r="D104" i="35"/>
  <c r="E104" i="35" s="1"/>
  <c r="D109" i="35"/>
  <c r="E109" i="35" s="1"/>
  <c r="D110" i="35"/>
  <c r="E110" i="35" s="1"/>
  <c r="D123" i="35"/>
  <c r="E123" i="35" s="1"/>
  <c r="D140" i="35"/>
  <c r="E140" i="35" s="1"/>
  <c r="D125" i="35"/>
  <c r="E125" i="35" s="1"/>
  <c r="D142" i="35"/>
  <c r="E142" i="35" s="1"/>
  <c r="D146" i="35"/>
  <c r="E146" i="35" s="1"/>
  <c r="D157" i="35"/>
  <c r="E157" i="35" s="1"/>
  <c r="D112" i="35"/>
  <c r="E112" i="35" s="1"/>
  <c r="D122" i="35"/>
  <c r="E122" i="35" s="1"/>
  <c r="D120" i="35"/>
  <c r="E120" i="35" s="1"/>
  <c r="D129" i="35"/>
  <c r="E129" i="35" s="1"/>
  <c r="D133" i="35"/>
  <c r="E133" i="35" s="1"/>
  <c r="D121" i="35"/>
  <c r="E121" i="35" s="1"/>
  <c r="D127" i="35"/>
  <c r="E127" i="35" s="1"/>
  <c r="D128" i="35"/>
  <c r="E128" i="35" s="1"/>
  <c r="D130" i="35"/>
  <c r="E130" i="35" s="1"/>
  <c r="D132" i="35"/>
  <c r="E132" i="35" s="1"/>
  <c r="D135" i="35"/>
  <c r="E135" i="35" s="1"/>
  <c r="D136" i="35"/>
  <c r="E136" i="35" s="1"/>
  <c r="D141" i="35"/>
  <c r="E141" i="35" s="1"/>
  <c r="D145" i="35"/>
  <c r="E145" i="35" s="1"/>
  <c r="D148" i="35"/>
  <c r="E148" i="35" s="1"/>
  <c r="D131" i="35"/>
  <c r="E131" i="35" s="1"/>
  <c r="D137" i="35"/>
  <c r="E137" i="35" s="1"/>
  <c r="D144" i="35"/>
  <c r="E144" i="35" s="1"/>
  <c r="D147" i="35"/>
  <c r="E147" i="35" s="1"/>
  <c r="D134" i="35"/>
  <c r="E134" i="35" s="1"/>
  <c r="D126" i="35"/>
  <c r="E126" i="35" s="1"/>
  <c r="D138" i="35"/>
  <c r="E138" i="35" s="1"/>
  <c r="D139" i="35"/>
  <c r="E139" i="35" s="1"/>
  <c r="D143" i="35"/>
  <c r="E143" i="35" s="1"/>
  <c r="D175" i="35"/>
  <c r="E175" i="35" s="1"/>
  <c r="D184" i="35"/>
  <c r="E184" i="35" s="1"/>
  <c r="D186" i="35"/>
  <c r="E186" i="35" s="1"/>
  <c r="D190" i="35"/>
  <c r="E190" i="35" s="1"/>
  <c r="D195" i="35"/>
  <c r="E195" i="35" s="1"/>
  <c r="D159" i="35"/>
  <c r="E159" i="35" s="1"/>
  <c r="D160" i="35"/>
  <c r="E160" i="35" s="1"/>
  <c r="D161" i="35"/>
  <c r="E161" i="35" s="1"/>
  <c r="D164" i="35"/>
  <c r="E164" i="35" s="1"/>
  <c r="D179" i="35"/>
  <c r="E179" i="35" s="1"/>
  <c r="D189" i="35"/>
  <c r="E189" i="35" s="1"/>
  <c r="D201" i="35"/>
  <c r="E201" i="35" s="1"/>
  <c r="D165" i="35"/>
  <c r="E165" i="35" s="1"/>
  <c r="D177" i="35"/>
  <c r="E177" i="35" s="1"/>
  <c r="D178" i="35"/>
  <c r="E178" i="35" s="1"/>
  <c r="D180" i="35"/>
  <c r="E180" i="35" s="1"/>
  <c r="D192" i="35"/>
  <c r="E192" i="35" s="1"/>
  <c r="D198" i="35"/>
  <c r="E198" i="35" s="1"/>
  <c r="D154" i="35"/>
  <c r="E154" i="35" s="1"/>
  <c r="D155" i="35"/>
  <c r="E155" i="35" s="1"/>
  <c r="D172" i="35"/>
  <c r="E172" i="35" s="1"/>
  <c r="D173" i="35"/>
  <c r="E173" i="35" s="1"/>
  <c r="D176" i="35"/>
  <c r="E176" i="35" s="1"/>
  <c r="D194" i="35"/>
  <c r="E194" i="35" s="1"/>
  <c r="D196" i="35"/>
  <c r="E196" i="35" s="1"/>
  <c r="D149" i="35"/>
  <c r="E149" i="35" s="1"/>
  <c r="D150" i="35"/>
  <c r="E150" i="35" s="1"/>
  <c r="D166" i="35"/>
  <c r="E166" i="35" s="1"/>
  <c r="D182" i="35"/>
  <c r="E182" i="35" s="1"/>
  <c r="D183" i="35"/>
  <c r="E183" i="35" s="1"/>
  <c r="D185" i="35"/>
  <c r="E185" i="35" s="1"/>
  <c r="D191" i="35"/>
  <c r="E191" i="35" s="1"/>
  <c r="D151" i="35"/>
  <c r="E151" i="35" s="1"/>
  <c r="D168" i="35"/>
  <c r="E168" i="35" s="1"/>
  <c r="D169" i="35"/>
  <c r="E169" i="35" s="1"/>
  <c r="D170" i="35"/>
  <c r="E170" i="35" s="1"/>
  <c r="D171" i="35"/>
  <c r="E171" i="35" s="1"/>
  <c r="D181" i="35"/>
  <c r="E181" i="35" s="1"/>
  <c r="D187" i="35"/>
  <c r="E187" i="35" s="1"/>
  <c r="D153" i="35"/>
  <c r="E153" i="35" s="1"/>
  <c r="D163" i="35"/>
  <c r="E163" i="35" s="1"/>
  <c r="D174" i="35"/>
  <c r="E174" i="35" s="1"/>
  <c r="D152" i="35"/>
  <c r="E152" i="35" s="1"/>
  <c r="D156" i="35"/>
  <c r="E156" i="35" s="1"/>
  <c r="D158" i="35"/>
  <c r="E158" i="35" s="1"/>
  <c r="D162" i="35"/>
  <c r="E162" i="35" s="1"/>
  <c r="D167" i="35"/>
  <c r="E167" i="35" s="1"/>
  <c r="D188" i="35"/>
  <c r="E188" i="35" s="1"/>
  <c r="D193" i="35"/>
  <c r="E193" i="35" s="1"/>
  <c r="D199" i="35"/>
  <c r="E199" i="35" s="1"/>
  <c r="D212" i="35"/>
  <c r="E212" i="35" s="1"/>
  <c r="D200" i="35"/>
  <c r="E200" i="35" s="1"/>
  <c r="D231" i="35"/>
  <c r="E231" i="35" s="1"/>
  <c r="D216" i="35"/>
  <c r="E216" i="35" s="1"/>
  <c r="D235" i="35"/>
  <c r="E235" i="35" s="1"/>
  <c r="D204" i="35"/>
  <c r="E204" i="35" s="1"/>
  <c r="D207" i="35"/>
  <c r="E207" i="35" s="1"/>
  <c r="D218" i="35"/>
  <c r="E218" i="35" s="1"/>
  <c r="D223" i="35"/>
  <c r="E223" i="35" s="1"/>
  <c r="D226" i="35"/>
  <c r="E226" i="35" s="1"/>
  <c r="D230" i="35"/>
  <c r="E230" i="35" s="1"/>
  <c r="D257" i="35"/>
  <c r="E257" i="35" s="1"/>
  <c r="D197" i="35"/>
  <c r="E197" i="35" s="1"/>
  <c r="D203" i="35"/>
  <c r="E203" i="35" s="1"/>
  <c r="D209" i="35"/>
  <c r="E209" i="35" s="1"/>
  <c r="D210" i="35"/>
  <c r="E210" i="35" s="1"/>
  <c r="D215" i="35"/>
  <c r="E215" i="35" s="1"/>
  <c r="D217" i="35"/>
  <c r="E217" i="35" s="1"/>
  <c r="D221" i="35"/>
  <c r="E221" i="35" s="1"/>
  <c r="D236" i="35"/>
  <c r="E236" i="35" s="1"/>
  <c r="D219" i="35"/>
  <c r="E219" i="35" s="1"/>
  <c r="D222" i="35"/>
  <c r="E222" i="35" s="1"/>
  <c r="D228" i="35"/>
  <c r="E228" i="35" s="1"/>
  <c r="D240" i="35"/>
  <c r="E240" i="35" s="1"/>
  <c r="D247" i="35"/>
  <c r="E247" i="35" s="1"/>
  <c r="D214" i="35"/>
  <c r="E214" i="35" s="1"/>
  <c r="D225" i="35"/>
  <c r="E225" i="35" s="1"/>
  <c r="D237" i="35"/>
  <c r="E237" i="35" s="1"/>
  <c r="D205" i="35"/>
  <c r="E205" i="35" s="1"/>
  <c r="D211" i="35"/>
  <c r="E211" i="35" s="1"/>
  <c r="D213" i="35"/>
  <c r="E213" i="35" s="1"/>
  <c r="D220" i="35"/>
  <c r="E220" i="35" s="1"/>
  <c r="D229" i="35"/>
  <c r="E229" i="35" s="1"/>
  <c r="D242" i="35"/>
  <c r="E242" i="35" s="1"/>
  <c r="D241" i="35"/>
  <c r="E241" i="35" s="1"/>
  <c r="D245" i="35"/>
  <c r="E245" i="35" s="1"/>
  <c r="D248" i="35"/>
  <c r="E248" i="35" s="1"/>
  <c r="D202" i="35"/>
  <c r="E202" i="35" s="1"/>
  <c r="D206" i="35"/>
  <c r="E206" i="35" s="1"/>
  <c r="D208" i="35"/>
  <c r="E208" i="35" s="1"/>
  <c r="D224" i="35"/>
  <c r="E224" i="35" s="1"/>
  <c r="D227" i="35"/>
  <c r="E227" i="35" s="1"/>
  <c r="D232" i="35"/>
  <c r="E232" i="35" s="1"/>
  <c r="D233" i="35"/>
  <c r="E233" i="35" s="1"/>
  <c r="D234" i="35"/>
  <c r="E234" i="35" s="1"/>
  <c r="D238" i="35"/>
  <c r="E238" i="35" s="1"/>
  <c r="D243" i="35"/>
  <c r="E243" i="35" s="1"/>
  <c r="D271" i="35"/>
  <c r="E271" i="35" s="1"/>
  <c r="D239" i="35"/>
  <c r="E239" i="35" s="1"/>
  <c r="D253" i="35"/>
  <c r="E253" i="35" s="1"/>
  <c r="D259" i="35"/>
  <c r="E259" i="35" s="1"/>
  <c r="D279" i="35"/>
  <c r="E279" i="35" s="1"/>
  <c r="D280" i="35"/>
  <c r="E280" i="35" s="1"/>
  <c r="D290" i="35"/>
  <c r="E290" i="35" s="1"/>
  <c r="D291" i="35"/>
  <c r="E291" i="35" s="1"/>
  <c r="D299" i="35"/>
  <c r="E299" i="35" s="1"/>
  <c r="D250" i="35"/>
  <c r="E250" i="35" s="1"/>
  <c r="D255" i="35"/>
  <c r="E255" i="35" s="1"/>
  <c r="D258" i="35"/>
  <c r="E258" i="35" s="1"/>
  <c r="D262" i="35"/>
  <c r="E262" i="35" s="1"/>
  <c r="D288" i="35"/>
  <c r="E288" i="35" s="1"/>
  <c r="D298" i="35"/>
  <c r="E298" i="35" s="1"/>
  <c r="D306" i="35"/>
  <c r="E306" i="35" s="1"/>
  <c r="D312" i="35"/>
  <c r="E312" i="35" s="1"/>
  <c r="D313" i="35"/>
  <c r="E313" i="35" s="1"/>
  <c r="D252" i="35"/>
  <c r="E252" i="35" s="1"/>
  <c r="D263" i="35"/>
  <c r="E263" i="35" s="1"/>
  <c r="D267" i="35"/>
  <c r="E267" i="35" s="1"/>
  <c r="D297" i="35"/>
  <c r="E297" i="35" s="1"/>
  <c r="D246" i="35"/>
  <c r="E246" i="35" s="1"/>
  <c r="D256" i="35"/>
  <c r="E256" i="35" s="1"/>
  <c r="D260" i="35"/>
  <c r="E260" i="35" s="1"/>
  <c r="D269" i="35"/>
  <c r="E269" i="35" s="1"/>
  <c r="D284" i="35"/>
  <c r="E284" i="35" s="1"/>
  <c r="D287" i="35"/>
  <c r="E287" i="35" s="1"/>
  <c r="D305" i="35"/>
  <c r="E305" i="35" s="1"/>
  <c r="D307" i="35"/>
  <c r="E307" i="35" s="1"/>
  <c r="D314" i="35"/>
  <c r="E314" i="35" s="1"/>
  <c r="D320" i="35"/>
  <c r="E320" i="35" s="1"/>
  <c r="D321" i="35"/>
  <c r="E321" i="35" s="1"/>
  <c r="D244" i="35"/>
  <c r="E244" i="35" s="1"/>
  <c r="D265" i="35"/>
  <c r="E265" i="35" s="1"/>
  <c r="D266" i="35"/>
  <c r="E266" i="35" s="1"/>
  <c r="D268" i="35"/>
  <c r="E268" i="35" s="1"/>
  <c r="D282" i="35"/>
  <c r="E282" i="35" s="1"/>
  <c r="D295" i="35"/>
  <c r="E295" i="35" s="1"/>
  <c r="D274" i="35"/>
  <c r="E274" i="35" s="1"/>
  <c r="D276" i="35"/>
  <c r="E276" i="35" s="1"/>
  <c r="D283" i="35"/>
  <c r="E283" i="35" s="1"/>
  <c r="D292" i="35"/>
  <c r="E292" i="35" s="1"/>
  <c r="D293" i="35"/>
  <c r="E293" i="35" s="1"/>
  <c r="D311" i="35"/>
  <c r="E311" i="35" s="1"/>
  <c r="D261" i="35"/>
  <c r="E261" i="35" s="1"/>
  <c r="D281" i="35"/>
  <c r="E281" i="35" s="1"/>
  <c r="D249" i="35"/>
  <c r="E249" i="35" s="1"/>
  <c r="D264" i="35"/>
  <c r="E264" i="35" s="1"/>
  <c r="D270" i="35"/>
  <c r="E270" i="35" s="1"/>
  <c r="D273" i="35"/>
  <c r="E273" i="35" s="1"/>
  <c r="D275" i="35"/>
  <c r="E275" i="35" s="1"/>
  <c r="D285" i="35"/>
  <c r="E285" i="35" s="1"/>
  <c r="D286" i="35"/>
  <c r="E286" i="35" s="1"/>
  <c r="D294" i="35"/>
  <c r="E294" i="35" s="1"/>
  <c r="D251" i="35"/>
  <c r="E251" i="35" s="1"/>
  <c r="D254" i="35"/>
  <c r="E254" i="35" s="1"/>
  <c r="D272" i="35"/>
  <c r="E272" i="35" s="1"/>
  <c r="D277" i="35"/>
  <c r="E277" i="35" s="1"/>
  <c r="D278" i="35"/>
  <c r="E278" i="35" s="1"/>
  <c r="D289" i="35"/>
  <c r="E289" i="35" s="1"/>
  <c r="D296" i="35"/>
  <c r="E296" i="35" s="1"/>
  <c r="D303" i="35"/>
  <c r="E303" i="35" s="1"/>
  <c r="D309" i="35"/>
  <c r="E309" i="35" s="1"/>
  <c r="D322" i="35"/>
  <c r="E322" i="35" s="1"/>
  <c r="D346" i="35"/>
  <c r="E346" i="35" s="1"/>
  <c r="D358" i="35"/>
  <c r="E358" i="35" s="1"/>
  <c r="D326" i="35"/>
  <c r="E326" i="35" s="1"/>
  <c r="D330" i="35"/>
  <c r="E330" i="35" s="1"/>
  <c r="D341" i="35"/>
  <c r="E341" i="35" s="1"/>
  <c r="D344" i="35"/>
  <c r="E344" i="35" s="1"/>
  <c r="D369" i="35"/>
  <c r="E369" i="35" s="1"/>
  <c r="D373" i="35"/>
  <c r="E373" i="35" s="1"/>
  <c r="D377" i="35"/>
  <c r="E377" i="35" s="1"/>
  <c r="D378" i="35"/>
  <c r="E378" i="35" s="1"/>
  <c r="D388" i="35"/>
  <c r="E388" i="35" s="1"/>
  <c r="D395" i="35"/>
  <c r="E395" i="35" s="1"/>
  <c r="D402" i="35"/>
  <c r="E402" i="35" s="1"/>
  <c r="D408" i="35"/>
  <c r="E408" i="35" s="1"/>
  <c r="D414" i="35"/>
  <c r="E414" i="35" s="1"/>
  <c r="D424" i="35"/>
  <c r="E424" i="35" s="1"/>
  <c r="D427" i="35"/>
  <c r="E427" i="35" s="1"/>
  <c r="D429" i="35"/>
  <c r="E429" i="35" s="1"/>
  <c r="D440" i="35"/>
  <c r="E440" i="35" s="1"/>
  <c r="D317" i="35"/>
  <c r="E317" i="35" s="1"/>
  <c r="D337" i="35"/>
  <c r="E337" i="35" s="1"/>
  <c r="D345" i="35"/>
  <c r="E345" i="35" s="1"/>
  <c r="D349" i="35"/>
  <c r="E349" i="35" s="1"/>
  <c r="D352" i="35"/>
  <c r="E352" i="35" s="1"/>
  <c r="D300" i="35"/>
  <c r="E300" i="35" s="1"/>
  <c r="D315" i="35"/>
  <c r="E315" i="35" s="1"/>
  <c r="D327" i="35"/>
  <c r="E327" i="35" s="1"/>
  <c r="D329" i="35"/>
  <c r="E329" i="35" s="1"/>
  <c r="D332" i="35"/>
  <c r="E332" i="35" s="1"/>
  <c r="D348" i="35"/>
  <c r="E348" i="35" s="1"/>
  <c r="D353" i="35"/>
  <c r="E353" i="35" s="1"/>
  <c r="D362" i="35"/>
  <c r="E362" i="35" s="1"/>
  <c r="D363" i="35"/>
  <c r="E363" i="35" s="1"/>
  <c r="D372" i="35"/>
  <c r="E372" i="35" s="1"/>
  <c r="D379" i="35"/>
  <c r="E379" i="35" s="1"/>
  <c r="D380" i="35"/>
  <c r="E380" i="35" s="1"/>
  <c r="D382" i="35"/>
  <c r="E382" i="35" s="1"/>
  <c r="D383" i="35"/>
  <c r="E383" i="35" s="1"/>
  <c r="D416" i="35"/>
  <c r="E416" i="35" s="1"/>
  <c r="D418" i="35"/>
  <c r="E418" i="35" s="1"/>
  <c r="D444" i="35"/>
  <c r="E444" i="35" s="1"/>
  <c r="D351" i="35"/>
  <c r="E351" i="35" s="1"/>
  <c r="D310" i="35"/>
  <c r="E310" i="35" s="1"/>
  <c r="D323" i="35"/>
  <c r="E323" i="35" s="1"/>
  <c r="D324" i="35"/>
  <c r="E324" i="35" s="1"/>
  <c r="D325" i="35"/>
  <c r="E325" i="35" s="1"/>
  <c r="D333" i="35"/>
  <c r="E333" i="35" s="1"/>
  <c r="D308" i="35"/>
  <c r="E308" i="35" s="1"/>
  <c r="D318" i="35"/>
  <c r="E318" i="35" s="1"/>
  <c r="D340" i="35"/>
  <c r="E340" i="35" s="1"/>
  <c r="D350" i="35"/>
  <c r="E350" i="35" s="1"/>
  <c r="D354" i="35"/>
  <c r="E354" i="35" s="1"/>
  <c r="D360" i="35"/>
  <c r="E360" i="35" s="1"/>
  <c r="D366" i="35"/>
  <c r="E366" i="35" s="1"/>
  <c r="D367" i="35"/>
  <c r="E367" i="35" s="1"/>
  <c r="D375" i="35"/>
  <c r="E375" i="35" s="1"/>
  <c r="D393" i="35"/>
  <c r="E393" i="35" s="1"/>
  <c r="D403" i="35"/>
  <c r="E403" i="35" s="1"/>
  <c r="D404" i="35"/>
  <c r="E404" i="35" s="1"/>
  <c r="D421" i="35"/>
  <c r="E421" i="35" s="1"/>
  <c r="D430" i="35"/>
  <c r="E430" i="35" s="1"/>
  <c r="D302" i="35"/>
  <c r="E302" i="35" s="1"/>
  <c r="D304" i="35"/>
  <c r="E304" i="35" s="1"/>
  <c r="D319" i="35"/>
  <c r="E319" i="35" s="1"/>
  <c r="D328" i="35"/>
  <c r="E328" i="35" s="1"/>
  <c r="D331" i="35"/>
  <c r="E331" i="35" s="1"/>
  <c r="D336" i="35"/>
  <c r="E336" i="35" s="1"/>
  <c r="D342" i="35"/>
  <c r="E342" i="35" s="1"/>
  <c r="D343" i="35"/>
  <c r="E343" i="35" s="1"/>
  <c r="D347" i="35"/>
  <c r="E347" i="35" s="1"/>
  <c r="D301" i="35"/>
  <c r="E301" i="35" s="1"/>
  <c r="D316" i="35"/>
  <c r="E316" i="35" s="1"/>
  <c r="D334" i="35"/>
  <c r="E334" i="35" s="1"/>
  <c r="D335" i="35"/>
  <c r="E335" i="35" s="1"/>
  <c r="D338" i="35"/>
  <c r="E338" i="35" s="1"/>
  <c r="D339" i="35"/>
  <c r="E339" i="35" s="1"/>
  <c r="D356" i="35"/>
  <c r="E356" i="35" s="1"/>
  <c r="D357" i="35"/>
  <c r="E357" i="35" s="1"/>
  <c r="D355" i="35"/>
  <c r="E355" i="35" s="1"/>
  <c r="D361" i="35"/>
  <c r="E361" i="35" s="1"/>
  <c r="D368" i="35"/>
  <c r="E368" i="35" s="1"/>
  <c r="D381" i="35"/>
  <c r="E381" i="35" s="1"/>
  <c r="D387" i="35"/>
  <c r="E387" i="35" s="1"/>
  <c r="D392" i="35"/>
  <c r="E392" i="35" s="1"/>
  <c r="D415" i="35"/>
  <c r="E415" i="35" s="1"/>
  <c r="D426" i="35"/>
  <c r="E426" i="35" s="1"/>
  <c r="D432" i="35"/>
  <c r="E432" i="35" s="1"/>
  <c r="D436" i="35"/>
  <c r="E436" i="35" s="1"/>
  <c r="D437" i="35"/>
  <c r="E437" i="35" s="1"/>
  <c r="D452" i="35"/>
  <c r="E452" i="35" s="1"/>
  <c r="D454" i="35"/>
  <c r="E454" i="35" s="1"/>
  <c r="D455" i="35"/>
  <c r="E455" i="35" s="1"/>
  <c r="D443" i="35"/>
  <c r="E443" i="35" s="1"/>
  <c r="D450" i="35"/>
  <c r="E450" i="35" s="1"/>
  <c r="D365" i="35"/>
  <c r="E365" i="35" s="1"/>
  <c r="D374" i="35"/>
  <c r="E374" i="35" s="1"/>
  <c r="D384" i="35"/>
  <c r="E384" i="35" s="1"/>
  <c r="D385" i="35"/>
  <c r="E385" i="35" s="1"/>
  <c r="D391" i="35"/>
  <c r="E391" i="35" s="1"/>
  <c r="D394" i="35"/>
  <c r="E394" i="35" s="1"/>
  <c r="D396" i="35"/>
  <c r="E396" i="35" s="1"/>
  <c r="D401" i="35"/>
  <c r="E401" i="35" s="1"/>
  <c r="D406" i="35"/>
  <c r="E406" i="35" s="1"/>
  <c r="D409" i="35"/>
  <c r="E409" i="35" s="1"/>
  <c r="D413" i="35"/>
  <c r="E413" i="35" s="1"/>
  <c r="D422" i="35"/>
  <c r="E422" i="35" s="1"/>
  <c r="D431" i="35"/>
  <c r="E431" i="35" s="1"/>
  <c r="D433" i="35"/>
  <c r="E433" i="35" s="1"/>
  <c r="D435" i="35"/>
  <c r="E435" i="35" s="1"/>
  <c r="D438" i="35"/>
  <c r="E438" i="35" s="1"/>
  <c r="D441" i="35"/>
  <c r="E441" i="35" s="1"/>
  <c r="D447" i="35"/>
  <c r="E447" i="35" s="1"/>
  <c r="D481" i="35"/>
  <c r="E481" i="35" s="1"/>
  <c r="D521" i="35"/>
  <c r="E521" i="35" s="1"/>
  <c r="D459" i="35"/>
  <c r="E459" i="35" s="1"/>
  <c r="D466" i="35"/>
  <c r="E466" i="35" s="1"/>
  <c r="D489" i="35"/>
  <c r="E489" i="35" s="1"/>
  <c r="D523" i="35"/>
  <c r="E523" i="35" s="1"/>
  <c r="D527" i="35"/>
  <c r="E527" i="35" s="1"/>
  <c r="D535" i="35"/>
  <c r="E535" i="35" s="1"/>
  <c r="D536" i="35"/>
  <c r="E536" i="35" s="1"/>
  <c r="D540" i="35"/>
  <c r="E540" i="35" s="1"/>
  <c r="D542" i="35"/>
  <c r="E542" i="35" s="1"/>
  <c r="D449" i="35"/>
  <c r="E449" i="35" s="1"/>
  <c r="D359" i="35"/>
  <c r="E359" i="35" s="1"/>
  <c r="D386" i="35"/>
  <c r="E386" i="35" s="1"/>
  <c r="D389" i="35"/>
  <c r="E389" i="35" s="1"/>
  <c r="D397" i="35"/>
  <c r="E397" i="35" s="1"/>
  <c r="D399" i="35"/>
  <c r="E399" i="35" s="1"/>
  <c r="D407" i="35"/>
  <c r="E407" i="35" s="1"/>
  <c r="D411" i="35"/>
  <c r="E411" i="35" s="1"/>
  <c r="D412" i="35"/>
  <c r="E412" i="35" s="1"/>
  <c r="D434" i="35"/>
  <c r="E434" i="35" s="1"/>
  <c r="D439" i="35"/>
  <c r="E439" i="35" s="1"/>
  <c r="D446" i="35"/>
  <c r="E446" i="35" s="1"/>
  <c r="D451" i="35"/>
  <c r="E451" i="35" s="1"/>
  <c r="D456" i="35"/>
  <c r="E456" i="35" s="1"/>
  <c r="D461" i="35"/>
  <c r="E461" i="35" s="1"/>
  <c r="D463" i="35"/>
  <c r="E463" i="35" s="1"/>
  <c r="D478" i="35"/>
  <c r="E478" i="35" s="1"/>
  <c r="D482" i="35"/>
  <c r="E482" i="35" s="1"/>
  <c r="D484" i="35"/>
  <c r="E484" i="35" s="1"/>
  <c r="D485" i="35"/>
  <c r="E485" i="35" s="1"/>
  <c r="D505" i="35"/>
  <c r="E505" i="35" s="1"/>
  <c r="D512" i="35"/>
  <c r="E512" i="35" s="1"/>
  <c r="D517" i="35"/>
  <c r="E517" i="35" s="1"/>
  <c r="D531" i="35"/>
  <c r="E531" i="35" s="1"/>
  <c r="D537" i="35"/>
  <c r="E537" i="35" s="1"/>
  <c r="D370" i="35"/>
  <c r="E370" i="35" s="1"/>
  <c r="D376" i="35"/>
  <c r="E376" i="35" s="1"/>
  <c r="D398" i="35"/>
  <c r="E398" i="35" s="1"/>
  <c r="D400" i="35"/>
  <c r="E400" i="35" s="1"/>
  <c r="D405" i="35"/>
  <c r="E405" i="35" s="1"/>
  <c r="D417" i="35"/>
  <c r="E417" i="35" s="1"/>
  <c r="D420" i="35"/>
  <c r="E420" i="35" s="1"/>
  <c r="D425" i="35"/>
  <c r="E425" i="35" s="1"/>
  <c r="D445" i="35"/>
  <c r="E445" i="35" s="1"/>
  <c r="D501" i="35"/>
  <c r="E501" i="35" s="1"/>
  <c r="D462" i="35"/>
  <c r="E462" i="35" s="1"/>
  <c r="D479" i="35"/>
  <c r="E479" i="35" s="1"/>
  <c r="D490" i="35"/>
  <c r="E490" i="35" s="1"/>
  <c r="D507" i="35"/>
  <c r="E507" i="35" s="1"/>
  <c r="D513" i="35"/>
  <c r="E513" i="35" s="1"/>
  <c r="D514" i="35"/>
  <c r="E514" i="35" s="1"/>
  <c r="D522" i="35"/>
  <c r="E522" i="35" s="1"/>
  <c r="D525" i="35"/>
  <c r="E525" i="35" s="1"/>
  <c r="D533" i="35"/>
  <c r="E533" i="35" s="1"/>
  <c r="D541" i="35"/>
  <c r="E541" i="35" s="1"/>
  <c r="D547" i="35"/>
  <c r="E547" i="35" s="1"/>
  <c r="D549" i="35"/>
  <c r="E549" i="35" s="1"/>
  <c r="D552" i="35"/>
  <c r="E552" i="35" s="1"/>
  <c r="D448" i="35"/>
  <c r="E448" i="35" s="1"/>
  <c r="D364" i="35"/>
  <c r="E364" i="35" s="1"/>
  <c r="D371" i="35"/>
  <c r="E371" i="35" s="1"/>
  <c r="D390" i="35"/>
  <c r="E390" i="35" s="1"/>
  <c r="D410" i="35"/>
  <c r="E410" i="35" s="1"/>
  <c r="D419" i="35"/>
  <c r="E419" i="35" s="1"/>
  <c r="D423" i="35"/>
  <c r="E423" i="35" s="1"/>
  <c r="D428" i="35"/>
  <c r="E428" i="35" s="1"/>
  <c r="D442" i="35"/>
  <c r="E442" i="35" s="1"/>
  <c r="D460" i="35"/>
  <c r="E460" i="35" s="1"/>
  <c r="D457" i="35"/>
  <c r="E457" i="35" s="1"/>
  <c r="D458" i="35"/>
  <c r="E458" i="35" s="1"/>
  <c r="D467" i="35"/>
  <c r="E467" i="35" s="1"/>
  <c r="D486" i="35"/>
  <c r="E486" i="35" s="1"/>
  <c r="D494" i="35"/>
  <c r="E494" i="35" s="1"/>
  <c r="D498" i="35"/>
  <c r="E498" i="35" s="1"/>
  <c r="D499" i="35"/>
  <c r="E499" i="35" s="1"/>
  <c r="D511" i="35"/>
  <c r="E511" i="35" s="1"/>
  <c r="D516" i="35"/>
  <c r="E516" i="35" s="1"/>
  <c r="D470" i="35"/>
  <c r="E470" i="35" s="1"/>
  <c r="D483" i="35"/>
  <c r="E483" i="35" s="1"/>
  <c r="D488" i="35"/>
  <c r="E488" i="35" s="1"/>
  <c r="D492" i="35"/>
  <c r="E492" i="35" s="1"/>
  <c r="D500" i="35"/>
  <c r="E500" i="35" s="1"/>
  <c r="D503" i="35"/>
  <c r="E503" i="35" s="1"/>
  <c r="D510" i="35"/>
  <c r="E510" i="35" s="1"/>
  <c r="D518" i="35"/>
  <c r="E518" i="35" s="1"/>
  <c r="D524" i="35"/>
  <c r="E524" i="35" s="1"/>
  <c r="D529" i="35"/>
  <c r="E529" i="35" s="1"/>
  <c r="D544" i="35"/>
  <c r="E544" i="35" s="1"/>
  <c r="D550" i="35"/>
  <c r="E550" i="35" s="1"/>
  <c r="D556" i="35"/>
  <c r="E556" i="35" s="1"/>
  <c r="D557" i="35"/>
  <c r="E557" i="35" s="1"/>
  <c r="D568" i="35"/>
  <c r="E568" i="35" s="1"/>
  <c r="D571" i="35"/>
  <c r="E571" i="35" s="1"/>
  <c r="D579" i="35"/>
  <c r="E579" i="35" s="1"/>
  <c r="D585" i="35"/>
  <c r="E585" i="35" s="1"/>
  <c r="D595" i="35"/>
  <c r="E595" i="35" s="1"/>
  <c r="D616" i="35"/>
  <c r="E616" i="35" s="1"/>
  <c r="D618" i="35"/>
  <c r="E618" i="35" s="1"/>
  <c r="D631" i="35"/>
  <c r="E631" i="35" s="1"/>
  <c r="D545" i="35"/>
  <c r="E545" i="35" s="1"/>
  <c r="D465" i="35"/>
  <c r="E465" i="35" s="1"/>
  <c r="D468" i="35"/>
  <c r="E468" i="35" s="1"/>
  <c r="D471" i="35"/>
  <c r="E471" i="35" s="1"/>
  <c r="D473" i="35"/>
  <c r="E473" i="35" s="1"/>
  <c r="D480" i="35"/>
  <c r="E480" i="35" s="1"/>
  <c r="D487" i="35"/>
  <c r="E487" i="35" s="1"/>
  <c r="D493" i="35"/>
  <c r="E493" i="35" s="1"/>
  <c r="D502" i="35"/>
  <c r="E502" i="35" s="1"/>
  <c r="D504" i="35"/>
  <c r="E504" i="35" s="1"/>
  <c r="D509" i="35"/>
  <c r="E509" i="35" s="1"/>
  <c r="D515" i="35"/>
  <c r="E515" i="35" s="1"/>
  <c r="D526" i="35"/>
  <c r="E526" i="35" s="1"/>
  <c r="D530" i="35"/>
  <c r="E530" i="35" s="1"/>
  <c r="D539" i="35"/>
  <c r="E539" i="35" s="1"/>
  <c r="D548" i="35"/>
  <c r="E548" i="35" s="1"/>
  <c r="D553" i="35"/>
  <c r="E553" i="35" s="1"/>
  <c r="D559" i="35"/>
  <c r="E559" i="35" s="1"/>
  <c r="D563" i="35"/>
  <c r="E563" i="35" s="1"/>
  <c r="D558" i="35"/>
  <c r="E558" i="35" s="1"/>
  <c r="D574" i="35"/>
  <c r="E574" i="35" s="1"/>
  <c r="D584" i="35"/>
  <c r="E584" i="35" s="1"/>
  <c r="D591" i="35"/>
  <c r="E591" i="35" s="1"/>
  <c r="D592" i="35"/>
  <c r="E592" i="35" s="1"/>
  <c r="D604" i="35"/>
  <c r="E604" i="35" s="1"/>
  <c r="D637" i="35"/>
  <c r="E637" i="35" s="1"/>
  <c r="D655" i="35"/>
  <c r="E655" i="35" s="1"/>
  <c r="D560" i="35"/>
  <c r="E560" i="35" s="1"/>
  <c r="D453" i="35"/>
  <c r="E453" i="35" s="1"/>
  <c r="D464" i="35"/>
  <c r="E464" i="35" s="1"/>
  <c r="D472" i="35"/>
  <c r="E472" i="35" s="1"/>
  <c r="D475" i="35"/>
  <c r="E475" i="35" s="1"/>
  <c r="D476" i="35"/>
  <c r="E476" i="35" s="1"/>
  <c r="D495" i="35"/>
  <c r="E495" i="35" s="1"/>
  <c r="D496" i="35"/>
  <c r="E496" i="35" s="1"/>
  <c r="D497" i="35"/>
  <c r="E497" i="35" s="1"/>
  <c r="D508" i="35"/>
  <c r="E508" i="35" s="1"/>
  <c r="D520" i="35"/>
  <c r="E520" i="35" s="1"/>
  <c r="D528" i="35"/>
  <c r="E528" i="35" s="1"/>
  <c r="D532" i="35"/>
  <c r="E532" i="35" s="1"/>
  <c r="D538" i="35"/>
  <c r="E538" i="35" s="1"/>
  <c r="D554" i="35"/>
  <c r="E554" i="35" s="1"/>
  <c r="D555" i="35"/>
  <c r="E555" i="35" s="1"/>
  <c r="D562" i="35"/>
  <c r="E562" i="35" s="1"/>
  <c r="D576" i="35"/>
  <c r="E576" i="35" s="1"/>
  <c r="D590" i="35"/>
  <c r="E590" i="35" s="1"/>
  <c r="D609" i="35"/>
  <c r="E609" i="35" s="1"/>
  <c r="D636" i="35"/>
  <c r="E636" i="35" s="1"/>
  <c r="D641" i="35"/>
  <c r="E641" i="35" s="1"/>
  <c r="D646" i="35"/>
  <c r="E646" i="35" s="1"/>
  <c r="D654" i="35"/>
  <c r="E654" i="35" s="1"/>
  <c r="D569" i="35"/>
  <c r="E569" i="35" s="1"/>
  <c r="D543" i="35"/>
  <c r="E543" i="35" s="1"/>
  <c r="D546" i="35"/>
  <c r="E546" i="35" s="1"/>
  <c r="D551" i="35"/>
  <c r="E551" i="35" s="1"/>
  <c r="D469" i="35"/>
  <c r="E469" i="35" s="1"/>
  <c r="D474" i="35"/>
  <c r="E474" i="35" s="1"/>
  <c r="D477" i="35"/>
  <c r="E477" i="35" s="1"/>
  <c r="D491" i="35"/>
  <c r="E491" i="35" s="1"/>
  <c r="D506" i="35"/>
  <c r="E506" i="35" s="1"/>
  <c r="D519" i="35"/>
  <c r="E519" i="35" s="1"/>
  <c r="D534" i="35"/>
  <c r="E534" i="35" s="1"/>
  <c r="D564" i="35"/>
  <c r="E564" i="35" s="1"/>
  <c r="D601" i="35"/>
  <c r="E601" i="35" s="1"/>
  <c r="D561" i="35"/>
  <c r="E561" i="35" s="1"/>
  <c r="D566" i="35"/>
  <c r="E566" i="35" s="1"/>
  <c r="D596" i="35"/>
  <c r="E596" i="35" s="1"/>
  <c r="D607" i="35"/>
  <c r="E607" i="35" s="1"/>
  <c r="D614" i="35"/>
  <c r="E614" i="35" s="1"/>
  <c r="D620" i="35"/>
  <c r="E620" i="35" s="1"/>
  <c r="D622" i="35"/>
  <c r="E622" i="35" s="1"/>
  <c r="D630" i="35"/>
  <c r="E630" i="35" s="1"/>
  <c r="D633" i="35"/>
  <c r="E633" i="35" s="1"/>
  <c r="D634" i="35"/>
  <c r="E634" i="35" s="1"/>
  <c r="D638" i="35"/>
  <c r="E638" i="35" s="1"/>
  <c r="D643" i="35"/>
  <c r="E643" i="35" s="1"/>
  <c r="D645" i="35"/>
  <c r="E645" i="35" s="1"/>
  <c r="D652" i="35"/>
  <c r="E652" i="35" s="1"/>
  <c r="D570" i="35"/>
  <c r="E570" i="35" s="1"/>
  <c r="D572" i="35"/>
  <c r="E572" i="35" s="1"/>
  <c r="D580" i="35"/>
  <c r="E580" i="35" s="1"/>
  <c r="D581" i="35"/>
  <c r="E581" i="35" s="1"/>
  <c r="D583" i="35"/>
  <c r="E583" i="35" s="1"/>
  <c r="D587" i="35"/>
  <c r="E587" i="35" s="1"/>
  <c r="D588" i="35"/>
  <c r="E588" i="35" s="1"/>
  <c r="D589" i="35"/>
  <c r="E589" i="35" s="1"/>
  <c r="D597" i="35"/>
  <c r="E597" i="35" s="1"/>
  <c r="D605" i="35"/>
  <c r="E605" i="35" s="1"/>
  <c r="D615" i="35"/>
  <c r="E615" i="35" s="1"/>
  <c r="D621" i="35"/>
  <c r="E621" i="35" s="1"/>
  <c r="D625" i="35"/>
  <c r="E625" i="35" s="1"/>
  <c r="D626" i="35"/>
  <c r="E626" i="35" s="1"/>
  <c r="D628" i="35"/>
  <c r="E628" i="35" s="1"/>
  <c r="D642" i="35"/>
  <c r="E642" i="35" s="1"/>
  <c r="D644" i="35"/>
  <c r="E644" i="35" s="1"/>
  <c r="D647" i="35"/>
  <c r="E647" i="35" s="1"/>
  <c r="D650" i="35"/>
  <c r="E650" i="35" s="1"/>
  <c r="D660" i="35"/>
  <c r="E660" i="35" s="1"/>
  <c r="D662" i="35"/>
  <c r="E662" i="35" s="1"/>
  <c r="D663" i="35"/>
  <c r="E663" i="35" s="1"/>
  <c r="D667" i="35"/>
  <c r="E667" i="35" s="1"/>
  <c r="D677" i="35"/>
  <c r="E677" i="35" s="1"/>
  <c r="D701" i="35"/>
  <c r="E701" i="35" s="1"/>
  <c r="D679" i="35"/>
  <c r="E679" i="35" s="1"/>
  <c r="D683" i="35"/>
  <c r="E683" i="35" s="1"/>
  <c r="D689" i="35"/>
  <c r="E689" i="35" s="1"/>
  <c r="D690" i="35"/>
  <c r="E690" i="35" s="1"/>
  <c r="D693" i="35"/>
  <c r="E693" i="35" s="1"/>
  <c r="D700" i="35"/>
  <c r="E700" i="35" s="1"/>
  <c r="D711" i="35"/>
  <c r="E711" i="35" s="1"/>
  <c r="D723" i="35"/>
  <c r="E723" i="35" s="1"/>
  <c r="D724" i="35"/>
  <c r="E724" i="35" s="1"/>
  <c r="D738" i="35"/>
  <c r="E738" i="35" s="1"/>
  <c r="D744" i="35"/>
  <c r="E744" i="35" s="1"/>
  <c r="D748" i="35"/>
  <c r="E748" i="35" s="1"/>
  <c r="D567" i="35"/>
  <c r="E567" i="35" s="1"/>
  <c r="D577" i="35"/>
  <c r="E577" i="35" s="1"/>
  <c r="D586" i="35"/>
  <c r="E586" i="35" s="1"/>
  <c r="D623" i="35"/>
  <c r="E623" i="35" s="1"/>
  <c r="D651" i="35"/>
  <c r="E651" i="35" s="1"/>
  <c r="D653" i="35"/>
  <c r="E653" i="35" s="1"/>
  <c r="D681" i="35"/>
  <c r="E681" i="35" s="1"/>
  <c r="D680" i="35"/>
  <c r="E680" i="35" s="1"/>
  <c r="D665" i="35"/>
  <c r="E665" i="35" s="1"/>
  <c r="D692" i="35"/>
  <c r="E692" i="35" s="1"/>
  <c r="D697" i="35"/>
  <c r="E697" i="35" s="1"/>
  <c r="D704" i="35"/>
  <c r="E704" i="35" s="1"/>
  <c r="D705" i="35"/>
  <c r="E705" i="35" s="1"/>
  <c r="D709" i="35"/>
  <c r="E709" i="35" s="1"/>
  <c r="D717" i="35"/>
  <c r="E717" i="35" s="1"/>
  <c r="D731" i="35"/>
  <c r="E731" i="35" s="1"/>
  <c r="D741" i="35"/>
  <c r="E741" i="35" s="1"/>
  <c r="D751" i="35"/>
  <c r="E751" i="35" s="1"/>
  <c r="D762" i="35"/>
  <c r="E762" i="35" s="1"/>
  <c r="D575" i="35"/>
  <c r="E575" i="35" s="1"/>
  <c r="D582" i="35"/>
  <c r="E582" i="35" s="1"/>
  <c r="D599" i="35"/>
  <c r="E599" i="35" s="1"/>
  <c r="D606" i="35"/>
  <c r="E606" i="35" s="1"/>
  <c r="D608" i="35"/>
  <c r="E608" i="35" s="1"/>
  <c r="D610" i="35"/>
  <c r="E610" i="35" s="1"/>
  <c r="D612" i="35"/>
  <c r="E612" i="35" s="1"/>
  <c r="D624" i="35"/>
  <c r="E624" i="35" s="1"/>
  <c r="D629" i="35"/>
  <c r="E629" i="35" s="1"/>
  <c r="D632" i="35"/>
  <c r="E632" i="35" s="1"/>
  <c r="D639" i="35"/>
  <c r="E639" i="35" s="1"/>
  <c r="D649" i="35"/>
  <c r="E649" i="35" s="1"/>
  <c r="D656" i="35"/>
  <c r="E656" i="35" s="1"/>
  <c r="D658" i="35"/>
  <c r="E658" i="35" s="1"/>
  <c r="D664" i="35"/>
  <c r="E664" i="35" s="1"/>
  <c r="D666" i="35"/>
  <c r="E666" i="35" s="1"/>
  <c r="D669" i="35"/>
  <c r="E669" i="35" s="1"/>
  <c r="D670" i="35"/>
  <c r="E670" i="35" s="1"/>
  <c r="D675" i="35"/>
  <c r="E675" i="35" s="1"/>
  <c r="D671" i="35"/>
  <c r="E671" i="35" s="1"/>
  <c r="D674" i="35"/>
  <c r="E674" i="35" s="1"/>
  <c r="D682" i="35"/>
  <c r="E682" i="35" s="1"/>
  <c r="D688" i="35"/>
  <c r="E688" i="35" s="1"/>
  <c r="D694" i="35"/>
  <c r="E694" i="35" s="1"/>
  <c r="D698" i="35"/>
  <c r="E698" i="35" s="1"/>
  <c r="D706" i="35"/>
  <c r="E706" i="35" s="1"/>
  <c r="D707" i="35"/>
  <c r="E707" i="35" s="1"/>
  <c r="D726" i="35"/>
  <c r="E726" i="35" s="1"/>
  <c r="D729" i="35"/>
  <c r="E729" i="35" s="1"/>
  <c r="D749" i="35"/>
  <c r="E749" i="35" s="1"/>
  <c r="D771" i="35"/>
  <c r="E771" i="35" s="1"/>
  <c r="D565" i="35"/>
  <c r="E565" i="35" s="1"/>
  <c r="D573" i="35"/>
  <c r="E573" i="35" s="1"/>
  <c r="D578" i="35"/>
  <c r="E578" i="35" s="1"/>
  <c r="D593" i="35"/>
  <c r="E593" i="35" s="1"/>
  <c r="D594" i="35"/>
  <c r="E594" i="35" s="1"/>
  <c r="D598" i="35"/>
  <c r="E598" i="35" s="1"/>
  <c r="D600" i="35"/>
  <c r="E600" i="35" s="1"/>
  <c r="D602" i="35"/>
  <c r="E602" i="35" s="1"/>
  <c r="D603" i="35"/>
  <c r="E603" i="35" s="1"/>
  <c r="D611" i="35"/>
  <c r="E611" i="35" s="1"/>
  <c r="D613" i="35"/>
  <c r="E613" i="35" s="1"/>
  <c r="D617" i="35"/>
  <c r="E617" i="35" s="1"/>
  <c r="D619" i="35"/>
  <c r="E619" i="35" s="1"/>
  <c r="D627" i="35"/>
  <c r="E627" i="35" s="1"/>
  <c r="D635" i="35"/>
  <c r="E635" i="35" s="1"/>
  <c r="D640" i="35"/>
  <c r="E640" i="35" s="1"/>
  <c r="D648" i="35"/>
  <c r="E648" i="35" s="1"/>
  <c r="D657" i="35"/>
  <c r="E657" i="35" s="1"/>
  <c r="D659" i="35"/>
  <c r="E659" i="35" s="1"/>
  <c r="D661" i="35"/>
  <c r="E661" i="35" s="1"/>
  <c r="D672" i="35"/>
  <c r="E672" i="35" s="1"/>
  <c r="D673" i="35"/>
  <c r="E673" i="35" s="1"/>
  <c r="D668" i="35"/>
  <c r="E668" i="35" s="1"/>
  <c r="D678" i="35"/>
  <c r="E678" i="35" s="1"/>
  <c r="D691" i="35"/>
  <c r="E691" i="35" s="1"/>
  <c r="D712" i="35"/>
  <c r="E712" i="35" s="1"/>
  <c r="D715" i="35"/>
  <c r="E715" i="35" s="1"/>
  <c r="D721" i="35"/>
  <c r="E721" i="35" s="1"/>
  <c r="D727" i="35"/>
  <c r="E727" i="35" s="1"/>
  <c r="D728" i="35"/>
  <c r="E728" i="35" s="1"/>
  <c r="D742" i="35"/>
  <c r="E742" i="35" s="1"/>
  <c r="D710" i="35"/>
  <c r="E710" i="35" s="1"/>
  <c r="D716" i="35"/>
  <c r="E716" i="35" s="1"/>
  <c r="D720" i="35"/>
  <c r="E720" i="35" s="1"/>
  <c r="D725" i="35"/>
  <c r="E725" i="35" s="1"/>
  <c r="D743" i="35"/>
  <c r="E743" i="35" s="1"/>
  <c r="D745" i="35"/>
  <c r="E745" i="35" s="1"/>
  <c r="D753" i="35"/>
  <c r="E753" i="35" s="1"/>
  <c r="D755" i="35"/>
  <c r="E755" i="35" s="1"/>
  <c r="D759" i="35"/>
  <c r="E759" i="35" s="1"/>
  <c r="D764" i="35"/>
  <c r="E764" i="35" s="1"/>
  <c r="D779" i="35"/>
  <c r="E779" i="35" s="1"/>
  <c r="D776" i="35"/>
  <c r="E776" i="35" s="1"/>
  <c r="D931" i="35"/>
  <c r="E931" i="35" s="1"/>
  <c r="D780" i="35"/>
  <c r="E780" i="35" s="1"/>
  <c r="D803" i="35"/>
  <c r="E803" i="35" s="1"/>
  <c r="D805" i="35"/>
  <c r="E805" i="35" s="1"/>
  <c r="D812" i="35"/>
  <c r="E812" i="35" s="1"/>
  <c r="D819" i="35"/>
  <c r="E819" i="35" s="1"/>
  <c r="D827" i="35"/>
  <c r="E827" i="35" s="1"/>
  <c r="D830" i="35"/>
  <c r="E830" i="35" s="1"/>
  <c r="D841" i="35"/>
  <c r="E841" i="35" s="1"/>
  <c r="D850" i="35"/>
  <c r="E850" i="35" s="1"/>
  <c r="D853" i="35"/>
  <c r="E853" i="35" s="1"/>
  <c r="D863" i="35"/>
  <c r="E863" i="35" s="1"/>
  <c r="D878" i="35"/>
  <c r="E878" i="35" s="1"/>
  <c r="D882" i="35"/>
  <c r="E882" i="35" s="1"/>
  <c r="D890" i="35"/>
  <c r="E890" i="35" s="1"/>
  <c r="D904" i="35"/>
  <c r="E904" i="35" s="1"/>
  <c r="D909" i="35"/>
  <c r="E909" i="35" s="1"/>
  <c r="D911" i="35"/>
  <c r="E911" i="35" s="1"/>
  <c r="D915" i="35"/>
  <c r="E915" i="35" s="1"/>
  <c r="D923" i="35"/>
  <c r="E923" i="35" s="1"/>
  <c r="D929" i="35"/>
  <c r="E929" i="35" s="1"/>
  <c r="D943" i="35"/>
  <c r="E943" i="35" s="1"/>
  <c r="D945" i="35"/>
  <c r="E945" i="35" s="1"/>
  <c r="D946" i="35"/>
  <c r="E946" i="35" s="1"/>
  <c r="D948" i="35"/>
  <c r="E948" i="35" s="1"/>
  <c r="D786" i="35"/>
  <c r="E786" i="35" s="1"/>
  <c r="D818" i="35"/>
  <c r="E818" i="35" s="1"/>
  <c r="D834" i="35"/>
  <c r="E834" i="35" s="1"/>
  <c r="D847" i="35"/>
  <c r="E847" i="35" s="1"/>
  <c r="D855" i="35"/>
  <c r="E855" i="35" s="1"/>
  <c r="D869" i="35"/>
  <c r="E869" i="35" s="1"/>
  <c r="D873" i="35"/>
  <c r="E873" i="35" s="1"/>
  <c r="D874" i="35"/>
  <c r="E874" i="35" s="1"/>
  <c r="D876" i="35"/>
  <c r="E876" i="35" s="1"/>
  <c r="D899" i="35"/>
  <c r="E899" i="35" s="1"/>
  <c r="D768" i="35"/>
  <c r="E768" i="35" s="1"/>
  <c r="D676" i="35"/>
  <c r="E676" i="35" s="1"/>
  <c r="D685" i="35"/>
  <c r="E685" i="35" s="1"/>
  <c r="D696" i="35"/>
  <c r="E696" i="35" s="1"/>
  <c r="D702" i="35"/>
  <c r="E702" i="35" s="1"/>
  <c r="D713" i="35"/>
  <c r="E713" i="35" s="1"/>
  <c r="D718" i="35"/>
  <c r="E718" i="35" s="1"/>
  <c r="D722" i="35"/>
  <c r="E722" i="35" s="1"/>
  <c r="D733" i="35"/>
  <c r="E733" i="35" s="1"/>
  <c r="D737" i="35"/>
  <c r="E737" i="35" s="1"/>
  <c r="D739" i="35"/>
  <c r="E739" i="35" s="1"/>
  <c r="D750" i="35"/>
  <c r="E750" i="35" s="1"/>
  <c r="D752" i="35"/>
  <c r="E752" i="35" s="1"/>
  <c r="D756" i="35"/>
  <c r="E756" i="35" s="1"/>
  <c r="D760" i="35"/>
  <c r="E760" i="35" s="1"/>
  <c r="D761" i="35"/>
  <c r="E761" i="35" s="1"/>
  <c r="D763" i="35"/>
  <c r="E763" i="35" s="1"/>
  <c r="D766" i="35"/>
  <c r="E766" i="35" s="1"/>
  <c r="D767" i="35"/>
  <c r="E767" i="35" s="1"/>
  <c r="D778" i="35"/>
  <c r="E778" i="35" s="1"/>
  <c r="D783" i="35"/>
  <c r="E783" i="35" s="1"/>
  <c r="D793" i="35"/>
  <c r="E793" i="35" s="1"/>
  <c r="D795" i="35"/>
  <c r="E795" i="35" s="1"/>
  <c r="D801" i="35"/>
  <c r="E801" i="35" s="1"/>
  <c r="D807" i="35"/>
  <c r="E807" i="35" s="1"/>
  <c r="D809" i="35"/>
  <c r="E809" i="35" s="1"/>
  <c r="D824" i="35"/>
  <c r="E824" i="35" s="1"/>
  <c r="D831" i="35"/>
  <c r="E831" i="35" s="1"/>
  <c r="D842" i="35"/>
  <c r="E842" i="35" s="1"/>
  <c r="D859" i="35"/>
  <c r="E859" i="35" s="1"/>
  <c r="D860" i="35"/>
  <c r="E860" i="35" s="1"/>
  <c r="D862" i="35"/>
  <c r="E862" i="35" s="1"/>
  <c r="D903" i="35"/>
  <c r="E903" i="35" s="1"/>
  <c r="D905" i="35"/>
  <c r="E905" i="35" s="1"/>
  <c r="D913" i="35"/>
  <c r="E913" i="35" s="1"/>
  <c r="D914" i="35"/>
  <c r="E914" i="35" s="1"/>
  <c r="D922" i="35"/>
  <c r="E922" i="35" s="1"/>
  <c r="D934" i="35"/>
  <c r="E934" i="35" s="1"/>
  <c r="D937" i="35"/>
  <c r="E937" i="35" s="1"/>
  <c r="D947" i="35"/>
  <c r="E947" i="35" s="1"/>
  <c r="D959" i="35"/>
  <c r="E959" i="35" s="1"/>
  <c r="D785" i="35"/>
  <c r="E785" i="35" s="1"/>
  <c r="D790" i="35"/>
  <c r="E790" i="35" s="1"/>
  <c r="D822" i="35"/>
  <c r="E822" i="35" s="1"/>
  <c r="D825" i="35"/>
  <c r="E825" i="35" s="1"/>
  <c r="D829" i="35"/>
  <c r="E829" i="35" s="1"/>
  <c r="D851" i="35"/>
  <c r="E851" i="35" s="1"/>
  <c r="D857" i="35"/>
  <c r="E857" i="35" s="1"/>
  <c r="D887" i="35"/>
  <c r="E887" i="35" s="1"/>
  <c r="D892" i="35"/>
  <c r="E892" i="35" s="1"/>
  <c r="D900" i="35"/>
  <c r="E900" i="35" s="1"/>
  <c r="D703" i="35"/>
  <c r="E703" i="35" s="1"/>
  <c r="D708" i="35"/>
  <c r="E708" i="35" s="1"/>
  <c r="D714" i="35"/>
  <c r="E714" i="35" s="1"/>
  <c r="D719" i="35"/>
  <c r="E719" i="35" s="1"/>
  <c r="D730" i="35"/>
  <c r="E730" i="35" s="1"/>
  <c r="D732" i="35"/>
  <c r="E732" i="35" s="1"/>
  <c r="D736" i="35"/>
  <c r="E736" i="35" s="1"/>
  <c r="D740" i="35"/>
  <c r="E740" i="35" s="1"/>
  <c r="D757" i="35"/>
  <c r="E757" i="35" s="1"/>
  <c r="D765" i="35"/>
  <c r="E765" i="35" s="1"/>
  <c r="D769" i="35"/>
  <c r="E769" i="35" s="1"/>
  <c r="D770" i="35"/>
  <c r="E770" i="35" s="1"/>
  <c r="D772" i="35"/>
  <c r="E772" i="35" s="1"/>
  <c r="D777" i="35"/>
  <c r="E777" i="35" s="1"/>
  <c r="D784" i="35"/>
  <c r="E784" i="35" s="1"/>
  <c r="D788" i="35"/>
  <c r="E788" i="35" s="1"/>
  <c r="D791" i="35"/>
  <c r="E791" i="35" s="1"/>
  <c r="D794" i="35"/>
  <c r="E794" i="35" s="1"/>
  <c r="D804" i="35"/>
  <c r="E804" i="35" s="1"/>
  <c r="D820" i="35"/>
  <c r="E820" i="35" s="1"/>
  <c r="D821" i="35"/>
  <c r="E821" i="35" s="1"/>
  <c r="D826" i="35"/>
  <c r="E826" i="35" s="1"/>
  <c r="D837" i="35"/>
  <c r="E837" i="35" s="1"/>
  <c r="D838" i="35"/>
  <c r="E838" i="35" s="1"/>
  <c r="D839" i="35"/>
  <c r="E839" i="35" s="1"/>
  <c r="D845" i="35"/>
  <c r="E845" i="35" s="1"/>
  <c r="D879" i="35"/>
  <c r="E879" i="35" s="1"/>
  <c r="D880" i="35"/>
  <c r="E880" i="35" s="1"/>
  <c r="D893" i="35"/>
  <c r="E893" i="35" s="1"/>
  <c r="D895" i="35"/>
  <c r="E895" i="35" s="1"/>
  <c r="D902" i="35"/>
  <c r="E902" i="35" s="1"/>
  <c r="D926" i="35"/>
  <c r="E926" i="35" s="1"/>
  <c r="D938" i="35"/>
  <c r="E938" i="35" s="1"/>
  <c r="D951" i="35"/>
  <c r="E951" i="35" s="1"/>
  <c r="D782" i="35"/>
  <c r="E782" i="35" s="1"/>
  <c r="D787" i="35"/>
  <c r="E787" i="35" s="1"/>
  <c r="D789" i="35"/>
  <c r="E789" i="35" s="1"/>
  <c r="D798" i="35"/>
  <c r="E798" i="35" s="1"/>
  <c r="D799" i="35"/>
  <c r="E799" i="35" s="1"/>
  <c r="D811" i="35"/>
  <c r="E811" i="35" s="1"/>
  <c r="D815" i="35"/>
  <c r="E815" i="35" s="1"/>
  <c r="D835" i="35"/>
  <c r="E835" i="35" s="1"/>
  <c r="D843" i="35"/>
  <c r="E843" i="35" s="1"/>
  <c r="D844" i="35"/>
  <c r="E844" i="35" s="1"/>
  <c r="D858" i="35"/>
  <c r="E858" i="35" s="1"/>
  <c r="D866" i="35"/>
  <c r="E866" i="35" s="1"/>
  <c r="D867" i="35"/>
  <c r="E867" i="35" s="1"/>
  <c r="D868" i="35"/>
  <c r="E868" i="35" s="1"/>
  <c r="D871" i="35"/>
  <c r="E871" i="35" s="1"/>
  <c r="D872" i="35"/>
  <c r="E872" i="35" s="1"/>
  <c r="D881" i="35"/>
  <c r="E881" i="35" s="1"/>
  <c r="D886" i="35"/>
  <c r="E886" i="35" s="1"/>
  <c r="D894" i="35"/>
  <c r="E894" i="35" s="1"/>
  <c r="D684" i="35"/>
  <c r="E684" i="35" s="1"/>
  <c r="D686" i="35"/>
  <c r="E686" i="35" s="1"/>
  <c r="D687" i="35"/>
  <c r="E687" i="35" s="1"/>
  <c r="D695" i="35"/>
  <c r="E695" i="35" s="1"/>
  <c r="D699" i="35"/>
  <c r="E699" i="35" s="1"/>
  <c r="D734" i="35"/>
  <c r="E734" i="35" s="1"/>
  <c r="D735" i="35"/>
  <c r="E735" i="35" s="1"/>
  <c r="D746" i="35"/>
  <c r="E746" i="35" s="1"/>
  <c r="D747" i="35"/>
  <c r="E747" i="35" s="1"/>
  <c r="D754" i="35"/>
  <c r="E754" i="35" s="1"/>
  <c r="D758" i="35"/>
  <c r="E758" i="35" s="1"/>
  <c r="D774" i="35"/>
  <c r="E774" i="35" s="1"/>
  <c r="D781" i="35"/>
  <c r="E781" i="35" s="1"/>
  <c r="D775" i="35"/>
  <c r="E775" i="35" s="1"/>
  <c r="D773" i="35"/>
  <c r="E773" i="35" s="1"/>
  <c r="D802" i="35"/>
  <c r="E802" i="35" s="1"/>
  <c r="D833" i="35"/>
  <c r="E833" i="35" s="1"/>
  <c r="D849" i="35"/>
  <c r="E849" i="35" s="1"/>
  <c r="D852" i="35"/>
  <c r="E852" i="35" s="1"/>
  <c r="D865" i="35"/>
  <c r="E865" i="35" s="1"/>
  <c r="D883" i="35"/>
  <c r="E883" i="35" s="1"/>
  <c r="D884" i="35"/>
  <c r="E884" i="35" s="1"/>
  <c r="D885" i="35"/>
  <c r="E885" i="35" s="1"/>
  <c r="D891" i="35"/>
  <c r="E891" i="35" s="1"/>
  <c r="D906" i="35"/>
  <c r="E906" i="35" s="1"/>
  <c r="D907" i="35"/>
  <c r="E907" i="35" s="1"/>
  <c r="D910" i="35"/>
  <c r="E910" i="35" s="1"/>
  <c r="D918" i="35"/>
  <c r="E918" i="35" s="1"/>
  <c r="D950" i="35"/>
  <c r="E950" i="35" s="1"/>
  <c r="D956" i="35"/>
  <c r="E956" i="35" s="1"/>
  <c r="D796" i="35"/>
  <c r="E796" i="35" s="1"/>
  <c r="D797" i="35"/>
  <c r="E797" i="35" s="1"/>
  <c r="D806" i="35"/>
  <c r="E806" i="35" s="1"/>
  <c r="D810" i="35"/>
  <c r="E810" i="35" s="1"/>
  <c r="D813" i="35"/>
  <c r="E813" i="35" s="1"/>
  <c r="D814" i="35"/>
  <c r="E814" i="35" s="1"/>
  <c r="D817" i="35"/>
  <c r="E817" i="35" s="1"/>
  <c r="D823" i="35"/>
  <c r="E823" i="35" s="1"/>
  <c r="D828" i="35"/>
  <c r="E828" i="35" s="1"/>
  <c r="D836" i="35"/>
  <c r="E836" i="35" s="1"/>
  <c r="D846" i="35"/>
  <c r="E846" i="35" s="1"/>
  <c r="D854" i="35"/>
  <c r="E854" i="35" s="1"/>
  <c r="D861" i="35"/>
  <c r="E861" i="35" s="1"/>
  <c r="D870" i="35"/>
  <c r="E870" i="35" s="1"/>
  <c r="D875" i="35"/>
  <c r="E875" i="35" s="1"/>
  <c r="D877" i="35"/>
  <c r="E877" i="35" s="1"/>
  <c r="D889" i="35"/>
  <c r="E889" i="35" s="1"/>
  <c r="D901" i="35"/>
  <c r="E901" i="35" s="1"/>
  <c r="D897" i="35"/>
  <c r="E897" i="35" s="1"/>
  <c r="D916" i="35"/>
  <c r="E916" i="35" s="1"/>
  <c r="D917" i="35"/>
  <c r="E917" i="35" s="1"/>
  <c r="D927" i="35"/>
  <c r="E927" i="35" s="1"/>
  <c r="D953" i="35"/>
  <c r="E953" i="35" s="1"/>
  <c r="D962" i="35"/>
  <c r="E962" i="35" s="1"/>
  <c r="D988" i="35"/>
  <c r="E988" i="35" s="1"/>
  <c r="D989" i="35"/>
  <c r="E989" i="35" s="1"/>
  <c r="D967" i="35"/>
  <c r="E967" i="35" s="1"/>
  <c r="D977" i="35"/>
  <c r="E977" i="35" s="1"/>
  <c r="D985" i="35"/>
  <c r="E985" i="35" s="1"/>
  <c r="D1003" i="35"/>
  <c r="E1003" i="35" s="1"/>
  <c r="D990" i="35"/>
  <c r="E990" i="35" s="1"/>
  <c r="D898" i="35"/>
  <c r="E898" i="35" s="1"/>
  <c r="D919" i="35"/>
  <c r="E919" i="35" s="1"/>
  <c r="D930" i="35"/>
  <c r="E930" i="35" s="1"/>
  <c r="D933" i="35"/>
  <c r="E933" i="35" s="1"/>
  <c r="D940" i="35"/>
  <c r="E940" i="35" s="1"/>
  <c r="D941" i="35"/>
  <c r="E941" i="35" s="1"/>
  <c r="D949" i="35"/>
  <c r="E949" i="35" s="1"/>
  <c r="D952" i="35"/>
  <c r="E952" i="35" s="1"/>
  <c r="D958" i="35"/>
  <c r="E958" i="35" s="1"/>
  <c r="D961" i="35"/>
  <c r="E961" i="35" s="1"/>
  <c r="D965" i="35"/>
  <c r="E965" i="35" s="1"/>
  <c r="D966" i="35"/>
  <c r="E966" i="35" s="1"/>
  <c r="D969" i="35"/>
  <c r="E969" i="35" s="1"/>
  <c r="D970" i="35"/>
  <c r="E970" i="35" s="1"/>
  <c r="D974" i="35"/>
  <c r="E974" i="35" s="1"/>
  <c r="D976" i="35"/>
  <c r="E976" i="35" s="1"/>
  <c r="D983" i="35"/>
  <c r="E983" i="35" s="1"/>
  <c r="D980" i="35"/>
  <c r="E980" i="35" s="1"/>
  <c r="D993" i="35"/>
  <c r="E993" i="35" s="1"/>
  <c r="D997" i="35"/>
  <c r="E997" i="35" s="1"/>
  <c r="D908" i="35"/>
  <c r="E908" i="35" s="1"/>
  <c r="D924" i="35"/>
  <c r="E924" i="35" s="1"/>
  <c r="D925" i="35"/>
  <c r="E925" i="35" s="1"/>
  <c r="D932" i="35"/>
  <c r="E932" i="35" s="1"/>
  <c r="D939" i="35"/>
  <c r="E939" i="35" s="1"/>
  <c r="D957" i="35"/>
  <c r="E957" i="35" s="1"/>
  <c r="D963" i="35"/>
  <c r="E963" i="35" s="1"/>
  <c r="D975" i="35"/>
  <c r="E975" i="35" s="1"/>
  <c r="D978" i="35"/>
  <c r="E978" i="35" s="1"/>
  <c r="D979" i="35"/>
  <c r="E979" i="35" s="1"/>
  <c r="D991" i="35"/>
  <c r="E991" i="35" s="1"/>
  <c r="D971" i="35"/>
  <c r="E971" i="35" s="1"/>
  <c r="D921" i="35"/>
  <c r="E921" i="35" s="1"/>
  <c r="D935" i="35"/>
  <c r="E935" i="35" s="1"/>
  <c r="D942" i="35"/>
  <c r="E942" i="35" s="1"/>
  <c r="D954" i="35"/>
  <c r="E954" i="35" s="1"/>
  <c r="D955" i="35"/>
  <c r="E955" i="35" s="1"/>
  <c r="D986" i="35"/>
  <c r="E986" i="35" s="1"/>
  <c r="D972" i="35"/>
  <c r="E972" i="35" s="1"/>
  <c r="D982" i="35"/>
  <c r="E982" i="35" s="1"/>
  <c r="D1004" i="35"/>
  <c r="E1004" i="35" s="1"/>
  <c r="D981" i="35"/>
  <c r="E981" i="35" s="1"/>
  <c r="D987" i="35"/>
  <c r="E987" i="35" s="1"/>
  <c r="D996" i="35"/>
  <c r="E996" i="35" s="1"/>
  <c r="D999" i="35"/>
  <c r="E999" i="35" s="1"/>
  <c r="D1006" i="35"/>
  <c r="E1006" i="35" s="1"/>
  <c r="D1001" i="35"/>
  <c r="E1001" i="35" s="1"/>
  <c r="D1005" i="35"/>
  <c r="E1005" i="35" s="1"/>
  <c r="D964" i="35"/>
  <c r="E964" i="35" s="1"/>
  <c r="D973" i="35"/>
  <c r="E973" i="35" s="1"/>
  <c r="D994" i="35"/>
  <c r="E994" i="35" s="1"/>
  <c r="D1000" i="35"/>
  <c r="E1000" i="35" s="1"/>
  <c r="D984" i="35"/>
  <c r="E984" i="35" s="1"/>
  <c r="D995" i="35"/>
  <c r="E995" i="35" s="1"/>
  <c r="D1007" i="35"/>
  <c r="E1007" i="35" s="1"/>
  <c r="D998" i="35"/>
  <c r="E998" i="35" s="1"/>
  <c r="D1002" i="35"/>
  <c r="E1002" i="35" s="1"/>
  <c r="C7" i="35"/>
  <c r="D993" i="36"/>
  <c r="E993" i="36" s="1"/>
  <c r="D970" i="36"/>
  <c r="E970" i="36" s="1"/>
  <c r="D989" i="36"/>
  <c r="E989" i="36" s="1"/>
  <c r="H7" i="36"/>
  <c r="C8" i="36"/>
  <c r="D996" i="36"/>
  <c r="E996" i="36" s="1"/>
  <c r="D957" i="36"/>
  <c r="E957" i="36" s="1"/>
  <c r="D922" i="36"/>
  <c r="E922" i="36" s="1"/>
  <c r="D966" i="36"/>
  <c r="E966" i="36" s="1"/>
  <c r="D953" i="36"/>
  <c r="E953" i="36" s="1"/>
  <c r="D931" i="36"/>
  <c r="E931" i="36" s="1"/>
  <c r="D910" i="36"/>
  <c r="E910" i="36" s="1"/>
  <c r="D985" i="36"/>
  <c r="E985" i="36" s="1"/>
  <c r="D920" i="36"/>
  <c r="E920" i="36" s="1"/>
  <c r="D979" i="36"/>
  <c r="E979" i="36" s="1"/>
  <c r="D973" i="36"/>
  <c r="E973" i="36" s="1"/>
  <c r="D945" i="36"/>
  <c r="E945" i="36" s="1"/>
  <c r="D917" i="36"/>
  <c r="E917" i="36" s="1"/>
  <c r="D867" i="36"/>
  <c r="E867" i="36" s="1"/>
  <c r="D802" i="36"/>
  <c r="E802" i="36" s="1"/>
  <c r="D788" i="36"/>
  <c r="E788" i="36" s="1"/>
  <c r="D946" i="36"/>
  <c r="E946" i="36" s="1"/>
  <c r="D908" i="36"/>
  <c r="E908" i="36" s="1"/>
  <c r="D869" i="36"/>
  <c r="E869" i="36" s="1"/>
  <c r="D808" i="36"/>
  <c r="E808" i="36" s="1"/>
  <c r="D782" i="36"/>
  <c r="E782" i="36" s="1"/>
  <c r="D749" i="36"/>
  <c r="E749" i="36" s="1"/>
  <c r="D711" i="36"/>
  <c r="E711" i="36" s="1"/>
  <c r="D891" i="36"/>
  <c r="E891" i="36" s="1"/>
  <c r="D871" i="36"/>
  <c r="E871" i="36" s="1"/>
  <c r="D850" i="36"/>
  <c r="E850" i="36" s="1"/>
  <c r="D829" i="36"/>
  <c r="E829" i="36" s="1"/>
  <c r="D963" i="36"/>
  <c r="E963" i="36" s="1"/>
  <c r="D895" i="36"/>
  <c r="E895" i="36" s="1"/>
  <c r="D858" i="36"/>
  <c r="E858" i="36" s="1"/>
  <c r="D793" i="36"/>
  <c r="E793" i="36" s="1"/>
  <c r="D761" i="36"/>
  <c r="E761" i="36" s="1"/>
  <c r="D737" i="36"/>
  <c r="E737" i="36" s="1"/>
  <c r="D707" i="36"/>
  <c r="E707" i="36" s="1"/>
  <c r="D699" i="36"/>
  <c r="E699" i="36" s="1"/>
  <c r="D880" i="36"/>
  <c r="E880" i="36" s="1"/>
  <c r="D856" i="36"/>
  <c r="E856" i="36" s="1"/>
  <c r="D821" i="36"/>
  <c r="E821" i="36" s="1"/>
  <c r="D794" i="36"/>
  <c r="E794" i="36" s="1"/>
  <c r="D935" i="36"/>
  <c r="E935" i="36" s="1"/>
  <c r="D915" i="36"/>
  <c r="E915" i="36" s="1"/>
  <c r="D855" i="36"/>
  <c r="E855" i="36" s="1"/>
  <c r="D825" i="36"/>
  <c r="E825" i="36" s="1"/>
  <c r="D772" i="36"/>
  <c r="E772" i="36" s="1"/>
  <c r="D740" i="36"/>
  <c r="E740" i="36" s="1"/>
  <c r="D724" i="36"/>
  <c r="E724" i="36" s="1"/>
  <c r="D698" i="36"/>
  <c r="E698" i="36" s="1"/>
  <c r="D844" i="36"/>
  <c r="E844" i="36" s="1"/>
  <c r="D827" i="36"/>
  <c r="E827" i="36" s="1"/>
  <c r="D954" i="36"/>
  <c r="E954" i="36" s="1"/>
  <c r="D928" i="36"/>
  <c r="E928" i="36" s="1"/>
  <c r="D883" i="36"/>
  <c r="E883" i="36" s="1"/>
  <c r="D803" i="36"/>
  <c r="E803" i="36" s="1"/>
  <c r="D778" i="36"/>
  <c r="E778" i="36" s="1"/>
  <c r="D758" i="36"/>
  <c r="E758" i="36" s="1"/>
  <c r="D746" i="36"/>
  <c r="E746" i="36" s="1"/>
  <c r="D730" i="36"/>
  <c r="E730" i="36" s="1"/>
  <c r="D694" i="36"/>
  <c r="E694" i="36" s="1"/>
  <c r="D768" i="36"/>
  <c r="E768" i="36" s="1"/>
  <c r="D739" i="36"/>
  <c r="E739" i="36" s="1"/>
  <c r="D689" i="36"/>
  <c r="E689" i="36" s="1"/>
  <c r="D671" i="36"/>
  <c r="E671" i="36" s="1"/>
  <c r="D668" i="36"/>
  <c r="E668" i="36" s="1"/>
  <c r="D641" i="36"/>
  <c r="E641" i="36" s="1"/>
  <c r="D611" i="36"/>
  <c r="E611" i="36" s="1"/>
  <c r="D583" i="36"/>
  <c r="E583" i="36" s="1"/>
  <c r="D757" i="36"/>
  <c r="E757" i="36" s="1"/>
  <c r="D719" i="36"/>
  <c r="E719" i="36" s="1"/>
  <c r="D676" i="36"/>
  <c r="E676" i="36" s="1"/>
  <c r="D647" i="36"/>
  <c r="E647" i="36" s="1"/>
  <c r="D615" i="36"/>
  <c r="E615" i="36" s="1"/>
  <c r="D582" i="36"/>
  <c r="E582" i="36" s="1"/>
  <c r="D658" i="36"/>
  <c r="E658" i="36" s="1"/>
  <c r="D733" i="36"/>
  <c r="E733" i="36" s="1"/>
  <c r="D677" i="36"/>
  <c r="E677" i="36" s="1"/>
  <c r="D660" i="36"/>
  <c r="E660" i="36" s="1"/>
  <c r="D636" i="36"/>
  <c r="E636" i="36" s="1"/>
  <c r="D625" i="36"/>
  <c r="E625" i="36" s="1"/>
  <c r="D603" i="36"/>
  <c r="E603" i="36" s="1"/>
  <c r="D712" i="36"/>
  <c r="E712" i="36" s="1"/>
  <c r="D685" i="36"/>
  <c r="E685" i="36" s="1"/>
  <c r="D656" i="36"/>
  <c r="E656" i="36" s="1"/>
  <c r="D631" i="36"/>
  <c r="E631" i="36" s="1"/>
  <c r="D596" i="36"/>
  <c r="E596" i="36" s="1"/>
  <c r="D632" i="36"/>
  <c r="E632" i="36" s="1"/>
  <c r="D538" i="36"/>
  <c r="E538" i="36" s="1"/>
  <c r="D514" i="36"/>
  <c r="E514" i="36" s="1"/>
  <c r="D569" i="36"/>
  <c r="E569" i="36" s="1"/>
  <c r="D617" i="36"/>
  <c r="E617" i="36" s="1"/>
  <c r="D597" i="36"/>
  <c r="E597" i="36" s="1"/>
  <c r="D570" i="36"/>
  <c r="E570" i="36" s="1"/>
  <c r="D532" i="36"/>
  <c r="E532" i="36" s="1"/>
  <c r="D511" i="36"/>
  <c r="E511" i="36" s="1"/>
  <c r="D492" i="36"/>
  <c r="E492" i="36" s="1"/>
  <c r="D470" i="36"/>
  <c r="E470" i="36" s="1"/>
  <c r="D562" i="36"/>
  <c r="E562" i="36" s="1"/>
  <c r="D547" i="36"/>
  <c r="E547" i="36" s="1"/>
  <c r="D516" i="36"/>
  <c r="E516" i="36" s="1"/>
  <c r="D479" i="36"/>
  <c r="E479" i="36" s="1"/>
  <c r="D652" i="36"/>
  <c r="E652" i="36" s="1"/>
  <c r="D630" i="36"/>
  <c r="E630" i="36" s="1"/>
  <c r="D606" i="36"/>
  <c r="E606" i="36" s="1"/>
  <c r="D586" i="36"/>
  <c r="E586" i="36" s="1"/>
  <c r="D556" i="36"/>
  <c r="E556" i="36" s="1"/>
  <c r="D537" i="36"/>
  <c r="E537" i="36" s="1"/>
  <c r="D508" i="36"/>
  <c r="E508" i="36" s="1"/>
  <c r="D544" i="36"/>
  <c r="E544" i="36" s="1"/>
  <c r="D519" i="36"/>
  <c r="E519" i="36" s="1"/>
  <c r="D498" i="36"/>
  <c r="E498" i="36" s="1"/>
  <c r="D456" i="36"/>
  <c r="E456" i="36" s="1"/>
  <c r="D458" i="36"/>
  <c r="E458" i="36" s="1"/>
  <c r="D437" i="36"/>
  <c r="E437" i="36" s="1"/>
  <c r="D410" i="36"/>
  <c r="E410" i="36" s="1"/>
  <c r="D402" i="36"/>
  <c r="E402" i="36" s="1"/>
  <c r="D509" i="36"/>
  <c r="E509" i="36" s="1"/>
  <c r="D486" i="36"/>
  <c r="E486" i="36" s="1"/>
  <c r="D462" i="36"/>
  <c r="E462" i="36" s="1"/>
  <c r="D435" i="36"/>
  <c r="E435" i="36" s="1"/>
  <c r="D403" i="36"/>
  <c r="E403" i="36" s="1"/>
  <c r="D381" i="36"/>
  <c r="E381" i="36" s="1"/>
  <c r="D376" i="36"/>
  <c r="E376" i="36" s="1"/>
  <c r="D506" i="36"/>
  <c r="E506" i="36" s="1"/>
  <c r="D481" i="36"/>
  <c r="E481" i="36" s="1"/>
  <c r="D449" i="36"/>
  <c r="E449" i="36" s="1"/>
  <c r="D438" i="36"/>
  <c r="E438" i="36" s="1"/>
  <c r="D386" i="36"/>
  <c r="E386" i="36" s="1"/>
  <c r="D370" i="36"/>
  <c r="E370" i="36" s="1"/>
  <c r="D464" i="36"/>
  <c r="E464" i="36" s="1"/>
  <c r="D528" i="36"/>
  <c r="E528" i="36" s="1"/>
  <c r="D484" i="36"/>
  <c r="E484" i="36" s="1"/>
  <c r="D447" i="36"/>
  <c r="E447" i="36" s="1"/>
  <c r="D422" i="36"/>
  <c r="E422" i="36" s="1"/>
  <c r="D406" i="36"/>
  <c r="E406" i="36" s="1"/>
  <c r="D387" i="36"/>
  <c r="E387" i="36" s="1"/>
  <c r="D392" i="36"/>
  <c r="E392" i="36" s="1"/>
  <c r="D344" i="36"/>
  <c r="E344" i="36" s="1"/>
  <c r="D317" i="36"/>
  <c r="E317" i="36" s="1"/>
  <c r="D332" i="36"/>
  <c r="E332" i="36" s="1"/>
  <c r="D434" i="36"/>
  <c r="E434" i="36" s="1"/>
  <c r="D416" i="36"/>
  <c r="E416" i="36" s="1"/>
  <c r="D358" i="36"/>
  <c r="E358" i="36" s="1"/>
  <c r="D337" i="36"/>
  <c r="E337" i="36" s="1"/>
  <c r="D314" i="36"/>
  <c r="E314" i="36" s="1"/>
  <c r="D354" i="36"/>
  <c r="E354" i="36" s="1"/>
  <c r="D408" i="36"/>
  <c r="E408" i="36" s="1"/>
  <c r="D326" i="36"/>
  <c r="E326" i="36" s="1"/>
  <c r="D355" i="36"/>
  <c r="E355" i="36" s="1"/>
  <c r="D345" i="36"/>
  <c r="E345" i="36" s="1"/>
  <c r="D306" i="36"/>
  <c r="E306" i="36" s="1"/>
  <c r="D407" i="36"/>
  <c r="E407" i="36" s="1"/>
  <c r="D385" i="36"/>
  <c r="E385" i="36" s="1"/>
  <c r="D357" i="36"/>
  <c r="E357" i="36" s="1"/>
  <c r="D301" i="36"/>
  <c r="E301" i="36" s="1"/>
  <c r="D316" i="36"/>
  <c r="E316" i="36" s="1"/>
  <c r="D281" i="36"/>
  <c r="E281" i="36" s="1"/>
  <c r="D271" i="36"/>
  <c r="E271" i="36" s="1"/>
  <c r="D292" i="36"/>
  <c r="E292" i="36" s="1"/>
  <c r="D265" i="36"/>
  <c r="E265" i="36" s="1"/>
  <c r="D283" i="36"/>
  <c r="E283" i="36" s="1"/>
  <c r="D262" i="36"/>
  <c r="E262" i="36" s="1"/>
  <c r="D310" i="36"/>
  <c r="E310" i="36" s="1"/>
  <c r="D261" i="36"/>
  <c r="E261" i="36" s="1"/>
  <c r="D251" i="36"/>
  <c r="E251" i="36" s="1"/>
  <c r="D322" i="36"/>
  <c r="E322" i="36" s="1"/>
  <c r="D296" i="36"/>
  <c r="E296" i="36" s="1"/>
  <c r="D259" i="36"/>
  <c r="E259" i="36" s="1"/>
  <c r="D250" i="36"/>
  <c r="E250" i="36" s="1"/>
  <c r="D239" i="36"/>
  <c r="E239" i="36" s="1"/>
  <c r="D220" i="36"/>
  <c r="E220" i="36" s="1"/>
  <c r="D201" i="36"/>
  <c r="E201" i="36" s="1"/>
  <c r="D232" i="36"/>
  <c r="E232" i="36" s="1"/>
  <c r="D215" i="36"/>
  <c r="E215" i="36" s="1"/>
  <c r="D235" i="36"/>
  <c r="E235" i="36" s="1"/>
  <c r="D222" i="36"/>
  <c r="E222" i="36" s="1"/>
  <c r="D206" i="36"/>
  <c r="E206" i="36" s="1"/>
  <c r="D238" i="36"/>
  <c r="E238" i="36" s="1"/>
  <c r="D233" i="36"/>
  <c r="E233" i="36" s="1"/>
  <c r="D237" i="36"/>
  <c r="E237" i="36" s="1"/>
  <c r="D187" i="36"/>
  <c r="E187" i="36" s="1"/>
  <c r="D153" i="36"/>
  <c r="E153" i="36" s="1"/>
  <c r="D184" i="36"/>
  <c r="E184" i="36" s="1"/>
  <c r="D174" i="36"/>
  <c r="E174" i="36" s="1"/>
  <c r="D168" i="36"/>
  <c r="E168" i="36" s="1"/>
  <c r="D185" i="36"/>
  <c r="E185" i="36" s="1"/>
  <c r="D169" i="36"/>
  <c r="E169" i="36" s="1"/>
  <c r="D160" i="36"/>
  <c r="E160" i="36" s="1"/>
  <c r="D186" i="36"/>
  <c r="E186" i="36" s="1"/>
  <c r="D154" i="36"/>
  <c r="E154" i="36" s="1"/>
  <c r="D163" i="36"/>
  <c r="E163" i="36" s="1"/>
  <c r="D141" i="36"/>
  <c r="E141" i="36" s="1"/>
  <c r="D129" i="36"/>
  <c r="E129" i="36" s="1"/>
  <c r="D146" i="36"/>
  <c r="E146" i="36" s="1"/>
  <c r="D142" i="36"/>
  <c r="E142" i="36" s="1"/>
  <c r="D130" i="36"/>
  <c r="E130" i="36" s="1"/>
  <c r="D126" i="36"/>
  <c r="E126" i="36" s="1"/>
  <c r="D150" i="36"/>
  <c r="E150" i="36" s="1"/>
  <c r="D134" i="36"/>
  <c r="E134" i="36" s="1"/>
  <c r="D114" i="36"/>
  <c r="E114" i="36" s="1"/>
  <c r="D113" i="36"/>
  <c r="E113" i="36" s="1"/>
  <c r="D106" i="36"/>
  <c r="E106" i="36" s="1"/>
  <c r="D96" i="36"/>
  <c r="E96" i="36" s="1"/>
  <c r="D100" i="36"/>
  <c r="E100" i="36" s="1"/>
  <c r="D102" i="36"/>
  <c r="E102" i="36" s="1"/>
  <c r="D86" i="36"/>
  <c r="E86" i="36" s="1"/>
  <c r="D80" i="36"/>
  <c r="E80" i="36" s="1"/>
  <c r="D77" i="36"/>
  <c r="E77" i="36" s="1"/>
  <c r="D61" i="36"/>
  <c r="E61" i="36" s="1"/>
  <c r="D72" i="36"/>
  <c r="E72" i="36" s="1"/>
  <c r="D83" i="36"/>
  <c r="E83" i="36" s="1"/>
  <c r="D49" i="36"/>
  <c r="E49" i="36" s="1"/>
  <c r="D39" i="36"/>
  <c r="E39" i="36" s="1"/>
  <c r="D66" i="36"/>
  <c r="E66" i="36" s="1"/>
  <c r="D29" i="36"/>
  <c r="E29" i="36" s="1"/>
  <c r="D32" i="36"/>
  <c r="E32" i="36" s="1"/>
  <c r="D33" i="36"/>
  <c r="E33" i="36" s="1"/>
  <c r="D13" i="36"/>
  <c r="E13" i="36" s="1"/>
  <c r="D26" i="36"/>
  <c r="E26" i="36" s="1"/>
  <c r="D20" i="36"/>
  <c r="E20" i="36" s="1"/>
  <c r="D1001" i="36"/>
  <c r="E1001" i="36" s="1"/>
  <c r="D983" i="36"/>
  <c r="E983" i="36" s="1"/>
  <c r="D997" i="36"/>
  <c r="E997" i="36" s="1"/>
  <c r="D972" i="36"/>
  <c r="E972" i="36" s="1"/>
  <c r="D982" i="36"/>
  <c r="E982" i="36" s="1"/>
  <c r="D974" i="36"/>
  <c r="E974" i="36" s="1"/>
  <c r="D948" i="36"/>
  <c r="E948" i="36" s="1"/>
  <c r="D927" i="36"/>
  <c r="E927" i="36" s="1"/>
  <c r="D909" i="36"/>
  <c r="E909" i="36" s="1"/>
  <c r="D984" i="36"/>
  <c r="E984" i="36" s="1"/>
  <c r="D960" i="36"/>
  <c r="E960" i="36" s="1"/>
  <c r="D981" i="36"/>
  <c r="E981" i="36" s="1"/>
  <c r="D977" i="36"/>
  <c r="E977" i="36" s="1"/>
  <c r="D986" i="36"/>
  <c r="E986" i="36" s="1"/>
  <c r="D943" i="36"/>
  <c r="E943" i="36" s="1"/>
  <c r="D866" i="36"/>
  <c r="E866" i="36" s="1"/>
  <c r="D846" i="36"/>
  <c r="E846" i="36" s="1"/>
  <c r="D811" i="36"/>
  <c r="E811" i="36" s="1"/>
  <c r="D799" i="36"/>
  <c r="E799" i="36" s="1"/>
  <c r="D781" i="36"/>
  <c r="E781" i="36" s="1"/>
  <c r="D940" i="36"/>
  <c r="E940" i="36" s="1"/>
  <c r="D903" i="36"/>
  <c r="E903" i="36" s="1"/>
  <c r="D886" i="36"/>
  <c r="E886" i="36" s="1"/>
  <c r="D861" i="36"/>
  <c r="E861" i="36" s="1"/>
  <c r="D806" i="36"/>
  <c r="E806" i="36" s="1"/>
  <c r="D736" i="36"/>
  <c r="E736" i="36" s="1"/>
  <c r="D706" i="36"/>
  <c r="E706" i="36" s="1"/>
  <c r="D893" i="36"/>
  <c r="E893" i="36" s="1"/>
  <c r="D868" i="36"/>
  <c r="E868" i="36" s="1"/>
  <c r="D845" i="36"/>
  <c r="E845" i="36" s="1"/>
  <c r="D823" i="36"/>
  <c r="E823" i="36" s="1"/>
  <c r="D789" i="36"/>
  <c r="E789" i="36" s="1"/>
  <c r="D958" i="36"/>
  <c r="E958" i="36" s="1"/>
  <c r="D887" i="36"/>
  <c r="E887" i="36" s="1"/>
  <c r="D822" i="36"/>
  <c r="E822" i="36" s="1"/>
  <c r="D770" i="36"/>
  <c r="E770" i="36" s="1"/>
  <c r="D762" i="36"/>
  <c r="E762" i="36" s="1"/>
  <c r="D723" i="36"/>
  <c r="E723" i="36" s="1"/>
  <c r="D701" i="36"/>
  <c r="E701" i="36" s="1"/>
  <c r="D691" i="36"/>
  <c r="E691" i="36" s="1"/>
  <c r="D902" i="36"/>
  <c r="E902" i="36" s="1"/>
  <c r="D847" i="36"/>
  <c r="E847" i="36" s="1"/>
  <c r="D819" i="36"/>
  <c r="E819" i="36" s="1"/>
  <c r="D790" i="36"/>
  <c r="E790" i="36" s="1"/>
  <c r="D933" i="36"/>
  <c r="E933" i="36" s="1"/>
  <c r="D897" i="36"/>
  <c r="E897" i="36" s="1"/>
  <c r="D875" i="36"/>
  <c r="E875" i="36" s="1"/>
  <c r="D796" i="36"/>
  <c r="E796" i="36" s="1"/>
  <c r="D769" i="36"/>
  <c r="E769" i="36" s="1"/>
  <c r="D731" i="36"/>
  <c r="E731" i="36" s="1"/>
  <c r="D721" i="36"/>
  <c r="E721" i="36" s="1"/>
  <c r="D692" i="36"/>
  <c r="E692" i="36" s="1"/>
  <c r="D899" i="36"/>
  <c r="E899" i="36" s="1"/>
  <c r="D826" i="36"/>
  <c r="E826" i="36" s="1"/>
  <c r="D795" i="36"/>
  <c r="E795" i="36" s="1"/>
  <c r="D944" i="36"/>
  <c r="E944" i="36" s="1"/>
  <c r="D925" i="36"/>
  <c r="E925" i="36" s="1"/>
  <c r="D904" i="36"/>
  <c r="E904" i="36" s="1"/>
  <c r="D854" i="36"/>
  <c r="E854" i="36" s="1"/>
  <c r="D835" i="36"/>
  <c r="E835" i="36" s="1"/>
  <c r="D800" i="36"/>
  <c r="E800" i="36" s="1"/>
  <c r="D775" i="36"/>
  <c r="E775" i="36" s="1"/>
  <c r="D756" i="36"/>
  <c r="E756" i="36" s="1"/>
  <c r="D741" i="36"/>
  <c r="E741" i="36" s="1"/>
  <c r="D716" i="36"/>
  <c r="E716" i="36" s="1"/>
  <c r="D690" i="36"/>
  <c r="E690" i="36" s="1"/>
  <c r="D747" i="36"/>
  <c r="E747" i="36" s="1"/>
  <c r="D726" i="36"/>
  <c r="E726" i="36" s="1"/>
  <c r="D666" i="36"/>
  <c r="E666" i="36" s="1"/>
  <c r="D657" i="36"/>
  <c r="E657" i="36" s="1"/>
  <c r="D633" i="36"/>
  <c r="E633" i="36" s="1"/>
  <c r="D610" i="36"/>
  <c r="E610" i="36" s="1"/>
  <c r="D578" i="36"/>
  <c r="E578" i="36" s="1"/>
  <c r="D755" i="36"/>
  <c r="E755" i="36" s="1"/>
  <c r="D708" i="36"/>
  <c r="E708" i="36" s="1"/>
  <c r="D665" i="36"/>
  <c r="E665" i="36" s="1"/>
  <c r="D640" i="36"/>
  <c r="E640" i="36" s="1"/>
  <c r="D605" i="36"/>
  <c r="E605" i="36" s="1"/>
  <c r="D579" i="36"/>
  <c r="E579" i="36" s="1"/>
  <c r="D670" i="36"/>
  <c r="E670" i="36" s="1"/>
  <c r="D727" i="36"/>
  <c r="E727" i="36" s="1"/>
  <c r="D645" i="36"/>
  <c r="E645" i="36" s="1"/>
  <c r="D634" i="36"/>
  <c r="E634" i="36" s="1"/>
  <c r="D614" i="36"/>
  <c r="E614" i="36" s="1"/>
  <c r="D732" i="36"/>
  <c r="E732" i="36" s="1"/>
  <c r="D704" i="36"/>
  <c r="E704" i="36" s="1"/>
  <c r="D678" i="36"/>
  <c r="E678" i="36" s="1"/>
  <c r="D622" i="36"/>
  <c r="E622" i="36" s="1"/>
  <c r="D592" i="36"/>
  <c r="E592" i="36" s="1"/>
  <c r="D616" i="36"/>
  <c r="E616" i="36" s="1"/>
  <c r="D554" i="36"/>
  <c r="E554" i="36" s="1"/>
  <c r="D531" i="36"/>
  <c r="E531" i="36" s="1"/>
  <c r="D477" i="36"/>
  <c r="E477" i="36" s="1"/>
  <c r="D655" i="36"/>
  <c r="E655" i="36" s="1"/>
  <c r="D609" i="36"/>
  <c r="E609" i="36" s="1"/>
  <c r="D593" i="36"/>
  <c r="E593" i="36" s="1"/>
  <c r="D568" i="36"/>
  <c r="E568" i="36" s="1"/>
  <c r="D541" i="36"/>
  <c r="E541" i="36" s="1"/>
  <c r="D530" i="36"/>
  <c r="E530" i="36" s="1"/>
  <c r="D503" i="36"/>
  <c r="E503" i="36" s="1"/>
  <c r="D480" i="36"/>
  <c r="E480" i="36" s="1"/>
  <c r="D539" i="36"/>
  <c r="E539" i="36" s="1"/>
  <c r="D558" i="36"/>
  <c r="E558" i="36" s="1"/>
  <c r="D545" i="36"/>
  <c r="E545" i="36" s="1"/>
  <c r="D501" i="36"/>
  <c r="E501" i="36" s="1"/>
  <c r="D473" i="36"/>
  <c r="E473" i="36" s="1"/>
  <c r="D650" i="36"/>
  <c r="E650" i="36" s="1"/>
  <c r="D624" i="36"/>
  <c r="E624" i="36" s="1"/>
  <c r="D595" i="36"/>
  <c r="E595" i="36" s="1"/>
  <c r="D584" i="36"/>
  <c r="E584" i="36" s="1"/>
  <c r="D560" i="36"/>
  <c r="E560" i="36" s="1"/>
  <c r="D533" i="36"/>
  <c r="E533" i="36" s="1"/>
  <c r="D491" i="36"/>
  <c r="E491" i="36" s="1"/>
  <c r="D540" i="36"/>
  <c r="E540" i="36" s="1"/>
  <c r="D513" i="36"/>
  <c r="E513" i="36" s="1"/>
  <c r="D493" i="36"/>
  <c r="E493" i="36" s="1"/>
  <c r="D466" i="36"/>
  <c r="E466" i="36" s="1"/>
  <c r="D455" i="36"/>
  <c r="E455" i="36" s="1"/>
  <c r="D426" i="36"/>
  <c r="E426" i="36" s="1"/>
  <c r="D411" i="36"/>
  <c r="E411" i="36" s="1"/>
  <c r="D507" i="36"/>
  <c r="E507" i="36" s="1"/>
  <c r="D485" i="36"/>
  <c r="E485" i="36" s="1"/>
  <c r="D451" i="36"/>
  <c r="E451" i="36" s="1"/>
  <c r="D427" i="36"/>
  <c r="E427" i="36" s="1"/>
  <c r="D399" i="36"/>
  <c r="E399" i="36" s="1"/>
  <c r="D382" i="36"/>
  <c r="E382" i="36" s="1"/>
  <c r="D502" i="36"/>
  <c r="E502" i="36" s="1"/>
  <c r="D469" i="36"/>
  <c r="E469" i="36" s="1"/>
  <c r="D436" i="36"/>
  <c r="E436" i="36" s="1"/>
  <c r="D377" i="36"/>
  <c r="E377" i="36" s="1"/>
  <c r="D366" i="36"/>
  <c r="E366" i="36" s="1"/>
  <c r="D550" i="36"/>
  <c r="E550" i="36" s="1"/>
  <c r="D520" i="36"/>
  <c r="E520" i="36" s="1"/>
  <c r="D431" i="36"/>
  <c r="E431" i="36" s="1"/>
  <c r="D414" i="36"/>
  <c r="E414" i="36" s="1"/>
  <c r="D401" i="36"/>
  <c r="E401" i="36" s="1"/>
  <c r="D369" i="36"/>
  <c r="E369" i="36" s="1"/>
  <c r="D384" i="36"/>
  <c r="E384" i="36" s="1"/>
  <c r="D342" i="36"/>
  <c r="E342" i="36" s="1"/>
  <c r="D362" i="36"/>
  <c r="E362" i="36" s="1"/>
  <c r="D433" i="36"/>
  <c r="E433" i="36" s="1"/>
  <c r="D396" i="36"/>
  <c r="E396" i="36" s="1"/>
  <c r="D359" i="36"/>
  <c r="E359" i="36" s="1"/>
  <c r="D335" i="36"/>
  <c r="E335" i="36" s="1"/>
  <c r="D308" i="36"/>
  <c r="E308" i="36" s="1"/>
  <c r="D352" i="36"/>
  <c r="E352" i="36" s="1"/>
  <c r="D440" i="36"/>
  <c r="E440" i="36" s="1"/>
  <c r="D397" i="36"/>
  <c r="E397" i="36" s="1"/>
  <c r="D350" i="36"/>
  <c r="E350" i="36" s="1"/>
  <c r="D327" i="36"/>
  <c r="E327" i="36" s="1"/>
  <c r="D444" i="36"/>
  <c r="E444" i="36" s="1"/>
  <c r="D400" i="36"/>
  <c r="E400" i="36" s="1"/>
  <c r="D383" i="36"/>
  <c r="E383" i="36" s="1"/>
  <c r="D351" i="36"/>
  <c r="E351" i="36" s="1"/>
  <c r="D356" i="36"/>
  <c r="E356" i="36" s="1"/>
  <c r="D282" i="36"/>
  <c r="E282" i="36" s="1"/>
  <c r="D257" i="36"/>
  <c r="E257" i="36" s="1"/>
  <c r="D289" i="36"/>
  <c r="E289" i="36" s="1"/>
  <c r="D260" i="36"/>
  <c r="E260" i="36" s="1"/>
  <c r="D287" i="36"/>
  <c r="E287" i="36" s="1"/>
  <c r="D258" i="36"/>
  <c r="E258" i="36" s="1"/>
  <c r="D272" i="36"/>
  <c r="E272" i="36" s="1"/>
  <c r="D253" i="36"/>
  <c r="E253" i="36" s="1"/>
  <c r="D302" i="36"/>
  <c r="E302" i="36" s="1"/>
  <c r="D256" i="36"/>
  <c r="E256" i="36" s="1"/>
  <c r="D249" i="36"/>
  <c r="E249" i="36" s="1"/>
  <c r="D320" i="36"/>
  <c r="E320" i="36" s="1"/>
  <c r="D295" i="36"/>
  <c r="E295" i="36" s="1"/>
  <c r="D246" i="36"/>
  <c r="E246" i="36" s="1"/>
  <c r="D216" i="36"/>
  <c r="E216" i="36" s="1"/>
  <c r="D218" i="36"/>
  <c r="E218" i="36" s="1"/>
  <c r="D227" i="36"/>
  <c r="E227" i="36" s="1"/>
  <c r="D221" i="36"/>
  <c r="E221" i="36" s="1"/>
  <c r="D231" i="36"/>
  <c r="E231" i="36" s="1"/>
  <c r="D212" i="36"/>
  <c r="E212" i="36" s="1"/>
  <c r="D205" i="36"/>
  <c r="E205" i="36" s="1"/>
  <c r="D245" i="36"/>
  <c r="E245" i="36" s="1"/>
  <c r="D229" i="36"/>
  <c r="E229" i="36" s="1"/>
  <c r="D226" i="36"/>
  <c r="E226" i="36" s="1"/>
  <c r="D180" i="36"/>
  <c r="E180" i="36" s="1"/>
  <c r="D195" i="36"/>
  <c r="E195" i="36" s="1"/>
  <c r="D179" i="36"/>
  <c r="E179" i="36" s="1"/>
  <c r="D192" i="36"/>
  <c r="E192" i="36" s="1"/>
  <c r="D166" i="36"/>
  <c r="E166" i="36" s="1"/>
  <c r="D171" i="36"/>
  <c r="E171" i="36" s="1"/>
  <c r="D165" i="36"/>
  <c r="E165" i="36" s="1"/>
  <c r="D159" i="36"/>
  <c r="E159" i="36" s="1"/>
  <c r="D177" i="36"/>
  <c r="E177" i="36" s="1"/>
  <c r="D152" i="36"/>
  <c r="E152" i="36" s="1"/>
  <c r="D167" i="36"/>
  <c r="E167" i="36" s="1"/>
  <c r="D138" i="36"/>
  <c r="E138" i="36" s="1"/>
  <c r="D128" i="36"/>
  <c r="E128" i="36" s="1"/>
  <c r="D144" i="36"/>
  <c r="E144" i="36" s="1"/>
  <c r="D135" i="36"/>
  <c r="E135" i="36" s="1"/>
  <c r="D148" i="36"/>
  <c r="E148" i="36" s="1"/>
  <c r="D124" i="36"/>
  <c r="E124" i="36" s="1"/>
  <c r="D140" i="36"/>
  <c r="E140" i="36" s="1"/>
  <c r="D132" i="36"/>
  <c r="E132" i="36" s="1"/>
  <c r="D118" i="36"/>
  <c r="E118" i="36" s="1"/>
  <c r="D101" i="36"/>
  <c r="E101" i="36" s="1"/>
  <c r="D122" i="36"/>
  <c r="E122" i="36" s="1"/>
  <c r="D115" i="36"/>
  <c r="E115" i="36" s="1"/>
  <c r="D107" i="36"/>
  <c r="E107" i="36" s="1"/>
  <c r="D92" i="36"/>
  <c r="E92" i="36" s="1"/>
  <c r="D78" i="36"/>
  <c r="E78" i="36" s="1"/>
  <c r="D90" i="36"/>
  <c r="E90" i="36" s="1"/>
  <c r="D79" i="36"/>
  <c r="E79" i="36" s="1"/>
  <c r="D71" i="36"/>
  <c r="E71" i="36" s="1"/>
  <c r="D58" i="36"/>
  <c r="E58" i="36" s="1"/>
  <c r="D70" i="36"/>
  <c r="E70" i="36" s="1"/>
  <c r="D60" i="36"/>
  <c r="E60" i="36" s="1"/>
  <c r="D68" i="36"/>
  <c r="E68" i="36" s="1"/>
  <c r="D63" i="36"/>
  <c r="E63" i="36" s="1"/>
  <c r="D40" i="36"/>
  <c r="E40" i="36" s="1"/>
  <c r="D44" i="36"/>
  <c r="E44" i="36" s="1"/>
  <c r="D55" i="36"/>
  <c r="E55" i="36" s="1"/>
  <c r="D46" i="36"/>
  <c r="E46" i="36" s="1"/>
  <c r="D27" i="36"/>
  <c r="E27" i="36" s="1"/>
  <c r="D36" i="36"/>
  <c r="E36" i="36" s="1"/>
  <c r="D22" i="36"/>
  <c r="E22" i="36" s="1"/>
  <c r="D15" i="36"/>
  <c r="E15" i="36" s="1"/>
  <c r="D24" i="36"/>
  <c r="E24" i="36" s="1"/>
  <c r="D14" i="33"/>
  <c r="E14" i="33" s="1"/>
  <c r="D15" i="33"/>
  <c r="E15" i="33" s="1"/>
  <c r="D18" i="33"/>
  <c r="E18" i="33" s="1"/>
  <c r="D12" i="33"/>
  <c r="E12" i="33" s="1"/>
  <c r="D13" i="33"/>
  <c r="E13" i="33" s="1"/>
  <c r="D20" i="33"/>
  <c r="E20" i="33" s="1"/>
  <c r="D21" i="33"/>
  <c r="E21" i="33" s="1"/>
  <c r="D23" i="33"/>
  <c r="E23" i="33" s="1"/>
  <c r="D25" i="33"/>
  <c r="E25" i="33" s="1"/>
  <c r="D24" i="33"/>
  <c r="E24" i="33" s="1"/>
  <c r="D17" i="33"/>
  <c r="E17" i="33" s="1"/>
  <c r="D22" i="33"/>
  <c r="E22" i="33" s="1"/>
  <c r="D16" i="33"/>
  <c r="E16" i="33" s="1"/>
  <c r="D26" i="33"/>
  <c r="E26" i="33" s="1"/>
  <c r="D28" i="33"/>
  <c r="E28" i="33" s="1"/>
  <c r="D31" i="33"/>
  <c r="E31" i="33" s="1"/>
  <c r="D33" i="33"/>
  <c r="E33" i="33" s="1"/>
  <c r="D27" i="33"/>
  <c r="E27" i="33" s="1"/>
  <c r="D29" i="33"/>
  <c r="E29" i="33" s="1"/>
  <c r="D30" i="33"/>
  <c r="E30" i="33" s="1"/>
  <c r="D32" i="33"/>
  <c r="E32" i="33" s="1"/>
  <c r="D37" i="33"/>
  <c r="E37" i="33" s="1"/>
  <c r="D34" i="33"/>
  <c r="E34" i="33" s="1"/>
  <c r="D38" i="33"/>
  <c r="E38" i="33" s="1"/>
  <c r="D43" i="33"/>
  <c r="E43" i="33" s="1"/>
  <c r="D46" i="33"/>
  <c r="E46" i="33" s="1"/>
  <c r="D50" i="33"/>
  <c r="E50" i="33" s="1"/>
  <c r="D58" i="33"/>
  <c r="E58" i="33" s="1"/>
  <c r="D66" i="33"/>
  <c r="E66" i="33" s="1"/>
  <c r="D44" i="33"/>
  <c r="E44" i="33" s="1"/>
  <c r="D45" i="33"/>
  <c r="E45" i="33" s="1"/>
  <c r="D55" i="33"/>
  <c r="E55" i="33" s="1"/>
  <c r="D53" i="33"/>
  <c r="E53" i="33" s="1"/>
  <c r="D68" i="33"/>
  <c r="E68" i="33" s="1"/>
  <c r="D41" i="33"/>
  <c r="E41" i="33" s="1"/>
  <c r="D39" i="33"/>
  <c r="E39" i="33" s="1"/>
  <c r="D71" i="33"/>
  <c r="E71" i="33" s="1"/>
  <c r="D62" i="33"/>
  <c r="E62" i="33" s="1"/>
  <c r="D63" i="33"/>
  <c r="E63" i="33" s="1"/>
  <c r="D36" i="33"/>
  <c r="E36" i="33" s="1"/>
  <c r="D42" i="33"/>
  <c r="E42" i="33" s="1"/>
  <c r="D47" i="33"/>
  <c r="E47" i="33" s="1"/>
  <c r="D48" i="33"/>
  <c r="E48" i="33" s="1"/>
  <c r="D49" i="33"/>
  <c r="E49" i="33" s="1"/>
  <c r="D40" i="33"/>
  <c r="E40" i="33" s="1"/>
  <c r="D52" i="33"/>
  <c r="E52" i="33" s="1"/>
  <c r="D70" i="33"/>
  <c r="E70" i="33" s="1"/>
  <c r="D69" i="33"/>
  <c r="E69" i="33" s="1"/>
  <c r="D73" i="33"/>
  <c r="E73" i="33" s="1"/>
  <c r="D54" i="33"/>
  <c r="E54" i="33" s="1"/>
  <c r="D56" i="33"/>
  <c r="E56" i="33" s="1"/>
  <c r="D61" i="33"/>
  <c r="E61" i="33" s="1"/>
  <c r="D72" i="33"/>
  <c r="E72" i="33" s="1"/>
  <c r="D57" i="33"/>
  <c r="E57" i="33" s="1"/>
  <c r="D65" i="33"/>
  <c r="E65" i="33" s="1"/>
  <c r="D74" i="33"/>
  <c r="E74" i="33" s="1"/>
  <c r="D60" i="33"/>
  <c r="E60" i="33" s="1"/>
  <c r="D64" i="33"/>
  <c r="E64" i="33" s="1"/>
  <c r="D77" i="33"/>
  <c r="E77" i="33" s="1"/>
  <c r="D76" i="33"/>
  <c r="E76" i="33" s="1"/>
  <c r="D78" i="33"/>
  <c r="E78" i="33" s="1"/>
  <c r="D80" i="33"/>
  <c r="E80" i="33" s="1"/>
  <c r="D92" i="33"/>
  <c r="E92" i="33" s="1"/>
  <c r="D84" i="33"/>
  <c r="E84" i="33" s="1"/>
  <c r="D85" i="33"/>
  <c r="E85" i="33" s="1"/>
  <c r="D86" i="33"/>
  <c r="E86" i="33" s="1"/>
  <c r="D90" i="33"/>
  <c r="E90" i="33" s="1"/>
  <c r="D94" i="33"/>
  <c r="E94" i="33" s="1"/>
  <c r="D95" i="33"/>
  <c r="E95" i="33" s="1"/>
  <c r="D98" i="33"/>
  <c r="E98" i="33" s="1"/>
  <c r="D82" i="33"/>
  <c r="E82" i="33" s="1"/>
  <c r="D87" i="33"/>
  <c r="E87" i="33" s="1"/>
  <c r="D88" i="33"/>
  <c r="E88" i="33" s="1"/>
  <c r="D89" i="33"/>
  <c r="E89" i="33" s="1"/>
  <c r="D93" i="33"/>
  <c r="E93" i="33" s="1"/>
  <c r="D97" i="33"/>
  <c r="E97" i="33" s="1"/>
  <c r="D79" i="33"/>
  <c r="E79" i="33" s="1"/>
  <c r="D81" i="33"/>
  <c r="E81" i="33" s="1"/>
  <c r="D101" i="33"/>
  <c r="E101" i="33" s="1"/>
  <c r="D109" i="33"/>
  <c r="E109" i="33" s="1"/>
  <c r="D96" i="33"/>
  <c r="E96" i="33" s="1"/>
  <c r="D105" i="33"/>
  <c r="E105" i="33" s="1"/>
  <c r="D113" i="33"/>
  <c r="E113" i="33" s="1"/>
  <c r="D124" i="33"/>
  <c r="E124" i="33" s="1"/>
  <c r="D102" i="33"/>
  <c r="E102" i="33" s="1"/>
  <c r="D112" i="33"/>
  <c r="E112" i="33" s="1"/>
  <c r="D99" i="33"/>
  <c r="E99" i="33" s="1"/>
  <c r="D100" i="33"/>
  <c r="E100" i="33" s="1"/>
  <c r="D106" i="33"/>
  <c r="E106" i="33" s="1"/>
  <c r="D110" i="33"/>
  <c r="E110" i="33" s="1"/>
  <c r="D116" i="33"/>
  <c r="E116" i="33" s="1"/>
  <c r="D114" i="33"/>
  <c r="E114" i="33" s="1"/>
  <c r="D103" i="33"/>
  <c r="E103" i="33" s="1"/>
  <c r="D104" i="33"/>
  <c r="E104" i="33" s="1"/>
  <c r="D108" i="33"/>
  <c r="E108" i="33" s="1"/>
  <c r="D111" i="33"/>
  <c r="E111" i="33" s="1"/>
  <c r="D117" i="33"/>
  <c r="E117" i="33" s="1"/>
  <c r="D119" i="33"/>
  <c r="E119" i="33" s="1"/>
  <c r="D132" i="33"/>
  <c r="E132" i="33" s="1"/>
  <c r="D134" i="33"/>
  <c r="E134" i="33" s="1"/>
  <c r="D122" i="33"/>
  <c r="E122" i="33" s="1"/>
  <c r="D128" i="33"/>
  <c r="E128" i="33" s="1"/>
  <c r="D129" i="33"/>
  <c r="E129" i="33" s="1"/>
  <c r="D191" i="33"/>
  <c r="E191" i="33" s="1"/>
  <c r="D152" i="33"/>
  <c r="E152" i="33" s="1"/>
  <c r="D118" i="33"/>
  <c r="E118" i="33" s="1"/>
  <c r="D121" i="33"/>
  <c r="E121" i="33" s="1"/>
  <c r="D140" i="33"/>
  <c r="E140" i="33" s="1"/>
  <c r="D133" i="33"/>
  <c r="E133" i="33" s="1"/>
  <c r="D146" i="33"/>
  <c r="E146" i="33" s="1"/>
  <c r="D127" i="33"/>
  <c r="E127" i="33" s="1"/>
  <c r="D130" i="33"/>
  <c r="E130" i="33" s="1"/>
  <c r="D135" i="33"/>
  <c r="E135" i="33" s="1"/>
  <c r="D136" i="33"/>
  <c r="E136" i="33" s="1"/>
  <c r="D137" i="33"/>
  <c r="E137" i="33" s="1"/>
  <c r="D145" i="33"/>
  <c r="E145" i="33" s="1"/>
  <c r="D141" i="33"/>
  <c r="E141" i="33" s="1"/>
  <c r="D125" i="33"/>
  <c r="E125" i="33" s="1"/>
  <c r="D138" i="33"/>
  <c r="E138" i="33" s="1"/>
  <c r="D120" i="33"/>
  <c r="E120" i="33" s="1"/>
  <c r="D126" i="33"/>
  <c r="E126" i="33" s="1"/>
  <c r="D142" i="33"/>
  <c r="E142" i="33" s="1"/>
  <c r="D143" i="33"/>
  <c r="E143" i="33" s="1"/>
  <c r="D144" i="33"/>
  <c r="E144" i="33" s="1"/>
  <c r="D149" i="33"/>
  <c r="E149" i="33" s="1"/>
  <c r="D150" i="33"/>
  <c r="E150" i="33" s="1"/>
  <c r="D162" i="33"/>
  <c r="E162" i="33" s="1"/>
  <c r="D177" i="33"/>
  <c r="E177" i="33" s="1"/>
  <c r="D188" i="33"/>
  <c r="E188" i="33" s="1"/>
  <c r="D195" i="33"/>
  <c r="E195" i="33" s="1"/>
  <c r="D151" i="33"/>
  <c r="E151" i="33" s="1"/>
  <c r="D173" i="33"/>
  <c r="E173" i="33" s="1"/>
  <c r="D176" i="33"/>
  <c r="E176" i="33" s="1"/>
  <c r="D186" i="33"/>
  <c r="E186" i="33" s="1"/>
  <c r="D190" i="33"/>
  <c r="E190" i="33" s="1"/>
  <c r="D193" i="33"/>
  <c r="E193" i="33" s="1"/>
  <c r="D198" i="33"/>
  <c r="E198" i="33" s="1"/>
  <c r="D200" i="33"/>
  <c r="E200" i="33" s="1"/>
  <c r="D221" i="33"/>
  <c r="E221" i="33" s="1"/>
  <c r="D154" i="33"/>
  <c r="E154" i="33" s="1"/>
  <c r="D158" i="33"/>
  <c r="E158" i="33" s="1"/>
  <c r="D165" i="33"/>
  <c r="E165" i="33" s="1"/>
  <c r="D172" i="33"/>
  <c r="E172" i="33" s="1"/>
  <c r="D175" i="33"/>
  <c r="E175" i="33" s="1"/>
  <c r="D180" i="33"/>
  <c r="E180" i="33" s="1"/>
  <c r="D197" i="33"/>
  <c r="E197" i="33" s="1"/>
  <c r="D163" i="33"/>
  <c r="E163" i="33" s="1"/>
  <c r="D164" i="33"/>
  <c r="E164" i="33" s="1"/>
  <c r="D182" i="33"/>
  <c r="E182" i="33" s="1"/>
  <c r="D183" i="33"/>
  <c r="E183" i="33" s="1"/>
  <c r="D184" i="33"/>
  <c r="E184" i="33" s="1"/>
  <c r="D185" i="33"/>
  <c r="E185" i="33" s="1"/>
  <c r="D168" i="33"/>
  <c r="E168" i="33" s="1"/>
  <c r="D194" i="33"/>
  <c r="E194" i="33" s="1"/>
  <c r="D196" i="33"/>
  <c r="E196" i="33" s="1"/>
  <c r="D153" i="33"/>
  <c r="E153" i="33" s="1"/>
  <c r="D156" i="33"/>
  <c r="E156" i="33" s="1"/>
  <c r="D157" i="33"/>
  <c r="E157" i="33" s="1"/>
  <c r="D161" i="33"/>
  <c r="E161" i="33" s="1"/>
  <c r="D169" i="33"/>
  <c r="E169" i="33" s="1"/>
  <c r="D170" i="33"/>
  <c r="E170" i="33" s="1"/>
  <c r="D174" i="33"/>
  <c r="E174" i="33" s="1"/>
  <c r="D178" i="33"/>
  <c r="E178" i="33" s="1"/>
  <c r="D192" i="33"/>
  <c r="E192" i="33" s="1"/>
  <c r="D199" i="33"/>
  <c r="E199" i="33" s="1"/>
  <c r="D202" i="33"/>
  <c r="E202" i="33" s="1"/>
  <c r="D148" i="33"/>
  <c r="E148" i="33" s="1"/>
  <c r="D171" i="33"/>
  <c r="E171" i="33" s="1"/>
  <c r="D181" i="33"/>
  <c r="E181" i="33" s="1"/>
  <c r="D189" i="33"/>
  <c r="E189" i="33" s="1"/>
  <c r="D159" i="33"/>
  <c r="E159" i="33" s="1"/>
  <c r="D160" i="33"/>
  <c r="E160" i="33" s="1"/>
  <c r="D166" i="33"/>
  <c r="E166" i="33" s="1"/>
  <c r="D167" i="33"/>
  <c r="E167" i="33" s="1"/>
  <c r="D204" i="33"/>
  <c r="E204" i="33" s="1"/>
  <c r="D208" i="33"/>
  <c r="E208" i="33" s="1"/>
  <c r="D212" i="33"/>
  <c r="E212" i="33" s="1"/>
  <c r="D218" i="33"/>
  <c r="E218" i="33" s="1"/>
  <c r="D234" i="33"/>
  <c r="E234" i="33" s="1"/>
  <c r="D228" i="33"/>
  <c r="E228" i="33" s="1"/>
  <c r="D233" i="33"/>
  <c r="E233" i="33" s="1"/>
  <c r="D235" i="33"/>
  <c r="E235" i="33" s="1"/>
  <c r="D237" i="33"/>
  <c r="E237" i="33" s="1"/>
  <c r="D245" i="33"/>
  <c r="E245" i="33" s="1"/>
  <c r="D256" i="33"/>
  <c r="E256" i="33" s="1"/>
  <c r="D213" i="33"/>
  <c r="E213" i="33" s="1"/>
  <c r="D214" i="33"/>
  <c r="E214" i="33" s="1"/>
  <c r="D222" i="33"/>
  <c r="E222" i="33" s="1"/>
  <c r="D227" i="33"/>
  <c r="E227" i="33" s="1"/>
  <c r="D206" i="33"/>
  <c r="E206" i="33" s="1"/>
  <c r="D209" i="33"/>
  <c r="E209" i="33" s="1"/>
  <c r="D223" i="33"/>
  <c r="E223" i="33" s="1"/>
  <c r="D224" i="33"/>
  <c r="E224" i="33" s="1"/>
  <c r="D248" i="33"/>
  <c r="E248" i="33" s="1"/>
  <c r="D244" i="33"/>
  <c r="E244" i="33" s="1"/>
  <c r="D215" i="33"/>
  <c r="E215" i="33" s="1"/>
  <c r="D220" i="33"/>
  <c r="E220" i="33" s="1"/>
  <c r="D236" i="33"/>
  <c r="E236" i="33" s="1"/>
  <c r="D205" i="33"/>
  <c r="E205" i="33" s="1"/>
  <c r="D207" i="33"/>
  <c r="E207" i="33" s="1"/>
  <c r="D217" i="33"/>
  <c r="E217" i="33" s="1"/>
  <c r="D225" i="33"/>
  <c r="E225" i="33" s="1"/>
  <c r="D226" i="33"/>
  <c r="E226" i="33" s="1"/>
  <c r="D229" i="33"/>
  <c r="E229" i="33" s="1"/>
  <c r="D231" i="33"/>
  <c r="E231" i="33" s="1"/>
  <c r="D239" i="33"/>
  <c r="E239" i="33" s="1"/>
  <c r="D249" i="33"/>
  <c r="E249" i="33" s="1"/>
  <c r="D210" i="33"/>
  <c r="E210" i="33" s="1"/>
  <c r="D201" i="33"/>
  <c r="E201" i="33" s="1"/>
  <c r="D216" i="33"/>
  <c r="E216" i="33" s="1"/>
  <c r="D230" i="33"/>
  <c r="E230" i="33" s="1"/>
  <c r="D232" i="33"/>
  <c r="E232" i="33" s="1"/>
  <c r="D238" i="33"/>
  <c r="E238" i="33" s="1"/>
  <c r="D242" i="33"/>
  <c r="E242" i="33" s="1"/>
  <c r="D246" i="33"/>
  <c r="E246" i="33" s="1"/>
  <c r="D241" i="33"/>
  <c r="E241" i="33" s="1"/>
  <c r="D252" i="33"/>
  <c r="E252" i="33" s="1"/>
  <c r="D257" i="33"/>
  <c r="E257" i="33" s="1"/>
  <c r="D258" i="33"/>
  <c r="E258" i="33" s="1"/>
  <c r="D271" i="33"/>
  <c r="E271" i="33" s="1"/>
  <c r="D273" i="33"/>
  <c r="E273" i="33" s="1"/>
  <c r="D278" i="33"/>
  <c r="E278" i="33" s="1"/>
  <c r="D281" i="33"/>
  <c r="E281" i="33" s="1"/>
  <c r="D296" i="33"/>
  <c r="E296" i="33" s="1"/>
  <c r="D261" i="33"/>
  <c r="E261" i="33" s="1"/>
  <c r="D279" i="33"/>
  <c r="E279" i="33" s="1"/>
  <c r="D297" i="33"/>
  <c r="E297" i="33" s="1"/>
  <c r="D331" i="33"/>
  <c r="E331" i="33" s="1"/>
  <c r="D311" i="33"/>
  <c r="E311" i="33" s="1"/>
  <c r="D247" i="33"/>
  <c r="E247" i="33" s="1"/>
  <c r="D294" i="33"/>
  <c r="E294" i="33" s="1"/>
  <c r="D266" i="33"/>
  <c r="E266" i="33" s="1"/>
  <c r="D270" i="33"/>
  <c r="E270" i="33" s="1"/>
  <c r="D284" i="33"/>
  <c r="E284" i="33" s="1"/>
  <c r="D309" i="33"/>
  <c r="E309" i="33" s="1"/>
  <c r="D305" i="33"/>
  <c r="E305" i="33" s="1"/>
  <c r="D304" i="33"/>
  <c r="E304" i="33" s="1"/>
  <c r="D316" i="33"/>
  <c r="E316" i="33" s="1"/>
  <c r="D317" i="33"/>
  <c r="E317" i="33" s="1"/>
  <c r="D320" i="33"/>
  <c r="E320" i="33" s="1"/>
  <c r="D243" i="33"/>
  <c r="E243" i="33" s="1"/>
  <c r="D253" i="33"/>
  <c r="E253" i="33" s="1"/>
  <c r="D285" i="33"/>
  <c r="E285" i="33" s="1"/>
  <c r="D292" i="33"/>
  <c r="E292" i="33" s="1"/>
  <c r="D262" i="33"/>
  <c r="E262" i="33" s="1"/>
  <c r="D263" i="33"/>
  <c r="E263" i="33" s="1"/>
  <c r="D265" i="33"/>
  <c r="E265" i="33" s="1"/>
  <c r="D274" i="33"/>
  <c r="E274" i="33" s="1"/>
  <c r="D276" i="33"/>
  <c r="E276" i="33" s="1"/>
  <c r="D290" i="33"/>
  <c r="E290" i="33" s="1"/>
  <c r="D300" i="33"/>
  <c r="E300" i="33" s="1"/>
  <c r="D250" i="33"/>
  <c r="E250" i="33" s="1"/>
  <c r="D240" i="33"/>
  <c r="E240" i="33" s="1"/>
  <c r="D254" i="33"/>
  <c r="E254" i="33" s="1"/>
  <c r="D269" i="33"/>
  <c r="E269" i="33" s="1"/>
  <c r="D282" i="33"/>
  <c r="E282" i="33" s="1"/>
  <c r="D286" i="33"/>
  <c r="E286" i="33" s="1"/>
  <c r="D287" i="33"/>
  <c r="E287" i="33" s="1"/>
  <c r="D288" i="33"/>
  <c r="E288" i="33" s="1"/>
  <c r="D295" i="33"/>
  <c r="E295" i="33" s="1"/>
  <c r="D298" i="33"/>
  <c r="E298" i="33" s="1"/>
  <c r="D255" i="33"/>
  <c r="E255" i="33" s="1"/>
  <c r="D260" i="33"/>
  <c r="E260" i="33" s="1"/>
  <c r="D264" i="33"/>
  <c r="E264" i="33" s="1"/>
  <c r="D268" i="33"/>
  <c r="E268" i="33" s="1"/>
  <c r="D272" i="33"/>
  <c r="E272" i="33" s="1"/>
  <c r="D277" i="33"/>
  <c r="E277" i="33" s="1"/>
  <c r="D280" i="33"/>
  <c r="E280" i="33" s="1"/>
  <c r="D289" i="33"/>
  <c r="E289" i="33" s="1"/>
  <c r="D293" i="33"/>
  <c r="E293" i="33" s="1"/>
  <c r="D315" i="33"/>
  <c r="E315" i="33" s="1"/>
  <c r="D318" i="33"/>
  <c r="E318" i="33" s="1"/>
  <c r="D334" i="33"/>
  <c r="E334" i="33" s="1"/>
  <c r="D338" i="33"/>
  <c r="E338" i="33" s="1"/>
  <c r="D301" i="33"/>
  <c r="E301" i="33" s="1"/>
  <c r="D308" i="33"/>
  <c r="E308" i="33" s="1"/>
  <c r="D312" i="33"/>
  <c r="E312" i="33" s="1"/>
  <c r="D322" i="33"/>
  <c r="E322" i="33" s="1"/>
  <c r="D323" i="33"/>
  <c r="E323" i="33" s="1"/>
  <c r="D340" i="33"/>
  <c r="E340" i="33" s="1"/>
  <c r="D348" i="33"/>
  <c r="E348" i="33" s="1"/>
  <c r="D364" i="33"/>
  <c r="E364" i="33" s="1"/>
  <c r="D376" i="33"/>
  <c r="E376" i="33" s="1"/>
  <c r="D383" i="33"/>
  <c r="E383" i="33" s="1"/>
  <c r="D389" i="33"/>
  <c r="E389" i="33" s="1"/>
  <c r="D390" i="33"/>
  <c r="E390" i="33" s="1"/>
  <c r="D397" i="33"/>
  <c r="E397" i="33" s="1"/>
  <c r="D406" i="33"/>
  <c r="E406" i="33" s="1"/>
  <c r="D438" i="33"/>
  <c r="E438" i="33" s="1"/>
  <c r="D447" i="33"/>
  <c r="E447" i="33" s="1"/>
  <c r="D366" i="33"/>
  <c r="E366" i="33" s="1"/>
  <c r="D302" i="33"/>
  <c r="E302" i="33" s="1"/>
  <c r="D326" i="33"/>
  <c r="E326" i="33" s="1"/>
  <c r="D330" i="33"/>
  <c r="E330" i="33" s="1"/>
  <c r="D353" i="33"/>
  <c r="E353" i="33" s="1"/>
  <c r="D324" i="33"/>
  <c r="E324" i="33" s="1"/>
  <c r="D325" i="33"/>
  <c r="E325" i="33" s="1"/>
  <c r="D341" i="33"/>
  <c r="E341" i="33" s="1"/>
  <c r="D345" i="33"/>
  <c r="E345" i="33" s="1"/>
  <c r="D349" i="33"/>
  <c r="E349" i="33" s="1"/>
  <c r="D359" i="33"/>
  <c r="E359" i="33" s="1"/>
  <c r="D357" i="33"/>
  <c r="E357" i="33" s="1"/>
  <c r="D391" i="33"/>
  <c r="E391" i="33" s="1"/>
  <c r="D358" i="33"/>
  <c r="E358" i="33" s="1"/>
  <c r="D370" i="33"/>
  <c r="E370" i="33" s="1"/>
  <c r="D371" i="33"/>
  <c r="E371" i="33" s="1"/>
  <c r="D377" i="33"/>
  <c r="E377" i="33" s="1"/>
  <c r="D381" i="33"/>
  <c r="E381" i="33" s="1"/>
  <c r="D396" i="33"/>
  <c r="E396" i="33" s="1"/>
  <c r="D399" i="33"/>
  <c r="E399" i="33" s="1"/>
  <c r="D400" i="33"/>
  <c r="E400" i="33" s="1"/>
  <c r="D442" i="33"/>
  <c r="E442" i="33" s="1"/>
  <c r="D443" i="33"/>
  <c r="E443" i="33" s="1"/>
  <c r="D303" i="33"/>
  <c r="E303" i="33" s="1"/>
  <c r="D319" i="33"/>
  <c r="E319" i="33" s="1"/>
  <c r="D332" i="33"/>
  <c r="E332" i="33" s="1"/>
  <c r="D335" i="33"/>
  <c r="E335" i="33" s="1"/>
  <c r="D342" i="33"/>
  <c r="E342" i="33" s="1"/>
  <c r="D354" i="33"/>
  <c r="E354" i="33" s="1"/>
  <c r="D314" i="33"/>
  <c r="E314" i="33" s="1"/>
  <c r="D329" i="33"/>
  <c r="E329" i="33" s="1"/>
  <c r="D333" i="33"/>
  <c r="E333" i="33" s="1"/>
  <c r="D336" i="33"/>
  <c r="E336" i="33" s="1"/>
  <c r="D344" i="33"/>
  <c r="E344" i="33" s="1"/>
  <c r="D346" i="33"/>
  <c r="E346" i="33" s="1"/>
  <c r="D352" i="33"/>
  <c r="E352" i="33" s="1"/>
  <c r="D360" i="33"/>
  <c r="E360" i="33" s="1"/>
  <c r="D431" i="33"/>
  <c r="E431" i="33" s="1"/>
  <c r="D356" i="33"/>
  <c r="E356" i="33" s="1"/>
  <c r="D361" i="33"/>
  <c r="E361" i="33" s="1"/>
  <c r="D367" i="33"/>
  <c r="E367" i="33" s="1"/>
  <c r="D392" i="33"/>
  <c r="E392" i="33" s="1"/>
  <c r="D409" i="33"/>
  <c r="E409" i="33" s="1"/>
  <c r="D410" i="33"/>
  <c r="E410" i="33" s="1"/>
  <c r="D419" i="33"/>
  <c r="E419" i="33" s="1"/>
  <c r="D425" i="33"/>
  <c r="E425" i="33" s="1"/>
  <c r="D306" i="33"/>
  <c r="E306" i="33" s="1"/>
  <c r="D321" i="33"/>
  <c r="E321" i="33" s="1"/>
  <c r="D327" i="33"/>
  <c r="E327" i="33" s="1"/>
  <c r="D337" i="33"/>
  <c r="E337" i="33" s="1"/>
  <c r="D343" i="33"/>
  <c r="E343" i="33" s="1"/>
  <c r="D351" i="33"/>
  <c r="E351" i="33" s="1"/>
  <c r="D310" i="33"/>
  <c r="E310" i="33" s="1"/>
  <c r="D313" i="33"/>
  <c r="E313" i="33" s="1"/>
  <c r="D328" i="33"/>
  <c r="E328" i="33" s="1"/>
  <c r="D350" i="33"/>
  <c r="E350" i="33" s="1"/>
  <c r="D378" i="33"/>
  <c r="E378" i="33" s="1"/>
  <c r="D405" i="33"/>
  <c r="E405" i="33" s="1"/>
  <c r="D415" i="33"/>
  <c r="E415" i="33" s="1"/>
  <c r="D417" i="33"/>
  <c r="E417" i="33" s="1"/>
  <c r="D432" i="33"/>
  <c r="E432" i="33" s="1"/>
  <c r="D439" i="33"/>
  <c r="E439" i="33" s="1"/>
  <c r="D441" i="33"/>
  <c r="E441" i="33" s="1"/>
  <c r="D445" i="33"/>
  <c r="E445" i="33" s="1"/>
  <c r="D446" i="33"/>
  <c r="E446" i="33" s="1"/>
  <c r="D449" i="33"/>
  <c r="E449" i="33" s="1"/>
  <c r="D369" i="33"/>
  <c r="E369" i="33" s="1"/>
  <c r="D373" i="33"/>
  <c r="E373" i="33" s="1"/>
  <c r="D375" i="33"/>
  <c r="E375" i="33" s="1"/>
  <c r="D384" i="33"/>
  <c r="E384" i="33" s="1"/>
  <c r="D386" i="33"/>
  <c r="E386" i="33" s="1"/>
  <c r="D394" i="33"/>
  <c r="E394" i="33" s="1"/>
  <c r="D429" i="33"/>
  <c r="E429" i="33" s="1"/>
  <c r="D433" i="33"/>
  <c r="E433" i="33" s="1"/>
  <c r="D448" i="33"/>
  <c r="E448" i="33" s="1"/>
  <c r="D452" i="33"/>
  <c r="E452" i="33" s="1"/>
  <c r="D457" i="33"/>
  <c r="E457" i="33" s="1"/>
  <c r="D458" i="33"/>
  <c r="E458" i="33" s="1"/>
  <c r="D450" i="33"/>
  <c r="E450" i="33" s="1"/>
  <c r="D506" i="33"/>
  <c r="E506" i="33" s="1"/>
  <c r="D511" i="33"/>
  <c r="E511" i="33" s="1"/>
  <c r="D539" i="33"/>
  <c r="E539" i="33" s="1"/>
  <c r="D545" i="33"/>
  <c r="E545" i="33" s="1"/>
  <c r="D444" i="33"/>
  <c r="E444" i="33" s="1"/>
  <c r="D368" i="33"/>
  <c r="E368" i="33" s="1"/>
  <c r="D372" i="33"/>
  <c r="E372" i="33" s="1"/>
  <c r="D380" i="33"/>
  <c r="E380" i="33" s="1"/>
  <c r="D385" i="33"/>
  <c r="E385" i="33" s="1"/>
  <c r="D388" i="33"/>
  <c r="E388" i="33" s="1"/>
  <c r="D393" i="33"/>
  <c r="E393" i="33" s="1"/>
  <c r="D395" i="33"/>
  <c r="E395" i="33" s="1"/>
  <c r="D398" i="33"/>
  <c r="E398" i="33" s="1"/>
  <c r="D411" i="33"/>
  <c r="E411" i="33" s="1"/>
  <c r="D412" i="33"/>
  <c r="E412" i="33" s="1"/>
  <c r="D413" i="33"/>
  <c r="E413" i="33" s="1"/>
  <c r="D414" i="33"/>
  <c r="E414" i="33" s="1"/>
  <c r="D416" i="33"/>
  <c r="E416" i="33" s="1"/>
  <c r="D423" i="33"/>
  <c r="E423" i="33" s="1"/>
  <c r="D427" i="33"/>
  <c r="E427" i="33" s="1"/>
  <c r="D428" i="33"/>
  <c r="E428" i="33" s="1"/>
  <c r="D434" i="33"/>
  <c r="E434" i="33" s="1"/>
  <c r="D454" i="33"/>
  <c r="E454" i="33" s="1"/>
  <c r="D462" i="33"/>
  <c r="E462" i="33" s="1"/>
  <c r="D470" i="33"/>
  <c r="E470" i="33" s="1"/>
  <c r="D473" i="33"/>
  <c r="E473" i="33" s="1"/>
  <c r="D474" i="33"/>
  <c r="E474" i="33" s="1"/>
  <c r="D488" i="33"/>
  <c r="E488" i="33" s="1"/>
  <c r="D508" i="33"/>
  <c r="E508" i="33" s="1"/>
  <c r="D509" i="33"/>
  <c r="E509" i="33" s="1"/>
  <c r="D528" i="33"/>
  <c r="E528" i="33" s="1"/>
  <c r="D535" i="33"/>
  <c r="E535" i="33" s="1"/>
  <c r="D362" i="33"/>
  <c r="E362" i="33" s="1"/>
  <c r="D379" i="33"/>
  <c r="E379" i="33" s="1"/>
  <c r="D401" i="33"/>
  <c r="E401" i="33" s="1"/>
  <c r="D404" i="33"/>
  <c r="E404" i="33" s="1"/>
  <c r="D407" i="33"/>
  <c r="E407" i="33" s="1"/>
  <c r="D418" i="33"/>
  <c r="E418" i="33" s="1"/>
  <c r="D421" i="33"/>
  <c r="E421" i="33" s="1"/>
  <c r="D424" i="33"/>
  <c r="E424" i="33" s="1"/>
  <c r="D426" i="33"/>
  <c r="E426" i="33" s="1"/>
  <c r="D430" i="33"/>
  <c r="E430" i="33" s="1"/>
  <c r="D436" i="33"/>
  <c r="E436" i="33" s="1"/>
  <c r="D440" i="33"/>
  <c r="E440" i="33" s="1"/>
  <c r="D451" i="33"/>
  <c r="E451" i="33" s="1"/>
  <c r="D463" i="33"/>
  <c r="E463" i="33" s="1"/>
  <c r="D465" i="33"/>
  <c r="E465" i="33" s="1"/>
  <c r="D453" i="33"/>
  <c r="E453" i="33" s="1"/>
  <c r="D466" i="33"/>
  <c r="E466" i="33" s="1"/>
  <c r="D475" i="33"/>
  <c r="E475" i="33" s="1"/>
  <c r="D480" i="33"/>
  <c r="E480" i="33" s="1"/>
  <c r="D481" i="33"/>
  <c r="E481" i="33" s="1"/>
  <c r="D493" i="33"/>
  <c r="E493" i="33" s="1"/>
  <c r="D501" i="33"/>
  <c r="E501" i="33" s="1"/>
  <c r="D504" i="33"/>
  <c r="E504" i="33" s="1"/>
  <c r="D510" i="33"/>
  <c r="E510" i="33" s="1"/>
  <c r="D518" i="33"/>
  <c r="E518" i="33" s="1"/>
  <c r="D520" i="33"/>
  <c r="E520" i="33" s="1"/>
  <c r="D529" i="33"/>
  <c r="E529" i="33" s="1"/>
  <c r="D548" i="33"/>
  <c r="E548" i="33" s="1"/>
  <c r="D365" i="33"/>
  <c r="E365" i="33" s="1"/>
  <c r="D374" i="33"/>
  <c r="E374" i="33" s="1"/>
  <c r="D382" i="33"/>
  <c r="E382" i="33" s="1"/>
  <c r="D402" i="33"/>
  <c r="E402" i="33" s="1"/>
  <c r="D408" i="33"/>
  <c r="E408" i="33" s="1"/>
  <c r="D420" i="33"/>
  <c r="E420" i="33" s="1"/>
  <c r="D422" i="33"/>
  <c r="E422" i="33" s="1"/>
  <c r="D437" i="33"/>
  <c r="E437" i="33" s="1"/>
  <c r="D456" i="33"/>
  <c r="E456" i="33" s="1"/>
  <c r="D460" i="33"/>
  <c r="E460" i="33" s="1"/>
  <c r="D455" i="33"/>
  <c r="E455" i="33" s="1"/>
  <c r="D521" i="33"/>
  <c r="E521" i="33" s="1"/>
  <c r="D487" i="33"/>
  <c r="E487" i="33" s="1"/>
  <c r="D489" i="33"/>
  <c r="E489" i="33" s="1"/>
  <c r="D514" i="33"/>
  <c r="E514" i="33" s="1"/>
  <c r="D522" i="33"/>
  <c r="E522" i="33" s="1"/>
  <c r="D526" i="33"/>
  <c r="E526" i="33" s="1"/>
  <c r="D530" i="33"/>
  <c r="E530" i="33" s="1"/>
  <c r="D532" i="33"/>
  <c r="E532" i="33" s="1"/>
  <c r="D464" i="33"/>
  <c r="E464" i="33" s="1"/>
  <c r="D479" i="33"/>
  <c r="E479" i="33" s="1"/>
  <c r="D490" i="33"/>
  <c r="E490" i="33" s="1"/>
  <c r="D495" i="33"/>
  <c r="E495" i="33" s="1"/>
  <c r="D502" i="33"/>
  <c r="E502" i="33" s="1"/>
  <c r="D512" i="33"/>
  <c r="E512" i="33" s="1"/>
  <c r="D524" i="33"/>
  <c r="E524" i="33" s="1"/>
  <c r="D531" i="33"/>
  <c r="E531" i="33" s="1"/>
  <c r="D533" i="33"/>
  <c r="E533" i="33" s="1"/>
  <c r="D540" i="33"/>
  <c r="E540" i="33" s="1"/>
  <c r="D543" i="33"/>
  <c r="E543" i="33" s="1"/>
  <c r="D559" i="33"/>
  <c r="E559" i="33" s="1"/>
  <c r="D572" i="33"/>
  <c r="E572" i="33" s="1"/>
  <c r="D573" i="33"/>
  <c r="E573" i="33" s="1"/>
  <c r="D591" i="33"/>
  <c r="E591" i="33" s="1"/>
  <c r="D608" i="33"/>
  <c r="E608" i="33" s="1"/>
  <c r="D616" i="33"/>
  <c r="E616" i="33" s="1"/>
  <c r="D619" i="33"/>
  <c r="E619" i="33" s="1"/>
  <c r="D629" i="33"/>
  <c r="E629" i="33" s="1"/>
  <c r="D633" i="33"/>
  <c r="E633" i="33" s="1"/>
  <c r="D647" i="33"/>
  <c r="E647" i="33" s="1"/>
  <c r="D650" i="33"/>
  <c r="E650" i="33" s="1"/>
  <c r="D537" i="33"/>
  <c r="E537" i="33" s="1"/>
  <c r="D461" i="33"/>
  <c r="E461" i="33" s="1"/>
  <c r="D468" i="33"/>
  <c r="E468" i="33" s="1"/>
  <c r="D476" i="33"/>
  <c r="E476" i="33" s="1"/>
  <c r="D478" i="33"/>
  <c r="E478" i="33" s="1"/>
  <c r="D482" i="33"/>
  <c r="E482" i="33" s="1"/>
  <c r="D485" i="33"/>
  <c r="E485" i="33" s="1"/>
  <c r="D496" i="33"/>
  <c r="E496" i="33" s="1"/>
  <c r="D503" i="33"/>
  <c r="E503" i="33" s="1"/>
  <c r="D505" i="33"/>
  <c r="E505" i="33" s="1"/>
  <c r="D517" i="33"/>
  <c r="E517" i="33" s="1"/>
  <c r="D536" i="33"/>
  <c r="E536" i="33" s="1"/>
  <c r="D554" i="33"/>
  <c r="E554" i="33" s="1"/>
  <c r="D575" i="33"/>
  <c r="E575" i="33" s="1"/>
  <c r="D590" i="33"/>
  <c r="E590" i="33" s="1"/>
  <c r="D599" i="33"/>
  <c r="E599" i="33" s="1"/>
  <c r="D600" i="33"/>
  <c r="E600" i="33" s="1"/>
  <c r="D637" i="33"/>
  <c r="E637" i="33" s="1"/>
  <c r="D556" i="33"/>
  <c r="E556" i="33" s="1"/>
  <c r="D469" i="33"/>
  <c r="E469" i="33" s="1"/>
  <c r="D477" i="33"/>
  <c r="E477" i="33" s="1"/>
  <c r="D492" i="33"/>
  <c r="E492" i="33" s="1"/>
  <c r="D519" i="33"/>
  <c r="E519" i="33" s="1"/>
  <c r="D541" i="33"/>
  <c r="E541" i="33" s="1"/>
  <c r="D542" i="33"/>
  <c r="E542" i="33" s="1"/>
  <c r="D546" i="33"/>
  <c r="E546" i="33" s="1"/>
  <c r="D550" i="33"/>
  <c r="E550" i="33" s="1"/>
  <c r="D553" i="33"/>
  <c r="E553" i="33" s="1"/>
  <c r="D552" i="33"/>
  <c r="E552" i="33" s="1"/>
  <c r="D558" i="33"/>
  <c r="E558" i="33" s="1"/>
  <c r="D560" i="33"/>
  <c r="E560" i="33" s="1"/>
  <c r="D641" i="33"/>
  <c r="E641" i="33" s="1"/>
  <c r="D577" i="33"/>
  <c r="E577" i="33" s="1"/>
  <c r="D589" i="33"/>
  <c r="E589" i="33" s="1"/>
  <c r="D598" i="33"/>
  <c r="E598" i="33" s="1"/>
  <c r="D602" i="33"/>
  <c r="E602" i="33" s="1"/>
  <c r="D622" i="33"/>
  <c r="E622" i="33" s="1"/>
  <c r="D638" i="33"/>
  <c r="E638" i="33" s="1"/>
  <c r="D639" i="33"/>
  <c r="E639" i="33" s="1"/>
  <c r="D644" i="33"/>
  <c r="E644" i="33" s="1"/>
  <c r="D653" i="33"/>
  <c r="E653" i="33" s="1"/>
  <c r="D472" i="33"/>
  <c r="E472" i="33" s="1"/>
  <c r="D471" i="33"/>
  <c r="E471" i="33" s="1"/>
  <c r="D484" i="33"/>
  <c r="E484" i="33" s="1"/>
  <c r="D486" i="33"/>
  <c r="E486" i="33" s="1"/>
  <c r="D494" i="33"/>
  <c r="E494" i="33" s="1"/>
  <c r="D497" i="33"/>
  <c r="E497" i="33" s="1"/>
  <c r="D498" i="33"/>
  <c r="E498" i="33" s="1"/>
  <c r="D500" i="33"/>
  <c r="E500" i="33" s="1"/>
  <c r="D513" i="33"/>
  <c r="E513" i="33" s="1"/>
  <c r="D516" i="33"/>
  <c r="E516" i="33" s="1"/>
  <c r="D525" i="33"/>
  <c r="E525" i="33" s="1"/>
  <c r="D527" i="33"/>
  <c r="E527" i="33" s="1"/>
  <c r="D534" i="33"/>
  <c r="E534" i="33" s="1"/>
  <c r="D538" i="33"/>
  <c r="E538" i="33" s="1"/>
  <c r="D544" i="33"/>
  <c r="E544" i="33" s="1"/>
  <c r="D549" i="33"/>
  <c r="E549" i="33" s="1"/>
  <c r="D551" i="33"/>
  <c r="E551" i="33" s="1"/>
  <c r="D555" i="33"/>
  <c r="E555" i="33" s="1"/>
  <c r="D557" i="33"/>
  <c r="E557" i="33" s="1"/>
  <c r="D562" i="33"/>
  <c r="E562" i="33" s="1"/>
  <c r="D566" i="33"/>
  <c r="E566" i="33" s="1"/>
  <c r="D582" i="33"/>
  <c r="E582" i="33" s="1"/>
  <c r="D588" i="33"/>
  <c r="E588" i="33" s="1"/>
  <c r="D601" i="33"/>
  <c r="E601" i="33" s="1"/>
  <c r="D610" i="33"/>
  <c r="E610" i="33" s="1"/>
  <c r="D612" i="33"/>
  <c r="E612" i="33" s="1"/>
  <c r="D614" i="33"/>
  <c r="E614" i="33" s="1"/>
  <c r="D617" i="33"/>
  <c r="E617" i="33" s="1"/>
  <c r="D640" i="33"/>
  <c r="E640" i="33" s="1"/>
  <c r="D648" i="33"/>
  <c r="E648" i="33" s="1"/>
  <c r="D652" i="33"/>
  <c r="E652" i="33" s="1"/>
  <c r="D654" i="33"/>
  <c r="E654" i="33" s="1"/>
  <c r="D656" i="33"/>
  <c r="E656" i="33" s="1"/>
  <c r="D561" i="33"/>
  <c r="E561" i="33" s="1"/>
  <c r="D565" i="33"/>
  <c r="E565" i="33" s="1"/>
  <c r="D570" i="33"/>
  <c r="E570" i="33" s="1"/>
  <c r="D586" i="33"/>
  <c r="E586" i="33" s="1"/>
  <c r="D592" i="33"/>
  <c r="E592" i="33" s="1"/>
  <c r="D594" i="33"/>
  <c r="E594" i="33" s="1"/>
  <c r="D596" i="33"/>
  <c r="E596" i="33" s="1"/>
  <c r="D605" i="33"/>
  <c r="E605" i="33" s="1"/>
  <c r="D606" i="33"/>
  <c r="E606" i="33" s="1"/>
  <c r="D630" i="33"/>
  <c r="E630" i="33" s="1"/>
  <c r="D645" i="33"/>
  <c r="E645" i="33" s="1"/>
  <c r="D662" i="33"/>
  <c r="E662" i="33" s="1"/>
  <c r="D663" i="33"/>
  <c r="E663" i="33" s="1"/>
  <c r="D676" i="33"/>
  <c r="E676" i="33" s="1"/>
  <c r="D680" i="33"/>
  <c r="E680" i="33" s="1"/>
  <c r="D691" i="33"/>
  <c r="E691" i="33" s="1"/>
  <c r="D671" i="33"/>
  <c r="E671" i="33" s="1"/>
  <c r="D713" i="33"/>
  <c r="E713" i="33" s="1"/>
  <c r="D730" i="33"/>
  <c r="E730" i="33" s="1"/>
  <c r="D743" i="33"/>
  <c r="E743" i="33" s="1"/>
  <c r="D745" i="33"/>
  <c r="E745" i="33" s="1"/>
  <c r="D758" i="33"/>
  <c r="E758" i="33" s="1"/>
  <c r="D759" i="33"/>
  <c r="E759" i="33" s="1"/>
  <c r="D569" i="33"/>
  <c r="E569" i="33" s="1"/>
  <c r="D576" i="33"/>
  <c r="E576" i="33" s="1"/>
  <c r="D580" i="33"/>
  <c r="E580" i="33" s="1"/>
  <c r="D584" i="33"/>
  <c r="E584" i="33" s="1"/>
  <c r="D585" i="33"/>
  <c r="E585" i="33" s="1"/>
  <c r="D607" i="33"/>
  <c r="E607" i="33" s="1"/>
  <c r="D613" i="33"/>
  <c r="E613" i="33" s="1"/>
  <c r="D615" i="33"/>
  <c r="E615" i="33" s="1"/>
  <c r="D618" i="33"/>
  <c r="E618" i="33" s="1"/>
  <c r="D623" i="33"/>
  <c r="E623" i="33" s="1"/>
  <c r="D625" i="33"/>
  <c r="E625" i="33" s="1"/>
  <c r="D632" i="33"/>
  <c r="E632" i="33" s="1"/>
  <c r="D636" i="33"/>
  <c r="E636" i="33" s="1"/>
  <c r="D646" i="33"/>
  <c r="E646" i="33" s="1"/>
  <c r="D649" i="33"/>
  <c r="E649" i="33" s="1"/>
  <c r="D657" i="33"/>
  <c r="E657" i="33" s="1"/>
  <c r="D666" i="33"/>
  <c r="E666" i="33" s="1"/>
  <c r="D685" i="33"/>
  <c r="E685" i="33" s="1"/>
  <c r="D692" i="33"/>
  <c r="E692" i="33" s="1"/>
  <c r="D694" i="33"/>
  <c r="E694" i="33" s="1"/>
  <c r="D701" i="33"/>
  <c r="E701" i="33" s="1"/>
  <c r="D716" i="33"/>
  <c r="E716" i="33" s="1"/>
  <c r="D720" i="33"/>
  <c r="E720" i="33" s="1"/>
  <c r="D732" i="33"/>
  <c r="E732" i="33" s="1"/>
  <c r="D736" i="33"/>
  <c r="E736" i="33" s="1"/>
  <c r="D737" i="33"/>
  <c r="E737" i="33" s="1"/>
  <c r="D738" i="33"/>
  <c r="E738" i="33" s="1"/>
  <c r="D746" i="33"/>
  <c r="E746" i="33" s="1"/>
  <c r="D749" i="33"/>
  <c r="E749" i="33" s="1"/>
  <c r="D753" i="33"/>
  <c r="E753" i="33" s="1"/>
  <c r="D564" i="33"/>
  <c r="E564" i="33" s="1"/>
  <c r="D567" i="33"/>
  <c r="E567" i="33" s="1"/>
  <c r="D568" i="33"/>
  <c r="E568" i="33" s="1"/>
  <c r="D578" i="33"/>
  <c r="E578" i="33" s="1"/>
  <c r="D581" i="33"/>
  <c r="E581" i="33" s="1"/>
  <c r="D603" i="33"/>
  <c r="E603" i="33" s="1"/>
  <c r="D620" i="33"/>
  <c r="E620" i="33" s="1"/>
  <c r="D621" i="33"/>
  <c r="E621" i="33" s="1"/>
  <c r="D624" i="33"/>
  <c r="E624" i="33" s="1"/>
  <c r="D628" i="33"/>
  <c r="E628" i="33" s="1"/>
  <c r="D634" i="33"/>
  <c r="E634" i="33" s="1"/>
  <c r="D655" i="33"/>
  <c r="E655" i="33" s="1"/>
  <c r="D658" i="33"/>
  <c r="E658" i="33" s="1"/>
  <c r="D661" i="33"/>
  <c r="E661" i="33" s="1"/>
  <c r="D664" i="33"/>
  <c r="E664" i="33" s="1"/>
  <c r="D665" i="33"/>
  <c r="E665" i="33" s="1"/>
  <c r="D674" i="33"/>
  <c r="E674" i="33" s="1"/>
  <c r="D677" i="33"/>
  <c r="E677" i="33" s="1"/>
  <c r="D698" i="33"/>
  <c r="E698" i="33" s="1"/>
  <c r="D705" i="33"/>
  <c r="E705" i="33" s="1"/>
  <c r="D714" i="33"/>
  <c r="E714" i="33" s="1"/>
  <c r="D715" i="33"/>
  <c r="E715" i="33" s="1"/>
  <c r="D733" i="33"/>
  <c r="E733" i="33" s="1"/>
  <c r="D754" i="33"/>
  <c r="E754" i="33" s="1"/>
  <c r="D682" i="33"/>
  <c r="E682" i="33" s="1"/>
  <c r="D574" i="33"/>
  <c r="E574" i="33" s="1"/>
  <c r="D583" i="33"/>
  <c r="E583" i="33" s="1"/>
  <c r="D587" i="33"/>
  <c r="E587" i="33" s="1"/>
  <c r="D593" i="33"/>
  <c r="E593" i="33" s="1"/>
  <c r="D597" i="33"/>
  <c r="E597" i="33" s="1"/>
  <c r="D604" i="33"/>
  <c r="E604" i="33" s="1"/>
  <c r="D609" i="33"/>
  <c r="E609" i="33" s="1"/>
  <c r="D626" i="33"/>
  <c r="E626" i="33" s="1"/>
  <c r="D631" i="33"/>
  <c r="E631" i="33" s="1"/>
  <c r="D642" i="33"/>
  <c r="E642" i="33" s="1"/>
  <c r="D660" i="33"/>
  <c r="E660" i="33" s="1"/>
  <c r="D668" i="33"/>
  <c r="E668" i="33" s="1"/>
  <c r="D670" i="33"/>
  <c r="E670" i="33" s="1"/>
  <c r="D675" i="33"/>
  <c r="E675" i="33" s="1"/>
  <c r="D669" i="33"/>
  <c r="E669" i="33" s="1"/>
  <c r="D672" i="33"/>
  <c r="E672" i="33" s="1"/>
  <c r="D679" i="33"/>
  <c r="E679" i="33" s="1"/>
  <c r="D695" i="33"/>
  <c r="E695" i="33" s="1"/>
  <c r="D707" i="33"/>
  <c r="E707" i="33" s="1"/>
  <c r="D708" i="33"/>
  <c r="E708" i="33" s="1"/>
  <c r="D719" i="33"/>
  <c r="E719" i="33" s="1"/>
  <c r="D739" i="33"/>
  <c r="E739" i="33" s="1"/>
  <c r="D740" i="33"/>
  <c r="E740" i="33" s="1"/>
  <c r="D751" i="33"/>
  <c r="E751" i="33" s="1"/>
  <c r="D756" i="33"/>
  <c r="E756" i="33" s="1"/>
  <c r="D766" i="33"/>
  <c r="E766" i="33" s="1"/>
  <c r="D770" i="33"/>
  <c r="E770" i="33" s="1"/>
  <c r="D690" i="33"/>
  <c r="E690" i="33" s="1"/>
  <c r="D693" i="33"/>
  <c r="E693" i="33" s="1"/>
  <c r="D703" i="33"/>
  <c r="E703" i="33" s="1"/>
  <c r="D725" i="33"/>
  <c r="E725" i="33" s="1"/>
  <c r="D726" i="33"/>
  <c r="E726" i="33" s="1"/>
  <c r="D729" i="33"/>
  <c r="E729" i="33" s="1"/>
  <c r="D734" i="33"/>
  <c r="E734" i="33" s="1"/>
  <c r="D750" i="33"/>
  <c r="E750" i="33" s="1"/>
  <c r="D757" i="33"/>
  <c r="E757" i="33" s="1"/>
  <c r="D773" i="33"/>
  <c r="E773" i="33" s="1"/>
  <c r="D775" i="33"/>
  <c r="E775" i="33" s="1"/>
  <c r="D951" i="33"/>
  <c r="E951" i="33" s="1"/>
  <c r="D961" i="33"/>
  <c r="E961" i="33" s="1"/>
  <c r="D782" i="33"/>
  <c r="E782" i="33" s="1"/>
  <c r="D792" i="33"/>
  <c r="E792" i="33" s="1"/>
  <c r="D793" i="33"/>
  <c r="E793" i="33" s="1"/>
  <c r="D799" i="33"/>
  <c r="E799" i="33" s="1"/>
  <c r="D806" i="33"/>
  <c r="E806" i="33" s="1"/>
  <c r="D814" i="33"/>
  <c r="E814" i="33" s="1"/>
  <c r="D815" i="33"/>
  <c r="E815" i="33" s="1"/>
  <c r="D819" i="33"/>
  <c r="E819" i="33" s="1"/>
  <c r="D830" i="33"/>
  <c r="E830" i="33" s="1"/>
  <c r="D834" i="33"/>
  <c r="E834" i="33" s="1"/>
  <c r="D863" i="33"/>
  <c r="E863" i="33" s="1"/>
  <c r="D874" i="33"/>
  <c r="E874" i="33" s="1"/>
  <c r="D918" i="33"/>
  <c r="E918" i="33" s="1"/>
  <c r="D936" i="33"/>
  <c r="E936" i="33" s="1"/>
  <c r="D941" i="33"/>
  <c r="E941" i="33" s="1"/>
  <c r="D956" i="33"/>
  <c r="E956" i="33" s="1"/>
  <c r="D781" i="33"/>
  <c r="E781" i="33" s="1"/>
  <c r="D785" i="33"/>
  <c r="E785" i="33" s="1"/>
  <c r="D789" i="33"/>
  <c r="E789" i="33" s="1"/>
  <c r="D803" i="33"/>
  <c r="E803" i="33" s="1"/>
  <c r="D809" i="33"/>
  <c r="E809" i="33" s="1"/>
  <c r="D816" i="33"/>
  <c r="E816" i="33" s="1"/>
  <c r="D839" i="33"/>
  <c r="E839" i="33" s="1"/>
  <c r="D845" i="33"/>
  <c r="E845" i="33" s="1"/>
  <c r="D846" i="33"/>
  <c r="E846" i="33" s="1"/>
  <c r="D848" i="33"/>
  <c r="E848" i="33" s="1"/>
  <c r="D849" i="33"/>
  <c r="E849" i="33" s="1"/>
  <c r="D876" i="33"/>
  <c r="E876" i="33" s="1"/>
  <c r="D879" i="33"/>
  <c r="E879" i="33" s="1"/>
  <c r="D902" i="33"/>
  <c r="E902" i="33" s="1"/>
  <c r="D905" i="33"/>
  <c r="E905" i="33" s="1"/>
  <c r="D684" i="33"/>
  <c r="E684" i="33" s="1"/>
  <c r="D688" i="33"/>
  <c r="E688" i="33" s="1"/>
  <c r="D702" i="33"/>
  <c r="E702" i="33" s="1"/>
  <c r="D704" i="33"/>
  <c r="E704" i="33" s="1"/>
  <c r="D709" i="33"/>
  <c r="E709" i="33" s="1"/>
  <c r="D711" i="33"/>
  <c r="E711" i="33" s="1"/>
  <c r="D724" i="33"/>
  <c r="E724" i="33" s="1"/>
  <c r="D744" i="33"/>
  <c r="E744" i="33" s="1"/>
  <c r="D764" i="33"/>
  <c r="E764" i="33" s="1"/>
  <c r="D765" i="33"/>
  <c r="E765" i="33" s="1"/>
  <c r="D779" i="33"/>
  <c r="E779" i="33" s="1"/>
  <c r="D861" i="33"/>
  <c r="E861" i="33" s="1"/>
  <c r="D794" i="33"/>
  <c r="E794" i="33" s="1"/>
  <c r="D810" i="33"/>
  <c r="E810" i="33" s="1"/>
  <c r="D821" i="33"/>
  <c r="E821" i="33" s="1"/>
  <c r="D822" i="33"/>
  <c r="E822" i="33" s="1"/>
  <c r="D854" i="33"/>
  <c r="E854" i="33" s="1"/>
  <c r="D868" i="33"/>
  <c r="E868" i="33" s="1"/>
  <c r="D881" i="33"/>
  <c r="E881" i="33" s="1"/>
  <c r="D893" i="33"/>
  <c r="E893" i="33" s="1"/>
  <c r="D895" i="33"/>
  <c r="E895" i="33" s="1"/>
  <c r="D903" i="33"/>
  <c r="E903" i="33" s="1"/>
  <c r="D913" i="33"/>
  <c r="E913" i="33" s="1"/>
  <c r="D917" i="33"/>
  <c r="E917" i="33" s="1"/>
  <c r="D922" i="33"/>
  <c r="E922" i="33" s="1"/>
  <c r="D923" i="33"/>
  <c r="E923" i="33" s="1"/>
  <c r="D926" i="33"/>
  <c r="E926" i="33" s="1"/>
  <c r="D952" i="33"/>
  <c r="E952" i="33" s="1"/>
  <c r="D786" i="33"/>
  <c r="E786" i="33" s="1"/>
  <c r="D791" i="33"/>
  <c r="E791" i="33" s="1"/>
  <c r="D796" i="33"/>
  <c r="E796" i="33" s="1"/>
  <c r="D798" i="33"/>
  <c r="E798" i="33" s="1"/>
  <c r="D802" i="33"/>
  <c r="E802" i="33" s="1"/>
  <c r="D820" i="33"/>
  <c r="E820" i="33" s="1"/>
  <c r="D823" i="33"/>
  <c r="E823" i="33" s="1"/>
  <c r="D824" i="33"/>
  <c r="E824" i="33" s="1"/>
  <c r="D840" i="33"/>
  <c r="E840" i="33" s="1"/>
  <c r="D847" i="33"/>
  <c r="E847" i="33" s="1"/>
  <c r="D878" i="33"/>
  <c r="E878" i="33" s="1"/>
  <c r="D883" i="33"/>
  <c r="E883" i="33" s="1"/>
  <c r="D885" i="33"/>
  <c r="E885" i="33" s="1"/>
  <c r="D887" i="33"/>
  <c r="E887" i="33" s="1"/>
  <c r="D890" i="33"/>
  <c r="E890" i="33" s="1"/>
  <c r="D673" i="33"/>
  <c r="E673" i="33" s="1"/>
  <c r="D681" i="33"/>
  <c r="E681" i="33" s="1"/>
  <c r="D686" i="33"/>
  <c r="E686" i="33" s="1"/>
  <c r="D687" i="33"/>
  <c r="E687" i="33" s="1"/>
  <c r="D689" i="33"/>
  <c r="E689" i="33" s="1"/>
  <c r="D696" i="33"/>
  <c r="E696" i="33" s="1"/>
  <c r="D710" i="33"/>
  <c r="E710" i="33" s="1"/>
  <c r="D712" i="33"/>
  <c r="E712" i="33" s="1"/>
  <c r="D717" i="33"/>
  <c r="E717" i="33" s="1"/>
  <c r="D718" i="33"/>
  <c r="E718" i="33" s="1"/>
  <c r="D721" i="33"/>
  <c r="E721" i="33" s="1"/>
  <c r="D722" i="33"/>
  <c r="E722" i="33" s="1"/>
  <c r="D727" i="33"/>
  <c r="E727" i="33" s="1"/>
  <c r="D728" i="33"/>
  <c r="E728" i="33" s="1"/>
  <c r="D735" i="33"/>
  <c r="E735" i="33" s="1"/>
  <c r="D742" i="33"/>
  <c r="E742" i="33" s="1"/>
  <c r="D748" i="33"/>
  <c r="E748" i="33" s="1"/>
  <c r="D752" i="33"/>
  <c r="E752" i="33" s="1"/>
  <c r="D760" i="33"/>
  <c r="E760" i="33" s="1"/>
  <c r="D762" i="33"/>
  <c r="E762" i="33" s="1"/>
  <c r="D767" i="33"/>
  <c r="E767" i="33" s="1"/>
  <c r="D768" i="33"/>
  <c r="E768" i="33" s="1"/>
  <c r="D769" i="33"/>
  <c r="E769" i="33" s="1"/>
  <c r="D774" i="33"/>
  <c r="E774" i="33" s="1"/>
  <c r="D777" i="33"/>
  <c r="E777" i="33" s="1"/>
  <c r="D790" i="33"/>
  <c r="E790" i="33" s="1"/>
  <c r="D797" i="33"/>
  <c r="E797" i="33" s="1"/>
  <c r="D831" i="33"/>
  <c r="E831" i="33" s="1"/>
  <c r="D832" i="33"/>
  <c r="E832" i="33" s="1"/>
  <c r="D844" i="33"/>
  <c r="E844" i="33" s="1"/>
  <c r="D858" i="33"/>
  <c r="E858" i="33" s="1"/>
  <c r="D865" i="33"/>
  <c r="E865" i="33" s="1"/>
  <c r="D873" i="33"/>
  <c r="E873" i="33" s="1"/>
  <c r="D880" i="33"/>
  <c r="E880" i="33" s="1"/>
  <c r="D884" i="33"/>
  <c r="E884" i="33" s="1"/>
  <c r="D892" i="33"/>
  <c r="E892" i="33" s="1"/>
  <c r="D898" i="33"/>
  <c r="E898" i="33" s="1"/>
  <c r="D911" i="33"/>
  <c r="E911" i="33" s="1"/>
  <c r="D916" i="33"/>
  <c r="E916" i="33" s="1"/>
  <c r="D920" i="33"/>
  <c r="E920" i="33" s="1"/>
  <c r="D927" i="33"/>
  <c r="E927" i="33" s="1"/>
  <c r="D933" i="33"/>
  <c r="E933" i="33" s="1"/>
  <c r="D937" i="33"/>
  <c r="E937" i="33" s="1"/>
  <c r="D959" i="33"/>
  <c r="E959" i="33" s="1"/>
  <c r="D778" i="33"/>
  <c r="E778" i="33" s="1"/>
  <c r="D784" i="33"/>
  <c r="E784" i="33" s="1"/>
  <c r="D801" i="33"/>
  <c r="E801" i="33" s="1"/>
  <c r="D812" i="33"/>
  <c r="E812" i="33" s="1"/>
  <c r="D818" i="33"/>
  <c r="E818" i="33" s="1"/>
  <c r="D825" i="33"/>
  <c r="E825" i="33" s="1"/>
  <c r="D826" i="33"/>
  <c r="E826" i="33" s="1"/>
  <c r="D828" i="33"/>
  <c r="E828" i="33" s="1"/>
  <c r="D836" i="33"/>
  <c r="E836" i="33" s="1"/>
  <c r="D842" i="33"/>
  <c r="E842" i="33" s="1"/>
  <c r="D852" i="33"/>
  <c r="E852" i="33" s="1"/>
  <c r="D853" i="33"/>
  <c r="E853" i="33" s="1"/>
  <c r="D855" i="33"/>
  <c r="E855" i="33" s="1"/>
  <c r="D869" i="33"/>
  <c r="E869" i="33" s="1"/>
  <c r="D870" i="33"/>
  <c r="E870" i="33" s="1"/>
  <c r="D882" i="33"/>
  <c r="E882" i="33" s="1"/>
  <c r="D886" i="33"/>
  <c r="E886" i="33" s="1"/>
  <c r="D889" i="33"/>
  <c r="E889" i="33" s="1"/>
  <c r="D678" i="33"/>
  <c r="E678" i="33" s="1"/>
  <c r="D697" i="33"/>
  <c r="E697" i="33" s="1"/>
  <c r="D700" i="33"/>
  <c r="E700" i="33" s="1"/>
  <c r="D706" i="33"/>
  <c r="E706" i="33" s="1"/>
  <c r="D741" i="33"/>
  <c r="E741" i="33" s="1"/>
  <c r="D761" i="33"/>
  <c r="E761" i="33" s="1"/>
  <c r="D776" i="33"/>
  <c r="E776" i="33" s="1"/>
  <c r="D772" i="33"/>
  <c r="E772" i="33" s="1"/>
  <c r="D780" i="33"/>
  <c r="E780" i="33" s="1"/>
  <c r="D771" i="33"/>
  <c r="E771" i="33" s="1"/>
  <c r="D871" i="33"/>
  <c r="E871" i="33" s="1"/>
  <c r="D783" i="33"/>
  <c r="E783" i="33" s="1"/>
  <c r="D800" i="33"/>
  <c r="E800" i="33" s="1"/>
  <c r="D805" i="33"/>
  <c r="E805" i="33" s="1"/>
  <c r="D813" i="33"/>
  <c r="E813" i="33" s="1"/>
  <c r="D817" i="33"/>
  <c r="E817" i="33" s="1"/>
  <c r="D829" i="33"/>
  <c r="E829" i="33" s="1"/>
  <c r="D837" i="33"/>
  <c r="E837" i="33" s="1"/>
  <c r="D850" i="33"/>
  <c r="E850" i="33" s="1"/>
  <c r="D857" i="33"/>
  <c r="E857" i="33" s="1"/>
  <c r="D864" i="33"/>
  <c r="E864" i="33" s="1"/>
  <c r="D877" i="33"/>
  <c r="E877" i="33" s="1"/>
  <c r="D897" i="33"/>
  <c r="E897" i="33" s="1"/>
  <c r="D901" i="33"/>
  <c r="E901" i="33" s="1"/>
  <c r="D919" i="33"/>
  <c r="E919" i="33" s="1"/>
  <c r="D925" i="33"/>
  <c r="E925" i="33" s="1"/>
  <c r="D940" i="33"/>
  <c r="E940" i="33" s="1"/>
  <c r="D942" i="33"/>
  <c r="E942" i="33" s="1"/>
  <c r="D953" i="33"/>
  <c r="E953" i="33" s="1"/>
  <c r="D788" i="33"/>
  <c r="E788" i="33" s="1"/>
  <c r="D804" i="33"/>
  <c r="E804" i="33" s="1"/>
  <c r="D807" i="33"/>
  <c r="E807" i="33" s="1"/>
  <c r="D808" i="33"/>
  <c r="E808" i="33" s="1"/>
  <c r="D833" i="33"/>
  <c r="E833" i="33" s="1"/>
  <c r="D838" i="33"/>
  <c r="E838" i="33" s="1"/>
  <c r="D841" i="33"/>
  <c r="E841" i="33" s="1"/>
  <c r="D856" i="33"/>
  <c r="E856" i="33" s="1"/>
  <c r="D860" i="33"/>
  <c r="E860" i="33" s="1"/>
  <c r="D862" i="33"/>
  <c r="E862" i="33" s="1"/>
  <c r="D866" i="33"/>
  <c r="E866" i="33" s="1"/>
  <c r="D872" i="33"/>
  <c r="E872" i="33" s="1"/>
  <c r="D888" i="33"/>
  <c r="E888" i="33" s="1"/>
  <c r="D894" i="33"/>
  <c r="E894" i="33" s="1"/>
  <c r="D896" i="33"/>
  <c r="E896" i="33" s="1"/>
  <c r="D900" i="33"/>
  <c r="E900" i="33" s="1"/>
  <c r="D904" i="33"/>
  <c r="E904" i="33" s="1"/>
  <c r="D909" i="33"/>
  <c r="E909" i="33" s="1"/>
  <c r="D930" i="33"/>
  <c r="E930" i="33" s="1"/>
  <c r="D932" i="33"/>
  <c r="E932" i="33" s="1"/>
  <c r="D935" i="33"/>
  <c r="E935" i="33" s="1"/>
  <c r="D943" i="33"/>
  <c r="E943" i="33" s="1"/>
  <c r="D944" i="33"/>
  <c r="E944" i="33" s="1"/>
  <c r="D945" i="33"/>
  <c r="E945" i="33" s="1"/>
  <c r="D957" i="33"/>
  <c r="E957" i="33" s="1"/>
  <c r="D962" i="33"/>
  <c r="E962" i="33" s="1"/>
  <c r="D978" i="33"/>
  <c r="E978" i="33" s="1"/>
  <c r="D980" i="33"/>
  <c r="E980" i="33" s="1"/>
  <c r="D975" i="33"/>
  <c r="E975" i="33" s="1"/>
  <c r="D981" i="33"/>
  <c r="E981" i="33" s="1"/>
  <c r="D994" i="33"/>
  <c r="E994" i="33" s="1"/>
  <c r="D921" i="33"/>
  <c r="E921" i="33" s="1"/>
  <c r="D929" i="33"/>
  <c r="E929" i="33" s="1"/>
  <c r="D938" i="33"/>
  <c r="E938" i="33" s="1"/>
  <c r="D958" i="33"/>
  <c r="E958" i="33" s="1"/>
  <c r="D973" i="33"/>
  <c r="E973" i="33" s="1"/>
  <c r="D972" i="33"/>
  <c r="E972" i="33" s="1"/>
  <c r="D984" i="33"/>
  <c r="E984" i="33" s="1"/>
  <c r="D965" i="33"/>
  <c r="E965" i="33" s="1"/>
  <c r="D988" i="33"/>
  <c r="E988" i="33" s="1"/>
  <c r="D989" i="33"/>
  <c r="E989" i="33" s="1"/>
  <c r="D993" i="33"/>
  <c r="E993" i="33" s="1"/>
  <c r="D996" i="33"/>
  <c r="E996" i="33" s="1"/>
  <c r="D924" i="33"/>
  <c r="E924" i="33" s="1"/>
  <c r="D928" i="33"/>
  <c r="E928" i="33" s="1"/>
  <c r="D946" i="33"/>
  <c r="E946" i="33" s="1"/>
  <c r="D948" i="33"/>
  <c r="E948" i="33" s="1"/>
  <c r="D950" i="33"/>
  <c r="E950" i="33" s="1"/>
  <c r="D960" i="33"/>
  <c r="E960" i="33" s="1"/>
  <c r="D966" i="33"/>
  <c r="E966" i="33" s="1"/>
  <c r="D968" i="33"/>
  <c r="E968" i="33" s="1"/>
  <c r="D964" i="33"/>
  <c r="E964" i="33" s="1"/>
  <c r="D967" i="33"/>
  <c r="E967" i="33" s="1"/>
  <c r="D983" i="33"/>
  <c r="E983" i="33" s="1"/>
  <c r="D977" i="33"/>
  <c r="E977" i="33" s="1"/>
  <c r="D990" i="33"/>
  <c r="E990" i="33" s="1"/>
  <c r="D992" i="33"/>
  <c r="E992" i="33" s="1"/>
  <c r="D906" i="33"/>
  <c r="E906" i="33" s="1"/>
  <c r="D908" i="33"/>
  <c r="E908" i="33" s="1"/>
  <c r="D910" i="33"/>
  <c r="E910" i="33" s="1"/>
  <c r="D912" i="33"/>
  <c r="E912" i="33" s="1"/>
  <c r="D914" i="33"/>
  <c r="E914" i="33" s="1"/>
  <c r="D934" i="33"/>
  <c r="E934" i="33" s="1"/>
  <c r="D949" i="33"/>
  <c r="E949" i="33" s="1"/>
  <c r="D954" i="33"/>
  <c r="E954" i="33" s="1"/>
  <c r="D969" i="33"/>
  <c r="E969" i="33" s="1"/>
  <c r="D974" i="33"/>
  <c r="E974" i="33" s="1"/>
  <c r="D982" i="33"/>
  <c r="E982" i="33" s="1"/>
  <c r="D985" i="33"/>
  <c r="E985" i="33" s="1"/>
  <c r="D997" i="33"/>
  <c r="E997" i="33" s="1"/>
  <c r="D999" i="33"/>
  <c r="E999" i="33" s="1"/>
  <c r="D991" i="33"/>
  <c r="E991" i="33" s="1"/>
  <c r="D1001" i="33"/>
  <c r="E1001" i="33" s="1"/>
  <c r="D1004" i="33"/>
  <c r="E1004" i="33" s="1"/>
  <c r="D1005" i="33"/>
  <c r="E1005" i="33" s="1"/>
  <c r="D1000" i="33"/>
  <c r="E1000" i="33" s="1"/>
  <c r="D970" i="33"/>
  <c r="E970" i="33" s="1"/>
  <c r="D986" i="33"/>
  <c r="E986" i="33" s="1"/>
  <c r="D976" i="33"/>
  <c r="E976" i="33" s="1"/>
  <c r="D1006" i="33"/>
  <c r="E1006" i="33" s="1"/>
  <c r="D1002" i="33"/>
  <c r="E1002" i="33" s="1"/>
  <c r="C7" i="33"/>
  <c r="D998" i="33"/>
  <c r="E998" i="33" s="1"/>
  <c r="D1007" i="33"/>
  <c r="E1007" i="33" s="1"/>
  <c r="D999" i="36"/>
  <c r="E999" i="36" s="1"/>
  <c r="D991" i="36"/>
  <c r="E991" i="36" s="1"/>
  <c r="D1003" i="36"/>
  <c r="E1003" i="36" s="1"/>
  <c r="D987" i="36"/>
  <c r="E987" i="36" s="1"/>
  <c r="D992" i="36"/>
  <c r="E992" i="36" s="1"/>
  <c r="D965" i="36"/>
  <c r="E965" i="36" s="1"/>
  <c r="D937" i="36"/>
  <c r="E937" i="36" s="1"/>
  <c r="D961" i="36"/>
  <c r="E961" i="36" s="1"/>
  <c r="D956" i="36"/>
  <c r="E956" i="36" s="1"/>
  <c r="D941" i="36"/>
  <c r="E941" i="36" s="1"/>
  <c r="D918" i="36"/>
  <c r="E918" i="36" s="1"/>
  <c r="D998" i="36"/>
  <c r="E998" i="36" s="1"/>
  <c r="D978" i="36"/>
  <c r="E978" i="36" s="1"/>
  <c r="D949" i="36"/>
  <c r="E949" i="36" s="1"/>
  <c r="D988" i="36"/>
  <c r="E988" i="36" s="1"/>
  <c r="D967" i="36"/>
  <c r="E967" i="36" s="1"/>
  <c r="D936" i="36"/>
  <c r="E936" i="36" s="1"/>
  <c r="D878" i="36"/>
  <c r="E878" i="36" s="1"/>
  <c r="D851" i="36"/>
  <c r="E851" i="36" s="1"/>
  <c r="D828" i="36"/>
  <c r="E828" i="36" s="1"/>
  <c r="D810" i="36"/>
  <c r="E810" i="36" s="1"/>
  <c r="D797" i="36"/>
  <c r="E797" i="36" s="1"/>
  <c r="D950" i="36"/>
  <c r="E950" i="36" s="1"/>
  <c r="D938" i="36"/>
  <c r="E938" i="36" s="1"/>
  <c r="D900" i="36"/>
  <c r="E900" i="36" s="1"/>
  <c r="D877" i="36"/>
  <c r="E877" i="36" s="1"/>
  <c r="D857" i="36"/>
  <c r="E857" i="36" s="1"/>
  <c r="D786" i="36"/>
  <c r="E786" i="36" s="1"/>
  <c r="D774" i="36"/>
  <c r="E774" i="36" s="1"/>
  <c r="D717" i="36"/>
  <c r="E717" i="36" s="1"/>
  <c r="D687" i="36"/>
  <c r="E687" i="36" s="1"/>
  <c r="D889" i="36"/>
  <c r="E889" i="36" s="1"/>
  <c r="D863" i="36"/>
  <c r="E863" i="36" s="1"/>
  <c r="D839" i="36"/>
  <c r="E839" i="36" s="1"/>
  <c r="D813" i="36"/>
  <c r="E813" i="36" s="1"/>
  <c r="D783" i="36"/>
  <c r="E783" i="36" s="1"/>
  <c r="D939" i="36"/>
  <c r="E939" i="36" s="1"/>
  <c r="D881" i="36"/>
  <c r="E881" i="36" s="1"/>
  <c r="D809" i="36"/>
  <c r="E809" i="36" s="1"/>
  <c r="D767" i="36"/>
  <c r="E767" i="36" s="1"/>
  <c r="D722" i="36"/>
  <c r="E722" i="36" s="1"/>
  <c r="D703" i="36"/>
  <c r="E703" i="36" s="1"/>
  <c r="D693" i="36"/>
  <c r="E693" i="36" s="1"/>
  <c r="D898" i="36"/>
  <c r="E898" i="36" s="1"/>
  <c r="D865" i="36"/>
  <c r="E865" i="36" s="1"/>
  <c r="D817" i="36"/>
  <c r="E817" i="36" s="1"/>
  <c r="D921" i="36"/>
  <c r="E921" i="36" s="1"/>
  <c r="D892" i="36"/>
  <c r="E892" i="36" s="1"/>
  <c r="D873" i="36"/>
  <c r="E873" i="36" s="1"/>
  <c r="D838" i="36"/>
  <c r="E838" i="36" s="1"/>
  <c r="D787" i="36"/>
  <c r="E787" i="36" s="1"/>
  <c r="D729" i="36"/>
  <c r="E729" i="36" s="1"/>
  <c r="D718" i="36"/>
  <c r="E718" i="36" s="1"/>
  <c r="D914" i="36"/>
  <c r="E914" i="36" s="1"/>
  <c r="D870" i="36"/>
  <c r="E870" i="36" s="1"/>
  <c r="D836" i="36"/>
  <c r="E836" i="36" s="1"/>
  <c r="D820" i="36"/>
  <c r="E820" i="36" s="1"/>
  <c r="D771" i="36"/>
  <c r="E771" i="36" s="1"/>
  <c r="D934" i="36"/>
  <c r="E934" i="36" s="1"/>
  <c r="D923" i="36"/>
  <c r="E923" i="36" s="1"/>
  <c r="D896" i="36"/>
  <c r="E896" i="36" s="1"/>
  <c r="D849" i="36"/>
  <c r="E849" i="36" s="1"/>
  <c r="D833" i="36"/>
  <c r="E833" i="36" s="1"/>
  <c r="D792" i="36"/>
  <c r="E792" i="36" s="1"/>
  <c r="D766" i="36"/>
  <c r="E766" i="36" s="1"/>
  <c r="D738" i="36"/>
  <c r="E738" i="36" s="1"/>
  <c r="D710" i="36"/>
  <c r="E710" i="36" s="1"/>
  <c r="D681" i="36"/>
  <c r="E681" i="36" s="1"/>
  <c r="D745" i="36"/>
  <c r="E745" i="36" s="1"/>
  <c r="D713" i="36"/>
  <c r="E713" i="36" s="1"/>
  <c r="D679" i="36"/>
  <c r="E679" i="36" s="1"/>
  <c r="D628" i="36"/>
  <c r="E628" i="36" s="1"/>
  <c r="D602" i="36"/>
  <c r="E602" i="36" s="1"/>
  <c r="D571" i="36"/>
  <c r="E571" i="36" s="1"/>
  <c r="D751" i="36"/>
  <c r="E751" i="36" s="1"/>
  <c r="D705" i="36"/>
  <c r="E705" i="36" s="1"/>
  <c r="D654" i="36"/>
  <c r="E654" i="36" s="1"/>
  <c r="D623" i="36"/>
  <c r="E623" i="36" s="1"/>
  <c r="D604" i="36"/>
  <c r="E604" i="36" s="1"/>
  <c r="D576" i="36"/>
  <c r="E576" i="36" s="1"/>
  <c r="D661" i="36"/>
  <c r="E661" i="36" s="1"/>
  <c r="D667" i="36"/>
  <c r="E667" i="36" s="1"/>
  <c r="D664" i="36"/>
  <c r="E664" i="36" s="1"/>
  <c r="D643" i="36"/>
  <c r="E643" i="36" s="1"/>
  <c r="D629" i="36"/>
  <c r="E629" i="36" s="1"/>
  <c r="D613" i="36"/>
  <c r="E613" i="36" s="1"/>
  <c r="D725" i="36"/>
  <c r="E725" i="36" s="1"/>
  <c r="D702" i="36"/>
  <c r="E702" i="36" s="1"/>
  <c r="D662" i="36"/>
  <c r="E662" i="36" s="1"/>
  <c r="D639" i="36"/>
  <c r="E639" i="36" s="1"/>
  <c r="D608" i="36"/>
  <c r="E608" i="36" s="1"/>
  <c r="D572" i="36"/>
  <c r="E572" i="36" s="1"/>
  <c r="D594" i="36"/>
  <c r="E594" i="36" s="1"/>
  <c r="D559" i="36"/>
  <c r="E559" i="36" s="1"/>
  <c r="D474" i="36"/>
  <c r="E474" i="36" s="1"/>
  <c r="D626" i="36"/>
  <c r="E626" i="36" s="1"/>
  <c r="D601" i="36"/>
  <c r="E601" i="36" s="1"/>
  <c r="D590" i="36"/>
  <c r="E590" i="36" s="1"/>
  <c r="D565" i="36"/>
  <c r="E565" i="36" s="1"/>
  <c r="D535" i="36"/>
  <c r="E535" i="36" s="1"/>
  <c r="D527" i="36"/>
  <c r="E527" i="36" s="1"/>
  <c r="D499" i="36"/>
  <c r="E499" i="36" s="1"/>
  <c r="D476" i="36"/>
  <c r="E476" i="36" s="1"/>
  <c r="D659" i="36"/>
  <c r="E659" i="36" s="1"/>
  <c r="D567" i="36"/>
  <c r="E567" i="36" s="1"/>
  <c r="D551" i="36"/>
  <c r="E551" i="36" s="1"/>
  <c r="D526" i="36"/>
  <c r="E526" i="36" s="1"/>
  <c r="D496" i="36"/>
  <c r="E496" i="36" s="1"/>
  <c r="D461" i="36"/>
  <c r="E461" i="36" s="1"/>
  <c r="D642" i="36"/>
  <c r="E642" i="36" s="1"/>
  <c r="D618" i="36"/>
  <c r="E618" i="36" s="1"/>
  <c r="D591" i="36"/>
  <c r="E591" i="36" s="1"/>
  <c r="D575" i="36"/>
  <c r="E575" i="36" s="1"/>
  <c r="D555" i="36"/>
  <c r="E555" i="36" s="1"/>
  <c r="D529" i="36"/>
  <c r="E529" i="36" s="1"/>
  <c r="D487" i="36"/>
  <c r="E487" i="36" s="1"/>
  <c r="D524" i="36"/>
  <c r="E524" i="36" s="1"/>
  <c r="D512" i="36"/>
  <c r="E512" i="36" s="1"/>
  <c r="D490" i="36"/>
  <c r="E490" i="36" s="1"/>
  <c r="D465" i="36"/>
  <c r="E465" i="36" s="1"/>
  <c r="D441" i="36"/>
  <c r="E441" i="36" s="1"/>
  <c r="D419" i="36"/>
  <c r="E419" i="36" s="1"/>
  <c r="D405" i="36"/>
  <c r="E405" i="36" s="1"/>
  <c r="D367" i="36"/>
  <c r="E367" i="36" s="1"/>
  <c r="D504" i="36"/>
  <c r="E504" i="36" s="1"/>
  <c r="D478" i="36"/>
  <c r="E478" i="36" s="1"/>
  <c r="D445" i="36"/>
  <c r="E445" i="36" s="1"/>
  <c r="D423" i="36"/>
  <c r="E423" i="36" s="1"/>
  <c r="D398" i="36"/>
  <c r="E398" i="36" s="1"/>
  <c r="D380" i="36"/>
  <c r="E380" i="36" s="1"/>
  <c r="D448" i="36"/>
  <c r="E448" i="36" s="1"/>
  <c r="D497" i="36"/>
  <c r="E497" i="36" s="1"/>
  <c r="D463" i="36"/>
  <c r="E463" i="36" s="1"/>
  <c r="D375" i="36"/>
  <c r="E375" i="36" s="1"/>
  <c r="D361" i="36"/>
  <c r="E361" i="36" s="1"/>
  <c r="D542" i="36"/>
  <c r="E542" i="36" s="1"/>
  <c r="D505" i="36"/>
  <c r="E505" i="36" s="1"/>
  <c r="D468" i="36"/>
  <c r="E468" i="36" s="1"/>
  <c r="D430" i="36"/>
  <c r="E430" i="36" s="1"/>
  <c r="D412" i="36"/>
  <c r="E412" i="36" s="1"/>
  <c r="D391" i="36"/>
  <c r="E391" i="36" s="1"/>
  <c r="D454" i="36"/>
  <c r="E454" i="36" s="1"/>
  <c r="D365" i="36"/>
  <c r="E365" i="36" s="1"/>
  <c r="D339" i="36"/>
  <c r="E339" i="36" s="1"/>
  <c r="D347" i="36"/>
  <c r="E347" i="36" s="1"/>
  <c r="D313" i="36"/>
  <c r="E313" i="36" s="1"/>
  <c r="D424" i="36"/>
  <c r="E424" i="36" s="1"/>
  <c r="D341" i="36"/>
  <c r="E341" i="36" s="1"/>
  <c r="D303" i="36"/>
  <c r="E303" i="36" s="1"/>
  <c r="D333" i="36"/>
  <c r="E333" i="36" s="1"/>
  <c r="D371" i="36"/>
  <c r="E371" i="36" s="1"/>
  <c r="D334" i="36"/>
  <c r="E334" i="36" s="1"/>
  <c r="D311" i="36"/>
  <c r="E311" i="36" s="1"/>
  <c r="D348" i="36"/>
  <c r="E348" i="36" s="1"/>
  <c r="D321" i="36"/>
  <c r="E321" i="36" s="1"/>
  <c r="D420" i="36"/>
  <c r="E420" i="36" s="1"/>
  <c r="D390" i="36"/>
  <c r="E390" i="36" s="1"/>
  <c r="D379" i="36"/>
  <c r="E379" i="36" s="1"/>
  <c r="D336" i="36"/>
  <c r="E336" i="36" s="1"/>
  <c r="D349" i="36"/>
  <c r="E349" i="36" s="1"/>
  <c r="D293" i="36"/>
  <c r="E293" i="36" s="1"/>
  <c r="D248" i="36"/>
  <c r="E248" i="36" s="1"/>
  <c r="D285" i="36"/>
  <c r="E285" i="36" s="1"/>
  <c r="D291" i="36"/>
  <c r="E291" i="36" s="1"/>
  <c r="D280" i="36"/>
  <c r="E280" i="36" s="1"/>
  <c r="D288" i="36"/>
  <c r="E288" i="36" s="1"/>
  <c r="D270" i="36"/>
  <c r="E270" i="36" s="1"/>
  <c r="D252" i="36"/>
  <c r="E252" i="36" s="1"/>
  <c r="D276" i="36"/>
  <c r="E276" i="36" s="1"/>
  <c r="D278" i="36"/>
  <c r="E278" i="36" s="1"/>
  <c r="D241" i="36"/>
  <c r="E241" i="36" s="1"/>
  <c r="D312" i="36"/>
  <c r="E312" i="36" s="1"/>
  <c r="D264" i="36"/>
  <c r="E264" i="36" s="1"/>
  <c r="D273" i="36"/>
  <c r="E273" i="36" s="1"/>
  <c r="D243" i="36"/>
  <c r="E243" i="36" s="1"/>
  <c r="D234" i="36"/>
  <c r="E234" i="36" s="1"/>
  <c r="D213" i="36"/>
  <c r="E213" i="36" s="1"/>
  <c r="D207" i="36"/>
  <c r="E207" i="36" s="1"/>
  <c r="D219" i="36"/>
  <c r="E219" i="36" s="1"/>
  <c r="D223" i="36"/>
  <c r="E223" i="36" s="1"/>
  <c r="D230" i="36"/>
  <c r="E230" i="36" s="1"/>
  <c r="D209" i="36"/>
  <c r="E209" i="36" s="1"/>
  <c r="D198" i="36"/>
  <c r="E198" i="36" s="1"/>
  <c r="D247" i="36"/>
  <c r="E247" i="36" s="1"/>
  <c r="D214" i="36"/>
  <c r="E214" i="36" s="1"/>
  <c r="D202" i="36"/>
  <c r="E202" i="36" s="1"/>
  <c r="D178" i="36"/>
  <c r="E178" i="36" s="1"/>
  <c r="D194" i="36"/>
  <c r="E194" i="36" s="1"/>
  <c r="D157" i="36"/>
  <c r="E157" i="36" s="1"/>
  <c r="D181" i="36"/>
  <c r="E181" i="36" s="1"/>
  <c r="D161" i="36"/>
  <c r="E161" i="36" s="1"/>
  <c r="D156" i="36"/>
  <c r="E156" i="36" s="1"/>
  <c r="D173" i="36"/>
  <c r="E173" i="36" s="1"/>
  <c r="D188" i="36"/>
  <c r="E188" i="36" s="1"/>
  <c r="D199" i="36"/>
  <c r="E199" i="36" s="1"/>
  <c r="D176" i="36"/>
  <c r="E176" i="36" s="1"/>
  <c r="D164" i="36"/>
  <c r="E164" i="36" s="1"/>
  <c r="D136" i="36"/>
  <c r="E136" i="36" s="1"/>
  <c r="D149" i="36"/>
  <c r="E149" i="36" s="1"/>
  <c r="D125" i="36"/>
  <c r="E125" i="36" s="1"/>
  <c r="D145" i="36"/>
  <c r="E145" i="36" s="1"/>
  <c r="D119" i="36"/>
  <c r="E119" i="36" s="1"/>
  <c r="D127" i="36"/>
  <c r="E127" i="36" s="1"/>
  <c r="D120" i="36"/>
  <c r="E120" i="36" s="1"/>
  <c r="D116" i="36"/>
  <c r="E116" i="36" s="1"/>
  <c r="D95" i="36"/>
  <c r="E95" i="36" s="1"/>
  <c r="D117" i="36"/>
  <c r="E117" i="36" s="1"/>
  <c r="D111" i="36"/>
  <c r="E111" i="36" s="1"/>
  <c r="D98" i="36"/>
  <c r="E98" i="36" s="1"/>
  <c r="D104" i="36"/>
  <c r="E104" i="36" s="1"/>
  <c r="D81" i="36"/>
  <c r="E81" i="36" s="1"/>
  <c r="D93" i="36"/>
  <c r="E93" i="36" s="1"/>
  <c r="D89" i="36"/>
  <c r="E89" i="36" s="1"/>
  <c r="D85" i="36"/>
  <c r="E85" i="36" s="1"/>
  <c r="D74" i="36"/>
  <c r="E74" i="36" s="1"/>
  <c r="D56" i="36"/>
  <c r="E56" i="36" s="1"/>
  <c r="D64" i="36"/>
  <c r="E64" i="36" s="1"/>
  <c r="D59" i="36"/>
  <c r="E59" i="36" s="1"/>
  <c r="D65" i="36"/>
  <c r="E65" i="36" s="1"/>
  <c r="D51" i="36"/>
  <c r="E51" i="36" s="1"/>
  <c r="D50" i="36"/>
  <c r="E50" i="36" s="1"/>
  <c r="D57" i="36"/>
  <c r="E57" i="36" s="1"/>
  <c r="D42" i="36"/>
  <c r="E42" i="36" s="1"/>
  <c r="D43" i="36"/>
  <c r="E43" i="36" s="1"/>
  <c r="D37" i="36"/>
  <c r="E37" i="36" s="1"/>
  <c r="D38" i="36"/>
  <c r="E38" i="36" s="1"/>
  <c r="D35" i="36"/>
  <c r="E35" i="36" s="1"/>
  <c r="D19" i="36"/>
  <c r="E19" i="36" s="1"/>
  <c r="D17" i="36"/>
  <c r="E17" i="36" s="1"/>
  <c r="D14" i="36"/>
  <c r="E14" i="36" s="1"/>
  <c r="G18" i="36" l="1"/>
  <c r="F1000" i="36"/>
  <c r="F104" i="36"/>
  <c r="G104" i="36"/>
  <c r="G119" i="36"/>
  <c r="F119" i="36"/>
  <c r="F194" i="36"/>
  <c r="G194" i="36"/>
  <c r="G223" i="36"/>
  <c r="F223" i="36"/>
  <c r="F234" i="36"/>
  <c r="G234" i="36"/>
  <c r="F291" i="36"/>
  <c r="G291" i="36"/>
  <c r="F293" i="36"/>
  <c r="G293" i="36"/>
  <c r="F311" i="36"/>
  <c r="G311" i="36"/>
  <c r="F393" i="36"/>
  <c r="G393" i="36"/>
  <c r="F412" i="36"/>
  <c r="G412" i="36"/>
  <c r="F542" i="36"/>
  <c r="G542" i="36"/>
  <c r="F446" i="36"/>
  <c r="G446" i="36"/>
  <c r="G380" i="36"/>
  <c r="F380" i="36"/>
  <c r="G478" i="36"/>
  <c r="F478" i="36"/>
  <c r="F419" i="36"/>
  <c r="G419" i="36"/>
  <c r="F512" i="36"/>
  <c r="G512" i="36"/>
  <c r="F555" i="36"/>
  <c r="G555" i="36"/>
  <c r="G642" i="36"/>
  <c r="F642" i="36"/>
  <c r="F551" i="36"/>
  <c r="G551" i="36"/>
  <c r="F499" i="36"/>
  <c r="G499" i="36"/>
  <c r="F590" i="36"/>
  <c r="G590" i="36"/>
  <c r="F521" i="36"/>
  <c r="G521" i="36"/>
  <c r="G608" i="36"/>
  <c r="F608" i="36"/>
  <c r="G725" i="36"/>
  <c r="F725" i="36"/>
  <c r="G643" i="36"/>
  <c r="F643" i="36"/>
  <c r="F576" i="36"/>
  <c r="G576" i="36"/>
  <c r="F705" i="36"/>
  <c r="G705" i="36"/>
  <c r="G628" i="36"/>
  <c r="F628" i="36"/>
  <c r="F713" i="36"/>
  <c r="G713" i="36"/>
  <c r="F738" i="36"/>
  <c r="G738" i="36"/>
  <c r="F833" i="36"/>
  <c r="G833" i="36"/>
  <c r="F934" i="36"/>
  <c r="G934" i="36"/>
  <c r="F870" i="36"/>
  <c r="G870" i="36"/>
  <c r="F760" i="36"/>
  <c r="G760" i="36"/>
  <c r="F892" i="36"/>
  <c r="G892" i="36"/>
  <c r="G837" i="36"/>
  <c r="F837" i="36"/>
  <c r="G703" i="36"/>
  <c r="F703" i="36"/>
  <c r="F809" i="36"/>
  <c r="G809" i="36"/>
  <c r="G813" i="36"/>
  <c r="F813" i="36"/>
  <c r="F687" i="36"/>
  <c r="G687" i="36"/>
  <c r="F857" i="36"/>
  <c r="G857" i="36"/>
  <c r="F950" i="36"/>
  <c r="G950" i="36"/>
  <c r="G851" i="36"/>
  <c r="F851" i="36"/>
  <c r="G976" i="36"/>
  <c r="F976" i="36"/>
  <c r="F998" i="36"/>
  <c r="G998" i="36"/>
  <c r="F961" i="36"/>
  <c r="G961" i="36"/>
  <c r="F987" i="36"/>
  <c r="G987" i="36"/>
  <c r="F1007" i="33"/>
  <c r="G1007" i="33"/>
  <c r="G1002" i="33"/>
  <c r="F1002" i="33"/>
  <c r="F986" i="33"/>
  <c r="G986" i="33"/>
  <c r="G1004" i="33"/>
  <c r="F1004" i="33"/>
  <c r="F997" i="33"/>
  <c r="G997" i="33"/>
  <c r="F974" i="33"/>
  <c r="G974" i="33"/>
  <c r="F949" i="33"/>
  <c r="G949" i="33"/>
  <c r="G912" i="33"/>
  <c r="F912" i="33"/>
  <c r="G995" i="33"/>
  <c r="F995" i="33"/>
  <c r="F983" i="33"/>
  <c r="G983" i="33"/>
  <c r="F968" i="33"/>
  <c r="G968" i="33"/>
  <c r="F948" i="33"/>
  <c r="G948" i="33"/>
  <c r="F996" i="33"/>
  <c r="G996" i="33"/>
  <c r="G965" i="33"/>
  <c r="F965" i="33"/>
  <c r="F958" i="33"/>
  <c r="G958" i="33"/>
  <c r="F929" i="33"/>
  <c r="G929" i="33"/>
  <c r="F975" i="33"/>
  <c r="G975" i="33"/>
  <c r="F957" i="33"/>
  <c r="G957" i="33"/>
  <c r="F935" i="33"/>
  <c r="G935" i="33"/>
  <c r="F904" i="33"/>
  <c r="G904" i="33"/>
  <c r="F888" i="33"/>
  <c r="G888" i="33"/>
  <c r="F860" i="33"/>
  <c r="G860" i="33"/>
  <c r="F833" i="33"/>
  <c r="G833" i="33"/>
  <c r="G788" i="33"/>
  <c r="F788" i="33"/>
  <c r="F925" i="33"/>
  <c r="G925" i="33"/>
  <c r="F897" i="33"/>
  <c r="G897" i="33"/>
  <c r="G850" i="33"/>
  <c r="F850" i="33"/>
  <c r="G817" i="33"/>
  <c r="F817" i="33"/>
  <c r="F795" i="33"/>
  <c r="G795" i="33"/>
  <c r="F771" i="33"/>
  <c r="G771" i="33"/>
  <c r="G761" i="33"/>
  <c r="F761" i="33"/>
  <c r="F706" i="33"/>
  <c r="G706" i="33"/>
  <c r="F678" i="33"/>
  <c r="G678" i="33"/>
  <c r="F882" i="33"/>
  <c r="G882" i="33"/>
  <c r="G853" i="33"/>
  <c r="F853" i="33"/>
  <c r="G828" i="33"/>
  <c r="F828" i="33"/>
  <c r="G812" i="33"/>
  <c r="F812" i="33"/>
  <c r="G959" i="33"/>
  <c r="F959" i="33"/>
  <c r="G920" i="33"/>
  <c r="F920" i="33"/>
  <c r="F892" i="33"/>
  <c r="G892" i="33"/>
  <c r="F865" i="33"/>
  <c r="G865" i="33"/>
  <c r="F831" i="33"/>
  <c r="G831" i="33"/>
  <c r="G774" i="33"/>
  <c r="F774" i="33"/>
  <c r="F762" i="33"/>
  <c r="G762" i="33"/>
  <c r="F742" i="33"/>
  <c r="G742" i="33"/>
  <c r="F722" i="33"/>
  <c r="G722" i="33"/>
  <c r="F712" i="33"/>
  <c r="G712" i="33"/>
  <c r="F687" i="33"/>
  <c r="G687" i="33"/>
  <c r="F899" i="33"/>
  <c r="G899" i="33"/>
  <c r="F883" i="33"/>
  <c r="G883" i="33"/>
  <c r="F847" i="33"/>
  <c r="G847" i="33"/>
  <c r="F820" i="33"/>
  <c r="G820" i="33"/>
  <c r="F791" i="33"/>
  <c r="G791" i="33"/>
  <c r="F923" i="33"/>
  <c r="G923" i="33"/>
  <c r="F913" i="33"/>
  <c r="G913" i="33"/>
  <c r="G881" i="33"/>
  <c r="F881" i="33"/>
  <c r="F822" i="33"/>
  <c r="G822" i="33"/>
  <c r="G861" i="33"/>
  <c r="F861" i="33"/>
  <c r="F763" i="33"/>
  <c r="G763" i="33"/>
  <c r="F709" i="33"/>
  <c r="G709" i="33"/>
  <c r="F684" i="33"/>
  <c r="G684" i="33"/>
  <c r="F879" i="33"/>
  <c r="G879" i="33"/>
  <c r="F846" i="33"/>
  <c r="G846" i="33"/>
  <c r="G809" i="33"/>
  <c r="F809" i="33"/>
  <c r="F781" i="33"/>
  <c r="G781" i="33"/>
  <c r="F936" i="33"/>
  <c r="G936" i="33"/>
  <c r="G863" i="33"/>
  <c r="F863" i="33"/>
  <c r="F819" i="33"/>
  <c r="G819" i="33"/>
  <c r="F799" i="33"/>
  <c r="G799" i="33"/>
  <c r="F782" i="33"/>
  <c r="G782" i="33"/>
  <c r="F775" i="33"/>
  <c r="G775" i="33"/>
  <c r="G734" i="33"/>
  <c r="F734" i="33"/>
  <c r="G723" i="33"/>
  <c r="F723" i="33"/>
  <c r="F770" i="33"/>
  <c r="G770" i="33"/>
  <c r="G747" i="33"/>
  <c r="F747" i="33"/>
  <c r="F708" i="33"/>
  <c r="G708" i="33"/>
  <c r="F672" i="33"/>
  <c r="G672" i="33"/>
  <c r="F668" i="33"/>
  <c r="G668" i="33"/>
  <c r="F626" i="33"/>
  <c r="G626" i="33"/>
  <c r="G593" i="33"/>
  <c r="F593" i="33"/>
  <c r="F574" i="33"/>
  <c r="G574" i="33"/>
  <c r="F715" i="33"/>
  <c r="G715" i="33"/>
  <c r="F677" i="33"/>
  <c r="G677" i="33"/>
  <c r="F661" i="33"/>
  <c r="G661" i="33"/>
  <c r="F634" i="33"/>
  <c r="G634" i="33"/>
  <c r="G620" i="33"/>
  <c r="F620" i="33"/>
  <c r="G578" i="33"/>
  <c r="F578" i="33"/>
  <c r="F753" i="33"/>
  <c r="G753" i="33"/>
  <c r="F737" i="33"/>
  <c r="G737" i="33"/>
  <c r="F716" i="33"/>
  <c r="G716" i="33"/>
  <c r="F685" i="33"/>
  <c r="G685" i="33"/>
  <c r="F649" i="33"/>
  <c r="G649" i="33"/>
  <c r="F625" i="33"/>
  <c r="G625" i="33"/>
  <c r="G613" i="33"/>
  <c r="F613" i="33"/>
  <c r="F580" i="33"/>
  <c r="G580" i="33"/>
  <c r="F758" i="33"/>
  <c r="G758" i="33"/>
  <c r="F713" i="33"/>
  <c r="G713" i="33"/>
  <c r="F676" i="33"/>
  <c r="G676" i="33"/>
  <c r="F651" i="33"/>
  <c r="G651" i="33"/>
  <c r="G606" i="33"/>
  <c r="F606" i="33"/>
  <c r="F592" i="33"/>
  <c r="G592" i="33"/>
  <c r="F561" i="33"/>
  <c r="G561" i="33"/>
  <c r="F648" i="33"/>
  <c r="G648" i="33"/>
  <c r="G612" i="33"/>
  <c r="F612" i="33"/>
  <c r="F582" i="33"/>
  <c r="G582" i="33"/>
  <c r="F557" i="33"/>
  <c r="G557" i="33"/>
  <c r="F544" i="33"/>
  <c r="G544" i="33"/>
  <c r="G525" i="33"/>
  <c r="F525" i="33"/>
  <c r="G507" i="33"/>
  <c r="F507" i="33"/>
  <c r="G494" i="33"/>
  <c r="F494" i="33"/>
  <c r="G472" i="33"/>
  <c r="F472" i="33"/>
  <c r="G638" i="33"/>
  <c r="F638" i="33"/>
  <c r="F589" i="33"/>
  <c r="G589" i="33"/>
  <c r="F558" i="33"/>
  <c r="G558" i="33"/>
  <c r="F546" i="33"/>
  <c r="G546" i="33"/>
  <c r="F492" i="33"/>
  <c r="G492" i="33"/>
  <c r="F643" i="33"/>
  <c r="G643" i="33"/>
  <c r="F590" i="33"/>
  <c r="G590" i="33"/>
  <c r="F554" i="33"/>
  <c r="G554" i="33"/>
  <c r="F505" i="33"/>
  <c r="G505" i="33"/>
  <c r="F482" i="33"/>
  <c r="G482" i="33"/>
  <c r="F461" i="33"/>
  <c r="G461" i="33"/>
  <c r="F633" i="33"/>
  <c r="G633" i="33"/>
  <c r="F608" i="33"/>
  <c r="G608" i="33"/>
  <c r="F559" i="33"/>
  <c r="G559" i="33"/>
  <c r="F531" i="33"/>
  <c r="G531" i="33"/>
  <c r="F502" i="33"/>
  <c r="G502" i="33"/>
  <c r="F479" i="33"/>
  <c r="G479" i="33"/>
  <c r="F526" i="33"/>
  <c r="G526" i="33"/>
  <c r="G487" i="33"/>
  <c r="F487" i="33"/>
  <c r="F460" i="33"/>
  <c r="G460" i="33"/>
  <c r="F420" i="33"/>
  <c r="G420" i="33"/>
  <c r="F374" i="33"/>
  <c r="G374" i="33"/>
  <c r="F520" i="33"/>
  <c r="G520" i="33"/>
  <c r="G501" i="33"/>
  <c r="F501" i="33"/>
  <c r="G480" i="33"/>
  <c r="F480" i="33"/>
  <c r="F465" i="33"/>
  <c r="G465" i="33"/>
  <c r="G436" i="33"/>
  <c r="F436" i="33"/>
  <c r="F421" i="33"/>
  <c r="G421" i="33"/>
  <c r="F401" i="33"/>
  <c r="G401" i="33"/>
  <c r="G528" i="33"/>
  <c r="F528" i="33"/>
  <c r="F474" i="33"/>
  <c r="G474" i="33"/>
  <c r="G491" i="33"/>
  <c r="F491" i="33"/>
  <c r="F427" i="33"/>
  <c r="G427" i="33"/>
  <c r="F413" i="33"/>
  <c r="G413" i="33"/>
  <c r="G395" i="33"/>
  <c r="F395" i="33"/>
  <c r="F380" i="33"/>
  <c r="G380" i="33"/>
  <c r="F545" i="33"/>
  <c r="G545" i="33"/>
  <c r="F467" i="33"/>
  <c r="G467" i="33"/>
  <c r="F452" i="33"/>
  <c r="G452" i="33"/>
  <c r="F429" i="33"/>
  <c r="G429" i="33"/>
  <c r="F375" i="33"/>
  <c r="G375" i="33"/>
  <c r="F446" i="33"/>
  <c r="G446" i="33"/>
  <c r="G432" i="33"/>
  <c r="F432" i="33"/>
  <c r="F378" i="33"/>
  <c r="G378" i="33"/>
  <c r="G313" i="33"/>
  <c r="F313" i="33"/>
  <c r="F337" i="33"/>
  <c r="G337" i="33"/>
  <c r="F425" i="33"/>
  <c r="G425" i="33"/>
  <c r="G403" i="33"/>
  <c r="F403" i="33"/>
  <c r="F356" i="33"/>
  <c r="G356" i="33"/>
  <c r="F352" i="33"/>
  <c r="G352" i="33"/>
  <c r="F333" i="33"/>
  <c r="G333" i="33"/>
  <c r="F342" i="33"/>
  <c r="G342" i="33"/>
  <c r="G303" i="33"/>
  <c r="F303" i="33"/>
  <c r="G399" i="33"/>
  <c r="F399" i="33"/>
  <c r="F371" i="33"/>
  <c r="G371" i="33"/>
  <c r="F357" i="33"/>
  <c r="G357" i="33"/>
  <c r="F345" i="33"/>
  <c r="G345" i="33"/>
  <c r="F353" i="33"/>
  <c r="G353" i="33"/>
  <c r="F366" i="33"/>
  <c r="G366" i="33"/>
  <c r="G397" i="33"/>
  <c r="F397" i="33"/>
  <c r="G383" i="33"/>
  <c r="F383" i="33"/>
  <c r="F340" i="33"/>
  <c r="G340" i="33"/>
  <c r="G312" i="33"/>
  <c r="F312" i="33"/>
  <c r="F334" i="33"/>
  <c r="G334" i="33"/>
  <c r="G289" i="33"/>
  <c r="F289" i="33"/>
  <c r="F272" i="33"/>
  <c r="G272" i="33"/>
  <c r="F255" i="33"/>
  <c r="G255" i="33"/>
  <c r="G287" i="33"/>
  <c r="F287" i="33"/>
  <c r="F254" i="33"/>
  <c r="G254" i="33"/>
  <c r="G299" i="33"/>
  <c r="F299" i="33"/>
  <c r="F265" i="33"/>
  <c r="G265" i="33"/>
  <c r="F285" i="33"/>
  <c r="G285" i="33"/>
  <c r="G317" i="33"/>
  <c r="F317" i="33"/>
  <c r="F305" i="33"/>
  <c r="G305" i="33"/>
  <c r="F270" i="33"/>
  <c r="G270" i="33"/>
  <c r="G291" i="33"/>
  <c r="F291" i="33"/>
  <c r="F331" i="33"/>
  <c r="G331" i="33"/>
  <c r="F296" i="33"/>
  <c r="G296" i="33"/>
  <c r="F271" i="33"/>
  <c r="G271" i="33"/>
  <c r="F241" i="33"/>
  <c r="G241" i="33"/>
  <c r="F232" i="33"/>
  <c r="G232" i="33"/>
  <c r="F210" i="33"/>
  <c r="G210" i="33"/>
  <c r="G229" i="33"/>
  <c r="F229" i="33"/>
  <c r="F207" i="33"/>
  <c r="G207" i="33"/>
  <c r="F215" i="33"/>
  <c r="G215" i="33"/>
  <c r="F223" i="33"/>
  <c r="G223" i="33"/>
  <c r="F227" i="33"/>
  <c r="G227" i="33"/>
  <c r="F259" i="33"/>
  <c r="G259" i="33"/>
  <c r="F235" i="33"/>
  <c r="G235" i="33"/>
  <c r="F203" i="33"/>
  <c r="G203" i="33"/>
  <c r="F208" i="33"/>
  <c r="G208" i="33"/>
  <c r="F160" i="33"/>
  <c r="G160" i="33"/>
  <c r="G171" i="33"/>
  <c r="F171" i="33"/>
  <c r="G192" i="33"/>
  <c r="F192" i="33"/>
  <c r="F169" i="33"/>
  <c r="G169" i="33"/>
  <c r="F153" i="33"/>
  <c r="G153" i="33"/>
  <c r="F185" i="33"/>
  <c r="G185" i="33"/>
  <c r="F179" i="33"/>
  <c r="G179" i="33"/>
  <c r="F197" i="33"/>
  <c r="G197" i="33"/>
  <c r="F165" i="33"/>
  <c r="G165" i="33"/>
  <c r="G200" i="33"/>
  <c r="F200" i="33"/>
  <c r="F186" i="33"/>
  <c r="G186" i="33"/>
  <c r="F195" i="33"/>
  <c r="G195" i="33"/>
  <c r="G162" i="33"/>
  <c r="F162" i="33"/>
  <c r="G144" i="33"/>
  <c r="F144" i="33"/>
  <c r="G120" i="33"/>
  <c r="F120" i="33"/>
  <c r="G145" i="33"/>
  <c r="F145" i="33"/>
  <c r="F139" i="33"/>
  <c r="G139" i="33"/>
  <c r="F133" i="33"/>
  <c r="G133" i="33"/>
  <c r="F118" i="33"/>
  <c r="G118" i="33"/>
  <c r="F128" i="33"/>
  <c r="G128" i="33"/>
  <c r="F123" i="33"/>
  <c r="G123" i="33"/>
  <c r="G108" i="33"/>
  <c r="F108" i="33"/>
  <c r="F116" i="33"/>
  <c r="G116" i="33"/>
  <c r="F99" i="33"/>
  <c r="G99" i="33"/>
  <c r="F124" i="33"/>
  <c r="G124" i="33"/>
  <c r="F96" i="33"/>
  <c r="G96" i="33"/>
  <c r="F81" i="33"/>
  <c r="G81" i="33"/>
  <c r="F89" i="33"/>
  <c r="G89" i="33"/>
  <c r="G82" i="33"/>
  <c r="F82" i="33"/>
  <c r="F90" i="33"/>
  <c r="G90" i="33"/>
  <c r="G84" i="33"/>
  <c r="F84" i="33"/>
  <c r="F76" i="33"/>
  <c r="G76" i="33"/>
  <c r="F67" i="33"/>
  <c r="G67" i="33"/>
  <c r="F72" i="33"/>
  <c r="G72" i="33"/>
  <c r="F73" i="33"/>
  <c r="G73" i="33"/>
  <c r="F40" i="33"/>
  <c r="G40" i="33"/>
  <c r="G42" i="33"/>
  <c r="F42" i="33"/>
  <c r="G71" i="33"/>
  <c r="F71" i="33"/>
  <c r="F59" i="33"/>
  <c r="G59" i="33"/>
  <c r="F45" i="33"/>
  <c r="G45" i="33"/>
  <c r="F50" i="33"/>
  <c r="G50" i="33"/>
  <c r="G34" i="33"/>
  <c r="F34" i="33"/>
  <c r="F30" i="33"/>
  <c r="G30" i="33"/>
  <c r="F31" i="33"/>
  <c r="G31" i="33"/>
  <c r="G16" i="33"/>
  <c r="F16" i="33"/>
  <c r="G25" i="33"/>
  <c r="F25" i="33"/>
  <c r="F13" i="33"/>
  <c r="G13" i="33"/>
  <c r="F14" i="33"/>
  <c r="G14" i="33"/>
  <c r="F23" i="36"/>
  <c r="G23" i="36"/>
  <c r="F55" i="36"/>
  <c r="G55" i="36"/>
  <c r="F69" i="36"/>
  <c r="G69" i="36"/>
  <c r="F58" i="36"/>
  <c r="G58" i="36"/>
  <c r="G78" i="36"/>
  <c r="F78" i="36"/>
  <c r="G122" i="36"/>
  <c r="F122" i="36"/>
  <c r="G132" i="36"/>
  <c r="F132" i="36"/>
  <c r="G135" i="36"/>
  <c r="F135" i="36"/>
  <c r="F167" i="36"/>
  <c r="G167" i="36"/>
  <c r="F165" i="36"/>
  <c r="G165" i="36"/>
  <c r="G192" i="36"/>
  <c r="F192" i="36"/>
  <c r="F226" i="36"/>
  <c r="G226" i="36"/>
  <c r="F212" i="36"/>
  <c r="G212" i="36"/>
  <c r="F218" i="36"/>
  <c r="G218" i="36"/>
  <c r="G254" i="36"/>
  <c r="F254" i="36"/>
  <c r="F256" i="36"/>
  <c r="G256" i="36"/>
  <c r="F258" i="36"/>
  <c r="G258" i="36"/>
  <c r="F257" i="36"/>
  <c r="G257" i="36"/>
  <c r="F351" i="36"/>
  <c r="G351" i="36"/>
  <c r="G327" i="36"/>
  <c r="F327" i="36"/>
  <c r="F397" i="36"/>
  <c r="G397" i="36"/>
  <c r="G335" i="36"/>
  <c r="F335" i="36"/>
  <c r="F325" i="36"/>
  <c r="G325" i="36"/>
  <c r="F369" i="36"/>
  <c r="G369" i="36"/>
  <c r="F482" i="36"/>
  <c r="G482" i="36"/>
  <c r="G377" i="36"/>
  <c r="F377" i="36"/>
  <c r="F502" i="36"/>
  <c r="G502" i="36"/>
  <c r="F427" i="36"/>
  <c r="G427" i="36"/>
  <c r="G395" i="36"/>
  <c r="F395" i="36"/>
  <c r="F466" i="36"/>
  <c r="G466" i="36"/>
  <c r="F491" i="36"/>
  <c r="G491" i="36"/>
  <c r="G595" i="36"/>
  <c r="F595" i="36"/>
  <c r="F501" i="36"/>
  <c r="G501" i="36"/>
  <c r="G539" i="36"/>
  <c r="F539" i="36"/>
  <c r="G541" i="36"/>
  <c r="F541" i="36"/>
  <c r="G655" i="36"/>
  <c r="F655" i="36"/>
  <c r="G616" i="36"/>
  <c r="F616" i="36"/>
  <c r="F678" i="36"/>
  <c r="G678" i="36"/>
  <c r="F614" i="36"/>
  <c r="G614" i="36"/>
  <c r="F727" i="36"/>
  <c r="G727" i="36"/>
  <c r="F640" i="36"/>
  <c r="G640" i="36"/>
  <c r="F578" i="36"/>
  <c r="G578" i="36"/>
  <c r="F666" i="36"/>
  <c r="G666" i="36"/>
  <c r="F690" i="36"/>
  <c r="G690" i="36"/>
  <c r="F775" i="36"/>
  <c r="G775" i="36"/>
  <c r="G904" i="36"/>
  <c r="F904" i="36"/>
  <c r="G826" i="36"/>
  <c r="F826" i="36"/>
  <c r="F721" i="36"/>
  <c r="G721" i="36"/>
  <c r="F841" i="36"/>
  <c r="G841" i="36"/>
  <c r="F790" i="36"/>
  <c r="G790" i="36"/>
  <c r="G902" i="36"/>
  <c r="F902" i="36"/>
  <c r="G762" i="36"/>
  <c r="F762" i="36"/>
  <c r="F958" i="36"/>
  <c r="G958" i="36"/>
  <c r="F868" i="36"/>
  <c r="G868" i="36"/>
  <c r="F779" i="36"/>
  <c r="G779" i="36"/>
  <c r="F903" i="36"/>
  <c r="G903" i="36"/>
  <c r="G811" i="36"/>
  <c r="F811" i="36"/>
  <c r="F943" i="36"/>
  <c r="G943" i="36"/>
  <c r="F960" i="36"/>
  <c r="G960" i="36"/>
  <c r="F948" i="36"/>
  <c r="G948" i="36"/>
  <c r="F972" i="36"/>
  <c r="G972" i="36"/>
  <c r="F1001" i="36"/>
  <c r="G1001" i="36"/>
  <c r="F33" i="36"/>
  <c r="G33" i="36"/>
  <c r="F39" i="36"/>
  <c r="G39" i="36"/>
  <c r="F75" i="36"/>
  <c r="G75" i="36"/>
  <c r="F61" i="36"/>
  <c r="G61" i="36"/>
  <c r="F87" i="36"/>
  <c r="G87" i="36"/>
  <c r="F96" i="36"/>
  <c r="G96" i="36"/>
  <c r="F134" i="36"/>
  <c r="G134" i="36"/>
  <c r="G142" i="36"/>
  <c r="F142" i="36"/>
  <c r="F163" i="36"/>
  <c r="G163" i="36"/>
  <c r="F169" i="36"/>
  <c r="G169" i="36"/>
  <c r="F203" i="36"/>
  <c r="G203" i="36"/>
  <c r="F237" i="36"/>
  <c r="G237" i="36"/>
  <c r="F222" i="36"/>
  <c r="G222" i="36"/>
  <c r="F201" i="36"/>
  <c r="G201" i="36"/>
  <c r="G259" i="36"/>
  <c r="F259" i="36"/>
  <c r="F261" i="36"/>
  <c r="G261" i="36"/>
  <c r="G267" i="36"/>
  <c r="F267" i="36"/>
  <c r="G271" i="36"/>
  <c r="F271" i="36"/>
  <c r="F357" i="36"/>
  <c r="G357" i="36"/>
  <c r="F345" i="36"/>
  <c r="G345" i="36"/>
  <c r="F408" i="36"/>
  <c r="G408" i="36"/>
  <c r="G337" i="36"/>
  <c r="F337" i="36"/>
  <c r="G332" i="36"/>
  <c r="F332" i="36"/>
  <c r="F387" i="36"/>
  <c r="G387" i="36"/>
  <c r="G484" i="36"/>
  <c r="F484" i="36"/>
  <c r="F386" i="36"/>
  <c r="G386" i="36"/>
  <c r="F506" i="36"/>
  <c r="G506" i="36"/>
  <c r="G435" i="36"/>
  <c r="F435" i="36"/>
  <c r="F402" i="36"/>
  <c r="G402" i="36"/>
  <c r="F456" i="36"/>
  <c r="G456" i="36"/>
  <c r="G508" i="36"/>
  <c r="F508" i="36"/>
  <c r="G606" i="36"/>
  <c r="F606" i="36"/>
  <c r="F516" i="36"/>
  <c r="G516" i="36"/>
  <c r="F470" i="36"/>
  <c r="G470" i="36"/>
  <c r="F546" i="36"/>
  <c r="G546" i="36"/>
  <c r="F569" i="36"/>
  <c r="G569" i="36"/>
  <c r="G632" i="36"/>
  <c r="F632" i="36"/>
  <c r="G685" i="36"/>
  <c r="F685" i="36"/>
  <c r="G625" i="36"/>
  <c r="F625" i="36"/>
  <c r="G733" i="36"/>
  <c r="F733" i="36"/>
  <c r="F647" i="36"/>
  <c r="G647" i="36"/>
  <c r="G583" i="36"/>
  <c r="F583" i="36"/>
  <c r="F671" i="36"/>
  <c r="G671" i="36"/>
  <c r="F694" i="36"/>
  <c r="G694" i="36"/>
  <c r="F778" i="36"/>
  <c r="G778" i="36"/>
  <c r="G912" i="36"/>
  <c r="F912" i="36"/>
  <c r="F827" i="36"/>
  <c r="G827" i="36"/>
  <c r="F724" i="36"/>
  <c r="G724" i="36"/>
  <c r="F855" i="36"/>
  <c r="G855" i="36"/>
  <c r="F794" i="36"/>
  <c r="G794" i="36"/>
  <c r="F901" i="36"/>
  <c r="G901" i="36"/>
  <c r="F761" i="36"/>
  <c r="G761" i="36"/>
  <c r="F963" i="36"/>
  <c r="G963" i="36"/>
  <c r="G871" i="36"/>
  <c r="F871" i="36"/>
  <c r="F782" i="36"/>
  <c r="G782" i="36"/>
  <c r="G908" i="36"/>
  <c r="F908" i="36"/>
  <c r="F812" i="36"/>
  <c r="G812" i="36"/>
  <c r="F945" i="36"/>
  <c r="G945" i="36"/>
  <c r="F969" i="36"/>
  <c r="G969" i="36"/>
  <c r="F953" i="36"/>
  <c r="G953" i="36"/>
  <c r="G996" i="36"/>
  <c r="F996" i="36"/>
  <c r="F989" i="36"/>
  <c r="G989" i="36"/>
  <c r="F1002" i="35"/>
  <c r="G1002" i="35"/>
  <c r="G984" i="35"/>
  <c r="F984" i="35"/>
  <c r="G973" i="35"/>
  <c r="F973" i="35"/>
  <c r="F1006" i="35"/>
  <c r="G1006" i="35"/>
  <c r="F981" i="35"/>
  <c r="G981" i="35"/>
  <c r="F986" i="35"/>
  <c r="G986" i="35"/>
  <c r="F935" i="35"/>
  <c r="G935" i="35"/>
  <c r="F991" i="35"/>
  <c r="G991" i="35"/>
  <c r="F963" i="35"/>
  <c r="G963" i="35"/>
  <c r="G925" i="35"/>
  <c r="F925" i="35"/>
  <c r="G997" i="35"/>
  <c r="F997" i="35"/>
  <c r="F976" i="35"/>
  <c r="G976" i="35"/>
  <c r="F966" i="35"/>
  <c r="G966" i="35"/>
  <c r="G952" i="35"/>
  <c r="F952" i="35"/>
  <c r="F936" i="35"/>
  <c r="G936" i="35"/>
  <c r="G898" i="35"/>
  <c r="F898" i="35"/>
  <c r="F977" i="35"/>
  <c r="G977" i="35"/>
  <c r="G988" i="35"/>
  <c r="F988" i="35"/>
  <c r="F920" i="35"/>
  <c r="G920" i="35"/>
  <c r="G897" i="35"/>
  <c r="F897" i="35"/>
  <c r="F875" i="35"/>
  <c r="G875" i="35"/>
  <c r="F846" i="35"/>
  <c r="G846" i="35"/>
  <c r="F817" i="35"/>
  <c r="G817" i="35"/>
  <c r="G806" i="35"/>
  <c r="F806" i="35"/>
  <c r="G956" i="35"/>
  <c r="F956" i="35"/>
  <c r="G907" i="35"/>
  <c r="F907" i="35"/>
  <c r="F884" i="35"/>
  <c r="G884" i="35"/>
  <c r="G849" i="35"/>
  <c r="F849" i="35"/>
  <c r="G773" i="35"/>
  <c r="F773" i="35"/>
  <c r="F758" i="35"/>
  <c r="G758" i="35"/>
  <c r="F735" i="35"/>
  <c r="G735" i="35"/>
  <c r="F687" i="35"/>
  <c r="G687" i="35"/>
  <c r="G886" i="35"/>
  <c r="F886" i="35"/>
  <c r="G868" i="35"/>
  <c r="F868" i="35"/>
  <c r="F858" i="35"/>
  <c r="G858" i="35"/>
  <c r="F815" i="35"/>
  <c r="G815" i="35"/>
  <c r="G799" i="35"/>
  <c r="F799" i="35"/>
  <c r="F782" i="35"/>
  <c r="G782" i="35"/>
  <c r="F926" i="35"/>
  <c r="G926" i="35"/>
  <c r="G880" i="35"/>
  <c r="F880" i="35"/>
  <c r="G838" i="35"/>
  <c r="F838" i="35"/>
  <c r="F820" i="35"/>
  <c r="G820" i="35"/>
  <c r="G788" i="35"/>
  <c r="F788" i="35"/>
  <c r="G770" i="35"/>
  <c r="F770" i="35"/>
  <c r="F740" i="35"/>
  <c r="G740" i="35"/>
  <c r="F719" i="35"/>
  <c r="G719" i="35"/>
  <c r="F900" i="35"/>
  <c r="G900" i="35"/>
  <c r="F851" i="35"/>
  <c r="G851" i="35"/>
  <c r="F792" i="35"/>
  <c r="G792" i="35"/>
  <c r="G947" i="35"/>
  <c r="F947" i="35"/>
  <c r="F914" i="35"/>
  <c r="G914" i="35"/>
  <c r="G862" i="35"/>
  <c r="F862" i="35"/>
  <c r="F842" i="35"/>
  <c r="G842" i="35"/>
  <c r="F807" i="35"/>
  <c r="G807" i="35"/>
  <c r="F783" i="35"/>
  <c r="G783" i="35"/>
  <c r="F763" i="35"/>
  <c r="G763" i="35"/>
  <c r="F752" i="35"/>
  <c r="G752" i="35"/>
  <c r="F733" i="35"/>
  <c r="G733" i="35"/>
  <c r="F702" i="35"/>
  <c r="G702" i="35"/>
  <c r="F768" i="35"/>
  <c r="G768" i="35"/>
  <c r="F874" i="35"/>
  <c r="G874" i="35"/>
  <c r="G847" i="35"/>
  <c r="F847" i="35"/>
  <c r="F786" i="35"/>
  <c r="G786" i="35"/>
  <c r="G943" i="35"/>
  <c r="F943" i="35"/>
  <c r="F911" i="35"/>
  <c r="G911" i="35"/>
  <c r="F882" i="35"/>
  <c r="G882" i="35"/>
  <c r="F850" i="35"/>
  <c r="G850" i="35"/>
  <c r="F830" i="35"/>
  <c r="G830" i="35"/>
  <c r="G805" i="35"/>
  <c r="F805" i="35"/>
  <c r="F776" i="35"/>
  <c r="G776" i="35"/>
  <c r="F755" i="35"/>
  <c r="G755" i="35"/>
  <c r="F725" i="35"/>
  <c r="G725" i="35"/>
  <c r="G742" i="35"/>
  <c r="F742" i="35"/>
  <c r="G715" i="35"/>
  <c r="F715" i="35"/>
  <c r="F668" i="35"/>
  <c r="G668" i="35"/>
  <c r="F659" i="35"/>
  <c r="G659" i="35"/>
  <c r="F635" i="35"/>
  <c r="G635" i="35"/>
  <c r="G613" i="35"/>
  <c r="F613" i="35"/>
  <c r="F600" i="35"/>
  <c r="G600" i="35"/>
  <c r="F578" i="35"/>
  <c r="G578" i="35"/>
  <c r="F749" i="35"/>
  <c r="G749" i="35"/>
  <c r="F706" i="35"/>
  <c r="G706" i="35"/>
  <c r="F682" i="35"/>
  <c r="G682" i="35"/>
  <c r="F670" i="35"/>
  <c r="G670" i="35"/>
  <c r="F658" i="35"/>
  <c r="G658" i="35"/>
  <c r="F632" i="35"/>
  <c r="G632" i="35"/>
  <c r="F610" i="35"/>
  <c r="G610" i="35"/>
  <c r="F582" i="35"/>
  <c r="G582" i="35"/>
  <c r="F741" i="35"/>
  <c r="G741" i="35"/>
  <c r="F705" i="35"/>
  <c r="G705" i="35"/>
  <c r="G665" i="35"/>
  <c r="F665" i="35"/>
  <c r="F651" i="35"/>
  <c r="G651" i="35"/>
  <c r="F567" i="35"/>
  <c r="G567" i="35"/>
  <c r="F724" i="35"/>
  <c r="G724" i="35"/>
  <c r="F693" i="35"/>
  <c r="G693" i="35"/>
  <c r="F679" i="35"/>
  <c r="G679" i="35"/>
  <c r="F663" i="35"/>
  <c r="G663" i="35"/>
  <c r="G647" i="35"/>
  <c r="F647" i="35"/>
  <c r="G626" i="35"/>
  <c r="F626" i="35"/>
  <c r="G605" i="35"/>
  <c r="F605" i="35"/>
  <c r="F587" i="35"/>
  <c r="G587" i="35"/>
  <c r="F572" i="35"/>
  <c r="G572" i="35"/>
  <c r="F643" i="35"/>
  <c r="G643" i="35"/>
  <c r="G630" i="35"/>
  <c r="F630" i="35"/>
  <c r="G607" i="35"/>
  <c r="F607" i="35"/>
  <c r="F601" i="35"/>
  <c r="G601" i="35"/>
  <c r="F506" i="35"/>
  <c r="G506" i="35"/>
  <c r="G469" i="35"/>
  <c r="F469" i="35"/>
  <c r="G569" i="35"/>
  <c r="F569" i="35"/>
  <c r="F636" i="35"/>
  <c r="G636" i="35"/>
  <c r="G562" i="35"/>
  <c r="F562" i="35"/>
  <c r="F532" i="35"/>
  <c r="G532" i="35"/>
  <c r="F497" i="35"/>
  <c r="G497" i="35"/>
  <c r="F475" i="35"/>
  <c r="G475" i="35"/>
  <c r="G560" i="35"/>
  <c r="F560" i="35"/>
  <c r="F592" i="35"/>
  <c r="G592" i="35"/>
  <c r="G558" i="35"/>
  <c r="F558" i="35"/>
  <c r="F548" i="35"/>
  <c r="G548" i="35"/>
  <c r="F515" i="35"/>
  <c r="G515" i="35"/>
  <c r="F493" i="35"/>
  <c r="G493" i="35"/>
  <c r="F471" i="35"/>
  <c r="G471" i="35"/>
  <c r="F631" i="35"/>
  <c r="G631" i="35"/>
  <c r="F585" i="35"/>
  <c r="G585" i="35"/>
  <c r="G557" i="35"/>
  <c r="F557" i="35"/>
  <c r="G529" i="35"/>
  <c r="F529" i="35"/>
  <c r="F503" i="35"/>
  <c r="G503" i="35"/>
  <c r="F483" i="35"/>
  <c r="G483" i="35"/>
  <c r="G499" i="35"/>
  <c r="F499" i="35"/>
  <c r="F467" i="35"/>
  <c r="G467" i="35"/>
  <c r="F442" i="35"/>
  <c r="G442" i="35"/>
  <c r="F410" i="35"/>
  <c r="G410" i="35"/>
  <c r="F448" i="35"/>
  <c r="G448" i="35"/>
  <c r="F541" i="35"/>
  <c r="G541" i="35"/>
  <c r="F514" i="35"/>
  <c r="G514" i="35"/>
  <c r="G479" i="35"/>
  <c r="F479" i="35"/>
  <c r="F425" i="35"/>
  <c r="G425" i="35"/>
  <c r="F400" i="35"/>
  <c r="G400" i="35"/>
  <c r="F537" i="35"/>
  <c r="G537" i="35"/>
  <c r="F505" i="35"/>
  <c r="G505" i="35"/>
  <c r="F478" i="35"/>
  <c r="G478" i="35"/>
  <c r="F451" i="35"/>
  <c r="G451" i="35"/>
  <c r="G412" i="35"/>
  <c r="F412" i="35"/>
  <c r="F397" i="35"/>
  <c r="G397" i="35"/>
  <c r="F449" i="35"/>
  <c r="G449" i="35"/>
  <c r="F535" i="35"/>
  <c r="G535" i="35"/>
  <c r="G466" i="35"/>
  <c r="F466" i="35"/>
  <c r="F447" i="35"/>
  <c r="G447" i="35"/>
  <c r="G433" i="35"/>
  <c r="F433" i="35"/>
  <c r="F409" i="35"/>
  <c r="G409" i="35"/>
  <c r="F394" i="35"/>
  <c r="G394" i="35"/>
  <c r="F374" i="35"/>
  <c r="G374" i="35"/>
  <c r="G455" i="35"/>
  <c r="F455" i="35"/>
  <c r="G436" i="35"/>
  <c r="F436" i="35"/>
  <c r="G392" i="35"/>
  <c r="F392" i="35"/>
  <c r="F361" i="35"/>
  <c r="G361" i="35"/>
  <c r="F339" i="35"/>
  <c r="G339" i="35"/>
  <c r="F316" i="35"/>
  <c r="G316" i="35"/>
  <c r="G342" i="35"/>
  <c r="F342" i="35"/>
  <c r="G319" i="35"/>
  <c r="F319" i="35"/>
  <c r="F421" i="35"/>
  <c r="G421" i="35"/>
  <c r="F375" i="35"/>
  <c r="G375" i="35"/>
  <c r="G354" i="35"/>
  <c r="F354" i="35"/>
  <c r="F308" i="35"/>
  <c r="G308" i="35"/>
  <c r="G323" i="35"/>
  <c r="F323" i="35"/>
  <c r="F418" i="35"/>
  <c r="G418" i="35"/>
  <c r="F380" i="35"/>
  <c r="G380" i="35"/>
  <c r="F362" i="35"/>
  <c r="G362" i="35"/>
  <c r="F329" i="35"/>
  <c r="G329" i="35"/>
  <c r="F352" i="35"/>
  <c r="G352" i="35"/>
  <c r="F317" i="35"/>
  <c r="G317" i="35"/>
  <c r="F424" i="35"/>
  <c r="G424" i="35"/>
  <c r="F395" i="35"/>
  <c r="G395" i="35"/>
  <c r="G373" i="35"/>
  <c r="F373" i="35"/>
  <c r="F330" i="35"/>
  <c r="G330" i="35"/>
  <c r="F322" i="35"/>
  <c r="G322" i="35"/>
  <c r="F289" i="35"/>
  <c r="G289" i="35"/>
  <c r="G254" i="35"/>
  <c r="F254" i="35"/>
  <c r="F285" i="35"/>
  <c r="G285" i="35"/>
  <c r="F264" i="35"/>
  <c r="G264" i="35"/>
  <c r="G311" i="35"/>
  <c r="F311" i="35"/>
  <c r="F276" i="35"/>
  <c r="G276" i="35"/>
  <c r="F268" i="35"/>
  <c r="G268" i="35"/>
  <c r="G321" i="35"/>
  <c r="F321" i="35"/>
  <c r="F305" i="35"/>
  <c r="G305" i="35"/>
  <c r="F260" i="35"/>
  <c r="G260" i="35"/>
  <c r="F267" i="35"/>
  <c r="G267" i="35"/>
  <c r="G312" i="35"/>
  <c r="F312" i="35"/>
  <c r="F262" i="35"/>
  <c r="G262" i="35"/>
  <c r="F299" i="35"/>
  <c r="G299" i="35"/>
  <c r="F279" i="35"/>
  <c r="G279" i="35"/>
  <c r="F271" i="35"/>
  <c r="G271" i="35"/>
  <c r="F233" i="35"/>
  <c r="G233" i="35"/>
  <c r="G208" i="35"/>
  <c r="F208" i="35"/>
  <c r="F245" i="35"/>
  <c r="G245" i="35"/>
  <c r="G220" i="35"/>
  <c r="F220" i="35"/>
  <c r="F237" i="35"/>
  <c r="G237" i="35"/>
  <c r="F240" i="35"/>
  <c r="G240" i="35"/>
  <c r="F236" i="35"/>
  <c r="G236" i="35"/>
  <c r="F210" i="35"/>
  <c r="G210" i="35"/>
  <c r="F257" i="35"/>
  <c r="G257" i="35"/>
  <c r="F218" i="35"/>
  <c r="G218" i="35"/>
  <c r="F216" i="35"/>
  <c r="G216" i="35"/>
  <c r="G199" i="35"/>
  <c r="F199" i="35"/>
  <c r="F162" i="35"/>
  <c r="G162" i="35"/>
  <c r="F174" i="35"/>
  <c r="G174" i="35"/>
  <c r="G181" i="35"/>
  <c r="F181" i="35"/>
  <c r="G168" i="35"/>
  <c r="F168" i="35"/>
  <c r="F183" i="35"/>
  <c r="G183" i="35"/>
  <c r="F149" i="35"/>
  <c r="G149" i="35"/>
  <c r="F173" i="35"/>
  <c r="G173" i="35"/>
  <c r="F198" i="35"/>
  <c r="G198" i="35"/>
  <c r="G177" i="35"/>
  <c r="F177" i="35"/>
  <c r="F179" i="35"/>
  <c r="G179" i="35"/>
  <c r="G159" i="35"/>
  <c r="F159" i="35"/>
  <c r="F184" i="35"/>
  <c r="G184" i="35"/>
  <c r="F138" i="35"/>
  <c r="G138" i="35"/>
  <c r="G144" i="35"/>
  <c r="F144" i="35"/>
  <c r="G145" i="35"/>
  <c r="F145" i="35"/>
  <c r="F132" i="35"/>
  <c r="G132" i="35"/>
  <c r="F121" i="35"/>
  <c r="G121" i="35"/>
  <c r="G122" i="35"/>
  <c r="F122" i="35"/>
  <c r="F142" i="35"/>
  <c r="G142" i="35"/>
  <c r="G110" i="35"/>
  <c r="F110" i="35"/>
  <c r="F116" i="35"/>
  <c r="G116" i="35"/>
  <c r="G119" i="35"/>
  <c r="F119" i="35"/>
  <c r="G106" i="35"/>
  <c r="F106" i="35"/>
  <c r="F114" i="35"/>
  <c r="G114" i="35"/>
  <c r="F97" i="35"/>
  <c r="G97" i="35"/>
  <c r="G93" i="35"/>
  <c r="F93" i="35"/>
  <c r="F76" i="35"/>
  <c r="G76" i="35"/>
  <c r="F86" i="35"/>
  <c r="G86" i="35"/>
  <c r="G89" i="35"/>
  <c r="F89" i="35"/>
  <c r="F91" i="35"/>
  <c r="G91" i="35"/>
  <c r="F73" i="35"/>
  <c r="G73" i="35"/>
  <c r="F78" i="35"/>
  <c r="G78" i="35"/>
  <c r="G58" i="35"/>
  <c r="F58" i="35"/>
  <c r="F64" i="35"/>
  <c r="G64" i="35"/>
  <c r="F72" i="35"/>
  <c r="G72" i="35"/>
  <c r="G41" i="35"/>
  <c r="F41" i="35"/>
  <c r="G45" i="35"/>
  <c r="F45" i="35"/>
  <c r="F60" i="35"/>
  <c r="G60" i="35"/>
  <c r="F52" i="35"/>
  <c r="G52" i="35"/>
  <c r="F40" i="35"/>
  <c r="G40" i="35"/>
  <c r="G34" i="35"/>
  <c r="F34" i="35"/>
  <c r="G32" i="35"/>
  <c r="F32" i="35"/>
  <c r="F29" i="35"/>
  <c r="G29" i="35"/>
  <c r="F25" i="35"/>
  <c r="G25" i="35"/>
  <c r="G15" i="35"/>
  <c r="F15" i="35"/>
  <c r="G26" i="35"/>
  <c r="F26" i="35"/>
  <c r="F990" i="34"/>
  <c r="G990" i="34"/>
  <c r="F998" i="34"/>
  <c r="G998" i="34"/>
  <c r="F1000" i="34"/>
  <c r="G1000" i="34"/>
  <c r="F1005" i="34"/>
  <c r="G1005" i="34"/>
  <c r="G988" i="34"/>
  <c r="F988" i="34"/>
  <c r="F984" i="34"/>
  <c r="G984" i="34"/>
  <c r="F943" i="34"/>
  <c r="G943" i="34"/>
  <c r="F995" i="34"/>
  <c r="G995" i="34"/>
  <c r="G982" i="34"/>
  <c r="F982" i="34"/>
  <c r="F952" i="34"/>
  <c r="G952" i="34"/>
  <c r="F933" i="34"/>
  <c r="G933" i="34"/>
  <c r="G911" i="34"/>
  <c r="F911" i="34"/>
  <c r="G974" i="34"/>
  <c r="F974" i="34"/>
  <c r="F935" i="34"/>
  <c r="G935" i="34"/>
  <c r="F924" i="34"/>
  <c r="G924" i="34"/>
  <c r="G907" i="34"/>
  <c r="F907" i="34"/>
  <c r="G1002" i="34"/>
  <c r="F1002" i="34"/>
  <c r="F973" i="34"/>
  <c r="G973" i="34"/>
  <c r="F963" i="34"/>
  <c r="G963" i="34"/>
  <c r="F941" i="34"/>
  <c r="G941" i="34"/>
  <c r="F899" i="34"/>
  <c r="G899" i="34"/>
  <c r="F867" i="34"/>
  <c r="G867" i="34"/>
  <c r="F825" i="34"/>
  <c r="G825" i="34"/>
  <c r="G802" i="34"/>
  <c r="F802" i="34"/>
  <c r="F957" i="34"/>
  <c r="G957" i="34"/>
  <c r="G900" i="34"/>
  <c r="F900" i="34"/>
  <c r="F872" i="34"/>
  <c r="G872" i="34"/>
  <c r="F835" i="34"/>
  <c r="G835" i="34"/>
  <c r="G797" i="34"/>
  <c r="F797" i="34"/>
  <c r="G775" i="34"/>
  <c r="F775" i="34"/>
  <c r="G762" i="34"/>
  <c r="F762" i="34"/>
  <c r="F743" i="34"/>
  <c r="G743" i="34"/>
  <c r="F726" i="34"/>
  <c r="G726" i="34"/>
  <c r="F697" i="34"/>
  <c r="G697" i="34"/>
  <c r="F887" i="34"/>
  <c r="G887" i="34"/>
  <c r="G858" i="34"/>
  <c r="F858" i="34"/>
  <c r="G830" i="34"/>
  <c r="F830" i="34"/>
  <c r="F822" i="34"/>
  <c r="G822" i="34"/>
  <c r="G806" i="34"/>
  <c r="F806" i="34"/>
  <c r="F913" i="34"/>
  <c r="G913" i="34"/>
  <c r="F855" i="34"/>
  <c r="G855" i="34"/>
  <c r="F838" i="34"/>
  <c r="G838" i="34"/>
  <c r="F901" i="34"/>
  <c r="G901" i="34"/>
  <c r="G742" i="34"/>
  <c r="F742" i="34"/>
  <c r="F706" i="34"/>
  <c r="G706" i="34"/>
  <c r="G684" i="34"/>
  <c r="F684" i="34"/>
  <c r="F892" i="34"/>
  <c r="G892" i="34"/>
  <c r="F880" i="34"/>
  <c r="G880" i="34"/>
  <c r="F840" i="34"/>
  <c r="G840" i="34"/>
  <c r="F794" i="34"/>
  <c r="G794" i="34"/>
  <c r="G934" i="34"/>
  <c r="F934" i="34"/>
  <c r="F912" i="34"/>
  <c r="G912" i="34"/>
  <c r="F879" i="34"/>
  <c r="G879" i="34"/>
  <c r="G861" i="34"/>
  <c r="F861" i="34"/>
  <c r="F820" i="34"/>
  <c r="G820" i="34"/>
  <c r="F798" i="34"/>
  <c r="G798" i="34"/>
  <c r="F771" i="34"/>
  <c r="G771" i="34"/>
  <c r="G753" i="34"/>
  <c r="F753" i="34"/>
  <c r="G738" i="34"/>
  <c r="F738" i="34"/>
  <c r="F716" i="34"/>
  <c r="G716" i="34"/>
  <c r="F903" i="34"/>
  <c r="G903" i="34"/>
  <c r="F871" i="34"/>
  <c r="G871" i="34"/>
  <c r="G821" i="34"/>
  <c r="F821" i="34"/>
  <c r="G803" i="34"/>
  <c r="F803" i="34"/>
  <c r="F787" i="34"/>
  <c r="G787" i="34"/>
  <c r="F953" i="34"/>
  <c r="G953" i="34"/>
  <c r="G946" i="34"/>
  <c r="F946" i="34"/>
  <c r="G882" i="34"/>
  <c r="F882" i="34"/>
  <c r="F860" i="34"/>
  <c r="G860" i="34"/>
  <c r="F827" i="34"/>
  <c r="G827" i="34"/>
  <c r="G763" i="34"/>
  <c r="F763" i="34"/>
  <c r="F711" i="34"/>
  <c r="G711" i="34"/>
  <c r="F768" i="34"/>
  <c r="G768" i="34"/>
  <c r="G707" i="34"/>
  <c r="F707" i="34"/>
  <c r="F679" i="34"/>
  <c r="G679" i="34"/>
  <c r="F642" i="34"/>
  <c r="G642" i="34"/>
  <c r="F609" i="34"/>
  <c r="G609" i="34"/>
  <c r="F579" i="34"/>
  <c r="G579" i="34"/>
  <c r="F659" i="34"/>
  <c r="G659" i="34"/>
  <c r="G746" i="34"/>
  <c r="F746" i="34"/>
  <c r="G708" i="34"/>
  <c r="F708" i="34"/>
  <c r="F670" i="34"/>
  <c r="G670" i="34"/>
  <c r="F669" i="34"/>
  <c r="G669" i="34"/>
  <c r="G644" i="34"/>
  <c r="F644" i="34"/>
  <c r="G631" i="34"/>
  <c r="F631" i="34"/>
  <c r="G600" i="34"/>
  <c r="F600" i="34"/>
  <c r="F769" i="34"/>
  <c r="G769" i="34"/>
  <c r="G737" i="34"/>
  <c r="F737" i="34"/>
  <c r="F718" i="34"/>
  <c r="G718" i="34"/>
  <c r="G685" i="34"/>
  <c r="F685" i="34"/>
  <c r="F676" i="34"/>
  <c r="G676" i="34"/>
  <c r="F649" i="34"/>
  <c r="G649" i="34"/>
  <c r="F637" i="34"/>
  <c r="G637" i="34"/>
  <c r="F620" i="34"/>
  <c r="G620" i="34"/>
  <c r="F591" i="34"/>
  <c r="G591" i="34"/>
  <c r="F765" i="34"/>
  <c r="G765" i="34"/>
  <c r="F723" i="34"/>
  <c r="G723" i="34"/>
  <c r="F693" i="34"/>
  <c r="G693" i="34"/>
  <c r="F751" i="34"/>
  <c r="G751" i="34"/>
  <c r="F622" i="34"/>
  <c r="G622" i="34"/>
  <c r="G605" i="34"/>
  <c r="F605" i="34"/>
  <c r="F585" i="34"/>
  <c r="G585" i="34"/>
  <c r="G651" i="34"/>
  <c r="F651" i="34"/>
  <c r="F617" i="34"/>
  <c r="G617" i="34"/>
  <c r="F558" i="34"/>
  <c r="G558" i="34"/>
  <c r="G505" i="34"/>
  <c r="F505" i="34"/>
  <c r="F490" i="34"/>
  <c r="G490" i="34"/>
  <c r="G453" i="34"/>
  <c r="F453" i="34"/>
  <c r="G638" i="34"/>
  <c r="F638" i="34"/>
  <c r="G598" i="34"/>
  <c r="F598" i="34"/>
  <c r="F562" i="34"/>
  <c r="G562" i="34"/>
  <c r="G531" i="34"/>
  <c r="F531" i="34"/>
  <c r="F508" i="34"/>
  <c r="G508" i="34"/>
  <c r="G478" i="34"/>
  <c r="F478" i="34"/>
  <c r="F641" i="34"/>
  <c r="G641" i="34"/>
  <c r="F606" i="34"/>
  <c r="G606" i="34"/>
  <c r="F576" i="34"/>
  <c r="G576" i="34"/>
  <c r="F556" i="34"/>
  <c r="G556" i="34"/>
  <c r="F536" i="34"/>
  <c r="G536" i="34"/>
  <c r="F520" i="34"/>
  <c r="G520" i="34"/>
  <c r="G491" i="34"/>
  <c r="F491" i="34"/>
  <c r="G547" i="34"/>
  <c r="F547" i="34"/>
  <c r="F599" i="34"/>
  <c r="G599" i="34"/>
  <c r="F582" i="34"/>
  <c r="G582" i="34"/>
  <c r="G555" i="34"/>
  <c r="F555" i="34"/>
  <c r="F545" i="34"/>
  <c r="G545" i="34"/>
  <c r="F518" i="34"/>
  <c r="G518" i="34"/>
  <c r="F510" i="34"/>
  <c r="G510" i="34"/>
  <c r="G534" i="34"/>
  <c r="F534" i="34"/>
  <c r="G494" i="34"/>
  <c r="F494" i="34"/>
  <c r="G468" i="34"/>
  <c r="F468" i="34"/>
  <c r="F458" i="34"/>
  <c r="G458" i="34"/>
  <c r="G422" i="34"/>
  <c r="F422" i="34"/>
  <c r="F394" i="34"/>
  <c r="G394" i="34"/>
  <c r="G378" i="34"/>
  <c r="F378" i="34"/>
  <c r="G529" i="34"/>
  <c r="F529" i="34"/>
  <c r="F480" i="34"/>
  <c r="G480" i="34"/>
  <c r="F440" i="34"/>
  <c r="G440" i="34"/>
  <c r="F399" i="34"/>
  <c r="G399" i="34"/>
  <c r="F365" i="34"/>
  <c r="G365" i="34"/>
  <c r="F502" i="34"/>
  <c r="G502" i="34"/>
  <c r="G459" i="34"/>
  <c r="F459" i="34"/>
  <c r="F444" i="34"/>
  <c r="G444" i="34"/>
  <c r="F408" i="34"/>
  <c r="G408" i="34"/>
  <c r="F391" i="34"/>
  <c r="G391" i="34"/>
  <c r="F467" i="34"/>
  <c r="G467" i="34"/>
  <c r="F503" i="34"/>
  <c r="G503" i="34"/>
  <c r="G470" i="34"/>
  <c r="F470" i="34"/>
  <c r="F457" i="34"/>
  <c r="G457" i="34"/>
  <c r="G419" i="34"/>
  <c r="F419" i="34"/>
  <c r="G386" i="34"/>
  <c r="F386" i="34"/>
  <c r="F449" i="34"/>
  <c r="G449" i="34"/>
  <c r="F430" i="34"/>
  <c r="G430" i="34"/>
  <c r="F410" i="34"/>
  <c r="G410" i="34"/>
  <c r="F388" i="34"/>
  <c r="G388" i="34"/>
  <c r="G351" i="34"/>
  <c r="F351" i="34"/>
  <c r="G308" i="34"/>
  <c r="F308" i="34"/>
  <c r="F412" i="34"/>
  <c r="G412" i="34"/>
  <c r="F357" i="34"/>
  <c r="G357" i="34"/>
  <c r="G326" i="34"/>
  <c r="F326" i="34"/>
  <c r="F317" i="34"/>
  <c r="G317" i="34"/>
  <c r="G356" i="34"/>
  <c r="F356" i="34"/>
  <c r="F343" i="34"/>
  <c r="G343" i="34"/>
  <c r="F428" i="34"/>
  <c r="G428" i="34"/>
  <c r="F380" i="34"/>
  <c r="G380" i="34"/>
  <c r="F374" i="34"/>
  <c r="G374" i="34"/>
  <c r="F354" i="34"/>
  <c r="G354" i="34"/>
  <c r="F310" i="34"/>
  <c r="G310" i="34"/>
  <c r="F333" i="34"/>
  <c r="G333" i="34"/>
  <c r="G319" i="34"/>
  <c r="F319" i="34"/>
  <c r="F434" i="34"/>
  <c r="G434" i="34"/>
  <c r="F389" i="34"/>
  <c r="G389" i="34"/>
  <c r="F431" i="34"/>
  <c r="G431" i="34"/>
  <c r="F323" i="34"/>
  <c r="G323" i="34"/>
  <c r="F349" i="34"/>
  <c r="G349" i="34"/>
  <c r="F301" i="34"/>
  <c r="G301" i="34"/>
  <c r="F274" i="34"/>
  <c r="G274" i="34"/>
  <c r="G264" i="34"/>
  <c r="F264" i="34"/>
  <c r="G305" i="34"/>
  <c r="F305" i="34"/>
  <c r="G275" i="34"/>
  <c r="F275" i="34"/>
  <c r="G258" i="34"/>
  <c r="F258" i="34"/>
  <c r="G290" i="34"/>
  <c r="F290" i="34"/>
  <c r="G268" i="34"/>
  <c r="F268" i="34"/>
  <c r="F314" i="34"/>
  <c r="G314" i="34"/>
  <c r="F286" i="34"/>
  <c r="G286" i="34"/>
  <c r="G267" i="34"/>
  <c r="F267" i="34"/>
  <c r="F284" i="34"/>
  <c r="G284" i="34"/>
  <c r="F330" i="34"/>
  <c r="G330" i="34"/>
  <c r="F294" i="34"/>
  <c r="G294" i="34"/>
  <c r="G282" i="34"/>
  <c r="F282" i="34"/>
  <c r="F293" i="34"/>
  <c r="G293" i="34"/>
  <c r="G239" i="34"/>
  <c r="F239" i="34"/>
  <c r="G214" i="34"/>
  <c r="F214" i="34"/>
  <c r="G208" i="34"/>
  <c r="F208" i="34"/>
  <c r="F234" i="34"/>
  <c r="G234" i="34"/>
  <c r="F210" i="34"/>
  <c r="G210" i="34"/>
  <c r="G230" i="34"/>
  <c r="F230" i="34"/>
  <c r="F244" i="34"/>
  <c r="G244" i="34"/>
  <c r="G225" i="34"/>
  <c r="F225" i="34"/>
  <c r="F206" i="34"/>
  <c r="G206" i="34"/>
  <c r="F246" i="34"/>
  <c r="G246" i="34"/>
  <c r="F231" i="34"/>
  <c r="G231" i="34"/>
  <c r="F198" i="34"/>
  <c r="G198" i="34"/>
  <c r="G187" i="34"/>
  <c r="F187" i="34"/>
  <c r="G168" i="34"/>
  <c r="F168" i="34"/>
  <c r="G186" i="34"/>
  <c r="F186" i="34"/>
  <c r="G155" i="34"/>
  <c r="F155" i="34"/>
  <c r="F193" i="34"/>
  <c r="G193" i="34"/>
  <c r="G173" i="34"/>
  <c r="F173" i="34"/>
  <c r="G161" i="34"/>
  <c r="F161" i="34"/>
  <c r="G158" i="34"/>
  <c r="F158" i="34"/>
  <c r="F175" i="34"/>
  <c r="G175" i="34"/>
  <c r="F148" i="34"/>
  <c r="G148" i="34"/>
  <c r="F164" i="34"/>
  <c r="G164" i="34"/>
  <c r="F176" i="34"/>
  <c r="G176" i="34"/>
  <c r="G181" i="34"/>
  <c r="F181" i="34"/>
  <c r="F132" i="34"/>
  <c r="G132" i="34"/>
  <c r="G134" i="34"/>
  <c r="F134" i="34"/>
  <c r="F130" i="34"/>
  <c r="G130" i="34"/>
  <c r="F120" i="34"/>
  <c r="G120" i="34"/>
  <c r="F136" i="34"/>
  <c r="G136" i="34"/>
  <c r="F125" i="34"/>
  <c r="G125" i="34"/>
  <c r="F123" i="34"/>
  <c r="G123" i="34"/>
  <c r="F108" i="34"/>
  <c r="G108" i="34"/>
  <c r="G99" i="34"/>
  <c r="F99" i="34"/>
  <c r="F103" i="34"/>
  <c r="G103" i="34"/>
  <c r="F112" i="34"/>
  <c r="G112" i="34"/>
  <c r="G107" i="34"/>
  <c r="F107" i="34"/>
  <c r="F100" i="34"/>
  <c r="G100" i="34"/>
  <c r="G85" i="34"/>
  <c r="F85" i="34"/>
  <c r="F79" i="34"/>
  <c r="G79" i="34"/>
  <c r="F88" i="34"/>
  <c r="G88" i="34"/>
  <c r="F82" i="34"/>
  <c r="G82" i="34"/>
  <c r="F74" i="34"/>
  <c r="G74" i="34"/>
  <c r="F65" i="34"/>
  <c r="G65" i="34"/>
  <c r="F78" i="34"/>
  <c r="G78" i="34"/>
  <c r="F63" i="34"/>
  <c r="G63" i="34"/>
  <c r="F71" i="34"/>
  <c r="G71" i="34"/>
  <c r="F44" i="34"/>
  <c r="G44" i="34"/>
  <c r="F59" i="34"/>
  <c r="G59" i="34"/>
  <c r="F62" i="34"/>
  <c r="G62" i="34"/>
  <c r="F45" i="34"/>
  <c r="G45" i="34"/>
  <c r="F40" i="34"/>
  <c r="G40" i="34"/>
  <c r="F33" i="34"/>
  <c r="G33" i="34"/>
  <c r="F31" i="34"/>
  <c r="G31" i="34"/>
  <c r="F26" i="34"/>
  <c r="G26" i="34"/>
  <c r="G25" i="34"/>
  <c r="F25" i="34"/>
  <c r="F16" i="34"/>
  <c r="G16" i="34"/>
  <c r="F19" i="34"/>
  <c r="G19" i="34"/>
  <c r="F12" i="34"/>
  <c r="G12" i="34"/>
  <c r="F28" i="36"/>
  <c r="G28" i="36"/>
  <c r="F47" i="36"/>
  <c r="G47" i="36"/>
  <c r="F94" i="36"/>
  <c r="G94" i="36"/>
  <c r="F91" i="36"/>
  <c r="G91" i="36"/>
  <c r="F103" i="36"/>
  <c r="G103" i="36"/>
  <c r="G105" i="36"/>
  <c r="F105" i="36"/>
  <c r="F139" i="36"/>
  <c r="G139" i="36"/>
  <c r="F131" i="36"/>
  <c r="G131" i="36"/>
  <c r="G189" i="36"/>
  <c r="F189" i="36"/>
  <c r="F197" i="36"/>
  <c r="G197" i="36"/>
  <c r="G175" i="36"/>
  <c r="F175" i="36"/>
  <c r="F255" i="36"/>
  <c r="G255" i="36"/>
  <c r="F217" i="36"/>
  <c r="G217" i="36"/>
  <c r="F240" i="36"/>
  <c r="G240" i="36"/>
  <c r="F324" i="36"/>
  <c r="G324" i="36"/>
  <c r="F269" i="36"/>
  <c r="G269" i="36"/>
  <c r="G266" i="36"/>
  <c r="F266" i="36"/>
  <c r="G319" i="36"/>
  <c r="F319" i="36"/>
  <c r="G418" i="36"/>
  <c r="F418" i="36"/>
  <c r="F330" i="36"/>
  <c r="G330" i="36"/>
  <c r="G360" i="36"/>
  <c r="F360" i="36"/>
  <c r="G421" i="36"/>
  <c r="F421" i="36"/>
  <c r="G353" i="36"/>
  <c r="F353" i="36"/>
  <c r="F425" i="36"/>
  <c r="G425" i="36"/>
  <c r="F467" i="36"/>
  <c r="G467" i="36"/>
  <c r="G460" i="36"/>
  <c r="F460" i="36"/>
  <c r="G394" i="36"/>
  <c r="F394" i="36"/>
  <c r="F500" i="36"/>
  <c r="G500" i="36"/>
  <c r="F442" i="36"/>
  <c r="G442" i="36"/>
  <c r="F523" i="36"/>
  <c r="G523" i="36"/>
  <c r="F564" i="36"/>
  <c r="G564" i="36"/>
  <c r="F548" i="36"/>
  <c r="G548" i="36"/>
  <c r="F563" i="36"/>
  <c r="G563" i="36"/>
  <c r="G525" i="36"/>
  <c r="F525" i="36"/>
  <c r="F598" i="36"/>
  <c r="G598" i="36"/>
  <c r="G557" i="36"/>
  <c r="F557" i="36"/>
  <c r="F637" i="36"/>
  <c r="G637" i="36"/>
  <c r="G763" i="36"/>
  <c r="F763" i="36"/>
  <c r="G669" i="36"/>
  <c r="F669" i="36"/>
  <c r="F589" i="36"/>
  <c r="G589" i="36"/>
  <c r="G750" i="36"/>
  <c r="F750" i="36"/>
  <c r="F648" i="36"/>
  <c r="G648" i="36"/>
  <c r="G743" i="36"/>
  <c r="F743" i="36"/>
  <c r="F753" i="36"/>
  <c r="G753" i="36"/>
  <c r="F842" i="36"/>
  <c r="G842" i="36"/>
  <c r="F955" i="36"/>
  <c r="G955" i="36"/>
  <c r="F911" i="36"/>
  <c r="G911" i="36"/>
  <c r="F777" i="36"/>
  <c r="G777" i="36"/>
  <c r="F924" i="36"/>
  <c r="G924" i="36"/>
  <c r="G862" i="36"/>
  <c r="F862" i="36"/>
  <c r="G714" i="36"/>
  <c r="F714" i="36"/>
  <c r="G859" i="36"/>
  <c r="F859" i="36"/>
  <c r="F831" i="36"/>
  <c r="G831" i="36"/>
  <c r="F715" i="36"/>
  <c r="G715" i="36"/>
  <c r="G872" i="36"/>
  <c r="F872" i="36"/>
  <c r="G791" i="36"/>
  <c r="F791" i="36"/>
  <c r="G874" i="36"/>
  <c r="F874" i="36"/>
  <c r="F980" i="36"/>
  <c r="G980" i="36"/>
  <c r="F913" i="36"/>
  <c r="G913" i="36"/>
  <c r="F926" i="36"/>
  <c r="G926" i="36"/>
  <c r="F1006" i="36"/>
  <c r="G1006" i="36"/>
  <c r="I18" i="36"/>
  <c r="F14" i="36"/>
  <c r="G14" i="36"/>
  <c r="G57" i="36"/>
  <c r="F57" i="36"/>
  <c r="F95" i="36"/>
  <c r="G95" i="36"/>
  <c r="G156" i="36"/>
  <c r="F156" i="36"/>
  <c r="F247" i="36"/>
  <c r="G247" i="36"/>
  <c r="F312" i="36"/>
  <c r="G312" i="36"/>
  <c r="F252" i="36"/>
  <c r="G252" i="36"/>
  <c r="F390" i="36"/>
  <c r="G390" i="36"/>
  <c r="F333" i="36"/>
  <c r="G333" i="36"/>
  <c r="G339" i="36"/>
  <c r="F339" i="36"/>
  <c r="F17" i="36"/>
  <c r="G17" i="36"/>
  <c r="F37" i="36"/>
  <c r="G37" i="36"/>
  <c r="G50" i="36"/>
  <c r="F50" i="36"/>
  <c r="F64" i="36"/>
  <c r="G64" i="36"/>
  <c r="F89" i="36"/>
  <c r="G89" i="36"/>
  <c r="F98" i="36"/>
  <c r="G98" i="36"/>
  <c r="F116" i="36"/>
  <c r="G116" i="36"/>
  <c r="F145" i="36"/>
  <c r="G145" i="36"/>
  <c r="F136" i="36"/>
  <c r="G136" i="36"/>
  <c r="G199" i="36"/>
  <c r="F199" i="36"/>
  <c r="G161" i="36"/>
  <c r="F161" i="36"/>
  <c r="F178" i="36"/>
  <c r="G178" i="36"/>
  <c r="F198" i="36"/>
  <c r="G198" i="36"/>
  <c r="F219" i="36"/>
  <c r="G219" i="36"/>
  <c r="G243" i="36"/>
  <c r="F243" i="36"/>
  <c r="G241" i="36"/>
  <c r="F241" i="36"/>
  <c r="F270" i="36"/>
  <c r="G270" i="36"/>
  <c r="F285" i="36"/>
  <c r="G285" i="36"/>
  <c r="G349" i="36"/>
  <c r="F349" i="36"/>
  <c r="F420" i="36"/>
  <c r="G420" i="36"/>
  <c r="F334" i="36"/>
  <c r="G334" i="36"/>
  <c r="F303" i="36"/>
  <c r="G303" i="36"/>
  <c r="F424" i="36"/>
  <c r="G424" i="36"/>
  <c r="F365" i="36"/>
  <c r="G365" i="36"/>
  <c r="F430" i="36"/>
  <c r="G430" i="36"/>
  <c r="F361" i="36"/>
  <c r="G361" i="36"/>
  <c r="F463" i="36"/>
  <c r="G463" i="36"/>
  <c r="F398" i="36"/>
  <c r="G398" i="36"/>
  <c r="F504" i="36"/>
  <c r="G504" i="36"/>
  <c r="F441" i="36"/>
  <c r="G441" i="36"/>
  <c r="G524" i="36"/>
  <c r="F524" i="36"/>
  <c r="F575" i="36"/>
  <c r="G575" i="36"/>
  <c r="G461" i="36"/>
  <c r="F461" i="36"/>
  <c r="G567" i="36"/>
  <c r="F567" i="36"/>
  <c r="F527" i="36"/>
  <c r="G527" i="36"/>
  <c r="G601" i="36"/>
  <c r="F601" i="36"/>
  <c r="F559" i="36"/>
  <c r="G559" i="36"/>
  <c r="F639" i="36"/>
  <c r="G639" i="36"/>
  <c r="F574" i="36"/>
  <c r="G574" i="36"/>
  <c r="F664" i="36"/>
  <c r="G664" i="36"/>
  <c r="F604" i="36"/>
  <c r="G604" i="36"/>
  <c r="F751" i="36"/>
  <c r="G751" i="36"/>
  <c r="F651" i="36"/>
  <c r="G651" i="36"/>
  <c r="G745" i="36"/>
  <c r="F745" i="36"/>
  <c r="F754" i="36"/>
  <c r="G754" i="36"/>
  <c r="F849" i="36"/>
  <c r="G849" i="36"/>
  <c r="F771" i="36"/>
  <c r="G771" i="36"/>
  <c r="G914" i="36"/>
  <c r="F914" i="36"/>
  <c r="F787" i="36"/>
  <c r="G787" i="36"/>
  <c r="F921" i="36"/>
  <c r="G921" i="36"/>
  <c r="F865" i="36"/>
  <c r="G865" i="36"/>
  <c r="F722" i="36"/>
  <c r="G722" i="36"/>
  <c r="F881" i="36"/>
  <c r="G881" i="36"/>
  <c r="G839" i="36"/>
  <c r="F839" i="36"/>
  <c r="F717" i="36"/>
  <c r="G717" i="36"/>
  <c r="F877" i="36"/>
  <c r="G877" i="36"/>
  <c r="G797" i="36"/>
  <c r="F797" i="36"/>
  <c r="F878" i="36"/>
  <c r="G878" i="36"/>
  <c r="F988" i="36"/>
  <c r="G988" i="36"/>
  <c r="G918" i="36"/>
  <c r="F918" i="36"/>
  <c r="F937" i="36"/>
  <c r="G937" i="36"/>
  <c r="F1003" i="36"/>
  <c r="G1003" i="36"/>
  <c r="F998" i="33"/>
  <c r="G998" i="33"/>
  <c r="F1006" i="33"/>
  <c r="G1006" i="33"/>
  <c r="G970" i="33"/>
  <c r="F970" i="33"/>
  <c r="F1001" i="33"/>
  <c r="G1001" i="33"/>
  <c r="F979" i="33"/>
  <c r="G979" i="33"/>
  <c r="F969" i="33"/>
  <c r="G969" i="33"/>
  <c r="G939" i="33"/>
  <c r="F939" i="33"/>
  <c r="G910" i="33"/>
  <c r="F910" i="33"/>
  <c r="G992" i="33"/>
  <c r="F992" i="33"/>
  <c r="F967" i="33"/>
  <c r="G967" i="33"/>
  <c r="F966" i="33"/>
  <c r="G966" i="33"/>
  <c r="G946" i="33"/>
  <c r="F946" i="33"/>
  <c r="F993" i="33"/>
  <c r="G993" i="33"/>
  <c r="F984" i="33"/>
  <c r="G984" i="33"/>
  <c r="F947" i="33"/>
  <c r="G947" i="33"/>
  <c r="G921" i="33"/>
  <c r="F921" i="33"/>
  <c r="F980" i="33"/>
  <c r="G980" i="33"/>
  <c r="F945" i="33"/>
  <c r="G945" i="33"/>
  <c r="F932" i="33"/>
  <c r="G932" i="33"/>
  <c r="G900" i="33"/>
  <c r="F900" i="33"/>
  <c r="F872" i="33"/>
  <c r="G872" i="33"/>
  <c r="G856" i="33"/>
  <c r="F856" i="33"/>
  <c r="F808" i="33"/>
  <c r="G808" i="33"/>
  <c r="F953" i="33"/>
  <c r="G953" i="33"/>
  <c r="G919" i="33"/>
  <c r="F919" i="33"/>
  <c r="G877" i="33"/>
  <c r="F877" i="33"/>
  <c r="F837" i="33"/>
  <c r="G837" i="33"/>
  <c r="F813" i="33"/>
  <c r="G813" i="33"/>
  <c r="F783" i="33"/>
  <c r="G783" i="33"/>
  <c r="G780" i="33"/>
  <c r="F780" i="33"/>
  <c r="F755" i="33"/>
  <c r="G755" i="33"/>
  <c r="G700" i="33"/>
  <c r="F700" i="33"/>
  <c r="F891" i="33"/>
  <c r="G891" i="33"/>
  <c r="F870" i="33"/>
  <c r="G870" i="33"/>
  <c r="G852" i="33"/>
  <c r="F852" i="33"/>
  <c r="F826" i="33"/>
  <c r="G826" i="33"/>
  <c r="G801" i="33"/>
  <c r="F801" i="33"/>
  <c r="F937" i="33"/>
  <c r="G937" i="33"/>
  <c r="G916" i="33"/>
  <c r="F916" i="33"/>
  <c r="G884" i="33"/>
  <c r="F884" i="33"/>
  <c r="G858" i="33"/>
  <c r="F858" i="33"/>
  <c r="G797" i="33"/>
  <c r="F797" i="33"/>
  <c r="F769" i="33"/>
  <c r="G769" i="33"/>
  <c r="G760" i="33"/>
  <c r="F760" i="33"/>
  <c r="F735" i="33"/>
  <c r="G735" i="33"/>
  <c r="F721" i="33"/>
  <c r="G721" i="33"/>
  <c r="F710" i="33"/>
  <c r="G710" i="33"/>
  <c r="F686" i="33"/>
  <c r="G686" i="33"/>
  <c r="F890" i="33"/>
  <c r="G890" i="33"/>
  <c r="F878" i="33"/>
  <c r="G878" i="33"/>
  <c r="F840" i="33"/>
  <c r="G840" i="33"/>
  <c r="F802" i="33"/>
  <c r="G802" i="33"/>
  <c r="G786" i="33"/>
  <c r="F786" i="33"/>
  <c r="F922" i="33"/>
  <c r="G922" i="33"/>
  <c r="G903" i="33"/>
  <c r="F903" i="33"/>
  <c r="F868" i="33"/>
  <c r="G868" i="33"/>
  <c r="F821" i="33"/>
  <c r="G821" i="33"/>
  <c r="F779" i="33"/>
  <c r="G779" i="33"/>
  <c r="F744" i="33"/>
  <c r="G744" i="33"/>
  <c r="F704" i="33"/>
  <c r="G704" i="33"/>
  <c r="F683" i="33"/>
  <c r="G683" i="33"/>
  <c r="G876" i="33"/>
  <c r="F876" i="33"/>
  <c r="G845" i="33"/>
  <c r="F845" i="33"/>
  <c r="F803" i="33"/>
  <c r="G803" i="33"/>
  <c r="F956" i="33"/>
  <c r="G956" i="33"/>
  <c r="F918" i="33"/>
  <c r="G918" i="33"/>
  <c r="F843" i="33"/>
  <c r="G843" i="33"/>
  <c r="F815" i="33"/>
  <c r="G815" i="33"/>
  <c r="F793" i="33"/>
  <c r="G793" i="33"/>
  <c r="F961" i="33"/>
  <c r="G961" i="33"/>
  <c r="F773" i="33"/>
  <c r="G773" i="33"/>
  <c r="F729" i="33"/>
  <c r="G729" i="33"/>
  <c r="G703" i="33"/>
  <c r="F703" i="33"/>
  <c r="F766" i="33"/>
  <c r="G766" i="33"/>
  <c r="F740" i="33"/>
  <c r="G740" i="33"/>
  <c r="F707" i="33"/>
  <c r="G707" i="33"/>
  <c r="F669" i="33"/>
  <c r="G669" i="33"/>
  <c r="F660" i="33"/>
  <c r="G660" i="33"/>
  <c r="F609" i="33"/>
  <c r="G609" i="33"/>
  <c r="F587" i="33"/>
  <c r="G587" i="33"/>
  <c r="F682" i="33"/>
  <c r="G682" i="33"/>
  <c r="F714" i="33"/>
  <c r="G714" i="33"/>
  <c r="F674" i="33"/>
  <c r="G674" i="33"/>
  <c r="F658" i="33"/>
  <c r="G658" i="33"/>
  <c r="F628" i="33"/>
  <c r="G628" i="33"/>
  <c r="G603" i="33"/>
  <c r="F603" i="33"/>
  <c r="F568" i="33"/>
  <c r="G568" i="33"/>
  <c r="F749" i="33"/>
  <c r="G749" i="33"/>
  <c r="G736" i="33"/>
  <c r="F736" i="33"/>
  <c r="F701" i="33"/>
  <c r="G701" i="33"/>
  <c r="F667" i="33"/>
  <c r="G667" i="33"/>
  <c r="F646" i="33"/>
  <c r="G646" i="33"/>
  <c r="F623" i="33"/>
  <c r="G623" i="33"/>
  <c r="F607" i="33"/>
  <c r="G607" i="33"/>
  <c r="F576" i="33"/>
  <c r="G576" i="33"/>
  <c r="F745" i="33"/>
  <c r="G745" i="33"/>
  <c r="F671" i="33"/>
  <c r="G671" i="33"/>
  <c r="G663" i="33"/>
  <c r="F663" i="33"/>
  <c r="F645" i="33"/>
  <c r="G645" i="33"/>
  <c r="G605" i="33"/>
  <c r="F605" i="33"/>
  <c r="F586" i="33"/>
  <c r="G586" i="33"/>
  <c r="F656" i="33"/>
  <c r="G656" i="33"/>
  <c r="F640" i="33"/>
  <c r="G640" i="33"/>
  <c r="F610" i="33"/>
  <c r="G610" i="33"/>
  <c r="F571" i="33"/>
  <c r="G571" i="33"/>
  <c r="F555" i="33"/>
  <c r="G555" i="33"/>
  <c r="F538" i="33"/>
  <c r="G538" i="33"/>
  <c r="G516" i="33"/>
  <c r="F516" i="33"/>
  <c r="F500" i="33"/>
  <c r="G500" i="33"/>
  <c r="F486" i="33"/>
  <c r="G486" i="33"/>
  <c r="F653" i="33"/>
  <c r="G653" i="33"/>
  <c r="G622" i="33"/>
  <c r="F622" i="33"/>
  <c r="G577" i="33"/>
  <c r="F577" i="33"/>
  <c r="F552" i="33"/>
  <c r="G552" i="33"/>
  <c r="F542" i="33"/>
  <c r="G542" i="33"/>
  <c r="F477" i="33"/>
  <c r="G477" i="33"/>
  <c r="F637" i="33"/>
  <c r="G637" i="33"/>
  <c r="F575" i="33"/>
  <c r="G575" i="33"/>
  <c r="F547" i="33"/>
  <c r="G547" i="33"/>
  <c r="F503" i="33"/>
  <c r="G503" i="33"/>
  <c r="F478" i="33"/>
  <c r="G478" i="33"/>
  <c r="G537" i="33"/>
  <c r="F537" i="33"/>
  <c r="G629" i="33"/>
  <c r="F629" i="33"/>
  <c r="F591" i="33"/>
  <c r="G591" i="33"/>
  <c r="F543" i="33"/>
  <c r="G543" i="33"/>
  <c r="F524" i="33"/>
  <c r="G524" i="33"/>
  <c r="G495" i="33"/>
  <c r="F495" i="33"/>
  <c r="F464" i="33"/>
  <c r="G464" i="33"/>
  <c r="G522" i="33"/>
  <c r="F522" i="33"/>
  <c r="F521" i="33"/>
  <c r="G521" i="33"/>
  <c r="F456" i="33"/>
  <c r="G456" i="33"/>
  <c r="G408" i="33"/>
  <c r="F408" i="33"/>
  <c r="F365" i="33"/>
  <c r="G365" i="33"/>
  <c r="G518" i="33"/>
  <c r="F518" i="33"/>
  <c r="G499" i="33"/>
  <c r="F499" i="33"/>
  <c r="F475" i="33"/>
  <c r="G475" i="33"/>
  <c r="F463" i="33"/>
  <c r="G463" i="33"/>
  <c r="F430" i="33"/>
  <c r="G430" i="33"/>
  <c r="F418" i="33"/>
  <c r="G418" i="33"/>
  <c r="F379" i="33"/>
  <c r="G379" i="33"/>
  <c r="F509" i="33"/>
  <c r="G509" i="33"/>
  <c r="G473" i="33"/>
  <c r="F473" i="33"/>
  <c r="F454" i="33"/>
  <c r="G454" i="33"/>
  <c r="F423" i="33"/>
  <c r="G423" i="33"/>
  <c r="F412" i="33"/>
  <c r="G412" i="33"/>
  <c r="F393" i="33"/>
  <c r="G393" i="33"/>
  <c r="G372" i="33"/>
  <c r="F372" i="33"/>
  <c r="F539" i="33"/>
  <c r="G539" i="33"/>
  <c r="F450" i="33"/>
  <c r="G450" i="33"/>
  <c r="F448" i="33"/>
  <c r="G448" i="33"/>
  <c r="F394" i="33"/>
  <c r="G394" i="33"/>
  <c r="F373" i="33"/>
  <c r="G373" i="33"/>
  <c r="F445" i="33"/>
  <c r="G445" i="33"/>
  <c r="G417" i="33"/>
  <c r="F417" i="33"/>
  <c r="G355" i="33"/>
  <c r="F355" i="33"/>
  <c r="F310" i="33"/>
  <c r="G310" i="33"/>
  <c r="F327" i="33"/>
  <c r="G327" i="33"/>
  <c r="G419" i="33"/>
  <c r="F419" i="33"/>
  <c r="G392" i="33"/>
  <c r="F392" i="33"/>
  <c r="F431" i="33"/>
  <c r="G431" i="33"/>
  <c r="F346" i="33"/>
  <c r="G346" i="33"/>
  <c r="F329" i="33"/>
  <c r="G329" i="33"/>
  <c r="F335" i="33"/>
  <c r="G335" i="33"/>
  <c r="F443" i="33"/>
  <c r="G443" i="33"/>
  <c r="F396" i="33"/>
  <c r="G396" i="33"/>
  <c r="F370" i="33"/>
  <c r="G370" i="33"/>
  <c r="F359" i="33"/>
  <c r="G359" i="33"/>
  <c r="F341" i="33"/>
  <c r="G341" i="33"/>
  <c r="F330" i="33"/>
  <c r="G330" i="33"/>
  <c r="G447" i="33"/>
  <c r="F447" i="33"/>
  <c r="F390" i="33"/>
  <c r="G390" i="33"/>
  <c r="F376" i="33"/>
  <c r="G376" i="33"/>
  <c r="F339" i="33"/>
  <c r="G339" i="33"/>
  <c r="F308" i="33"/>
  <c r="G308" i="33"/>
  <c r="F318" i="33"/>
  <c r="G318" i="33"/>
  <c r="F280" i="33"/>
  <c r="G280" i="33"/>
  <c r="G268" i="33"/>
  <c r="F268" i="33"/>
  <c r="F298" i="33"/>
  <c r="G298" i="33"/>
  <c r="F286" i="33"/>
  <c r="G286" i="33"/>
  <c r="G240" i="33"/>
  <c r="F240" i="33"/>
  <c r="F290" i="33"/>
  <c r="G290" i="33"/>
  <c r="F263" i="33"/>
  <c r="G263" i="33"/>
  <c r="G253" i="33"/>
  <c r="F253" i="33"/>
  <c r="F316" i="33"/>
  <c r="G316" i="33"/>
  <c r="G309" i="33"/>
  <c r="F309" i="33"/>
  <c r="F266" i="33"/>
  <c r="G266" i="33"/>
  <c r="F267" i="33"/>
  <c r="G267" i="33"/>
  <c r="F297" i="33"/>
  <c r="G297" i="33"/>
  <c r="F281" i="33"/>
  <c r="G281" i="33"/>
  <c r="G258" i="33"/>
  <c r="F258" i="33"/>
  <c r="F246" i="33"/>
  <c r="G246" i="33"/>
  <c r="F230" i="33"/>
  <c r="G230" i="33"/>
  <c r="F249" i="33"/>
  <c r="G249" i="33"/>
  <c r="F226" i="33"/>
  <c r="G226" i="33"/>
  <c r="F205" i="33"/>
  <c r="G205" i="33"/>
  <c r="G244" i="33"/>
  <c r="F244" i="33"/>
  <c r="F219" i="33"/>
  <c r="G219" i="33"/>
  <c r="F222" i="33"/>
  <c r="G222" i="33"/>
  <c r="F256" i="33"/>
  <c r="G256" i="33"/>
  <c r="F233" i="33"/>
  <c r="G233" i="33"/>
  <c r="F234" i="33"/>
  <c r="G234" i="33"/>
  <c r="F204" i="33"/>
  <c r="G204" i="33"/>
  <c r="F159" i="33"/>
  <c r="G159" i="33"/>
  <c r="F148" i="33"/>
  <c r="G148" i="33"/>
  <c r="G178" i="33"/>
  <c r="F178" i="33"/>
  <c r="F161" i="33"/>
  <c r="G161" i="33"/>
  <c r="F196" i="33"/>
  <c r="G196" i="33"/>
  <c r="F184" i="33"/>
  <c r="G184" i="33"/>
  <c r="F164" i="33"/>
  <c r="G164" i="33"/>
  <c r="F180" i="33"/>
  <c r="G180" i="33"/>
  <c r="F158" i="33"/>
  <c r="G158" i="33"/>
  <c r="F198" i="33"/>
  <c r="G198" i="33"/>
  <c r="G176" i="33"/>
  <c r="F176" i="33"/>
  <c r="F188" i="33"/>
  <c r="G188" i="33"/>
  <c r="F150" i="33"/>
  <c r="G150" i="33"/>
  <c r="F143" i="33"/>
  <c r="G143" i="33"/>
  <c r="G138" i="33"/>
  <c r="F138" i="33"/>
  <c r="G137" i="33"/>
  <c r="F137" i="33"/>
  <c r="G130" i="33"/>
  <c r="F130" i="33"/>
  <c r="F140" i="33"/>
  <c r="G140" i="33"/>
  <c r="F152" i="33"/>
  <c r="G152" i="33"/>
  <c r="F122" i="33"/>
  <c r="G122" i="33"/>
  <c r="G119" i="33"/>
  <c r="F119" i="33"/>
  <c r="F104" i="33"/>
  <c r="G104" i="33"/>
  <c r="F110" i="33"/>
  <c r="G110" i="33"/>
  <c r="F112" i="33"/>
  <c r="G112" i="33"/>
  <c r="F115" i="33"/>
  <c r="G115" i="33"/>
  <c r="F109" i="33"/>
  <c r="G109" i="33"/>
  <c r="F79" i="33"/>
  <c r="G79" i="33"/>
  <c r="F88" i="33"/>
  <c r="G88" i="33"/>
  <c r="F98" i="33"/>
  <c r="G98" i="33"/>
  <c r="F86" i="33"/>
  <c r="G86" i="33"/>
  <c r="F92" i="33"/>
  <c r="G92" i="33"/>
  <c r="F77" i="33"/>
  <c r="G77" i="33"/>
  <c r="F74" i="33"/>
  <c r="G74" i="33"/>
  <c r="F61" i="33"/>
  <c r="G61" i="33"/>
  <c r="F69" i="33"/>
  <c r="G69" i="33"/>
  <c r="G49" i="33"/>
  <c r="F49" i="33"/>
  <c r="F36" i="33"/>
  <c r="G36" i="33"/>
  <c r="G39" i="33"/>
  <c r="F39" i="33"/>
  <c r="F53" i="33"/>
  <c r="G53" i="33"/>
  <c r="F44" i="33"/>
  <c r="G44" i="33"/>
  <c r="F46" i="33"/>
  <c r="G46" i="33"/>
  <c r="F37" i="33"/>
  <c r="G37" i="33"/>
  <c r="G29" i="33"/>
  <c r="F29" i="33"/>
  <c r="F28" i="33"/>
  <c r="G28" i="33"/>
  <c r="F22" i="33"/>
  <c r="G22" i="33"/>
  <c r="F23" i="33"/>
  <c r="G23" i="33"/>
  <c r="F12" i="33"/>
  <c r="G12" i="33"/>
  <c r="F24" i="36"/>
  <c r="G24" i="36"/>
  <c r="F36" i="36"/>
  <c r="G36" i="36"/>
  <c r="F44" i="36"/>
  <c r="G44" i="36"/>
  <c r="F68" i="36"/>
  <c r="G68" i="36"/>
  <c r="F71" i="36"/>
  <c r="G71" i="36"/>
  <c r="F92" i="36"/>
  <c r="G92" i="36"/>
  <c r="F101" i="36"/>
  <c r="G101" i="36"/>
  <c r="F140" i="36"/>
  <c r="G140" i="36"/>
  <c r="F144" i="36"/>
  <c r="G144" i="36"/>
  <c r="F152" i="36"/>
  <c r="G152" i="36"/>
  <c r="F171" i="36"/>
  <c r="G171" i="36"/>
  <c r="G179" i="36"/>
  <c r="F179" i="36"/>
  <c r="G229" i="36"/>
  <c r="F229" i="36"/>
  <c r="F231" i="36"/>
  <c r="G231" i="36"/>
  <c r="G216" i="36"/>
  <c r="F216" i="36"/>
  <c r="F295" i="36"/>
  <c r="G295" i="36"/>
  <c r="F302" i="36"/>
  <c r="G302" i="36"/>
  <c r="G287" i="36"/>
  <c r="F287" i="36"/>
  <c r="G282" i="36"/>
  <c r="F282" i="36"/>
  <c r="G383" i="36"/>
  <c r="F383" i="36"/>
  <c r="F350" i="36"/>
  <c r="G350" i="36"/>
  <c r="F440" i="36"/>
  <c r="G440" i="36"/>
  <c r="G359" i="36"/>
  <c r="F359" i="36"/>
  <c r="F362" i="36"/>
  <c r="G362" i="36"/>
  <c r="F401" i="36"/>
  <c r="G401" i="36"/>
  <c r="F520" i="36"/>
  <c r="G520" i="36"/>
  <c r="F436" i="36"/>
  <c r="G436" i="36"/>
  <c r="F368" i="36"/>
  <c r="G368" i="36"/>
  <c r="F451" i="36"/>
  <c r="G451" i="36"/>
  <c r="G411" i="36"/>
  <c r="F411" i="36"/>
  <c r="F493" i="36"/>
  <c r="G493" i="36"/>
  <c r="F533" i="36"/>
  <c r="G533" i="36"/>
  <c r="F624" i="36"/>
  <c r="G624" i="36"/>
  <c r="F545" i="36"/>
  <c r="G545" i="36"/>
  <c r="G480" i="36"/>
  <c r="F480" i="36"/>
  <c r="G568" i="36"/>
  <c r="F568" i="36"/>
  <c r="F477" i="36"/>
  <c r="G477" i="36"/>
  <c r="G592" i="36"/>
  <c r="F592" i="36"/>
  <c r="F704" i="36"/>
  <c r="G704" i="36"/>
  <c r="F634" i="36"/>
  <c r="G634" i="36"/>
  <c r="F670" i="36"/>
  <c r="G670" i="36"/>
  <c r="F665" i="36"/>
  <c r="G665" i="36"/>
  <c r="F610" i="36"/>
  <c r="G610" i="36"/>
  <c r="F684" i="36"/>
  <c r="G684" i="36"/>
  <c r="F716" i="36"/>
  <c r="G716" i="36"/>
  <c r="F800" i="36"/>
  <c r="G800" i="36"/>
  <c r="G925" i="36"/>
  <c r="F925" i="36"/>
  <c r="F843" i="36"/>
  <c r="G843" i="36"/>
  <c r="F731" i="36"/>
  <c r="G731" i="36"/>
  <c r="F875" i="36"/>
  <c r="G875" i="36"/>
  <c r="F819" i="36"/>
  <c r="G819" i="36"/>
  <c r="F691" i="36"/>
  <c r="G691" i="36"/>
  <c r="F770" i="36"/>
  <c r="G770" i="36"/>
  <c r="F789" i="36"/>
  <c r="G789" i="36"/>
  <c r="G893" i="36"/>
  <c r="F893" i="36"/>
  <c r="F806" i="36"/>
  <c r="G806" i="36"/>
  <c r="F940" i="36"/>
  <c r="G940" i="36"/>
  <c r="G846" i="36"/>
  <c r="F846" i="36"/>
  <c r="G986" i="36"/>
  <c r="F986" i="36"/>
  <c r="F984" i="36"/>
  <c r="G984" i="36"/>
  <c r="F974" i="36"/>
  <c r="G974" i="36"/>
  <c r="G1007" i="36"/>
  <c r="F1007" i="36"/>
  <c r="F20" i="36"/>
  <c r="G20" i="36"/>
  <c r="F32" i="36"/>
  <c r="G32" i="36"/>
  <c r="G49" i="36"/>
  <c r="F49" i="36"/>
  <c r="G73" i="36"/>
  <c r="F73" i="36"/>
  <c r="G77" i="36"/>
  <c r="F77" i="36"/>
  <c r="F102" i="36"/>
  <c r="G102" i="36"/>
  <c r="F106" i="36"/>
  <c r="G106" i="36"/>
  <c r="F150" i="36"/>
  <c r="G150" i="36"/>
  <c r="F146" i="36"/>
  <c r="G146" i="36"/>
  <c r="G154" i="36"/>
  <c r="F154" i="36"/>
  <c r="F185" i="36"/>
  <c r="G185" i="36"/>
  <c r="F184" i="36"/>
  <c r="G184" i="36"/>
  <c r="F233" i="36"/>
  <c r="G233" i="36"/>
  <c r="G235" i="36"/>
  <c r="F235" i="36"/>
  <c r="F220" i="36"/>
  <c r="G220" i="36"/>
  <c r="F296" i="36"/>
  <c r="G296" i="36"/>
  <c r="F310" i="36"/>
  <c r="G310" i="36"/>
  <c r="G290" i="36"/>
  <c r="F290" i="36"/>
  <c r="G281" i="36"/>
  <c r="F281" i="36"/>
  <c r="F385" i="36"/>
  <c r="G385" i="36"/>
  <c r="F355" i="36"/>
  <c r="G355" i="36"/>
  <c r="G304" i="36"/>
  <c r="F304" i="36"/>
  <c r="F358" i="36"/>
  <c r="G358" i="36"/>
  <c r="F317" i="36"/>
  <c r="G317" i="36"/>
  <c r="F406" i="36"/>
  <c r="G406" i="36"/>
  <c r="F528" i="36"/>
  <c r="G528" i="36"/>
  <c r="F438" i="36"/>
  <c r="G438" i="36"/>
  <c r="G376" i="36"/>
  <c r="F376" i="36"/>
  <c r="F462" i="36"/>
  <c r="G462" i="36"/>
  <c r="F410" i="36"/>
  <c r="G410" i="36"/>
  <c r="G498" i="36"/>
  <c r="F498" i="36"/>
  <c r="F537" i="36"/>
  <c r="G537" i="36"/>
  <c r="G630" i="36"/>
  <c r="F630" i="36"/>
  <c r="F547" i="36"/>
  <c r="G547" i="36"/>
  <c r="F492" i="36"/>
  <c r="G492" i="36"/>
  <c r="G570" i="36"/>
  <c r="F570" i="36"/>
  <c r="F514" i="36"/>
  <c r="G514" i="36"/>
  <c r="F596" i="36"/>
  <c r="G596" i="36"/>
  <c r="G712" i="36"/>
  <c r="F712" i="36"/>
  <c r="F636" i="36"/>
  <c r="G636" i="36"/>
  <c r="G658" i="36"/>
  <c r="F658" i="36"/>
  <c r="F676" i="36"/>
  <c r="G676" i="36"/>
  <c r="F611" i="36"/>
  <c r="G611" i="36"/>
  <c r="F689" i="36"/>
  <c r="G689" i="36"/>
  <c r="G730" i="36"/>
  <c r="F730" i="36"/>
  <c r="F803" i="36"/>
  <c r="G803" i="36"/>
  <c r="F928" i="36"/>
  <c r="G928" i="36"/>
  <c r="F844" i="36"/>
  <c r="G844" i="36"/>
  <c r="F740" i="36"/>
  <c r="G740" i="36"/>
  <c r="F876" i="36"/>
  <c r="G876" i="36"/>
  <c r="F821" i="36"/>
  <c r="G821" i="36"/>
  <c r="F699" i="36"/>
  <c r="G699" i="36"/>
  <c r="F793" i="36"/>
  <c r="G793" i="36"/>
  <c r="F798" i="36"/>
  <c r="G798" i="36"/>
  <c r="G891" i="36"/>
  <c r="F891" i="36"/>
  <c r="G808" i="36"/>
  <c r="F808" i="36"/>
  <c r="F946" i="36"/>
  <c r="G946" i="36"/>
  <c r="F848" i="36"/>
  <c r="G848" i="36"/>
  <c r="F973" i="36"/>
  <c r="G973" i="36"/>
  <c r="F985" i="36"/>
  <c r="G985" i="36"/>
  <c r="F966" i="36"/>
  <c r="G966" i="36"/>
  <c r="H8" i="36"/>
  <c r="C9" i="36"/>
  <c r="G970" i="36"/>
  <c r="F970" i="36"/>
  <c r="F998" i="35"/>
  <c r="G998" i="35"/>
  <c r="F1000" i="35"/>
  <c r="G1000" i="35"/>
  <c r="F964" i="35"/>
  <c r="G964" i="35"/>
  <c r="F999" i="35"/>
  <c r="G999" i="35"/>
  <c r="F1004" i="35"/>
  <c r="G1004" i="35"/>
  <c r="G955" i="35"/>
  <c r="F955" i="35"/>
  <c r="F928" i="35"/>
  <c r="G928" i="35"/>
  <c r="F979" i="35"/>
  <c r="G979" i="35"/>
  <c r="G957" i="35"/>
  <c r="F957" i="35"/>
  <c r="F924" i="35"/>
  <c r="G924" i="35"/>
  <c r="G993" i="35"/>
  <c r="F993" i="35"/>
  <c r="F974" i="35"/>
  <c r="G974" i="35"/>
  <c r="F965" i="35"/>
  <c r="G965" i="35"/>
  <c r="F949" i="35"/>
  <c r="G949" i="35"/>
  <c r="F933" i="35"/>
  <c r="G933" i="35"/>
  <c r="F990" i="35"/>
  <c r="G990" i="35"/>
  <c r="F967" i="35"/>
  <c r="G967" i="35"/>
  <c r="G962" i="35"/>
  <c r="F962" i="35"/>
  <c r="F917" i="35"/>
  <c r="G917" i="35"/>
  <c r="F901" i="35"/>
  <c r="G901" i="35"/>
  <c r="G870" i="35"/>
  <c r="F870" i="35"/>
  <c r="G836" i="35"/>
  <c r="F836" i="35"/>
  <c r="F814" i="35"/>
  <c r="G814" i="35"/>
  <c r="F797" i="35"/>
  <c r="G797" i="35"/>
  <c r="G950" i="35"/>
  <c r="F950" i="35"/>
  <c r="G906" i="35"/>
  <c r="F906" i="35"/>
  <c r="G883" i="35"/>
  <c r="F883" i="35"/>
  <c r="G833" i="35"/>
  <c r="F833" i="35"/>
  <c r="G775" i="35"/>
  <c r="F775" i="35"/>
  <c r="F754" i="35"/>
  <c r="G754" i="35"/>
  <c r="F734" i="35"/>
  <c r="G734" i="35"/>
  <c r="G686" i="35"/>
  <c r="F686" i="35"/>
  <c r="F881" i="35"/>
  <c r="G881" i="35"/>
  <c r="G867" i="35"/>
  <c r="F867" i="35"/>
  <c r="F844" i="35"/>
  <c r="G844" i="35"/>
  <c r="F811" i="35"/>
  <c r="G811" i="35"/>
  <c r="G798" i="35"/>
  <c r="F798" i="35"/>
  <c r="F951" i="35"/>
  <c r="G951" i="35"/>
  <c r="G902" i="35"/>
  <c r="F902" i="35"/>
  <c r="F879" i="35"/>
  <c r="G879" i="35"/>
  <c r="F837" i="35"/>
  <c r="G837" i="35"/>
  <c r="F804" i="35"/>
  <c r="G804" i="35"/>
  <c r="F784" i="35"/>
  <c r="G784" i="35"/>
  <c r="F769" i="35"/>
  <c r="G769" i="35"/>
  <c r="F736" i="35"/>
  <c r="G736" i="35"/>
  <c r="G714" i="35"/>
  <c r="F714" i="35"/>
  <c r="F892" i="35"/>
  <c r="G892" i="35"/>
  <c r="F829" i="35"/>
  <c r="G829" i="35"/>
  <c r="F790" i="35"/>
  <c r="G790" i="35"/>
  <c r="F937" i="35"/>
  <c r="G937" i="35"/>
  <c r="G913" i="35"/>
  <c r="F913" i="35"/>
  <c r="F860" i="35"/>
  <c r="G860" i="35"/>
  <c r="F831" i="35"/>
  <c r="G831" i="35"/>
  <c r="F801" i="35"/>
  <c r="G801" i="35"/>
  <c r="F778" i="35"/>
  <c r="G778" i="35"/>
  <c r="F761" i="35"/>
  <c r="G761" i="35"/>
  <c r="F750" i="35"/>
  <c r="G750" i="35"/>
  <c r="F722" i="35"/>
  <c r="G722" i="35"/>
  <c r="G696" i="35"/>
  <c r="F696" i="35"/>
  <c r="F899" i="35"/>
  <c r="G899" i="35"/>
  <c r="F873" i="35"/>
  <c r="G873" i="35"/>
  <c r="G834" i="35"/>
  <c r="F834" i="35"/>
  <c r="F948" i="35"/>
  <c r="G948" i="35"/>
  <c r="F929" i="35"/>
  <c r="G929" i="35"/>
  <c r="F909" i="35"/>
  <c r="G909" i="35"/>
  <c r="F878" i="35"/>
  <c r="G878" i="35"/>
  <c r="F848" i="35"/>
  <c r="G848" i="35"/>
  <c r="F827" i="35"/>
  <c r="G827" i="35"/>
  <c r="F803" i="35"/>
  <c r="G803" i="35"/>
  <c r="F779" i="35"/>
  <c r="G779" i="35"/>
  <c r="F753" i="35"/>
  <c r="G753" i="35"/>
  <c r="G720" i="35"/>
  <c r="F720" i="35"/>
  <c r="G728" i="35"/>
  <c r="F728" i="35"/>
  <c r="F712" i="35"/>
  <c r="G712" i="35"/>
  <c r="F673" i="35"/>
  <c r="G673" i="35"/>
  <c r="F657" i="35"/>
  <c r="G657" i="35"/>
  <c r="F627" i="35"/>
  <c r="G627" i="35"/>
  <c r="F611" i="35"/>
  <c r="G611" i="35"/>
  <c r="F598" i="35"/>
  <c r="G598" i="35"/>
  <c r="F573" i="35"/>
  <c r="G573" i="35"/>
  <c r="G729" i="35"/>
  <c r="F729" i="35"/>
  <c r="F698" i="35"/>
  <c r="G698" i="35"/>
  <c r="G674" i="35"/>
  <c r="F674" i="35"/>
  <c r="F669" i="35"/>
  <c r="G669" i="35"/>
  <c r="F656" i="35"/>
  <c r="G656" i="35"/>
  <c r="G629" i="35"/>
  <c r="F629" i="35"/>
  <c r="G608" i="35"/>
  <c r="F608" i="35"/>
  <c r="F575" i="35"/>
  <c r="G575" i="35"/>
  <c r="F731" i="35"/>
  <c r="G731" i="35"/>
  <c r="F704" i="35"/>
  <c r="G704" i="35"/>
  <c r="F680" i="35"/>
  <c r="G680" i="35"/>
  <c r="F623" i="35"/>
  <c r="G623" i="35"/>
  <c r="G748" i="35"/>
  <c r="F748" i="35"/>
  <c r="F723" i="35"/>
  <c r="G723" i="35"/>
  <c r="F690" i="35"/>
  <c r="G690" i="35"/>
  <c r="F701" i="35"/>
  <c r="G701" i="35"/>
  <c r="F662" i="35"/>
  <c r="G662" i="35"/>
  <c r="F644" i="35"/>
  <c r="G644" i="35"/>
  <c r="F625" i="35"/>
  <c r="G625" i="35"/>
  <c r="F597" i="35"/>
  <c r="G597" i="35"/>
  <c r="F583" i="35"/>
  <c r="G583" i="35"/>
  <c r="F570" i="35"/>
  <c r="G570" i="35"/>
  <c r="F638" i="35"/>
  <c r="G638" i="35"/>
  <c r="F622" i="35"/>
  <c r="G622" i="35"/>
  <c r="F596" i="35"/>
  <c r="G596" i="35"/>
  <c r="G564" i="35"/>
  <c r="F564" i="35"/>
  <c r="F491" i="35"/>
  <c r="G491" i="35"/>
  <c r="G551" i="35"/>
  <c r="F551" i="35"/>
  <c r="F654" i="35"/>
  <c r="G654" i="35"/>
  <c r="G609" i="35"/>
  <c r="F609" i="35"/>
  <c r="F555" i="35"/>
  <c r="G555" i="35"/>
  <c r="G528" i="35"/>
  <c r="F528" i="35"/>
  <c r="F496" i="35"/>
  <c r="G496" i="35"/>
  <c r="F472" i="35"/>
  <c r="G472" i="35"/>
  <c r="F655" i="35"/>
  <c r="G655" i="35"/>
  <c r="G591" i="35"/>
  <c r="F591" i="35"/>
  <c r="F563" i="35"/>
  <c r="G563" i="35"/>
  <c r="F539" i="35"/>
  <c r="G539" i="35"/>
  <c r="F509" i="35"/>
  <c r="G509" i="35"/>
  <c r="G487" i="35"/>
  <c r="F487" i="35"/>
  <c r="G468" i="35"/>
  <c r="F468" i="35"/>
  <c r="F618" i="35"/>
  <c r="G618" i="35"/>
  <c r="G579" i="35"/>
  <c r="F579" i="35"/>
  <c r="F556" i="35"/>
  <c r="G556" i="35"/>
  <c r="G524" i="35"/>
  <c r="F524" i="35"/>
  <c r="G500" i="35"/>
  <c r="F500" i="35"/>
  <c r="G470" i="35"/>
  <c r="F470" i="35"/>
  <c r="G498" i="35"/>
  <c r="F498" i="35"/>
  <c r="F458" i="35"/>
  <c r="G458" i="35"/>
  <c r="G428" i="35"/>
  <c r="F428" i="35"/>
  <c r="F390" i="35"/>
  <c r="G390" i="35"/>
  <c r="F552" i="35"/>
  <c r="G552" i="35"/>
  <c r="F533" i="35"/>
  <c r="G533" i="35"/>
  <c r="G513" i="35"/>
  <c r="F513" i="35"/>
  <c r="G462" i="35"/>
  <c r="F462" i="35"/>
  <c r="F420" i="35"/>
  <c r="G420" i="35"/>
  <c r="F398" i="35"/>
  <c r="G398" i="35"/>
  <c r="F531" i="35"/>
  <c r="G531" i="35"/>
  <c r="F485" i="35"/>
  <c r="G485" i="35"/>
  <c r="F463" i="35"/>
  <c r="G463" i="35"/>
  <c r="G446" i="35"/>
  <c r="F446" i="35"/>
  <c r="G411" i="35"/>
  <c r="F411" i="35"/>
  <c r="G389" i="35"/>
  <c r="F389" i="35"/>
  <c r="G542" i="35"/>
  <c r="F542" i="35"/>
  <c r="F527" i="35"/>
  <c r="G527" i="35"/>
  <c r="G459" i="35"/>
  <c r="F459" i="35"/>
  <c r="F441" i="35"/>
  <c r="G441" i="35"/>
  <c r="F431" i="35"/>
  <c r="G431" i="35"/>
  <c r="F406" i="35"/>
  <c r="G406" i="35"/>
  <c r="G391" i="35"/>
  <c r="F391" i="35"/>
  <c r="F365" i="35"/>
  <c r="G365" i="35"/>
  <c r="F454" i="35"/>
  <c r="G454" i="35"/>
  <c r="G432" i="35"/>
  <c r="F432" i="35"/>
  <c r="F387" i="35"/>
  <c r="G387" i="35"/>
  <c r="F355" i="35"/>
  <c r="G355" i="35"/>
  <c r="G338" i="35"/>
  <c r="F338" i="35"/>
  <c r="F301" i="35"/>
  <c r="G301" i="35"/>
  <c r="G336" i="35"/>
  <c r="F336" i="35"/>
  <c r="G304" i="35"/>
  <c r="F304" i="35"/>
  <c r="G404" i="35"/>
  <c r="F404" i="35"/>
  <c r="G367" i="35"/>
  <c r="F367" i="35"/>
  <c r="G350" i="35"/>
  <c r="F350" i="35"/>
  <c r="F333" i="35"/>
  <c r="G333" i="35"/>
  <c r="F310" i="35"/>
  <c r="G310" i="35"/>
  <c r="F416" i="35"/>
  <c r="G416" i="35"/>
  <c r="G379" i="35"/>
  <c r="F379" i="35"/>
  <c r="F353" i="35"/>
  <c r="G353" i="35"/>
  <c r="F327" i="35"/>
  <c r="G327" i="35"/>
  <c r="F349" i="35"/>
  <c r="G349" i="35"/>
  <c r="F440" i="35"/>
  <c r="G440" i="35"/>
  <c r="G414" i="35"/>
  <c r="F414" i="35"/>
  <c r="G388" i="35"/>
  <c r="F388" i="35"/>
  <c r="F369" i="35"/>
  <c r="G369" i="35"/>
  <c r="F326" i="35"/>
  <c r="G326" i="35"/>
  <c r="G309" i="35"/>
  <c r="F309" i="35"/>
  <c r="F278" i="35"/>
  <c r="G278" i="35"/>
  <c r="F251" i="35"/>
  <c r="G251" i="35"/>
  <c r="G275" i="35"/>
  <c r="F275" i="35"/>
  <c r="F249" i="35"/>
  <c r="G249" i="35"/>
  <c r="F293" i="35"/>
  <c r="G293" i="35"/>
  <c r="F274" i="35"/>
  <c r="G274" i="35"/>
  <c r="F266" i="35"/>
  <c r="G266" i="35"/>
  <c r="F320" i="35"/>
  <c r="G320" i="35"/>
  <c r="F287" i="35"/>
  <c r="G287" i="35"/>
  <c r="G256" i="35"/>
  <c r="F256" i="35"/>
  <c r="F263" i="35"/>
  <c r="G263" i="35"/>
  <c r="G306" i="35"/>
  <c r="F306" i="35"/>
  <c r="G258" i="35"/>
  <c r="F258" i="35"/>
  <c r="F291" i="35"/>
  <c r="G291" i="35"/>
  <c r="F259" i="35"/>
  <c r="G259" i="35"/>
  <c r="F243" i="35"/>
  <c r="G243" i="35"/>
  <c r="G232" i="35"/>
  <c r="F232" i="35"/>
  <c r="G206" i="35"/>
  <c r="F206" i="35"/>
  <c r="G241" i="35"/>
  <c r="F241" i="35"/>
  <c r="F213" i="35"/>
  <c r="G213" i="35"/>
  <c r="F225" i="35"/>
  <c r="G225" i="35"/>
  <c r="F228" i="35"/>
  <c r="G228" i="35"/>
  <c r="F221" i="35"/>
  <c r="G221" i="35"/>
  <c r="F209" i="35"/>
  <c r="G209" i="35"/>
  <c r="F230" i="35"/>
  <c r="G230" i="35"/>
  <c r="F207" i="35"/>
  <c r="G207" i="35"/>
  <c r="F231" i="35"/>
  <c r="G231" i="35"/>
  <c r="F193" i="35"/>
  <c r="G193" i="35"/>
  <c r="G158" i="35"/>
  <c r="F158" i="35"/>
  <c r="G163" i="35"/>
  <c r="F163" i="35"/>
  <c r="G171" i="35"/>
  <c r="F171" i="35"/>
  <c r="F151" i="35"/>
  <c r="G151" i="35"/>
  <c r="F182" i="35"/>
  <c r="G182" i="35"/>
  <c r="F196" i="35"/>
  <c r="G196" i="35"/>
  <c r="F172" i="35"/>
  <c r="G172" i="35"/>
  <c r="F192" i="35"/>
  <c r="G192" i="35"/>
  <c r="G165" i="35"/>
  <c r="F165" i="35"/>
  <c r="G164" i="35"/>
  <c r="F164" i="35"/>
  <c r="F195" i="35"/>
  <c r="G195" i="35"/>
  <c r="F175" i="35"/>
  <c r="G175" i="35"/>
  <c r="G126" i="35"/>
  <c r="F126" i="35"/>
  <c r="F137" i="35"/>
  <c r="G137" i="35"/>
  <c r="F141" i="35"/>
  <c r="G141" i="35"/>
  <c r="F130" i="35"/>
  <c r="G130" i="35"/>
  <c r="F133" i="35"/>
  <c r="G133" i="35"/>
  <c r="G112" i="35"/>
  <c r="F112" i="35"/>
  <c r="F125" i="35"/>
  <c r="G125" i="35"/>
  <c r="F109" i="35"/>
  <c r="G109" i="35"/>
  <c r="G115" i="35"/>
  <c r="F115" i="35"/>
  <c r="G118" i="35"/>
  <c r="F118" i="35"/>
  <c r="F105" i="35"/>
  <c r="G105" i="35"/>
  <c r="F113" i="35"/>
  <c r="G113" i="35"/>
  <c r="G96" i="35"/>
  <c r="F96" i="35"/>
  <c r="F87" i="35"/>
  <c r="G87" i="35"/>
  <c r="F79" i="35"/>
  <c r="G79" i="35"/>
  <c r="F81" i="35"/>
  <c r="G81" i="35"/>
  <c r="G85" i="35"/>
  <c r="F85" i="35"/>
  <c r="F80" i="35"/>
  <c r="G80" i="35"/>
  <c r="G82" i="35"/>
  <c r="F82" i="35"/>
  <c r="F68" i="35"/>
  <c r="G68" i="35"/>
  <c r="F57" i="35"/>
  <c r="G57" i="35"/>
  <c r="F62" i="35"/>
  <c r="G62" i="35"/>
  <c r="F54" i="35"/>
  <c r="G54" i="35"/>
  <c r="F39" i="35"/>
  <c r="G39" i="35"/>
  <c r="F71" i="35"/>
  <c r="G71" i="35"/>
  <c r="F55" i="35"/>
  <c r="G55" i="35"/>
  <c r="F51" i="35"/>
  <c r="G51" i="35"/>
  <c r="F38" i="35"/>
  <c r="G38" i="35"/>
  <c r="G33" i="35"/>
  <c r="F33" i="35"/>
  <c r="G27" i="35"/>
  <c r="F27" i="35"/>
  <c r="F30" i="35"/>
  <c r="G30" i="35"/>
  <c r="G22" i="35"/>
  <c r="F22" i="35"/>
  <c r="F21" i="35"/>
  <c r="G21" i="35"/>
  <c r="F18" i="35"/>
  <c r="G18" i="35"/>
  <c r="F997" i="34"/>
  <c r="G997" i="34"/>
  <c r="G981" i="34"/>
  <c r="F981" i="34"/>
  <c r="F1001" i="34"/>
  <c r="G1001" i="34"/>
  <c r="F1003" i="34"/>
  <c r="G1003" i="34"/>
  <c r="F986" i="34"/>
  <c r="G986" i="34"/>
  <c r="G980" i="34"/>
  <c r="F980" i="34"/>
  <c r="F928" i="34"/>
  <c r="G928" i="34"/>
  <c r="G994" i="34"/>
  <c r="F994" i="34"/>
  <c r="F965" i="34"/>
  <c r="G965" i="34"/>
  <c r="F950" i="34"/>
  <c r="G950" i="34"/>
  <c r="F929" i="34"/>
  <c r="G929" i="34"/>
  <c r="G987" i="34"/>
  <c r="F987" i="34"/>
  <c r="F966" i="34"/>
  <c r="G966" i="34"/>
  <c r="F930" i="34"/>
  <c r="G930" i="34"/>
  <c r="F921" i="34"/>
  <c r="G921" i="34"/>
  <c r="F991" i="34"/>
  <c r="G991" i="34"/>
  <c r="F977" i="34"/>
  <c r="G977" i="34"/>
  <c r="F971" i="34"/>
  <c r="G971" i="34"/>
  <c r="F962" i="34"/>
  <c r="G962" i="34"/>
  <c r="F931" i="34"/>
  <c r="G931" i="34"/>
  <c r="G893" i="34"/>
  <c r="F893" i="34"/>
  <c r="F857" i="34"/>
  <c r="G857" i="34"/>
  <c r="G816" i="34"/>
  <c r="F816" i="34"/>
  <c r="G799" i="34"/>
  <c r="F799" i="34"/>
  <c r="F938" i="34"/>
  <c r="G938" i="34"/>
  <c r="F898" i="34"/>
  <c r="G898" i="34"/>
  <c r="G869" i="34"/>
  <c r="F869" i="34"/>
  <c r="F834" i="34"/>
  <c r="G834" i="34"/>
  <c r="G790" i="34"/>
  <c r="F790" i="34"/>
  <c r="F774" i="34"/>
  <c r="G774" i="34"/>
  <c r="G761" i="34"/>
  <c r="F761" i="34"/>
  <c r="F735" i="34"/>
  <c r="G735" i="34"/>
  <c r="F719" i="34"/>
  <c r="G719" i="34"/>
  <c r="F692" i="34"/>
  <c r="G692" i="34"/>
  <c r="G885" i="34"/>
  <c r="F885" i="34"/>
  <c r="G839" i="34"/>
  <c r="F839" i="34"/>
  <c r="F829" i="34"/>
  <c r="G829" i="34"/>
  <c r="F819" i="34"/>
  <c r="G819" i="34"/>
  <c r="G959" i="34"/>
  <c r="F959" i="34"/>
  <c r="G897" i="34"/>
  <c r="F897" i="34"/>
  <c r="G854" i="34"/>
  <c r="F854" i="34"/>
  <c r="G836" i="34"/>
  <c r="F836" i="34"/>
  <c r="G782" i="34"/>
  <c r="F782" i="34"/>
  <c r="F732" i="34"/>
  <c r="G732" i="34"/>
  <c r="G701" i="34"/>
  <c r="F701" i="34"/>
  <c r="F767" i="34"/>
  <c r="G767" i="34"/>
  <c r="F891" i="34"/>
  <c r="G891" i="34"/>
  <c r="F856" i="34"/>
  <c r="G856" i="34"/>
  <c r="F837" i="34"/>
  <c r="G837" i="34"/>
  <c r="F783" i="34"/>
  <c r="G783" i="34"/>
  <c r="F927" i="34"/>
  <c r="G927" i="34"/>
  <c r="F902" i="34"/>
  <c r="G902" i="34"/>
  <c r="F878" i="34"/>
  <c r="G878" i="34"/>
  <c r="F851" i="34"/>
  <c r="G851" i="34"/>
  <c r="G817" i="34"/>
  <c r="F817" i="34"/>
  <c r="F793" i="34"/>
  <c r="G793" i="34"/>
  <c r="F770" i="34"/>
  <c r="G770" i="34"/>
  <c r="F749" i="34"/>
  <c r="G749" i="34"/>
  <c r="F733" i="34"/>
  <c r="G733" i="34"/>
  <c r="F713" i="34"/>
  <c r="G713" i="34"/>
  <c r="F888" i="34"/>
  <c r="G888" i="34"/>
  <c r="G859" i="34"/>
  <c r="F859" i="34"/>
  <c r="F814" i="34"/>
  <c r="G814" i="34"/>
  <c r="G801" i="34"/>
  <c r="F801" i="34"/>
  <c r="F786" i="34"/>
  <c r="G786" i="34"/>
  <c r="F949" i="34"/>
  <c r="G949" i="34"/>
  <c r="F942" i="34"/>
  <c r="G942" i="34"/>
  <c r="F870" i="34"/>
  <c r="G870" i="34"/>
  <c r="G847" i="34"/>
  <c r="F847" i="34"/>
  <c r="F796" i="34"/>
  <c r="G796" i="34"/>
  <c r="G750" i="34"/>
  <c r="F750" i="34"/>
  <c r="F696" i="34"/>
  <c r="G696" i="34"/>
  <c r="F752" i="34"/>
  <c r="G752" i="34"/>
  <c r="G700" i="34"/>
  <c r="F700" i="34"/>
  <c r="G674" i="34"/>
  <c r="F674" i="34"/>
  <c r="F628" i="34"/>
  <c r="G628" i="34"/>
  <c r="F601" i="34"/>
  <c r="G601" i="34"/>
  <c r="F577" i="34"/>
  <c r="G577" i="34"/>
  <c r="F657" i="34"/>
  <c r="G657" i="34"/>
  <c r="F740" i="34"/>
  <c r="G740" i="34"/>
  <c r="G699" i="34"/>
  <c r="F699" i="34"/>
  <c r="F677" i="34"/>
  <c r="G677" i="34"/>
  <c r="F656" i="34"/>
  <c r="G656" i="34"/>
  <c r="F635" i="34"/>
  <c r="G635" i="34"/>
  <c r="G619" i="34"/>
  <c r="F619" i="34"/>
  <c r="F578" i="34"/>
  <c r="G578" i="34"/>
  <c r="F760" i="34"/>
  <c r="G760" i="34"/>
  <c r="G734" i="34"/>
  <c r="F734" i="34"/>
  <c r="F703" i="34"/>
  <c r="G703" i="34"/>
  <c r="F673" i="34"/>
  <c r="G673" i="34"/>
  <c r="F664" i="34"/>
  <c r="G664" i="34"/>
  <c r="F643" i="34"/>
  <c r="G643" i="34"/>
  <c r="F633" i="34"/>
  <c r="G633" i="34"/>
  <c r="F614" i="34"/>
  <c r="G614" i="34"/>
  <c r="F586" i="34"/>
  <c r="G586" i="34"/>
  <c r="F748" i="34"/>
  <c r="G748" i="34"/>
  <c r="F712" i="34"/>
  <c r="G712" i="34"/>
  <c r="F683" i="34"/>
  <c r="G683" i="34"/>
  <c r="F672" i="34"/>
  <c r="G672" i="34"/>
  <c r="F616" i="34"/>
  <c r="G616" i="34"/>
  <c r="F602" i="34"/>
  <c r="G602" i="34"/>
  <c r="F584" i="34"/>
  <c r="G584" i="34"/>
  <c r="F650" i="34"/>
  <c r="G650" i="34"/>
  <c r="F610" i="34"/>
  <c r="G610" i="34"/>
  <c r="F528" i="34"/>
  <c r="G528" i="34"/>
  <c r="F501" i="34"/>
  <c r="G501" i="34"/>
  <c r="F488" i="34"/>
  <c r="G488" i="34"/>
  <c r="G548" i="34"/>
  <c r="F548" i="34"/>
  <c r="F636" i="34"/>
  <c r="G636" i="34"/>
  <c r="G580" i="34"/>
  <c r="F580" i="34"/>
  <c r="F543" i="34"/>
  <c r="G543" i="34"/>
  <c r="G523" i="34"/>
  <c r="F523" i="34"/>
  <c r="F506" i="34"/>
  <c r="G506" i="34"/>
  <c r="F474" i="34"/>
  <c r="G474" i="34"/>
  <c r="F627" i="34"/>
  <c r="G627" i="34"/>
  <c r="F597" i="34"/>
  <c r="G597" i="34"/>
  <c r="F569" i="34"/>
  <c r="G569" i="34"/>
  <c r="G549" i="34"/>
  <c r="F549" i="34"/>
  <c r="F533" i="34"/>
  <c r="G533" i="34"/>
  <c r="F511" i="34"/>
  <c r="G511" i="34"/>
  <c r="F484" i="34"/>
  <c r="G484" i="34"/>
  <c r="F629" i="34"/>
  <c r="G629" i="34"/>
  <c r="F594" i="34"/>
  <c r="G594" i="34"/>
  <c r="G572" i="34"/>
  <c r="F572" i="34"/>
  <c r="F553" i="34"/>
  <c r="G553" i="34"/>
  <c r="F540" i="34"/>
  <c r="G540" i="34"/>
  <c r="F515" i="34"/>
  <c r="G515" i="34"/>
  <c r="F489" i="34"/>
  <c r="G489" i="34"/>
  <c r="F519" i="34"/>
  <c r="G519" i="34"/>
  <c r="F487" i="34"/>
  <c r="G487" i="34"/>
  <c r="G466" i="34"/>
  <c r="F466" i="34"/>
  <c r="F448" i="34"/>
  <c r="G448" i="34"/>
  <c r="F411" i="34"/>
  <c r="G411" i="34"/>
  <c r="F387" i="34"/>
  <c r="G387" i="34"/>
  <c r="F360" i="34"/>
  <c r="G360" i="34"/>
  <c r="G525" i="34"/>
  <c r="F525" i="34"/>
  <c r="F479" i="34"/>
  <c r="G479" i="34"/>
  <c r="G409" i="34"/>
  <c r="F409" i="34"/>
  <c r="F392" i="34"/>
  <c r="G392" i="34"/>
  <c r="F530" i="34"/>
  <c r="G530" i="34"/>
  <c r="F496" i="34"/>
  <c r="G496" i="34"/>
  <c r="F454" i="34"/>
  <c r="G454" i="34"/>
  <c r="F441" i="34"/>
  <c r="G441" i="34"/>
  <c r="F398" i="34"/>
  <c r="G398" i="34"/>
  <c r="G390" i="34"/>
  <c r="F390" i="34"/>
  <c r="F463" i="34"/>
  <c r="G463" i="34"/>
  <c r="F497" i="34"/>
  <c r="G497" i="34"/>
  <c r="G469" i="34"/>
  <c r="F469" i="34"/>
  <c r="F445" i="34"/>
  <c r="G445" i="34"/>
  <c r="F418" i="34"/>
  <c r="G418" i="34"/>
  <c r="F381" i="34"/>
  <c r="G381" i="34"/>
  <c r="F447" i="34"/>
  <c r="G447" i="34"/>
  <c r="F423" i="34"/>
  <c r="G423" i="34"/>
  <c r="G407" i="34"/>
  <c r="F407" i="34"/>
  <c r="F385" i="34"/>
  <c r="G385" i="34"/>
  <c r="F328" i="34"/>
  <c r="G328" i="34"/>
  <c r="F298" i="34"/>
  <c r="G298" i="34"/>
  <c r="G384" i="34"/>
  <c r="F384" i="34"/>
  <c r="G346" i="34"/>
  <c r="F346" i="34"/>
  <c r="G324" i="34"/>
  <c r="F324" i="34"/>
  <c r="G318" i="34"/>
  <c r="F318" i="34"/>
  <c r="G353" i="34"/>
  <c r="F353" i="34"/>
  <c r="G342" i="34"/>
  <c r="F342" i="34"/>
  <c r="F413" i="34"/>
  <c r="G413" i="34"/>
  <c r="G379" i="34"/>
  <c r="F379" i="34"/>
  <c r="G372" i="34"/>
  <c r="F372" i="34"/>
  <c r="F350" i="34"/>
  <c r="G350" i="34"/>
  <c r="F363" i="34"/>
  <c r="G363" i="34"/>
  <c r="F331" i="34"/>
  <c r="G331" i="34"/>
  <c r="F437" i="34"/>
  <c r="G437" i="34"/>
  <c r="F429" i="34"/>
  <c r="G429" i="34"/>
  <c r="G373" i="34"/>
  <c r="F373" i="34"/>
  <c r="F352" i="34"/>
  <c r="G352" i="34"/>
  <c r="F312" i="34"/>
  <c r="G312" i="34"/>
  <c r="F345" i="34"/>
  <c r="G345" i="34"/>
  <c r="F306" i="34"/>
  <c r="G306" i="34"/>
  <c r="F265" i="34"/>
  <c r="G265" i="34"/>
  <c r="F256" i="34"/>
  <c r="G256" i="34"/>
  <c r="F295" i="34"/>
  <c r="G295" i="34"/>
  <c r="F266" i="34"/>
  <c r="G266" i="34"/>
  <c r="F254" i="34"/>
  <c r="G254" i="34"/>
  <c r="F287" i="34"/>
  <c r="G287" i="34"/>
  <c r="F263" i="34"/>
  <c r="G263" i="34"/>
  <c r="F302" i="34"/>
  <c r="G302" i="34"/>
  <c r="F285" i="34"/>
  <c r="G285" i="34"/>
  <c r="F260" i="34"/>
  <c r="G260" i="34"/>
  <c r="F278" i="34"/>
  <c r="G278" i="34"/>
  <c r="F303" i="34"/>
  <c r="G303" i="34"/>
  <c r="F291" i="34"/>
  <c r="G291" i="34"/>
  <c r="F271" i="34"/>
  <c r="G271" i="34"/>
  <c r="F279" i="34"/>
  <c r="G279" i="34"/>
  <c r="F235" i="34"/>
  <c r="G235" i="34"/>
  <c r="F211" i="34"/>
  <c r="G211" i="34"/>
  <c r="F199" i="34"/>
  <c r="G199" i="34"/>
  <c r="G221" i="34"/>
  <c r="F221" i="34"/>
  <c r="F204" i="34"/>
  <c r="G204" i="34"/>
  <c r="F223" i="34"/>
  <c r="G223" i="34"/>
  <c r="F233" i="34"/>
  <c r="G233" i="34"/>
  <c r="F222" i="34"/>
  <c r="G222" i="34"/>
  <c r="F220" i="34"/>
  <c r="G220" i="34"/>
  <c r="F245" i="34"/>
  <c r="G245" i="34"/>
  <c r="F207" i="34"/>
  <c r="G207" i="34"/>
  <c r="F194" i="34"/>
  <c r="G194" i="34"/>
  <c r="F183" i="34"/>
  <c r="G183" i="34"/>
  <c r="F163" i="34"/>
  <c r="G163" i="34"/>
  <c r="G167" i="34"/>
  <c r="F167" i="34"/>
  <c r="G150" i="34"/>
  <c r="F150" i="34"/>
  <c r="G192" i="34"/>
  <c r="F192" i="34"/>
  <c r="F154" i="34"/>
  <c r="G154" i="34"/>
  <c r="F197" i="34"/>
  <c r="G197" i="34"/>
  <c r="F157" i="34"/>
  <c r="G157" i="34"/>
  <c r="G172" i="34"/>
  <c r="F172" i="34"/>
  <c r="G196" i="34"/>
  <c r="F196" i="34"/>
  <c r="F159" i="34"/>
  <c r="G159" i="34"/>
  <c r="G166" i="34"/>
  <c r="F166" i="34"/>
  <c r="G129" i="34"/>
  <c r="F129" i="34"/>
  <c r="F124" i="34"/>
  <c r="G124" i="34"/>
  <c r="F146" i="34"/>
  <c r="G146" i="34"/>
  <c r="G128" i="34"/>
  <c r="F128" i="34"/>
  <c r="F143" i="34"/>
  <c r="G143" i="34"/>
  <c r="F133" i="34"/>
  <c r="G133" i="34"/>
  <c r="F147" i="34"/>
  <c r="G147" i="34"/>
  <c r="F117" i="34"/>
  <c r="G117" i="34"/>
  <c r="F105" i="34"/>
  <c r="G105" i="34"/>
  <c r="F118" i="34"/>
  <c r="G118" i="34"/>
  <c r="F98" i="34"/>
  <c r="G98" i="34"/>
  <c r="F95" i="34"/>
  <c r="G95" i="34"/>
  <c r="F102" i="34"/>
  <c r="G102" i="34"/>
  <c r="G96" i="34"/>
  <c r="F96" i="34"/>
  <c r="F94" i="34"/>
  <c r="G94" i="34"/>
  <c r="F86" i="34"/>
  <c r="G86" i="34"/>
  <c r="G73" i="34"/>
  <c r="F73" i="34"/>
  <c r="G80" i="34"/>
  <c r="F80" i="34"/>
  <c r="F64" i="34"/>
  <c r="G64" i="34"/>
  <c r="F58" i="34"/>
  <c r="G58" i="34"/>
  <c r="F72" i="34"/>
  <c r="G72" i="34"/>
  <c r="F61" i="34"/>
  <c r="G61" i="34"/>
  <c r="G54" i="34"/>
  <c r="F54" i="34"/>
  <c r="F41" i="34"/>
  <c r="G41" i="34"/>
  <c r="F55" i="34"/>
  <c r="G55" i="34"/>
  <c r="F60" i="34"/>
  <c r="G60" i="34"/>
  <c r="F43" i="34"/>
  <c r="G43" i="34"/>
  <c r="F38" i="34"/>
  <c r="G38" i="34"/>
  <c r="F30" i="34"/>
  <c r="G30" i="34"/>
  <c r="F23" i="34"/>
  <c r="G23" i="34"/>
  <c r="F37" i="34"/>
  <c r="G37" i="34"/>
  <c r="F22" i="34"/>
  <c r="G22" i="34"/>
  <c r="G24" i="34"/>
  <c r="F24" i="34"/>
  <c r="F21" i="34"/>
  <c r="G21" i="34"/>
  <c r="F1005" i="36"/>
  <c r="G1005" i="36"/>
  <c r="F16" i="36"/>
  <c r="G16" i="36"/>
  <c r="F45" i="36"/>
  <c r="G45" i="36"/>
  <c r="F41" i="36"/>
  <c r="G41" i="36"/>
  <c r="G54" i="36"/>
  <c r="F54" i="36"/>
  <c r="F88" i="36"/>
  <c r="G88" i="36"/>
  <c r="F109" i="36"/>
  <c r="G109" i="36"/>
  <c r="F123" i="36"/>
  <c r="G123" i="36"/>
  <c r="G133" i="36"/>
  <c r="F133" i="36"/>
  <c r="F158" i="36"/>
  <c r="G158" i="36"/>
  <c r="F182" i="36"/>
  <c r="G182" i="36"/>
  <c r="G183" i="36"/>
  <c r="F183" i="36"/>
  <c r="F191" i="36"/>
  <c r="G191" i="36"/>
  <c r="F224" i="36"/>
  <c r="G224" i="36"/>
  <c r="F204" i="36"/>
  <c r="G204" i="36"/>
  <c r="F242" i="36"/>
  <c r="G242" i="36"/>
  <c r="F268" i="36"/>
  <c r="G268" i="36"/>
  <c r="F284" i="36"/>
  <c r="G284" i="36"/>
  <c r="G298" i="36"/>
  <c r="F298" i="36"/>
  <c r="F328" i="36"/>
  <c r="G328" i="36"/>
  <c r="G307" i="36"/>
  <c r="F307" i="36"/>
  <c r="F373" i="36"/>
  <c r="G373" i="36"/>
  <c r="G329" i="36"/>
  <c r="F329" i="36"/>
  <c r="F299" i="36"/>
  <c r="G299" i="36"/>
  <c r="F452" i="36"/>
  <c r="G452" i="36"/>
  <c r="F459" i="36"/>
  <c r="G459" i="36"/>
  <c r="F372" i="36"/>
  <c r="G372" i="36"/>
  <c r="F488" i="36"/>
  <c r="G488" i="36"/>
  <c r="F417" i="36"/>
  <c r="G417" i="36"/>
  <c r="F543" i="36"/>
  <c r="G543" i="36"/>
  <c r="F450" i="36"/>
  <c r="G450" i="36"/>
  <c r="G457" i="36"/>
  <c r="F457" i="36"/>
  <c r="F588" i="36"/>
  <c r="G588" i="36"/>
  <c r="F494" i="36"/>
  <c r="G494" i="36"/>
  <c r="F644" i="36"/>
  <c r="G644" i="36"/>
  <c r="G536" i="36"/>
  <c r="F536" i="36"/>
  <c r="G620" i="36"/>
  <c r="F620" i="36"/>
  <c r="G577" i="36"/>
  <c r="F577" i="36"/>
  <c r="G673" i="36"/>
  <c r="F673" i="36"/>
  <c r="F612" i="36"/>
  <c r="G612" i="36"/>
  <c r="F663" i="36"/>
  <c r="G663" i="36"/>
  <c r="F619" i="36"/>
  <c r="G619" i="36"/>
  <c r="F566" i="36"/>
  <c r="G566" i="36"/>
  <c r="G675" i="36"/>
  <c r="F675" i="36"/>
  <c r="G672" i="36"/>
  <c r="F672" i="36"/>
  <c r="F759" i="36"/>
  <c r="G759" i="36"/>
  <c r="F885" i="36"/>
  <c r="G885" i="36"/>
  <c r="F818" i="36"/>
  <c r="G818" i="36"/>
  <c r="F709" i="36"/>
  <c r="G709" i="36"/>
  <c r="F832" i="36"/>
  <c r="G832" i="36"/>
  <c r="F773" i="36"/>
  <c r="G773" i="36"/>
  <c r="F884" i="36"/>
  <c r="G884" i="36"/>
  <c r="G744" i="36"/>
  <c r="F744" i="36"/>
  <c r="G906" i="36"/>
  <c r="F906" i="36"/>
  <c r="G853" i="36"/>
  <c r="F853" i="36"/>
  <c r="F764" i="36"/>
  <c r="G764" i="36"/>
  <c r="G894" i="36"/>
  <c r="F894" i="36"/>
  <c r="F804" i="36"/>
  <c r="G804" i="36"/>
  <c r="G932" i="36"/>
  <c r="F932" i="36"/>
  <c r="F930" i="36"/>
  <c r="G930" i="36"/>
  <c r="F942" i="36"/>
  <c r="G942" i="36"/>
  <c r="F959" i="36"/>
  <c r="G959" i="36"/>
  <c r="F990" i="36"/>
  <c r="G990" i="36"/>
  <c r="F85" i="36"/>
  <c r="G85" i="36"/>
  <c r="F149" i="36"/>
  <c r="G149" i="36"/>
  <c r="G43" i="36"/>
  <c r="F43" i="36"/>
  <c r="F93" i="36"/>
  <c r="G93" i="36"/>
  <c r="F120" i="36"/>
  <c r="G120" i="36"/>
  <c r="F137" i="36"/>
  <c r="G137" i="36"/>
  <c r="F188" i="36"/>
  <c r="G188" i="36"/>
  <c r="F202" i="36"/>
  <c r="G202" i="36"/>
  <c r="F273" i="36"/>
  <c r="G273" i="36"/>
  <c r="F288" i="36"/>
  <c r="G288" i="36"/>
  <c r="G336" i="36"/>
  <c r="F336" i="36"/>
  <c r="F371" i="36"/>
  <c r="G371" i="36"/>
  <c r="F454" i="36"/>
  <c r="G454" i="36"/>
  <c r="F468" i="36"/>
  <c r="G468" i="36"/>
  <c r="F375" i="36"/>
  <c r="G375" i="36"/>
  <c r="F497" i="36"/>
  <c r="G497" i="36"/>
  <c r="F423" i="36"/>
  <c r="G423" i="36"/>
  <c r="F367" i="36"/>
  <c r="G367" i="36"/>
  <c r="G465" i="36"/>
  <c r="F465" i="36"/>
  <c r="F487" i="36"/>
  <c r="G487" i="36"/>
  <c r="G591" i="36"/>
  <c r="F591" i="36"/>
  <c r="F496" i="36"/>
  <c r="G496" i="36"/>
  <c r="F659" i="36"/>
  <c r="G659" i="36"/>
  <c r="F535" i="36"/>
  <c r="G535" i="36"/>
  <c r="G626" i="36"/>
  <c r="F626" i="36"/>
  <c r="G594" i="36"/>
  <c r="F594" i="36"/>
  <c r="F662" i="36"/>
  <c r="G662" i="36"/>
  <c r="F613" i="36"/>
  <c r="G613" i="36"/>
  <c r="F667" i="36"/>
  <c r="G667" i="36"/>
  <c r="G623" i="36"/>
  <c r="F623" i="36"/>
  <c r="F571" i="36"/>
  <c r="G571" i="36"/>
  <c r="F679" i="36"/>
  <c r="G679" i="36"/>
  <c r="F681" i="36"/>
  <c r="G681" i="36"/>
  <c r="F766" i="36"/>
  <c r="G766" i="36"/>
  <c r="F896" i="36"/>
  <c r="G896" i="36"/>
  <c r="F820" i="36"/>
  <c r="G820" i="36"/>
  <c r="F718" i="36"/>
  <c r="G718" i="36"/>
  <c r="F838" i="36"/>
  <c r="G838" i="36"/>
  <c r="F784" i="36"/>
  <c r="G784" i="36"/>
  <c r="F898" i="36"/>
  <c r="G898" i="36"/>
  <c r="F748" i="36"/>
  <c r="G748" i="36"/>
  <c r="F939" i="36"/>
  <c r="G939" i="36"/>
  <c r="G863" i="36"/>
  <c r="F863" i="36"/>
  <c r="F774" i="36"/>
  <c r="G774" i="36"/>
  <c r="G900" i="36"/>
  <c r="F900" i="36"/>
  <c r="F810" i="36"/>
  <c r="G810" i="36"/>
  <c r="G936" i="36"/>
  <c r="F936" i="36"/>
  <c r="F949" i="36"/>
  <c r="G949" i="36"/>
  <c r="F941" i="36"/>
  <c r="G941" i="36"/>
  <c r="G965" i="36"/>
  <c r="F965" i="36"/>
  <c r="F991" i="36"/>
  <c r="G991" i="36"/>
  <c r="H7" i="33"/>
  <c r="C8" i="33"/>
  <c r="F976" i="33"/>
  <c r="G976" i="33"/>
  <c r="F1000" i="33"/>
  <c r="G1000" i="33"/>
  <c r="G991" i="33"/>
  <c r="F991" i="33"/>
  <c r="F985" i="33"/>
  <c r="G985" i="33"/>
  <c r="F963" i="33"/>
  <c r="G963" i="33"/>
  <c r="F934" i="33"/>
  <c r="G934" i="33"/>
  <c r="F908" i="33"/>
  <c r="G908" i="33"/>
  <c r="G990" i="33"/>
  <c r="F990" i="33"/>
  <c r="F964" i="33"/>
  <c r="G964" i="33"/>
  <c r="F960" i="33"/>
  <c r="G960" i="33"/>
  <c r="F928" i="33"/>
  <c r="G928" i="33"/>
  <c r="F989" i="33"/>
  <c r="G989" i="33"/>
  <c r="F972" i="33"/>
  <c r="G972" i="33"/>
  <c r="G938" i="33"/>
  <c r="F938" i="33"/>
  <c r="F994" i="33"/>
  <c r="G994" i="33"/>
  <c r="F978" i="33"/>
  <c r="G978" i="33"/>
  <c r="F944" i="33"/>
  <c r="G944" i="33"/>
  <c r="F930" i="33"/>
  <c r="G930" i="33"/>
  <c r="G896" i="33"/>
  <c r="F896" i="33"/>
  <c r="G866" i="33"/>
  <c r="F866" i="33"/>
  <c r="G841" i="33"/>
  <c r="F841" i="33"/>
  <c r="G807" i="33"/>
  <c r="F807" i="33"/>
  <c r="F942" i="33"/>
  <c r="G942" i="33"/>
  <c r="F907" i="33"/>
  <c r="G907" i="33"/>
  <c r="F864" i="33"/>
  <c r="G864" i="33"/>
  <c r="F835" i="33"/>
  <c r="G835" i="33"/>
  <c r="F805" i="33"/>
  <c r="G805" i="33"/>
  <c r="F871" i="33"/>
  <c r="G871" i="33"/>
  <c r="F772" i="33"/>
  <c r="G772" i="33"/>
  <c r="F741" i="33"/>
  <c r="G741" i="33"/>
  <c r="F699" i="33"/>
  <c r="G699" i="33"/>
  <c r="G889" i="33"/>
  <c r="F889" i="33"/>
  <c r="F869" i="33"/>
  <c r="G869" i="33"/>
  <c r="G842" i="33"/>
  <c r="F842" i="33"/>
  <c r="G825" i="33"/>
  <c r="F825" i="33"/>
  <c r="G784" i="33"/>
  <c r="F784" i="33"/>
  <c r="F933" i="33"/>
  <c r="G933" i="33"/>
  <c r="G911" i="33"/>
  <c r="F911" i="33"/>
  <c r="F880" i="33"/>
  <c r="G880" i="33"/>
  <c r="F844" i="33"/>
  <c r="G844" i="33"/>
  <c r="G790" i="33"/>
  <c r="F790" i="33"/>
  <c r="F768" i="33"/>
  <c r="G768" i="33"/>
  <c r="F752" i="33"/>
  <c r="G752" i="33"/>
  <c r="F728" i="33"/>
  <c r="G728" i="33"/>
  <c r="F718" i="33"/>
  <c r="G718" i="33"/>
  <c r="G696" i="33"/>
  <c r="F696" i="33"/>
  <c r="F681" i="33"/>
  <c r="G681" i="33"/>
  <c r="F887" i="33"/>
  <c r="G887" i="33"/>
  <c r="F875" i="33"/>
  <c r="G875" i="33"/>
  <c r="F824" i="33"/>
  <c r="G824" i="33"/>
  <c r="F798" i="33"/>
  <c r="G798" i="33"/>
  <c r="F952" i="33"/>
  <c r="G952" i="33"/>
  <c r="F917" i="33"/>
  <c r="G917" i="33"/>
  <c r="F895" i="33"/>
  <c r="G895" i="33"/>
  <c r="F854" i="33"/>
  <c r="G854" i="33"/>
  <c r="F810" i="33"/>
  <c r="G810" i="33"/>
  <c r="F765" i="33"/>
  <c r="G765" i="33"/>
  <c r="F724" i="33"/>
  <c r="G724" i="33"/>
  <c r="F702" i="33"/>
  <c r="G702" i="33"/>
  <c r="F905" i="33"/>
  <c r="G905" i="33"/>
  <c r="G849" i="33"/>
  <c r="F849" i="33"/>
  <c r="G839" i="33"/>
  <c r="F839" i="33"/>
  <c r="G789" i="33"/>
  <c r="F789" i="33"/>
  <c r="G955" i="33"/>
  <c r="F955" i="33"/>
  <c r="G874" i="33"/>
  <c r="F874" i="33"/>
  <c r="F834" i="33"/>
  <c r="G834" i="33"/>
  <c r="F814" i="33"/>
  <c r="G814" i="33"/>
  <c r="F792" i="33"/>
  <c r="G792" i="33"/>
  <c r="F951" i="33"/>
  <c r="G951" i="33"/>
  <c r="F757" i="33"/>
  <c r="G757" i="33"/>
  <c r="F726" i="33"/>
  <c r="G726" i="33"/>
  <c r="G693" i="33"/>
  <c r="F693" i="33"/>
  <c r="F756" i="33"/>
  <c r="G756" i="33"/>
  <c r="G739" i="33"/>
  <c r="F739" i="33"/>
  <c r="F695" i="33"/>
  <c r="G695" i="33"/>
  <c r="F675" i="33"/>
  <c r="G675" i="33"/>
  <c r="G642" i="33"/>
  <c r="F642" i="33"/>
  <c r="F604" i="33"/>
  <c r="G604" i="33"/>
  <c r="F583" i="33"/>
  <c r="G583" i="33"/>
  <c r="G754" i="33"/>
  <c r="F754" i="33"/>
  <c r="G705" i="33"/>
  <c r="F705" i="33"/>
  <c r="F665" i="33"/>
  <c r="G665" i="33"/>
  <c r="G655" i="33"/>
  <c r="F655" i="33"/>
  <c r="F624" i="33"/>
  <c r="G624" i="33"/>
  <c r="G595" i="33"/>
  <c r="F595" i="33"/>
  <c r="F567" i="33"/>
  <c r="G567" i="33"/>
  <c r="F746" i="33"/>
  <c r="G746" i="33"/>
  <c r="G732" i="33"/>
  <c r="F732" i="33"/>
  <c r="F694" i="33"/>
  <c r="G694" i="33"/>
  <c r="F666" i="33"/>
  <c r="G666" i="33"/>
  <c r="F636" i="33"/>
  <c r="G636" i="33"/>
  <c r="G618" i="33"/>
  <c r="F618" i="33"/>
  <c r="F585" i="33"/>
  <c r="G585" i="33"/>
  <c r="G569" i="33"/>
  <c r="F569" i="33"/>
  <c r="G743" i="33"/>
  <c r="F743" i="33"/>
  <c r="F691" i="33"/>
  <c r="G691" i="33"/>
  <c r="F662" i="33"/>
  <c r="G662" i="33"/>
  <c r="F630" i="33"/>
  <c r="G630" i="33"/>
  <c r="G596" i="33"/>
  <c r="F596" i="33"/>
  <c r="F570" i="33"/>
  <c r="G570" i="33"/>
  <c r="F654" i="33"/>
  <c r="G654" i="33"/>
  <c r="G617" i="33"/>
  <c r="F617" i="33"/>
  <c r="F601" i="33"/>
  <c r="G601" i="33"/>
  <c r="F566" i="33"/>
  <c r="G566" i="33"/>
  <c r="G551" i="33"/>
  <c r="F551" i="33"/>
  <c r="G534" i="33"/>
  <c r="F534" i="33"/>
  <c r="F515" i="33"/>
  <c r="G515" i="33"/>
  <c r="G498" i="33"/>
  <c r="F498" i="33"/>
  <c r="G484" i="33"/>
  <c r="F484" i="33"/>
  <c r="F644" i="33"/>
  <c r="G644" i="33"/>
  <c r="G602" i="33"/>
  <c r="F602" i="33"/>
  <c r="F641" i="33"/>
  <c r="G641" i="33"/>
  <c r="G553" i="33"/>
  <c r="F553" i="33"/>
  <c r="F541" i="33"/>
  <c r="G541" i="33"/>
  <c r="F469" i="33"/>
  <c r="G469" i="33"/>
  <c r="F600" i="33"/>
  <c r="G600" i="33"/>
  <c r="F563" i="33"/>
  <c r="G563" i="33"/>
  <c r="F536" i="33"/>
  <c r="G536" i="33"/>
  <c r="G496" i="33"/>
  <c r="F496" i="33"/>
  <c r="F476" i="33"/>
  <c r="G476" i="33"/>
  <c r="F650" i="33"/>
  <c r="G650" i="33"/>
  <c r="F619" i="33"/>
  <c r="G619" i="33"/>
  <c r="F573" i="33"/>
  <c r="G573" i="33"/>
  <c r="F540" i="33"/>
  <c r="G540" i="33"/>
  <c r="G523" i="33"/>
  <c r="F523" i="33"/>
  <c r="G490" i="33"/>
  <c r="F490" i="33"/>
  <c r="F532" i="33"/>
  <c r="G532" i="33"/>
  <c r="F514" i="33"/>
  <c r="G514" i="33"/>
  <c r="F459" i="33"/>
  <c r="G459" i="33"/>
  <c r="F437" i="33"/>
  <c r="G437" i="33"/>
  <c r="G402" i="33"/>
  <c r="F402" i="33"/>
  <c r="F548" i="33"/>
  <c r="G548" i="33"/>
  <c r="G510" i="33"/>
  <c r="F510" i="33"/>
  <c r="G493" i="33"/>
  <c r="F493" i="33"/>
  <c r="G466" i="33"/>
  <c r="F466" i="33"/>
  <c r="F451" i="33"/>
  <c r="G451" i="33"/>
  <c r="F426" i="33"/>
  <c r="G426" i="33"/>
  <c r="G407" i="33"/>
  <c r="F407" i="33"/>
  <c r="F362" i="33"/>
  <c r="G362" i="33"/>
  <c r="F508" i="33"/>
  <c r="G508" i="33"/>
  <c r="F470" i="33"/>
  <c r="G470" i="33"/>
  <c r="F434" i="33"/>
  <c r="G434" i="33"/>
  <c r="F416" i="33"/>
  <c r="G416" i="33"/>
  <c r="F411" i="33"/>
  <c r="G411" i="33"/>
  <c r="F388" i="33"/>
  <c r="G388" i="33"/>
  <c r="F368" i="33"/>
  <c r="G368" i="33"/>
  <c r="F511" i="33"/>
  <c r="G511" i="33"/>
  <c r="F458" i="33"/>
  <c r="G458" i="33"/>
  <c r="F435" i="33"/>
  <c r="G435" i="33"/>
  <c r="F386" i="33"/>
  <c r="G386" i="33"/>
  <c r="F369" i="33"/>
  <c r="G369" i="33"/>
  <c r="F441" i="33"/>
  <c r="G441" i="33"/>
  <c r="F415" i="33"/>
  <c r="G415" i="33"/>
  <c r="G350" i="33"/>
  <c r="F350" i="33"/>
  <c r="F351" i="33"/>
  <c r="G351" i="33"/>
  <c r="G321" i="33"/>
  <c r="F321" i="33"/>
  <c r="G410" i="33"/>
  <c r="F410" i="33"/>
  <c r="G367" i="33"/>
  <c r="F367" i="33"/>
  <c r="F363" i="33"/>
  <c r="G363" i="33"/>
  <c r="G344" i="33"/>
  <c r="F344" i="33"/>
  <c r="G314" i="33"/>
  <c r="F314" i="33"/>
  <c r="F332" i="33"/>
  <c r="G332" i="33"/>
  <c r="F442" i="33"/>
  <c r="G442" i="33"/>
  <c r="F381" i="33"/>
  <c r="G381" i="33"/>
  <c r="G358" i="33"/>
  <c r="F358" i="33"/>
  <c r="F349" i="33"/>
  <c r="G349" i="33"/>
  <c r="G325" i="33"/>
  <c r="F325" i="33"/>
  <c r="F326" i="33"/>
  <c r="G326" i="33"/>
  <c r="G438" i="33"/>
  <c r="F438" i="33"/>
  <c r="F389" i="33"/>
  <c r="G389" i="33"/>
  <c r="G364" i="33"/>
  <c r="F364" i="33"/>
  <c r="F323" i="33"/>
  <c r="G323" i="33"/>
  <c r="F301" i="33"/>
  <c r="G301" i="33"/>
  <c r="G315" i="33"/>
  <c r="F315" i="33"/>
  <c r="G277" i="33"/>
  <c r="F277" i="33"/>
  <c r="F264" i="33"/>
  <c r="G264" i="33"/>
  <c r="G295" i="33"/>
  <c r="F295" i="33"/>
  <c r="F282" i="33"/>
  <c r="G282" i="33"/>
  <c r="F250" i="33"/>
  <c r="G250" i="33"/>
  <c r="G276" i="33"/>
  <c r="F276" i="33"/>
  <c r="G262" i="33"/>
  <c r="F262" i="33"/>
  <c r="F243" i="33"/>
  <c r="G243" i="33"/>
  <c r="F307" i="33"/>
  <c r="G307" i="33"/>
  <c r="F284" i="33"/>
  <c r="G284" i="33"/>
  <c r="F251" i="33"/>
  <c r="G251" i="33"/>
  <c r="G247" i="33"/>
  <c r="F247" i="33"/>
  <c r="G279" i="33"/>
  <c r="F279" i="33"/>
  <c r="F278" i="33"/>
  <c r="G278" i="33"/>
  <c r="F257" i="33"/>
  <c r="G257" i="33"/>
  <c r="F242" i="33"/>
  <c r="G242" i="33"/>
  <c r="F216" i="33"/>
  <c r="G216" i="33"/>
  <c r="F239" i="33"/>
  <c r="G239" i="33"/>
  <c r="G225" i="33"/>
  <c r="F225" i="33"/>
  <c r="F236" i="33"/>
  <c r="G236" i="33"/>
  <c r="F248" i="33"/>
  <c r="G248" i="33"/>
  <c r="F209" i="33"/>
  <c r="G209" i="33"/>
  <c r="F214" i="33"/>
  <c r="G214" i="33"/>
  <c r="F245" i="33"/>
  <c r="G245" i="33"/>
  <c r="F228" i="33"/>
  <c r="G228" i="33"/>
  <c r="G218" i="33"/>
  <c r="F218" i="33"/>
  <c r="F167" i="33"/>
  <c r="G167" i="33"/>
  <c r="F189" i="33"/>
  <c r="G189" i="33"/>
  <c r="G202" i="33"/>
  <c r="F202" i="33"/>
  <c r="G174" i="33"/>
  <c r="F174" i="33"/>
  <c r="F157" i="33"/>
  <c r="G157" i="33"/>
  <c r="F194" i="33"/>
  <c r="G194" i="33"/>
  <c r="F183" i="33"/>
  <c r="G183" i="33"/>
  <c r="F163" i="33"/>
  <c r="G163" i="33"/>
  <c r="F175" i="33"/>
  <c r="G175" i="33"/>
  <c r="F154" i="33"/>
  <c r="G154" i="33"/>
  <c r="G193" i="33"/>
  <c r="F193" i="33"/>
  <c r="F173" i="33"/>
  <c r="G173" i="33"/>
  <c r="F187" i="33"/>
  <c r="G187" i="33"/>
  <c r="F149" i="33"/>
  <c r="G149" i="33"/>
  <c r="G142" i="33"/>
  <c r="F142" i="33"/>
  <c r="F125" i="33"/>
  <c r="G125" i="33"/>
  <c r="G136" i="33"/>
  <c r="F136" i="33"/>
  <c r="G127" i="33"/>
  <c r="F127" i="33"/>
  <c r="F131" i="33"/>
  <c r="G131" i="33"/>
  <c r="G191" i="33"/>
  <c r="F191" i="33"/>
  <c r="F134" i="33"/>
  <c r="G134" i="33"/>
  <c r="G117" i="33"/>
  <c r="F117" i="33"/>
  <c r="G103" i="33"/>
  <c r="F103" i="33"/>
  <c r="F106" i="33"/>
  <c r="G106" i="33"/>
  <c r="G107" i="33"/>
  <c r="F107" i="33"/>
  <c r="F113" i="33"/>
  <c r="G113" i="33"/>
  <c r="F101" i="33"/>
  <c r="G101" i="33"/>
  <c r="F97" i="33"/>
  <c r="G97" i="33"/>
  <c r="G87" i="33"/>
  <c r="F87" i="33"/>
  <c r="G95" i="33"/>
  <c r="F95" i="33"/>
  <c r="F75" i="33"/>
  <c r="G75" i="33"/>
  <c r="F80" i="33"/>
  <c r="G80" i="33"/>
  <c r="F64" i="33"/>
  <c r="G64" i="33"/>
  <c r="F65" i="33"/>
  <c r="G65" i="33"/>
  <c r="F56" i="33"/>
  <c r="G56" i="33"/>
  <c r="F70" i="33"/>
  <c r="G70" i="33"/>
  <c r="G48" i="33"/>
  <c r="F48" i="33"/>
  <c r="G63" i="33"/>
  <c r="F63" i="33"/>
  <c r="F41" i="33"/>
  <c r="G41" i="33"/>
  <c r="F55" i="33"/>
  <c r="G55" i="33"/>
  <c r="G66" i="33"/>
  <c r="F66" i="33"/>
  <c r="G43" i="33"/>
  <c r="F43" i="33"/>
  <c r="F35" i="33"/>
  <c r="G35" i="33"/>
  <c r="F27" i="33"/>
  <c r="G27" i="33"/>
  <c r="F26" i="33"/>
  <c r="G26" i="33"/>
  <c r="F17" i="33"/>
  <c r="G17" i="33"/>
  <c r="F21" i="33"/>
  <c r="G21" i="33"/>
  <c r="F18" i="33"/>
  <c r="G18" i="33"/>
  <c r="F15" i="36"/>
  <c r="G15" i="36"/>
  <c r="G27" i="36"/>
  <c r="F27" i="36"/>
  <c r="F40" i="36"/>
  <c r="G40" i="36"/>
  <c r="G60" i="36"/>
  <c r="F60" i="36"/>
  <c r="F79" i="36"/>
  <c r="G79" i="36"/>
  <c r="F107" i="36"/>
  <c r="G107" i="36"/>
  <c r="F112" i="36"/>
  <c r="G112" i="36"/>
  <c r="F124" i="36"/>
  <c r="G124" i="36"/>
  <c r="F128" i="36"/>
  <c r="G128" i="36"/>
  <c r="F177" i="36"/>
  <c r="G177" i="36"/>
  <c r="G162" i="36"/>
  <c r="F162" i="36"/>
  <c r="F195" i="36"/>
  <c r="G195" i="36"/>
  <c r="F245" i="36"/>
  <c r="G245" i="36"/>
  <c r="F221" i="36"/>
  <c r="G221" i="36"/>
  <c r="F236" i="36"/>
  <c r="G236" i="36"/>
  <c r="F320" i="36"/>
  <c r="G320" i="36"/>
  <c r="G253" i="36"/>
  <c r="F253" i="36"/>
  <c r="G260" i="36"/>
  <c r="F260" i="36"/>
  <c r="F300" i="36"/>
  <c r="G300" i="36"/>
  <c r="F400" i="36"/>
  <c r="G400" i="36"/>
  <c r="F318" i="36"/>
  <c r="G318" i="36"/>
  <c r="F352" i="36"/>
  <c r="G352" i="36"/>
  <c r="G396" i="36"/>
  <c r="F396" i="36"/>
  <c r="G342" i="36"/>
  <c r="F342" i="36"/>
  <c r="G414" i="36"/>
  <c r="F414" i="36"/>
  <c r="G550" i="36"/>
  <c r="F550" i="36"/>
  <c r="F453" i="36"/>
  <c r="G453" i="36"/>
  <c r="F382" i="36"/>
  <c r="G382" i="36"/>
  <c r="G485" i="36"/>
  <c r="F485" i="36"/>
  <c r="F426" i="36"/>
  <c r="G426" i="36"/>
  <c r="F513" i="36"/>
  <c r="G513" i="36"/>
  <c r="F560" i="36"/>
  <c r="G560" i="36"/>
  <c r="F650" i="36"/>
  <c r="G650" i="36"/>
  <c r="F558" i="36"/>
  <c r="G558" i="36"/>
  <c r="G503" i="36"/>
  <c r="F503" i="36"/>
  <c r="G593" i="36"/>
  <c r="F593" i="36"/>
  <c r="F531" i="36"/>
  <c r="G531" i="36"/>
  <c r="F622" i="36"/>
  <c r="G622" i="36"/>
  <c r="G732" i="36"/>
  <c r="F732" i="36"/>
  <c r="G645" i="36"/>
  <c r="F645" i="36"/>
  <c r="F579" i="36"/>
  <c r="G579" i="36"/>
  <c r="G708" i="36"/>
  <c r="F708" i="36"/>
  <c r="F633" i="36"/>
  <c r="G633" i="36"/>
  <c r="F726" i="36"/>
  <c r="G726" i="36"/>
  <c r="F741" i="36"/>
  <c r="G741" i="36"/>
  <c r="F835" i="36"/>
  <c r="G835" i="36"/>
  <c r="G944" i="36"/>
  <c r="F944" i="36"/>
  <c r="G899" i="36"/>
  <c r="F899" i="36"/>
  <c r="F769" i="36"/>
  <c r="G769" i="36"/>
  <c r="F897" i="36"/>
  <c r="G897" i="36"/>
  <c r="F847" i="36"/>
  <c r="G847" i="36"/>
  <c r="F701" i="36"/>
  <c r="G701" i="36"/>
  <c r="G822" i="36"/>
  <c r="F822" i="36"/>
  <c r="G823" i="36"/>
  <c r="F823" i="36"/>
  <c r="F706" i="36"/>
  <c r="G706" i="36"/>
  <c r="G861" i="36"/>
  <c r="F861" i="36"/>
  <c r="F781" i="36"/>
  <c r="G781" i="36"/>
  <c r="G866" i="36"/>
  <c r="F866" i="36"/>
  <c r="F977" i="36"/>
  <c r="G977" i="36"/>
  <c r="F909" i="36"/>
  <c r="G909" i="36"/>
  <c r="F982" i="36"/>
  <c r="G982" i="36"/>
  <c r="G997" i="36"/>
  <c r="F997" i="36"/>
  <c r="G26" i="36"/>
  <c r="F26" i="36"/>
  <c r="F29" i="36"/>
  <c r="G29" i="36"/>
  <c r="G48" i="36"/>
  <c r="F48" i="36"/>
  <c r="F83" i="36"/>
  <c r="G83" i="36"/>
  <c r="F80" i="36"/>
  <c r="G80" i="36"/>
  <c r="F100" i="36"/>
  <c r="G100" i="36"/>
  <c r="F113" i="36"/>
  <c r="G113" i="36"/>
  <c r="F126" i="36"/>
  <c r="G126" i="36"/>
  <c r="G129" i="36"/>
  <c r="F129" i="36"/>
  <c r="F186" i="36"/>
  <c r="G186" i="36"/>
  <c r="F168" i="36"/>
  <c r="G168" i="36"/>
  <c r="F153" i="36"/>
  <c r="G153" i="36"/>
  <c r="G238" i="36"/>
  <c r="F238" i="36"/>
  <c r="G215" i="36"/>
  <c r="F215" i="36"/>
  <c r="F239" i="36"/>
  <c r="G239" i="36"/>
  <c r="F322" i="36"/>
  <c r="G322" i="36"/>
  <c r="F262" i="36"/>
  <c r="G262" i="36"/>
  <c r="F265" i="36"/>
  <c r="G265" i="36"/>
  <c r="G316" i="36"/>
  <c r="F316" i="36"/>
  <c r="F407" i="36"/>
  <c r="G407" i="36"/>
  <c r="F326" i="36"/>
  <c r="G326" i="36"/>
  <c r="G354" i="36"/>
  <c r="F354" i="36"/>
  <c r="G416" i="36"/>
  <c r="F416" i="36"/>
  <c r="F344" i="36"/>
  <c r="G344" i="36"/>
  <c r="G422" i="36"/>
  <c r="F422" i="36"/>
  <c r="F464" i="36"/>
  <c r="G464" i="36"/>
  <c r="F449" i="36"/>
  <c r="G449" i="36"/>
  <c r="F381" i="36"/>
  <c r="G381" i="36"/>
  <c r="G486" i="36"/>
  <c r="F486" i="36"/>
  <c r="F437" i="36"/>
  <c r="G437" i="36"/>
  <c r="G519" i="36"/>
  <c r="F519" i="36"/>
  <c r="F556" i="36"/>
  <c r="G556" i="36"/>
  <c r="F652" i="36"/>
  <c r="G652" i="36"/>
  <c r="F562" i="36"/>
  <c r="G562" i="36"/>
  <c r="F511" i="36"/>
  <c r="G511" i="36"/>
  <c r="G597" i="36"/>
  <c r="F597" i="36"/>
  <c r="F538" i="36"/>
  <c r="G538" i="36"/>
  <c r="F631" i="36"/>
  <c r="G631" i="36"/>
  <c r="G752" i="36"/>
  <c r="F752" i="36"/>
  <c r="F660" i="36"/>
  <c r="G660" i="36"/>
  <c r="F582" i="36"/>
  <c r="G582" i="36"/>
  <c r="F719" i="36"/>
  <c r="G719" i="36"/>
  <c r="F641" i="36"/>
  <c r="G641" i="36"/>
  <c r="G739" i="36"/>
  <c r="F739" i="36"/>
  <c r="G746" i="36"/>
  <c r="F746" i="36"/>
  <c r="F840" i="36"/>
  <c r="G840" i="36"/>
  <c r="G954" i="36"/>
  <c r="F954" i="36"/>
  <c r="F905" i="36"/>
  <c r="G905" i="36"/>
  <c r="F772" i="36"/>
  <c r="G772" i="36"/>
  <c r="F915" i="36"/>
  <c r="G915" i="36"/>
  <c r="F856" i="36"/>
  <c r="G856" i="36"/>
  <c r="F707" i="36"/>
  <c r="G707" i="36"/>
  <c r="G858" i="36"/>
  <c r="F858" i="36"/>
  <c r="G829" i="36"/>
  <c r="F829" i="36"/>
  <c r="G711" i="36"/>
  <c r="F711" i="36"/>
  <c r="G869" i="36"/>
  <c r="F869" i="36"/>
  <c r="G788" i="36"/>
  <c r="F788" i="36"/>
  <c r="G867" i="36"/>
  <c r="F867" i="36"/>
  <c r="F979" i="36"/>
  <c r="G979" i="36"/>
  <c r="G910" i="36"/>
  <c r="F910" i="36"/>
  <c r="F922" i="36"/>
  <c r="G922" i="36"/>
  <c r="G993" i="36"/>
  <c r="F993" i="36"/>
  <c r="G1007" i="35"/>
  <c r="F1007" i="35"/>
  <c r="F994" i="35"/>
  <c r="G994" i="35"/>
  <c r="G1005" i="35"/>
  <c r="F1005" i="35"/>
  <c r="F996" i="35"/>
  <c r="G996" i="35"/>
  <c r="F982" i="35"/>
  <c r="G982" i="35"/>
  <c r="F954" i="35"/>
  <c r="G954" i="35"/>
  <c r="F921" i="35"/>
  <c r="G921" i="35"/>
  <c r="F978" i="35"/>
  <c r="G978" i="35"/>
  <c r="F939" i="35"/>
  <c r="G939" i="35"/>
  <c r="G908" i="35"/>
  <c r="F908" i="35"/>
  <c r="F980" i="35"/>
  <c r="G980" i="35"/>
  <c r="F970" i="35"/>
  <c r="G970" i="35"/>
  <c r="F961" i="35"/>
  <c r="G961" i="35"/>
  <c r="F941" i="35"/>
  <c r="G941" i="35"/>
  <c r="F930" i="35"/>
  <c r="G930" i="35"/>
  <c r="G1003" i="35"/>
  <c r="F1003" i="35"/>
  <c r="F989" i="35"/>
  <c r="G989" i="35"/>
  <c r="F953" i="35"/>
  <c r="G953" i="35"/>
  <c r="F916" i="35"/>
  <c r="G916" i="35"/>
  <c r="G889" i="35"/>
  <c r="F889" i="35"/>
  <c r="G861" i="35"/>
  <c r="F861" i="35"/>
  <c r="F828" i="35"/>
  <c r="G828" i="35"/>
  <c r="G813" i="35"/>
  <c r="F813" i="35"/>
  <c r="F796" i="35"/>
  <c r="G796" i="35"/>
  <c r="G918" i="35"/>
  <c r="F918" i="35"/>
  <c r="G891" i="35"/>
  <c r="F891" i="35"/>
  <c r="F865" i="35"/>
  <c r="G865" i="35"/>
  <c r="G816" i="35"/>
  <c r="F816" i="35"/>
  <c r="F781" i="35"/>
  <c r="G781" i="35"/>
  <c r="G747" i="35"/>
  <c r="F747" i="35"/>
  <c r="F699" i="35"/>
  <c r="G699" i="35"/>
  <c r="F684" i="35"/>
  <c r="G684" i="35"/>
  <c r="G872" i="35"/>
  <c r="F872" i="35"/>
  <c r="G866" i="35"/>
  <c r="F866" i="35"/>
  <c r="G843" i="35"/>
  <c r="F843" i="35"/>
  <c r="F808" i="35"/>
  <c r="G808" i="35"/>
  <c r="G789" i="35"/>
  <c r="F789" i="35"/>
  <c r="G944" i="35"/>
  <c r="F944" i="35"/>
  <c r="F895" i="35"/>
  <c r="G895" i="35"/>
  <c r="F845" i="35"/>
  <c r="G845" i="35"/>
  <c r="G826" i="35"/>
  <c r="F826" i="35"/>
  <c r="G794" i="35"/>
  <c r="F794" i="35"/>
  <c r="G777" i="35"/>
  <c r="F777" i="35"/>
  <c r="F765" i="35"/>
  <c r="G765" i="35"/>
  <c r="F732" i="35"/>
  <c r="G732" i="35"/>
  <c r="G708" i="35"/>
  <c r="F708" i="35"/>
  <c r="F887" i="35"/>
  <c r="G887" i="35"/>
  <c r="G825" i="35"/>
  <c r="F825" i="35"/>
  <c r="F785" i="35"/>
  <c r="G785" i="35"/>
  <c r="F934" i="35"/>
  <c r="G934" i="35"/>
  <c r="F905" i="35"/>
  <c r="G905" i="35"/>
  <c r="F859" i="35"/>
  <c r="G859" i="35"/>
  <c r="F824" i="35"/>
  <c r="G824" i="35"/>
  <c r="G795" i="35"/>
  <c r="F795" i="35"/>
  <c r="F767" i="35"/>
  <c r="G767" i="35"/>
  <c r="F760" i="35"/>
  <c r="G760" i="35"/>
  <c r="F739" i="35"/>
  <c r="G739" i="35"/>
  <c r="F718" i="35"/>
  <c r="G718" i="35"/>
  <c r="F685" i="35"/>
  <c r="G685" i="35"/>
  <c r="G888" i="35"/>
  <c r="F888" i="35"/>
  <c r="G869" i="35"/>
  <c r="F869" i="35"/>
  <c r="F832" i="35"/>
  <c r="G832" i="35"/>
  <c r="F946" i="35"/>
  <c r="G946" i="35"/>
  <c r="G923" i="35"/>
  <c r="F923" i="35"/>
  <c r="F904" i="35"/>
  <c r="G904" i="35"/>
  <c r="G863" i="35"/>
  <c r="F863" i="35"/>
  <c r="F841" i="35"/>
  <c r="G841" i="35"/>
  <c r="F819" i="35"/>
  <c r="G819" i="35"/>
  <c r="G780" i="35"/>
  <c r="F780" i="35"/>
  <c r="F764" i="35"/>
  <c r="G764" i="35"/>
  <c r="F745" i="35"/>
  <c r="G745" i="35"/>
  <c r="F716" i="35"/>
  <c r="G716" i="35"/>
  <c r="F727" i="35"/>
  <c r="G727" i="35"/>
  <c r="G691" i="35"/>
  <c r="F691" i="35"/>
  <c r="F672" i="35"/>
  <c r="G672" i="35"/>
  <c r="G648" i="35"/>
  <c r="F648" i="35"/>
  <c r="F619" i="35"/>
  <c r="G619" i="35"/>
  <c r="G603" i="35"/>
  <c r="F603" i="35"/>
  <c r="F594" i="35"/>
  <c r="G594" i="35"/>
  <c r="F565" i="35"/>
  <c r="G565" i="35"/>
  <c r="G726" i="35"/>
  <c r="F726" i="35"/>
  <c r="G694" i="35"/>
  <c r="F694" i="35"/>
  <c r="G671" i="35"/>
  <c r="F671" i="35"/>
  <c r="G666" i="35"/>
  <c r="F666" i="35"/>
  <c r="F649" i="35"/>
  <c r="G649" i="35"/>
  <c r="F624" i="35"/>
  <c r="G624" i="35"/>
  <c r="F606" i="35"/>
  <c r="G606" i="35"/>
  <c r="F762" i="35"/>
  <c r="G762" i="35"/>
  <c r="F717" i="35"/>
  <c r="G717" i="35"/>
  <c r="F697" i="35"/>
  <c r="G697" i="35"/>
  <c r="F681" i="35"/>
  <c r="G681" i="35"/>
  <c r="F586" i="35"/>
  <c r="G586" i="35"/>
  <c r="F744" i="35"/>
  <c r="G744" i="35"/>
  <c r="F711" i="35"/>
  <c r="G711" i="35"/>
  <c r="F689" i="35"/>
  <c r="G689" i="35"/>
  <c r="G677" i="35"/>
  <c r="F677" i="35"/>
  <c r="F660" i="35"/>
  <c r="G660" i="35"/>
  <c r="F642" i="35"/>
  <c r="G642" i="35"/>
  <c r="F621" i="35"/>
  <c r="G621" i="35"/>
  <c r="F589" i="35"/>
  <c r="G589" i="35"/>
  <c r="F581" i="35"/>
  <c r="G581" i="35"/>
  <c r="F652" i="35"/>
  <c r="G652" i="35"/>
  <c r="G634" i="35"/>
  <c r="F634" i="35"/>
  <c r="F620" i="35"/>
  <c r="G620" i="35"/>
  <c r="G566" i="35"/>
  <c r="F566" i="35"/>
  <c r="F534" i="35"/>
  <c r="G534" i="35"/>
  <c r="F477" i="35"/>
  <c r="G477" i="35"/>
  <c r="F546" i="35"/>
  <c r="G546" i="35"/>
  <c r="G646" i="35"/>
  <c r="F646" i="35"/>
  <c r="G590" i="35"/>
  <c r="F590" i="35"/>
  <c r="G554" i="35"/>
  <c r="F554" i="35"/>
  <c r="F520" i="35"/>
  <c r="G520" i="35"/>
  <c r="F495" i="35"/>
  <c r="G495" i="35"/>
  <c r="G464" i="35"/>
  <c r="F464" i="35"/>
  <c r="F637" i="35"/>
  <c r="G637" i="35"/>
  <c r="G584" i="35"/>
  <c r="F584" i="35"/>
  <c r="G559" i="35"/>
  <c r="F559" i="35"/>
  <c r="F530" i="35"/>
  <c r="G530" i="35"/>
  <c r="F504" i="35"/>
  <c r="G504" i="35"/>
  <c r="F480" i="35"/>
  <c r="G480" i="35"/>
  <c r="F465" i="35"/>
  <c r="G465" i="35"/>
  <c r="F616" i="35"/>
  <c r="G616" i="35"/>
  <c r="G571" i="35"/>
  <c r="F571" i="35"/>
  <c r="F550" i="35"/>
  <c r="G550" i="35"/>
  <c r="G518" i="35"/>
  <c r="F518" i="35"/>
  <c r="G492" i="35"/>
  <c r="F492" i="35"/>
  <c r="F516" i="35"/>
  <c r="G516" i="35"/>
  <c r="F494" i="35"/>
  <c r="G494" i="35"/>
  <c r="F457" i="35"/>
  <c r="G457" i="35"/>
  <c r="F423" i="35"/>
  <c r="G423" i="35"/>
  <c r="F371" i="35"/>
  <c r="G371" i="35"/>
  <c r="F549" i="35"/>
  <c r="G549" i="35"/>
  <c r="F525" i="35"/>
  <c r="G525" i="35"/>
  <c r="G507" i="35"/>
  <c r="F507" i="35"/>
  <c r="F501" i="35"/>
  <c r="G501" i="35"/>
  <c r="F417" i="35"/>
  <c r="G417" i="35"/>
  <c r="F376" i="35"/>
  <c r="G376" i="35"/>
  <c r="F517" i="35"/>
  <c r="G517" i="35"/>
  <c r="F484" i="35"/>
  <c r="G484" i="35"/>
  <c r="F461" i="35"/>
  <c r="G461" i="35"/>
  <c r="F439" i="35"/>
  <c r="G439" i="35"/>
  <c r="F407" i="35"/>
  <c r="G407" i="35"/>
  <c r="F386" i="35"/>
  <c r="G386" i="35"/>
  <c r="F540" i="35"/>
  <c r="G540" i="35"/>
  <c r="F523" i="35"/>
  <c r="G523" i="35"/>
  <c r="F521" i="35"/>
  <c r="G521" i="35"/>
  <c r="F438" i="35"/>
  <c r="G438" i="35"/>
  <c r="F422" i="35"/>
  <c r="G422" i="35"/>
  <c r="F401" i="35"/>
  <c r="G401" i="35"/>
  <c r="F385" i="35"/>
  <c r="G385" i="35"/>
  <c r="F450" i="35"/>
  <c r="G450" i="35"/>
  <c r="F452" i="35"/>
  <c r="G452" i="35"/>
  <c r="G426" i="35"/>
  <c r="F426" i="35"/>
  <c r="F381" i="35"/>
  <c r="G381" i="35"/>
  <c r="G357" i="35"/>
  <c r="F357" i="35"/>
  <c r="G335" i="35"/>
  <c r="F335" i="35"/>
  <c r="F347" i="35"/>
  <c r="G347" i="35"/>
  <c r="F331" i="35"/>
  <c r="G331" i="35"/>
  <c r="G302" i="35"/>
  <c r="F302" i="35"/>
  <c r="F403" i="35"/>
  <c r="G403" i="35"/>
  <c r="G366" i="35"/>
  <c r="F366" i="35"/>
  <c r="G340" i="35"/>
  <c r="F340" i="35"/>
  <c r="F325" i="35"/>
  <c r="G325" i="35"/>
  <c r="G351" i="35"/>
  <c r="F351" i="35"/>
  <c r="G383" i="35"/>
  <c r="F383" i="35"/>
  <c r="F372" i="35"/>
  <c r="G372" i="35"/>
  <c r="F348" i="35"/>
  <c r="G348" i="35"/>
  <c r="F315" i="35"/>
  <c r="G315" i="35"/>
  <c r="F345" i="35"/>
  <c r="G345" i="35"/>
  <c r="F429" i="35"/>
  <c r="G429" i="35"/>
  <c r="F408" i="35"/>
  <c r="G408" i="35"/>
  <c r="G378" i="35"/>
  <c r="F378" i="35"/>
  <c r="G344" i="35"/>
  <c r="F344" i="35"/>
  <c r="F358" i="35"/>
  <c r="G358" i="35"/>
  <c r="G303" i="35"/>
  <c r="F303" i="35"/>
  <c r="F277" i="35"/>
  <c r="G277" i="35"/>
  <c r="F294" i="35"/>
  <c r="G294" i="35"/>
  <c r="F273" i="35"/>
  <c r="G273" i="35"/>
  <c r="F281" i="35"/>
  <c r="G281" i="35"/>
  <c r="F292" i="35"/>
  <c r="G292" i="35"/>
  <c r="F295" i="35"/>
  <c r="G295" i="35"/>
  <c r="F265" i="35"/>
  <c r="G265" i="35"/>
  <c r="G314" i="35"/>
  <c r="F314" i="35"/>
  <c r="F284" i="35"/>
  <c r="G284" i="35"/>
  <c r="F246" i="35"/>
  <c r="G246" i="35"/>
  <c r="F252" i="35"/>
  <c r="G252" i="35"/>
  <c r="F298" i="35"/>
  <c r="G298" i="35"/>
  <c r="F255" i="35"/>
  <c r="G255" i="35"/>
  <c r="G290" i="35"/>
  <c r="F290" i="35"/>
  <c r="G253" i="35"/>
  <c r="F253" i="35"/>
  <c r="F238" i="35"/>
  <c r="G238" i="35"/>
  <c r="G227" i="35"/>
  <c r="F227" i="35"/>
  <c r="F202" i="35"/>
  <c r="G202" i="35"/>
  <c r="F242" i="35"/>
  <c r="G242" i="35"/>
  <c r="F211" i="35"/>
  <c r="G211" i="35"/>
  <c r="F214" i="35"/>
  <c r="G214" i="35"/>
  <c r="F222" i="35"/>
  <c r="G222" i="35"/>
  <c r="F217" i="35"/>
  <c r="G217" i="35"/>
  <c r="G203" i="35"/>
  <c r="F203" i="35"/>
  <c r="F226" i="35"/>
  <c r="G226" i="35"/>
  <c r="F204" i="35"/>
  <c r="G204" i="35"/>
  <c r="F200" i="35"/>
  <c r="G200" i="35"/>
  <c r="F188" i="35"/>
  <c r="G188" i="35"/>
  <c r="G156" i="35"/>
  <c r="F156" i="35"/>
  <c r="G153" i="35"/>
  <c r="F153" i="35"/>
  <c r="G170" i="35"/>
  <c r="F170" i="35"/>
  <c r="F191" i="35"/>
  <c r="G191" i="35"/>
  <c r="F166" i="35"/>
  <c r="G166" i="35"/>
  <c r="F194" i="35"/>
  <c r="G194" i="35"/>
  <c r="F155" i="35"/>
  <c r="G155" i="35"/>
  <c r="F180" i="35"/>
  <c r="G180" i="35"/>
  <c r="G201" i="35"/>
  <c r="F201" i="35"/>
  <c r="F161" i="35"/>
  <c r="G161" i="35"/>
  <c r="F190" i="35"/>
  <c r="G190" i="35"/>
  <c r="F143" i="35"/>
  <c r="G143" i="35"/>
  <c r="G134" i="35"/>
  <c r="F134" i="35"/>
  <c r="F131" i="35"/>
  <c r="G131" i="35"/>
  <c r="G136" i="35"/>
  <c r="F136" i="35"/>
  <c r="F128" i="35"/>
  <c r="G128" i="35"/>
  <c r="F129" i="35"/>
  <c r="G129" i="35"/>
  <c r="F157" i="35"/>
  <c r="G157" i="35"/>
  <c r="G140" i="35"/>
  <c r="F140" i="35"/>
  <c r="G104" i="35"/>
  <c r="F104" i="35"/>
  <c r="G111" i="35"/>
  <c r="F111" i="35"/>
  <c r="F117" i="35"/>
  <c r="G117" i="35"/>
  <c r="G107" i="35"/>
  <c r="F107" i="35"/>
  <c r="G103" i="35"/>
  <c r="F103" i="35"/>
  <c r="F99" i="35"/>
  <c r="G99" i="35"/>
  <c r="F84" i="35"/>
  <c r="G84" i="35"/>
  <c r="F98" i="35"/>
  <c r="G98" i="35"/>
  <c r="G75" i="35"/>
  <c r="F75" i="35"/>
  <c r="F92" i="35"/>
  <c r="G92" i="35"/>
  <c r="F77" i="35"/>
  <c r="G77" i="35"/>
  <c r="F88" i="35"/>
  <c r="G88" i="35"/>
  <c r="F69" i="35"/>
  <c r="G69" i="35"/>
  <c r="G63" i="35"/>
  <c r="F63" i="35"/>
  <c r="F59" i="35"/>
  <c r="G59" i="35"/>
  <c r="G48" i="35"/>
  <c r="F48" i="35"/>
  <c r="F44" i="35"/>
  <c r="G44" i="35"/>
  <c r="G50" i="35"/>
  <c r="F50" i="35"/>
  <c r="F61" i="35"/>
  <c r="G61" i="35"/>
  <c r="F49" i="35"/>
  <c r="G49" i="35"/>
  <c r="F28" i="35"/>
  <c r="G28" i="35"/>
  <c r="G31" i="35"/>
  <c r="F31" i="35"/>
  <c r="F36" i="35"/>
  <c r="G36" i="35"/>
  <c r="G19" i="35"/>
  <c r="F19" i="35"/>
  <c r="F20" i="35"/>
  <c r="G20" i="35"/>
  <c r="F14" i="35"/>
  <c r="G14" i="35"/>
  <c r="F16" i="35"/>
  <c r="G16" i="35"/>
  <c r="F996" i="34"/>
  <c r="G996" i="34"/>
  <c r="F978" i="34"/>
  <c r="G978" i="34"/>
  <c r="H7" i="34"/>
  <c r="C8" i="34"/>
  <c r="F1006" i="34"/>
  <c r="G1006" i="34"/>
  <c r="F983" i="34"/>
  <c r="G983" i="34"/>
  <c r="F955" i="34"/>
  <c r="G955" i="34"/>
  <c r="F922" i="34"/>
  <c r="G922" i="34"/>
  <c r="F993" i="34"/>
  <c r="G993" i="34"/>
  <c r="F960" i="34"/>
  <c r="G960" i="34"/>
  <c r="F940" i="34"/>
  <c r="G940" i="34"/>
  <c r="F923" i="34"/>
  <c r="G923" i="34"/>
  <c r="F985" i="34"/>
  <c r="G985" i="34"/>
  <c r="F968" i="34"/>
  <c r="G968" i="34"/>
  <c r="G926" i="34"/>
  <c r="F926" i="34"/>
  <c r="G919" i="34"/>
  <c r="F919" i="34"/>
  <c r="F972" i="34"/>
  <c r="G972" i="34"/>
  <c r="F970" i="34"/>
  <c r="G970" i="34"/>
  <c r="F967" i="34"/>
  <c r="G967" i="34"/>
  <c r="F951" i="34"/>
  <c r="G951" i="34"/>
  <c r="G905" i="34"/>
  <c r="F905" i="34"/>
  <c r="F881" i="34"/>
  <c r="G881" i="34"/>
  <c r="G845" i="34"/>
  <c r="F845" i="34"/>
  <c r="G815" i="34"/>
  <c r="F815" i="34"/>
  <c r="F788" i="34"/>
  <c r="G788" i="34"/>
  <c r="G910" i="34"/>
  <c r="F910" i="34"/>
  <c r="F890" i="34"/>
  <c r="G890" i="34"/>
  <c r="F866" i="34"/>
  <c r="G866" i="34"/>
  <c r="F824" i="34"/>
  <c r="G824" i="34"/>
  <c r="G789" i="34"/>
  <c r="F789" i="34"/>
  <c r="F777" i="34"/>
  <c r="G777" i="34"/>
  <c r="G758" i="34"/>
  <c r="F758" i="34"/>
  <c r="F730" i="34"/>
  <c r="G730" i="34"/>
  <c r="F717" i="34"/>
  <c r="G717" i="34"/>
  <c r="F691" i="34"/>
  <c r="G691" i="34"/>
  <c r="G874" i="34"/>
  <c r="F874" i="34"/>
  <c r="G833" i="34"/>
  <c r="F833" i="34"/>
  <c r="F828" i="34"/>
  <c r="G828" i="34"/>
  <c r="F809" i="34"/>
  <c r="G809" i="34"/>
  <c r="G939" i="34"/>
  <c r="F939" i="34"/>
  <c r="G873" i="34"/>
  <c r="F873" i="34"/>
  <c r="G852" i="34"/>
  <c r="F852" i="34"/>
  <c r="G807" i="34"/>
  <c r="F807" i="34"/>
  <c r="F773" i="34"/>
  <c r="G773" i="34"/>
  <c r="F720" i="34"/>
  <c r="G720" i="34"/>
  <c r="G694" i="34"/>
  <c r="F694" i="34"/>
  <c r="F909" i="34"/>
  <c r="G909" i="34"/>
  <c r="F886" i="34"/>
  <c r="G886" i="34"/>
  <c r="F850" i="34"/>
  <c r="G850" i="34"/>
  <c r="F811" i="34"/>
  <c r="G811" i="34"/>
  <c r="F780" i="34"/>
  <c r="G780" i="34"/>
  <c r="F920" i="34"/>
  <c r="G920" i="34"/>
  <c r="F895" i="34"/>
  <c r="G895" i="34"/>
  <c r="F875" i="34"/>
  <c r="G875" i="34"/>
  <c r="F844" i="34"/>
  <c r="G844" i="34"/>
  <c r="G812" i="34"/>
  <c r="F812" i="34"/>
  <c r="F781" i="34"/>
  <c r="G781" i="34"/>
  <c r="F766" i="34"/>
  <c r="G766" i="34"/>
  <c r="F744" i="34"/>
  <c r="G744" i="34"/>
  <c r="F727" i="34"/>
  <c r="G727" i="34"/>
  <c r="F704" i="34"/>
  <c r="G704" i="34"/>
  <c r="F884" i="34"/>
  <c r="G884" i="34"/>
  <c r="G849" i="34"/>
  <c r="F849" i="34"/>
  <c r="F813" i="34"/>
  <c r="G813" i="34"/>
  <c r="F795" i="34"/>
  <c r="G795" i="34"/>
  <c r="F778" i="34"/>
  <c r="G778" i="34"/>
  <c r="F948" i="34"/>
  <c r="G948" i="34"/>
  <c r="F932" i="34"/>
  <c r="G932" i="34"/>
  <c r="F865" i="34"/>
  <c r="G865" i="34"/>
  <c r="F846" i="34"/>
  <c r="G846" i="34"/>
  <c r="F791" i="34"/>
  <c r="G791" i="34"/>
  <c r="G745" i="34"/>
  <c r="F745" i="34"/>
  <c r="F680" i="34"/>
  <c r="G680" i="34"/>
  <c r="F739" i="34"/>
  <c r="G739" i="34"/>
  <c r="F688" i="34"/>
  <c r="G688" i="34"/>
  <c r="F665" i="34"/>
  <c r="G665" i="34"/>
  <c r="G618" i="34"/>
  <c r="F618" i="34"/>
  <c r="G590" i="34"/>
  <c r="F590" i="34"/>
  <c r="G573" i="34"/>
  <c r="F573" i="34"/>
  <c r="G756" i="34"/>
  <c r="F756" i="34"/>
  <c r="G731" i="34"/>
  <c r="F731" i="34"/>
  <c r="G695" i="34"/>
  <c r="F695" i="34"/>
  <c r="F668" i="34"/>
  <c r="G668" i="34"/>
  <c r="G652" i="34"/>
  <c r="F652" i="34"/>
  <c r="G634" i="34"/>
  <c r="F634" i="34"/>
  <c r="F608" i="34"/>
  <c r="G608" i="34"/>
  <c r="F571" i="34"/>
  <c r="G571" i="34"/>
  <c r="F757" i="34"/>
  <c r="G757" i="34"/>
  <c r="F728" i="34"/>
  <c r="G728" i="34"/>
  <c r="F698" i="34"/>
  <c r="G698" i="34"/>
  <c r="F671" i="34"/>
  <c r="G671" i="34"/>
  <c r="F662" i="34"/>
  <c r="G662" i="34"/>
  <c r="G640" i="34"/>
  <c r="F640" i="34"/>
  <c r="F630" i="34"/>
  <c r="G630" i="34"/>
  <c r="F603" i="34"/>
  <c r="G603" i="34"/>
  <c r="F574" i="34"/>
  <c r="G574" i="34"/>
  <c r="F736" i="34"/>
  <c r="G736" i="34"/>
  <c r="G709" i="34"/>
  <c r="F709" i="34"/>
  <c r="F681" i="34"/>
  <c r="G681" i="34"/>
  <c r="F661" i="34"/>
  <c r="G661" i="34"/>
  <c r="F615" i="34"/>
  <c r="G615" i="34"/>
  <c r="G596" i="34"/>
  <c r="F596" i="34"/>
  <c r="F581" i="34"/>
  <c r="G581" i="34"/>
  <c r="G646" i="34"/>
  <c r="F646" i="34"/>
  <c r="F570" i="34"/>
  <c r="G570" i="34"/>
  <c r="F524" i="34"/>
  <c r="G524" i="34"/>
  <c r="F498" i="34"/>
  <c r="G498" i="34"/>
  <c r="G482" i="34"/>
  <c r="F482" i="34"/>
  <c r="F566" i="34"/>
  <c r="G566" i="34"/>
  <c r="F626" i="34"/>
  <c r="G626" i="34"/>
  <c r="G575" i="34"/>
  <c r="F575" i="34"/>
  <c r="G538" i="34"/>
  <c r="F538" i="34"/>
  <c r="G517" i="34"/>
  <c r="F517" i="34"/>
  <c r="G499" i="34"/>
  <c r="F499" i="34"/>
  <c r="F564" i="34"/>
  <c r="G564" i="34"/>
  <c r="G624" i="34"/>
  <c r="F624" i="34"/>
  <c r="F593" i="34"/>
  <c r="G593" i="34"/>
  <c r="F567" i="34"/>
  <c r="G567" i="34"/>
  <c r="F542" i="34"/>
  <c r="G542" i="34"/>
  <c r="F532" i="34"/>
  <c r="G532" i="34"/>
  <c r="F509" i="34"/>
  <c r="G509" i="34"/>
  <c r="F483" i="34"/>
  <c r="G483" i="34"/>
  <c r="F612" i="34"/>
  <c r="G612" i="34"/>
  <c r="F592" i="34"/>
  <c r="G592" i="34"/>
  <c r="F563" i="34"/>
  <c r="G563" i="34"/>
  <c r="F551" i="34"/>
  <c r="G551" i="34"/>
  <c r="F537" i="34"/>
  <c r="G537" i="34"/>
  <c r="F514" i="34"/>
  <c r="G514" i="34"/>
  <c r="F471" i="34"/>
  <c r="G471" i="34"/>
  <c r="G513" i="34"/>
  <c r="F513" i="34"/>
  <c r="F486" i="34"/>
  <c r="G486" i="34"/>
  <c r="F464" i="34"/>
  <c r="G464" i="34"/>
  <c r="F425" i="34"/>
  <c r="G425" i="34"/>
  <c r="G404" i="34"/>
  <c r="F404" i="34"/>
  <c r="F383" i="34"/>
  <c r="G383" i="34"/>
  <c r="F451" i="34"/>
  <c r="G451" i="34"/>
  <c r="G500" i="34"/>
  <c r="F500" i="34"/>
  <c r="F455" i="34"/>
  <c r="G455" i="34"/>
  <c r="F402" i="34"/>
  <c r="G402" i="34"/>
  <c r="G370" i="34"/>
  <c r="F370" i="34"/>
  <c r="F527" i="34"/>
  <c r="G527" i="34"/>
  <c r="F472" i="34"/>
  <c r="G472" i="34"/>
  <c r="G461" i="34"/>
  <c r="F461" i="34"/>
  <c r="F442" i="34"/>
  <c r="G442" i="34"/>
  <c r="F397" i="34"/>
  <c r="G397" i="34"/>
  <c r="F376" i="34"/>
  <c r="G376" i="34"/>
  <c r="G546" i="34"/>
  <c r="F546" i="34"/>
  <c r="F477" i="34"/>
  <c r="G477" i="34"/>
  <c r="G465" i="34"/>
  <c r="F465" i="34"/>
  <c r="F443" i="34"/>
  <c r="G443" i="34"/>
  <c r="F416" i="34"/>
  <c r="G416" i="34"/>
  <c r="F362" i="34"/>
  <c r="G362" i="34"/>
  <c r="G439" i="34"/>
  <c r="F439" i="34"/>
  <c r="G420" i="34"/>
  <c r="F420" i="34"/>
  <c r="F405" i="34"/>
  <c r="G405" i="34"/>
  <c r="F421" i="34"/>
  <c r="G421" i="34"/>
  <c r="G325" i="34"/>
  <c r="F325" i="34"/>
  <c r="G432" i="34"/>
  <c r="F432" i="34"/>
  <c r="F364" i="34"/>
  <c r="G364" i="34"/>
  <c r="F341" i="34"/>
  <c r="G341" i="34"/>
  <c r="G322" i="34"/>
  <c r="F322" i="34"/>
  <c r="F316" i="34"/>
  <c r="G316" i="34"/>
  <c r="F347" i="34"/>
  <c r="G347" i="34"/>
  <c r="G340" i="34"/>
  <c r="F340" i="34"/>
  <c r="F406" i="34"/>
  <c r="G406" i="34"/>
  <c r="F377" i="34"/>
  <c r="G377" i="34"/>
  <c r="G371" i="34"/>
  <c r="F371" i="34"/>
  <c r="G348" i="34"/>
  <c r="F348" i="34"/>
  <c r="F338" i="34"/>
  <c r="G338" i="34"/>
  <c r="G329" i="34"/>
  <c r="F329" i="34"/>
  <c r="F436" i="34"/>
  <c r="G436" i="34"/>
  <c r="F427" i="34"/>
  <c r="G427" i="34"/>
  <c r="G368" i="34"/>
  <c r="F368" i="34"/>
  <c r="F339" i="34"/>
  <c r="G339" i="34"/>
  <c r="F309" i="34"/>
  <c r="G309" i="34"/>
  <c r="F336" i="34"/>
  <c r="G336" i="34"/>
  <c r="F297" i="34"/>
  <c r="G297" i="34"/>
  <c r="G262" i="34"/>
  <c r="F262" i="34"/>
  <c r="F253" i="34"/>
  <c r="G253" i="34"/>
  <c r="G292" i="34"/>
  <c r="F292" i="34"/>
  <c r="F261" i="34"/>
  <c r="G261" i="34"/>
  <c r="F251" i="34"/>
  <c r="G251" i="34"/>
  <c r="G276" i="34"/>
  <c r="F276" i="34"/>
  <c r="F257" i="34"/>
  <c r="G257" i="34"/>
  <c r="G311" i="34"/>
  <c r="F311" i="34"/>
  <c r="F280" i="34"/>
  <c r="G280" i="34"/>
  <c r="F248" i="34"/>
  <c r="G248" i="34"/>
  <c r="G255" i="34"/>
  <c r="F255" i="34"/>
  <c r="F299" i="34"/>
  <c r="G299" i="34"/>
  <c r="F288" i="34"/>
  <c r="G288" i="34"/>
  <c r="F269" i="34"/>
  <c r="G269" i="34"/>
  <c r="F272" i="34"/>
  <c r="G272" i="34"/>
  <c r="F224" i="34"/>
  <c r="G224" i="34"/>
  <c r="F228" i="34"/>
  <c r="G228" i="34"/>
  <c r="G250" i="34"/>
  <c r="F250" i="34"/>
  <c r="G218" i="34"/>
  <c r="F218" i="34"/>
  <c r="G203" i="34"/>
  <c r="F203" i="34"/>
  <c r="F205" i="34"/>
  <c r="G205" i="34"/>
  <c r="F229" i="34"/>
  <c r="G229" i="34"/>
  <c r="F219" i="34"/>
  <c r="G219" i="34"/>
  <c r="F216" i="34"/>
  <c r="G216" i="34"/>
  <c r="F237" i="34"/>
  <c r="G237" i="34"/>
  <c r="F217" i="34"/>
  <c r="G217" i="34"/>
  <c r="F191" i="34"/>
  <c r="G191" i="34"/>
  <c r="F179" i="34"/>
  <c r="G179" i="34"/>
  <c r="F152" i="34"/>
  <c r="G152" i="34"/>
  <c r="F160" i="34"/>
  <c r="G160" i="34"/>
  <c r="F201" i="34"/>
  <c r="G201" i="34"/>
  <c r="G180" i="34"/>
  <c r="F180" i="34"/>
  <c r="F174" i="34"/>
  <c r="G174" i="34"/>
  <c r="F184" i="34"/>
  <c r="G184" i="34"/>
  <c r="F153" i="34"/>
  <c r="G153" i="34"/>
  <c r="F170" i="34"/>
  <c r="G170" i="34"/>
  <c r="G195" i="34"/>
  <c r="F195" i="34"/>
  <c r="G189" i="34"/>
  <c r="F189" i="34"/>
  <c r="G162" i="34"/>
  <c r="F162" i="34"/>
  <c r="F121" i="34"/>
  <c r="G121" i="34"/>
  <c r="F141" i="34"/>
  <c r="G141" i="34"/>
  <c r="F145" i="34"/>
  <c r="G145" i="34"/>
  <c r="G127" i="34"/>
  <c r="F127" i="34"/>
  <c r="F142" i="34"/>
  <c r="G142" i="34"/>
  <c r="F122" i="34"/>
  <c r="G122" i="34"/>
  <c r="G144" i="34"/>
  <c r="F144" i="34"/>
  <c r="G115" i="34"/>
  <c r="F115" i="34"/>
  <c r="G111" i="34"/>
  <c r="F111" i="34"/>
  <c r="F116" i="34"/>
  <c r="G116" i="34"/>
  <c r="F114" i="34"/>
  <c r="G114" i="34"/>
  <c r="F119" i="34"/>
  <c r="G119" i="34"/>
  <c r="G101" i="34"/>
  <c r="F101" i="34"/>
  <c r="F91" i="34"/>
  <c r="G91" i="34"/>
  <c r="F87" i="34"/>
  <c r="G87" i="34"/>
  <c r="F75" i="34"/>
  <c r="G75" i="34"/>
  <c r="F81" i="34"/>
  <c r="G81" i="34"/>
  <c r="F93" i="34"/>
  <c r="G93" i="34"/>
  <c r="G76" i="34"/>
  <c r="F76" i="34"/>
  <c r="G69" i="34"/>
  <c r="F69" i="34"/>
  <c r="G68" i="34"/>
  <c r="F68" i="34"/>
  <c r="F57" i="34"/>
  <c r="G57" i="34"/>
  <c r="G50" i="34"/>
  <c r="F50" i="34"/>
  <c r="G51" i="34"/>
  <c r="F51" i="34"/>
  <c r="F53" i="34"/>
  <c r="G53" i="34"/>
  <c r="F52" i="34"/>
  <c r="G52" i="34"/>
  <c r="F39" i="34"/>
  <c r="G39" i="34"/>
  <c r="F49" i="34"/>
  <c r="G49" i="34"/>
  <c r="F28" i="34"/>
  <c r="G28" i="34"/>
  <c r="F29" i="34"/>
  <c r="G29" i="34"/>
  <c r="G32" i="34"/>
  <c r="F32" i="34"/>
  <c r="G15" i="34"/>
  <c r="F15" i="34"/>
  <c r="F20" i="34"/>
  <c r="G20" i="34"/>
  <c r="G14" i="34"/>
  <c r="F14" i="34"/>
  <c r="F25" i="36"/>
  <c r="G25" i="36"/>
  <c r="F34" i="36"/>
  <c r="G34" i="36"/>
  <c r="F52" i="36"/>
  <c r="G52" i="36"/>
  <c r="F31" i="36"/>
  <c r="G31" i="36"/>
  <c r="F67" i="36"/>
  <c r="G67" i="36"/>
  <c r="F82" i="36"/>
  <c r="G82" i="36"/>
  <c r="G97" i="36"/>
  <c r="F97" i="36"/>
  <c r="F143" i="36"/>
  <c r="G143" i="36"/>
  <c r="F121" i="36"/>
  <c r="G121" i="36"/>
  <c r="F172" i="36"/>
  <c r="G172" i="36"/>
  <c r="F170" i="36"/>
  <c r="G170" i="36"/>
  <c r="F200" i="36"/>
  <c r="G200" i="36"/>
  <c r="F211" i="36"/>
  <c r="G211" i="36"/>
  <c r="F228" i="36"/>
  <c r="G228" i="36"/>
  <c r="F210" i="36"/>
  <c r="G210" i="36"/>
  <c r="G263" i="36"/>
  <c r="F263" i="36"/>
  <c r="G274" i="36"/>
  <c r="F274" i="36"/>
  <c r="F277" i="36"/>
  <c r="G277" i="36"/>
  <c r="F275" i="36"/>
  <c r="G275" i="36"/>
  <c r="F363" i="36"/>
  <c r="G363" i="36"/>
  <c r="F346" i="36"/>
  <c r="G346" i="36"/>
  <c r="F413" i="36"/>
  <c r="G413" i="36"/>
  <c r="F338" i="36"/>
  <c r="G338" i="36"/>
  <c r="F340" i="36"/>
  <c r="G340" i="36"/>
  <c r="F388" i="36"/>
  <c r="G388" i="36"/>
  <c r="F489" i="36"/>
  <c r="G489" i="36"/>
  <c r="F429" i="36"/>
  <c r="G429" i="36"/>
  <c r="F515" i="36"/>
  <c r="G515" i="36"/>
  <c r="F439" i="36"/>
  <c r="G439" i="36"/>
  <c r="F404" i="36"/>
  <c r="G404" i="36"/>
  <c r="F483" i="36"/>
  <c r="G483" i="36"/>
  <c r="G522" i="36"/>
  <c r="F522" i="36"/>
  <c r="G607" i="36"/>
  <c r="F607" i="36"/>
  <c r="F517" i="36"/>
  <c r="G517" i="36"/>
  <c r="G472" i="36"/>
  <c r="F472" i="36"/>
  <c r="G552" i="36"/>
  <c r="F552" i="36"/>
  <c r="G471" i="36"/>
  <c r="F471" i="36"/>
  <c r="F646" i="36"/>
  <c r="G646" i="36"/>
  <c r="G686" i="36"/>
  <c r="F686" i="36"/>
  <c r="F627" i="36"/>
  <c r="G627" i="36"/>
  <c r="F735" i="36"/>
  <c r="G735" i="36"/>
  <c r="G649" i="36"/>
  <c r="F649" i="36"/>
  <c r="F581" i="36"/>
  <c r="G581" i="36"/>
  <c r="G680" i="36"/>
  <c r="F680" i="36"/>
  <c r="G697" i="36"/>
  <c r="F697" i="36"/>
  <c r="F780" i="36"/>
  <c r="G780" i="36"/>
  <c r="F919" i="36"/>
  <c r="G919" i="36"/>
  <c r="F834" i="36"/>
  <c r="G834" i="36"/>
  <c r="F728" i="36"/>
  <c r="G728" i="36"/>
  <c r="F860" i="36"/>
  <c r="G860" i="36"/>
  <c r="F807" i="36"/>
  <c r="G807" i="36"/>
  <c r="F688" i="36"/>
  <c r="G688" i="36"/>
  <c r="G765" i="36"/>
  <c r="F765" i="36"/>
  <c r="F776" i="36"/>
  <c r="G776" i="36"/>
  <c r="G882" i="36"/>
  <c r="F882" i="36"/>
  <c r="G785" i="36"/>
  <c r="F785" i="36"/>
  <c r="F916" i="36"/>
  <c r="G916" i="36"/>
  <c r="G815" i="36"/>
  <c r="F815" i="36"/>
  <c r="G962" i="36"/>
  <c r="F962" i="36"/>
  <c r="F968" i="36"/>
  <c r="G968" i="36"/>
  <c r="F951" i="36"/>
  <c r="G951" i="36"/>
  <c r="F971" i="36"/>
  <c r="G971" i="36"/>
  <c r="G994" i="36"/>
  <c r="F994" i="36"/>
  <c r="F38" i="36"/>
  <c r="G38" i="36"/>
  <c r="F59" i="36"/>
  <c r="G59" i="36"/>
  <c r="F176" i="36"/>
  <c r="G176" i="36"/>
  <c r="G19" i="36"/>
  <c r="F19" i="36"/>
  <c r="F51" i="36"/>
  <c r="G51" i="36"/>
  <c r="G56" i="36"/>
  <c r="F56" i="36"/>
  <c r="F111" i="36"/>
  <c r="G111" i="36"/>
  <c r="F164" i="36"/>
  <c r="G164" i="36"/>
  <c r="F181" i="36"/>
  <c r="G181" i="36"/>
  <c r="F209" i="36"/>
  <c r="G209" i="36"/>
  <c r="F207" i="36"/>
  <c r="G207" i="36"/>
  <c r="F278" i="36"/>
  <c r="G278" i="36"/>
  <c r="F248" i="36"/>
  <c r="G248" i="36"/>
  <c r="F321" i="36"/>
  <c r="G321" i="36"/>
  <c r="F331" i="36"/>
  <c r="G331" i="36"/>
  <c r="F313" i="36"/>
  <c r="G313" i="36"/>
  <c r="F35" i="36"/>
  <c r="G35" i="36"/>
  <c r="F42" i="36"/>
  <c r="G42" i="36"/>
  <c r="F65" i="36"/>
  <c r="G65" i="36"/>
  <c r="F74" i="36"/>
  <c r="G74" i="36"/>
  <c r="G81" i="36"/>
  <c r="F81" i="36"/>
  <c r="G117" i="36"/>
  <c r="F117" i="36"/>
  <c r="F127" i="36"/>
  <c r="G127" i="36"/>
  <c r="F125" i="36"/>
  <c r="G125" i="36"/>
  <c r="G190" i="36"/>
  <c r="F190" i="36"/>
  <c r="G173" i="36"/>
  <c r="F173" i="36"/>
  <c r="G157" i="36"/>
  <c r="F157" i="36"/>
  <c r="F214" i="36"/>
  <c r="G214" i="36"/>
  <c r="F230" i="36"/>
  <c r="G230" i="36"/>
  <c r="F213" i="36"/>
  <c r="G213" i="36"/>
  <c r="F264" i="36"/>
  <c r="G264" i="36"/>
  <c r="F276" i="36"/>
  <c r="G276" i="36"/>
  <c r="G280" i="36"/>
  <c r="F280" i="36"/>
  <c r="F279" i="36"/>
  <c r="G279" i="36"/>
  <c r="G379" i="36"/>
  <c r="F379" i="36"/>
  <c r="F348" i="36"/>
  <c r="G348" i="36"/>
  <c r="G428" i="36"/>
  <c r="F428" i="36"/>
  <c r="G341" i="36"/>
  <c r="F341" i="36"/>
  <c r="F347" i="36"/>
  <c r="G347" i="36"/>
  <c r="F391" i="36"/>
  <c r="G391" i="36"/>
  <c r="F505" i="36"/>
  <c r="G505" i="36"/>
  <c r="G432" i="36"/>
  <c r="F432" i="36"/>
  <c r="G448" i="36"/>
  <c r="F448" i="36"/>
  <c r="F445" i="36"/>
  <c r="G445" i="36"/>
  <c r="F405" i="36"/>
  <c r="G405" i="36"/>
  <c r="F490" i="36"/>
  <c r="G490" i="36"/>
  <c r="F529" i="36"/>
  <c r="G529" i="36"/>
  <c r="G618" i="36"/>
  <c r="F618" i="36"/>
  <c r="F526" i="36"/>
  <c r="G526" i="36"/>
  <c r="F476" i="36"/>
  <c r="G476" i="36"/>
  <c r="G565" i="36"/>
  <c r="F565" i="36"/>
  <c r="F474" i="36"/>
  <c r="G474" i="36"/>
  <c r="F572" i="36"/>
  <c r="G572" i="36"/>
  <c r="F702" i="36"/>
  <c r="G702" i="36"/>
  <c r="F629" i="36"/>
  <c r="G629" i="36"/>
  <c r="F661" i="36"/>
  <c r="G661" i="36"/>
  <c r="F654" i="36"/>
  <c r="G654" i="36"/>
  <c r="F602" i="36"/>
  <c r="G602" i="36"/>
  <c r="F683" i="36"/>
  <c r="G683" i="36"/>
  <c r="F710" i="36"/>
  <c r="G710" i="36"/>
  <c r="F792" i="36"/>
  <c r="G792" i="36"/>
  <c r="F923" i="36"/>
  <c r="G923" i="36"/>
  <c r="F836" i="36"/>
  <c r="G836" i="36"/>
  <c r="F729" i="36"/>
  <c r="G729" i="36"/>
  <c r="F873" i="36"/>
  <c r="G873" i="36"/>
  <c r="G817" i="36"/>
  <c r="F817" i="36"/>
  <c r="F693" i="36"/>
  <c r="G693" i="36"/>
  <c r="G767" i="36"/>
  <c r="F767" i="36"/>
  <c r="G783" i="36"/>
  <c r="F783" i="36"/>
  <c r="G889" i="36"/>
  <c r="F889" i="36"/>
  <c r="F786" i="36"/>
  <c r="G786" i="36"/>
  <c r="G938" i="36"/>
  <c r="F938" i="36"/>
  <c r="G828" i="36"/>
  <c r="F828" i="36"/>
  <c r="F967" i="36"/>
  <c r="G967" i="36"/>
  <c r="F978" i="36"/>
  <c r="G978" i="36"/>
  <c r="F956" i="36"/>
  <c r="G956" i="36"/>
  <c r="F992" i="36"/>
  <c r="G992" i="36"/>
  <c r="F999" i="36"/>
  <c r="G999" i="36"/>
  <c r="F987" i="33"/>
  <c r="G987" i="33"/>
  <c r="F1003" i="33"/>
  <c r="G1003" i="33"/>
  <c r="G1005" i="33"/>
  <c r="F1005" i="33"/>
  <c r="F999" i="33"/>
  <c r="G999" i="33"/>
  <c r="F982" i="33"/>
  <c r="G982" i="33"/>
  <c r="F954" i="33"/>
  <c r="G954" i="33"/>
  <c r="G914" i="33"/>
  <c r="F914" i="33"/>
  <c r="G906" i="33"/>
  <c r="F906" i="33"/>
  <c r="F977" i="33"/>
  <c r="G977" i="33"/>
  <c r="F971" i="33"/>
  <c r="G971" i="33"/>
  <c r="F950" i="33"/>
  <c r="G950" i="33"/>
  <c r="F924" i="33"/>
  <c r="G924" i="33"/>
  <c r="F988" i="33"/>
  <c r="G988" i="33"/>
  <c r="F973" i="33"/>
  <c r="G973" i="33"/>
  <c r="F931" i="33"/>
  <c r="G931" i="33"/>
  <c r="F981" i="33"/>
  <c r="G981" i="33"/>
  <c r="G962" i="33"/>
  <c r="F962" i="33"/>
  <c r="F943" i="33"/>
  <c r="G943" i="33"/>
  <c r="G909" i="33"/>
  <c r="F909" i="33"/>
  <c r="F894" i="33"/>
  <c r="G894" i="33"/>
  <c r="G862" i="33"/>
  <c r="F862" i="33"/>
  <c r="F838" i="33"/>
  <c r="G838" i="33"/>
  <c r="G804" i="33"/>
  <c r="F804" i="33"/>
  <c r="G940" i="33"/>
  <c r="F940" i="33"/>
  <c r="F901" i="33"/>
  <c r="G901" i="33"/>
  <c r="F857" i="33"/>
  <c r="G857" i="33"/>
  <c r="F829" i="33"/>
  <c r="G829" i="33"/>
  <c r="F800" i="33"/>
  <c r="G800" i="33"/>
  <c r="F811" i="33"/>
  <c r="G811" i="33"/>
  <c r="F776" i="33"/>
  <c r="G776" i="33"/>
  <c r="G731" i="33"/>
  <c r="F731" i="33"/>
  <c r="F697" i="33"/>
  <c r="G697" i="33"/>
  <c r="F886" i="33"/>
  <c r="G886" i="33"/>
  <c r="G855" i="33"/>
  <c r="F855" i="33"/>
  <c r="G836" i="33"/>
  <c r="F836" i="33"/>
  <c r="G818" i="33"/>
  <c r="F818" i="33"/>
  <c r="F778" i="33"/>
  <c r="G778" i="33"/>
  <c r="F927" i="33"/>
  <c r="G927" i="33"/>
  <c r="G898" i="33"/>
  <c r="F898" i="33"/>
  <c r="F873" i="33"/>
  <c r="G873" i="33"/>
  <c r="G832" i="33"/>
  <c r="F832" i="33"/>
  <c r="F777" i="33"/>
  <c r="G777" i="33"/>
  <c r="G767" i="33"/>
  <c r="F767" i="33"/>
  <c r="G748" i="33"/>
  <c r="F748" i="33"/>
  <c r="F727" i="33"/>
  <c r="G727" i="33"/>
  <c r="F717" i="33"/>
  <c r="G717" i="33"/>
  <c r="F689" i="33"/>
  <c r="G689" i="33"/>
  <c r="G673" i="33"/>
  <c r="F673" i="33"/>
  <c r="F885" i="33"/>
  <c r="G885" i="33"/>
  <c r="F859" i="33"/>
  <c r="G859" i="33"/>
  <c r="F823" i="33"/>
  <c r="G823" i="33"/>
  <c r="F796" i="33"/>
  <c r="G796" i="33"/>
  <c r="F926" i="33"/>
  <c r="G926" i="33"/>
  <c r="F915" i="33"/>
  <c r="G915" i="33"/>
  <c r="G893" i="33"/>
  <c r="F893" i="33"/>
  <c r="G827" i="33"/>
  <c r="F827" i="33"/>
  <c r="F794" i="33"/>
  <c r="G794" i="33"/>
  <c r="F764" i="33"/>
  <c r="G764" i="33"/>
  <c r="F711" i="33"/>
  <c r="G711" i="33"/>
  <c r="F688" i="33"/>
  <c r="G688" i="33"/>
  <c r="F902" i="33"/>
  <c r="G902" i="33"/>
  <c r="F848" i="33"/>
  <c r="G848" i="33"/>
  <c r="G816" i="33"/>
  <c r="F816" i="33"/>
  <c r="F785" i="33"/>
  <c r="G785" i="33"/>
  <c r="F941" i="33"/>
  <c r="G941" i="33"/>
  <c r="G867" i="33"/>
  <c r="F867" i="33"/>
  <c r="F830" i="33"/>
  <c r="G830" i="33"/>
  <c r="F806" i="33"/>
  <c r="G806" i="33"/>
  <c r="G787" i="33"/>
  <c r="F787" i="33"/>
  <c r="F851" i="33"/>
  <c r="G851" i="33"/>
  <c r="F750" i="33"/>
  <c r="G750" i="33"/>
  <c r="F725" i="33"/>
  <c r="G725" i="33"/>
  <c r="F690" i="33"/>
  <c r="G690" i="33"/>
  <c r="F751" i="33"/>
  <c r="G751" i="33"/>
  <c r="G719" i="33"/>
  <c r="F719" i="33"/>
  <c r="F679" i="33"/>
  <c r="G679" i="33"/>
  <c r="F670" i="33"/>
  <c r="G670" i="33"/>
  <c r="F631" i="33"/>
  <c r="G631" i="33"/>
  <c r="F597" i="33"/>
  <c r="G597" i="33"/>
  <c r="F579" i="33"/>
  <c r="G579" i="33"/>
  <c r="F733" i="33"/>
  <c r="G733" i="33"/>
  <c r="G698" i="33"/>
  <c r="F698" i="33"/>
  <c r="G664" i="33"/>
  <c r="F664" i="33"/>
  <c r="G635" i="33"/>
  <c r="F635" i="33"/>
  <c r="G621" i="33"/>
  <c r="F621" i="33"/>
  <c r="F581" i="33"/>
  <c r="G581" i="33"/>
  <c r="G564" i="33"/>
  <c r="F564" i="33"/>
  <c r="F738" i="33"/>
  <c r="G738" i="33"/>
  <c r="F720" i="33"/>
  <c r="G720" i="33"/>
  <c r="F692" i="33"/>
  <c r="G692" i="33"/>
  <c r="F657" i="33"/>
  <c r="G657" i="33"/>
  <c r="F632" i="33"/>
  <c r="G632" i="33"/>
  <c r="F615" i="33"/>
  <c r="G615" i="33"/>
  <c r="F584" i="33"/>
  <c r="G584" i="33"/>
  <c r="F759" i="33"/>
  <c r="G759" i="33"/>
  <c r="F730" i="33"/>
  <c r="G730" i="33"/>
  <c r="F680" i="33"/>
  <c r="G680" i="33"/>
  <c r="G659" i="33"/>
  <c r="F659" i="33"/>
  <c r="F627" i="33"/>
  <c r="G627" i="33"/>
  <c r="G594" i="33"/>
  <c r="F594" i="33"/>
  <c r="F565" i="33"/>
  <c r="G565" i="33"/>
  <c r="F652" i="33"/>
  <c r="G652" i="33"/>
  <c r="F614" i="33"/>
  <c r="G614" i="33"/>
  <c r="F588" i="33"/>
  <c r="G588" i="33"/>
  <c r="F562" i="33"/>
  <c r="G562" i="33"/>
  <c r="F549" i="33"/>
  <c r="G549" i="33"/>
  <c r="F527" i="33"/>
  <c r="G527" i="33"/>
  <c r="F513" i="33"/>
  <c r="G513" i="33"/>
  <c r="G497" i="33"/>
  <c r="F497" i="33"/>
  <c r="F471" i="33"/>
  <c r="G471" i="33"/>
  <c r="F639" i="33"/>
  <c r="G639" i="33"/>
  <c r="F598" i="33"/>
  <c r="G598" i="33"/>
  <c r="F560" i="33"/>
  <c r="G560" i="33"/>
  <c r="F550" i="33"/>
  <c r="G550" i="33"/>
  <c r="F519" i="33"/>
  <c r="G519" i="33"/>
  <c r="F556" i="33"/>
  <c r="G556" i="33"/>
  <c r="G599" i="33"/>
  <c r="F599" i="33"/>
  <c r="F611" i="33"/>
  <c r="G611" i="33"/>
  <c r="F517" i="33"/>
  <c r="G517" i="33"/>
  <c r="F485" i="33"/>
  <c r="G485" i="33"/>
  <c r="F468" i="33"/>
  <c r="G468" i="33"/>
  <c r="F647" i="33"/>
  <c r="G647" i="33"/>
  <c r="G616" i="33"/>
  <c r="F616" i="33"/>
  <c r="G572" i="33"/>
  <c r="F572" i="33"/>
  <c r="G533" i="33"/>
  <c r="F533" i="33"/>
  <c r="G512" i="33"/>
  <c r="F512" i="33"/>
  <c r="G483" i="33"/>
  <c r="F483" i="33"/>
  <c r="F530" i="33"/>
  <c r="G530" i="33"/>
  <c r="F489" i="33"/>
  <c r="G489" i="33"/>
  <c r="F455" i="33"/>
  <c r="G455" i="33"/>
  <c r="F422" i="33"/>
  <c r="G422" i="33"/>
  <c r="F382" i="33"/>
  <c r="G382" i="33"/>
  <c r="F529" i="33"/>
  <c r="G529" i="33"/>
  <c r="G504" i="33"/>
  <c r="F504" i="33"/>
  <c r="G481" i="33"/>
  <c r="F481" i="33"/>
  <c r="F453" i="33"/>
  <c r="G453" i="33"/>
  <c r="F440" i="33"/>
  <c r="G440" i="33"/>
  <c r="F424" i="33"/>
  <c r="G424" i="33"/>
  <c r="F404" i="33"/>
  <c r="G404" i="33"/>
  <c r="F535" i="33"/>
  <c r="G535" i="33"/>
  <c r="F488" i="33"/>
  <c r="G488" i="33"/>
  <c r="F462" i="33"/>
  <c r="G462" i="33"/>
  <c r="F428" i="33"/>
  <c r="G428" i="33"/>
  <c r="G414" i="33"/>
  <c r="F414" i="33"/>
  <c r="F398" i="33"/>
  <c r="G398" i="33"/>
  <c r="F385" i="33"/>
  <c r="G385" i="33"/>
  <c r="G444" i="33"/>
  <c r="F444" i="33"/>
  <c r="F506" i="33"/>
  <c r="G506" i="33"/>
  <c r="F457" i="33"/>
  <c r="G457" i="33"/>
  <c r="F433" i="33"/>
  <c r="G433" i="33"/>
  <c r="F384" i="33"/>
  <c r="G384" i="33"/>
  <c r="G449" i="33"/>
  <c r="F449" i="33"/>
  <c r="F439" i="33"/>
  <c r="G439" i="33"/>
  <c r="F405" i="33"/>
  <c r="G405" i="33"/>
  <c r="F328" i="33"/>
  <c r="G328" i="33"/>
  <c r="F343" i="33"/>
  <c r="G343" i="33"/>
  <c r="F306" i="33"/>
  <c r="G306" i="33"/>
  <c r="G409" i="33"/>
  <c r="F409" i="33"/>
  <c r="F361" i="33"/>
  <c r="G361" i="33"/>
  <c r="F360" i="33"/>
  <c r="G360" i="33"/>
  <c r="G336" i="33"/>
  <c r="F336" i="33"/>
  <c r="F354" i="33"/>
  <c r="G354" i="33"/>
  <c r="G319" i="33"/>
  <c r="F319" i="33"/>
  <c r="F400" i="33"/>
  <c r="G400" i="33"/>
  <c r="F377" i="33"/>
  <c r="G377" i="33"/>
  <c r="F391" i="33"/>
  <c r="G391" i="33"/>
  <c r="F347" i="33"/>
  <c r="G347" i="33"/>
  <c r="F324" i="33"/>
  <c r="G324" i="33"/>
  <c r="F302" i="33"/>
  <c r="G302" i="33"/>
  <c r="F406" i="33"/>
  <c r="G406" i="33"/>
  <c r="G387" i="33"/>
  <c r="F387" i="33"/>
  <c r="F348" i="33"/>
  <c r="G348" i="33"/>
  <c r="F322" i="33"/>
  <c r="G322" i="33"/>
  <c r="F338" i="33"/>
  <c r="G338" i="33"/>
  <c r="F293" i="33"/>
  <c r="G293" i="33"/>
  <c r="F275" i="33"/>
  <c r="G275" i="33"/>
  <c r="F260" i="33"/>
  <c r="G260" i="33"/>
  <c r="F288" i="33"/>
  <c r="G288" i="33"/>
  <c r="F269" i="33"/>
  <c r="G269" i="33"/>
  <c r="G300" i="33"/>
  <c r="F300" i="33"/>
  <c r="G274" i="33"/>
  <c r="F274" i="33"/>
  <c r="F292" i="33"/>
  <c r="G292" i="33"/>
  <c r="G320" i="33"/>
  <c r="F320" i="33"/>
  <c r="F304" i="33"/>
  <c r="G304" i="33"/>
  <c r="F283" i="33"/>
  <c r="G283" i="33"/>
  <c r="F294" i="33"/>
  <c r="G294" i="33"/>
  <c r="F311" i="33"/>
  <c r="G311" i="33"/>
  <c r="F261" i="33"/>
  <c r="G261" i="33"/>
  <c r="G273" i="33"/>
  <c r="F273" i="33"/>
  <c r="F252" i="33"/>
  <c r="G252" i="33"/>
  <c r="G238" i="33"/>
  <c r="F238" i="33"/>
  <c r="F201" i="33"/>
  <c r="G201" i="33"/>
  <c r="F231" i="33"/>
  <c r="G231" i="33"/>
  <c r="F217" i="33"/>
  <c r="G217" i="33"/>
  <c r="F220" i="33"/>
  <c r="G220" i="33"/>
  <c r="F224" i="33"/>
  <c r="G224" i="33"/>
  <c r="F206" i="33"/>
  <c r="G206" i="33"/>
  <c r="F213" i="33"/>
  <c r="G213" i="33"/>
  <c r="F237" i="33"/>
  <c r="G237" i="33"/>
  <c r="G211" i="33"/>
  <c r="F211" i="33"/>
  <c r="F212" i="33"/>
  <c r="G212" i="33"/>
  <c r="G166" i="33"/>
  <c r="F166" i="33"/>
  <c r="F181" i="33"/>
  <c r="G181" i="33"/>
  <c r="F199" i="33"/>
  <c r="G199" i="33"/>
  <c r="G170" i="33"/>
  <c r="F170" i="33"/>
  <c r="F156" i="33"/>
  <c r="G156" i="33"/>
  <c r="G168" i="33"/>
  <c r="F168" i="33"/>
  <c r="F182" i="33"/>
  <c r="G182" i="33"/>
  <c r="F155" i="33"/>
  <c r="G155" i="33"/>
  <c r="F172" i="33"/>
  <c r="G172" i="33"/>
  <c r="F221" i="33"/>
  <c r="G221" i="33"/>
  <c r="F190" i="33"/>
  <c r="G190" i="33"/>
  <c r="F151" i="33"/>
  <c r="G151" i="33"/>
  <c r="F177" i="33"/>
  <c r="G177" i="33"/>
  <c r="G147" i="33"/>
  <c r="F147" i="33"/>
  <c r="G126" i="33"/>
  <c r="F126" i="33"/>
  <c r="F141" i="33"/>
  <c r="G141" i="33"/>
  <c r="F135" i="33"/>
  <c r="G135" i="33"/>
  <c r="F146" i="33"/>
  <c r="G146" i="33"/>
  <c r="F121" i="33"/>
  <c r="G121" i="33"/>
  <c r="G129" i="33"/>
  <c r="F129" i="33"/>
  <c r="F132" i="33"/>
  <c r="G132" i="33"/>
  <c r="F111" i="33"/>
  <c r="G111" i="33"/>
  <c r="G114" i="33"/>
  <c r="F114" i="33"/>
  <c r="G100" i="33"/>
  <c r="F100" i="33"/>
  <c r="G102" i="33"/>
  <c r="F102" i="33"/>
  <c r="F105" i="33"/>
  <c r="G105" i="33"/>
  <c r="F83" i="33"/>
  <c r="G83" i="33"/>
  <c r="F93" i="33"/>
  <c r="G93" i="33"/>
  <c r="F91" i="33"/>
  <c r="G91" i="33"/>
  <c r="F94" i="33"/>
  <c r="G94" i="33"/>
  <c r="F85" i="33"/>
  <c r="G85" i="33"/>
  <c r="G78" i="33"/>
  <c r="F78" i="33"/>
  <c r="G60" i="33"/>
  <c r="F60" i="33"/>
  <c r="F57" i="33"/>
  <c r="G57" i="33"/>
  <c r="G54" i="33"/>
  <c r="F54" i="33"/>
  <c r="G52" i="33"/>
  <c r="F52" i="33"/>
  <c r="F47" i="33"/>
  <c r="G47" i="33"/>
  <c r="F62" i="33"/>
  <c r="G62" i="33"/>
  <c r="F68" i="33"/>
  <c r="G68" i="33"/>
  <c r="G51" i="33"/>
  <c r="F51" i="33"/>
  <c r="G58" i="33"/>
  <c r="F58" i="33"/>
  <c r="F38" i="33"/>
  <c r="G38" i="33"/>
  <c r="F32" i="33"/>
  <c r="G32" i="33"/>
  <c r="F33" i="33"/>
  <c r="G33" i="33"/>
  <c r="F19" i="33"/>
  <c r="G19" i="33"/>
  <c r="G24" i="33"/>
  <c r="F24" i="33"/>
  <c r="F20" i="33"/>
  <c r="G20" i="33"/>
  <c r="F15" i="33"/>
  <c r="G15" i="33"/>
  <c r="F22" i="36"/>
  <c r="G22" i="36"/>
  <c r="F46" i="36"/>
  <c r="G46" i="36"/>
  <c r="F63" i="36"/>
  <c r="G63" i="36"/>
  <c r="F70" i="36"/>
  <c r="G70" i="36"/>
  <c r="F90" i="36"/>
  <c r="G90" i="36"/>
  <c r="F115" i="36"/>
  <c r="G115" i="36"/>
  <c r="F118" i="36"/>
  <c r="G118" i="36"/>
  <c r="F148" i="36"/>
  <c r="G148" i="36"/>
  <c r="F138" i="36"/>
  <c r="G138" i="36"/>
  <c r="G159" i="36"/>
  <c r="F159" i="36"/>
  <c r="G166" i="36"/>
  <c r="F166" i="36"/>
  <c r="G180" i="36"/>
  <c r="F180" i="36"/>
  <c r="G205" i="36"/>
  <c r="F205" i="36"/>
  <c r="F227" i="36"/>
  <c r="G227" i="36"/>
  <c r="F246" i="36"/>
  <c r="G246" i="36"/>
  <c r="F249" i="36"/>
  <c r="G249" i="36"/>
  <c r="F272" i="36"/>
  <c r="G272" i="36"/>
  <c r="G289" i="36"/>
  <c r="F289" i="36"/>
  <c r="F356" i="36"/>
  <c r="G356" i="36"/>
  <c r="F444" i="36"/>
  <c r="G444" i="36"/>
  <c r="F343" i="36"/>
  <c r="G343" i="36"/>
  <c r="F308" i="36"/>
  <c r="G308" i="36"/>
  <c r="G433" i="36"/>
  <c r="F433" i="36"/>
  <c r="F384" i="36"/>
  <c r="G384" i="36"/>
  <c r="F431" i="36"/>
  <c r="G431" i="36"/>
  <c r="F366" i="36"/>
  <c r="G366" i="36"/>
  <c r="F469" i="36"/>
  <c r="G469" i="36"/>
  <c r="F399" i="36"/>
  <c r="G399" i="36"/>
  <c r="G507" i="36"/>
  <c r="F507" i="36"/>
  <c r="G455" i="36"/>
  <c r="F455" i="36"/>
  <c r="F540" i="36"/>
  <c r="G540" i="36"/>
  <c r="F584" i="36"/>
  <c r="G584" i="36"/>
  <c r="F473" i="36"/>
  <c r="G473" i="36"/>
  <c r="F587" i="36"/>
  <c r="G587" i="36"/>
  <c r="F530" i="36"/>
  <c r="G530" i="36"/>
  <c r="F609" i="36"/>
  <c r="G609" i="36"/>
  <c r="F554" i="36"/>
  <c r="G554" i="36"/>
  <c r="F653" i="36"/>
  <c r="G653" i="36"/>
  <c r="F585" i="36"/>
  <c r="G585" i="36"/>
  <c r="F674" i="36"/>
  <c r="G674" i="36"/>
  <c r="F605" i="36"/>
  <c r="G605" i="36"/>
  <c r="F755" i="36"/>
  <c r="G755" i="36"/>
  <c r="F657" i="36"/>
  <c r="G657" i="36"/>
  <c r="F747" i="36"/>
  <c r="G747" i="36"/>
  <c r="F756" i="36"/>
  <c r="G756" i="36"/>
  <c r="F854" i="36"/>
  <c r="G854" i="36"/>
  <c r="F795" i="36"/>
  <c r="G795" i="36"/>
  <c r="G692" i="36"/>
  <c r="F692" i="36"/>
  <c r="F796" i="36"/>
  <c r="G796" i="36"/>
  <c r="F933" i="36"/>
  <c r="G933" i="36"/>
  <c r="F879" i="36"/>
  <c r="G879" i="36"/>
  <c r="G723" i="36"/>
  <c r="F723" i="36"/>
  <c r="G887" i="36"/>
  <c r="F887" i="36"/>
  <c r="F845" i="36"/>
  <c r="G845" i="36"/>
  <c r="F736" i="36"/>
  <c r="G736" i="36"/>
  <c r="F886" i="36"/>
  <c r="G886" i="36"/>
  <c r="F799" i="36"/>
  <c r="G799" i="36"/>
  <c r="G907" i="36"/>
  <c r="F907" i="36"/>
  <c r="F981" i="36"/>
  <c r="G981" i="36"/>
  <c r="F927" i="36"/>
  <c r="G927" i="36"/>
  <c r="F952" i="36"/>
  <c r="G952" i="36"/>
  <c r="F983" i="36"/>
  <c r="G983" i="36"/>
  <c r="F13" i="36"/>
  <c r="G13" i="36"/>
  <c r="G66" i="36"/>
  <c r="F66" i="36"/>
  <c r="F62" i="36"/>
  <c r="G62" i="36"/>
  <c r="F72" i="36"/>
  <c r="G72" i="36"/>
  <c r="F86" i="36"/>
  <c r="G86" i="36"/>
  <c r="F108" i="36"/>
  <c r="G108" i="36"/>
  <c r="F114" i="36"/>
  <c r="G114" i="36"/>
  <c r="F130" i="36"/>
  <c r="G130" i="36"/>
  <c r="F141" i="36"/>
  <c r="G141" i="36"/>
  <c r="G160" i="36"/>
  <c r="F160" i="36"/>
  <c r="G174" i="36"/>
  <c r="F174" i="36"/>
  <c r="F187" i="36"/>
  <c r="G187" i="36"/>
  <c r="F206" i="36"/>
  <c r="G206" i="36"/>
  <c r="G232" i="36"/>
  <c r="F232" i="36"/>
  <c r="F250" i="36"/>
  <c r="G250" i="36"/>
  <c r="F251" i="36"/>
  <c r="G251" i="36"/>
  <c r="F283" i="36"/>
  <c r="G283" i="36"/>
  <c r="F292" i="36"/>
  <c r="G292" i="36"/>
  <c r="F301" i="36"/>
  <c r="G301" i="36"/>
  <c r="F306" i="36"/>
  <c r="G306" i="36"/>
  <c r="F364" i="36"/>
  <c r="G364" i="36"/>
  <c r="F314" i="36"/>
  <c r="G314" i="36"/>
  <c r="F434" i="36"/>
  <c r="G434" i="36"/>
  <c r="F392" i="36"/>
  <c r="G392" i="36"/>
  <c r="G447" i="36"/>
  <c r="F447" i="36"/>
  <c r="F370" i="36"/>
  <c r="G370" i="36"/>
  <c r="F481" i="36"/>
  <c r="G481" i="36"/>
  <c r="G403" i="36"/>
  <c r="F403" i="36"/>
  <c r="G509" i="36"/>
  <c r="F509" i="36"/>
  <c r="G458" i="36"/>
  <c r="F458" i="36"/>
  <c r="G544" i="36"/>
  <c r="F544" i="36"/>
  <c r="F586" i="36"/>
  <c r="G586" i="36"/>
  <c r="G479" i="36"/>
  <c r="F479" i="36"/>
  <c r="F599" i="36"/>
  <c r="G599" i="36"/>
  <c r="G532" i="36"/>
  <c r="F532" i="36"/>
  <c r="G617" i="36"/>
  <c r="F617" i="36"/>
  <c r="G573" i="36"/>
  <c r="F573" i="36"/>
  <c r="F656" i="36"/>
  <c r="G656" i="36"/>
  <c r="G603" i="36"/>
  <c r="F603" i="36"/>
  <c r="F677" i="36"/>
  <c r="G677" i="36"/>
  <c r="F615" i="36"/>
  <c r="G615" i="36"/>
  <c r="G757" i="36"/>
  <c r="F757" i="36"/>
  <c r="G668" i="36"/>
  <c r="F668" i="36"/>
  <c r="F768" i="36"/>
  <c r="G768" i="36"/>
  <c r="G758" i="36"/>
  <c r="F758" i="36"/>
  <c r="F883" i="36"/>
  <c r="G883" i="36"/>
  <c r="G816" i="36"/>
  <c r="F816" i="36"/>
  <c r="G698" i="36"/>
  <c r="F698" i="36"/>
  <c r="F825" i="36"/>
  <c r="G825" i="36"/>
  <c r="F935" i="36"/>
  <c r="G935" i="36"/>
  <c r="G880" i="36"/>
  <c r="F880" i="36"/>
  <c r="F737" i="36"/>
  <c r="G737" i="36"/>
  <c r="G895" i="36"/>
  <c r="F895" i="36"/>
  <c r="G850" i="36"/>
  <c r="F850" i="36"/>
  <c r="G749" i="36"/>
  <c r="F749" i="36"/>
  <c r="F888" i="36"/>
  <c r="G888" i="36"/>
  <c r="F802" i="36"/>
  <c r="G802" i="36"/>
  <c r="F917" i="36"/>
  <c r="G917" i="36"/>
  <c r="F920" i="36"/>
  <c r="G920" i="36"/>
  <c r="F931" i="36"/>
  <c r="G931" i="36"/>
  <c r="F957" i="36"/>
  <c r="G957" i="36"/>
  <c r="G1004" i="36"/>
  <c r="F1004" i="36"/>
  <c r="H7" i="35"/>
  <c r="C8" i="35"/>
  <c r="F995" i="35"/>
  <c r="G995" i="35"/>
  <c r="F992" i="35"/>
  <c r="G992" i="35"/>
  <c r="G1001" i="35"/>
  <c r="F1001" i="35"/>
  <c r="G987" i="35"/>
  <c r="F987" i="35"/>
  <c r="F972" i="35"/>
  <c r="G972" i="35"/>
  <c r="F942" i="35"/>
  <c r="G942" i="35"/>
  <c r="G971" i="35"/>
  <c r="F971" i="35"/>
  <c r="G975" i="35"/>
  <c r="F975" i="35"/>
  <c r="F932" i="35"/>
  <c r="G932" i="35"/>
  <c r="F896" i="35"/>
  <c r="G896" i="35"/>
  <c r="F983" i="35"/>
  <c r="G983" i="35"/>
  <c r="F969" i="35"/>
  <c r="G969" i="35"/>
  <c r="F958" i="35"/>
  <c r="G958" i="35"/>
  <c r="F940" i="35"/>
  <c r="G940" i="35"/>
  <c r="F919" i="35"/>
  <c r="G919" i="35"/>
  <c r="F985" i="35"/>
  <c r="G985" i="35"/>
  <c r="F968" i="35"/>
  <c r="G968" i="35"/>
  <c r="G927" i="35"/>
  <c r="F927" i="35"/>
  <c r="G912" i="35"/>
  <c r="F912" i="35"/>
  <c r="F877" i="35"/>
  <c r="G877" i="35"/>
  <c r="F854" i="35"/>
  <c r="G854" i="35"/>
  <c r="G823" i="35"/>
  <c r="F823" i="35"/>
  <c r="F810" i="35"/>
  <c r="G810" i="35"/>
  <c r="F960" i="35"/>
  <c r="G960" i="35"/>
  <c r="G910" i="35"/>
  <c r="F910" i="35"/>
  <c r="G885" i="35"/>
  <c r="F885" i="35"/>
  <c r="F852" i="35"/>
  <c r="G852" i="35"/>
  <c r="F802" i="35"/>
  <c r="G802" i="35"/>
  <c r="F774" i="35"/>
  <c r="G774" i="35"/>
  <c r="F746" i="35"/>
  <c r="G746" i="35"/>
  <c r="G695" i="35"/>
  <c r="F695" i="35"/>
  <c r="G894" i="35"/>
  <c r="F894" i="35"/>
  <c r="G871" i="35"/>
  <c r="F871" i="35"/>
  <c r="F864" i="35"/>
  <c r="G864" i="35"/>
  <c r="G835" i="35"/>
  <c r="F835" i="35"/>
  <c r="F800" i="35"/>
  <c r="G800" i="35"/>
  <c r="G787" i="35"/>
  <c r="F787" i="35"/>
  <c r="G938" i="35"/>
  <c r="F938" i="35"/>
  <c r="F893" i="35"/>
  <c r="G893" i="35"/>
  <c r="F839" i="35"/>
  <c r="G839" i="35"/>
  <c r="G821" i="35"/>
  <c r="F821" i="35"/>
  <c r="G791" i="35"/>
  <c r="F791" i="35"/>
  <c r="F772" i="35"/>
  <c r="G772" i="35"/>
  <c r="F757" i="35"/>
  <c r="G757" i="35"/>
  <c r="G730" i="35"/>
  <c r="F730" i="35"/>
  <c r="F703" i="35"/>
  <c r="G703" i="35"/>
  <c r="F857" i="35"/>
  <c r="G857" i="35"/>
  <c r="F822" i="35"/>
  <c r="G822" i="35"/>
  <c r="F959" i="35"/>
  <c r="G959" i="35"/>
  <c r="F922" i="35"/>
  <c r="G922" i="35"/>
  <c r="F903" i="35"/>
  <c r="G903" i="35"/>
  <c r="F856" i="35"/>
  <c r="G856" i="35"/>
  <c r="F809" i="35"/>
  <c r="G809" i="35"/>
  <c r="F793" i="35"/>
  <c r="G793" i="35"/>
  <c r="F766" i="35"/>
  <c r="G766" i="35"/>
  <c r="F756" i="35"/>
  <c r="G756" i="35"/>
  <c r="F737" i="35"/>
  <c r="G737" i="35"/>
  <c r="F713" i="35"/>
  <c r="G713" i="35"/>
  <c r="G676" i="35"/>
  <c r="F676" i="35"/>
  <c r="F876" i="35"/>
  <c r="G876" i="35"/>
  <c r="F855" i="35"/>
  <c r="G855" i="35"/>
  <c r="F818" i="35"/>
  <c r="G818" i="35"/>
  <c r="F945" i="35"/>
  <c r="G945" i="35"/>
  <c r="F915" i="35"/>
  <c r="G915" i="35"/>
  <c r="G890" i="35"/>
  <c r="F890" i="35"/>
  <c r="F853" i="35"/>
  <c r="G853" i="35"/>
  <c r="F840" i="35"/>
  <c r="G840" i="35"/>
  <c r="F812" i="35"/>
  <c r="G812" i="35"/>
  <c r="F931" i="35"/>
  <c r="G931" i="35"/>
  <c r="F759" i="35"/>
  <c r="G759" i="35"/>
  <c r="F743" i="35"/>
  <c r="G743" i="35"/>
  <c r="G710" i="35"/>
  <c r="F710" i="35"/>
  <c r="F721" i="35"/>
  <c r="G721" i="35"/>
  <c r="F678" i="35"/>
  <c r="G678" i="35"/>
  <c r="F661" i="35"/>
  <c r="G661" i="35"/>
  <c r="F640" i="35"/>
  <c r="G640" i="35"/>
  <c r="F617" i="35"/>
  <c r="G617" i="35"/>
  <c r="F602" i="35"/>
  <c r="G602" i="35"/>
  <c r="F593" i="35"/>
  <c r="G593" i="35"/>
  <c r="F771" i="35"/>
  <c r="G771" i="35"/>
  <c r="G707" i="35"/>
  <c r="F707" i="35"/>
  <c r="G688" i="35"/>
  <c r="F688" i="35"/>
  <c r="F675" i="35"/>
  <c r="G675" i="35"/>
  <c r="G664" i="35"/>
  <c r="F664" i="35"/>
  <c r="G639" i="35"/>
  <c r="F639" i="35"/>
  <c r="G612" i="35"/>
  <c r="F612" i="35"/>
  <c r="F599" i="35"/>
  <c r="G599" i="35"/>
  <c r="F751" i="35"/>
  <c r="G751" i="35"/>
  <c r="F709" i="35"/>
  <c r="G709" i="35"/>
  <c r="G692" i="35"/>
  <c r="F692" i="35"/>
  <c r="F653" i="35"/>
  <c r="G653" i="35"/>
  <c r="F577" i="35"/>
  <c r="G577" i="35"/>
  <c r="G738" i="35"/>
  <c r="F738" i="35"/>
  <c r="G700" i="35"/>
  <c r="F700" i="35"/>
  <c r="F683" i="35"/>
  <c r="G683" i="35"/>
  <c r="F667" i="35"/>
  <c r="G667" i="35"/>
  <c r="F650" i="35"/>
  <c r="G650" i="35"/>
  <c r="F628" i="35"/>
  <c r="G628" i="35"/>
  <c r="F615" i="35"/>
  <c r="G615" i="35"/>
  <c r="F588" i="35"/>
  <c r="G588" i="35"/>
  <c r="F580" i="35"/>
  <c r="G580" i="35"/>
  <c r="G645" i="35"/>
  <c r="F645" i="35"/>
  <c r="G633" i="35"/>
  <c r="F633" i="35"/>
  <c r="G614" i="35"/>
  <c r="F614" i="35"/>
  <c r="G561" i="35"/>
  <c r="F561" i="35"/>
  <c r="F519" i="35"/>
  <c r="G519" i="35"/>
  <c r="F474" i="35"/>
  <c r="G474" i="35"/>
  <c r="F543" i="35"/>
  <c r="G543" i="35"/>
  <c r="G641" i="35"/>
  <c r="F641" i="35"/>
  <c r="F576" i="35"/>
  <c r="G576" i="35"/>
  <c r="F538" i="35"/>
  <c r="G538" i="35"/>
  <c r="F508" i="35"/>
  <c r="G508" i="35"/>
  <c r="F476" i="35"/>
  <c r="G476" i="35"/>
  <c r="F453" i="35"/>
  <c r="G453" i="35"/>
  <c r="F604" i="35"/>
  <c r="G604" i="35"/>
  <c r="F574" i="35"/>
  <c r="G574" i="35"/>
  <c r="G553" i="35"/>
  <c r="F553" i="35"/>
  <c r="F526" i="35"/>
  <c r="G526" i="35"/>
  <c r="G502" i="35"/>
  <c r="F502" i="35"/>
  <c r="F473" i="35"/>
  <c r="G473" i="35"/>
  <c r="G545" i="35"/>
  <c r="F545" i="35"/>
  <c r="F595" i="35"/>
  <c r="G595" i="35"/>
  <c r="G568" i="35"/>
  <c r="F568" i="35"/>
  <c r="F544" i="35"/>
  <c r="G544" i="35"/>
  <c r="F510" i="35"/>
  <c r="G510" i="35"/>
  <c r="F488" i="35"/>
  <c r="G488" i="35"/>
  <c r="G511" i="35"/>
  <c r="F511" i="35"/>
  <c r="G486" i="35"/>
  <c r="F486" i="35"/>
  <c r="G460" i="35"/>
  <c r="F460" i="35"/>
  <c r="F419" i="35"/>
  <c r="G419" i="35"/>
  <c r="F364" i="35"/>
  <c r="G364" i="35"/>
  <c r="F547" i="35"/>
  <c r="G547" i="35"/>
  <c r="G522" i="35"/>
  <c r="F522" i="35"/>
  <c r="F490" i="35"/>
  <c r="G490" i="35"/>
  <c r="F445" i="35"/>
  <c r="G445" i="35"/>
  <c r="F405" i="35"/>
  <c r="G405" i="35"/>
  <c r="F370" i="35"/>
  <c r="G370" i="35"/>
  <c r="F512" i="35"/>
  <c r="G512" i="35"/>
  <c r="F482" i="35"/>
  <c r="G482" i="35"/>
  <c r="F456" i="35"/>
  <c r="G456" i="35"/>
  <c r="F434" i="35"/>
  <c r="G434" i="35"/>
  <c r="F399" i="35"/>
  <c r="G399" i="35"/>
  <c r="G359" i="35"/>
  <c r="F359" i="35"/>
  <c r="F536" i="35"/>
  <c r="G536" i="35"/>
  <c r="G489" i="35"/>
  <c r="F489" i="35"/>
  <c r="F481" i="35"/>
  <c r="G481" i="35"/>
  <c r="F435" i="35"/>
  <c r="G435" i="35"/>
  <c r="F413" i="35"/>
  <c r="G413" i="35"/>
  <c r="F396" i="35"/>
  <c r="G396" i="35"/>
  <c r="G384" i="35"/>
  <c r="F384" i="35"/>
  <c r="G443" i="35"/>
  <c r="F443" i="35"/>
  <c r="G437" i="35"/>
  <c r="F437" i="35"/>
  <c r="F415" i="35"/>
  <c r="G415" i="35"/>
  <c r="F368" i="35"/>
  <c r="G368" i="35"/>
  <c r="F356" i="35"/>
  <c r="G356" i="35"/>
  <c r="F334" i="35"/>
  <c r="G334" i="35"/>
  <c r="F343" i="35"/>
  <c r="G343" i="35"/>
  <c r="G328" i="35"/>
  <c r="F328" i="35"/>
  <c r="F430" i="35"/>
  <c r="G430" i="35"/>
  <c r="G393" i="35"/>
  <c r="F393" i="35"/>
  <c r="F360" i="35"/>
  <c r="G360" i="35"/>
  <c r="F318" i="35"/>
  <c r="G318" i="35"/>
  <c r="G324" i="35"/>
  <c r="F324" i="35"/>
  <c r="F444" i="35"/>
  <c r="G444" i="35"/>
  <c r="F382" i="35"/>
  <c r="G382" i="35"/>
  <c r="F363" i="35"/>
  <c r="G363" i="35"/>
  <c r="F332" i="35"/>
  <c r="G332" i="35"/>
  <c r="F300" i="35"/>
  <c r="G300" i="35"/>
  <c r="F337" i="35"/>
  <c r="G337" i="35"/>
  <c r="F427" i="35"/>
  <c r="G427" i="35"/>
  <c r="F402" i="35"/>
  <c r="G402" i="35"/>
  <c r="F377" i="35"/>
  <c r="G377" i="35"/>
  <c r="F341" i="35"/>
  <c r="G341" i="35"/>
  <c r="F346" i="35"/>
  <c r="G346" i="35"/>
  <c r="G296" i="35"/>
  <c r="F296" i="35"/>
  <c r="G272" i="35"/>
  <c r="F272" i="35"/>
  <c r="F286" i="35"/>
  <c r="G286" i="35"/>
  <c r="F270" i="35"/>
  <c r="G270" i="35"/>
  <c r="F261" i="35"/>
  <c r="G261" i="35"/>
  <c r="G283" i="35"/>
  <c r="F283" i="35"/>
  <c r="F282" i="35"/>
  <c r="G282" i="35"/>
  <c r="F244" i="35"/>
  <c r="G244" i="35"/>
  <c r="F307" i="35"/>
  <c r="G307" i="35"/>
  <c r="F269" i="35"/>
  <c r="G269" i="35"/>
  <c r="F297" i="35"/>
  <c r="G297" i="35"/>
  <c r="F313" i="35"/>
  <c r="G313" i="35"/>
  <c r="F288" i="35"/>
  <c r="G288" i="35"/>
  <c r="G250" i="35"/>
  <c r="F250" i="35"/>
  <c r="F280" i="35"/>
  <c r="G280" i="35"/>
  <c r="F239" i="35"/>
  <c r="G239" i="35"/>
  <c r="F234" i="35"/>
  <c r="G234" i="35"/>
  <c r="F224" i="35"/>
  <c r="G224" i="35"/>
  <c r="F248" i="35"/>
  <c r="G248" i="35"/>
  <c r="G229" i="35"/>
  <c r="F229" i="35"/>
  <c r="F205" i="35"/>
  <c r="G205" i="35"/>
  <c r="F247" i="35"/>
  <c r="G247" i="35"/>
  <c r="F219" i="35"/>
  <c r="G219" i="35"/>
  <c r="F215" i="35"/>
  <c r="G215" i="35"/>
  <c r="F197" i="35"/>
  <c r="G197" i="35"/>
  <c r="F223" i="35"/>
  <c r="G223" i="35"/>
  <c r="F235" i="35"/>
  <c r="G235" i="35"/>
  <c r="G212" i="35"/>
  <c r="F212" i="35"/>
  <c r="G167" i="35"/>
  <c r="F167" i="35"/>
  <c r="G152" i="35"/>
  <c r="F152" i="35"/>
  <c r="F187" i="35"/>
  <c r="G187" i="35"/>
  <c r="G169" i="35"/>
  <c r="F169" i="35"/>
  <c r="F185" i="35"/>
  <c r="G185" i="35"/>
  <c r="G150" i="35"/>
  <c r="F150" i="35"/>
  <c r="F176" i="35"/>
  <c r="G176" i="35"/>
  <c r="F154" i="35"/>
  <c r="G154" i="35"/>
  <c r="F178" i="35"/>
  <c r="G178" i="35"/>
  <c r="G189" i="35"/>
  <c r="F189" i="35"/>
  <c r="F160" i="35"/>
  <c r="G160" i="35"/>
  <c r="G186" i="35"/>
  <c r="F186" i="35"/>
  <c r="F139" i="35"/>
  <c r="G139" i="35"/>
  <c r="G147" i="35"/>
  <c r="F147" i="35"/>
  <c r="G148" i="35"/>
  <c r="F148" i="35"/>
  <c r="F135" i="35"/>
  <c r="G135" i="35"/>
  <c r="F127" i="35"/>
  <c r="G127" i="35"/>
  <c r="G120" i="35"/>
  <c r="F120" i="35"/>
  <c r="F146" i="35"/>
  <c r="G146" i="35"/>
  <c r="F123" i="35"/>
  <c r="G123" i="35"/>
  <c r="G101" i="35"/>
  <c r="F101" i="35"/>
  <c r="F124" i="35"/>
  <c r="G124" i="35"/>
  <c r="F108" i="35"/>
  <c r="G108" i="35"/>
  <c r="G102" i="35"/>
  <c r="F102" i="35"/>
  <c r="F100" i="35"/>
  <c r="G100" i="35"/>
  <c r="F95" i="35"/>
  <c r="G95" i="35"/>
  <c r="F83" i="35"/>
  <c r="G83" i="35"/>
  <c r="F94" i="35"/>
  <c r="G94" i="35"/>
  <c r="F90" i="35"/>
  <c r="G90" i="35"/>
  <c r="G74" i="35"/>
  <c r="F74" i="35"/>
  <c r="F70" i="35"/>
  <c r="G70" i="35"/>
  <c r="F66" i="35"/>
  <c r="G66" i="35"/>
  <c r="F65" i="35"/>
  <c r="G65" i="35"/>
  <c r="F67" i="35"/>
  <c r="G67" i="35"/>
  <c r="G56" i="35"/>
  <c r="F56" i="35"/>
  <c r="F47" i="35"/>
  <c r="G47" i="35"/>
  <c r="G42" i="35"/>
  <c r="F42" i="35"/>
  <c r="F43" i="35"/>
  <c r="G43" i="35"/>
  <c r="F53" i="35"/>
  <c r="G53" i="35"/>
  <c r="F46" i="35"/>
  <c r="G46" i="35"/>
  <c r="F37" i="35"/>
  <c r="G37" i="35"/>
  <c r="G24" i="35"/>
  <c r="F24" i="35"/>
  <c r="F35" i="35"/>
  <c r="G35" i="35"/>
  <c r="G23" i="35"/>
  <c r="F23" i="35"/>
  <c r="F17" i="35"/>
  <c r="G17" i="35"/>
  <c r="F13" i="35"/>
  <c r="G13" i="35"/>
  <c r="G12" i="35"/>
  <c r="F12" i="35"/>
  <c r="F992" i="34"/>
  <c r="G992" i="34"/>
  <c r="F975" i="34"/>
  <c r="G975" i="34"/>
  <c r="F1007" i="34"/>
  <c r="G1007" i="34"/>
  <c r="F999" i="34"/>
  <c r="G999" i="34"/>
  <c r="F969" i="34"/>
  <c r="G969" i="34"/>
  <c r="F945" i="34"/>
  <c r="G945" i="34"/>
  <c r="F916" i="34"/>
  <c r="G916" i="34"/>
  <c r="G989" i="34"/>
  <c r="F989" i="34"/>
  <c r="F954" i="34"/>
  <c r="G954" i="34"/>
  <c r="F936" i="34"/>
  <c r="G936" i="34"/>
  <c r="G915" i="34"/>
  <c r="F915" i="34"/>
  <c r="F979" i="34"/>
  <c r="G979" i="34"/>
  <c r="G937" i="34"/>
  <c r="F937" i="34"/>
  <c r="F925" i="34"/>
  <c r="G925" i="34"/>
  <c r="F908" i="34"/>
  <c r="G908" i="34"/>
  <c r="F1004" i="34"/>
  <c r="G1004" i="34"/>
  <c r="F976" i="34"/>
  <c r="G976" i="34"/>
  <c r="F964" i="34"/>
  <c r="G964" i="34"/>
  <c r="F944" i="34"/>
  <c r="G944" i="34"/>
  <c r="G904" i="34"/>
  <c r="F904" i="34"/>
  <c r="F877" i="34"/>
  <c r="G877" i="34"/>
  <c r="F832" i="34"/>
  <c r="G832" i="34"/>
  <c r="G805" i="34"/>
  <c r="F805" i="34"/>
  <c r="G784" i="34"/>
  <c r="F784" i="34"/>
  <c r="F906" i="34"/>
  <c r="G906" i="34"/>
  <c r="F889" i="34"/>
  <c r="G889" i="34"/>
  <c r="G853" i="34"/>
  <c r="F853" i="34"/>
  <c r="F818" i="34"/>
  <c r="G818" i="34"/>
  <c r="G961" i="34"/>
  <c r="F961" i="34"/>
  <c r="F776" i="34"/>
  <c r="G776" i="34"/>
  <c r="G755" i="34"/>
  <c r="F755" i="34"/>
  <c r="G729" i="34"/>
  <c r="F729" i="34"/>
  <c r="F705" i="34"/>
  <c r="G705" i="34"/>
  <c r="F690" i="34"/>
  <c r="G690" i="34"/>
  <c r="F863" i="34"/>
  <c r="G863" i="34"/>
  <c r="F831" i="34"/>
  <c r="G831" i="34"/>
  <c r="F823" i="34"/>
  <c r="G823" i="34"/>
  <c r="G808" i="34"/>
  <c r="F808" i="34"/>
  <c r="F914" i="34"/>
  <c r="G914" i="34"/>
  <c r="G868" i="34"/>
  <c r="F868" i="34"/>
  <c r="F848" i="34"/>
  <c r="G848" i="34"/>
  <c r="F785" i="34"/>
  <c r="G785" i="34"/>
  <c r="G764" i="34"/>
  <c r="F764" i="34"/>
  <c r="F714" i="34"/>
  <c r="G714" i="34"/>
  <c r="F689" i="34"/>
  <c r="G689" i="34"/>
  <c r="F896" i="34"/>
  <c r="G896" i="34"/>
  <c r="F883" i="34"/>
  <c r="G883" i="34"/>
  <c r="F842" i="34"/>
  <c r="G842" i="34"/>
  <c r="F800" i="34"/>
  <c r="G800" i="34"/>
  <c r="F958" i="34"/>
  <c r="G958" i="34"/>
  <c r="F917" i="34"/>
  <c r="G917" i="34"/>
  <c r="F894" i="34"/>
  <c r="G894" i="34"/>
  <c r="F864" i="34"/>
  <c r="G864" i="34"/>
  <c r="F843" i="34"/>
  <c r="G843" i="34"/>
  <c r="F804" i="34"/>
  <c r="G804" i="34"/>
  <c r="G779" i="34"/>
  <c r="F779" i="34"/>
  <c r="F759" i="34"/>
  <c r="G759" i="34"/>
  <c r="F741" i="34"/>
  <c r="G741" i="34"/>
  <c r="F721" i="34"/>
  <c r="G721" i="34"/>
  <c r="F667" i="34"/>
  <c r="G667" i="34"/>
  <c r="G876" i="34"/>
  <c r="F876" i="34"/>
  <c r="F826" i="34"/>
  <c r="G826" i="34"/>
  <c r="G810" i="34"/>
  <c r="F810" i="34"/>
  <c r="F792" i="34"/>
  <c r="G792" i="34"/>
  <c r="G956" i="34"/>
  <c r="F956" i="34"/>
  <c r="F947" i="34"/>
  <c r="G947" i="34"/>
  <c r="F918" i="34"/>
  <c r="G918" i="34"/>
  <c r="G862" i="34"/>
  <c r="F862" i="34"/>
  <c r="F841" i="34"/>
  <c r="G841" i="34"/>
  <c r="G772" i="34"/>
  <c r="F772" i="34"/>
  <c r="F715" i="34"/>
  <c r="G715" i="34"/>
  <c r="G675" i="34"/>
  <c r="F675" i="34"/>
  <c r="F710" i="34"/>
  <c r="G710" i="34"/>
  <c r="F686" i="34"/>
  <c r="G686" i="34"/>
  <c r="F654" i="34"/>
  <c r="G654" i="34"/>
  <c r="F613" i="34"/>
  <c r="G613" i="34"/>
  <c r="F589" i="34"/>
  <c r="G589" i="34"/>
  <c r="G568" i="34"/>
  <c r="F568" i="34"/>
  <c r="G747" i="34"/>
  <c r="F747" i="34"/>
  <c r="F724" i="34"/>
  <c r="G724" i="34"/>
  <c r="G678" i="34"/>
  <c r="F678" i="34"/>
  <c r="G666" i="34"/>
  <c r="F666" i="34"/>
  <c r="F647" i="34"/>
  <c r="G647" i="34"/>
  <c r="F632" i="34"/>
  <c r="G632" i="34"/>
  <c r="G607" i="34"/>
  <c r="F607" i="34"/>
  <c r="F559" i="34"/>
  <c r="G559" i="34"/>
  <c r="G754" i="34"/>
  <c r="F754" i="34"/>
  <c r="F722" i="34"/>
  <c r="G722" i="34"/>
  <c r="F687" i="34"/>
  <c r="G687" i="34"/>
  <c r="F682" i="34"/>
  <c r="G682" i="34"/>
  <c r="F655" i="34"/>
  <c r="G655" i="34"/>
  <c r="F639" i="34"/>
  <c r="G639" i="34"/>
  <c r="F625" i="34"/>
  <c r="G625" i="34"/>
  <c r="F595" i="34"/>
  <c r="G595" i="34"/>
  <c r="F658" i="34"/>
  <c r="G658" i="34"/>
  <c r="F725" i="34"/>
  <c r="G725" i="34"/>
  <c r="G702" i="34"/>
  <c r="F702" i="34"/>
  <c r="F663" i="34"/>
  <c r="G663" i="34"/>
  <c r="G660" i="34"/>
  <c r="F660" i="34"/>
  <c r="G611" i="34"/>
  <c r="F611" i="34"/>
  <c r="F588" i="34"/>
  <c r="G588" i="34"/>
  <c r="F653" i="34"/>
  <c r="G653" i="34"/>
  <c r="G645" i="34"/>
  <c r="F645" i="34"/>
  <c r="F560" i="34"/>
  <c r="G560" i="34"/>
  <c r="F507" i="34"/>
  <c r="G507" i="34"/>
  <c r="G492" i="34"/>
  <c r="F492" i="34"/>
  <c r="G475" i="34"/>
  <c r="F475" i="34"/>
  <c r="F565" i="34"/>
  <c r="G565" i="34"/>
  <c r="F623" i="34"/>
  <c r="G623" i="34"/>
  <c r="F561" i="34"/>
  <c r="G561" i="34"/>
  <c r="G535" i="34"/>
  <c r="F535" i="34"/>
  <c r="F516" i="34"/>
  <c r="G516" i="34"/>
  <c r="G485" i="34"/>
  <c r="F485" i="34"/>
  <c r="G648" i="34"/>
  <c r="F648" i="34"/>
  <c r="F621" i="34"/>
  <c r="G621" i="34"/>
  <c r="F583" i="34"/>
  <c r="G583" i="34"/>
  <c r="F557" i="34"/>
  <c r="G557" i="34"/>
  <c r="F539" i="34"/>
  <c r="G539" i="34"/>
  <c r="F521" i="34"/>
  <c r="G521" i="34"/>
  <c r="F493" i="34"/>
  <c r="G493" i="34"/>
  <c r="F481" i="34"/>
  <c r="G481" i="34"/>
  <c r="F604" i="34"/>
  <c r="G604" i="34"/>
  <c r="F587" i="34"/>
  <c r="G587" i="34"/>
  <c r="G554" i="34"/>
  <c r="F554" i="34"/>
  <c r="F550" i="34"/>
  <c r="G550" i="34"/>
  <c r="F522" i="34"/>
  <c r="G522" i="34"/>
  <c r="F512" i="34"/>
  <c r="G512" i="34"/>
  <c r="F552" i="34"/>
  <c r="G552" i="34"/>
  <c r="G504" i="34"/>
  <c r="F504" i="34"/>
  <c r="F476" i="34"/>
  <c r="G476" i="34"/>
  <c r="F462" i="34"/>
  <c r="G462" i="34"/>
  <c r="F424" i="34"/>
  <c r="G424" i="34"/>
  <c r="F395" i="34"/>
  <c r="G395" i="34"/>
  <c r="F382" i="34"/>
  <c r="G382" i="34"/>
  <c r="G544" i="34"/>
  <c r="F544" i="34"/>
  <c r="F495" i="34"/>
  <c r="G495" i="34"/>
  <c r="G446" i="34"/>
  <c r="F446" i="34"/>
  <c r="F400" i="34"/>
  <c r="G400" i="34"/>
  <c r="F367" i="34"/>
  <c r="G367" i="34"/>
  <c r="F526" i="34"/>
  <c r="G526" i="34"/>
  <c r="F452" i="34"/>
  <c r="G452" i="34"/>
  <c r="F450" i="34"/>
  <c r="G450" i="34"/>
  <c r="F426" i="34"/>
  <c r="G426" i="34"/>
  <c r="F393" i="34"/>
  <c r="G393" i="34"/>
  <c r="F369" i="34"/>
  <c r="G369" i="34"/>
  <c r="F541" i="34"/>
  <c r="G541" i="34"/>
  <c r="F473" i="34"/>
  <c r="G473" i="34"/>
  <c r="G460" i="34"/>
  <c r="F460" i="34"/>
  <c r="F438" i="34"/>
  <c r="G438" i="34"/>
  <c r="F414" i="34"/>
  <c r="G414" i="34"/>
  <c r="G456" i="34"/>
  <c r="F456" i="34"/>
  <c r="F433" i="34"/>
  <c r="G433" i="34"/>
  <c r="F417" i="34"/>
  <c r="G417" i="34"/>
  <c r="F403" i="34"/>
  <c r="G403" i="34"/>
  <c r="G359" i="34"/>
  <c r="F359" i="34"/>
  <c r="F313" i="34"/>
  <c r="G313" i="34"/>
  <c r="G415" i="34"/>
  <c r="F415" i="34"/>
  <c r="F355" i="34"/>
  <c r="G355" i="34"/>
  <c r="F335" i="34"/>
  <c r="G335" i="34"/>
  <c r="F320" i="34"/>
  <c r="G320" i="34"/>
  <c r="G315" i="34"/>
  <c r="F315" i="34"/>
  <c r="F344" i="34"/>
  <c r="G344" i="34"/>
  <c r="F332" i="34"/>
  <c r="G332" i="34"/>
  <c r="F396" i="34"/>
  <c r="G396" i="34"/>
  <c r="F375" i="34"/>
  <c r="G375" i="34"/>
  <c r="F366" i="34"/>
  <c r="G366" i="34"/>
  <c r="F337" i="34"/>
  <c r="G337" i="34"/>
  <c r="F334" i="34"/>
  <c r="G334" i="34"/>
  <c r="G321" i="34"/>
  <c r="F321" i="34"/>
  <c r="F435" i="34"/>
  <c r="G435" i="34"/>
  <c r="F401" i="34"/>
  <c r="G401" i="34"/>
  <c r="F361" i="34"/>
  <c r="G361" i="34"/>
  <c r="F327" i="34"/>
  <c r="G327" i="34"/>
  <c r="F358" i="34"/>
  <c r="G358" i="34"/>
  <c r="G307" i="34"/>
  <c r="F307" i="34"/>
  <c r="F296" i="34"/>
  <c r="G296" i="34"/>
  <c r="F277" i="34"/>
  <c r="G277" i="34"/>
  <c r="G243" i="34"/>
  <c r="F243" i="34"/>
  <c r="F281" i="34"/>
  <c r="G281" i="34"/>
  <c r="F259" i="34"/>
  <c r="G259" i="34"/>
  <c r="F240" i="34"/>
  <c r="G240" i="34"/>
  <c r="F270" i="34"/>
  <c r="G270" i="34"/>
  <c r="F247" i="34"/>
  <c r="G247" i="34"/>
  <c r="G304" i="34"/>
  <c r="F304" i="34"/>
  <c r="F273" i="34"/>
  <c r="G273" i="34"/>
  <c r="F289" i="34"/>
  <c r="G289" i="34"/>
  <c r="G252" i="34"/>
  <c r="F252" i="34"/>
  <c r="F300" i="34"/>
  <c r="G300" i="34"/>
  <c r="F283" i="34"/>
  <c r="G283" i="34"/>
  <c r="F241" i="34"/>
  <c r="G241" i="34"/>
  <c r="F249" i="34"/>
  <c r="G249" i="34"/>
  <c r="F215" i="34"/>
  <c r="G215" i="34"/>
  <c r="F226" i="34"/>
  <c r="G226" i="34"/>
  <c r="F238" i="34"/>
  <c r="G238" i="34"/>
  <c r="G213" i="34"/>
  <c r="F213" i="34"/>
  <c r="F232" i="34"/>
  <c r="G232" i="34"/>
  <c r="F202" i="34"/>
  <c r="G202" i="34"/>
  <c r="F227" i="34"/>
  <c r="G227" i="34"/>
  <c r="F212" i="34"/>
  <c r="G212" i="34"/>
  <c r="F242" i="34"/>
  <c r="G242" i="34"/>
  <c r="F236" i="34"/>
  <c r="G236" i="34"/>
  <c r="F209" i="34"/>
  <c r="G209" i="34"/>
  <c r="F190" i="34"/>
  <c r="G190" i="34"/>
  <c r="F177" i="34"/>
  <c r="G177" i="34"/>
  <c r="F151" i="34"/>
  <c r="G151" i="34"/>
  <c r="F156" i="34"/>
  <c r="G156" i="34"/>
  <c r="F200" i="34"/>
  <c r="G200" i="34"/>
  <c r="G178" i="34"/>
  <c r="F178" i="34"/>
  <c r="G171" i="34"/>
  <c r="F171" i="34"/>
  <c r="F165" i="34"/>
  <c r="G165" i="34"/>
  <c r="F182" i="34"/>
  <c r="G182" i="34"/>
  <c r="F169" i="34"/>
  <c r="G169" i="34"/>
  <c r="F185" i="34"/>
  <c r="G185" i="34"/>
  <c r="F188" i="34"/>
  <c r="G188" i="34"/>
  <c r="F149" i="34"/>
  <c r="G149" i="34"/>
  <c r="F137" i="34"/>
  <c r="G137" i="34"/>
  <c r="G138" i="34"/>
  <c r="F138" i="34"/>
  <c r="G139" i="34"/>
  <c r="F139" i="34"/>
  <c r="F126" i="34"/>
  <c r="G126" i="34"/>
  <c r="F140" i="34"/>
  <c r="G140" i="34"/>
  <c r="F135" i="34"/>
  <c r="G135" i="34"/>
  <c r="F131" i="34"/>
  <c r="G131" i="34"/>
  <c r="G110" i="34"/>
  <c r="F110" i="34"/>
  <c r="F106" i="34"/>
  <c r="G106" i="34"/>
  <c r="F104" i="34"/>
  <c r="G104" i="34"/>
  <c r="F113" i="34"/>
  <c r="G113" i="34"/>
  <c r="F109" i="34"/>
  <c r="G109" i="34"/>
  <c r="F97" i="34"/>
  <c r="G97" i="34"/>
  <c r="F92" i="34"/>
  <c r="G92" i="34"/>
  <c r="F84" i="34"/>
  <c r="G84" i="34"/>
  <c r="F90" i="34"/>
  <c r="G90" i="34"/>
  <c r="F89" i="34"/>
  <c r="G89" i="34"/>
  <c r="F83" i="34"/>
  <c r="G83" i="34"/>
  <c r="F77" i="34"/>
  <c r="G77" i="34"/>
  <c r="F66" i="34"/>
  <c r="G66" i="34"/>
  <c r="F70" i="34"/>
  <c r="G70" i="34"/>
  <c r="F56" i="34"/>
  <c r="G56" i="34"/>
  <c r="G47" i="34"/>
  <c r="F47" i="34"/>
  <c r="F67" i="34"/>
  <c r="G67" i="34"/>
  <c r="F42" i="34"/>
  <c r="G42" i="34"/>
  <c r="G48" i="34"/>
  <c r="F48" i="34"/>
  <c r="F46" i="34"/>
  <c r="G46" i="34"/>
  <c r="G34" i="34"/>
  <c r="F34" i="34"/>
  <c r="G36" i="34"/>
  <c r="F36" i="34"/>
  <c r="F27" i="34"/>
  <c r="G27" i="34"/>
  <c r="G35" i="34"/>
  <c r="F35" i="34"/>
  <c r="F18" i="34"/>
  <c r="G18" i="34"/>
  <c r="F17" i="34"/>
  <c r="G17" i="34"/>
  <c r="F13" i="34"/>
  <c r="G13" i="34"/>
  <c r="I12" i="36"/>
  <c r="G30" i="36"/>
  <c r="F30" i="36"/>
  <c r="F53" i="36"/>
  <c r="G53" i="36"/>
  <c r="F76" i="36"/>
  <c r="G76" i="36"/>
  <c r="G84" i="36"/>
  <c r="F84" i="36"/>
  <c r="F99" i="36"/>
  <c r="G99" i="36"/>
  <c r="F110" i="36"/>
  <c r="G110" i="36"/>
  <c r="F155" i="36"/>
  <c r="G155" i="36"/>
  <c r="F147" i="36"/>
  <c r="G147" i="36"/>
  <c r="F151" i="36"/>
  <c r="G151" i="36"/>
  <c r="G196" i="36"/>
  <c r="F196" i="36"/>
  <c r="F193" i="36"/>
  <c r="G193" i="36"/>
  <c r="F244" i="36"/>
  <c r="G244" i="36"/>
  <c r="F208" i="36"/>
  <c r="G208" i="36"/>
  <c r="F225" i="36"/>
  <c r="G225" i="36"/>
  <c r="F297" i="36"/>
  <c r="G297" i="36"/>
  <c r="F315" i="36"/>
  <c r="G315" i="36"/>
  <c r="F294" i="36"/>
  <c r="G294" i="36"/>
  <c r="F286" i="36"/>
  <c r="G286" i="36"/>
  <c r="F389" i="36"/>
  <c r="G389" i="36"/>
  <c r="F305" i="36"/>
  <c r="G305" i="36"/>
  <c r="F309" i="36"/>
  <c r="G309" i="36"/>
  <c r="F374" i="36"/>
  <c r="G374" i="36"/>
  <c r="G323" i="36"/>
  <c r="F323" i="36"/>
  <c r="F409" i="36"/>
  <c r="G409" i="36"/>
  <c r="F534" i="36"/>
  <c r="G534" i="36"/>
  <c r="G443" i="36"/>
  <c r="F443" i="36"/>
  <c r="G378" i="36"/>
  <c r="F378" i="36"/>
  <c r="G475" i="36"/>
  <c r="F475" i="36"/>
  <c r="F415" i="36"/>
  <c r="G415" i="36"/>
  <c r="F510" i="36"/>
  <c r="G510" i="36"/>
  <c r="G549" i="36"/>
  <c r="F549" i="36"/>
  <c r="F635" i="36"/>
  <c r="G635" i="36"/>
  <c r="G553" i="36"/>
  <c r="F553" i="36"/>
  <c r="F495" i="36"/>
  <c r="G495" i="36"/>
  <c r="F580" i="36"/>
  <c r="G580" i="36"/>
  <c r="F518" i="36"/>
  <c r="G518" i="36"/>
  <c r="F600" i="36"/>
  <c r="G600" i="36"/>
  <c r="F720" i="36"/>
  <c r="G720" i="36"/>
  <c r="F638" i="36"/>
  <c r="G638" i="36"/>
  <c r="F561" i="36"/>
  <c r="G561" i="36"/>
  <c r="G696" i="36"/>
  <c r="F696" i="36"/>
  <c r="F621" i="36"/>
  <c r="G621" i="36"/>
  <c r="G695" i="36"/>
  <c r="F695" i="36"/>
  <c r="F734" i="36"/>
  <c r="G734" i="36"/>
  <c r="G814" i="36"/>
  <c r="F814" i="36"/>
  <c r="F929" i="36"/>
  <c r="G929" i="36"/>
  <c r="G864" i="36"/>
  <c r="F864" i="36"/>
  <c r="F742" i="36"/>
  <c r="G742" i="36"/>
  <c r="F890" i="36"/>
  <c r="G890" i="36"/>
  <c r="F830" i="36"/>
  <c r="G830" i="36"/>
  <c r="F700" i="36"/>
  <c r="G700" i="36"/>
  <c r="G801" i="36"/>
  <c r="F801" i="36"/>
  <c r="G805" i="36"/>
  <c r="F805" i="36"/>
  <c r="F682" i="36"/>
  <c r="G682" i="36"/>
  <c r="F824" i="36"/>
  <c r="G824" i="36"/>
  <c r="F947" i="36"/>
  <c r="G947" i="36"/>
  <c r="F852" i="36"/>
  <c r="G852" i="36"/>
  <c r="G964" i="36"/>
  <c r="F964" i="36"/>
  <c r="F995" i="36"/>
  <c r="G995" i="36"/>
  <c r="F975" i="36"/>
  <c r="G975" i="36"/>
  <c r="F21" i="36"/>
  <c r="G21" i="36"/>
  <c r="F1002" i="36"/>
  <c r="G1002" i="36"/>
  <c r="I1000" i="36"/>
  <c r="I824" i="36" l="1"/>
  <c r="I208" i="36"/>
  <c r="I76" i="36"/>
  <c r="I18" i="34"/>
  <c r="I67" i="34"/>
  <c r="I83" i="34"/>
  <c r="I109" i="34"/>
  <c r="I104" i="34"/>
  <c r="I135" i="34"/>
  <c r="I149" i="34"/>
  <c r="I185" i="34"/>
  <c r="I182" i="34"/>
  <c r="I200" i="34"/>
  <c r="I151" i="34"/>
  <c r="K17" i="34"/>
  <c r="M22" i="36" s="1"/>
  <c r="I190" i="34"/>
  <c r="I236" i="34"/>
  <c r="I212" i="34"/>
  <c r="I202" i="34"/>
  <c r="I226" i="34"/>
  <c r="I249" i="34"/>
  <c r="I283" i="34"/>
  <c r="I273" i="34"/>
  <c r="I247" i="34"/>
  <c r="I240" i="34"/>
  <c r="I281" i="34"/>
  <c r="K30" i="34"/>
  <c r="M35" i="36" s="1"/>
  <c r="I277" i="34"/>
  <c r="I327" i="34"/>
  <c r="I401" i="34"/>
  <c r="K42" i="34"/>
  <c r="M47" i="36" s="1"/>
  <c r="I337" i="34"/>
  <c r="I375" i="34"/>
  <c r="I332" i="34"/>
  <c r="I335" i="34"/>
  <c r="I417" i="34"/>
  <c r="I438" i="34"/>
  <c r="I473" i="34"/>
  <c r="I369" i="34"/>
  <c r="I426" i="34"/>
  <c r="I452" i="34"/>
  <c r="I367" i="34"/>
  <c r="I395" i="34"/>
  <c r="I462" i="34"/>
  <c r="I512" i="34"/>
  <c r="I550" i="34"/>
  <c r="I587" i="34"/>
  <c r="I481" i="34"/>
  <c r="K50" i="34"/>
  <c r="M55" i="36" s="1"/>
  <c r="I521" i="34"/>
  <c r="K54" i="34"/>
  <c r="M59" i="36" s="1"/>
  <c r="I557" i="34"/>
  <c r="I621" i="34"/>
  <c r="K64" i="34"/>
  <c r="M69" i="36" s="1"/>
  <c r="I623" i="34"/>
  <c r="I507" i="34"/>
  <c r="I588" i="34"/>
  <c r="I658" i="34"/>
  <c r="I625" i="34"/>
  <c r="I655" i="34"/>
  <c r="I687" i="34"/>
  <c r="I647" i="34"/>
  <c r="I589" i="34"/>
  <c r="I654" i="34"/>
  <c r="I710" i="34"/>
  <c r="I715" i="34"/>
  <c r="I841" i="34"/>
  <c r="K86" i="34"/>
  <c r="M91" i="36" s="1"/>
  <c r="I918" i="34"/>
  <c r="I721" i="34"/>
  <c r="K74" i="34"/>
  <c r="M79" i="36" s="1"/>
  <c r="I759" i="34"/>
  <c r="I804" i="34"/>
  <c r="I864" i="34"/>
  <c r="I917" i="34"/>
  <c r="I800" i="34"/>
  <c r="I883" i="34"/>
  <c r="I689" i="34"/>
  <c r="I848" i="34"/>
  <c r="I914" i="34"/>
  <c r="I823" i="34"/>
  <c r="I863" i="34"/>
  <c r="I705" i="34"/>
  <c r="I906" i="34"/>
  <c r="I877" i="34"/>
  <c r="I944" i="34"/>
  <c r="I976" i="34"/>
  <c r="I908" i="34"/>
  <c r="I954" i="34"/>
  <c r="I916" i="34"/>
  <c r="I969" i="34"/>
  <c r="I1007" i="34"/>
  <c r="I992" i="34"/>
  <c r="I13" i="35"/>
  <c r="I46" i="35"/>
  <c r="I43" i="35"/>
  <c r="I47" i="35"/>
  <c r="I67" i="35"/>
  <c r="I66" i="35"/>
  <c r="I94" i="35"/>
  <c r="I95" i="35"/>
  <c r="I124" i="35"/>
  <c r="I123" i="35"/>
  <c r="I135" i="35"/>
  <c r="I154" i="35"/>
  <c r="I223" i="35"/>
  <c r="I215" i="35"/>
  <c r="I247" i="35"/>
  <c r="I224" i="35"/>
  <c r="I239" i="35"/>
  <c r="I313" i="35"/>
  <c r="I269" i="35"/>
  <c r="I244" i="35"/>
  <c r="I270" i="35"/>
  <c r="I346" i="35"/>
  <c r="I377" i="35"/>
  <c r="I427" i="35"/>
  <c r="I300" i="35"/>
  <c r="I363" i="35"/>
  <c r="I444" i="35"/>
  <c r="I318" i="35"/>
  <c r="I334" i="35"/>
  <c r="I368" i="35"/>
  <c r="I413" i="35"/>
  <c r="I481" i="35"/>
  <c r="K50" i="35"/>
  <c r="L55" i="36" s="1"/>
  <c r="I536" i="35"/>
  <c r="I399" i="35"/>
  <c r="I456" i="35"/>
  <c r="I512" i="35"/>
  <c r="I405" i="35"/>
  <c r="I490" i="35"/>
  <c r="I547" i="35"/>
  <c r="I419" i="35"/>
  <c r="I488" i="35"/>
  <c r="I544" i="35"/>
  <c r="I595" i="35"/>
  <c r="I473" i="35"/>
  <c r="I526" i="35"/>
  <c r="I574" i="35"/>
  <c r="I453" i="35"/>
  <c r="I508" i="35"/>
  <c r="I576" i="35"/>
  <c r="I543" i="35"/>
  <c r="I519" i="35"/>
  <c r="I588" i="35"/>
  <c r="I628" i="35"/>
  <c r="I667" i="35"/>
  <c r="I577" i="35"/>
  <c r="I751" i="35"/>
  <c r="K77" i="35"/>
  <c r="L82" i="36" s="1"/>
  <c r="I771" i="35"/>
  <c r="K79" i="35"/>
  <c r="L84" i="36" s="1"/>
  <c r="I602" i="35"/>
  <c r="I640" i="35"/>
  <c r="I678" i="35"/>
  <c r="I759" i="35"/>
  <c r="I812" i="35"/>
  <c r="I853" i="35"/>
  <c r="I915" i="35"/>
  <c r="I818" i="35"/>
  <c r="I876" i="35"/>
  <c r="I713" i="35"/>
  <c r="I756" i="35"/>
  <c r="I793" i="35"/>
  <c r="I856" i="35"/>
  <c r="I922" i="35"/>
  <c r="I822" i="35"/>
  <c r="I703" i="35"/>
  <c r="I757" i="35"/>
  <c r="I839" i="35"/>
  <c r="I800" i="35"/>
  <c r="I864" i="35"/>
  <c r="I746" i="35"/>
  <c r="I802" i="35"/>
  <c r="I960" i="35"/>
  <c r="I877" i="35"/>
  <c r="I985" i="35"/>
  <c r="I940" i="35"/>
  <c r="I969" i="35"/>
  <c r="I896" i="35"/>
  <c r="I942" i="35"/>
  <c r="I992" i="35"/>
  <c r="H8" i="35"/>
  <c r="C9" i="35"/>
  <c r="I957" i="36"/>
  <c r="I920" i="36"/>
  <c r="I802" i="36"/>
  <c r="I825" i="36"/>
  <c r="I615" i="36"/>
  <c r="K55" i="36"/>
  <c r="I481" i="36"/>
  <c r="I434" i="36"/>
  <c r="I364" i="36"/>
  <c r="I301" i="36"/>
  <c r="K37" i="36"/>
  <c r="I283" i="36"/>
  <c r="I250" i="36"/>
  <c r="I206" i="36"/>
  <c r="K21" i="36"/>
  <c r="I141" i="36"/>
  <c r="I114" i="36"/>
  <c r="I86" i="36"/>
  <c r="I62" i="36"/>
  <c r="I13" i="36"/>
  <c r="I952" i="36"/>
  <c r="I981" i="36"/>
  <c r="K105" i="36"/>
  <c r="I799" i="36"/>
  <c r="I736" i="36"/>
  <c r="I879" i="36"/>
  <c r="I796" i="36"/>
  <c r="I795" i="36"/>
  <c r="I756" i="36"/>
  <c r="I657" i="36"/>
  <c r="I605" i="36"/>
  <c r="I585" i="36"/>
  <c r="I554" i="36"/>
  <c r="I530" i="36"/>
  <c r="I473" i="36"/>
  <c r="I540" i="36"/>
  <c r="I469" i="36"/>
  <c r="I431" i="36"/>
  <c r="K50" i="36"/>
  <c r="I343" i="36"/>
  <c r="I356" i="36"/>
  <c r="I272" i="36"/>
  <c r="I246" i="36"/>
  <c r="I138" i="36"/>
  <c r="I118" i="36"/>
  <c r="I90" i="36"/>
  <c r="I63" i="36"/>
  <c r="I22" i="36"/>
  <c r="I20" i="33"/>
  <c r="I19" i="33"/>
  <c r="I32" i="33"/>
  <c r="I68" i="33"/>
  <c r="I47" i="33"/>
  <c r="I85" i="33"/>
  <c r="I91" i="33"/>
  <c r="K11" i="33"/>
  <c r="N16" i="36" s="1"/>
  <c r="I83" i="33"/>
  <c r="I132" i="33"/>
  <c r="I121" i="33"/>
  <c r="K14" i="33"/>
  <c r="N19" i="36" s="1"/>
  <c r="I135" i="33"/>
  <c r="I177" i="33"/>
  <c r="I190" i="33"/>
  <c r="I172" i="33"/>
  <c r="I182" i="33"/>
  <c r="I156" i="33"/>
  <c r="I199" i="33"/>
  <c r="I213" i="33"/>
  <c r="I224" i="33"/>
  <c r="I217" i="33"/>
  <c r="I201" i="33"/>
  <c r="K22" i="33"/>
  <c r="N27" i="36" s="1"/>
  <c r="I252" i="33"/>
  <c r="I261" i="33"/>
  <c r="K28" i="33"/>
  <c r="N33" i="36" s="1"/>
  <c r="I294" i="33"/>
  <c r="I304" i="33"/>
  <c r="I292" i="33"/>
  <c r="I288" i="33"/>
  <c r="I275" i="33"/>
  <c r="I338" i="33"/>
  <c r="I348" i="33"/>
  <c r="I406" i="33"/>
  <c r="I324" i="33"/>
  <c r="K41" i="33"/>
  <c r="N46" i="36" s="1"/>
  <c r="I391" i="33"/>
  <c r="I400" i="33"/>
  <c r="I354" i="33"/>
  <c r="I360" i="33"/>
  <c r="I343" i="33"/>
  <c r="I405" i="33"/>
  <c r="I433" i="33"/>
  <c r="I506" i="33"/>
  <c r="I385" i="33"/>
  <c r="I462" i="33"/>
  <c r="I535" i="33"/>
  <c r="I424" i="33"/>
  <c r="I453" i="33"/>
  <c r="I382" i="33"/>
  <c r="I455" i="33"/>
  <c r="I530" i="33"/>
  <c r="I647" i="33"/>
  <c r="I485" i="33"/>
  <c r="K63" i="33"/>
  <c r="N68" i="36" s="1"/>
  <c r="I611" i="33"/>
  <c r="I556" i="33"/>
  <c r="I550" i="33"/>
  <c r="I598" i="33"/>
  <c r="I471" i="33"/>
  <c r="K49" i="33"/>
  <c r="N54" i="36" s="1"/>
  <c r="I513" i="33"/>
  <c r="I549" i="33"/>
  <c r="I588" i="33"/>
  <c r="I652" i="33"/>
  <c r="I730" i="33"/>
  <c r="I584" i="33"/>
  <c r="I632" i="33"/>
  <c r="I692" i="33"/>
  <c r="I738" i="33"/>
  <c r="K60" i="33"/>
  <c r="N65" i="36" s="1"/>
  <c r="I581" i="33"/>
  <c r="I579" i="33"/>
  <c r="I631" i="33"/>
  <c r="K65" i="33"/>
  <c r="N70" i="36" s="1"/>
  <c r="I679" i="33"/>
  <c r="I751" i="33"/>
  <c r="K77" i="33"/>
  <c r="N82" i="36" s="1"/>
  <c r="I725" i="33"/>
  <c r="K87" i="33"/>
  <c r="N92" i="36" s="1"/>
  <c r="I851" i="33"/>
  <c r="I806" i="33"/>
  <c r="I785" i="33"/>
  <c r="I848" i="33"/>
  <c r="I688" i="33"/>
  <c r="I764" i="33"/>
  <c r="I915" i="33"/>
  <c r="I796" i="33"/>
  <c r="I859" i="33"/>
  <c r="I717" i="33"/>
  <c r="I777" i="33"/>
  <c r="I873" i="33"/>
  <c r="I927" i="33"/>
  <c r="I697" i="33"/>
  <c r="I776" i="33"/>
  <c r="I800" i="33"/>
  <c r="I857" i="33"/>
  <c r="I838" i="33"/>
  <c r="I894" i="33"/>
  <c r="I943" i="33"/>
  <c r="I981" i="33"/>
  <c r="K100" i="33"/>
  <c r="N105" i="36" s="1"/>
  <c r="I973" i="33"/>
  <c r="I924" i="33"/>
  <c r="K99" i="33"/>
  <c r="N104" i="36" s="1"/>
  <c r="I971" i="33"/>
  <c r="I954" i="33"/>
  <c r="I999" i="33"/>
  <c r="I1003" i="33"/>
  <c r="I999" i="36"/>
  <c r="I956" i="36"/>
  <c r="I967" i="36"/>
  <c r="I729" i="36"/>
  <c r="I923" i="36"/>
  <c r="I710" i="36"/>
  <c r="I602" i="36"/>
  <c r="I661" i="36"/>
  <c r="K73" i="36"/>
  <c r="I702" i="36"/>
  <c r="I474" i="36"/>
  <c r="I476" i="36"/>
  <c r="I490" i="36"/>
  <c r="I445" i="36"/>
  <c r="I391" i="36"/>
  <c r="K46" i="36"/>
  <c r="I348" i="36"/>
  <c r="I279" i="36"/>
  <c r="I276" i="36"/>
  <c r="I213" i="36"/>
  <c r="I214" i="36"/>
  <c r="I125" i="36"/>
  <c r="I74" i="36"/>
  <c r="I42" i="36"/>
  <c r="I313" i="36"/>
  <c r="I321" i="36"/>
  <c r="K39" i="36"/>
  <c r="I278" i="36"/>
  <c r="I209" i="36"/>
  <c r="I164" i="36"/>
  <c r="I59" i="36"/>
  <c r="I951" i="36"/>
  <c r="K102" i="36"/>
  <c r="I916" i="36"/>
  <c r="I807" i="36"/>
  <c r="I728" i="36"/>
  <c r="I919" i="36"/>
  <c r="I581" i="36"/>
  <c r="K65" i="36"/>
  <c r="I735" i="36"/>
  <c r="I483" i="36"/>
  <c r="I439" i="36"/>
  <c r="I429" i="36"/>
  <c r="I388" i="36"/>
  <c r="I338" i="36"/>
  <c r="I346" i="36"/>
  <c r="I275" i="36"/>
  <c r="I210" i="36"/>
  <c r="I211" i="36"/>
  <c r="K28" i="36"/>
  <c r="I170" i="36"/>
  <c r="I121" i="36"/>
  <c r="K19" i="36"/>
  <c r="I67" i="36"/>
  <c r="I52" i="36"/>
  <c r="I25" i="36"/>
  <c r="I20" i="34"/>
  <c r="I28" i="34"/>
  <c r="I39" i="34"/>
  <c r="I53" i="34"/>
  <c r="I81" i="34"/>
  <c r="K10" i="34"/>
  <c r="M15" i="36" s="1"/>
  <c r="I87" i="34"/>
  <c r="I114" i="34"/>
  <c r="I142" i="34"/>
  <c r="I145" i="34"/>
  <c r="I121" i="34"/>
  <c r="K14" i="34"/>
  <c r="M19" i="36" s="1"/>
  <c r="I170" i="34"/>
  <c r="I184" i="34"/>
  <c r="I160" i="34"/>
  <c r="I179" i="34"/>
  <c r="I217" i="34"/>
  <c r="I216" i="34"/>
  <c r="I229" i="34"/>
  <c r="I224" i="34"/>
  <c r="I269" i="34"/>
  <c r="I299" i="34"/>
  <c r="I248" i="34"/>
  <c r="I261" i="34"/>
  <c r="K28" i="34"/>
  <c r="M33" i="36" s="1"/>
  <c r="I253" i="34"/>
  <c r="I297" i="34"/>
  <c r="I309" i="34"/>
  <c r="I436" i="34"/>
  <c r="I338" i="34"/>
  <c r="I406" i="34"/>
  <c r="I347" i="34"/>
  <c r="I364" i="34"/>
  <c r="I405" i="34"/>
  <c r="I416" i="34"/>
  <c r="I397" i="34"/>
  <c r="I527" i="34"/>
  <c r="I402" i="34"/>
  <c r="I383" i="34"/>
  <c r="I425" i="34"/>
  <c r="I486" i="34"/>
  <c r="I471" i="34"/>
  <c r="K49" i="34"/>
  <c r="M54" i="36" s="1"/>
  <c r="I537" i="34"/>
  <c r="I563" i="34"/>
  <c r="I612" i="34"/>
  <c r="I509" i="34"/>
  <c r="I542" i="34"/>
  <c r="I593" i="34"/>
  <c r="I564" i="34"/>
  <c r="I566" i="34"/>
  <c r="I498" i="34"/>
  <c r="I570" i="34"/>
  <c r="I581" i="34"/>
  <c r="K60" i="34"/>
  <c r="M65" i="36" s="1"/>
  <c r="I615" i="34"/>
  <c r="I681" i="34"/>
  <c r="K70" i="34"/>
  <c r="M75" i="36" s="1"/>
  <c r="I736" i="34"/>
  <c r="I603" i="34"/>
  <c r="I671" i="34"/>
  <c r="K69" i="34"/>
  <c r="M74" i="36" s="1"/>
  <c r="I728" i="34"/>
  <c r="I571" i="34"/>
  <c r="K59" i="34"/>
  <c r="M64" i="36" s="1"/>
  <c r="I668" i="34"/>
  <c r="I688" i="34"/>
  <c r="I680" i="34"/>
  <c r="K81" i="34"/>
  <c r="M86" i="36" s="1"/>
  <c r="I791" i="34"/>
  <c r="I865" i="34"/>
  <c r="I948" i="34"/>
  <c r="I795" i="34"/>
  <c r="I704" i="34"/>
  <c r="I744" i="34"/>
  <c r="I781" i="34"/>
  <c r="K80" i="34"/>
  <c r="M85" i="36" s="1"/>
  <c r="I844" i="34"/>
  <c r="I895" i="34"/>
  <c r="I780" i="34"/>
  <c r="I850" i="34"/>
  <c r="I909" i="34"/>
  <c r="I720" i="34"/>
  <c r="I809" i="34"/>
  <c r="I691" i="34"/>
  <c r="K71" i="34"/>
  <c r="M76" i="36" s="1"/>
  <c r="I730" i="34"/>
  <c r="I777" i="34"/>
  <c r="I824" i="34"/>
  <c r="I890" i="34"/>
  <c r="I788" i="34"/>
  <c r="I967" i="34"/>
  <c r="I972" i="34"/>
  <c r="I985" i="34"/>
  <c r="I940" i="34"/>
  <c r="I993" i="34"/>
  <c r="I955" i="34"/>
  <c r="I1006" i="34"/>
  <c r="I978" i="34"/>
  <c r="I16" i="35"/>
  <c r="I20" i="35"/>
  <c r="I36" i="35"/>
  <c r="I28" i="35"/>
  <c r="I61" i="35"/>
  <c r="K8" i="35"/>
  <c r="L13" i="36" s="1"/>
  <c r="I44" i="35"/>
  <c r="I59" i="35"/>
  <c r="I69" i="35"/>
  <c r="I77" i="35"/>
  <c r="I84" i="35"/>
  <c r="I117" i="35"/>
  <c r="I157" i="35"/>
  <c r="I128" i="35"/>
  <c r="I131" i="35"/>
  <c r="K15" i="35"/>
  <c r="L20" i="36" s="1"/>
  <c r="I143" i="35"/>
  <c r="K18" i="35"/>
  <c r="L23" i="36" s="1"/>
  <c r="I161" i="35"/>
  <c r="I180" i="35"/>
  <c r="I194" i="35"/>
  <c r="I191" i="35"/>
  <c r="K21" i="35"/>
  <c r="L26" i="36" s="1"/>
  <c r="I188" i="35"/>
  <c r="I204" i="35"/>
  <c r="I222" i="35"/>
  <c r="I211" i="35"/>
  <c r="K23" i="35"/>
  <c r="L28" i="36" s="1"/>
  <c r="I202" i="35"/>
  <c r="I238" i="35"/>
  <c r="I298" i="35"/>
  <c r="I246" i="35"/>
  <c r="I295" i="35"/>
  <c r="I281" i="35"/>
  <c r="K30" i="35"/>
  <c r="L35" i="36" s="1"/>
  <c r="I294" i="35"/>
  <c r="I408" i="35"/>
  <c r="I345" i="35"/>
  <c r="I348" i="35"/>
  <c r="I325" i="35"/>
  <c r="I347" i="35"/>
  <c r="I450" i="35"/>
  <c r="K42" i="35"/>
  <c r="L47" i="36" s="1"/>
  <c r="I401" i="35"/>
  <c r="I438" i="35"/>
  <c r="I523" i="35"/>
  <c r="I386" i="35"/>
  <c r="I439" i="35"/>
  <c r="I484" i="35"/>
  <c r="I376" i="35"/>
  <c r="I501" i="35"/>
  <c r="K52" i="35"/>
  <c r="L57" i="36" s="1"/>
  <c r="I525" i="35"/>
  <c r="I371" i="35"/>
  <c r="K39" i="35"/>
  <c r="L44" i="36" s="1"/>
  <c r="I457" i="35"/>
  <c r="I516" i="35"/>
  <c r="I465" i="35"/>
  <c r="I504" i="35"/>
  <c r="I637" i="35"/>
  <c r="I495" i="35"/>
  <c r="I477" i="35"/>
  <c r="I581" i="35"/>
  <c r="K60" i="35"/>
  <c r="L65" i="36" s="1"/>
  <c r="K64" i="35"/>
  <c r="L69" i="36" s="1"/>
  <c r="I621" i="35"/>
  <c r="I660" i="35"/>
  <c r="I689" i="35"/>
  <c r="I744" i="35"/>
  <c r="I681" i="35"/>
  <c r="K70" i="35"/>
  <c r="L75" i="36" s="1"/>
  <c r="I717" i="35"/>
  <c r="I606" i="35"/>
  <c r="I649" i="35"/>
  <c r="I594" i="35"/>
  <c r="I619" i="35"/>
  <c r="I672" i="35"/>
  <c r="I727" i="35"/>
  <c r="I745" i="35"/>
  <c r="K86" i="35"/>
  <c r="L91" i="36" s="1"/>
  <c r="I841" i="35"/>
  <c r="I904" i="35"/>
  <c r="I946" i="35"/>
  <c r="I685" i="35"/>
  <c r="I739" i="35"/>
  <c r="I767" i="35"/>
  <c r="I824" i="35"/>
  <c r="I905" i="35"/>
  <c r="I785" i="35"/>
  <c r="I887" i="35"/>
  <c r="I732" i="35"/>
  <c r="I895" i="35"/>
  <c r="I699" i="35"/>
  <c r="I781" i="35"/>
  <c r="K80" i="35"/>
  <c r="L85" i="36" s="1"/>
  <c r="I865" i="35"/>
  <c r="I916" i="35"/>
  <c r="I989" i="35"/>
  <c r="I930" i="35"/>
  <c r="I961" i="35"/>
  <c r="K98" i="35"/>
  <c r="L103" i="36" s="1"/>
  <c r="I980" i="35"/>
  <c r="I939" i="35"/>
  <c r="I921" i="35"/>
  <c r="K94" i="35"/>
  <c r="L99" i="36" s="1"/>
  <c r="I982" i="35"/>
  <c r="I922" i="36"/>
  <c r="I979" i="36"/>
  <c r="I856" i="36"/>
  <c r="I772" i="36"/>
  <c r="I641" i="36"/>
  <c r="K71" i="36"/>
  <c r="I582" i="36"/>
  <c r="I538" i="36"/>
  <c r="I511" i="36"/>
  <c r="K58" i="36"/>
  <c r="I652" i="36"/>
  <c r="I449" i="36"/>
  <c r="I326" i="36"/>
  <c r="I262" i="36"/>
  <c r="I239" i="36"/>
  <c r="I168" i="36"/>
  <c r="I113" i="36"/>
  <c r="I80" i="36"/>
  <c r="I982" i="36"/>
  <c r="I977" i="36"/>
  <c r="I781" i="36"/>
  <c r="K85" i="36"/>
  <c r="I706" i="36"/>
  <c r="I847" i="36"/>
  <c r="I769" i="36"/>
  <c r="I741" i="36"/>
  <c r="K81" i="36"/>
  <c r="I633" i="36"/>
  <c r="I579" i="36"/>
  <c r="I531" i="36"/>
  <c r="K60" i="36"/>
  <c r="I650" i="36"/>
  <c r="I513" i="36"/>
  <c r="I453" i="36"/>
  <c r="I318" i="36"/>
  <c r="I300" i="36"/>
  <c r="I236" i="36"/>
  <c r="I245" i="36"/>
  <c r="I128" i="36"/>
  <c r="I112" i="36"/>
  <c r="I79" i="36"/>
  <c r="I40" i="36"/>
  <c r="I15" i="36"/>
  <c r="I21" i="33"/>
  <c r="K4" i="33"/>
  <c r="N9" i="36" s="1"/>
  <c r="I26" i="33"/>
  <c r="I35" i="33"/>
  <c r="I41" i="33"/>
  <c r="K6" i="33"/>
  <c r="N11" i="36" s="1"/>
  <c r="I56" i="33"/>
  <c r="I64" i="33"/>
  <c r="I75" i="33"/>
  <c r="I101" i="33"/>
  <c r="K12" i="33"/>
  <c r="N17" i="36" s="1"/>
  <c r="I134" i="33"/>
  <c r="I131" i="33"/>
  <c r="K15" i="33"/>
  <c r="N20" i="36" s="1"/>
  <c r="I187" i="33"/>
  <c r="I175" i="33"/>
  <c r="I183" i="33"/>
  <c r="I157" i="33"/>
  <c r="I167" i="33"/>
  <c r="I228" i="33"/>
  <c r="I214" i="33"/>
  <c r="I248" i="33"/>
  <c r="I216" i="33"/>
  <c r="I257" i="33"/>
  <c r="I251" i="33"/>
  <c r="K27" i="33"/>
  <c r="N32" i="36" s="1"/>
  <c r="I307" i="33"/>
  <c r="I250" i="33"/>
  <c r="I301" i="33"/>
  <c r="K32" i="33"/>
  <c r="N37" i="36" s="1"/>
  <c r="I442" i="33"/>
  <c r="I363" i="33"/>
  <c r="I351" i="33"/>
  <c r="K37" i="33"/>
  <c r="N42" i="36" s="1"/>
  <c r="I415" i="33"/>
  <c r="I369" i="33"/>
  <c r="I435" i="33"/>
  <c r="K53" i="33"/>
  <c r="N58" i="36" s="1"/>
  <c r="I511" i="33"/>
  <c r="I388" i="33"/>
  <c r="I416" i="33"/>
  <c r="I470" i="33"/>
  <c r="I362" i="33"/>
  <c r="I426" i="33"/>
  <c r="I459" i="33"/>
  <c r="I532" i="33"/>
  <c r="I573" i="33"/>
  <c r="I650" i="33"/>
  <c r="I563" i="33"/>
  <c r="I469" i="33"/>
  <c r="I515" i="33"/>
  <c r="I601" i="33"/>
  <c r="K62" i="33"/>
  <c r="N67" i="36" s="1"/>
  <c r="I654" i="33"/>
  <c r="I662" i="33"/>
  <c r="I585" i="33"/>
  <c r="I636" i="33"/>
  <c r="I694" i="33"/>
  <c r="I746" i="33"/>
  <c r="I583" i="33"/>
  <c r="I695" i="33"/>
  <c r="I756" i="33"/>
  <c r="I726" i="33"/>
  <c r="K97" i="33"/>
  <c r="N102" i="36" s="1"/>
  <c r="I951" i="33"/>
  <c r="I814" i="33"/>
  <c r="I702" i="33"/>
  <c r="I765" i="33"/>
  <c r="I854" i="33"/>
  <c r="I917" i="33"/>
  <c r="I798" i="33"/>
  <c r="I875" i="33"/>
  <c r="K70" i="33"/>
  <c r="N75" i="36" s="1"/>
  <c r="I681" i="33"/>
  <c r="I718" i="33"/>
  <c r="I752" i="33"/>
  <c r="I880" i="33"/>
  <c r="I933" i="33"/>
  <c r="I869" i="33"/>
  <c r="I699" i="33"/>
  <c r="I772" i="33"/>
  <c r="I805" i="33"/>
  <c r="I864" i="33"/>
  <c r="I942" i="33"/>
  <c r="I944" i="33"/>
  <c r="I994" i="33"/>
  <c r="I972" i="33"/>
  <c r="I928" i="33"/>
  <c r="I964" i="33"/>
  <c r="I908" i="33"/>
  <c r="I963" i="33"/>
  <c r="I976" i="33"/>
  <c r="I991" i="36"/>
  <c r="K106" i="36"/>
  <c r="I941" i="36"/>
  <c r="K101" i="36"/>
  <c r="I748" i="36"/>
  <c r="I784" i="36"/>
  <c r="I718" i="36"/>
  <c r="I896" i="36"/>
  <c r="I681" i="36"/>
  <c r="K75" i="36"/>
  <c r="I571" i="36"/>
  <c r="K64" i="36"/>
  <c r="I667" i="36"/>
  <c r="I662" i="36"/>
  <c r="I659" i="36"/>
  <c r="I423" i="36"/>
  <c r="I375" i="36"/>
  <c r="I454" i="36"/>
  <c r="I273" i="36"/>
  <c r="I188" i="36"/>
  <c r="I120" i="36"/>
  <c r="I85" i="36"/>
  <c r="I959" i="36"/>
  <c r="I930" i="36"/>
  <c r="I804" i="36"/>
  <c r="I764" i="36"/>
  <c r="I884" i="36"/>
  <c r="I832" i="36"/>
  <c r="I818" i="36"/>
  <c r="I759" i="36"/>
  <c r="I619" i="36"/>
  <c r="I612" i="36"/>
  <c r="I494" i="36"/>
  <c r="I543" i="36"/>
  <c r="I488" i="36"/>
  <c r="I459" i="36"/>
  <c r="I299" i="36"/>
  <c r="I373" i="36"/>
  <c r="I328" i="36"/>
  <c r="I284" i="36"/>
  <c r="I242" i="36"/>
  <c r="I224" i="36"/>
  <c r="I158" i="36"/>
  <c r="I123" i="36"/>
  <c r="I88" i="36"/>
  <c r="I41" i="36"/>
  <c r="K11" i="36"/>
  <c r="I16" i="36"/>
  <c r="K4" i="34"/>
  <c r="M9" i="36" s="1"/>
  <c r="I21" i="34"/>
  <c r="I22" i="34"/>
  <c r="I23" i="34"/>
  <c r="I38" i="34"/>
  <c r="I60" i="34"/>
  <c r="I41" i="34"/>
  <c r="K6" i="34"/>
  <c r="M11" i="36" s="1"/>
  <c r="K8" i="34"/>
  <c r="M13" i="36" s="1"/>
  <c r="I61" i="34"/>
  <c r="I58" i="34"/>
  <c r="I86" i="34"/>
  <c r="I95" i="34"/>
  <c r="I118" i="34"/>
  <c r="I117" i="34"/>
  <c r="I133" i="34"/>
  <c r="I124" i="34"/>
  <c r="I157" i="34"/>
  <c r="I154" i="34"/>
  <c r="I163" i="34"/>
  <c r="I194" i="34"/>
  <c r="I245" i="34"/>
  <c r="I222" i="34"/>
  <c r="I223" i="34"/>
  <c r="I211" i="34"/>
  <c r="K23" i="34"/>
  <c r="M28" i="36" s="1"/>
  <c r="I279" i="34"/>
  <c r="I291" i="34"/>
  <c r="K31" i="34"/>
  <c r="M36" i="36" s="1"/>
  <c r="I278" i="34"/>
  <c r="I285" i="34"/>
  <c r="I263" i="34"/>
  <c r="I254" i="34"/>
  <c r="I295" i="34"/>
  <c r="I265" i="34"/>
  <c r="I345" i="34"/>
  <c r="I352" i="34"/>
  <c r="I429" i="34"/>
  <c r="I331" i="34"/>
  <c r="K35" i="34"/>
  <c r="M40" i="36" s="1"/>
  <c r="I350" i="34"/>
  <c r="I298" i="34"/>
  <c r="I385" i="34"/>
  <c r="I423" i="34"/>
  <c r="I381" i="34"/>
  <c r="K40" i="34"/>
  <c r="M45" i="36" s="1"/>
  <c r="I445" i="34"/>
  <c r="I497" i="34"/>
  <c r="I441" i="34"/>
  <c r="K46" i="34"/>
  <c r="M51" i="36" s="1"/>
  <c r="I496" i="34"/>
  <c r="I392" i="34"/>
  <c r="I479" i="34"/>
  <c r="I360" i="34"/>
  <c r="I411" i="34"/>
  <c r="K43" i="34"/>
  <c r="M48" i="36" s="1"/>
  <c r="I519" i="34"/>
  <c r="I515" i="34"/>
  <c r="I553" i="34"/>
  <c r="I594" i="34"/>
  <c r="I484" i="34"/>
  <c r="I533" i="34"/>
  <c r="I569" i="34"/>
  <c r="I627" i="34"/>
  <c r="I506" i="34"/>
  <c r="I543" i="34"/>
  <c r="I636" i="34"/>
  <c r="I488" i="34"/>
  <c r="I528" i="34"/>
  <c r="I650" i="34"/>
  <c r="I602" i="34"/>
  <c r="I672" i="34"/>
  <c r="I712" i="34"/>
  <c r="I586" i="34"/>
  <c r="I633" i="34"/>
  <c r="I664" i="34"/>
  <c r="I703" i="34"/>
  <c r="I760" i="34"/>
  <c r="I656" i="34"/>
  <c r="I657" i="34"/>
  <c r="I601" i="34"/>
  <c r="K62" i="34"/>
  <c r="M67" i="36" s="1"/>
  <c r="I752" i="34"/>
  <c r="I942" i="34"/>
  <c r="I786" i="34"/>
  <c r="I814" i="34"/>
  <c r="I888" i="34"/>
  <c r="I733" i="34"/>
  <c r="I770" i="34"/>
  <c r="I878" i="34"/>
  <c r="I927" i="34"/>
  <c r="I837" i="34"/>
  <c r="K91" i="34"/>
  <c r="M96" i="36" s="1"/>
  <c r="I891" i="34"/>
  <c r="I829" i="34"/>
  <c r="I719" i="34"/>
  <c r="I938" i="34"/>
  <c r="I962" i="34"/>
  <c r="I977" i="34"/>
  <c r="I921" i="34"/>
  <c r="K94" i="34"/>
  <c r="M99" i="36" s="1"/>
  <c r="I966" i="34"/>
  <c r="I929" i="34"/>
  <c r="I965" i="34"/>
  <c r="I928" i="34"/>
  <c r="I986" i="34"/>
  <c r="I1001" i="34"/>
  <c r="K102" i="34"/>
  <c r="M107" i="36" s="1"/>
  <c r="I997" i="34"/>
  <c r="K4" i="35"/>
  <c r="L9" i="36" s="1"/>
  <c r="I21" i="35"/>
  <c r="I30" i="35"/>
  <c r="K7" i="35"/>
  <c r="L12" i="36" s="1"/>
  <c r="I51" i="35"/>
  <c r="K9" i="35"/>
  <c r="L14" i="36" s="1"/>
  <c r="I71" i="35"/>
  <c r="I54" i="35"/>
  <c r="I57" i="35"/>
  <c r="I79" i="35"/>
  <c r="I105" i="35"/>
  <c r="I125" i="35"/>
  <c r="I133" i="35"/>
  <c r="K16" i="35"/>
  <c r="L21" i="36" s="1"/>
  <c r="I141" i="35"/>
  <c r="I195" i="35"/>
  <c r="I172" i="35"/>
  <c r="I182" i="35"/>
  <c r="I231" i="35"/>
  <c r="K25" i="35"/>
  <c r="L30" i="36" s="1"/>
  <c r="I230" i="35"/>
  <c r="I221" i="35"/>
  <c r="K24" i="35"/>
  <c r="L29" i="36" s="1"/>
  <c r="I225" i="35"/>
  <c r="I259" i="35"/>
  <c r="I263" i="35"/>
  <c r="I287" i="35"/>
  <c r="I266" i="35"/>
  <c r="I293" i="35"/>
  <c r="I278" i="35"/>
  <c r="I326" i="35"/>
  <c r="I440" i="35"/>
  <c r="I327" i="35"/>
  <c r="I310" i="35"/>
  <c r="I387" i="35"/>
  <c r="I454" i="35"/>
  <c r="I431" i="35"/>
  <c r="K45" i="35"/>
  <c r="L50" i="36" s="1"/>
  <c r="I463" i="35"/>
  <c r="I531" i="35"/>
  <c r="K55" i="35"/>
  <c r="L60" i="36" s="1"/>
  <c r="I420" i="35"/>
  <c r="I552" i="35"/>
  <c r="I556" i="35"/>
  <c r="I618" i="35"/>
  <c r="I539" i="35"/>
  <c r="I472" i="35"/>
  <c r="I622" i="35"/>
  <c r="I570" i="35"/>
  <c r="I597" i="35"/>
  <c r="I644" i="35"/>
  <c r="K72" i="35"/>
  <c r="L77" i="36" s="1"/>
  <c r="I701" i="35"/>
  <c r="I723" i="35"/>
  <c r="I623" i="35"/>
  <c r="I704" i="35"/>
  <c r="I575" i="35"/>
  <c r="I669" i="35"/>
  <c r="I698" i="35"/>
  <c r="I573" i="35"/>
  <c r="I611" i="35"/>
  <c r="K63" i="35"/>
  <c r="L68" i="36" s="1"/>
  <c r="I657" i="35"/>
  <c r="I712" i="35"/>
  <c r="I779" i="35"/>
  <c r="I827" i="35"/>
  <c r="I878" i="35"/>
  <c r="I929" i="35"/>
  <c r="I899" i="35"/>
  <c r="I722" i="35"/>
  <c r="K78" i="35"/>
  <c r="L83" i="36" s="1"/>
  <c r="I761" i="35"/>
  <c r="I801" i="35"/>
  <c r="K82" i="35"/>
  <c r="L87" i="36" s="1"/>
  <c r="I860" i="35"/>
  <c r="I937" i="35"/>
  <c r="I829" i="35"/>
  <c r="I769" i="35"/>
  <c r="I804" i="35"/>
  <c r="I879" i="35"/>
  <c r="I951" i="35"/>
  <c r="K97" i="35"/>
  <c r="L102" i="36" s="1"/>
  <c r="K83" i="35"/>
  <c r="L88" i="36" s="1"/>
  <c r="I811" i="35"/>
  <c r="I754" i="35"/>
  <c r="I797" i="35"/>
  <c r="I901" i="35"/>
  <c r="K92" i="35"/>
  <c r="L97" i="36" s="1"/>
  <c r="I990" i="35"/>
  <c r="I949" i="35"/>
  <c r="I974" i="35"/>
  <c r="I924" i="35"/>
  <c r="I979" i="35"/>
  <c r="I999" i="35"/>
  <c r="I1000" i="35"/>
  <c r="I966" i="36"/>
  <c r="I973" i="36"/>
  <c r="I946" i="36"/>
  <c r="I793" i="36"/>
  <c r="K89" i="36"/>
  <c r="I821" i="36"/>
  <c r="I740" i="36"/>
  <c r="I928" i="36"/>
  <c r="I611" i="36"/>
  <c r="K68" i="36"/>
  <c r="I514" i="36"/>
  <c r="I492" i="36"/>
  <c r="I462" i="36"/>
  <c r="I438" i="36"/>
  <c r="I406" i="36"/>
  <c r="I358" i="36"/>
  <c r="I355" i="36"/>
  <c r="I310" i="36"/>
  <c r="I220" i="36"/>
  <c r="I233" i="36"/>
  <c r="I185" i="36"/>
  <c r="I146" i="36"/>
  <c r="I106" i="36"/>
  <c r="I20" i="36"/>
  <c r="I974" i="36"/>
  <c r="I940" i="36"/>
  <c r="I770" i="36"/>
  <c r="I819" i="36"/>
  <c r="I731" i="36"/>
  <c r="K80" i="36"/>
  <c r="I716" i="36"/>
  <c r="I610" i="36"/>
  <c r="I670" i="36"/>
  <c r="I704" i="36"/>
  <c r="I477" i="36"/>
  <c r="I624" i="36"/>
  <c r="I493" i="36"/>
  <c r="I451" i="36"/>
  <c r="K52" i="36"/>
  <c r="I436" i="36"/>
  <c r="I401" i="36"/>
  <c r="K47" i="36"/>
  <c r="I350" i="36"/>
  <c r="I302" i="36"/>
  <c r="I171" i="36"/>
  <c r="K24" i="36"/>
  <c r="I144" i="36"/>
  <c r="I101" i="36"/>
  <c r="K17" i="36"/>
  <c r="I71" i="36"/>
  <c r="K14" i="36"/>
  <c r="I44" i="36"/>
  <c r="I24" i="36"/>
  <c r="I23" i="33"/>
  <c r="I28" i="33"/>
  <c r="I37" i="33"/>
  <c r="I44" i="33"/>
  <c r="I61" i="33"/>
  <c r="K8" i="33"/>
  <c r="N13" i="36" s="1"/>
  <c r="I77" i="33"/>
  <c r="I86" i="33"/>
  <c r="I88" i="33"/>
  <c r="I109" i="33"/>
  <c r="I112" i="33"/>
  <c r="I104" i="33"/>
  <c r="I122" i="33"/>
  <c r="I140" i="33"/>
  <c r="I143" i="33"/>
  <c r="I188" i="33"/>
  <c r="I198" i="33"/>
  <c r="I180" i="33"/>
  <c r="I184" i="33"/>
  <c r="I161" i="33"/>
  <c r="K18" i="33"/>
  <c r="N23" i="36" s="1"/>
  <c r="I148" i="33"/>
  <c r="I204" i="33"/>
  <c r="I233" i="33"/>
  <c r="I222" i="33"/>
  <c r="I226" i="33"/>
  <c r="I230" i="33"/>
  <c r="I297" i="33"/>
  <c r="I266" i="33"/>
  <c r="I316" i="33"/>
  <c r="I263" i="33"/>
  <c r="I298" i="33"/>
  <c r="I280" i="33"/>
  <c r="I308" i="33"/>
  <c r="I376" i="33"/>
  <c r="I341" i="33"/>
  <c r="K36" i="33"/>
  <c r="N41" i="36" s="1"/>
  <c r="I370" i="33"/>
  <c r="I443" i="33"/>
  <c r="I329" i="33"/>
  <c r="I431" i="33"/>
  <c r="K45" i="33"/>
  <c r="N50" i="36" s="1"/>
  <c r="I310" i="33"/>
  <c r="I373" i="33"/>
  <c r="I448" i="33"/>
  <c r="I539" i="33"/>
  <c r="I393" i="33"/>
  <c r="I423" i="33"/>
  <c r="I379" i="33"/>
  <c r="I430" i="33"/>
  <c r="I475" i="33"/>
  <c r="I521" i="33"/>
  <c r="K54" i="33"/>
  <c r="N59" i="36" s="1"/>
  <c r="I464" i="33"/>
  <c r="I524" i="33"/>
  <c r="K61" i="33"/>
  <c r="N66" i="36" s="1"/>
  <c r="I591" i="33"/>
  <c r="I503" i="33"/>
  <c r="I575" i="33"/>
  <c r="I477" i="33"/>
  <c r="I552" i="33"/>
  <c r="I486" i="33"/>
  <c r="I555" i="33"/>
  <c r="I610" i="33"/>
  <c r="I656" i="33"/>
  <c r="I745" i="33"/>
  <c r="I607" i="33"/>
  <c r="I646" i="33"/>
  <c r="I701" i="33"/>
  <c r="K72" i="33"/>
  <c r="N77" i="36" s="1"/>
  <c r="I749" i="33"/>
  <c r="I658" i="33"/>
  <c r="I714" i="33"/>
  <c r="I587" i="33"/>
  <c r="I660" i="33"/>
  <c r="I707" i="33"/>
  <c r="I766" i="33"/>
  <c r="I729" i="33"/>
  <c r="I961" i="33"/>
  <c r="K98" i="33"/>
  <c r="N103" i="36" s="1"/>
  <c r="I815" i="33"/>
  <c r="I918" i="33"/>
  <c r="I803" i="33"/>
  <c r="I704" i="33"/>
  <c r="I779" i="33"/>
  <c r="I868" i="33"/>
  <c r="I922" i="33"/>
  <c r="I802" i="33"/>
  <c r="I878" i="33"/>
  <c r="I686" i="33"/>
  <c r="I721" i="33"/>
  <c r="K74" i="33"/>
  <c r="N79" i="36" s="1"/>
  <c r="I937" i="33"/>
  <c r="I826" i="33"/>
  <c r="I870" i="33"/>
  <c r="I813" i="33"/>
  <c r="I953" i="33"/>
  <c r="I945" i="33"/>
  <c r="I984" i="33"/>
  <c r="I967" i="33"/>
  <c r="I969" i="33"/>
  <c r="I1001" i="33"/>
  <c r="K102" i="33"/>
  <c r="N107" i="36" s="1"/>
  <c r="I1006" i="33"/>
  <c r="I1003" i="36"/>
  <c r="I878" i="36"/>
  <c r="I877" i="36"/>
  <c r="I722" i="36"/>
  <c r="K99" i="36"/>
  <c r="I921" i="36"/>
  <c r="I849" i="36"/>
  <c r="K82" i="36"/>
  <c r="I751" i="36"/>
  <c r="I664" i="36"/>
  <c r="I639" i="36"/>
  <c r="I575" i="36"/>
  <c r="I441" i="36"/>
  <c r="K51" i="36"/>
  <c r="I398" i="36"/>
  <c r="I361" i="36"/>
  <c r="K43" i="36"/>
  <c r="I365" i="36"/>
  <c r="I303" i="36"/>
  <c r="I420" i="36"/>
  <c r="I285" i="36"/>
  <c r="I219" i="36"/>
  <c r="I178" i="36"/>
  <c r="I145" i="36"/>
  <c r="I98" i="36"/>
  <c r="I64" i="36"/>
  <c r="I37" i="36"/>
  <c r="I390" i="36"/>
  <c r="I312" i="36"/>
  <c r="I926" i="36"/>
  <c r="I980" i="36"/>
  <c r="I715" i="36"/>
  <c r="I777" i="36"/>
  <c r="I955" i="36"/>
  <c r="I753" i="36"/>
  <c r="I648" i="36"/>
  <c r="I589" i="36"/>
  <c r="I548" i="36"/>
  <c r="I523" i="36"/>
  <c r="I500" i="36"/>
  <c r="I425" i="36"/>
  <c r="I330" i="36"/>
  <c r="I269" i="36"/>
  <c r="I240" i="36"/>
  <c r="I255" i="36"/>
  <c r="I197" i="36"/>
  <c r="K20" i="36"/>
  <c r="I131" i="36"/>
  <c r="I91" i="36"/>
  <c r="K16" i="36"/>
  <c r="I47" i="36"/>
  <c r="I12" i="34"/>
  <c r="I16" i="34"/>
  <c r="I26" i="34"/>
  <c r="I33" i="34"/>
  <c r="I45" i="34"/>
  <c r="I59" i="34"/>
  <c r="K9" i="34"/>
  <c r="M14" i="36" s="1"/>
  <c r="I71" i="34"/>
  <c r="I78" i="34"/>
  <c r="I74" i="34"/>
  <c r="I88" i="34"/>
  <c r="I103" i="34"/>
  <c r="I108" i="34"/>
  <c r="I125" i="34"/>
  <c r="I120" i="34"/>
  <c r="I164" i="34"/>
  <c r="I175" i="34"/>
  <c r="I193" i="34"/>
  <c r="I231" i="34"/>
  <c r="K25" i="34"/>
  <c r="M30" i="36" s="1"/>
  <c r="I206" i="34"/>
  <c r="I244" i="34"/>
  <c r="I210" i="34"/>
  <c r="I330" i="34"/>
  <c r="I314" i="34"/>
  <c r="I301" i="34"/>
  <c r="K32" i="34"/>
  <c r="M37" i="36" s="1"/>
  <c r="I323" i="34"/>
  <c r="I389" i="34"/>
  <c r="I310" i="34"/>
  <c r="I374" i="34"/>
  <c r="I428" i="34"/>
  <c r="I412" i="34"/>
  <c r="I410" i="34"/>
  <c r="I449" i="34"/>
  <c r="I467" i="34"/>
  <c r="I408" i="34"/>
  <c r="I365" i="34"/>
  <c r="I440" i="34"/>
  <c r="I394" i="34"/>
  <c r="I458" i="34"/>
  <c r="I510" i="34"/>
  <c r="I545" i="34"/>
  <c r="I582" i="34"/>
  <c r="I520" i="34"/>
  <c r="I556" i="34"/>
  <c r="I606" i="34"/>
  <c r="I617" i="34"/>
  <c r="I585" i="34"/>
  <c r="I622" i="34"/>
  <c r="I693" i="34"/>
  <c r="I765" i="34"/>
  <c r="I620" i="34"/>
  <c r="I649" i="34"/>
  <c r="I670" i="34"/>
  <c r="I579" i="34"/>
  <c r="I642" i="34"/>
  <c r="I711" i="34"/>
  <c r="K73" i="34"/>
  <c r="M78" i="36" s="1"/>
  <c r="I827" i="34"/>
  <c r="I953" i="34"/>
  <c r="I871" i="34"/>
  <c r="K89" i="34"/>
  <c r="M94" i="36" s="1"/>
  <c r="I716" i="34"/>
  <c r="I798" i="34"/>
  <c r="I912" i="34"/>
  <c r="I794" i="34"/>
  <c r="I880" i="34"/>
  <c r="I838" i="34"/>
  <c r="I913" i="34"/>
  <c r="I822" i="34"/>
  <c r="I697" i="34"/>
  <c r="I743" i="34"/>
  <c r="I835" i="34"/>
  <c r="I867" i="34"/>
  <c r="I941" i="34"/>
  <c r="K96" i="34"/>
  <c r="M101" i="36" s="1"/>
  <c r="I973" i="34"/>
  <c r="I935" i="34"/>
  <c r="I952" i="34"/>
  <c r="I995" i="34"/>
  <c r="I984" i="34"/>
  <c r="I1005" i="34"/>
  <c r="I998" i="34"/>
  <c r="I25" i="35"/>
  <c r="I40" i="35"/>
  <c r="I60" i="35"/>
  <c r="I64" i="35"/>
  <c r="I78" i="35"/>
  <c r="I91" i="35"/>
  <c r="K11" i="35"/>
  <c r="L16" i="36" s="1"/>
  <c r="I86" i="35"/>
  <c r="I114" i="35"/>
  <c r="I132" i="35"/>
  <c r="I184" i="35"/>
  <c r="I179" i="35"/>
  <c r="I198" i="35"/>
  <c r="I149" i="35"/>
  <c r="I174" i="35"/>
  <c r="I218" i="35"/>
  <c r="I210" i="35"/>
  <c r="I240" i="35"/>
  <c r="I271" i="35"/>
  <c r="K29" i="35"/>
  <c r="L34" i="36" s="1"/>
  <c r="I299" i="35"/>
  <c r="I260" i="35"/>
  <c r="I276" i="35"/>
  <c r="I264" i="35"/>
  <c r="I322" i="35"/>
  <c r="I424" i="35"/>
  <c r="I352" i="35"/>
  <c r="I362" i="35"/>
  <c r="I418" i="35"/>
  <c r="I308" i="35"/>
  <c r="I375" i="35"/>
  <c r="I316" i="35"/>
  <c r="I361" i="35"/>
  <c r="K38" i="35"/>
  <c r="L43" i="36" s="1"/>
  <c r="I374" i="35"/>
  <c r="I409" i="35"/>
  <c r="I447" i="35"/>
  <c r="I535" i="35"/>
  <c r="I397" i="35"/>
  <c r="I451" i="35"/>
  <c r="K47" i="35"/>
  <c r="L52" i="36" s="1"/>
  <c r="I505" i="35"/>
  <c r="I400" i="35"/>
  <c r="I541" i="35"/>
  <c r="K56" i="35"/>
  <c r="L61" i="36" s="1"/>
  <c r="I410" i="35"/>
  <c r="I467" i="35"/>
  <c r="I483" i="35"/>
  <c r="I585" i="35"/>
  <c r="I471" i="35"/>
  <c r="K49" i="35"/>
  <c r="L54" i="36" s="1"/>
  <c r="I515" i="35"/>
  <c r="I497" i="35"/>
  <c r="I506" i="35"/>
  <c r="I643" i="35"/>
  <c r="I587" i="35"/>
  <c r="I663" i="35"/>
  <c r="I693" i="35"/>
  <c r="I567" i="35"/>
  <c r="K76" i="35"/>
  <c r="L81" i="36" s="1"/>
  <c r="I741" i="35"/>
  <c r="I610" i="35"/>
  <c r="I658" i="35"/>
  <c r="I682" i="35"/>
  <c r="I749" i="35"/>
  <c r="I600" i="35"/>
  <c r="I635" i="35"/>
  <c r="I668" i="35"/>
  <c r="I755" i="35"/>
  <c r="I850" i="35"/>
  <c r="K93" i="35"/>
  <c r="L98" i="36" s="1"/>
  <c r="I911" i="35"/>
  <c r="I786" i="35"/>
  <c r="I874" i="35"/>
  <c r="I702" i="35"/>
  <c r="I752" i="35"/>
  <c r="I783" i="35"/>
  <c r="I842" i="35"/>
  <c r="I914" i="35"/>
  <c r="I792" i="35"/>
  <c r="I900" i="35"/>
  <c r="I740" i="35"/>
  <c r="I926" i="35"/>
  <c r="I858" i="35"/>
  <c r="I735" i="35"/>
  <c r="I884" i="35"/>
  <c r="I817" i="35"/>
  <c r="I875" i="35"/>
  <c r="I920" i="35"/>
  <c r="I977" i="35"/>
  <c r="I936" i="35"/>
  <c r="I966" i="35"/>
  <c r="I963" i="35"/>
  <c r="I935" i="35"/>
  <c r="I981" i="35"/>
  <c r="K100" i="35"/>
  <c r="L105" i="36" s="1"/>
  <c r="I1002" i="35"/>
  <c r="I969" i="36"/>
  <c r="I812" i="36"/>
  <c r="I782" i="36"/>
  <c r="I963" i="36"/>
  <c r="K97" i="36"/>
  <c r="I901" i="36"/>
  <c r="I855" i="36"/>
  <c r="I827" i="36"/>
  <c r="I778" i="36"/>
  <c r="I671" i="36"/>
  <c r="K74" i="36"/>
  <c r="I647" i="36"/>
  <c r="I546" i="36"/>
  <c r="I516" i="36"/>
  <c r="I402" i="36"/>
  <c r="I506" i="36"/>
  <c r="I408" i="36"/>
  <c r="I357" i="36"/>
  <c r="I222" i="36"/>
  <c r="I203" i="36"/>
  <c r="I163" i="36"/>
  <c r="I134" i="36"/>
  <c r="I87" i="36"/>
  <c r="I75" i="36"/>
  <c r="I33" i="36"/>
  <c r="I972" i="36"/>
  <c r="I960" i="36"/>
  <c r="I779" i="36"/>
  <c r="I958" i="36"/>
  <c r="K91" i="36"/>
  <c r="I841" i="36"/>
  <c r="I775" i="36"/>
  <c r="I666" i="36"/>
  <c r="I640" i="36"/>
  <c r="I614" i="36"/>
  <c r="I501" i="36"/>
  <c r="K57" i="36"/>
  <c r="I491" i="36"/>
  <c r="K56" i="36"/>
  <c r="I502" i="36"/>
  <c r="I482" i="36"/>
  <c r="I325" i="36"/>
  <c r="I397" i="36"/>
  <c r="I351" i="36"/>
  <c r="K42" i="36"/>
  <c r="I258" i="36"/>
  <c r="I212" i="36"/>
  <c r="I167" i="36"/>
  <c r="I69" i="36"/>
  <c r="I23" i="36"/>
  <c r="I13" i="33"/>
  <c r="I30" i="33"/>
  <c r="I50" i="33"/>
  <c r="I59" i="33"/>
  <c r="I73" i="33"/>
  <c r="I67" i="33"/>
  <c r="K10" i="33"/>
  <c r="N15" i="36" s="1"/>
  <c r="I81" i="33"/>
  <c r="I124" i="33"/>
  <c r="I116" i="33"/>
  <c r="I123" i="33"/>
  <c r="I118" i="33"/>
  <c r="I139" i="33"/>
  <c r="I186" i="33"/>
  <c r="I165" i="33"/>
  <c r="I179" i="33"/>
  <c r="I153" i="33"/>
  <c r="I160" i="33"/>
  <c r="I203" i="33"/>
  <c r="I259" i="33"/>
  <c r="I223" i="33"/>
  <c r="I207" i="33"/>
  <c r="I210" i="33"/>
  <c r="I241" i="33"/>
  <c r="K26" i="33"/>
  <c r="N31" i="36" s="1"/>
  <c r="I296" i="33"/>
  <c r="I305" i="33"/>
  <c r="I285" i="33"/>
  <c r="I272" i="33"/>
  <c r="I334" i="33"/>
  <c r="I340" i="33"/>
  <c r="I353" i="33"/>
  <c r="I357" i="33"/>
  <c r="I342" i="33"/>
  <c r="I352" i="33"/>
  <c r="I337" i="33"/>
  <c r="I378" i="33"/>
  <c r="I446" i="33"/>
  <c r="I429" i="33"/>
  <c r="I467" i="33"/>
  <c r="I380" i="33"/>
  <c r="I413" i="33"/>
  <c r="I421" i="33"/>
  <c r="K44" i="33"/>
  <c r="N49" i="36" s="1"/>
  <c r="I465" i="33"/>
  <c r="I374" i="33"/>
  <c r="I460" i="33"/>
  <c r="I526" i="33"/>
  <c r="I502" i="33"/>
  <c r="I559" i="33"/>
  <c r="I633" i="33"/>
  <c r="I482" i="33"/>
  <c r="I554" i="33"/>
  <c r="I643" i="33"/>
  <c r="I546" i="33"/>
  <c r="I589" i="33"/>
  <c r="I544" i="33"/>
  <c r="I582" i="33"/>
  <c r="I648" i="33"/>
  <c r="I592" i="33"/>
  <c r="I651" i="33"/>
  <c r="K67" i="33"/>
  <c r="N72" i="36" s="1"/>
  <c r="I713" i="33"/>
  <c r="I580" i="33"/>
  <c r="I625" i="33"/>
  <c r="I685" i="33"/>
  <c r="I737" i="33"/>
  <c r="I634" i="33"/>
  <c r="I677" i="33"/>
  <c r="I574" i="33"/>
  <c r="I626" i="33"/>
  <c r="I672" i="33"/>
  <c r="I775" i="33"/>
  <c r="I799" i="33"/>
  <c r="I781" i="33"/>
  <c r="K80" i="33"/>
  <c r="N85" i="36" s="1"/>
  <c r="I846" i="33"/>
  <c r="I684" i="33"/>
  <c r="I763" i="33"/>
  <c r="I822" i="33"/>
  <c r="I913" i="33"/>
  <c r="K81" i="33"/>
  <c r="N86" i="36" s="1"/>
  <c r="I791" i="33"/>
  <c r="I847" i="33"/>
  <c r="I899" i="33"/>
  <c r="I712" i="33"/>
  <c r="I742" i="33"/>
  <c r="I865" i="33"/>
  <c r="I678" i="33"/>
  <c r="I795" i="33"/>
  <c r="I925" i="33"/>
  <c r="I833" i="33"/>
  <c r="I888" i="33"/>
  <c r="I935" i="33"/>
  <c r="I975" i="33"/>
  <c r="I958" i="33"/>
  <c r="I996" i="33"/>
  <c r="I968" i="33"/>
  <c r="I949" i="33"/>
  <c r="I997" i="33"/>
  <c r="I986" i="33"/>
  <c r="I1007" i="33"/>
  <c r="I961" i="36"/>
  <c r="K103" i="36"/>
  <c r="I950" i="36"/>
  <c r="I687" i="36"/>
  <c r="I809" i="36"/>
  <c r="I760" i="36"/>
  <c r="I934" i="36"/>
  <c r="I738" i="36"/>
  <c r="I576" i="36"/>
  <c r="I521" i="36"/>
  <c r="K59" i="36"/>
  <c r="I499" i="36"/>
  <c r="I512" i="36"/>
  <c r="I446" i="36"/>
  <c r="I412" i="36"/>
  <c r="I311" i="36"/>
  <c r="K38" i="36"/>
  <c r="I291" i="36"/>
  <c r="K36" i="36"/>
  <c r="I995" i="36"/>
  <c r="I700" i="36"/>
  <c r="I600" i="36"/>
  <c r="I389" i="36"/>
  <c r="I193" i="36"/>
  <c r="I99" i="36"/>
  <c r="I13" i="34"/>
  <c r="I56" i="34"/>
  <c r="I90" i="34"/>
  <c r="I126" i="34"/>
  <c r="I805" i="36"/>
  <c r="I864" i="36"/>
  <c r="I696" i="36"/>
  <c r="I549" i="36"/>
  <c r="I378" i="36"/>
  <c r="I323" i="36"/>
  <c r="I30" i="36"/>
  <c r="I34" i="34"/>
  <c r="I48" i="34"/>
  <c r="I110" i="34"/>
  <c r="I138" i="34"/>
  <c r="I171" i="34"/>
  <c r="K19" i="34"/>
  <c r="M24" i="36" s="1"/>
  <c r="I213" i="34"/>
  <c r="I252" i="34"/>
  <c r="I307" i="34"/>
  <c r="K34" i="34"/>
  <c r="M39" i="36" s="1"/>
  <c r="I321" i="34"/>
  <c r="I315" i="34"/>
  <c r="I415" i="34"/>
  <c r="I359" i="34"/>
  <c r="I456" i="34"/>
  <c r="I446" i="34"/>
  <c r="I544" i="34"/>
  <c r="I504" i="34"/>
  <c r="I485" i="34"/>
  <c r="I535" i="34"/>
  <c r="I475" i="34"/>
  <c r="I645" i="34"/>
  <c r="I660" i="34"/>
  <c r="I702" i="34"/>
  <c r="I754" i="34"/>
  <c r="I607" i="34"/>
  <c r="I678" i="34"/>
  <c r="I747" i="34"/>
  <c r="I956" i="34"/>
  <c r="I810" i="34"/>
  <c r="I876" i="34"/>
  <c r="I764" i="34"/>
  <c r="I755" i="34"/>
  <c r="K98" i="34"/>
  <c r="M103" i="36" s="1"/>
  <c r="I961" i="34"/>
  <c r="I853" i="34"/>
  <c r="I805" i="34"/>
  <c r="I937" i="34"/>
  <c r="I915" i="34"/>
  <c r="I23" i="35"/>
  <c r="I24" i="35"/>
  <c r="I74" i="35"/>
  <c r="I102" i="35"/>
  <c r="I120" i="35"/>
  <c r="I147" i="35"/>
  <c r="I186" i="35"/>
  <c r="I189" i="35"/>
  <c r="I150" i="35"/>
  <c r="I169" i="35"/>
  <c r="I152" i="35"/>
  <c r="I212" i="35"/>
  <c r="I229" i="35"/>
  <c r="I250" i="35"/>
  <c r="I283" i="35"/>
  <c r="I272" i="35"/>
  <c r="I393" i="35"/>
  <c r="I328" i="35"/>
  <c r="I437" i="35"/>
  <c r="I384" i="35"/>
  <c r="I486" i="35"/>
  <c r="I614" i="35"/>
  <c r="I645" i="35"/>
  <c r="I700" i="35"/>
  <c r="I692" i="35"/>
  <c r="I612" i="35"/>
  <c r="I664" i="35"/>
  <c r="I688" i="35"/>
  <c r="I710" i="35"/>
  <c r="K81" i="35"/>
  <c r="L86" i="36" s="1"/>
  <c r="I791" i="35"/>
  <c r="I938" i="35"/>
  <c r="I894" i="35"/>
  <c r="I885" i="35"/>
  <c r="I823" i="35"/>
  <c r="I927" i="35"/>
  <c r="I975" i="35"/>
  <c r="I987" i="35"/>
  <c r="I749" i="36"/>
  <c r="I895" i="36"/>
  <c r="I880" i="36"/>
  <c r="I816" i="36"/>
  <c r="I758" i="36"/>
  <c r="I668" i="36"/>
  <c r="I603" i="36"/>
  <c r="I573" i="36"/>
  <c r="I532" i="36"/>
  <c r="I479" i="36"/>
  <c r="I544" i="36"/>
  <c r="I509" i="36"/>
  <c r="I447" i="36"/>
  <c r="I174" i="36"/>
  <c r="I887" i="36"/>
  <c r="I507" i="36"/>
  <c r="I433" i="36"/>
  <c r="I205" i="36"/>
  <c r="I166" i="36"/>
  <c r="I58" i="33"/>
  <c r="I54" i="33"/>
  <c r="I60" i="33"/>
  <c r="I102" i="33"/>
  <c r="I114" i="33"/>
  <c r="I126" i="33"/>
  <c r="I166" i="33"/>
  <c r="I211" i="33"/>
  <c r="K23" i="33"/>
  <c r="N28" i="36" s="1"/>
  <c r="I300" i="33"/>
  <c r="I409" i="33"/>
  <c r="I449" i="33"/>
  <c r="I414" i="33"/>
  <c r="I504" i="33"/>
  <c r="I512" i="33"/>
  <c r="I572" i="33"/>
  <c r="I594" i="33"/>
  <c r="I659" i="33"/>
  <c r="I635" i="33"/>
  <c r="I698" i="33"/>
  <c r="I867" i="33"/>
  <c r="I827" i="33"/>
  <c r="I673" i="33"/>
  <c r="I748" i="33"/>
  <c r="I818" i="33"/>
  <c r="I855" i="33"/>
  <c r="I940" i="33"/>
  <c r="I906" i="33"/>
  <c r="I938" i="36"/>
  <c r="I889" i="36"/>
  <c r="I767" i="36"/>
  <c r="I817" i="36"/>
  <c r="I618" i="36"/>
  <c r="I432" i="36"/>
  <c r="I341" i="36"/>
  <c r="K41" i="36"/>
  <c r="I173" i="36"/>
  <c r="I117" i="36"/>
  <c r="I56" i="36"/>
  <c r="I19" i="36"/>
  <c r="I994" i="36"/>
  <c r="I962" i="36"/>
  <c r="I882" i="36"/>
  <c r="I765" i="36"/>
  <c r="I697" i="36"/>
  <c r="I686" i="36"/>
  <c r="K54" i="36"/>
  <c r="O54" i="36" s="1"/>
  <c r="I471" i="36"/>
  <c r="I472" i="36"/>
  <c r="I607" i="36"/>
  <c r="I274" i="36"/>
  <c r="I97" i="36"/>
  <c r="I32" i="34"/>
  <c r="I50" i="34"/>
  <c r="I68" i="34"/>
  <c r="I76" i="34"/>
  <c r="I101" i="34"/>
  <c r="K12" i="34"/>
  <c r="M17" i="36" s="1"/>
  <c r="K13" i="34"/>
  <c r="M18" i="36" s="1"/>
  <c r="I111" i="34"/>
  <c r="I144" i="34"/>
  <c r="I189" i="34"/>
  <c r="I180" i="34"/>
  <c r="I203" i="34"/>
  <c r="I250" i="34"/>
  <c r="K33" i="34"/>
  <c r="M38" i="36" s="1"/>
  <c r="I311" i="34"/>
  <c r="I276" i="34"/>
  <c r="I368" i="34"/>
  <c r="K39" i="34"/>
  <c r="M44" i="36" s="1"/>
  <c r="I371" i="34"/>
  <c r="I322" i="34"/>
  <c r="I325" i="34"/>
  <c r="I439" i="34"/>
  <c r="I465" i="34"/>
  <c r="I546" i="34"/>
  <c r="I461" i="34"/>
  <c r="K48" i="34"/>
  <c r="M53" i="36" s="1"/>
  <c r="I500" i="34"/>
  <c r="I517" i="34"/>
  <c r="I575" i="34"/>
  <c r="I640" i="34"/>
  <c r="I634" i="34"/>
  <c r="K75" i="34"/>
  <c r="M80" i="36" s="1"/>
  <c r="I731" i="34"/>
  <c r="I573" i="34"/>
  <c r="I618" i="34"/>
  <c r="I849" i="34"/>
  <c r="I807" i="34"/>
  <c r="I873" i="34"/>
  <c r="I833" i="34"/>
  <c r="I845" i="34"/>
  <c r="I905" i="34"/>
  <c r="I926" i="34"/>
  <c r="I75" i="35"/>
  <c r="I103" i="35"/>
  <c r="I104" i="35"/>
  <c r="I153" i="35"/>
  <c r="I203" i="35"/>
  <c r="I290" i="35"/>
  <c r="I314" i="35"/>
  <c r="I303" i="35"/>
  <c r="I344" i="35"/>
  <c r="I383" i="35"/>
  <c r="I366" i="35"/>
  <c r="I302" i="35"/>
  <c r="I357" i="35"/>
  <c r="I426" i="35"/>
  <c r="I518" i="35"/>
  <c r="I571" i="35"/>
  <c r="K59" i="35"/>
  <c r="L64" i="36" s="1"/>
  <c r="I559" i="35"/>
  <c r="I554" i="35"/>
  <c r="I646" i="35"/>
  <c r="I566" i="35"/>
  <c r="I634" i="35"/>
  <c r="I671" i="35"/>
  <c r="K69" i="35"/>
  <c r="L74" i="36" s="1"/>
  <c r="I726" i="35"/>
  <c r="I780" i="35"/>
  <c r="I869" i="35"/>
  <c r="I777" i="35"/>
  <c r="I826" i="35"/>
  <c r="I789" i="35"/>
  <c r="I843" i="35"/>
  <c r="I872" i="35"/>
  <c r="I918" i="35"/>
  <c r="I813" i="35"/>
  <c r="K88" i="35"/>
  <c r="L93" i="36" s="1"/>
  <c r="I861" i="35"/>
  <c r="I1005" i="35"/>
  <c r="I1007" i="35"/>
  <c r="I788" i="36"/>
  <c r="I711" i="36"/>
  <c r="K78" i="36"/>
  <c r="I858" i="36"/>
  <c r="I954" i="36"/>
  <c r="I746" i="36"/>
  <c r="I752" i="36"/>
  <c r="I519" i="36"/>
  <c r="I486" i="36"/>
  <c r="I422" i="36"/>
  <c r="I416" i="36"/>
  <c r="I316" i="36"/>
  <c r="I238" i="36"/>
  <c r="I129" i="36"/>
  <c r="I48" i="36"/>
  <c r="I26" i="36"/>
  <c r="I822" i="36"/>
  <c r="I944" i="36"/>
  <c r="I732" i="36"/>
  <c r="I503" i="36"/>
  <c r="I485" i="36"/>
  <c r="I414" i="36"/>
  <c r="I396" i="36"/>
  <c r="I253" i="36"/>
  <c r="I162" i="36"/>
  <c r="I66" i="33"/>
  <c r="I48" i="33"/>
  <c r="I87" i="33"/>
  <c r="I107" i="33"/>
  <c r="I103" i="33"/>
  <c r="I136" i="33"/>
  <c r="I142" i="33"/>
  <c r="I193" i="33"/>
  <c r="I202" i="33"/>
  <c r="I225" i="33"/>
  <c r="I279" i="33"/>
  <c r="I262" i="33"/>
  <c r="I295" i="33"/>
  <c r="I277" i="33"/>
  <c r="I364" i="33"/>
  <c r="I438" i="33"/>
  <c r="I325" i="33"/>
  <c r="I358" i="33"/>
  <c r="I314" i="33"/>
  <c r="I410" i="33"/>
  <c r="I466" i="33"/>
  <c r="I510" i="33"/>
  <c r="I402" i="33"/>
  <c r="I523" i="33"/>
  <c r="I496" i="33"/>
  <c r="I553" i="33"/>
  <c r="I602" i="33"/>
  <c r="I484" i="33"/>
  <c r="K57" i="33"/>
  <c r="N62" i="36" s="1"/>
  <c r="I551" i="33"/>
  <c r="I596" i="33"/>
  <c r="I743" i="33"/>
  <c r="I595" i="33"/>
  <c r="I655" i="33"/>
  <c r="I705" i="33"/>
  <c r="I642" i="33"/>
  <c r="I874" i="33"/>
  <c r="I789" i="33"/>
  <c r="I849" i="33"/>
  <c r="I790" i="33"/>
  <c r="I825" i="33"/>
  <c r="I841" i="33"/>
  <c r="K86" i="33"/>
  <c r="N91" i="36" s="1"/>
  <c r="I896" i="33"/>
  <c r="K101" i="33"/>
  <c r="N106" i="36" s="1"/>
  <c r="I991" i="33"/>
  <c r="I936" i="36"/>
  <c r="I900" i="36"/>
  <c r="I863" i="36"/>
  <c r="I626" i="36"/>
  <c r="I591" i="36"/>
  <c r="K66" i="36"/>
  <c r="I465" i="36"/>
  <c r="I336" i="36"/>
  <c r="I43" i="36"/>
  <c r="I906" i="36"/>
  <c r="I675" i="36"/>
  <c r="I577" i="36"/>
  <c r="I536" i="36"/>
  <c r="I457" i="36"/>
  <c r="I183" i="36"/>
  <c r="I80" i="34"/>
  <c r="I96" i="34"/>
  <c r="I128" i="34"/>
  <c r="I166" i="34"/>
  <c r="I196" i="34"/>
  <c r="I150" i="34"/>
  <c r="I221" i="34"/>
  <c r="K24" i="34"/>
  <c r="M29" i="36" s="1"/>
  <c r="I379" i="34"/>
  <c r="I342" i="34"/>
  <c r="I318" i="34"/>
  <c r="I346" i="34"/>
  <c r="I390" i="34"/>
  <c r="I466" i="34"/>
  <c r="I619" i="34"/>
  <c r="I699" i="34"/>
  <c r="I674" i="34"/>
  <c r="I750" i="34"/>
  <c r="I847" i="34"/>
  <c r="I817" i="34"/>
  <c r="I701" i="34"/>
  <c r="K72" i="34"/>
  <c r="M77" i="36" s="1"/>
  <c r="I782" i="34"/>
  <c r="I854" i="34"/>
  <c r="I959" i="34"/>
  <c r="I885" i="34"/>
  <c r="K78" i="34"/>
  <c r="M83" i="36" s="1"/>
  <c r="I761" i="34"/>
  <c r="I790" i="34"/>
  <c r="I869" i="34"/>
  <c r="I816" i="34"/>
  <c r="I893" i="34"/>
  <c r="I33" i="35"/>
  <c r="I82" i="35"/>
  <c r="I85" i="35"/>
  <c r="I96" i="35"/>
  <c r="I115" i="35"/>
  <c r="I126" i="35"/>
  <c r="I165" i="35"/>
  <c r="K19" i="35"/>
  <c r="L24" i="36" s="1"/>
  <c r="I171" i="35"/>
  <c r="I158" i="35"/>
  <c r="K26" i="35"/>
  <c r="L31" i="36" s="1"/>
  <c r="I241" i="35"/>
  <c r="I232" i="35"/>
  <c r="I258" i="35"/>
  <c r="I275" i="35"/>
  <c r="I388" i="35"/>
  <c r="I379" i="35"/>
  <c r="I350" i="35"/>
  <c r="I404" i="35"/>
  <c r="I336" i="35"/>
  <c r="I338" i="35"/>
  <c r="I391" i="35"/>
  <c r="K41" i="35"/>
  <c r="L46" i="36" s="1"/>
  <c r="I459" i="35"/>
  <c r="I542" i="35"/>
  <c r="I411" i="35"/>
  <c r="K43" i="35"/>
  <c r="L48" i="36" s="1"/>
  <c r="I513" i="35"/>
  <c r="I428" i="35"/>
  <c r="I498" i="35"/>
  <c r="I500" i="35"/>
  <c r="I487" i="35"/>
  <c r="I591" i="35"/>
  <c r="K61" i="35"/>
  <c r="L66" i="36" s="1"/>
  <c r="I528" i="35"/>
  <c r="I609" i="35"/>
  <c r="I551" i="35"/>
  <c r="K57" i="35"/>
  <c r="L62" i="36" s="1"/>
  <c r="I564" i="35"/>
  <c r="I629" i="35"/>
  <c r="I720" i="35"/>
  <c r="I834" i="35"/>
  <c r="I714" i="35"/>
  <c r="I867" i="35"/>
  <c r="I686" i="35"/>
  <c r="I833" i="35"/>
  <c r="I906" i="35"/>
  <c r="I836" i="35"/>
  <c r="I962" i="35"/>
  <c r="I955" i="35"/>
  <c r="I970" i="36"/>
  <c r="K96" i="36"/>
  <c r="I891" i="36"/>
  <c r="I730" i="36"/>
  <c r="I658" i="36"/>
  <c r="I712" i="36"/>
  <c r="I630" i="36"/>
  <c r="I498" i="36"/>
  <c r="I281" i="36"/>
  <c r="K35" i="36"/>
  <c r="I77" i="36"/>
  <c r="I49" i="36"/>
  <c r="I986" i="36"/>
  <c r="I893" i="36"/>
  <c r="I925" i="36"/>
  <c r="I480" i="36"/>
  <c r="I359" i="36"/>
  <c r="I282" i="36"/>
  <c r="I216" i="36"/>
  <c r="I229" i="36"/>
  <c r="I39" i="33"/>
  <c r="I49" i="33"/>
  <c r="I137" i="33"/>
  <c r="I244" i="33"/>
  <c r="I258" i="33"/>
  <c r="I240" i="33"/>
  <c r="I447" i="33"/>
  <c r="I419" i="33"/>
  <c r="I417" i="33"/>
  <c r="I473" i="33"/>
  <c r="I518" i="33"/>
  <c r="I408" i="33"/>
  <c r="I537" i="33"/>
  <c r="I622" i="33"/>
  <c r="I516" i="33"/>
  <c r="I605" i="33"/>
  <c r="I663" i="33"/>
  <c r="I603" i="33"/>
  <c r="I876" i="33"/>
  <c r="I760" i="33"/>
  <c r="I797" i="33"/>
  <c r="I884" i="33"/>
  <c r="I700" i="33"/>
  <c r="I780" i="33"/>
  <c r="I877" i="33"/>
  <c r="I856" i="33"/>
  <c r="I900" i="33"/>
  <c r="I921" i="33"/>
  <c r="K94" i="33"/>
  <c r="N99" i="36" s="1"/>
  <c r="I946" i="33"/>
  <c r="I910" i="33"/>
  <c r="I918" i="36"/>
  <c r="I839" i="36"/>
  <c r="I914" i="36"/>
  <c r="I745" i="36"/>
  <c r="I601" i="36"/>
  <c r="K67" i="36"/>
  <c r="I567" i="36"/>
  <c r="K31" i="36"/>
  <c r="I241" i="36"/>
  <c r="I199" i="36"/>
  <c r="I339" i="36"/>
  <c r="I156" i="36"/>
  <c r="I57" i="36"/>
  <c r="K86" i="36"/>
  <c r="I791" i="36"/>
  <c r="I859" i="36"/>
  <c r="I862" i="36"/>
  <c r="I763" i="36"/>
  <c r="I557" i="36"/>
  <c r="I525" i="36"/>
  <c r="I460" i="36"/>
  <c r="K49" i="36"/>
  <c r="I421" i="36"/>
  <c r="I319" i="36"/>
  <c r="I105" i="36"/>
  <c r="I85" i="34"/>
  <c r="I107" i="34"/>
  <c r="I134" i="34"/>
  <c r="I181" i="34"/>
  <c r="K20" i="34"/>
  <c r="M25" i="36" s="1"/>
  <c r="I161" i="34"/>
  <c r="K18" i="34"/>
  <c r="M23" i="36" s="1"/>
  <c r="I186" i="34"/>
  <c r="I187" i="34"/>
  <c r="I208" i="34"/>
  <c r="I239" i="34"/>
  <c r="I282" i="34"/>
  <c r="I267" i="34"/>
  <c r="I290" i="34"/>
  <c r="I275" i="34"/>
  <c r="I264" i="34"/>
  <c r="I319" i="34"/>
  <c r="I356" i="34"/>
  <c r="I326" i="34"/>
  <c r="I351" i="34"/>
  <c r="K37" i="34"/>
  <c r="M42" i="36" s="1"/>
  <c r="I419" i="34"/>
  <c r="I470" i="34"/>
  <c r="I459" i="34"/>
  <c r="I529" i="34"/>
  <c r="I494" i="34"/>
  <c r="I547" i="34"/>
  <c r="I478" i="34"/>
  <c r="I531" i="34"/>
  <c r="K55" i="34"/>
  <c r="M60" i="36" s="1"/>
  <c r="I598" i="34"/>
  <c r="I453" i="34"/>
  <c r="I505" i="34"/>
  <c r="I685" i="34"/>
  <c r="I737" i="34"/>
  <c r="I600" i="34"/>
  <c r="I644" i="34"/>
  <c r="I746" i="34"/>
  <c r="I707" i="34"/>
  <c r="I882" i="34"/>
  <c r="I803" i="34"/>
  <c r="I753" i="34"/>
  <c r="I861" i="34"/>
  <c r="K88" i="34"/>
  <c r="M93" i="36" s="1"/>
  <c r="I684" i="34"/>
  <c r="I742" i="34"/>
  <c r="I858" i="34"/>
  <c r="I775" i="34"/>
  <c r="I900" i="34"/>
  <c r="I802" i="34"/>
  <c r="I907" i="34"/>
  <c r="I911" i="34"/>
  <c r="K93" i="34"/>
  <c r="M98" i="36" s="1"/>
  <c r="I26" i="35"/>
  <c r="I32" i="35"/>
  <c r="K6" i="35"/>
  <c r="L11" i="36" s="1"/>
  <c r="I41" i="35"/>
  <c r="I93" i="35"/>
  <c r="I119" i="35"/>
  <c r="I110" i="35"/>
  <c r="I122" i="35"/>
  <c r="I144" i="35"/>
  <c r="I168" i="35"/>
  <c r="I199" i="35"/>
  <c r="I220" i="35"/>
  <c r="I208" i="35"/>
  <c r="I312" i="35"/>
  <c r="K34" i="35"/>
  <c r="L39" i="36" s="1"/>
  <c r="I321" i="35"/>
  <c r="I254" i="35"/>
  <c r="I373" i="35"/>
  <c r="I319" i="35"/>
  <c r="I436" i="35"/>
  <c r="I479" i="35"/>
  <c r="I529" i="35"/>
  <c r="I558" i="35"/>
  <c r="I560" i="35"/>
  <c r="I562" i="35"/>
  <c r="I569" i="35"/>
  <c r="I607" i="35"/>
  <c r="I626" i="35"/>
  <c r="I665" i="35"/>
  <c r="I742" i="35"/>
  <c r="I805" i="35"/>
  <c r="I788" i="35"/>
  <c r="I838" i="35"/>
  <c r="I799" i="35"/>
  <c r="I886" i="35"/>
  <c r="I773" i="35"/>
  <c r="I956" i="35"/>
  <c r="I997" i="35"/>
  <c r="I973" i="35"/>
  <c r="I996" i="36"/>
  <c r="I625" i="36"/>
  <c r="I632" i="36"/>
  <c r="I508" i="36"/>
  <c r="I484" i="36"/>
  <c r="I332" i="36"/>
  <c r="I267" i="36"/>
  <c r="I259" i="36"/>
  <c r="I811" i="36"/>
  <c r="K88" i="36"/>
  <c r="I902" i="36"/>
  <c r="I826" i="36"/>
  <c r="I616" i="36"/>
  <c r="I541" i="36"/>
  <c r="K61" i="36"/>
  <c r="I395" i="36"/>
  <c r="I254" i="36"/>
  <c r="I192" i="36"/>
  <c r="I132" i="36"/>
  <c r="I78" i="36"/>
  <c r="I16" i="33"/>
  <c r="I42" i="33"/>
  <c r="I84" i="33"/>
  <c r="I82" i="33"/>
  <c r="I120" i="33"/>
  <c r="I162" i="33"/>
  <c r="I192" i="33"/>
  <c r="I291" i="33"/>
  <c r="K31" i="33"/>
  <c r="N36" i="36" s="1"/>
  <c r="I299" i="33"/>
  <c r="I287" i="33"/>
  <c r="I397" i="33"/>
  <c r="I399" i="33"/>
  <c r="I403" i="33"/>
  <c r="I491" i="33"/>
  <c r="K51" i="33"/>
  <c r="N56" i="36" s="1"/>
  <c r="I528" i="33"/>
  <c r="I501" i="33"/>
  <c r="K52" i="33"/>
  <c r="N57" i="36" s="1"/>
  <c r="I472" i="33"/>
  <c r="I507" i="33"/>
  <c r="I578" i="33"/>
  <c r="I747" i="33"/>
  <c r="I723" i="33"/>
  <c r="I863" i="33"/>
  <c r="I774" i="33"/>
  <c r="I920" i="33"/>
  <c r="I812" i="33"/>
  <c r="I853" i="33"/>
  <c r="I761" i="33"/>
  <c r="K78" i="33"/>
  <c r="N83" i="36" s="1"/>
  <c r="I850" i="33"/>
  <c r="I995" i="33"/>
  <c r="I976" i="36"/>
  <c r="I837" i="36"/>
  <c r="I628" i="36"/>
  <c r="I725" i="36"/>
  <c r="I642" i="36"/>
  <c r="I478" i="36"/>
  <c r="I223" i="36"/>
  <c r="I119" i="36"/>
  <c r="I852" i="36"/>
  <c r="I890" i="36"/>
  <c r="I534" i="36"/>
  <c r="I294" i="36"/>
  <c r="I151" i="36"/>
  <c r="K22" i="36"/>
  <c r="I27" i="34"/>
  <c r="I66" i="34"/>
  <c r="I92" i="34"/>
  <c r="I814" i="36"/>
  <c r="I553" i="36"/>
  <c r="I975" i="36"/>
  <c r="I682" i="36"/>
  <c r="I929" i="36"/>
  <c r="I720" i="36"/>
  <c r="I635" i="36"/>
  <c r="I409" i="36"/>
  <c r="I374" i="36"/>
  <c r="I305" i="36"/>
  <c r="I286" i="36"/>
  <c r="I315" i="36"/>
  <c r="I225" i="36"/>
  <c r="I244" i="36"/>
  <c r="I147" i="36"/>
  <c r="I110" i="36"/>
  <c r="I53" i="36"/>
  <c r="I17" i="34"/>
  <c r="I46" i="34"/>
  <c r="I42" i="34"/>
  <c r="I70" i="34"/>
  <c r="I77" i="34"/>
  <c r="I89" i="34"/>
  <c r="I84" i="34"/>
  <c r="I97" i="34"/>
  <c r="I113" i="34"/>
  <c r="I106" i="34"/>
  <c r="I131" i="34"/>
  <c r="K15" i="34"/>
  <c r="M20" i="36" s="1"/>
  <c r="I140" i="34"/>
  <c r="I137" i="34"/>
  <c r="I188" i="34"/>
  <c r="I169" i="34"/>
  <c r="I165" i="34"/>
  <c r="I156" i="34"/>
  <c r="I177" i="34"/>
  <c r="I209" i="34"/>
  <c r="I242" i="34"/>
  <c r="I227" i="34"/>
  <c r="I232" i="34"/>
  <c r="I238" i="34"/>
  <c r="I215" i="34"/>
  <c r="I241" i="34"/>
  <c r="K26" i="34"/>
  <c r="M31" i="36" s="1"/>
  <c r="I300" i="34"/>
  <c r="I289" i="34"/>
  <c r="I270" i="34"/>
  <c r="I259" i="34"/>
  <c r="I296" i="34"/>
  <c r="I358" i="34"/>
  <c r="K38" i="34"/>
  <c r="M43" i="36" s="1"/>
  <c r="I361" i="34"/>
  <c r="I435" i="34"/>
  <c r="I334" i="34"/>
  <c r="I366" i="34"/>
  <c r="I396" i="34"/>
  <c r="I344" i="34"/>
  <c r="I320" i="34"/>
  <c r="I355" i="34"/>
  <c r="I313" i="34"/>
  <c r="I403" i="34"/>
  <c r="I433" i="34"/>
  <c r="I414" i="34"/>
  <c r="I541" i="34"/>
  <c r="K56" i="34"/>
  <c r="M61" i="36" s="1"/>
  <c r="I393" i="34"/>
  <c r="I450" i="34"/>
  <c r="I526" i="34"/>
  <c r="I400" i="34"/>
  <c r="I495" i="34"/>
  <c r="I382" i="34"/>
  <c r="I424" i="34"/>
  <c r="I476" i="34"/>
  <c r="I552" i="34"/>
  <c r="I522" i="34"/>
  <c r="I604" i="34"/>
  <c r="I493" i="34"/>
  <c r="I539" i="34"/>
  <c r="I583" i="34"/>
  <c r="I516" i="34"/>
  <c r="I561" i="34"/>
  <c r="K58" i="34"/>
  <c r="M63" i="36" s="1"/>
  <c r="I565" i="34"/>
  <c r="I560" i="34"/>
  <c r="I653" i="34"/>
  <c r="I663" i="34"/>
  <c r="I725" i="34"/>
  <c r="I595" i="34"/>
  <c r="I639" i="34"/>
  <c r="I682" i="34"/>
  <c r="I722" i="34"/>
  <c r="I559" i="34"/>
  <c r="I632" i="34"/>
  <c r="I724" i="34"/>
  <c r="I613" i="34"/>
  <c r="I686" i="34"/>
  <c r="I947" i="34"/>
  <c r="I792" i="34"/>
  <c r="I826" i="34"/>
  <c r="I667" i="34"/>
  <c r="I741" i="34"/>
  <c r="K76" i="34"/>
  <c r="M81" i="36" s="1"/>
  <c r="I843" i="34"/>
  <c r="I894" i="34"/>
  <c r="I958" i="34"/>
  <c r="I842" i="34"/>
  <c r="I896" i="34"/>
  <c r="I714" i="34"/>
  <c r="I785" i="34"/>
  <c r="I831" i="34"/>
  <c r="K85" i="34"/>
  <c r="M90" i="36" s="1"/>
  <c r="I690" i="34"/>
  <c r="I776" i="34"/>
  <c r="I818" i="34"/>
  <c r="I889" i="34"/>
  <c r="I832" i="34"/>
  <c r="I964" i="34"/>
  <c r="I1004" i="34"/>
  <c r="I925" i="34"/>
  <c r="I979" i="34"/>
  <c r="I936" i="34"/>
  <c r="I945" i="34"/>
  <c r="I999" i="34"/>
  <c r="I975" i="34"/>
  <c r="I17" i="35"/>
  <c r="I35" i="35"/>
  <c r="I37" i="35"/>
  <c r="I53" i="35"/>
  <c r="I65" i="35"/>
  <c r="I70" i="35"/>
  <c r="I90" i="35"/>
  <c r="I83" i="35"/>
  <c r="I100" i="35"/>
  <c r="I108" i="35"/>
  <c r="I146" i="35"/>
  <c r="I127" i="35"/>
  <c r="I139" i="35"/>
  <c r="I160" i="35"/>
  <c r="I178" i="35"/>
  <c r="I176" i="35"/>
  <c r="I185" i="35"/>
  <c r="I187" i="35"/>
  <c r="I235" i="35"/>
  <c r="I197" i="35"/>
  <c r="I219" i="35"/>
  <c r="I205" i="35"/>
  <c r="I248" i="35"/>
  <c r="I234" i="35"/>
  <c r="I280" i="35"/>
  <c r="I288" i="35"/>
  <c r="I297" i="35"/>
  <c r="I307" i="35"/>
  <c r="I282" i="35"/>
  <c r="I261" i="35"/>
  <c r="K28" i="35"/>
  <c r="L33" i="36" s="1"/>
  <c r="I286" i="35"/>
  <c r="I341" i="35"/>
  <c r="K36" i="35"/>
  <c r="L41" i="36" s="1"/>
  <c r="I402" i="35"/>
  <c r="I337" i="35"/>
  <c r="I332" i="35"/>
  <c r="I382" i="35"/>
  <c r="I360" i="35"/>
  <c r="I430" i="35"/>
  <c r="I343" i="35"/>
  <c r="I356" i="35"/>
  <c r="I415" i="35"/>
  <c r="I396" i="35"/>
  <c r="I435" i="35"/>
  <c r="I434" i="35"/>
  <c r="I482" i="35"/>
  <c r="I370" i="35"/>
  <c r="I445" i="35"/>
  <c r="I364" i="35"/>
  <c r="I510" i="35"/>
  <c r="I604" i="35"/>
  <c r="I476" i="35"/>
  <c r="I538" i="35"/>
  <c r="I474" i="35"/>
  <c r="I580" i="35"/>
  <c r="I615" i="35"/>
  <c r="I650" i="35"/>
  <c r="I683" i="35"/>
  <c r="I653" i="35"/>
  <c r="I709" i="35"/>
  <c r="I599" i="35"/>
  <c r="I675" i="35"/>
  <c r="I593" i="35"/>
  <c r="I617" i="35"/>
  <c r="I661" i="35"/>
  <c r="K68" i="35"/>
  <c r="L73" i="36" s="1"/>
  <c r="I721" i="35"/>
  <c r="K74" i="35"/>
  <c r="L79" i="36" s="1"/>
  <c r="I743" i="35"/>
  <c r="K95" i="35"/>
  <c r="L100" i="36" s="1"/>
  <c r="I931" i="35"/>
  <c r="I840" i="35"/>
  <c r="I945" i="35"/>
  <c r="I855" i="35"/>
  <c r="I737" i="35"/>
  <c r="I766" i="35"/>
  <c r="I809" i="35"/>
  <c r="I903" i="35"/>
  <c r="I959" i="35"/>
  <c r="I857" i="35"/>
  <c r="I772" i="35"/>
  <c r="I893" i="35"/>
  <c r="I774" i="35"/>
  <c r="I852" i="35"/>
  <c r="I810" i="35"/>
  <c r="I854" i="35"/>
  <c r="I968" i="35"/>
  <c r="I919" i="35"/>
  <c r="I958" i="35"/>
  <c r="I983" i="35"/>
  <c r="I932" i="35"/>
  <c r="I972" i="35"/>
  <c r="I995" i="35"/>
  <c r="I931" i="36"/>
  <c r="K100" i="36"/>
  <c r="I917" i="36"/>
  <c r="I888" i="36"/>
  <c r="I737" i="36"/>
  <c r="I935" i="36"/>
  <c r="I883" i="36"/>
  <c r="I768" i="36"/>
  <c r="I677" i="36"/>
  <c r="I656" i="36"/>
  <c r="I599" i="36"/>
  <c r="I586" i="36"/>
  <c r="I370" i="36"/>
  <c r="I392" i="36"/>
  <c r="I314" i="36"/>
  <c r="I306" i="36"/>
  <c r="I292" i="36"/>
  <c r="K32" i="36"/>
  <c r="I251" i="36"/>
  <c r="I187" i="36"/>
  <c r="I130" i="36"/>
  <c r="I108" i="36"/>
  <c r="I72" i="36"/>
  <c r="I983" i="36"/>
  <c r="I927" i="36"/>
  <c r="I886" i="36"/>
  <c r="I845" i="36"/>
  <c r="I933" i="36"/>
  <c r="I854" i="36"/>
  <c r="I747" i="36"/>
  <c r="I755" i="36"/>
  <c r="I674" i="36"/>
  <c r="I653" i="36"/>
  <c r="I609" i="36"/>
  <c r="I587" i="36"/>
  <c r="I584" i="36"/>
  <c r="I399" i="36"/>
  <c r="I366" i="36"/>
  <c r="I384" i="36"/>
  <c r="I308" i="36"/>
  <c r="I444" i="36"/>
  <c r="I249" i="36"/>
  <c r="I227" i="36"/>
  <c r="I148" i="36"/>
  <c r="I115" i="36"/>
  <c r="I70" i="36"/>
  <c r="I46" i="36"/>
  <c r="I15" i="33"/>
  <c r="I33" i="33"/>
  <c r="I38" i="33"/>
  <c r="I62" i="33"/>
  <c r="I57" i="33"/>
  <c r="I94" i="33"/>
  <c r="I93" i="33"/>
  <c r="I105" i="33"/>
  <c r="K13" i="33"/>
  <c r="N18" i="36" s="1"/>
  <c r="I111" i="33"/>
  <c r="I146" i="33"/>
  <c r="K16" i="33"/>
  <c r="N21" i="36" s="1"/>
  <c r="I141" i="33"/>
  <c r="I151" i="33"/>
  <c r="K17" i="33"/>
  <c r="N22" i="36" s="1"/>
  <c r="I221" i="33"/>
  <c r="K24" i="33"/>
  <c r="N29" i="36" s="1"/>
  <c r="I155" i="33"/>
  <c r="I181" i="33"/>
  <c r="K20" i="33"/>
  <c r="N25" i="36" s="1"/>
  <c r="I212" i="33"/>
  <c r="I237" i="33"/>
  <c r="I206" i="33"/>
  <c r="I220" i="33"/>
  <c r="K25" i="33"/>
  <c r="N30" i="36" s="1"/>
  <c r="I231" i="33"/>
  <c r="I311" i="33"/>
  <c r="K33" i="33"/>
  <c r="N38" i="36" s="1"/>
  <c r="I283" i="33"/>
  <c r="I269" i="33"/>
  <c r="I260" i="33"/>
  <c r="I293" i="33"/>
  <c r="I322" i="33"/>
  <c r="I302" i="33"/>
  <c r="I347" i="33"/>
  <c r="I377" i="33"/>
  <c r="I361" i="33"/>
  <c r="K38" i="33"/>
  <c r="N43" i="36" s="1"/>
  <c r="I306" i="33"/>
  <c r="I328" i="33"/>
  <c r="I439" i="33"/>
  <c r="I384" i="33"/>
  <c r="I457" i="33"/>
  <c r="I398" i="33"/>
  <c r="I428" i="33"/>
  <c r="I488" i="33"/>
  <c r="I404" i="33"/>
  <c r="I440" i="33"/>
  <c r="I529" i="33"/>
  <c r="I422" i="33"/>
  <c r="I489" i="33"/>
  <c r="I468" i="33"/>
  <c r="I517" i="33"/>
  <c r="I519" i="33"/>
  <c r="I560" i="33"/>
  <c r="I639" i="33"/>
  <c r="I527" i="33"/>
  <c r="I562" i="33"/>
  <c r="I614" i="33"/>
  <c r="I565" i="33"/>
  <c r="I627" i="33"/>
  <c r="I680" i="33"/>
  <c r="I759" i="33"/>
  <c r="I615" i="33"/>
  <c r="I657" i="33"/>
  <c r="I720" i="33"/>
  <c r="I733" i="33"/>
  <c r="I597" i="33"/>
  <c r="I670" i="33"/>
  <c r="I690" i="33"/>
  <c r="I750" i="33"/>
  <c r="I830" i="33"/>
  <c r="I941" i="33"/>
  <c r="K96" i="33"/>
  <c r="N101" i="36" s="1"/>
  <c r="I902" i="33"/>
  <c r="I711" i="33"/>
  <c r="K73" i="33"/>
  <c r="N78" i="36" s="1"/>
  <c r="I794" i="33"/>
  <c r="I926" i="33"/>
  <c r="I823" i="33"/>
  <c r="I885" i="33"/>
  <c r="I689" i="33"/>
  <c r="I727" i="33"/>
  <c r="I778" i="33"/>
  <c r="I886" i="33"/>
  <c r="I811" i="33"/>
  <c r="K83" i="33"/>
  <c r="N88" i="36" s="1"/>
  <c r="I829" i="33"/>
  <c r="K92" i="33"/>
  <c r="N97" i="36" s="1"/>
  <c r="I901" i="33"/>
  <c r="I931" i="33"/>
  <c r="K95" i="33"/>
  <c r="N100" i="36" s="1"/>
  <c r="I988" i="33"/>
  <c r="I950" i="33"/>
  <c r="I977" i="33"/>
  <c r="I982" i="33"/>
  <c r="I987" i="33"/>
  <c r="I992" i="36"/>
  <c r="I978" i="36"/>
  <c r="I786" i="36"/>
  <c r="I693" i="36"/>
  <c r="I873" i="36"/>
  <c r="I836" i="36"/>
  <c r="I792" i="36"/>
  <c r="I683" i="36"/>
  <c r="I654" i="36"/>
  <c r="I629" i="36"/>
  <c r="I572" i="36"/>
  <c r="I526" i="36"/>
  <c r="I529" i="36"/>
  <c r="I405" i="36"/>
  <c r="I505" i="36"/>
  <c r="I347" i="36"/>
  <c r="I264" i="36"/>
  <c r="I230" i="36"/>
  <c r="I127" i="36"/>
  <c r="I65" i="36"/>
  <c r="I35" i="36"/>
  <c r="K40" i="36"/>
  <c r="I331" i="36"/>
  <c r="I248" i="36"/>
  <c r="I207" i="36"/>
  <c r="I181" i="36"/>
  <c r="K25" i="36"/>
  <c r="I111" i="36"/>
  <c r="K18" i="36"/>
  <c r="I51" i="36"/>
  <c r="K12" i="36"/>
  <c r="I176" i="36"/>
  <c r="I38" i="36"/>
  <c r="I971" i="36"/>
  <c r="K104" i="36"/>
  <c r="I968" i="36"/>
  <c r="I776" i="36"/>
  <c r="I688" i="36"/>
  <c r="I860" i="36"/>
  <c r="I834" i="36"/>
  <c r="I780" i="36"/>
  <c r="I627" i="36"/>
  <c r="I646" i="36"/>
  <c r="I517" i="36"/>
  <c r="I404" i="36"/>
  <c r="I515" i="36"/>
  <c r="I489" i="36"/>
  <c r="I340" i="36"/>
  <c r="I413" i="36"/>
  <c r="I363" i="36"/>
  <c r="I277" i="36"/>
  <c r="I228" i="36"/>
  <c r="I200" i="36"/>
  <c r="I172" i="36"/>
  <c r="I143" i="36"/>
  <c r="I82" i="36"/>
  <c r="I31" i="36"/>
  <c r="K10" i="36"/>
  <c r="I34" i="36"/>
  <c r="I29" i="34"/>
  <c r="I49" i="34"/>
  <c r="I52" i="34"/>
  <c r="I57" i="34"/>
  <c r="I93" i="34"/>
  <c r="I75" i="34"/>
  <c r="I91" i="34"/>
  <c r="K11" i="34"/>
  <c r="M16" i="36" s="1"/>
  <c r="I119" i="34"/>
  <c r="I116" i="34"/>
  <c r="I122" i="34"/>
  <c r="I141" i="34"/>
  <c r="K16" i="34"/>
  <c r="M21" i="36" s="1"/>
  <c r="I153" i="34"/>
  <c r="I174" i="34"/>
  <c r="I201" i="34"/>
  <c r="K22" i="34"/>
  <c r="M27" i="36" s="1"/>
  <c r="I152" i="34"/>
  <c r="K21" i="34"/>
  <c r="M26" i="36" s="1"/>
  <c r="I191" i="34"/>
  <c r="I237" i="34"/>
  <c r="I219" i="34"/>
  <c r="I205" i="34"/>
  <c r="I228" i="34"/>
  <c r="I272" i="34"/>
  <c r="I288" i="34"/>
  <c r="I280" i="34"/>
  <c r="I257" i="34"/>
  <c r="I251" i="34"/>
  <c r="K27" i="34"/>
  <c r="M32" i="36" s="1"/>
  <c r="I336" i="34"/>
  <c r="I339" i="34"/>
  <c r="I427" i="34"/>
  <c r="I377" i="34"/>
  <c r="I316" i="34"/>
  <c r="K36" i="34"/>
  <c r="M41" i="36" s="1"/>
  <c r="I341" i="34"/>
  <c r="K44" i="34"/>
  <c r="M49" i="36" s="1"/>
  <c r="I421" i="34"/>
  <c r="I362" i="34"/>
  <c r="I443" i="34"/>
  <c r="I477" i="34"/>
  <c r="I376" i="34"/>
  <c r="I442" i="34"/>
  <c r="I472" i="34"/>
  <c r="I455" i="34"/>
  <c r="I451" i="34"/>
  <c r="K47" i="34"/>
  <c r="M52" i="36" s="1"/>
  <c r="I464" i="34"/>
  <c r="I514" i="34"/>
  <c r="I551" i="34"/>
  <c r="K57" i="34"/>
  <c r="M62" i="36" s="1"/>
  <c r="I592" i="34"/>
  <c r="I483" i="34"/>
  <c r="I532" i="34"/>
  <c r="I567" i="34"/>
  <c r="I626" i="34"/>
  <c r="I524" i="34"/>
  <c r="I661" i="34"/>
  <c r="K68" i="34"/>
  <c r="M73" i="36" s="1"/>
  <c r="I574" i="34"/>
  <c r="I630" i="34"/>
  <c r="I662" i="34"/>
  <c r="I698" i="34"/>
  <c r="I757" i="34"/>
  <c r="I608" i="34"/>
  <c r="I665" i="34"/>
  <c r="I739" i="34"/>
  <c r="I846" i="34"/>
  <c r="I932" i="34"/>
  <c r="I778" i="34"/>
  <c r="I813" i="34"/>
  <c r="I884" i="34"/>
  <c r="I727" i="34"/>
  <c r="I766" i="34"/>
  <c r="I875" i="34"/>
  <c r="I920" i="34"/>
  <c r="K83" i="34"/>
  <c r="M88" i="36" s="1"/>
  <c r="I811" i="34"/>
  <c r="I886" i="34"/>
  <c r="I773" i="34"/>
  <c r="I828" i="34"/>
  <c r="I717" i="34"/>
  <c r="I866" i="34"/>
  <c r="K90" i="34"/>
  <c r="M95" i="36" s="1"/>
  <c r="I881" i="34"/>
  <c r="I951" i="34"/>
  <c r="K97" i="34"/>
  <c r="M102" i="36" s="1"/>
  <c r="I970" i="34"/>
  <c r="I968" i="34"/>
  <c r="I923" i="34"/>
  <c r="I960" i="34"/>
  <c r="I922" i="34"/>
  <c r="I983" i="34"/>
  <c r="H8" i="34"/>
  <c r="C9" i="34"/>
  <c r="I996" i="34"/>
  <c r="I14" i="35"/>
  <c r="I49" i="35"/>
  <c r="I88" i="35"/>
  <c r="I92" i="35"/>
  <c r="I98" i="35"/>
  <c r="I99" i="35"/>
  <c r="I129" i="35"/>
  <c r="I190" i="35"/>
  <c r="I155" i="35"/>
  <c r="I166" i="35"/>
  <c r="I200" i="35"/>
  <c r="I226" i="35"/>
  <c r="I217" i="35"/>
  <c r="I214" i="35"/>
  <c r="I242" i="35"/>
  <c r="I255" i="35"/>
  <c r="I252" i="35"/>
  <c r="I284" i="35"/>
  <c r="I265" i="35"/>
  <c r="I292" i="35"/>
  <c r="I273" i="35"/>
  <c r="I277" i="35"/>
  <c r="I358" i="35"/>
  <c r="I429" i="35"/>
  <c r="I315" i="35"/>
  <c r="I372" i="35"/>
  <c r="I403" i="35"/>
  <c r="I331" i="35"/>
  <c r="K35" i="35"/>
  <c r="L40" i="36" s="1"/>
  <c r="I381" i="35"/>
  <c r="K40" i="35"/>
  <c r="L45" i="36" s="1"/>
  <c r="I452" i="35"/>
  <c r="I385" i="35"/>
  <c r="I422" i="35"/>
  <c r="K54" i="35"/>
  <c r="L59" i="36" s="1"/>
  <c r="I521" i="35"/>
  <c r="I540" i="35"/>
  <c r="I407" i="35"/>
  <c r="I461" i="35"/>
  <c r="K48" i="35"/>
  <c r="L53" i="36" s="1"/>
  <c r="I517" i="35"/>
  <c r="I417" i="35"/>
  <c r="I549" i="35"/>
  <c r="I423" i="35"/>
  <c r="I494" i="35"/>
  <c r="I550" i="35"/>
  <c r="I616" i="35"/>
  <c r="I480" i="35"/>
  <c r="I530" i="35"/>
  <c r="I520" i="35"/>
  <c r="I546" i="35"/>
  <c r="I534" i="35"/>
  <c r="I620" i="35"/>
  <c r="I652" i="35"/>
  <c r="I589" i="35"/>
  <c r="I642" i="35"/>
  <c r="I711" i="35"/>
  <c r="K73" i="35"/>
  <c r="L78" i="36" s="1"/>
  <c r="I586" i="35"/>
  <c r="I697" i="35"/>
  <c r="I762" i="35"/>
  <c r="I624" i="35"/>
  <c r="I565" i="35"/>
  <c r="I716" i="35"/>
  <c r="I764" i="35"/>
  <c r="I819" i="35"/>
  <c r="I832" i="35"/>
  <c r="I718" i="35"/>
  <c r="I760" i="35"/>
  <c r="I859" i="35"/>
  <c r="I934" i="35"/>
  <c r="I765" i="35"/>
  <c r="I845" i="35"/>
  <c r="I808" i="35"/>
  <c r="I684" i="35"/>
  <c r="I796" i="35"/>
  <c r="I828" i="35"/>
  <c r="I953" i="35"/>
  <c r="I941" i="35"/>
  <c r="K96" i="35"/>
  <c r="L101" i="36" s="1"/>
  <c r="I970" i="35"/>
  <c r="I978" i="35"/>
  <c r="I954" i="35"/>
  <c r="I996" i="35"/>
  <c r="I994" i="35"/>
  <c r="I707" i="36"/>
  <c r="I915" i="36"/>
  <c r="I905" i="36"/>
  <c r="I840" i="36"/>
  <c r="I719" i="36"/>
  <c r="I660" i="36"/>
  <c r="I631" i="36"/>
  <c r="K70" i="36"/>
  <c r="I562" i="36"/>
  <c r="I556" i="36"/>
  <c r="I437" i="36"/>
  <c r="I381" i="36"/>
  <c r="K45" i="36"/>
  <c r="I464" i="36"/>
  <c r="I344" i="36"/>
  <c r="I407" i="36"/>
  <c r="I265" i="36"/>
  <c r="I322" i="36"/>
  <c r="I153" i="36"/>
  <c r="I186" i="36"/>
  <c r="I126" i="36"/>
  <c r="I100" i="36"/>
  <c r="I83" i="36"/>
  <c r="I29" i="36"/>
  <c r="I909" i="36"/>
  <c r="I701" i="36"/>
  <c r="K77" i="36"/>
  <c r="O77" i="36" s="1"/>
  <c r="I897" i="36"/>
  <c r="I835" i="36"/>
  <c r="I726" i="36"/>
  <c r="I622" i="36"/>
  <c r="I558" i="36"/>
  <c r="I560" i="36"/>
  <c r="I426" i="36"/>
  <c r="I382" i="36"/>
  <c r="I352" i="36"/>
  <c r="I400" i="36"/>
  <c r="I320" i="36"/>
  <c r="K29" i="36"/>
  <c r="I221" i="36"/>
  <c r="I195" i="36"/>
  <c r="I177" i="36"/>
  <c r="I124" i="36"/>
  <c r="I107" i="36"/>
  <c r="I18" i="33"/>
  <c r="I17" i="33"/>
  <c r="I27" i="33"/>
  <c r="I55" i="33"/>
  <c r="I70" i="33"/>
  <c r="I65" i="33"/>
  <c r="I80" i="33"/>
  <c r="I97" i="33"/>
  <c r="I113" i="33"/>
  <c r="I106" i="33"/>
  <c r="I125" i="33"/>
  <c r="I149" i="33"/>
  <c r="I173" i="33"/>
  <c r="I154" i="33"/>
  <c r="I163" i="33"/>
  <c r="I194" i="33"/>
  <c r="I189" i="33"/>
  <c r="I245" i="33"/>
  <c r="I209" i="33"/>
  <c r="I236" i="33"/>
  <c r="I239" i="33"/>
  <c r="I242" i="33"/>
  <c r="I278" i="33"/>
  <c r="I284" i="33"/>
  <c r="I243" i="33"/>
  <c r="I282" i="33"/>
  <c r="I264" i="33"/>
  <c r="I323" i="33"/>
  <c r="I389" i="33"/>
  <c r="I326" i="33"/>
  <c r="I349" i="33"/>
  <c r="K40" i="33"/>
  <c r="N45" i="36" s="1"/>
  <c r="I381" i="33"/>
  <c r="I332" i="33"/>
  <c r="K46" i="33"/>
  <c r="N51" i="36" s="1"/>
  <c r="I441" i="33"/>
  <c r="I386" i="33"/>
  <c r="I458" i="33"/>
  <c r="I368" i="33"/>
  <c r="I411" i="33"/>
  <c r="K43" i="33"/>
  <c r="N48" i="36" s="1"/>
  <c r="I434" i="33"/>
  <c r="I508" i="33"/>
  <c r="I451" i="33"/>
  <c r="K47" i="33"/>
  <c r="N52" i="36" s="1"/>
  <c r="I548" i="33"/>
  <c r="I437" i="33"/>
  <c r="I514" i="33"/>
  <c r="I540" i="33"/>
  <c r="I619" i="33"/>
  <c r="I476" i="33"/>
  <c r="I536" i="33"/>
  <c r="I600" i="33"/>
  <c r="I541" i="33"/>
  <c r="K56" i="33"/>
  <c r="N61" i="36" s="1"/>
  <c r="K66" i="33"/>
  <c r="N71" i="36" s="1"/>
  <c r="I641" i="33"/>
  <c r="I644" i="33"/>
  <c r="I566" i="33"/>
  <c r="I570" i="33"/>
  <c r="I630" i="33"/>
  <c r="K71" i="33"/>
  <c r="N76" i="36" s="1"/>
  <c r="I691" i="33"/>
  <c r="I666" i="33"/>
  <c r="I567" i="33"/>
  <c r="I624" i="33"/>
  <c r="I665" i="33"/>
  <c r="I604" i="33"/>
  <c r="I675" i="33"/>
  <c r="I757" i="33"/>
  <c r="I792" i="33"/>
  <c r="I834" i="33"/>
  <c r="I905" i="33"/>
  <c r="I724" i="33"/>
  <c r="I810" i="33"/>
  <c r="I895" i="33"/>
  <c r="I952" i="33"/>
  <c r="I824" i="33"/>
  <c r="I887" i="33"/>
  <c r="I728" i="33"/>
  <c r="I768" i="33"/>
  <c r="I844" i="33"/>
  <c r="I741" i="33"/>
  <c r="K76" i="33"/>
  <c r="N81" i="36" s="1"/>
  <c r="I871" i="33"/>
  <c r="K89" i="33"/>
  <c r="N94" i="36" s="1"/>
  <c r="I835" i="33"/>
  <c r="I907" i="33"/>
  <c r="I930" i="33"/>
  <c r="I978" i="33"/>
  <c r="I989" i="33"/>
  <c r="I960" i="33"/>
  <c r="I934" i="33"/>
  <c r="I985" i="33"/>
  <c r="I1000" i="33"/>
  <c r="H8" i="33"/>
  <c r="C9" i="33"/>
  <c r="I949" i="36"/>
  <c r="I810" i="36"/>
  <c r="I774" i="36"/>
  <c r="I939" i="36"/>
  <c r="I898" i="36"/>
  <c r="I838" i="36"/>
  <c r="I820" i="36"/>
  <c r="I766" i="36"/>
  <c r="I679" i="36"/>
  <c r="I613" i="36"/>
  <c r="I535" i="36"/>
  <c r="I496" i="36"/>
  <c r="I487" i="36"/>
  <c r="I367" i="36"/>
  <c r="I497" i="36"/>
  <c r="I468" i="36"/>
  <c r="K44" i="36"/>
  <c r="I371" i="36"/>
  <c r="I288" i="36"/>
  <c r="I202" i="36"/>
  <c r="I137" i="36"/>
  <c r="I93" i="36"/>
  <c r="I149" i="36"/>
  <c r="I990" i="36"/>
  <c r="I942" i="36"/>
  <c r="I773" i="36"/>
  <c r="I709" i="36"/>
  <c r="I885" i="36"/>
  <c r="I566" i="36"/>
  <c r="I663" i="36"/>
  <c r="I644" i="36"/>
  <c r="I588" i="36"/>
  <c r="I450" i="36"/>
  <c r="I417" i="36"/>
  <c r="I372" i="36"/>
  <c r="I452" i="36"/>
  <c r="I268" i="36"/>
  <c r="I204" i="36"/>
  <c r="I191" i="36"/>
  <c r="K26" i="36"/>
  <c r="I182" i="36"/>
  <c r="I109" i="36"/>
  <c r="I45" i="36"/>
  <c r="I1005" i="36"/>
  <c r="I37" i="34"/>
  <c r="I30" i="34"/>
  <c r="I43" i="34"/>
  <c r="I55" i="34"/>
  <c r="I72" i="34"/>
  <c r="I64" i="34"/>
  <c r="I94" i="34"/>
  <c r="I102" i="34"/>
  <c r="I98" i="34"/>
  <c r="I105" i="34"/>
  <c r="I147" i="34"/>
  <c r="I143" i="34"/>
  <c r="I146" i="34"/>
  <c r="I159" i="34"/>
  <c r="I197" i="34"/>
  <c r="I183" i="34"/>
  <c r="I207" i="34"/>
  <c r="I220" i="34"/>
  <c r="I233" i="34"/>
  <c r="I204" i="34"/>
  <c r="I199" i="34"/>
  <c r="I235" i="34"/>
  <c r="I271" i="34"/>
  <c r="K29" i="34"/>
  <c r="M34" i="36" s="1"/>
  <c r="I303" i="34"/>
  <c r="I260" i="34"/>
  <c r="I302" i="34"/>
  <c r="I287" i="34"/>
  <c r="I266" i="34"/>
  <c r="I256" i="34"/>
  <c r="I306" i="34"/>
  <c r="I312" i="34"/>
  <c r="I437" i="34"/>
  <c r="I363" i="34"/>
  <c r="I413" i="34"/>
  <c r="I328" i="34"/>
  <c r="I447" i="34"/>
  <c r="I418" i="34"/>
  <c r="I463" i="34"/>
  <c r="I398" i="34"/>
  <c r="I454" i="34"/>
  <c r="I530" i="34"/>
  <c r="I387" i="34"/>
  <c r="I448" i="34"/>
  <c r="I487" i="34"/>
  <c r="I489" i="34"/>
  <c r="I540" i="34"/>
  <c r="I629" i="34"/>
  <c r="I511" i="34"/>
  <c r="K53" i="34"/>
  <c r="M58" i="36" s="1"/>
  <c r="I597" i="34"/>
  <c r="I474" i="34"/>
  <c r="I501" i="34"/>
  <c r="K52" i="34"/>
  <c r="M57" i="36" s="1"/>
  <c r="I610" i="34"/>
  <c r="I584" i="34"/>
  <c r="I616" i="34"/>
  <c r="I683" i="34"/>
  <c r="I748" i="34"/>
  <c r="I614" i="34"/>
  <c r="I643" i="34"/>
  <c r="I673" i="34"/>
  <c r="I578" i="34"/>
  <c r="I635" i="34"/>
  <c r="I677" i="34"/>
  <c r="I740" i="34"/>
  <c r="I577" i="34"/>
  <c r="I628" i="34"/>
  <c r="I696" i="34"/>
  <c r="I796" i="34"/>
  <c r="I870" i="34"/>
  <c r="I949" i="34"/>
  <c r="I713" i="34"/>
  <c r="I749" i="34"/>
  <c r="I793" i="34"/>
  <c r="I851" i="34"/>
  <c r="K87" i="34"/>
  <c r="M92" i="36" s="1"/>
  <c r="I902" i="34"/>
  <c r="I783" i="34"/>
  <c r="I856" i="34"/>
  <c r="I767" i="34"/>
  <c r="I732" i="34"/>
  <c r="I819" i="34"/>
  <c r="I692" i="34"/>
  <c r="I735" i="34"/>
  <c r="I774" i="34"/>
  <c r="I834" i="34"/>
  <c r="I898" i="34"/>
  <c r="I857" i="34"/>
  <c r="I931" i="34"/>
  <c r="K95" i="34"/>
  <c r="M100" i="36" s="1"/>
  <c r="I971" i="34"/>
  <c r="K99" i="34"/>
  <c r="M104" i="36" s="1"/>
  <c r="I991" i="34"/>
  <c r="K101" i="34"/>
  <c r="M106" i="36" s="1"/>
  <c r="I930" i="34"/>
  <c r="I950" i="34"/>
  <c r="I1003" i="34"/>
  <c r="I18" i="35"/>
  <c r="I38" i="35"/>
  <c r="I55" i="35"/>
  <c r="I39" i="35"/>
  <c r="I62" i="35"/>
  <c r="I68" i="35"/>
  <c r="I80" i="35"/>
  <c r="I81" i="35"/>
  <c r="K10" i="35"/>
  <c r="L15" i="36" s="1"/>
  <c r="I87" i="35"/>
  <c r="I113" i="35"/>
  <c r="I109" i="35"/>
  <c r="I130" i="35"/>
  <c r="I137" i="35"/>
  <c r="I175" i="35"/>
  <c r="I192" i="35"/>
  <c r="I196" i="35"/>
  <c r="I151" i="35"/>
  <c r="K17" i="35"/>
  <c r="L22" i="36" s="1"/>
  <c r="I193" i="35"/>
  <c r="I207" i="35"/>
  <c r="I209" i="35"/>
  <c r="I228" i="35"/>
  <c r="I213" i="35"/>
  <c r="I243" i="35"/>
  <c r="I291" i="35"/>
  <c r="K31" i="35"/>
  <c r="L36" i="36" s="1"/>
  <c r="I320" i="35"/>
  <c r="I274" i="35"/>
  <c r="I249" i="35"/>
  <c r="K27" i="35"/>
  <c r="L32" i="36" s="1"/>
  <c r="I251" i="35"/>
  <c r="I369" i="35"/>
  <c r="I349" i="35"/>
  <c r="I353" i="35"/>
  <c r="I416" i="35"/>
  <c r="I333" i="35"/>
  <c r="I301" i="35"/>
  <c r="K32" i="35"/>
  <c r="L37" i="36" s="1"/>
  <c r="I355" i="35"/>
  <c r="I365" i="35"/>
  <c r="I406" i="35"/>
  <c r="I441" i="35"/>
  <c r="K46" i="35"/>
  <c r="L51" i="36" s="1"/>
  <c r="I527" i="35"/>
  <c r="I485" i="35"/>
  <c r="I398" i="35"/>
  <c r="I533" i="35"/>
  <c r="I390" i="35"/>
  <c r="I458" i="35"/>
  <c r="I509" i="35"/>
  <c r="I563" i="35"/>
  <c r="I655" i="35"/>
  <c r="I496" i="35"/>
  <c r="I555" i="35"/>
  <c r="I654" i="35"/>
  <c r="K51" i="35"/>
  <c r="L56" i="36" s="1"/>
  <c r="I491" i="35"/>
  <c r="I596" i="35"/>
  <c r="I638" i="35"/>
  <c r="I583" i="35"/>
  <c r="I625" i="35"/>
  <c r="I662" i="35"/>
  <c r="I690" i="35"/>
  <c r="I680" i="35"/>
  <c r="I731" i="35"/>
  <c r="K75" i="35"/>
  <c r="L80" i="36" s="1"/>
  <c r="I656" i="35"/>
  <c r="I598" i="35"/>
  <c r="I627" i="35"/>
  <c r="I673" i="35"/>
  <c r="I753" i="35"/>
  <c r="I803" i="35"/>
  <c r="I848" i="35"/>
  <c r="I909" i="35"/>
  <c r="I948" i="35"/>
  <c r="I873" i="35"/>
  <c r="I750" i="35"/>
  <c r="I778" i="35"/>
  <c r="I831" i="35"/>
  <c r="K85" i="35"/>
  <c r="L90" i="36" s="1"/>
  <c r="I790" i="35"/>
  <c r="I892" i="35"/>
  <c r="I736" i="35"/>
  <c r="I784" i="35"/>
  <c r="I837" i="35"/>
  <c r="I844" i="35"/>
  <c r="I881" i="35"/>
  <c r="K90" i="35"/>
  <c r="L95" i="36" s="1"/>
  <c r="I734" i="35"/>
  <c r="I814" i="35"/>
  <c r="I917" i="35"/>
  <c r="I967" i="35"/>
  <c r="I933" i="35"/>
  <c r="I965" i="35"/>
  <c r="I928" i="35"/>
  <c r="I1004" i="35"/>
  <c r="I964" i="35"/>
  <c r="I998" i="35"/>
  <c r="H9" i="36"/>
  <c r="C10" i="36"/>
  <c r="I985" i="36"/>
  <c r="I848" i="36"/>
  <c r="I798" i="36"/>
  <c r="I699" i="36"/>
  <c r="I876" i="36"/>
  <c r="I844" i="36"/>
  <c r="I803" i="36"/>
  <c r="I689" i="36"/>
  <c r="I676" i="36"/>
  <c r="I636" i="36"/>
  <c r="I596" i="36"/>
  <c r="I547" i="36"/>
  <c r="I537" i="36"/>
  <c r="I410" i="36"/>
  <c r="I528" i="36"/>
  <c r="I317" i="36"/>
  <c r="I385" i="36"/>
  <c r="I296" i="36"/>
  <c r="I184" i="36"/>
  <c r="I150" i="36"/>
  <c r="I102" i="36"/>
  <c r="I32" i="36"/>
  <c r="I984" i="36"/>
  <c r="I806" i="36"/>
  <c r="I789" i="36"/>
  <c r="I691" i="36"/>
  <c r="K76" i="36"/>
  <c r="I875" i="36"/>
  <c r="I843" i="36"/>
  <c r="I800" i="36"/>
  <c r="I684" i="36"/>
  <c r="I665" i="36"/>
  <c r="I634" i="36"/>
  <c r="I545" i="36"/>
  <c r="I533" i="36"/>
  <c r="I368" i="36"/>
  <c r="I520" i="36"/>
  <c r="I362" i="36"/>
  <c r="I440" i="36"/>
  <c r="I295" i="36"/>
  <c r="K30" i="36"/>
  <c r="I231" i="36"/>
  <c r="I152" i="36"/>
  <c r="I140" i="36"/>
  <c r="I92" i="36"/>
  <c r="I68" i="36"/>
  <c r="I36" i="36"/>
  <c r="I12" i="33"/>
  <c r="I22" i="33"/>
  <c r="I46" i="33"/>
  <c r="I53" i="33"/>
  <c r="I36" i="33"/>
  <c r="I69" i="33"/>
  <c r="I74" i="33"/>
  <c r="I92" i="33"/>
  <c r="I98" i="33"/>
  <c r="I79" i="33"/>
  <c r="I115" i="33"/>
  <c r="I110" i="33"/>
  <c r="I152" i="33"/>
  <c r="I150" i="33"/>
  <c r="I158" i="33"/>
  <c r="I164" i="33"/>
  <c r="I196" i="33"/>
  <c r="I159" i="33"/>
  <c r="I234" i="33"/>
  <c r="I256" i="33"/>
  <c r="I219" i="33"/>
  <c r="I205" i="33"/>
  <c r="I249" i="33"/>
  <c r="I246" i="33"/>
  <c r="I281" i="33"/>
  <c r="K30" i="33"/>
  <c r="N35" i="36" s="1"/>
  <c r="I267" i="33"/>
  <c r="I290" i="33"/>
  <c r="I286" i="33"/>
  <c r="I318" i="33"/>
  <c r="I339" i="33"/>
  <c r="I390" i="33"/>
  <c r="I330" i="33"/>
  <c r="I359" i="33"/>
  <c r="I396" i="33"/>
  <c r="I335" i="33"/>
  <c r="I346" i="33"/>
  <c r="I327" i="33"/>
  <c r="I445" i="33"/>
  <c r="I394" i="33"/>
  <c r="I450" i="33"/>
  <c r="I412" i="33"/>
  <c r="I454" i="33"/>
  <c r="I509" i="33"/>
  <c r="I418" i="33"/>
  <c r="I463" i="33"/>
  <c r="I365" i="33"/>
  <c r="I456" i="33"/>
  <c r="I543" i="33"/>
  <c r="I478" i="33"/>
  <c r="I547" i="33"/>
  <c r="I637" i="33"/>
  <c r="I542" i="33"/>
  <c r="I653" i="33"/>
  <c r="I500" i="33"/>
  <c r="I538" i="33"/>
  <c r="I571" i="33"/>
  <c r="K59" i="33"/>
  <c r="N64" i="36" s="1"/>
  <c r="I640" i="33"/>
  <c r="I586" i="33"/>
  <c r="I645" i="33"/>
  <c r="I671" i="33"/>
  <c r="K69" i="33"/>
  <c r="N74" i="36" s="1"/>
  <c r="I576" i="33"/>
  <c r="I623" i="33"/>
  <c r="I667" i="33"/>
  <c r="I568" i="33"/>
  <c r="I628" i="33"/>
  <c r="I674" i="33"/>
  <c r="I682" i="33"/>
  <c r="I609" i="33"/>
  <c r="I669" i="33"/>
  <c r="I740" i="33"/>
  <c r="I773" i="33"/>
  <c r="I793" i="33"/>
  <c r="I843" i="33"/>
  <c r="I956" i="33"/>
  <c r="I683" i="33"/>
  <c r="I744" i="33"/>
  <c r="I821" i="33"/>
  <c r="K84" i="33"/>
  <c r="N89" i="36" s="1"/>
  <c r="I840" i="33"/>
  <c r="I890" i="33"/>
  <c r="I710" i="33"/>
  <c r="I735" i="33"/>
  <c r="I769" i="33"/>
  <c r="K91" i="33"/>
  <c r="N96" i="36" s="1"/>
  <c r="I891" i="33"/>
  <c r="I755" i="33"/>
  <c r="I783" i="33"/>
  <c r="I837" i="33"/>
  <c r="I808" i="33"/>
  <c r="I872" i="33"/>
  <c r="I932" i="33"/>
  <c r="I980" i="33"/>
  <c r="I947" i="33"/>
  <c r="I993" i="33"/>
  <c r="I966" i="33"/>
  <c r="I979" i="33"/>
  <c r="I998" i="33"/>
  <c r="I937" i="36"/>
  <c r="I988" i="36"/>
  <c r="I717" i="36"/>
  <c r="K95" i="36"/>
  <c r="I881" i="36"/>
  <c r="I865" i="36"/>
  <c r="I787" i="36"/>
  <c r="I771" i="36"/>
  <c r="K84" i="36"/>
  <c r="I754" i="36"/>
  <c r="I651" i="36"/>
  <c r="K72" i="36"/>
  <c r="I604" i="36"/>
  <c r="I574" i="36"/>
  <c r="I559" i="36"/>
  <c r="I527" i="36"/>
  <c r="I504" i="36"/>
  <c r="I463" i="36"/>
  <c r="I430" i="36"/>
  <c r="I424" i="36"/>
  <c r="I334" i="36"/>
  <c r="I270" i="36"/>
  <c r="I198" i="36"/>
  <c r="I136" i="36"/>
  <c r="I116" i="36"/>
  <c r="I89" i="36"/>
  <c r="I17" i="36"/>
  <c r="I333" i="36"/>
  <c r="I252" i="36"/>
  <c r="I247" i="36"/>
  <c r="I95" i="36"/>
  <c r="I14" i="36"/>
  <c r="I1006" i="36"/>
  <c r="I913" i="36"/>
  <c r="I831" i="36"/>
  <c r="K90" i="36"/>
  <c r="I924" i="36"/>
  <c r="I911" i="36"/>
  <c r="K98" i="36"/>
  <c r="I842" i="36"/>
  <c r="I637" i="36"/>
  <c r="I598" i="36"/>
  <c r="I563" i="36"/>
  <c r="I564" i="36"/>
  <c r="I442" i="36"/>
  <c r="I467" i="36"/>
  <c r="I324" i="36"/>
  <c r="I217" i="36"/>
  <c r="I139" i="36"/>
  <c r="I103" i="36"/>
  <c r="I94" i="36"/>
  <c r="I28" i="36"/>
  <c r="I19" i="34"/>
  <c r="I31" i="34"/>
  <c r="K5" i="34"/>
  <c r="M10" i="36" s="1"/>
  <c r="I40" i="34"/>
  <c r="I62" i="34"/>
  <c r="I44" i="34"/>
  <c r="I63" i="34"/>
  <c r="I65" i="34"/>
  <c r="I82" i="34"/>
  <c r="I79" i="34"/>
  <c r="I100" i="34"/>
  <c r="I112" i="34"/>
  <c r="I123" i="34"/>
  <c r="I136" i="34"/>
  <c r="I130" i="34"/>
  <c r="I132" i="34"/>
  <c r="I176" i="34"/>
  <c r="I148" i="34"/>
  <c r="I198" i="34"/>
  <c r="I246" i="34"/>
  <c r="I234" i="34"/>
  <c r="I293" i="34"/>
  <c r="I294" i="34"/>
  <c r="I284" i="34"/>
  <c r="I286" i="34"/>
  <c r="I274" i="34"/>
  <c r="I349" i="34"/>
  <c r="I431" i="34"/>
  <c r="K45" i="34"/>
  <c r="M50" i="36" s="1"/>
  <c r="I434" i="34"/>
  <c r="I333" i="34"/>
  <c r="I354" i="34"/>
  <c r="I380" i="34"/>
  <c r="I343" i="34"/>
  <c r="I317" i="34"/>
  <c r="I357" i="34"/>
  <c r="I388" i="34"/>
  <c r="I430" i="34"/>
  <c r="I457" i="34"/>
  <c r="I503" i="34"/>
  <c r="I391" i="34"/>
  <c r="K41" i="34"/>
  <c r="M46" i="36" s="1"/>
  <c r="I444" i="34"/>
  <c r="I502" i="34"/>
  <c r="I399" i="34"/>
  <c r="I480" i="34"/>
  <c r="I518" i="34"/>
  <c r="I599" i="34"/>
  <c r="I536" i="34"/>
  <c r="I576" i="34"/>
  <c r="K66" i="34"/>
  <c r="M71" i="36" s="1"/>
  <c r="I641" i="34"/>
  <c r="I508" i="34"/>
  <c r="I562" i="34"/>
  <c r="I490" i="34"/>
  <c r="I558" i="34"/>
  <c r="I751" i="34"/>
  <c r="K77" i="34"/>
  <c r="M82" i="36" s="1"/>
  <c r="I723" i="34"/>
  <c r="K61" i="34"/>
  <c r="M66" i="36" s="1"/>
  <c r="I591" i="34"/>
  <c r="I637" i="34"/>
  <c r="I676" i="34"/>
  <c r="I718" i="34"/>
  <c r="I769" i="34"/>
  <c r="I669" i="34"/>
  <c r="I659" i="34"/>
  <c r="I609" i="34"/>
  <c r="I679" i="34"/>
  <c r="I768" i="34"/>
  <c r="I860" i="34"/>
  <c r="I787" i="34"/>
  <c r="I903" i="34"/>
  <c r="K79" i="34"/>
  <c r="M84" i="36" s="1"/>
  <c r="I771" i="34"/>
  <c r="I820" i="34"/>
  <c r="I879" i="34"/>
  <c r="I840" i="34"/>
  <c r="I892" i="34"/>
  <c r="I706" i="34"/>
  <c r="I901" i="34"/>
  <c r="K92" i="34"/>
  <c r="M97" i="36" s="1"/>
  <c r="I855" i="34"/>
  <c r="I887" i="34"/>
  <c r="I726" i="34"/>
  <c r="I872" i="34"/>
  <c r="I957" i="34"/>
  <c r="I825" i="34"/>
  <c r="I899" i="34"/>
  <c r="I963" i="34"/>
  <c r="I924" i="34"/>
  <c r="I933" i="34"/>
  <c r="I943" i="34"/>
  <c r="I1000" i="34"/>
  <c r="I990" i="34"/>
  <c r="I29" i="35"/>
  <c r="I52" i="35"/>
  <c r="I72" i="35"/>
  <c r="I73" i="35"/>
  <c r="I76" i="35"/>
  <c r="I97" i="35"/>
  <c r="I116" i="35"/>
  <c r="I142" i="35"/>
  <c r="I121" i="35"/>
  <c r="K14" i="35"/>
  <c r="L19" i="36" s="1"/>
  <c r="I138" i="35"/>
  <c r="I173" i="35"/>
  <c r="I183" i="35"/>
  <c r="I162" i="35"/>
  <c r="I216" i="35"/>
  <c r="I257" i="35"/>
  <c r="I236" i="35"/>
  <c r="I237" i="35"/>
  <c r="I245" i="35"/>
  <c r="I233" i="35"/>
  <c r="I279" i="35"/>
  <c r="I262" i="35"/>
  <c r="I267" i="35"/>
  <c r="I305" i="35"/>
  <c r="I268" i="35"/>
  <c r="I285" i="35"/>
  <c r="I289" i="35"/>
  <c r="I330" i="35"/>
  <c r="I395" i="35"/>
  <c r="I317" i="35"/>
  <c r="I329" i="35"/>
  <c r="I380" i="35"/>
  <c r="K44" i="35"/>
  <c r="L49" i="36" s="1"/>
  <c r="I421" i="35"/>
  <c r="I339" i="35"/>
  <c r="I394" i="35"/>
  <c r="I449" i="35"/>
  <c r="I478" i="35"/>
  <c r="I537" i="35"/>
  <c r="I425" i="35"/>
  <c r="I514" i="35"/>
  <c r="I448" i="35"/>
  <c r="I442" i="35"/>
  <c r="I503" i="35"/>
  <c r="I631" i="35"/>
  <c r="K65" i="35"/>
  <c r="L70" i="36" s="1"/>
  <c r="I493" i="35"/>
  <c r="I548" i="35"/>
  <c r="I592" i="35"/>
  <c r="I475" i="35"/>
  <c r="I532" i="35"/>
  <c r="I636" i="35"/>
  <c r="I601" i="35"/>
  <c r="K62" i="35"/>
  <c r="L67" i="36" s="1"/>
  <c r="I572" i="35"/>
  <c r="I679" i="35"/>
  <c r="I724" i="35"/>
  <c r="I651" i="35"/>
  <c r="K67" i="35"/>
  <c r="L72" i="36" s="1"/>
  <c r="I705" i="35"/>
  <c r="I582" i="35"/>
  <c r="I632" i="35"/>
  <c r="I670" i="35"/>
  <c r="I706" i="35"/>
  <c r="I578" i="35"/>
  <c r="I659" i="35"/>
  <c r="I725" i="35"/>
  <c r="I776" i="35"/>
  <c r="I830" i="35"/>
  <c r="I882" i="35"/>
  <c r="I768" i="35"/>
  <c r="I733" i="35"/>
  <c r="I763" i="35"/>
  <c r="I807" i="35"/>
  <c r="I851" i="35"/>
  <c r="K87" i="35"/>
  <c r="L92" i="36" s="1"/>
  <c r="I719" i="35"/>
  <c r="I820" i="35"/>
  <c r="I782" i="35"/>
  <c r="I815" i="35"/>
  <c r="I687" i="35"/>
  <c r="I758" i="35"/>
  <c r="I846" i="35"/>
  <c r="I976" i="35"/>
  <c r="K101" i="35"/>
  <c r="L106" i="36" s="1"/>
  <c r="I991" i="35"/>
  <c r="I986" i="35"/>
  <c r="I1006" i="35"/>
  <c r="I989" i="36"/>
  <c r="I953" i="36"/>
  <c r="I945" i="36"/>
  <c r="I761" i="36"/>
  <c r="K83" i="36"/>
  <c r="I794" i="36"/>
  <c r="I724" i="36"/>
  <c r="I694" i="36"/>
  <c r="I569" i="36"/>
  <c r="I470" i="36"/>
  <c r="I456" i="36"/>
  <c r="I386" i="36"/>
  <c r="I387" i="36"/>
  <c r="I345" i="36"/>
  <c r="I261" i="36"/>
  <c r="K33" i="36"/>
  <c r="I201" i="36"/>
  <c r="K27" i="36"/>
  <c r="I237" i="36"/>
  <c r="I169" i="36"/>
  <c r="I96" i="36"/>
  <c r="I61" i="36"/>
  <c r="K13" i="36"/>
  <c r="I39" i="36"/>
  <c r="I1001" i="36"/>
  <c r="K107" i="36"/>
  <c r="I948" i="36"/>
  <c r="I943" i="36"/>
  <c r="I903" i="36"/>
  <c r="I868" i="36"/>
  <c r="I790" i="36"/>
  <c r="I721" i="36"/>
  <c r="K79" i="36"/>
  <c r="I690" i="36"/>
  <c r="I578" i="36"/>
  <c r="I727" i="36"/>
  <c r="I678" i="36"/>
  <c r="I466" i="36"/>
  <c r="I427" i="36"/>
  <c r="I369" i="36"/>
  <c r="I257" i="36"/>
  <c r="I256" i="36"/>
  <c r="I218" i="36"/>
  <c r="I226" i="36"/>
  <c r="I165" i="36"/>
  <c r="I58" i="36"/>
  <c r="I55" i="36"/>
  <c r="I14" i="33"/>
  <c r="K5" i="33"/>
  <c r="N10" i="36" s="1"/>
  <c r="I31" i="33"/>
  <c r="I45" i="33"/>
  <c r="I40" i="33"/>
  <c r="I72" i="33"/>
  <c r="I76" i="33"/>
  <c r="I90" i="33"/>
  <c r="I89" i="33"/>
  <c r="I96" i="33"/>
  <c r="I99" i="33"/>
  <c r="I128" i="33"/>
  <c r="I133" i="33"/>
  <c r="I195" i="33"/>
  <c r="I197" i="33"/>
  <c r="I185" i="33"/>
  <c r="I169" i="33"/>
  <c r="I208" i="33"/>
  <c r="I235" i="33"/>
  <c r="I227" i="33"/>
  <c r="I215" i="33"/>
  <c r="I232" i="33"/>
  <c r="K29" i="33"/>
  <c r="N34" i="36" s="1"/>
  <c r="I271" i="33"/>
  <c r="I331" i="33"/>
  <c r="K35" i="33"/>
  <c r="N40" i="36" s="1"/>
  <c r="I270" i="33"/>
  <c r="I265" i="33"/>
  <c r="I254" i="33"/>
  <c r="I255" i="33"/>
  <c r="I366" i="33"/>
  <c r="I345" i="33"/>
  <c r="I371" i="33"/>
  <c r="K39" i="33"/>
  <c r="N44" i="36" s="1"/>
  <c r="I333" i="33"/>
  <c r="I356" i="33"/>
  <c r="I425" i="33"/>
  <c r="I375" i="33"/>
  <c r="I452" i="33"/>
  <c r="I545" i="33"/>
  <c r="I427" i="33"/>
  <c r="I474" i="33"/>
  <c r="I401" i="33"/>
  <c r="K42" i="33"/>
  <c r="N47" i="36" s="1"/>
  <c r="I520" i="33"/>
  <c r="I420" i="33"/>
  <c r="I479" i="33"/>
  <c r="I531" i="33"/>
  <c r="K55" i="33"/>
  <c r="N60" i="36" s="1"/>
  <c r="I608" i="33"/>
  <c r="I461" i="33"/>
  <c r="K48" i="33"/>
  <c r="N53" i="36" s="1"/>
  <c r="I505" i="33"/>
  <c r="I590" i="33"/>
  <c r="I492" i="33"/>
  <c r="I558" i="33"/>
  <c r="I557" i="33"/>
  <c r="I561" i="33"/>
  <c r="K58" i="33"/>
  <c r="N63" i="36" s="1"/>
  <c r="I676" i="33"/>
  <c r="I758" i="33"/>
  <c r="I649" i="33"/>
  <c r="I716" i="33"/>
  <c r="I753" i="33"/>
  <c r="I661" i="33"/>
  <c r="K68" i="33"/>
  <c r="N73" i="36" s="1"/>
  <c r="I715" i="33"/>
  <c r="I668" i="33"/>
  <c r="I708" i="33"/>
  <c r="I770" i="33"/>
  <c r="I782" i="33"/>
  <c r="I819" i="33"/>
  <c r="I936" i="33"/>
  <c r="I879" i="33"/>
  <c r="I709" i="33"/>
  <c r="I923" i="33"/>
  <c r="I820" i="33"/>
  <c r="I883" i="33"/>
  <c r="I687" i="33"/>
  <c r="I722" i="33"/>
  <c r="I762" i="33"/>
  <c r="K85" i="33"/>
  <c r="N90" i="36" s="1"/>
  <c r="I831" i="33"/>
  <c r="I892" i="33"/>
  <c r="I882" i="33"/>
  <c r="I706" i="33"/>
  <c r="I771" i="33"/>
  <c r="K79" i="33"/>
  <c r="N84" i="36" s="1"/>
  <c r="I897" i="33"/>
  <c r="I860" i="33"/>
  <c r="I904" i="33"/>
  <c r="I957" i="33"/>
  <c r="I929" i="33"/>
  <c r="I948" i="33"/>
  <c r="I983" i="33"/>
  <c r="I974" i="33"/>
  <c r="I987" i="36"/>
  <c r="I998" i="36"/>
  <c r="I857" i="36"/>
  <c r="I892" i="36"/>
  <c r="I870" i="36"/>
  <c r="I833" i="36"/>
  <c r="I713" i="36"/>
  <c r="I705" i="36"/>
  <c r="I590" i="36"/>
  <c r="I551" i="36"/>
  <c r="K62" i="36"/>
  <c r="I555" i="36"/>
  <c r="I419" i="36"/>
  <c r="I542" i="36"/>
  <c r="I393" i="36"/>
  <c r="I293" i="36"/>
  <c r="I234" i="36"/>
  <c r="I194" i="36"/>
  <c r="I104" i="36"/>
  <c r="I21" i="36"/>
  <c r="K9" i="36"/>
  <c r="I638" i="36"/>
  <c r="I580" i="36"/>
  <c r="I415" i="36"/>
  <c r="I309" i="36"/>
  <c r="I297" i="36"/>
  <c r="I155" i="36"/>
  <c r="I695" i="36"/>
  <c r="I1002" i="36"/>
  <c r="I947" i="36"/>
  <c r="I830" i="36"/>
  <c r="I742" i="36"/>
  <c r="I734" i="36"/>
  <c r="I621" i="36"/>
  <c r="K69" i="36"/>
  <c r="I561" i="36"/>
  <c r="K63" i="36"/>
  <c r="I518" i="36"/>
  <c r="I495" i="36"/>
  <c r="I510" i="36"/>
  <c r="I964" i="36"/>
  <c r="K87" i="36"/>
  <c r="I801" i="36"/>
  <c r="I475" i="36"/>
  <c r="I443" i="36"/>
  <c r="I196" i="36"/>
  <c r="I84" i="36"/>
  <c r="I35" i="34"/>
  <c r="I36" i="34"/>
  <c r="I47" i="34"/>
  <c r="I139" i="34"/>
  <c r="I178" i="34"/>
  <c r="I304" i="34"/>
  <c r="I243" i="34"/>
  <c r="I460" i="34"/>
  <c r="I554" i="34"/>
  <c r="I648" i="34"/>
  <c r="I492" i="34"/>
  <c r="I611" i="34"/>
  <c r="K63" i="34"/>
  <c r="M68" i="36" s="1"/>
  <c r="I666" i="34"/>
  <c r="I568" i="34"/>
  <c r="I675" i="34"/>
  <c r="I772" i="34"/>
  <c r="I862" i="34"/>
  <c r="I779" i="34"/>
  <c r="I868" i="34"/>
  <c r="I808" i="34"/>
  <c r="I729" i="34"/>
  <c r="I784" i="34"/>
  <c r="I904" i="34"/>
  <c r="I989" i="34"/>
  <c r="I12" i="35"/>
  <c r="I42" i="35"/>
  <c r="I56" i="35"/>
  <c r="K12" i="35"/>
  <c r="L17" i="36" s="1"/>
  <c r="I101" i="35"/>
  <c r="I148" i="35"/>
  <c r="I167" i="35"/>
  <c r="I296" i="35"/>
  <c r="I324" i="35"/>
  <c r="I443" i="35"/>
  <c r="I489" i="35"/>
  <c r="I359" i="35"/>
  <c r="I522" i="35"/>
  <c r="I460" i="35"/>
  <c r="I511" i="35"/>
  <c r="K53" i="35"/>
  <c r="L58" i="36" s="1"/>
  <c r="I568" i="35"/>
  <c r="I545" i="35"/>
  <c r="I502" i="35"/>
  <c r="I553" i="35"/>
  <c r="K66" i="35"/>
  <c r="L71" i="36" s="1"/>
  <c r="I641" i="35"/>
  <c r="I561" i="35"/>
  <c r="K58" i="35"/>
  <c r="L63" i="36" s="1"/>
  <c r="I633" i="35"/>
  <c r="I738" i="35"/>
  <c r="I639" i="35"/>
  <c r="I707" i="35"/>
  <c r="I890" i="35"/>
  <c r="I676" i="35"/>
  <c r="I730" i="35"/>
  <c r="K84" i="35"/>
  <c r="L89" i="36" s="1"/>
  <c r="I821" i="35"/>
  <c r="I787" i="35"/>
  <c r="I835" i="35"/>
  <c r="K89" i="35"/>
  <c r="L94" i="36" s="1"/>
  <c r="I871" i="35"/>
  <c r="I695" i="35"/>
  <c r="I910" i="35"/>
  <c r="I912" i="35"/>
  <c r="I971" i="35"/>
  <c r="K99" i="35"/>
  <c r="L104" i="36" s="1"/>
  <c r="I1001" i="35"/>
  <c r="K102" i="35"/>
  <c r="L107" i="36" s="1"/>
  <c r="I1004" i="36"/>
  <c r="I850" i="36"/>
  <c r="I698" i="36"/>
  <c r="I757" i="36"/>
  <c r="I617" i="36"/>
  <c r="I458" i="36"/>
  <c r="I403" i="36"/>
  <c r="I232" i="36"/>
  <c r="I160" i="36"/>
  <c r="I66" i="36"/>
  <c r="I907" i="36"/>
  <c r="I723" i="36"/>
  <c r="I692" i="36"/>
  <c r="I455" i="36"/>
  <c r="I289" i="36"/>
  <c r="I180" i="36"/>
  <c r="I159" i="36"/>
  <c r="I24" i="33"/>
  <c r="I51" i="33"/>
  <c r="K7" i="33"/>
  <c r="N12" i="36" s="1"/>
  <c r="I52" i="33"/>
  <c r="I78" i="33"/>
  <c r="I100" i="33"/>
  <c r="I129" i="33"/>
  <c r="I147" i="33"/>
  <c r="I168" i="33"/>
  <c r="I170" i="33"/>
  <c r="I238" i="33"/>
  <c r="I273" i="33"/>
  <c r="I320" i="33"/>
  <c r="I274" i="33"/>
  <c r="I387" i="33"/>
  <c r="I319" i="33"/>
  <c r="I336" i="33"/>
  <c r="I444" i="33"/>
  <c r="K50" i="33"/>
  <c r="N55" i="36" s="1"/>
  <c r="I481" i="33"/>
  <c r="I483" i="33"/>
  <c r="I533" i="33"/>
  <c r="I616" i="33"/>
  <c r="I599" i="33"/>
  <c r="I497" i="33"/>
  <c r="I564" i="33"/>
  <c r="I621" i="33"/>
  <c r="K64" i="33"/>
  <c r="N69" i="36" s="1"/>
  <c r="I664" i="33"/>
  <c r="I719" i="33"/>
  <c r="I787" i="33"/>
  <c r="I816" i="33"/>
  <c r="I893" i="33"/>
  <c r="I767" i="33"/>
  <c r="I832" i="33"/>
  <c r="I898" i="33"/>
  <c r="I836" i="33"/>
  <c r="I731" i="33"/>
  <c r="K75" i="33"/>
  <c r="N80" i="36" s="1"/>
  <c r="I804" i="33"/>
  <c r="I862" i="33"/>
  <c r="I909" i="33"/>
  <c r="I962" i="33"/>
  <c r="I914" i="33"/>
  <c r="I1005" i="33"/>
  <c r="I828" i="36"/>
  <c r="I783" i="36"/>
  <c r="I565" i="36"/>
  <c r="I448" i="36"/>
  <c r="I428" i="36"/>
  <c r="I379" i="36"/>
  <c r="I280" i="36"/>
  <c r="I157" i="36"/>
  <c r="I190" i="36"/>
  <c r="I81" i="36"/>
  <c r="K15" i="36"/>
  <c r="I815" i="36"/>
  <c r="I785" i="36"/>
  <c r="I680" i="36"/>
  <c r="I649" i="36"/>
  <c r="I552" i="36"/>
  <c r="I522" i="36"/>
  <c r="I263" i="36"/>
  <c r="I14" i="34"/>
  <c r="I15" i="34"/>
  <c r="K7" i="34"/>
  <c r="M12" i="36" s="1"/>
  <c r="I51" i="34"/>
  <c r="I69" i="34"/>
  <c r="I115" i="34"/>
  <c r="I127" i="34"/>
  <c r="I162" i="34"/>
  <c r="I195" i="34"/>
  <c r="I218" i="34"/>
  <c r="I255" i="34"/>
  <c r="I292" i="34"/>
  <c r="I262" i="34"/>
  <c r="I329" i="34"/>
  <c r="I348" i="34"/>
  <c r="I340" i="34"/>
  <c r="I432" i="34"/>
  <c r="I420" i="34"/>
  <c r="I370" i="34"/>
  <c r="I404" i="34"/>
  <c r="I513" i="34"/>
  <c r="I624" i="34"/>
  <c r="I499" i="34"/>
  <c r="I538" i="34"/>
  <c r="I482" i="34"/>
  <c r="I646" i="34"/>
  <c r="I596" i="34"/>
  <c r="I709" i="34"/>
  <c r="I652" i="34"/>
  <c r="I695" i="34"/>
  <c r="I756" i="34"/>
  <c r="I590" i="34"/>
  <c r="I745" i="34"/>
  <c r="I812" i="34"/>
  <c r="I694" i="34"/>
  <c r="I852" i="34"/>
  <c r="I939" i="34"/>
  <c r="I874" i="34"/>
  <c r="I758" i="34"/>
  <c r="I789" i="34"/>
  <c r="I910" i="34"/>
  <c r="I815" i="34"/>
  <c r="I919" i="34"/>
  <c r="I19" i="35"/>
  <c r="I31" i="35"/>
  <c r="K5" i="35"/>
  <c r="L10" i="36" s="1"/>
  <c r="I50" i="35"/>
  <c r="I48" i="35"/>
  <c r="I63" i="35"/>
  <c r="I107" i="35"/>
  <c r="I111" i="35"/>
  <c r="K13" i="35"/>
  <c r="L18" i="36" s="1"/>
  <c r="I140" i="35"/>
  <c r="I136" i="35"/>
  <c r="I134" i="35"/>
  <c r="K22" i="35"/>
  <c r="L27" i="36" s="1"/>
  <c r="I201" i="35"/>
  <c r="I170" i="35"/>
  <c r="I156" i="35"/>
  <c r="I227" i="35"/>
  <c r="I253" i="35"/>
  <c r="I378" i="35"/>
  <c r="K37" i="35"/>
  <c r="L42" i="36" s="1"/>
  <c r="I351" i="35"/>
  <c r="I340" i="35"/>
  <c r="I335" i="35"/>
  <c r="I507" i="35"/>
  <c r="I492" i="35"/>
  <c r="I584" i="35"/>
  <c r="I464" i="35"/>
  <c r="I590" i="35"/>
  <c r="I677" i="35"/>
  <c r="I666" i="35"/>
  <c r="I694" i="35"/>
  <c r="I603" i="35"/>
  <c r="I648" i="35"/>
  <c r="I691" i="35"/>
  <c r="K71" i="35"/>
  <c r="L76" i="36" s="1"/>
  <c r="I863" i="35"/>
  <c r="I923" i="35"/>
  <c r="I888" i="35"/>
  <c r="I795" i="35"/>
  <c r="I825" i="35"/>
  <c r="I708" i="35"/>
  <c r="I794" i="35"/>
  <c r="I944" i="35"/>
  <c r="I866" i="35"/>
  <c r="I747" i="35"/>
  <c r="I816" i="35"/>
  <c r="I891" i="35"/>
  <c r="K91" i="35"/>
  <c r="L96" i="36" s="1"/>
  <c r="I889" i="35"/>
  <c r="I1003" i="35"/>
  <c r="I908" i="35"/>
  <c r="I993" i="36"/>
  <c r="I910" i="36"/>
  <c r="I867" i="36"/>
  <c r="I869" i="36"/>
  <c r="I829" i="36"/>
  <c r="I739" i="36"/>
  <c r="I597" i="36"/>
  <c r="I354" i="36"/>
  <c r="I215" i="36"/>
  <c r="I997" i="36"/>
  <c r="I866" i="36"/>
  <c r="K93" i="36"/>
  <c r="I861" i="36"/>
  <c r="I823" i="36"/>
  <c r="I899" i="36"/>
  <c r="I708" i="36"/>
  <c r="I645" i="36"/>
  <c r="I593" i="36"/>
  <c r="I550" i="36"/>
  <c r="I342" i="36"/>
  <c r="I260" i="36"/>
  <c r="I60" i="36"/>
  <c r="I27" i="36"/>
  <c r="I43" i="33"/>
  <c r="I63" i="33"/>
  <c r="I95" i="33"/>
  <c r="I117" i="33"/>
  <c r="I191" i="33"/>
  <c r="K21" i="33"/>
  <c r="N26" i="36" s="1"/>
  <c r="I127" i="33"/>
  <c r="I174" i="33"/>
  <c r="I218" i="33"/>
  <c r="I247" i="33"/>
  <c r="I276" i="33"/>
  <c r="I315" i="33"/>
  <c r="I344" i="33"/>
  <c r="I367" i="33"/>
  <c r="K34" i="33"/>
  <c r="N39" i="36" s="1"/>
  <c r="I321" i="33"/>
  <c r="I350" i="33"/>
  <c r="I407" i="33"/>
  <c r="I493" i="33"/>
  <c r="I490" i="33"/>
  <c r="I498" i="33"/>
  <c r="I534" i="33"/>
  <c r="I617" i="33"/>
  <c r="I569" i="33"/>
  <c r="I618" i="33"/>
  <c r="I732" i="33"/>
  <c r="I754" i="33"/>
  <c r="I739" i="33"/>
  <c r="I693" i="33"/>
  <c r="I955" i="33"/>
  <c r="I839" i="33"/>
  <c r="I696" i="33"/>
  <c r="K93" i="33"/>
  <c r="N98" i="36" s="1"/>
  <c r="I911" i="33"/>
  <c r="I784" i="33"/>
  <c r="I842" i="33"/>
  <c r="I889" i="33"/>
  <c r="I807" i="33"/>
  <c r="I866" i="33"/>
  <c r="I938" i="33"/>
  <c r="I990" i="33"/>
  <c r="I965" i="36"/>
  <c r="I623" i="36"/>
  <c r="I594" i="36"/>
  <c r="I932" i="36"/>
  <c r="I894" i="36"/>
  <c r="I853" i="36"/>
  <c r="I744" i="36"/>
  <c r="I672" i="36"/>
  <c r="I673" i="36"/>
  <c r="I620" i="36"/>
  <c r="I329" i="36"/>
  <c r="I307" i="36"/>
  <c r="I298" i="36"/>
  <c r="I133" i="36"/>
  <c r="I54" i="36"/>
  <c r="I24" i="34"/>
  <c r="I54" i="34"/>
  <c r="I73" i="34"/>
  <c r="I129" i="34"/>
  <c r="I172" i="34"/>
  <c r="I192" i="34"/>
  <c r="I167" i="34"/>
  <c r="I373" i="34"/>
  <c r="I372" i="34"/>
  <c r="I353" i="34"/>
  <c r="I324" i="34"/>
  <c r="I384" i="34"/>
  <c r="I407" i="34"/>
  <c r="I469" i="34"/>
  <c r="I409" i="34"/>
  <c r="I525" i="34"/>
  <c r="I572" i="34"/>
  <c r="I549" i="34"/>
  <c r="I523" i="34"/>
  <c r="I580" i="34"/>
  <c r="I548" i="34"/>
  <c r="I734" i="34"/>
  <c r="I700" i="34"/>
  <c r="I801" i="34"/>
  <c r="K82" i="34"/>
  <c r="M87" i="36" s="1"/>
  <c r="I859" i="34"/>
  <c r="I836" i="34"/>
  <c r="I897" i="34"/>
  <c r="I839" i="34"/>
  <c r="I799" i="34"/>
  <c r="I987" i="34"/>
  <c r="I994" i="34"/>
  <c r="I980" i="34"/>
  <c r="K100" i="34"/>
  <c r="M105" i="36" s="1"/>
  <c r="I981" i="34"/>
  <c r="I22" i="35"/>
  <c r="I27" i="35"/>
  <c r="I118" i="35"/>
  <c r="I112" i="35"/>
  <c r="I164" i="35"/>
  <c r="I163" i="35"/>
  <c r="I206" i="35"/>
  <c r="I306" i="35"/>
  <c r="I256" i="35"/>
  <c r="I309" i="35"/>
  <c r="I414" i="35"/>
  <c r="I367" i="35"/>
  <c r="I304" i="35"/>
  <c r="I432" i="35"/>
  <c r="I389" i="35"/>
  <c r="I446" i="35"/>
  <c r="I462" i="35"/>
  <c r="I470" i="35"/>
  <c r="I524" i="35"/>
  <c r="I579" i="35"/>
  <c r="I468" i="35"/>
  <c r="I748" i="35"/>
  <c r="I608" i="35"/>
  <c r="I674" i="35"/>
  <c r="I729" i="35"/>
  <c r="I728" i="35"/>
  <c r="I696" i="35"/>
  <c r="I913" i="35"/>
  <c r="I902" i="35"/>
  <c r="I798" i="35"/>
  <c r="I775" i="35"/>
  <c r="I883" i="35"/>
  <c r="I950" i="35"/>
  <c r="I870" i="35"/>
  <c r="I993" i="35"/>
  <c r="I957" i="35"/>
  <c r="I808" i="36"/>
  <c r="I570" i="36"/>
  <c r="I376" i="36"/>
  <c r="I304" i="36"/>
  <c r="I290" i="36"/>
  <c r="I235" i="36"/>
  <c r="I154" i="36"/>
  <c r="I73" i="36"/>
  <c r="I1007" i="36"/>
  <c r="I846" i="36"/>
  <c r="I592" i="36"/>
  <c r="I568" i="36"/>
  <c r="K48" i="36"/>
  <c r="O48" i="36" s="1"/>
  <c r="I411" i="36"/>
  <c r="I383" i="36"/>
  <c r="I287" i="36"/>
  <c r="I179" i="36"/>
  <c r="I29" i="33"/>
  <c r="I119" i="33"/>
  <c r="I130" i="33"/>
  <c r="I138" i="33"/>
  <c r="I176" i="33"/>
  <c r="I178" i="33"/>
  <c r="I309" i="33"/>
  <c r="I253" i="33"/>
  <c r="I268" i="33"/>
  <c r="I392" i="33"/>
  <c r="I355" i="33"/>
  <c r="I372" i="33"/>
  <c r="I499" i="33"/>
  <c r="I522" i="33"/>
  <c r="I495" i="33"/>
  <c r="I629" i="33"/>
  <c r="I577" i="33"/>
  <c r="I736" i="33"/>
  <c r="I703" i="33"/>
  <c r="I845" i="33"/>
  <c r="I903" i="33"/>
  <c r="I786" i="33"/>
  <c r="I858" i="33"/>
  <c r="I916" i="33"/>
  <c r="I801" i="33"/>
  <c r="K82" i="33"/>
  <c r="N87" i="36" s="1"/>
  <c r="I852" i="33"/>
  <c r="I919" i="33"/>
  <c r="I992" i="33"/>
  <c r="I939" i="33"/>
  <c r="I970" i="33"/>
  <c r="I797" i="36"/>
  <c r="I461" i="36"/>
  <c r="K53" i="36"/>
  <c r="I524" i="36"/>
  <c r="I349" i="36"/>
  <c r="I243" i="36"/>
  <c r="K23" i="36"/>
  <c r="I161" i="36"/>
  <c r="I50" i="36"/>
  <c r="I874" i="36"/>
  <c r="I872" i="36"/>
  <c r="I714" i="36"/>
  <c r="I743" i="36"/>
  <c r="I750" i="36"/>
  <c r="I669" i="36"/>
  <c r="I394" i="36"/>
  <c r="I353" i="36"/>
  <c r="I360" i="36"/>
  <c r="I418" i="36"/>
  <c r="I266" i="36"/>
  <c r="I175" i="36"/>
  <c r="I189" i="36"/>
  <c r="I25" i="34"/>
  <c r="I99" i="34"/>
  <c r="I158" i="34"/>
  <c r="I173" i="34"/>
  <c r="I155" i="34"/>
  <c r="I168" i="34"/>
  <c r="I225" i="34"/>
  <c r="I230" i="34"/>
  <c r="I214" i="34"/>
  <c r="I268" i="34"/>
  <c r="I258" i="34"/>
  <c r="I305" i="34"/>
  <c r="I308" i="34"/>
  <c r="I386" i="34"/>
  <c r="I378" i="34"/>
  <c r="I422" i="34"/>
  <c r="I468" i="34"/>
  <c r="I534" i="34"/>
  <c r="I555" i="34"/>
  <c r="I491" i="34"/>
  <c r="K51" i="34"/>
  <c r="M56" i="36" s="1"/>
  <c r="I638" i="34"/>
  <c r="K67" i="34"/>
  <c r="M72" i="36" s="1"/>
  <c r="I651" i="34"/>
  <c r="I605" i="34"/>
  <c r="K65" i="34"/>
  <c r="M70" i="36" s="1"/>
  <c r="I631" i="34"/>
  <c r="I708" i="34"/>
  <c r="I763" i="34"/>
  <c r="I946" i="34"/>
  <c r="I821" i="34"/>
  <c r="K84" i="34"/>
  <c r="M89" i="36" s="1"/>
  <c r="I738" i="34"/>
  <c r="I934" i="34"/>
  <c r="I806" i="34"/>
  <c r="I830" i="34"/>
  <c r="I762" i="34"/>
  <c r="I797" i="34"/>
  <c r="I1002" i="34"/>
  <c r="I974" i="34"/>
  <c r="I982" i="34"/>
  <c r="I988" i="34"/>
  <c r="I15" i="35"/>
  <c r="I34" i="35"/>
  <c r="I45" i="35"/>
  <c r="I58" i="35"/>
  <c r="I89" i="35"/>
  <c r="I106" i="35"/>
  <c r="I145" i="35"/>
  <c r="I159" i="35"/>
  <c r="I177" i="35"/>
  <c r="I181" i="35"/>
  <c r="K20" i="35"/>
  <c r="L25" i="36" s="1"/>
  <c r="I311" i="35"/>
  <c r="K33" i="35"/>
  <c r="L38" i="36" s="1"/>
  <c r="I323" i="35"/>
  <c r="I354" i="35"/>
  <c r="I342" i="35"/>
  <c r="I392" i="35"/>
  <c r="I455" i="35"/>
  <c r="I433" i="35"/>
  <c r="I466" i="35"/>
  <c r="I412" i="35"/>
  <c r="I499" i="35"/>
  <c r="I557" i="35"/>
  <c r="I469" i="35"/>
  <c r="I630" i="35"/>
  <c r="I605" i="35"/>
  <c r="I647" i="35"/>
  <c r="I613" i="35"/>
  <c r="I715" i="35"/>
  <c r="I943" i="35"/>
  <c r="I847" i="35"/>
  <c r="I862" i="35"/>
  <c r="I947" i="35"/>
  <c r="I770" i="35"/>
  <c r="I880" i="35"/>
  <c r="I868" i="35"/>
  <c r="I849" i="35"/>
  <c r="I907" i="35"/>
  <c r="I806" i="35"/>
  <c r="I897" i="35"/>
  <c r="I988" i="35"/>
  <c r="I898" i="35"/>
  <c r="I952" i="35"/>
  <c r="I925" i="35"/>
  <c r="I984" i="35"/>
  <c r="I908" i="36"/>
  <c r="K94" i="36"/>
  <c r="I871" i="36"/>
  <c r="I912" i="36"/>
  <c r="I583" i="36"/>
  <c r="I733" i="36"/>
  <c r="I685" i="36"/>
  <c r="I606" i="36"/>
  <c r="I435" i="36"/>
  <c r="I337" i="36"/>
  <c r="I271" i="36"/>
  <c r="K34" i="36"/>
  <c r="I142" i="36"/>
  <c r="I762" i="36"/>
  <c r="I904" i="36"/>
  <c r="I655" i="36"/>
  <c r="I539" i="36"/>
  <c r="I595" i="36"/>
  <c r="I377" i="36"/>
  <c r="I335" i="36"/>
  <c r="I327" i="36"/>
  <c r="I135" i="36"/>
  <c r="I122" i="36"/>
  <c r="I25" i="33"/>
  <c r="I34" i="33"/>
  <c r="I71" i="33"/>
  <c r="K9" i="33"/>
  <c r="N14" i="36" s="1"/>
  <c r="I108" i="33"/>
  <c r="I145" i="33"/>
  <c r="I144" i="33"/>
  <c r="I200" i="33"/>
  <c r="K19" i="33"/>
  <c r="N24" i="36" s="1"/>
  <c r="I171" i="33"/>
  <c r="I229" i="33"/>
  <c r="I317" i="33"/>
  <c r="I289" i="33"/>
  <c r="I312" i="33"/>
  <c r="I383" i="33"/>
  <c r="I303" i="33"/>
  <c r="I313" i="33"/>
  <c r="I432" i="33"/>
  <c r="I395" i="33"/>
  <c r="I436" i="33"/>
  <c r="I480" i="33"/>
  <c r="I487" i="33"/>
  <c r="I638" i="33"/>
  <c r="I494" i="33"/>
  <c r="I525" i="33"/>
  <c r="I612" i="33"/>
  <c r="I606" i="33"/>
  <c r="I613" i="33"/>
  <c r="I620" i="33"/>
  <c r="I593" i="33"/>
  <c r="I734" i="33"/>
  <c r="I809" i="33"/>
  <c r="I861" i="33"/>
  <c r="K88" i="33"/>
  <c r="N93" i="36" s="1"/>
  <c r="I881" i="33"/>
  <c r="K90" i="33"/>
  <c r="N95" i="36" s="1"/>
  <c r="I959" i="33"/>
  <c r="I828" i="33"/>
  <c r="I817" i="33"/>
  <c r="I788" i="33"/>
  <c r="I965" i="33"/>
  <c r="I912" i="33"/>
  <c r="I1004" i="33"/>
  <c r="I1002" i="33"/>
  <c r="I851" i="36"/>
  <c r="K92" i="36"/>
  <c r="I813" i="36"/>
  <c r="I703" i="36"/>
  <c r="I643" i="36"/>
  <c r="I608" i="36"/>
  <c r="I380" i="36"/>
  <c r="O34" i="36" l="1"/>
  <c r="O92" i="36"/>
  <c r="O79" i="36"/>
  <c r="O83" i="36"/>
  <c r="O94" i="36"/>
  <c r="O33" i="36"/>
  <c r="O53" i="36"/>
  <c r="O62" i="36"/>
  <c r="O86" i="36"/>
  <c r="O75" i="36"/>
  <c r="O93" i="36"/>
  <c r="O87" i="36"/>
  <c r="O90" i="36"/>
  <c r="O72" i="36"/>
  <c r="O95" i="36"/>
  <c r="O76" i="36"/>
  <c r="O41" i="36"/>
  <c r="O82" i="36"/>
  <c r="O89" i="36"/>
  <c r="O102" i="36"/>
  <c r="O73" i="36"/>
  <c r="O50" i="36"/>
  <c r="O105" i="36"/>
  <c r="O37" i="36"/>
  <c r="O63" i="36"/>
  <c r="O98" i="36"/>
  <c r="O104" i="36"/>
  <c r="O61" i="36"/>
  <c r="O78" i="36"/>
  <c r="O36" i="36"/>
  <c r="O59" i="36"/>
  <c r="O56" i="36"/>
  <c r="O74" i="36"/>
  <c r="O64" i="36"/>
  <c r="O101" i="36"/>
  <c r="O60" i="36"/>
  <c r="O81" i="36"/>
  <c r="O46" i="36"/>
  <c r="O55" i="36"/>
  <c r="O45" i="36"/>
  <c r="O40" i="36"/>
  <c r="O32" i="36"/>
  <c r="O100" i="36"/>
  <c r="O88" i="36"/>
  <c r="O35" i="36"/>
  <c r="O96" i="36"/>
  <c r="O103" i="36"/>
  <c r="O91" i="36"/>
  <c r="O51" i="36"/>
  <c r="O52" i="36"/>
  <c r="O85" i="36"/>
  <c r="O58" i="36"/>
  <c r="O71" i="36"/>
  <c r="O65" i="36"/>
  <c r="O39" i="36"/>
  <c r="O69" i="36"/>
  <c r="O107" i="36"/>
  <c r="O84" i="36"/>
  <c r="O70" i="36"/>
  <c r="O49" i="36"/>
  <c r="O67" i="36"/>
  <c r="O66" i="36"/>
  <c r="O38" i="36"/>
  <c r="O42" i="36"/>
  <c r="O57" i="36"/>
  <c r="O97" i="36"/>
  <c r="O43" i="36"/>
  <c r="O99" i="36"/>
  <c r="O47" i="36"/>
  <c r="O80" i="36"/>
  <c r="O68" i="36"/>
  <c r="O106" i="36"/>
  <c r="O44" i="36"/>
  <c r="I49" i="9"/>
  <c r="G49" i="9" s="1"/>
  <c r="H10" i="36"/>
  <c r="C11" i="36"/>
  <c r="H9" i="33"/>
  <c r="C10" i="33"/>
  <c r="H9" i="34"/>
  <c r="C10" i="34"/>
  <c r="H9" i="35"/>
  <c r="C10" i="35"/>
  <c r="H10" i="33" l="1"/>
  <c r="C11" i="33"/>
  <c r="H49" i="9"/>
  <c r="J49" i="9"/>
  <c r="K49" i="9" s="1"/>
  <c r="H11" i="36"/>
  <c r="C12" i="36"/>
  <c r="H10" i="35"/>
  <c r="C11" i="35"/>
  <c r="H10" i="34"/>
  <c r="C11" i="34"/>
  <c r="I14" i="9" l="1"/>
  <c r="G14" i="9" s="1"/>
  <c r="H14" i="9" s="1"/>
  <c r="F7" i="26" s="1"/>
  <c r="H11" i="34"/>
  <c r="C12" i="34"/>
  <c r="H11" i="35"/>
  <c r="C12" i="35"/>
  <c r="L49" i="9"/>
  <c r="M49" i="9" s="1"/>
  <c r="N49" i="9" s="1"/>
  <c r="F42" i="31"/>
  <c r="F42" i="26"/>
  <c r="H11" i="33"/>
  <c r="C12" i="33"/>
  <c r="C13" i="36"/>
  <c r="H12" i="36"/>
  <c r="J14" i="9" l="1"/>
  <c r="K14" i="9" s="1"/>
  <c r="L14" i="9"/>
  <c r="M14" i="9" s="1"/>
  <c r="N14" i="9" s="1"/>
  <c r="C13" i="33"/>
  <c r="H12" i="33"/>
  <c r="C13" i="35"/>
  <c r="H12" i="35"/>
  <c r="C14" i="36"/>
  <c r="H13" i="36"/>
  <c r="C13" i="34"/>
  <c r="H12" i="34"/>
  <c r="C14" i="34" l="1"/>
  <c r="H13" i="34"/>
  <c r="C14" i="35"/>
  <c r="H13" i="35"/>
  <c r="C15" i="36"/>
  <c r="H14" i="36"/>
  <c r="C14" i="33"/>
  <c r="H13" i="33"/>
  <c r="C15" i="33" l="1"/>
  <c r="H14" i="33"/>
  <c r="C15" i="35"/>
  <c r="H14" i="35"/>
  <c r="C16" i="36"/>
  <c r="H15" i="36"/>
  <c r="C15" i="34"/>
  <c r="H14" i="34"/>
  <c r="C16" i="34" l="1"/>
  <c r="H15" i="34"/>
  <c r="C16" i="35"/>
  <c r="H15" i="35"/>
  <c r="C17" i="36"/>
  <c r="H16" i="36"/>
  <c r="C16" i="33"/>
  <c r="H15" i="33"/>
  <c r="C17" i="35" l="1"/>
  <c r="H16" i="35"/>
  <c r="C17" i="33"/>
  <c r="H16" i="33"/>
  <c r="C18" i="36"/>
  <c r="H17" i="36"/>
  <c r="C17" i="34"/>
  <c r="H16" i="34"/>
  <c r="C18" i="33" l="1"/>
  <c r="H17" i="33"/>
  <c r="C18" i="34"/>
  <c r="H17" i="34"/>
  <c r="C19" i="36"/>
  <c r="H18" i="36"/>
  <c r="C18" i="35"/>
  <c r="H17" i="35"/>
  <c r="C19" i="35" l="1"/>
  <c r="H18" i="35"/>
  <c r="C19" i="34"/>
  <c r="H18" i="34"/>
  <c r="C20" i="36"/>
  <c r="H19" i="36"/>
  <c r="C19" i="33"/>
  <c r="H18" i="33"/>
  <c r="C20" i="33" l="1"/>
  <c r="H19" i="33"/>
  <c r="C20" i="34"/>
  <c r="H19" i="34"/>
  <c r="C21" i="36"/>
  <c r="H20" i="36"/>
  <c r="C20" i="35"/>
  <c r="H19" i="35"/>
  <c r="C21" i="34" l="1"/>
  <c r="H20" i="34"/>
  <c r="C21" i="35"/>
  <c r="H20" i="35"/>
  <c r="C22" i="36"/>
  <c r="H21" i="36"/>
  <c r="C21" i="33"/>
  <c r="H20" i="33"/>
  <c r="C22" i="33" l="1"/>
  <c r="H21" i="33"/>
  <c r="C22" i="35"/>
  <c r="H21" i="35"/>
  <c r="C23" i="36"/>
  <c r="H22" i="36"/>
  <c r="C22" i="34"/>
  <c r="H21" i="34"/>
  <c r="C23" i="34" l="1"/>
  <c r="H22" i="34"/>
  <c r="C23" i="35"/>
  <c r="H22" i="35"/>
  <c r="C24" i="36"/>
  <c r="H23" i="36"/>
  <c r="C23" i="33"/>
  <c r="H22" i="33"/>
  <c r="C24" i="33" l="1"/>
  <c r="H23" i="33"/>
  <c r="C24" i="35"/>
  <c r="H23" i="35"/>
  <c r="C25" i="36"/>
  <c r="H24" i="36"/>
  <c r="C24" i="34"/>
  <c r="H23" i="34"/>
  <c r="C25" i="35" l="1"/>
  <c r="H24" i="35"/>
  <c r="C25" i="34"/>
  <c r="H24" i="34"/>
  <c r="C26" i="36"/>
  <c r="H25" i="36"/>
  <c r="C25" i="33"/>
  <c r="H24" i="33"/>
  <c r="C26" i="33" l="1"/>
  <c r="H25" i="33"/>
  <c r="C27" i="36"/>
  <c r="H26" i="36"/>
  <c r="C26" i="34"/>
  <c r="H25" i="34"/>
  <c r="C26" i="35"/>
  <c r="H25" i="35"/>
  <c r="C27" i="35" l="1"/>
  <c r="H26" i="35"/>
  <c r="C28" i="36"/>
  <c r="H27" i="36"/>
  <c r="C27" i="34"/>
  <c r="H26" i="34"/>
  <c r="C27" i="33"/>
  <c r="H26" i="33"/>
  <c r="C28" i="33" l="1"/>
  <c r="H27" i="33"/>
  <c r="C29" i="36"/>
  <c r="H28" i="36"/>
  <c r="C28" i="34"/>
  <c r="H27" i="34"/>
  <c r="C28" i="35"/>
  <c r="H27" i="35"/>
  <c r="C29" i="35" l="1"/>
  <c r="H28" i="35"/>
  <c r="C30" i="36"/>
  <c r="H29" i="36"/>
  <c r="C29" i="34"/>
  <c r="H28" i="34"/>
  <c r="C29" i="33"/>
  <c r="H28" i="33"/>
  <c r="C30" i="33" l="1"/>
  <c r="H29" i="33"/>
  <c r="C31" i="36"/>
  <c r="H30" i="36"/>
  <c r="C30" i="34"/>
  <c r="H29" i="34"/>
  <c r="C30" i="35"/>
  <c r="H29" i="35"/>
  <c r="C31" i="35" l="1"/>
  <c r="H30" i="35"/>
  <c r="C32" i="36"/>
  <c r="H31" i="36"/>
  <c r="C31" i="34"/>
  <c r="H30" i="34"/>
  <c r="C31" i="33"/>
  <c r="H30" i="33"/>
  <c r="C32" i="33" l="1"/>
  <c r="H31" i="33"/>
  <c r="C33" i="36"/>
  <c r="H32" i="36"/>
  <c r="C32" i="34"/>
  <c r="H31" i="34"/>
  <c r="C32" i="35"/>
  <c r="H31" i="35"/>
  <c r="C34" i="36" l="1"/>
  <c r="H33" i="36"/>
  <c r="C33" i="35"/>
  <c r="H32" i="35"/>
  <c r="C33" i="34"/>
  <c r="H32" i="34"/>
  <c r="C33" i="33"/>
  <c r="H32" i="33"/>
  <c r="C34" i="35" l="1"/>
  <c r="H33" i="35"/>
  <c r="C34" i="33"/>
  <c r="H33" i="33"/>
  <c r="C34" i="34"/>
  <c r="H33" i="34"/>
  <c r="C35" i="36"/>
  <c r="H34" i="36"/>
  <c r="C36" i="36" l="1"/>
  <c r="H35" i="36"/>
  <c r="C35" i="33"/>
  <c r="H34" i="33"/>
  <c r="C35" i="34"/>
  <c r="H34" i="34"/>
  <c r="C35" i="35"/>
  <c r="H34" i="35"/>
  <c r="C36" i="35" l="1"/>
  <c r="H35" i="35"/>
  <c r="C36" i="33"/>
  <c r="H35" i="33"/>
  <c r="C36" i="34"/>
  <c r="H35" i="34"/>
  <c r="C37" i="36"/>
  <c r="H36" i="36"/>
  <c r="C38" i="36" l="1"/>
  <c r="H37" i="36"/>
  <c r="C37" i="33"/>
  <c r="H36" i="33"/>
  <c r="C37" i="34"/>
  <c r="H36" i="34"/>
  <c r="C37" i="35"/>
  <c r="H36" i="35"/>
  <c r="C38" i="35" l="1"/>
  <c r="H37" i="35"/>
  <c r="C38" i="33"/>
  <c r="H37" i="33"/>
  <c r="C38" i="34"/>
  <c r="H37" i="34"/>
  <c r="C39" i="36"/>
  <c r="H38" i="36"/>
  <c r="C40" i="36" l="1"/>
  <c r="H39" i="36"/>
  <c r="C39" i="33"/>
  <c r="H38" i="33"/>
  <c r="C39" i="34"/>
  <c r="H38" i="34"/>
  <c r="C39" i="35"/>
  <c r="H38" i="35"/>
  <c r="C40" i="35" l="1"/>
  <c r="H39" i="35"/>
  <c r="C40" i="33"/>
  <c r="H39" i="33"/>
  <c r="C40" i="34"/>
  <c r="H39" i="34"/>
  <c r="C41" i="36"/>
  <c r="H40" i="36"/>
  <c r="C42" i="36" l="1"/>
  <c r="H41" i="36"/>
  <c r="C41" i="33"/>
  <c r="H40" i="33"/>
  <c r="C41" i="34"/>
  <c r="H40" i="34"/>
  <c r="C41" i="35"/>
  <c r="H40" i="35"/>
  <c r="C42" i="33" l="1"/>
  <c r="H41" i="33"/>
  <c r="C42" i="35"/>
  <c r="H41" i="35"/>
  <c r="C42" i="34"/>
  <c r="H41" i="34"/>
  <c r="C43" i="36"/>
  <c r="H42" i="36"/>
  <c r="C44" i="36" l="1"/>
  <c r="H43" i="36"/>
  <c r="C43" i="35"/>
  <c r="H42" i="35"/>
  <c r="C43" i="34"/>
  <c r="H42" i="34"/>
  <c r="C43" i="33"/>
  <c r="H42" i="33"/>
  <c r="C44" i="33" l="1"/>
  <c r="H43" i="33"/>
  <c r="C44" i="34"/>
  <c r="H43" i="34"/>
  <c r="C45" i="36"/>
  <c r="H44" i="36"/>
  <c r="C44" i="35"/>
  <c r="H43" i="35"/>
  <c r="C45" i="35" l="1"/>
  <c r="H44" i="35"/>
  <c r="C46" i="36"/>
  <c r="H45" i="36"/>
  <c r="C45" i="34"/>
  <c r="H44" i="34"/>
  <c r="C45" i="33"/>
  <c r="H44" i="33"/>
  <c r="C46" i="33" l="1"/>
  <c r="H45" i="33"/>
  <c r="C47" i="36"/>
  <c r="H46" i="36"/>
  <c r="C46" i="34"/>
  <c r="H45" i="34"/>
  <c r="C46" i="35"/>
  <c r="H45" i="35"/>
  <c r="C48" i="36" l="1"/>
  <c r="H47" i="36"/>
  <c r="C47" i="35"/>
  <c r="H46" i="35"/>
  <c r="C47" i="34"/>
  <c r="H46" i="34"/>
  <c r="C47" i="33"/>
  <c r="H46" i="33"/>
  <c r="C48" i="33" l="1"/>
  <c r="H47" i="33"/>
  <c r="C48" i="35"/>
  <c r="H47" i="35"/>
  <c r="C48" i="34"/>
  <c r="H47" i="34"/>
  <c r="C49" i="36"/>
  <c r="H48" i="36"/>
  <c r="C49" i="35" l="1"/>
  <c r="H48" i="35"/>
  <c r="C50" i="36"/>
  <c r="H49" i="36"/>
  <c r="C49" i="34"/>
  <c r="H48" i="34"/>
  <c r="C49" i="33"/>
  <c r="H48" i="33"/>
  <c r="C50" i="33" l="1"/>
  <c r="H49" i="33"/>
  <c r="C51" i="36"/>
  <c r="H50" i="36"/>
  <c r="C50" i="34"/>
  <c r="H49" i="34"/>
  <c r="C50" i="35"/>
  <c r="H49" i="35"/>
  <c r="C51" i="35" l="1"/>
  <c r="H50" i="35"/>
  <c r="C51" i="34"/>
  <c r="H50" i="34"/>
  <c r="C52" i="36"/>
  <c r="H51" i="36"/>
  <c r="C51" i="33"/>
  <c r="H50" i="33"/>
  <c r="C52" i="34" l="1"/>
  <c r="H51" i="34"/>
  <c r="C52" i="33"/>
  <c r="H51" i="33"/>
  <c r="C53" i="36"/>
  <c r="H52" i="36"/>
  <c r="C52" i="35"/>
  <c r="H51" i="35"/>
  <c r="C53" i="33" l="1"/>
  <c r="H52" i="33"/>
  <c r="C53" i="35"/>
  <c r="H52" i="35"/>
  <c r="C54" i="36"/>
  <c r="H53" i="36"/>
  <c r="C53" i="34"/>
  <c r="H52" i="34"/>
  <c r="C54" i="34" l="1"/>
  <c r="H53" i="34"/>
  <c r="C54" i="35"/>
  <c r="H53" i="35"/>
  <c r="C55" i="36"/>
  <c r="H54" i="36"/>
  <c r="C54" i="33"/>
  <c r="H53" i="33"/>
  <c r="C55" i="35" l="1"/>
  <c r="H54" i="35"/>
  <c r="C55" i="33"/>
  <c r="H54" i="33"/>
  <c r="C56" i="36"/>
  <c r="H55" i="36"/>
  <c r="C55" i="34"/>
  <c r="H54" i="34"/>
  <c r="C56" i="33" l="1"/>
  <c r="H55" i="33"/>
  <c r="C56" i="34"/>
  <c r="H55" i="34"/>
  <c r="C57" i="36"/>
  <c r="H56" i="36"/>
  <c r="C56" i="35"/>
  <c r="H55" i="35"/>
  <c r="C57" i="34" l="1"/>
  <c r="H56" i="34"/>
  <c r="C57" i="35"/>
  <c r="H56" i="35"/>
  <c r="C58" i="36"/>
  <c r="H57" i="36"/>
  <c r="C57" i="33"/>
  <c r="H56" i="33"/>
  <c r="C58" i="33" l="1"/>
  <c r="H57" i="33"/>
  <c r="C58" i="35"/>
  <c r="H57" i="35"/>
  <c r="C59" i="36"/>
  <c r="H58" i="36"/>
  <c r="C58" i="34"/>
  <c r="H57" i="34"/>
  <c r="C59" i="34" l="1"/>
  <c r="H58" i="34"/>
  <c r="C59" i="35"/>
  <c r="H58" i="35"/>
  <c r="C60" i="36"/>
  <c r="H59" i="36"/>
  <c r="C59" i="33"/>
  <c r="H58" i="33"/>
  <c r="C60" i="33" l="1"/>
  <c r="H59" i="33"/>
  <c r="C60" i="35"/>
  <c r="H59" i="35"/>
  <c r="C61" i="36"/>
  <c r="H60" i="36"/>
  <c r="C60" i="34"/>
  <c r="H59" i="34"/>
  <c r="C61" i="34" l="1"/>
  <c r="H60" i="34"/>
  <c r="C61" i="35"/>
  <c r="H60" i="35"/>
  <c r="C62" i="36"/>
  <c r="H61" i="36"/>
  <c r="C61" i="33"/>
  <c r="H60" i="33"/>
  <c r="C62" i="33" l="1"/>
  <c r="H61" i="33"/>
  <c r="C62" i="35"/>
  <c r="H61" i="35"/>
  <c r="C63" i="36"/>
  <c r="H62" i="36"/>
  <c r="C62" i="34"/>
  <c r="H61" i="34"/>
  <c r="C63" i="34" l="1"/>
  <c r="H62" i="34"/>
  <c r="C63" i="35"/>
  <c r="H62" i="35"/>
  <c r="C64" i="36"/>
  <c r="H63" i="36"/>
  <c r="C63" i="33"/>
  <c r="H62" i="33"/>
  <c r="C64" i="35" l="1"/>
  <c r="H63" i="35"/>
  <c r="C64" i="33"/>
  <c r="H63" i="33"/>
  <c r="C65" i="36"/>
  <c r="H64" i="36"/>
  <c r="C64" i="34"/>
  <c r="H63" i="34"/>
  <c r="C65" i="33" l="1"/>
  <c r="H64" i="33"/>
  <c r="C65" i="34"/>
  <c r="H64" i="34"/>
  <c r="C66" i="36"/>
  <c r="H65" i="36"/>
  <c r="C65" i="35"/>
  <c r="H64" i="35"/>
  <c r="C66" i="34" l="1"/>
  <c r="H65" i="34"/>
  <c r="C66" i="35"/>
  <c r="H65" i="35"/>
  <c r="C67" i="36"/>
  <c r="H66" i="36"/>
  <c r="C66" i="33"/>
  <c r="H65" i="33"/>
  <c r="C67" i="35" l="1"/>
  <c r="H66" i="35"/>
  <c r="C67" i="33"/>
  <c r="H66" i="33"/>
  <c r="C68" i="36"/>
  <c r="H67" i="36"/>
  <c r="C67" i="34"/>
  <c r="H66" i="34"/>
  <c r="C68" i="34" l="1"/>
  <c r="H67" i="34"/>
  <c r="C68" i="33"/>
  <c r="H67" i="33"/>
  <c r="C69" i="36"/>
  <c r="H68" i="36"/>
  <c r="C68" i="35"/>
  <c r="H67" i="35"/>
  <c r="C69" i="33" l="1"/>
  <c r="H68" i="33"/>
  <c r="C69" i="35"/>
  <c r="H68" i="35"/>
  <c r="C70" i="36"/>
  <c r="H69" i="36"/>
  <c r="C69" i="34"/>
  <c r="H68" i="34"/>
  <c r="C70" i="34" l="1"/>
  <c r="H69" i="34"/>
  <c r="C70" i="35"/>
  <c r="H69" i="35"/>
  <c r="C71" i="36"/>
  <c r="H70" i="36"/>
  <c r="C70" i="33"/>
  <c r="H69" i="33"/>
  <c r="C71" i="33" l="1"/>
  <c r="H70" i="33"/>
  <c r="C71" i="35"/>
  <c r="H70" i="35"/>
  <c r="C72" i="36"/>
  <c r="H71" i="36"/>
  <c r="C71" i="34"/>
  <c r="H70" i="34"/>
  <c r="C72" i="34" l="1"/>
  <c r="H71" i="34"/>
  <c r="C72" i="35"/>
  <c r="H71" i="35"/>
  <c r="C73" i="36"/>
  <c r="H72" i="36"/>
  <c r="C72" i="33"/>
  <c r="H71" i="33"/>
  <c r="C73" i="35" l="1"/>
  <c r="H72" i="35"/>
  <c r="C73" i="33"/>
  <c r="H72" i="33"/>
  <c r="C74" i="36"/>
  <c r="H73" i="36"/>
  <c r="C73" i="34"/>
  <c r="H72" i="34"/>
  <c r="C74" i="34" l="1"/>
  <c r="H73" i="34"/>
  <c r="C75" i="36"/>
  <c r="H74" i="36"/>
  <c r="C74" i="33"/>
  <c r="H73" i="33"/>
  <c r="C74" i="35"/>
  <c r="H73" i="35"/>
  <c r="C75" i="35" l="1"/>
  <c r="H74" i="35"/>
  <c r="C76" i="36"/>
  <c r="H75" i="36"/>
  <c r="C75" i="33"/>
  <c r="H74" i="33"/>
  <c r="C75" i="34"/>
  <c r="H74" i="34"/>
  <c r="C76" i="34" l="1"/>
  <c r="H75" i="34"/>
  <c r="C77" i="36"/>
  <c r="H76" i="36"/>
  <c r="C76" i="33"/>
  <c r="H75" i="33"/>
  <c r="C76" i="35"/>
  <c r="H75" i="35"/>
  <c r="C77" i="35" l="1"/>
  <c r="H76" i="35"/>
  <c r="C78" i="36"/>
  <c r="H77" i="36"/>
  <c r="C77" i="33"/>
  <c r="H76" i="33"/>
  <c r="C77" i="34"/>
  <c r="H76" i="34"/>
  <c r="C78" i="34" l="1"/>
  <c r="H77" i="34"/>
  <c r="C79" i="36"/>
  <c r="H78" i="36"/>
  <c r="C78" i="33"/>
  <c r="H77" i="33"/>
  <c r="C78" i="35"/>
  <c r="H77" i="35"/>
  <c r="C79" i="35" l="1"/>
  <c r="H78" i="35"/>
  <c r="C80" i="36"/>
  <c r="H79" i="36"/>
  <c r="C79" i="33"/>
  <c r="H78" i="33"/>
  <c r="C79" i="34"/>
  <c r="H78" i="34"/>
  <c r="C81" i="36" l="1"/>
  <c r="H80" i="36"/>
  <c r="C80" i="34"/>
  <c r="H79" i="34"/>
  <c r="C80" i="33"/>
  <c r="H79" i="33"/>
  <c r="C80" i="35"/>
  <c r="H79" i="35"/>
  <c r="C81" i="33" l="1"/>
  <c r="H80" i="33"/>
  <c r="C81" i="35"/>
  <c r="H80" i="35"/>
  <c r="C81" i="34"/>
  <c r="H80" i="34"/>
  <c r="C82" i="36"/>
  <c r="H81" i="36"/>
  <c r="C82" i="35" l="1"/>
  <c r="H81" i="35"/>
  <c r="C83" i="36"/>
  <c r="H82" i="36"/>
  <c r="C82" i="34"/>
  <c r="H81" i="34"/>
  <c r="C82" i="33"/>
  <c r="H81" i="33"/>
  <c r="C83" i="33" l="1"/>
  <c r="H82" i="33"/>
  <c r="C84" i="36"/>
  <c r="H83" i="36"/>
  <c r="C83" i="34"/>
  <c r="H82" i="34"/>
  <c r="C83" i="35"/>
  <c r="H82" i="35"/>
  <c r="C84" i="35" l="1"/>
  <c r="H83" i="35"/>
  <c r="C85" i="36"/>
  <c r="H84" i="36"/>
  <c r="C84" i="34"/>
  <c r="H83" i="34"/>
  <c r="C84" i="33"/>
  <c r="H83" i="33"/>
  <c r="C85" i="33" l="1"/>
  <c r="H84" i="33"/>
  <c r="C86" i="36"/>
  <c r="H85" i="36"/>
  <c r="C85" i="34"/>
  <c r="H84" i="34"/>
  <c r="C85" i="35"/>
  <c r="H84" i="35"/>
  <c r="C86" i="35" l="1"/>
  <c r="H85" i="35"/>
  <c r="C87" i="36"/>
  <c r="H86" i="36"/>
  <c r="C86" i="34"/>
  <c r="H85" i="34"/>
  <c r="C86" i="33"/>
  <c r="H85" i="33"/>
  <c r="C87" i="33" l="1"/>
  <c r="H86" i="33"/>
  <c r="C88" i="36"/>
  <c r="H87" i="36"/>
  <c r="C87" i="34"/>
  <c r="H86" i="34"/>
  <c r="C87" i="35"/>
  <c r="H86" i="35"/>
  <c r="C88" i="35" l="1"/>
  <c r="H87" i="35"/>
  <c r="C89" i="36"/>
  <c r="H88" i="36"/>
  <c r="C88" i="34"/>
  <c r="H87" i="34"/>
  <c r="C88" i="33"/>
  <c r="H87" i="33"/>
  <c r="C89" i="33" l="1"/>
  <c r="H88" i="33"/>
  <c r="C90" i="36"/>
  <c r="H89" i="36"/>
  <c r="C89" i="34"/>
  <c r="H88" i="34"/>
  <c r="C89" i="35"/>
  <c r="H88" i="35"/>
  <c r="C91" i="36" l="1"/>
  <c r="H90" i="36"/>
  <c r="C90" i="35"/>
  <c r="H89" i="35"/>
  <c r="C90" i="34"/>
  <c r="H89" i="34"/>
  <c r="C90" i="33"/>
  <c r="H89" i="33"/>
  <c r="C91" i="35" l="1"/>
  <c r="H90" i="35"/>
  <c r="C91" i="33"/>
  <c r="H90" i="33"/>
  <c r="C91" i="34"/>
  <c r="H90" i="34"/>
  <c r="C92" i="36"/>
  <c r="H91" i="36"/>
  <c r="C92" i="33" l="1"/>
  <c r="H91" i="33"/>
  <c r="C93" i="36"/>
  <c r="H92" i="36"/>
  <c r="C92" i="34"/>
  <c r="H91" i="34"/>
  <c r="C92" i="35"/>
  <c r="H91" i="35"/>
  <c r="C94" i="36" l="1"/>
  <c r="H93" i="36"/>
  <c r="C93" i="35"/>
  <c r="H92" i="35"/>
  <c r="C93" i="34"/>
  <c r="H92" i="34"/>
  <c r="C93" i="33"/>
  <c r="H92" i="33"/>
  <c r="C94" i="35" l="1"/>
  <c r="H93" i="35"/>
  <c r="C94" i="33"/>
  <c r="H93" i="33"/>
  <c r="C94" i="34"/>
  <c r="H93" i="34"/>
  <c r="C95" i="36"/>
  <c r="H94" i="36"/>
  <c r="C96" i="36" l="1"/>
  <c r="H95" i="36"/>
  <c r="C95" i="33"/>
  <c r="H94" i="33"/>
  <c r="C95" i="34"/>
  <c r="H94" i="34"/>
  <c r="C95" i="35"/>
  <c r="H94" i="35"/>
  <c r="C96" i="35" l="1"/>
  <c r="H95" i="35"/>
  <c r="C96" i="33"/>
  <c r="H95" i="33"/>
  <c r="C96" i="34"/>
  <c r="H95" i="34"/>
  <c r="C97" i="36"/>
  <c r="H96" i="36"/>
  <c r="C97" i="33" l="1"/>
  <c r="H96" i="33"/>
  <c r="C98" i="36"/>
  <c r="H97" i="36"/>
  <c r="C97" i="34"/>
  <c r="H96" i="34"/>
  <c r="C97" i="35"/>
  <c r="H96" i="35"/>
  <c r="C98" i="35" l="1"/>
  <c r="H97" i="35"/>
  <c r="C99" i="36"/>
  <c r="H98" i="36"/>
  <c r="C98" i="34"/>
  <c r="H97" i="34"/>
  <c r="C98" i="33"/>
  <c r="H97" i="33"/>
  <c r="C99" i="33" l="1"/>
  <c r="H98" i="33"/>
  <c r="C100" i="36"/>
  <c r="H99" i="36"/>
  <c r="C99" i="34"/>
  <c r="H98" i="34"/>
  <c r="C99" i="35"/>
  <c r="H98" i="35"/>
  <c r="C100" i="35" l="1"/>
  <c r="H99" i="35"/>
  <c r="C101" i="36"/>
  <c r="H100" i="36"/>
  <c r="C100" i="34"/>
  <c r="H99" i="34"/>
  <c r="C100" i="33"/>
  <c r="H99" i="33"/>
  <c r="C102" i="36" l="1"/>
  <c r="H101" i="36"/>
  <c r="C101" i="33"/>
  <c r="H100" i="33"/>
  <c r="C101" i="34"/>
  <c r="H100" i="34"/>
  <c r="C101" i="35"/>
  <c r="H100" i="35"/>
  <c r="C102" i="35" l="1"/>
  <c r="H101" i="35"/>
  <c r="C102" i="33"/>
  <c r="H101" i="33"/>
  <c r="C102" i="34"/>
  <c r="H101" i="34"/>
  <c r="C103" i="36"/>
  <c r="H102" i="36"/>
  <c r="C104" i="36" l="1"/>
  <c r="H103" i="36"/>
  <c r="C103" i="33"/>
  <c r="H102" i="33"/>
  <c r="C103" i="34"/>
  <c r="H102" i="34"/>
  <c r="C103" i="35"/>
  <c r="H102" i="35"/>
  <c r="C104" i="33" l="1"/>
  <c r="H103" i="33"/>
  <c r="C104" i="35"/>
  <c r="H103" i="35"/>
  <c r="C104" i="34"/>
  <c r="H103" i="34"/>
  <c r="C105" i="36"/>
  <c r="H104" i="36"/>
  <c r="C106" i="36" l="1"/>
  <c r="H105" i="36"/>
  <c r="C105" i="35"/>
  <c r="H104" i="35"/>
  <c r="C105" i="34"/>
  <c r="H104" i="34"/>
  <c r="C105" i="33"/>
  <c r="H104" i="33"/>
  <c r="C106" i="33" l="1"/>
  <c r="H105" i="33"/>
  <c r="C106" i="35"/>
  <c r="H105" i="35"/>
  <c r="C106" i="34"/>
  <c r="H105" i="34"/>
  <c r="C107" i="36"/>
  <c r="H106" i="36"/>
  <c r="C108" i="36" l="1"/>
  <c r="H107" i="36"/>
  <c r="C107" i="35"/>
  <c r="H106" i="35"/>
  <c r="C107" i="34"/>
  <c r="H106" i="34"/>
  <c r="C107" i="33"/>
  <c r="H106" i="33"/>
  <c r="C108" i="35" l="1"/>
  <c r="H107" i="35"/>
  <c r="C108" i="33"/>
  <c r="H107" i="33"/>
  <c r="C108" i="34"/>
  <c r="H107" i="34"/>
  <c r="C109" i="36"/>
  <c r="H108" i="36"/>
  <c r="C109" i="33" l="1"/>
  <c r="H108" i="33"/>
  <c r="C110" i="36"/>
  <c r="H109" i="36"/>
  <c r="C109" i="34"/>
  <c r="H108" i="34"/>
  <c r="C109" i="35"/>
  <c r="H108" i="35"/>
  <c r="C111" i="36" l="1"/>
  <c r="H110" i="36"/>
  <c r="C110" i="35"/>
  <c r="H109" i="35"/>
  <c r="C110" i="34"/>
  <c r="H109" i="34"/>
  <c r="C110" i="33"/>
  <c r="H109" i="33"/>
  <c r="C111" i="33" l="1"/>
  <c r="H110" i="33"/>
  <c r="C111" i="35"/>
  <c r="H110" i="35"/>
  <c r="C111" i="34"/>
  <c r="H110" i="34"/>
  <c r="C112" i="36"/>
  <c r="H111" i="36"/>
  <c r="C113" i="36" l="1"/>
  <c r="H112" i="36"/>
  <c r="C112" i="34"/>
  <c r="H111" i="34"/>
  <c r="C112" i="35"/>
  <c r="H111" i="35"/>
  <c r="C112" i="33"/>
  <c r="H111" i="33"/>
  <c r="C113" i="34" l="1"/>
  <c r="H112" i="34"/>
  <c r="C113" i="33"/>
  <c r="H112" i="33"/>
  <c r="C113" i="35"/>
  <c r="H112" i="35"/>
  <c r="C114" i="36"/>
  <c r="H113" i="36"/>
  <c r="C115" i="36" l="1"/>
  <c r="H114" i="36"/>
  <c r="C114" i="33"/>
  <c r="H113" i="33"/>
  <c r="C114" i="35"/>
  <c r="H113" i="35"/>
  <c r="C114" i="34"/>
  <c r="H113" i="34"/>
  <c r="C115" i="33" l="1"/>
  <c r="H114" i="33"/>
  <c r="C115" i="34"/>
  <c r="H114" i="34"/>
  <c r="C115" i="35"/>
  <c r="H114" i="35"/>
  <c r="C116" i="36"/>
  <c r="H115" i="36"/>
  <c r="C116" i="34" l="1"/>
  <c r="H115" i="34"/>
  <c r="C117" i="36"/>
  <c r="H116" i="36"/>
  <c r="C116" i="35"/>
  <c r="H115" i="35"/>
  <c r="C116" i="33"/>
  <c r="H115" i="33"/>
  <c r="C117" i="33" l="1"/>
  <c r="H116" i="33"/>
  <c r="C118" i="36"/>
  <c r="H117" i="36"/>
  <c r="C117" i="35"/>
  <c r="H116" i="35"/>
  <c r="C117" i="34"/>
  <c r="H116" i="34"/>
  <c r="C119" i="36" l="1"/>
  <c r="H118" i="36"/>
  <c r="C118" i="34"/>
  <c r="H117" i="34"/>
  <c r="C118" i="35"/>
  <c r="H117" i="35"/>
  <c r="C118" i="33"/>
  <c r="H117" i="33"/>
  <c r="C119" i="33" l="1"/>
  <c r="H118" i="33"/>
  <c r="C119" i="34"/>
  <c r="H118" i="34"/>
  <c r="C119" i="35"/>
  <c r="H118" i="35"/>
  <c r="C120" i="36"/>
  <c r="H119" i="36"/>
  <c r="C121" i="36" l="1"/>
  <c r="H120" i="36"/>
  <c r="C120" i="34"/>
  <c r="H119" i="34"/>
  <c r="C120" i="35"/>
  <c r="H119" i="35"/>
  <c r="C120" i="33"/>
  <c r="H119" i="33"/>
  <c r="C121" i="33" l="1"/>
  <c r="H120" i="33"/>
  <c r="C121" i="34"/>
  <c r="H120" i="34"/>
  <c r="C121" i="35"/>
  <c r="H120" i="35"/>
  <c r="C122" i="36"/>
  <c r="H121" i="36"/>
  <c r="C122" i="34" l="1"/>
  <c r="H121" i="34"/>
  <c r="C123" i="36"/>
  <c r="H122" i="36"/>
  <c r="C122" i="35"/>
  <c r="H121" i="35"/>
  <c r="C122" i="33"/>
  <c r="H121" i="33"/>
  <c r="C123" i="33" l="1"/>
  <c r="H122" i="33"/>
  <c r="C124" i="36"/>
  <c r="H123" i="36"/>
  <c r="C123" i="35"/>
  <c r="H122" i="35"/>
  <c r="C123" i="34"/>
  <c r="H122" i="34"/>
  <c r="C125" i="36" l="1"/>
  <c r="H124" i="36"/>
  <c r="C124" i="34"/>
  <c r="H123" i="34"/>
  <c r="C124" i="35"/>
  <c r="H123" i="35"/>
  <c r="C124" i="33"/>
  <c r="H123" i="33"/>
  <c r="C125" i="33" l="1"/>
  <c r="H124" i="33"/>
  <c r="C125" i="34"/>
  <c r="H124" i="34"/>
  <c r="C125" i="35"/>
  <c r="H124" i="35"/>
  <c r="C126" i="36"/>
  <c r="H125" i="36"/>
  <c r="C127" i="36" l="1"/>
  <c r="H126" i="36"/>
  <c r="C126" i="34"/>
  <c r="H125" i="34"/>
  <c r="C126" i="35"/>
  <c r="H125" i="35"/>
  <c r="C126" i="33"/>
  <c r="H125" i="33"/>
  <c r="C127" i="33" l="1"/>
  <c r="H126" i="33"/>
  <c r="C127" i="34"/>
  <c r="H126" i="34"/>
  <c r="C127" i="35"/>
  <c r="H126" i="35"/>
  <c r="C128" i="36"/>
  <c r="H127" i="36"/>
  <c r="C129" i="36" l="1"/>
  <c r="H128" i="36"/>
  <c r="C128" i="34"/>
  <c r="H127" i="34"/>
  <c r="C128" i="35"/>
  <c r="H127" i="35"/>
  <c r="C128" i="33"/>
  <c r="H127" i="33"/>
  <c r="C129" i="33" l="1"/>
  <c r="H128" i="33"/>
  <c r="C129" i="34"/>
  <c r="H128" i="34"/>
  <c r="C129" i="35"/>
  <c r="H128" i="35"/>
  <c r="C130" i="36"/>
  <c r="H129" i="36"/>
  <c r="C131" i="36" l="1"/>
  <c r="H130" i="36"/>
  <c r="C130" i="34"/>
  <c r="H129" i="34"/>
  <c r="C130" i="35"/>
  <c r="H129" i="35"/>
  <c r="C130" i="33"/>
  <c r="H129" i="33"/>
  <c r="C131" i="33" l="1"/>
  <c r="H130" i="33"/>
  <c r="C131" i="34"/>
  <c r="H130" i="34"/>
  <c r="C131" i="35"/>
  <c r="H130" i="35"/>
  <c r="C132" i="36"/>
  <c r="H131" i="36"/>
  <c r="C133" i="36" l="1"/>
  <c r="H132" i="36"/>
  <c r="C132" i="34"/>
  <c r="H131" i="34"/>
  <c r="C132" i="35"/>
  <c r="H131" i="35"/>
  <c r="C132" i="33"/>
  <c r="H131" i="33"/>
  <c r="C133" i="34" l="1"/>
  <c r="H132" i="34"/>
  <c r="C133" i="35"/>
  <c r="H132" i="35"/>
  <c r="C133" i="33"/>
  <c r="H132" i="33"/>
  <c r="C134" i="36"/>
  <c r="H133" i="36"/>
  <c r="C134" i="35" l="1"/>
  <c r="H133" i="35"/>
  <c r="C135" i="36"/>
  <c r="H134" i="36"/>
  <c r="C134" i="33"/>
  <c r="H133" i="33"/>
  <c r="C134" i="34"/>
  <c r="H133" i="34"/>
  <c r="C136" i="36" l="1"/>
  <c r="H135" i="36"/>
  <c r="C135" i="34"/>
  <c r="H134" i="34"/>
  <c r="C135" i="33"/>
  <c r="H134" i="33"/>
  <c r="C135" i="35"/>
  <c r="H134" i="35"/>
  <c r="C136" i="34" l="1"/>
  <c r="H135" i="34"/>
  <c r="C136" i="35"/>
  <c r="H135" i="35"/>
  <c r="C136" i="33"/>
  <c r="H135" i="33"/>
  <c r="C137" i="36"/>
  <c r="H136" i="36"/>
  <c r="C138" i="36" l="1"/>
  <c r="H137" i="36"/>
  <c r="C137" i="35"/>
  <c r="H136" i="35"/>
  <c r="C137" i="33"/>
  <c r="H136" i="33"/>
  <c r="C137" i="34"/>
  <c r="H136" i="34"/>
  <c r="C138" i="34" l="1"/>
  <c r="H137" i="34"/>
  <c r="C138" i="33"/>
  <c r="H137" i="33"/>
  <c r="C138" i="35"/>
  <c r="H137" i="35"/>
  <c r="C139" i="36"/>
  <c r="H138" i="36"/>
  <c r="C140" i="36" l="1"/>
  <c r="H139" i="36"/>
  <c r="C139" i="33"/>
  <c r="H138" i="33"/>
  <c r="C139" i="35"/>
  <c r="H138" i="35"/>
  <c r="C139" i="34"/>
  <c r="H138" i="34"/>
  <c r="C140" i="34" l="1"/>
  <c r="H139" i="34"/>
  <c r="C140" i="33"/>
  <c r="H139" i="33"/>
  <c r="C140" i="35"/>
  <c r="H139" i="35"/>
  <c r="C141" i="36"/>
  <c r="H140" i="36"/>
  <c r="C142" i="36" l="1"/>
  <c r="H141" i="36"/>
  <c r="C141" i="33"/>
  <c r="H140" i="33"/>
  <c r="C141" i="35"/>
  <c r="H140" i="35"/>
  <c r="C141" i="34"/>
  <c r="H140" i="34"/>
  <c r="C142" i="33" l="1"/>
  <c r="H141" i="33"/>
  <c r="C142" i="35"/>
  <c r="H141" i="35"/>
  <c r="C142" i="34"/>
  <c r="H141" i="34"/>
  <c r="C143" i="36"/>
  <c r="H142" i="36"/>
  <c r="C143" i="35" l="1"/>
  <c r="H142" i="35"/>
  <c r="C144" i="36"/>
  <c r="H143" i="36"/>
  <c r="C143" i="34"/>
  <c r="H142" i="34"/>
  <c r="C143" i="33"/>
  <c r="H142" i="33"/>
  <c r="C145" i="36" l="1"/>
  <c r="H144" i="36"/>
  <c r="C144" i="33"/>
  <c r="H143" i="33"/>
  <c r="C144" i="34"/>
  <c r="H143" i="34"/>
  <c r="C144" i="35"/>
  <c r="H143" i="35"/>
  <c r="C145" i="35" l="1"/>
  <c r="H144" i="35"/>
  <c r="C145" i="34"/>
  <c r="H144" i="34"/>
  <c r="C145" i="33"/>
  <c r="H144" i="33"/>
  <c r="C146" i="36"/>
  <c r="H145" i="36"/>
  <c r="C146" i="34" l="1"/>
  <c r="H145" i="34"/>
  <c r="C146" i="33"/>
  <c r="H145" i="33"/>
  <c r="C147" i="36"/>
  <c r="H146" i="36"/>
  <c r="C146" i="35"/>
  <c r="H145" i="35"/>
  <c r="C147" i="35" l="1"/>
  <c r="H146" i="35"/>
  <c r="C147" i="33"/>
  <c r="H146" i="33"/>
  <c r="C148" i="36"/>
  <c r="H147" i="36"/>
  <c r="C147" i="34"/>
  <c r="H146" i="34"/>
  <c r="C148" i="34" l="1"/>
  <c r="H147" i="34"/>
  <c r="C148" i="33"/>
  <c r="H147" i="33"/>
  <c r="C149" i="36"/>
  <c r="H148" i="36"/>
  <c r="C148" i="35"/>
  <c r="H147" i="35"/>
  <c r="C149" i="35" l="1"/>
  <c r="H148" i="35"/>
  <c r="C149" i="33"/>
  <c r="H148" i="33"/>
  <c r="C150" i="36"/>
  <c r="H149" i="36"/>
  <c r="C149" i="34"/>
  <c r="H148" i="34"/>
  <c r="C150" i="34" l="1"/>
  <c r="H149" i="34"/>
  <c r="C150" i="33"/>
  <c r="H149" i="33"/>
  <c r="C151" i="36"/>
  <c r="H150" i="36"/>
  <c r="C150" i="35"/>
  <c r="H149" i="35"/>
  <c r="C151" i="35" l="1"/>
  <c r="H150" i="35"/>
  <c r="C151" i="33"/>
  <c r="H150" i="33"/>
  <c r="C152" i="36"/>
  <c r="H151" i="36"/>
  <c r="C151" i="34"/>
  <c r="H150" i="34"/>
  <c r="C152" i="34" l="1"/>
  <c r="H151" i="34"/>
  <c r="C152" i="33"/>
  <c r="H151" i="33"/>
  <c r="C153" i="36"/>
  <c r="H152" i="36"/>
  <c r="C152" i="35"/>
  <c r="H151" i="35"/>
  <c r="C153" i="35" l="1"/>
  <c r="H152" i="35"/>
  <c r="C153" i="33"/>
  <c r="H152" i="33"/>
  <c r="C154" i="36"/>
  <c r="H153" i="36"/>
  <c r="C153" i="34"/>
  <c r="H152" i="34"/>
  <c r="C154" i="33" l="1"/>
  <c r="H153" i="33"/>
  <c r="C154" i="34"/>
  <c r="H153" i="34"/>
  <c r="C155" i="36"/>
  <c r="H154" i="36"/>
  <c r="C154" i="35"/>
  <c r="H153" i="35"/>
  <c r="C155" i="34" l="1"/>
  <c r="H154" i="34"/>
  <c r="C155" i="35"/>
  <c r="H154" i="35"/>
  <c r="C156" i="36"/>
  <c r="H155" i="36"/>
  <c r="C155" i="33"/>
  <c r="H154" i="33"/>
  <c r="C156" i="33" l="1"/>
  <c r="H155" i="33"/>
  <c r="C156" i="35"/>
  <c r="H155" i="35"/>
  <c r="C157" i="36"/>
  <c r="H156" i="36"/>
  <c r="C156" i="34"/>
  <c r="H155" i="34"/>
  <c r="C157" i="34" l="1"/>
  <c r="H156" i="34"/>
  <c r="C157" i="35"/>
  <c r="H156" i="35"/>
  <c r="C158" i="36"/>
  <c r="H157" i="36"/>
  <c r="C157" i="33"/>
  <c r="H156" i="33"/>
  <c r="C158" i="33" l="1"/>
  <c r="H157" i="33"/>
  <c r="C158" i="35"/>
  <c r="H157" i="35"/>
  <c r="C159" i="36"/>
  <c r="H158" i="36"/>
  <c r="C158" i="34"/>
  <c r="H157" i="34"/>
  <c r="C159" i="35" l="1"/>
  <c r="H158" i="35"/>
  <c r="C159" i="34"/>
  <c r="H158" i="34"/>
  <c r="C160" i="36"/>
  <c r="H159" i="36"/>
  <c r="C159" i="33"/>
  <c r="H158" i="33"/>
  <c r="C160" i="33" l="1"/>
  <c r="H159" i="33"/>
  <c r="C160" i="34"/>
  <c r="H159" i="34"/>
  <c r="C161" i="36"/>
  <c r="H160" i="36"/>
  <c r="C160" i="35"/>
  <c r="H159" i="35"/>
  <c r="C161" i="34" l="1"/>
  <c r="H160" i="34"/>
  <c r="C161" i="35"/>
  <c r="H160" i="35"/>
  <c r="C162" i="36"/>
  <c r="H161" i="36"/>
  <c r="C161" i="33"/>
  <c r="H160" i="33"/>
  <c r="C162" i="35" l="1"/>
  <c r="H161" i="35"/>
  <c r="C162" i="33"/>
  <c r="H161" i="33"/>
  <c r="C163" i="36"/>
  <c r="H162" i="36"/>
  <c r="C162" i="34"/>
  <c r="H161" i="34"/>
  <c r="C163" i="33" l="1"/>
  <c r="H162" i="33"/>
  <c r="C163" i="34"/>
  <c r="H162" i="34"/>
  <c r="C164" i="36"/>
  <c r="H163" i="36"/>
  <c r="C163" i="35"/>
  <c r="H162" i="35"/>
  <c r="C164" i="34" l="1"/>
  <c r="H163" i="34"/>
  <c r="C164" i="35"/>
  <c r="H163" i="35"/>
  <c r="C165" i="36"/>
  <c r="H164" i="36"/>
  <c r="C164" i="33"/>
  <c r="H163" i="33"/>
  <c r="C165" i="33" l="1"/>
  <c r="H164" i="33"/>
  <c r="C165" i="35"/>
  <c r="H164" i="35"/>
  <c r="C166" i="36"/>
  <c r="H165" i="36"/>
  <c r="C165" i="34"/>
  <c r="H164" i="34"/>
  <c r="C166" i="34" l="1"/>
  <c r="H165" i="34"/>
  <c r="C166" i="35"/>
  <c r="H165" i="35"/>
  <c r="C167" i="36"/>
  <c r="H166" i="36"/>
  <c r="C166" i="33"/>
  <c r="H165" i="33"/>
  <c r="C167" i="33" l="1"/>
  <c r="H166" i="33"/>
  <c r="C167" i="35"/>
  <c r="H166" i="35"/>
  <c r="C168" i="36"/>
  <c r="H167" i="36"/>
  <c r="C167" i="34"/>
  <c r="H166" i="34"/>
  <c r="C168" i="35" l="1"/>
  <c r="H167" i="35"/>
  <c r="C168" i="34"/>
  <c r="H167" i="34"/>
  <c r="C169" i="36"/>
  <c r="H168" i="36"/>
  <c r="C168" i="33"/>
  <c r="H167" i="33"/>
  <c r="C169" i="34" l="1"/>
  <c r="H168" i="34"/>
  <c r="C169" i="33"/>
  <c r="H168" i="33"/>
  <c r="C170" i="36"/>
  <c r="H169" i="36"/>
  <c r="C169" i="35"/>
  <c r="H168" i="35"/>
  <c r="C170" i="35" l="1"/>
  <c r="H169" i="35"/>
  <c r="C170" i="33"/>
  <c r="H169" i="33"/>
  <c r="C171" i="36"/>
  <c r="H170" i="36"/>
  <c r="C170" i="34"/>
  <c r="H169" i="34"/>
  <c r="C171" i="34" l="1"/>
  <c r="H170" i="34"/>
  <c r="C171" i="33"/>
  <c r="H170" i="33"/>
  <c r="C172" i="36"/>
  <c r="H171" i="36"/>
  <c r="C171" i="35"/>
  <c r="H170" i="35"/>
  <c r="C172" i="33" l="1"/>
  <c r="H171" i="33"/>
  <c r="C172" i="35"/>
  <c r="H171" i="35"/>
  <c r="C173" i="36"/>
  <c r="H172" i="36"/>
  <c r="C172" i="34"/>
  <c r="H171" i="34"/>
  <c r="C173" i="34" l="1"/>
  <c r="H172" i="34"/>
  <c r="C173" i="35"/>
  <c r="H172" i="35"/>
  <c r="C174" i="36"/>
  <c r="H173" i="36"/>
  <c r="C173" i="33"/>
  <c r="H172" i="33"/>
  <c r="C174" i="35" l="1"/>
  <c r="H173" i="35"/>
  <c r="C175" i="36"/>
  <c r="H174" i="36"/>
  <c r="C174" i="33"/>
  <c r="H173" i="33"/>
  <c r="C174" i="34"/>
  <c r="H173" i="34"/>
  <c r="C176" i="36" l="1"/>
  <c r="H175" i="36"/>
  <c r="C175" i="34"/>
  <c r="H174" i="34"/>
  <c r="C175" i="33"/>
  <c r="H174" i="33"/>
  <c r="C175" i="35"/>
  <c r="H174" i="35"/>
  <c r="C176" i="35" l="1"/>
  <c r="H175" i="35"/>
  <c r="C176" i="34"/>
  <c r="H175" i="34"/>
  <c r="C176" i="33"/>
  <c r="H175" i="33"/>
  <c r="C177" i="36"/>
  <c r="H176" i="36"/>
  <c r="C177" i="34" l="1"/>
  <c r="H176" i="34"/>
  <c r="C178" i="36"/>
  <c r="H177" i="36"/>
  <c r="C177" i="33"/>
  <c r="H176" i="33"/>
  <c r="C177" i="35"/>
  <c r="H176" i="35"/>
  <c r="C178" i="35" l="1"/>
  <c r="H177" i="35"/>
  <c r="C178" i="33"/>
  <c r="H177" i="33"/>
  <c r="C179" i="36"/>
  <c r="H178" i="36"/>
  <c r="C178" i="34"/>
  <c r="H177" i="34"/>
  <c r="C179" i="33" l="1"/>
  <c r="H178" i="33"/>
  <c r="C179" i="34"/>
  <c r="H178" i="34"/>
  <c r="C180" i="36"/>
  <c r="H179" i="36"/>
  <c r="C179" i="35"/>
  <c r="H178" i="35"/>
  <c r="C180" i="34" l="1"/>
  <c r="H179" i="34"/>
  <c r="C180" i="35"/>
  <c r="H179" i="35"/>
  <c r="C181" i="36"/>
  <c r="H180" i="36"/>
  <c r="C180" i="33"/>
  <c r="H179" i="33"/>
  <c r="C181" i="35" l="1"/>
  <c r="H180" i="35"/>
  <c r="C181" i="33"/>
  <c r="H180" i="33"/>
  <c r="C182" i="36"/>
  <c r="H181" i="36"/>
  <c r="C181" i="34"/>
  <c r="H180" i="34"/>
  <c r="C182" i="33" l="1"/>
  <c r="H181" i="33"/>
  <c r="C182" i="34"/>
  <c r="H181" i="34"/>
  <c r="C183" i="36"/>
  <c r="H182" i="36"/>
  <c r="C182" i="35"/>
  <c r="H181" i="35"/>
  <c r="C183" i="35" l="1"/>
  <c r="H182" i="35"/>
  <c r="C183" i="34"/>
  <c r="H182" i="34"/>
  <c r="C184" i="36"/>
  <c r="H183" i="36"/>
  <c r="C183" i="33"/>
  <c r="H182" i="33"/>
  <c r="C184" i="33" l="1"/>
  <c r="H183" i="33"/>
  <c r="C184" i="34"/>
  <c r="H183" i="34"/>
  <c r="C185" i="36"/>
  <c r="H184" i="36"/>
  <c r="C184" i="35"/>
  <c r="H183" i="35"/>
  <c r="C185" i="35" l="1"/>
  <c r="H184" i="35"/>
  <c r="C185" i="34"/>
  <c r="H184" i="34"/>
  <c r="C186" i="36"/>
  <c r="H185" i="36"/>
  <c r="C185" i="33"/>
  <c r="H184" i="33"/>
  <c r="C186" i="34" l="1"/>
  <c r="H185" i="34"/>
  <c r="C186" i="33"/>
  <c r="H185" i="33"/>
  <c r="C187" i="36"/>
  <c r="H186" i="36"/>
  <c r="C186" i="35"/>
  <c r="H185" i="35"/>
  <c r="C187" i="35" l="1"/>
  <c r="H186" i="35"/>
  <c r="C187" i="33"/>
  <c r="H186" i="33"/>
  <c r="C188" i="36"/>
  <c r="H187" i="36"/>
  <c r="C187" i="34"/>
  <c r="H186" i="34"/>
  <c r="C188" i="33" l="1"/>
  <c r="H187" i="33"/>
  <c r="C188" i="34"/>
  <c r="H187" i="34"/>
  <c r="C189" i="36"/>
  <c r="H188" i="36"/>
  <c r="C188" i="35"/>
  <c r="H187" i="35"/>
  <c r="C189" i="35" l="1"/>
  <c r="H188" i="35"/>
  <c r="C189" i="34"/>
  <c r="H188" i="34"/>
  <c r="C190" i="36"/>
  <c r="H189" i="36"/>
  <c r="C189" i="33"/>
  <c r="H188" i="33"/>
  <c r="C191" i="36" l="1"/>
  <c r="H190" i="36"/>
  <c r="C190" i="33"/>
  <c r="H189" i="33"/>
  <c r="C190" i="34"/>
  <c r="H189" i="34"/>
  <c r="C190" i="35"/>
  <c r="H189" i="35"/>
  <c r="C191" i="35" l="1"/>
  <c r="H190" i="35"/>
  <c r="C191" i="33"/>
  <c r="H190" i="33"/>
  <c r="C191" i="34"/>
  <c r="H190" i="34"/>
  <c r="C192" i="36"/>
  <c r="H191" i="36"/>
  <c r="C193" i="36" l="1"/>
  <c r="H192" i="36"/>
  <c r="C192" i="33"/>
  <c r="H191" i="33"/>
  <c r="C192" i="34"/>
  <c r="H191" i="34"/>
  <c r="C192" i="35"/>
  <c r="H191" i="35"/>
  <c r="C193" i="33" l="1"/>
  <c r="H192" i="33"/>
  <c r="C193" i="35"/>
  <c r="H192" i="35"/>
  <c r="C193" i="34"/>
  <c r="H192" i="34"/>
  <c r="C194" i="36"/>
  <c r="H193" i="36"/>
  <c r="C194" i="35" l="1"/>
  <c r="H193" i="35"/>
  <c r="C195" i="36"/>
  <c r="H194" i="36"/>
  <c r="C194" i="34"/>
  <c r="H193" i="34"/>
  <c r="C194" i="33"/>
  <c r="H193" i="33"/>
  <c r="C196" i="36" l="1"/>
  <c r="H195" i="36"/>
  <c r="C195" i="33"/>
  <c r="H194" i="33"/>
  <c r="C195" i="34"/>
  <c r="H194" i="34"/>
  <c r="C195" i="35"/>
  <c r="H194" i="35"/>
  <c r="C196" i="35" l="1"/>
  <c r="H195" i="35"/>
  <c r="C196" i="33"/>
  <c r="H195" i="33"/>
  <c r="C196" i="34"/>
  <c r="H195" i="34"/>
  <c r="C197" i="36"/>
  <c r="H196" i="36"/>
  <c r="C198" i="36" l="1"/>
  <c r="H197" i="36"/>
  <c r="C197" i="33"/>
  <c r="H196" i="33"/>
  <c r="C197" i="34"/>
  <c r="H196" i="34"/>
  <c r="C197" i="35"/>
  <c r="H196" i="35"/>
  <c r="C198" i="35" l="1"/>
  <c r="H197" i="35"/>
  <c r="C198" i="33"/>
  <c r="H197" i="33"/>
  <c r="C198" i="34"/>
  <c r="H197" i="34"/>
  <c r="C199" i="36"/>
  <c r="H198" i="36"/>
  <c r="C200" i="36" l="1"/>
  <c r="H199" i="36"/>
  <c r="C199" i="33"/>
  <c r="H198" i="33"/>
  <c r="C199" i="34"/>
  <c r="H198" i="34"/>
  <c r="C199" i="35"/>
  <c r="H198" i="35"/>
  <c r="C200" i="33" l="1"/>
  <c r="H199" i="33"/>
  <c r="C200" i="35"/>
  <c r="H199" i="35"/>
  <c r="C200" i="34"/>
  <c r="H199" i="34"/>
  <c r="C201" i="36"/>
  <c r="H200" i="36"/>
  <c r="C202" i="36" l="1"/>
  <c r="H201" i="36"/>
  <c r="C201" i="35"/>
  <c r="H200" i="35"/>
  <c r="C201" i="34"/>
  <c r="H200" i="34"/>
  <c r="C201" i="33"/>
  <c r="H200" i="33"/>
  <c r="C202" i="35" l="1"/>
  <c r="H201" i="35"/>
  <c r="C202" i="33"/>
  <c r="H201" i="33"/>
  <c r="C202" i="34"/>
  <c r="H201" i="34"/>
  <c r="C203" i="36"/>
  <c r="H202" i="36"/>
  <c r="C204" i="36" l="1"/>
  <c r="H203" i="36"/>
  <c r="C203" i="33"/>
  <c r="H202" i="33"/>
  <c r="C203" i="34"/>
  <c r="H202" i="34"/>
  <c r="C203" i="35"/>
  <c r="H202" i="35"/>
  <c r="C204" i="35" l="1"/>
  <c r="H203" i="35"/>
  <c r="C204" i="33"/>
  <c r="H203" i="33"/>
  <c r="C204" i="34"/>
  <c r="H203" i="34"/>
  <c r="C205" i="36"/>
  <c r="H204" i="36"/>
  <c r="C205" i="33" l="1"/>
  <c r="H204" i="33"/>
  <c r="C206" i="36"/>
  <c r="H205" i="36"/>
  <c r="C205" i="34"/>
  <c r="H204" i="34"/>
  <c r="C205" i="35"/>
  <c r="H204" i="35"/>
  <c r="C207" i="36" l="1"/>
  <c r="H206" i="36"/>
  <c r="C206" i="34"/>
  <c r="H205" i="34"/>
  <c r="C206" i="35"/>
  <c r="H205" i="35"/>
  <c r="C206" i="33"/>
  <c r="H205" i="33"/>
  <c r="C207" i="33" l="1"/>
  <c r="H206" i="33"/>
  <c r="C207" i="34"/>
  <c r="H206" i="34"/>
  <c r="C207" i="35"/>
  <c r="H206" i="35"/>
  <c r="C208" i="36"/>
  <c r="H207" i="36"/>
  <c r="C209" i="36" l="1"/>
  <c r="H208" i="36"/>
  <c r="C208" i="34"/>
  <c r="H207" i="34"/>
  <c r="C208" i="35"/>
  <c r="H207" i="35"/>
  <c r="C208" i="33"/>
  <c r="H207" i="33"/>
  <c r="C209" i="35" l="1"/>
  <c r="H208" i="35"/>
  <c r="C210" i="36"/>
  <c r="H209" i="36"/>
  <c r="C209" i="33"/>
  <c r="H208" i="33"/>
  <c r="C209" i="34"/>
  <c r="H208" i="34"/>
  <c r="C211" i="36" l="1"/>
  <c r="H210" i="36"/>
  <c r="C210" i="34"/>
  <c r="H209" i="34"/>
  <c r="C210" i="33"/>
  <c r="H209" i="33"/>
  <c r="C210" i="35"/>
  <c r="H209" i="35"/>
  <c r="C211" i="35" l="1"/>
  <c r="H210" i="35"/>
  <c r="C211" i="34"/>
  <c r="H210" i="34"/>
  <c r="C211" i="33"/>
  <c r="H210" i="33"/>
  <c r="C212" i="36"/>
  <c r="H211" i="36"/>
  <c r="C212" i="33" l="1"/>
  <c r="H211" i="33"/>
  <c r="C212" i="35"/>
  <c r="H211" i="35"/>
  <c r="C213" i="36"/>
  <c r="H212" i="36"/>
  <c r="C212" i="34"/>
  <c r="H211" i="34"/>
  <c r="C213" i="34" l="1"/>
  <c r="H212" i="34"/>
  <c r="C214" i="36"/>
  <c r="H213" i="36"/>
  <c r="C213" i="33"/>
  <c r="H212" i="33"/>
  <c r="C213" i="35"/>
  <c r="H212" i="35"/>
  <c r="C214" i="35" l="1"/>
  <c r="H213" i="35"/>
  <c r="C214" i="33"/>
  <c r="H213" i="33"/>
  <c r="C214" i="34"/>
  <c r="H213" i="34"/>
  <c r="C215" i="36"/>
  <c r="H214" i="36"/>
  <c r="C216" i="36" l="1"/>
  <c r="H215" i="36"/>
  <c r="C215" i="34"/>
  <c r="H214" i="34"/>
  <c r="C215" i="35"/>
  <c r="H214" i="35"/>
  <c r="C215" i="33"/>
  <c r="H214" i="33"/>
  <c r="C216" i="33" l="1"/>
  <c r="H215" i="33"/>
  <c r="C216" i="35"/>
  <c r="H215" i="35"/>
  <c r="C217" i="36"/>
  <c r="H216" i="36"/>
  <c r="C216" i="34"/>
  <c r="H215" i="34"/>
  <c r="C218" i="36" l="1"/>
  <c r="H217" i="36"/>
  <c r="C217" i="33"/>
  <c r="H216" i="33"/>
  <c r="C217" i="34"/>
  <c r="H216" i="34"/>
  <c r="C217" i="35"/>
  <c r="H216" i="35"/>
  <c r="C218" i="34" l="1"/>
  <c r="H217" i="34"/>
  <c r="C219" i="36"/>
  <c r="H218" i="36"/>
  <c r="C218" i="35"/>
  <c r="H217" i="35"/>
  <c r="C218" i="33"/>
  <c r="H217" i="33"/>
  <c r="C219" i="33" l="1"/>
  <c r="H218" i="33"/>
  <c r="C219" i="35"/>
  <c r="H218" i="35"/>
  <c r="C219" i="34"/>
  <c r="H218" i="34"/>
  <c r="C220" i="36"/>
  <c r="H219" i="36"/>
  <c r="C220" i="34" l="1"/>
  <c r="H219" i="34"/>
  <c r="C220" i="33"/>
  <c r="H219" i="33"/>
  <c r="C221" i="36"/>
  <c r="H220" i="36"/>
  <c r="C220" i="35"/>
  <c r="H219" i="35"/>
  <c r="C221" i="35" l="1"/>
  <c r="H220" i="35"/>
  <c r="C221" i="33"/>
  <c r="H220" i="33"/>
  <c r="C222" i="36"/>
  <c r="H221" i="36"/>
  <c r="C221" i="34"/>
  <c r="H220" i="34"/>
  <c r="C222" i="34" l="1"/>
  <c r="H221" i="34"/>
  <c r="C223" i="36"/>
  <c r="H222" i="36"/>
  <c r="C222" i="35"/>
  <c r="H221" i="35"/>
  <c r="C222" i="33"/>
  <c r="H221" i="33"/>
  <c r="C223" i="35" l="1"/>
  <c r="H222" i="35"/>
  <c r="C223" i="34"/>
  <c r="H222" i="34"/>
  <c r="C224" i="36"/>
  <c r="H223" i="36"/>
  <c r="C223" i="33"/>
  <c r="H222" i="33"/>
  <c r="C225" i="36" l="1"/>
  <c r="H224" i="36"/>
  <c r="C224" i="35"/>
  <c r="H223" i="35"/>
  <c r="C224" i="33"/>
  <c r="H223" i="33"/>
  <c r="C224" i="34"/>
  <c r="H223" i="34"/>
  <c r="C225" i="33" l="1"/>
  <c r="H224" i="33"/>
  <c r="C226" i="36"/>
  <c r="H225" i="36"/>
  <c r="C225" i="34"/>
  <c r="H224" i="34"/>
  <c r="C225" i="35"/>
  <c r="H224" i="35"/>
  <c r="C226" i="34" l="1"/>
  <c r="H225" i="34"/>
  <c r="C226" i="33"/>
  <c r="H225" i="33"/>
  <c r="C226" i="35"/>
  <c r="H225" i="35"/>
  <c r="C227" i="36"/>
  <c r="H226" i="36"/>
  <c r="C228" i="36" l="1"/>
  <c r="H227" i="36"/>
  <c r="C227" i="33"/>
  <c r="H226" i="33"/>
  <c r="C227" i="35"/>
  <c r="H226" i="35"/>
  <c r="C227" i="34"/>
  <c r="H226" i="34"/>
  <c r="C228" i="34" l="1"/>
  <c r="H227" i="34"/>
  <c r="C228" i="35"/>
  <c r="H227" i="35"/>
  <c r="C229" i="36"/>
  <c r="H228" i="36"/>
  <c r="C228" i="33"/>
  <c r="H227" i="33"/>
  <c r="C229" i="33" l="1"/>
  <c r="H228" i="33"/>
  <c r="C230" i="36"/>
  <c r="H229" i="36"/>
  <c r="C229" i="34"/>
  <c r="H228" i="34"/>
  <c r="C229" i="35"/>
  <c r="H228" i="35"/>
  <c r="C230" i="34" l="1"/>
  <c r="H229" i="34"/>
  <c r="C230" i="33"/>
  <c r="H229" i="33"/>
  <c r="C231" i="36"/>
  <c r="H230" i="36"/>
  <c r="C230" i="35"/>
  <c r="H229" i="35"/>
  <c r="C232" i="36" l="1"/>
  <c r="H231" i="36"/>
  <c r="C231" i="34"/>
  <c r="H230" i="34"/>
  <c r="C231" i="33"/>
  <c r="H230" i="33"/>
  <c r="C231" i="35"/>
  <c r="H230" i="35"/>
  <c r="C232" i="33" l="1"/>
  <c r="H231" i="33"/>
  <c r="C233" i="36"/>
  <c r="H232" i="36"/>
  <c r="C232" i="35"/>
  <c r="H231" i="35"/>
  <c r="C232" i="34"/>
  <c r="H231" i="34"/>
  <c r="C233" i="34" l="1"/>
  <c r="H232" i="34"/>
  <c r="C234" i="36"/>
  <c r="H233" i="36"/>
  <c r="C233" i="35"/>
  <c r="H232" i="35"/>
  <c r="C233" i="33"/>
  <c r="H232" i="33"/>
  <c r="C234" i="33" l="1"/>
  <c r="H233" i="33"/>
  <c r="C235" i="36"/>
  <c r="H234" i="36"/>
  <c r="C234" i="35"/>
  <c r="H233" i="35"/>
  <c r="C234" i="34"/>
  <c r="H233" i="34"/>
  <c r="C235" i="34" l="1"/>
  <c r="H234" i="34"/>
  <c r="C235" i="35"/>
  <c r="H234" i="35"/>
  <c r="C235" i="33"/>
  <c r="H234" i="33"/>
  <c r="C236" i="36"/>
  <c r="H235" i="36"/>
  <c r="C236" i="33" l="1"/>
  <c r="H235" i="33"/>
  <c r="C236" i="34"/>
  <c r="H235" i="34"/>
  <c r="C237" i="36"/>
  <c r="H236" i="36"/>
  <c r="C236" i="35"/>
  <c r="H235" i="35"/>
  <c r="C237" i="34" l="1"/>
  <c r="H236" i="34"/>
  <c r="C237" i="35"/>
  <c r="H236" i="35"/>
  <c r="C238" i="36"/>
  <c r="H237" i="36"/>
  <c r="C237" i="33"/>
  <c r="H236" i="33"/>
  <c r="C238" i="33" l="1"/>
  <c r="H237" i="33"/>
  <c r="C238" i="35"/>
  <c r="H237" i="35"/>
  <c r="C239" i="36"/>
  <c r="H238" i="36"/>
  <c r="C238" i="34"/>
  <c r="H237" i="34"/>
  <c r="C240" i="36" l="1"/>
  <c r="H239" i="36"/>
  <c r="C239" i="33"/>
  <c r="H238" i="33"/>
  <c r="C239" i="34"/>
  <c r="H238" i="34"/>
  <c r="C239" i="35"/>
  <c r="H238" i="35"/>
  <c r="C240" i="35" l="1"/>
  <c r="H239" i="35"/>
  <c r="C240" i="33"/>
  <c r="H239" i="33"/>
  <c r="C240" i="34"/>
  <c r="H239" i="34"/>
  <c r="C241" i="36"/>
  <c r="H240" i="36"/>
  <c r="C241" i="34" l="1"/>
  <c r="H240" i="34"/>
  <c r="C241" i="35"/>
  <c r="H240" i="35"/>
  <c r="C242" i="36"/>
  <c r="H241" i="36"/>
  <c r="C241" i="33"/>
  <c r="H240" i="33"/>
  <c r="C243" i="36" l="1"/>
  <c r="H242" i="36"/>
  <c r="C242" i="34"/>
  <c r="H241" i="34"/>
  <c r="C242" i="33"/>
  <c r="H241" i="33"/>
  <c r="C242" i="35"/>
  <c r="H241" i="35"/>
  <c r="C243" i="33" l="1"/>
  <c r="H242" i="33"/>
  <c r="C244" i="36"/>
  <c r="H243" i="36"/>
  <c r="C243" i="35"/>
  <c r="H242" i="35"/>
  <c r="C243" i="34"/>
  <c r="H242" i="34"/>
  <c r="C244" i="34" l="1"/>
  <c r="H243" i="34"/>
  <c r="C244" i="35"/>
  <c r="H243" i="35"/>
  <c r="C244" i="33"/>
  <c r="H243" i="33"/>
  <c r="C245" i="36"/>
  <c r="H244" i="36"/>
  <c r="C246" i="36" l="1"/>
  <c r="H245" i="36"/>
  <c r="C245" i="33"/>
  <c r="H244" i="33"/>
  <c r="C245" i="34"/>
  <c r="H244" i="34"/>
  <c r="C245" i="35"/>
  <c r="H244" i="35"/>
  <c r="C246" i="35" l="1"/>
  <c r="H245" i="35"/>
  <c r="C246" i="34"/>
  <c r="H245" i="34"/>
  <c r="C247" i="36"/>
  <c r="H246" i="36"/>
  <c r="C246" i="33"/>
  <c r="H245" i="33"/>
  <c r="C248" i="36" l="1"/>
  <c r="H247" i="36"/>
  <c r="C247" i="35"/>
  <c r="H246" i="35"/>
  <c r="C247" i="33"/>
  <c r="H246" i="33"/>
  <c r="C247" i="34"/>
  <c r="H246" i="34"/>
  <c r="C248" i="34" l="1"/>
  <c r="H247" i="34"/>
  <c r="C248" i="33"/>
  <c r="H247" i="33"/>
  <c r="C249" i="36"/>
  <c r="H248" i="36"/>
  <c r="C248" i="35"/>
  <c r="H247" i="35"/>
  <c r="C249" i="35" l="1"/>
  <c r="H248" i="35"/>
  <c r="C250" i="36"/>
  <c r="H249" i="36"/>
  <c r="C249" i="34"/>
  <c r="H248" i="34"/>
  <c r="C249" i="33"/>
  <c r="H248" i="33"/>
  <c r="C250" i="34" l="1"/>
  <c r="H249" i="34"/>
  <c r="C250" i="35"/>
  <c r="H249" i="35"/>
  <c r="C250" i="33"/>
  <c r="H249" i="33"/>
  <c r="C251" i="36"/>
  <c r="H250" i="36"/>
  <c r="C252" i="36" l="1"/>
  <c r="H251" i="36"/>
  <c r="C251" i="35"/>
  <c r="H250" i="35"/>
  <c r="C251" i="33"/>
  <c r="H250" i="33"/>
  <c r="C251" i="34"/>
  <c r="H250" i="34"/>
  <c r="C252" i="34" l="1"/>
  <c r="H251" i="34"/>
  <c r="C252" i="35"/>
  <c r="H251" i="35"/>
  <c r="C252" i="33"/>
  <c r="H251" i="33"/>
  <c r="C253" i="36"/>
  <c r="H252" i="36"/>
  <c r="C254" i="36" l="1"/>
  <c r="H253" i="36"/>
  <c r="C253" i="35"/>
  <c r="H252" i="35"/>
  <c r="C253" i="33"/>
  <c r="H252" i="33"/>
  <c r="C253" i="34"/>
  <c r="H252" i="34"/>
  <c r="C254" i="34" l="1"/>
  <c r="H253" i="34"/>
  <c r="C254" i="33"/>
  <c r="H253" i="33"/>
  <c r="C255" i="36"/>
  <c r="H254" i="36"/>
  <c r="C254" i="35"/>
  <c r="H253" i="35"/>
  <c r="C255" i="35" l="1"/>
  <c r="H254" i="35"/>
  <c r="C255" i="33"/>
  <c r="H254" i="33"/>
  <c r="C256" i="36"/>
  <c r="H255" i="36"/>
  <c r="C255" i="34"/>
  <c r="H254" i="34"/>
  <c r="C256" i="33" l="1"/>
  <c r="H255" i="33"/>
  <c r="C256" i="34"/>
  <c r="H255" i="34"/>
  <c r="C257" i="36"/>
  <c r="H256" i="36"/>
  <c r="C256" i="35"/>
  <c r="H255" i="35"/>
  <c r="C258" i="36" l="1"/>
  <c r="H257" i="36"/>
  <c r="C257" i="33"/>
  <c r="H256" i="33"/>
  <c r="C257" i="35"/>
  <c r="H256" i="35"/>
  <c r="C257" i="34"/>
  <c r="H256" i="34"/>
  <c r="C258" i="33" l="1"/>
  <c r="H257" i="33"/>
  <c r="C258" i="34"/>
  <c r="H257" i="34"/>
  <c r="C258" i="35"/>
  <c r="H257" i="35"/>
  <c r="C259" i="36"/>
  <c r="H258" i="36"/>
  <c r="C259" i="34" l="1"/>
  <c r="H258" i="34"/>
  <c r="C260" i="36"/>
  <c r="H259" i="36"/>
  <c r="C259" i="35"/>
  <c r="H258" i="35"/>
  <c r="C259" i="33"/>
  <c r="H258" i="33"/>
  <c r="C260" i="33" l="1"/>
  <c r="H259" i="33"/>
  <c r="C261" i="36"/>
  <c r="H260" i="36"/>
  <c r="C260" i="35"/>
  <c r="H259" i="35"/>
  <c r="C260" i="34"/>
  <c r="H259" i="34"/>
  <c r="C261" i="34" l="1"/>
  <c r="H260" i="34"/>
  <c r="C262" i="36"/>
  <c r="H261" i="36"/>
  <c r="C261" i="35"/>
  <c r="H260" i="35"/>
  <c r="C261" i="33"/>
  <c r="H260" i="33"/>
  <c r="C263" i="36" l="1"/>
  <c r="H262" i="36"/>
  <c r="C262" i="33"/>
  <c r="H261" i="33"/>
  <c r="C262" i="35"/>
  <c r="H261" i="35"/>
  <c r="C262" i="34"/>
  <c r="H261" i="34"/>
  <c r="C263" i="33" l="1"/>
  <c r="H262" i="33"/>
  <c r="C263" i="34"/>
  <c r="H262" i="34"/>
  <c r="C263" i="35"/>
  <c r="H262" i="35"/>
  <c r="C264" i="36"/>
  <c r="H263" i="36"/>
  <c r="C265" i="36" l="1"/>
  <c r="H264" i="36"/>
  <c r="C264" i="34"/>
  <c r="H263" i="34"/>
  <c r="C264" i="35"/>
  <c r="H263" i="35"/>
  <c r="C264" i="33"/>
  <c r="H263" i="33"/>
  <c r="C265" i="33" l="1"/>
  <c r="H264" i="33"/>
  <c r="C265" i="34"/>
  <c r="H264" i="34"/>
  <c r="C265" i="35"/>
  <c r="H264" i="35"/>
  <c r="C266" i="36"/>
  <c r="H265" i="36"/>
  <c r="C267" i="36" l="1"/>
  <c r="H266" i="36"/>
  <c r="C266" i="34"/>
  <c r="H265" i="34"/>
  <c r="C266" i="35"/>
  <c r="H265" i="35"/>
  <c r="C266" i="33"/>
  <c r="H265" i="33"/>
  <c r="C267" i="34" l="1"/>
  <c r="H266" i="34"/>
  <c r="C267" i="33"/>
  <c r="H266" i="33"/>
  <c r="C267" i="35"/>
  <c r="H266" i="35"/>
  <c r="C268" i="36"/>
  <c r="H267" i="36"/>
  <c r="C269" i="36" l="1"/>
  <c r="H268" i="36"/>
  <c r="C268" i="33"/>
  <c r="H267" i="33"/>
  <c r="C268" i="35"/>
  <c r="H267" i="35"/>
  <c r="C268" i="34"/>
  <c r="H267" i="34"/>
  <c r="C269" i="34" l="1"/>
  <c r="H268" i="34"/>
  <c r="C269" i="33"/>
  <c r="H268" i="33"/>
  <c r="C269" i="35"/>
  <c r="H268" i="35"/>
  <c r="C270" i="36"/>
  <c r="H269" i="36"/>
  <c r="C270" i="33" l="1"/>
  <c r="H269" i="33"/>
  <c r="C271" i="36"/>
  <c r="H270" i="36"/>
  <c r="C270" i="35"/>
  <c r="H269" i="35"/>
  <c r="C270" i="34"/>
  <c r="H269" i="34"/>
  <c r="C271" i="35" l="1"/>
  <c r="H270" i="35"/>
  <c r="C271" i="34"/>
  <c r="H270" i="34"/>
  <c r="C272" i="36"/>
  <c r="H271" i="36"/>
  <c r="C271" i="33"/>
  <c r="H270" i="33"/>
  <c r="C272" i="33" l="1"/>
  <c r="H271" i="33"/>
  <c r="C272" i="34"/>
  <c r="H271" i="34"/>
  <c r="C273" i="36"/>
  <c r="H272" i="36"/>
  <c r="C272" i="35"/>
  <c r="H271" i="35"/>
  <c r="C273" i="34" l="1"/>
  <c r="H272" i="34"/>
  <c r="C273" i="35"/>
  <c r="H272" i="35"/>
  <c r="C274" i="36"/>
  <c r="H273" i="36"/>
  <c r="C273" i="33"/>
  <c r="H272" i="33"/>
  <c r="C274" i="35" l="1"/>
  <c r="H273" i="35"/>
  <c r="C274" i="33"/>
  <c r="H273" i="33"/>
  <c r="C275" i="36"/>
  <c r="H274" i="36"/>
  <c r="C274" i="34"/>
  <c r="H273" i="34"/>
  <c r="C275" i="33" l="1"/>
  <c r="H274" i="33"/>
  <c r="C276" i="36"/>
  <c r="H275" i="36"/>
  <c r="C275" i="34"/>
  <c r="H274" i="34"/>
  <c r="C275" i="35"/>
  <c r="H274" i="35"/>
  <c r="C276" i="35" l="1"/>
  <c r="H275" i="35"/>
  <c r="C277" i="36"/>
  <c r="H276" i="36"/>
  <c r="C276" i="34"/>
  <c r="H275" i="34"/>
  <c r="C276" i="33"/>
  <c r="H275" i="33"/>
  <c r="C277" i="33" l="1"/>
  <c r="H276" i="33"/>
  <c r="C278" i="36"/>
  <c r="H277" i="36"/>
  <c r="C277" i="34"/>
  <c r="H276" i="34"/>
  <c r="C277" i="35"/>
  <c r="H276" i="35"/>
  <c r="C278" i="35" l="1"/>
  <c r="H277" i="35"/>
  <c r="C279" i="36"/>
  <c r="H278" i="36"/>
  <c r="C278" i="34"/>
  <c r="H277" i="34"/>
  <c r="C278" i="33"/>
  <c r="H277" i="33"/>
  <c r="C279" i="33" l="1"/>
  <c r="H278" i="33"/>
  <c r="C280" i="36"/>
  <c r="H279" i="36"/>
  <c r="C279" i="34"/>
  <c r="H278" i="34"/>
  <c r="C279" i="35"/>
  <c r="H278" i="35"/>
  <c r="C281" i="36" l="1"/>
  <c r="H280" i="36"/>
  <c r="C280" i="35"/>
  <c r="H279" i="35"/>
  <c r="C280" i="34"/>
  <c r="H279" i="34"/>
  <c r="C280" i="33"/>
  <c r="H279" i="33"/>
  <c r="C281" i="33" l="1"/>
  <c r="H280" i="33"/>
  <c r="C281" i="35"/>
  <c r="H280" i="35"/>
  <c r="C281" i="34"/>
  <c r="H280" i="34"/>
  <c r="C282" i="36"/>
  <c r="H281" i="36"/>
  <c r="C283" i="36" l="1"/>
  <c r="H282" i="36"/>
  <c r="C282" i="35"/>
  <c r="H281" i="35"/>
  <c r="C282" i="34"/>
  <c r="H281" i="34"/>
  <c r="C282" i="33"/>
  <c r="H281" i="33"/>
  <c r="C283" i="35" l="1"/>
  <c r="H282" i="35"/>
  <c r="C283" i="33"/>
  <c r="H282" i="33"/>
  <c r="C283" i="34"/>
  <c r="H282" i="34"/>
  <c r="C284" i="36"/>
  <c r="H283" i="36"/>
  <c r="C285" i="36" l="1"/>
  <c r="H284" i="36"/>
  <c r="C284" i="33"/>
  <c r="H283" i="33"/>
  <c r="C284" i="34"/>
  <c r="H283" i="34"/>
  <c r="C284" i="35"/>
  <c r="H283" i="35"/>
  <c r="C285" i="35" l="1"/>
  <c r="H284" i="35"/>
  <c r="C285" i="33"/>
  <c r="H284" i="33"/>
  <c r="C285" i="34"/>
  <c r="H284" i="34"/>
  <c r="C286" i="36"/>
  <c r="H285" i="36"/>
  <c r="C286" i="33" l="1"/>
  <c r="H285" i="33"/>
  <c r="C287" i="36"/>
  <c r="H286" i="36"/>
  <c r="C286" i="34"/>
  <c r="H285" i="34"/>
  <c r="C286" i="35"/>
  <c r="H285" i="35"/>
  <c r="C287" i="35" l="1"/>
  <c r="H286" i="35"/>
  <c r="C288" i="36"/>
  <c r="H287" i="36"/>
  <c r="C287" i="34"/>
  <c r="H286" i="34"/>
  <c r="C287" i="33"/>
  <c r="H286" i="33"/>
  <c r="C289" i="36" l="1"/>
  <c r="H288" i="36"/>
  <c r="C288" i="33"/>
  <c r="H287" i="33"/>
  <c r="C288" i="34"/>
  <c r="H287" i="34"/>
  <c r="C288" i="35"/>
  <c r="H287" i="35"/>
  <c r="C289" i="33" l="1"/>
  <c r="H288" i="33"/>
  <c r="C289" i="35"/>
  <c r="H288" i="35"/>
  <c r="C289" i="34"/>
  <c r="H288" i="34"/>
  <c r="C290" i="36"/>
  <c r="H289" i="36"/>
  <c r="C290" i="35" l="1"/>
  <c r="H289" i="35"/>
  <c r="C291" i="36"/>
  <c r="H290" i="36"/>
  <c r="C290" i="34"/>
  <c r="H289" i="34"/>
  <c r="C290" i="33"/>
  <c r="H289" i="33"/>
  <c r="C291" i="33" l="1"/>
  <c r="H290" i="33"/>
  <c r="C292" i="36"/>
  <c r="H291" i="36"/>
  <c r="C291" i="34"/>
  <c r="H290" i="34"/>
  <c r="C291" i="35"/>
  <c r="H290" i="35"/>
  <c r="C292" i="35" l="1"/>
  <c r="H291" i="35"/>
  <c r="C293" i="36"/>
  <c r="H292" i="36"/>
  <c r="C292" i="34"/>
  <c r="H291" i="34"/>
  <c r="C292" i="33"/>
  <c r="H291" i="33"/>
  <c r="C293" i="33" l="1"/>
  <c r="H292" i="33"/>
  <c r="C294" i="36"/>
  <c r="H293" i="36"/>
  <c r="C293" i="34"/>
  <c r="H292" i="34"/>
  <c r="C293" i="35"/>
  <c r="H292" i="35"/>
  <c r="C294" i="35" l="1"/>
  <c r="H293" i="35"/>
  <c r="C295" i="36"/>
  <c r="H294" i="36"/>
  <c r="C294" i="34"/>
  <c r="H293" i="34"/>
  <c r="C294" i="33"/>
  <c r="H293" i="33"/>
  <c r="C296" i="36" l="1"/>
  <c r="H295" i="36"/>
  <c r="C295" i="33"/>
  <c r="H294" i="33"/>
  <c r="C295" i="34"/>
  <c r="H294" i="34"/>
  <c r="C295" i="35"/>
  <c r="H294" i="35"/>
  <c r="C296" i="35" l="1"/>
  <c r="H295" i="35"/>
  <c r="C296" i="33"/>
  <c r="H295" i="33"/>
  <c r="C296" i="34"/>
  <c r="H295" i="34"/>
  <c r="C297" i="36"/>
  <c r="H296" i="36"/>
  <c r="C298" i="36" l="1"/>
  <c r="H297" i="36"/>
  <c r="C297" i="33"/>
  <c r="H296" i="33"/>
  <c r="C297" i="34"/>
  <c r="H296" i="34"/>
  <c r="C297" i="35"/>
  <c r="H296" i="35"/>
  <c r="C298" i="33" l="1"/>
  <c r="H297" i="33"/>
  <c r="C298" i="35"/>
  <c r="H297" i="35"/>
  <c r="C298" i="34"/>
  <c r="H297" i="34"/>
  <c r="C299" i="36"/>
  <c r="H298" i="36"/>
  <c r="C300" i="36" l="1"/>
  <c r="H299" i="36"/>
  <c r="C299" i="35"/>
  <c r="H298" i="35"/>
  <c r="C299" i="34"/>
  <c r="H298" i="34"/>
  <c r="C299" i="33"/>
  <c r="H298" i="33"/>
  <c r="C300" i="35" l="1"/>
  <c r="H299" i="35"/>
  <c r="C300" i="33"/>
  <c r="H299" i="33"/>
  <c r="C300" i="34"/>
  <c r="H299" i="34"/>
  <c r="C301" i="36"/>
  <c r="H300" i="36"/>
  <c r="C302" i="36" l="1"/>
  <c r="H301" i="36"/>
  <c r="C301" i="33"/>
  <c r="H300" i="33"/>
  <c r="C301" i="34"/>
  <c r="H300" i="34"/>
  <c r="C301" i="35"/>
  <c r="H300" i="35"/>
  <c r="C302" i="33" l="1"/>
  <c r="H301" i="33"/>
  <c r="C302" i="35"/>
  <c r="H301" i="35"/>
  <c r="C302" i="34"/>
  <c r="H301" i="34"/>
  <c r="C303" i="36"/>
  <c r="H302" i="36"/>
  <c r="C304" i="36" l="1"/>
  <c r="H303" i="36"/>
  <c r="C303" i="35"/>
  <c r="H302" i="35"/>
  <c r="C303" i="34"/>
  <c r="H302" i="34"/>
  <c r="C303" i="33"/>
  <c r="H302" i="33"/>
  <c r="C304" i="35" l="1"/>
  <c r="H303" i="35"/>
  <c r="C304" i="33"/>
  <c r="H303" i="33"/>
  <c r="C304" i="34"/>
  <c r="H303" i="34"/>
  <c r="C305" i="36"/>
  <c r="H304" i="36"/>
  <c r="C306" i="36" l="1"/>
  <c r="H305" i="36"/>
  <c r="C305" i="33"/>
  <c r="H304" i="33"/>
  <c r="C305" i="34"/>
  <c r="H304" i="34"/>
  <c r="C305" i="35"/>
  <c r="H304" i="35"/>
  <c r="C306" i="33" l="1"/>
  <c r="H305" i="33"/>
  <c r="C306" i="35"/>
  <c r="H305" i="35"/>
  <c r="C306" i="34"/>
  <c r="H305" i="34"/>
  <c r="C307" i="36"/>
  <c r="H306" i="36"/>
  <c r="C307" i="35" l="1"/>
  <c r="H306" i="35"/>
  <c r="C308" i="36"/>
  <c r="H307" i="36"/>
  <c r="C307" i="34"/>
  <c r="H306" i="34"/>
  <c r="C307" i="33"/>
  <c r="H306" i="33"/>
  <c r="C309" i="36" l="1"/>
  <c r="H308" i="36"/>
  <c r="C308" i="33"/>
  <c r="H307" i="33"/>
  <c r="C308" i="34"/>
  <c r="H307" i="34"/>
  <c r="C308" i="35"/>
  <c r="H307" i="35"/>
  <c r="C309" i="35" l="1"/>
  <c r="H308" i="35"/>
  <c r="C309" i="33"/>
  <c r="H308" i="33"/>
  <c r="C309" i="34"/>
  <c r="H308" i="34"/>
  <c r="C310" i="36"/>
  <c r="H309" i="36"/>
  <c r="C311" i="36" l="1"/>
  <c r="H310" i="36"/>
  <c r="C310" i="33"/>
  <c r="H309" i="33"/>
  <c r="C310" i="34"/>
  <c r="H309" i="34"/>
  <c r="C310" i="35"/>
  <c r="H309" i="35"/>
  <c r="C311" i="35" l="1"/>
  <c r="H310" i="35"/>
  <c r="C311" i="33"/>
  <c r="H310" i="33"/>
  <c r="C311" i="34"/>
  <c r="H310" i="34"/>
  <c r="C312" i="36"/>
  <c r="H311" i="36"/>
  <c r="C313" i="36" l="1"/>
  <c r="H312" i="36"/>
  <c r="C312" i="33"/>
  <c r="H311" i="33"/>
  <c r="C312" i="34"/>
  <c r="H311" i="34"/>
  <c r="C312" i="35"/>
  <c r="H311" i="35"/>
  <c r="C313" i="35" l="1"/>
  <c r="H312" i="35"/>
  <c r="C313" i="33"/>
  <c r="H312" i="33"/>
  <c r="C313" i="34"/>
  <c r="H312" i="34"/>
  <c r="C314" i="36"/>
  <c r="H313" i="36"/>
  <c r="C315" i="36" l="1"/>
  <c r="H314" i="36"/>
  <c r="C314" i="33"/>
  <c r="H313" i="33"/>
  <c r="C314" i="34"/>
  <c r="H313" i="34"/>
  <c r="C314" i="35"/>
  <c r="H313" i="35"/>
  <c r="C315" i="33" l="1"/>
  <c r="H314" i="33"/>
  <c r="C315" i="35"/>
  <c r="H314" i="35"/>
  <c r="C315" i="34"/>
  <c r="H314" i="34"/>
  <c r="C316" i="36"/>
  <c r="H315" i="36"/>
  <c r="C317" i="36" l="1"/>
  <c r="H316" i="36"/>
  <c r="C316" i="35"/>
  <c r="H315" i="35"/>
  <c r="C316" i="34"/>
  <c r="H315" i="34"/>
  <c r="C316" i="33"/>
  <c r="H315" i="33"/>
  <c r="C317" i="33" l="1"/>
  <c r="H316" i="33"/>
  <c r="C317" i="35"/>
  <c r="H316" i="35"/>
  <c r="C317" i="34"/>
  <c r="H316" i="34"/>
  <c r="C318" i="36"/>
  <c r="H317" i="36"/>
  <c r="C318" i="35" l="1"/>
  <c r="H317" i="35"/>
  <c r="C319" i="36"/>
  <c r="H318" i="36"/>
  <c r="C318" i="34"/>
  <c r="H317" i="34"/>
  <c r="C318" i="33"/>
  <c r="H317" i="33"/>
  <c r="C319" i="33" l="1"/>
  <c r="H318" i="33"/>
  <c r="C320" i="36"/>
  <c r="H319" i="36"/>
  <c r="C319" i="34"/>
  <c r="H318" i="34"/>
  <c r="C319" i="35"/>
  <c r="H318" i="35"/>
  <c r="C320" i="35" l="1"/>
  <c r="H319" i="35"/>
  <c r="C321" i="36"/>
  <c r="H320" i="36"/>
  <c r="C320" i="34"/>
  <c r="H319" i="34"/>
  <c r="C320" i="33"/>
  <c r="H319" i="33"/>
  <c r="C321" i="33" l="1"/>
  <c r="H320" i="33"/>
  <c r="C322" i="36"/>
  <c r="H321" i="36"/>
  <c r="C321" i="34"/>
  <c r="H320" i="34"/>
  <c r="C321" i="35"/>
  <c r="H320" i="35"/>
  <c r="C323" i="36" l="1"/>
  <c r="H322" i="36"/>
  <c r="C322" i="34"/>
  <c r="H321" i="34"/>
  <c r="C322" i="35"/>
  <c r="H321" i="35"/>
  <c r="C322" i="33"/>
  <c r="H321" i="33"/>
  <c r="C323" i="33" l="1"/>
  <c r="H322" i="33"/>
  <c r="C323" i="34"/>
  <c r="H322" i="34"/>
  <c r="C323" i="35"/>
  <c r="H322" i="35"/>
  <c r="C324" i="36"/>
  <c r="H323" i="36"/>
  <c r="C324" i="34" l="1"/>
  <c r="H323" i="34"/>
  <c r="C325" i="36"/>
  <c r="H324" i="36"/>
  <c r="C324" i="35"/>
  <c r="H323" i="35"/>
  <c r="C324" i="33"/>
  <c r="H323" i="33"/>
  <c r="C325" i="33" l="1"/>
  <c r="H324" i="33"/>
  <c r="C326" i="36"/>
  <c r="H325" i="36"/>
  <c r="C325" i="35"/>
  <c r="H324" i="35"/>
  <c r="C325" i="34"/>
  <c r="H324" i="34"/>
  <c r="C327" i="36" l="1"/>
  <c r="H326" i="36"/>
  <c r="C326" i="34"/>
  <c r="H325" i="34"/>
  <c r="C326" i="35"/>
  <c r="H325" i="35"/>
  <c r="C326" i="33"/>
  <c r="H325" i="33"/>
  <c r="C327" i="34" l="1"/>
  <c r="H326" i="34"/>
  <c r="C327" i="33"/>
  <c r="H326" i="33"/>
  <c r="C327" i="35"/>
  <c r="H326" i="35"/>
  <c r="C328" i="36"/>
  <c r="H327" i="36"/>
  <c r="C329" i="36" l="1"/>
  <c r="H328" i="36"/>
  <c r="C328" i="33"/>
  <c r="H327" i="33"/>
  <c r="C328" i="35"/>
  <c r="H327" i="35"/>
  <c r="C328" i="34"/>
  <c r="H327" i="34"/>
  <c r="C329" i="33" l="1"/>
  <c r="H328" i="33"/>
  <c r="C329" i="34"/>
  <c r="H328" i="34"/>
  <c r="C329" i="35"/>
  <c r="H328" i="35"/>
  <c r="C330" i="36"/>
  <c r="H329" i="36"/>
  <c r="C331" i="36" l="1"/>
  <c r="H330" i="36"/>
  <c r="C330" i="34"/>
  <c r="H329" i="34"/>
  <c r="C330" i="35"/>
  <c r="H329" i="35"/>
  <c r="C330" i="33"/>
  <c r="H329" i="33"/>
  <c r="C331" i="33" l="1"/>
  <c r="H330" i="33"/>
  <c r="C331" i="35"/>
  <c r="H330" i="35"/>
  <c r="C331" i="34"/>
  <c r="H330" i="34"/>
  <c r="C332" i="36"/>
  <c r="H331" i="36"/>
  <c r="C333" i="36" l="1"/>
  <c r="H332" i="36"/>
  <c r="C332" i="35"/>
  <c r="H331" i="35"/>
  <c r="C332" i="34"/>
  <c r="H331" i="34"/>
  <c r="C332" i="33"/>
  <c r="H331" i="33"/>
  <c r="C333" i="33" l="1"/>
  <c r="H332" i="33"/>
  <c r="C333" i="35"/>
  <c r="H332" i="35"/>
  <c r="C333" i="34"/>
  <c r="H332" i="34"/>
  <c r="C334" i="36"/>
  <c r="H333" i="36"/>
  <c r="C334" i="35" l="1"/>
  <c r="H333" i="35"/>
  <c r="C335" i="36"/>
  <c r="H334" i="36"/>
  <c r="C334" i="34"/>
  <c r="H333" i="34"/>
  <c r="C334" i="33"/>
  <c r="H333" i="33"/>
  <c r="C336" i="36" l="1"/>
  <c r="H335" i="36"/>
  <c r="C335" i="33"/>
  <c r="H334" i="33"/>
  <c r="C335" i="34"/>
  <c r="H334" i="34"/>
  <c r="C335" i="35"/>
  <c r="H334" i="35"/>
  <c r="C336" i="35" l="1"/>
  <c r="H335" i="35"/>
  <c r="C336" i="33"/>
  <c r="H335" i="33"/>
  <c r="C336" i="34"/>
  <c r="H335" i="34"/>
  <c r="C337" i="36"/>
  <c r="H336" i="36"/>
  <c r="C338" i="36" l="1"/>
  <c r="H337" i="36"/>
  <c r="C337" i="33"/>
  <c r="H336" i="33"/>
  <c r="C337" i="34"/>
  <c r="H336" i="34"/>
  <c r="C337" i="35"/>
  <c r="H336" i="35"/>
  <c r="C338" i="35" l="1"/>
  <c r="H337" i="35"/>
  <c r="C338" i="33"/>
  <c r="H337" i="33"/>
  <c r="C338" i="34"/>
  <c r="H337" i="34"/>
  <c r="C339" i="36"/>
  <c r="H338" i="36"/>
  <c r="C339" i="33" l="1"/>
  <c r="H338" i="33"/>
  <c r="C340" i="36"/>
  <c r="H339" i="36"/>
  <c r="C339" i="34"/>
  <c r="H338" i="34"/>
  <c r="C339" i="35"/>
  <c r="H338" i="35"/>
  <c r="C341" i="36" l="1"/>
  <c r="H340" i="36"/>
  <c r="C340" i="35"/>
  <c r="H339" i="35"/>
  <c r="C340" i="34"/>
  <c r="H339" i="34"/>
  <c r="C340" i="33"/>
  <c r="H339" i="33"/>
  <c r="C341" i="33" l="1"/>
  <c r="H340" i="33"/>
  <c r="C341" i="35"/>
  <c r="H340" i="35"/>
  <c r="C341" i="34"/>
  <c r="H340" i="34"/>
  <c r="C342" i="36"/>
  <c r="H341" i="36"/>
  <c r="C342" i="34" l="1"/>
  <c r="H341" i="34"/>
  <c r="C343" i="36"/>
  <c r="H342" i="36"/>
  <c r="C342" i="35"/>
  <c r="H341" i="35"/>
  <c r="C342" i="33"/>
  <c r="H341" i="33"/>
  <c r="C343" i="33" l="1"/>
  <c r="H342" i="33"/>
  <c r="C344" i="36"/>
  <c r="H343" i="36"/>
  <c r="C343" i="35"/>
  <c r="H342" i="35"/>
  <c r="C343" i="34"/>
  <c r="H342" i="34"/>
  <c r="C344" i="34" l="1"/>
  <c r="H343" i="34"/>
  <c r="C345" i="36"/>
  <c r="H344" i="36"/>
  <c r="C344" i="35"/>
  <c r="H343" i="35"/>
  <c r="C344" i="33"/>
  <c r="H343" i="33"/>
  <c r="C346" i="36" l="1"/>
  <c r="H345" i="36"/>
  <c r="C345" i="33"/>
  <c r="H344" i="33"/>
  <c r="C345" i="35"/>
  <c r="H344" i="35"/>
  <c r="C345" i="34"/>
  <c r="H344" i="34"/>
  <c r="C346" i="34" l="1"/>
  <c r="H345" i="34"/>
  <c r="C346" i="33"/>
  <c r="H345" i="33"/>
  <c r="C346" i="35"/>
  <c r="H345" i="35"/>
  <c r="C347" i="36"/>
  <c r="H346" i="36"/>
  <c r="C348" i="36" l="1"/>
  <c r="H347" i="36"/>
  <c r="C347" i="33"/>
  <c r="H346" i="33"/>
  <c r="C347" i="35"/>
  <c r="H346" i="35"/>
  <c r="C347" i="34"/>
  <c r="H346" i="34"/>
  <c r="C348" i="34" l="1"/>
  <c r="H347" i="34"/>
  <c r="C348" i="33"/>
  <c r="H347" i="33"/>
  <c r="C348" i="35"/>
  <c r="H347" i="35"/>
  <c r="C349" i="36"/>
  <c r="H348" i="36"/>
  <c r="C349" i="33" l="1"/>
  <c r="H348" i="33"/>
  <c r="C350" i="36"/>
  <c r="H349" i="36"/>
  <c r="C349" i="35"/>
  <c r="H348" i="35"/>
  <c r="C349" i="34"/>
  <c r="H348" i="34"/>
  <c r="C350" i="34" l="1"/>
  <c r="H349" i="34"/>
  <c r="C351" i="36"/>
  <c r="H350" i="36"/>
  <c r="C350" i="35"/>
  <c r="H349" i="35"/>
  <c r="C350" i="33"/>
  <c r="H349" i="33"/>
  <c r="C352" i="36" l="1"/>
  <c r="H351" i="36"/>
  <c r="C351" i="33"/>
  <c r="H350" i="33"/>
  <c r="C351" i="35"/>
  <c r="H350" i="35"/>
  <c r="C351" i="34"/>
  <c r="H350" i="34"/>
  <c r="C352" i="33" l="1"/>
  <c r="H351" i="33"/>
  <c r="C352" i="34"/>
  <c r="H351" i="34"/>
  <c r="C352" i="35"/>
  <c r="H351" i="35"/>
  <c r="C353" i="36"/>
  <c r="H352" i="36"/>
  <c r="C354" i="36" l="1"/>
  <c r="H353" i="36"/>
  <c r="C353" i="34"/>
  <c r="H352" i="34"/>
  <c r="C353" i="35"/>
  <c r="H352" i="35"/>
  <c r="C353" i="33"/>
  <c r="H352" i="33"/>
  <c r="C354" i="34" l="1"/>
  <c r="H353" i="34"/>
  <c r="C354" i="33"/>
  <c r="H353" i="33"/>
  <c r="C354" i="35"/>
  <c r="H353" i="35"/>
  <c r="C355" i="36"/>
  <c r="H354" i="36"/>
  <c r="C356" i="36" l="1"/>
  <c r="H355" i="36"/>
  <c r="C355" i="33"/>
  <c r="H354" i="33"/>
  <c r="C355" i="35"/>
  <c r="H354" i="35"/>
  <c r="C355" i="34"/>
  <c r="H354" i="34"/>
  <c r="C356" i="34" l="1"/>
  <c r="H355" i="34"/>
  <c r="C356" i="33"/>
  <c r="H355" i="33"/>
  <c r="C356" i="35"/>
  <c r="H355" i="35"/>
  <c r="C357" i="36"/>
  <c r="H356" i="36"/>
  <c r="C358" i="36" l="1"/>
  <c r="H357" i="36"/>
  <c r="C357" i="33"/>
  <c r="H356" i="33"/>
  <c r="C357" i="35"/>
  <c r="H356" i="35"/>
  <c r="C357" i="34"/>
  <c r="H356" i="34"/>
  <c r="C358" i="33" l="1"/>
  <c r="H357" i="33"/>
  <c r="C358" i="34"/>
  <c r="H357" i="34"/>
  <c r="C358" i="35"/>
  <c r="H357" i="35"/>
  <c r="C359" i="36"/>
  <c r="H358" i="36"/>
  <c r="C359" i="34" l="1"/>
  <c r="H358" i="34"/>
  <c r="C360" i="36"/>
  <c r="H359" i="36"/>
  <c r="C359" i="35"/>
  <c r="H358" i="35"/>
  <c r="C359" i="33"/>
  <c r="H358" i="33"/>
  <c r="C361" i="36" l="1"/>
  <c r="H360" i="36"/>
  <c r="C360" i="33"/>
  <c r="H359" i="33"/>
  <c r="C360" i="35"/>
  <c r="H359" i="35"/>
  <c r="C360" i="34"/>
  <c r="H359" i="34"/>
  <c r="C361" i="34" l="1"/>
  <c r="H360" i="34"/>
  <c r="C361" i="33"/>
  <c r="H360" i="33"/>
  <c r="C361" i="35"/>
  <c r="H360" i="35"/>
  <c r="C362" i="36"/>
  <c r="H361" i="36"/>
  <c r="C362" i="33" l="1"/>
  <c r="H361" i="33"/>
  <c r="C363" i="36"/>
  <c r="H362" i="36"/>
  <c r="C362" i="35"/>
  <c r="H361" i="35"/>
  <c r="C362" i="34"/>
  <c r="H361" i="34"/>
  <c r="C363" i="34" l="1"/>
  <c r="H362" i="34"/>
  <c r="C364" i="36"/>
  <c r="H363" i="36"/>
  <c r="C363" i="35"/>
  <c r="H362" i="35"/>
  <c r="C363" i="33"/>
  <c r="H362" i="33"/>
  <c r="C365" i="36" l="1"/>
  <c r="H364" i="36"/>
  <c r="C364" i="33"/>
  <c r="H363" i="33"/>
  <c r="C364" i="35"/>
  <c r="H363" i="35"/>
  <c r="C364" i="34"/>
  <c r="H363" i="34"/>
  <c r="C365" i="34" l="1"/>
  <c r="H364" i="34"/>
  <c r="C365" i="33"/>
  <c r="H364" i="33"/>
  <c r="C365" i="35"/>
  <c r="H364" i="35"/>
  <c r="C366" i="36"/>
  <c r="H365" i="36"/>
  <c r="C367" i="36" l="1"/>
  <c r="H366" i="36"/>
  <c r="C366" i="33"/>
  <c r="H365" i="33"/>
  <c r="C366" i="35"/>
  <c r="H365" i="35"/>
  <c r="C366" i="34"/>
  <c r="H365" i="34"/>
  <c r="C367" i="34" l="1"/>
  <c r="H366" i="34"/>
  <c r="C367" i="33"/>
  <c r="H366" i="33"/>
  <c r="C367" i="35"/>
  <c r="H366" i="35"/>
  <c r="C368" i="36"/>
  <c r="H367" i="36"/>
  <c r="C369" i="36" l="1"/>
  <c r="H368" i="36"/>
  <c r="C368" i="33"/>
  <c r="H367" i="33"/>
  <c r="C368" i="35"/>
  <c r="H367" i="35"/>
  <c r="C368" i="34"/>
  <c r="H367" i="34"/>
  <c r="C369" i="34" l="1"/>
  <c r="H368" i="34"/>
  <c r="C369" i="33"/>
  <c r="H368" i="33"/>
  <c r="C369" i="35"/>
  <c r="H368" i="35"/>
  <c r="C370" i="36"/>
  <c r="H369" i="36"/>
  <c r="C371" i="36" l="1"/>
  <c r="H370" i="36"/>
  <c r="C370" i="33"/>
  <c r="H369" i="33"/>
  <c r="C370" i="35"/>
  <c r="H369" i="35"/>
  <c r="C370" i="34"/>
  <c r="H369" i="34"/>
  <c r="C371" i="33" l="1"/>
  <c r="H370" i="33"/>
  <c r="C371" i="34"/>
  <c r="H370" i="34"/>
  <c r="C371" i="35"/>
  <c r="H370" i="35"/>
  <c r="C372" i="36"/>
  <c r="H371" i="36"/>
  <c r="C373" i="36" l="1"/>
  <c r="H372" i="36"/>
  <c r="C372" i="34"/>
  <c r="H371" i="34"/>
  <c r="C372" i="35"/>
  <c r="H371" i="35"/>
  <c r="C372" i="33"/>
  <c r="H371" i="33"/>
  <c r="C373" i="33" l="1"/>
  <c r="H372" i="33"/>
  <c r="C373" i="34"/>
  <c r="H372" i="34"/>
  <c r="C373" i="35"/>
  <c r="H372" i="35"/>
  <c r="C374" i="36"/>
  <c r="H373" i="36"/>
  <c r="C374" i="34" l="1"/>
  <c r="H373" i="34"/>
  <c r="C375" i="36"/>
  <c r="H374" i="36"/>
  <c r="C374" i="35"/>
  <c r="H373" i="35"/>
  <c r="C374" i="33"/>
  <c r="H373" i="33"/>
  <c r="C375" i="33" l="1"/>
  <c r="H374" i="33"/>
  <c r="C376" i="36"/>
  <c r="H375" i="36"/>
  <c r="C375" i="35"/>
  <c r="H374" i="35"/>
  <c r="C375" i="34"/>
  <c r="H374" i="34"/>
  <c r="C376" i="34" l="1"/>
  <c r="H375" i="34"/>
  <c r="C377" i="36"/>
  <c r="H376" i="36"/>
  <c r="C376" i="35"/>
  <c r="H375" i="35"/>
  <c r="C376" i="33"/>
  <c r="H375" i="33"/>
  <c r="C378" i="36" l="1"/>
  <c r="H377" i="36"/>
  <c r="C377" i="33"/>
  <c r="H376" i="33"/>
  <c r="C377" i="35"/>
  <c r="H376" i="35"/>
  <c r="C377" i="34"/>
  <c r="H376" i="34"/>
  <c r="C378" i="34" l="1"/>
  <c r="H377" i="34"/>
  <c r="C378" i="33"/>
  <c r="H377" i="33"/>
  <c r="C378" i="35"/>
  <c r="H377" i="35"/>
  <c r="C379" i="36"/>
  <c r="H378" i="36"/>
  <c r="C380" i="36" l="1"/>
  <c r="H379" i="36"/>
  <c r="C379" i="33"/>
  <c r="H378" i="33"/>
  <c r="C379" i="35"/>
  <c r="H378" i="35"/>
  <c r="C379" i="34"/>
  <c r="H378" i="34"/>
  <c r="C380" i="33" l="1"/>
  <c r="H379" i="33"/>
  <c r="C380" i="35"/>
  <c r="H379" i="35"/>
  <c r="C381" i="36"/>
  <c r="H380" i="36"/>
  <c r="C380" i="34"/>
  <c r="H379" i="34"/>
  <c r="C381" i="34" l="1"/>
  <c r="H380" i="34"/>
  <c r="C381" i="35"/>
  <c r="H380" i="35"/>
  <c r="C382" i="36"/>
  <c r="H381" i="36"/>
  <c r="C381" i="33"/>
  <c r="H380" i="33"/>
  <c r="C382" i="33" l="1"/>
  <c r="H381" i="33"/>
  <c r="C382" i="35"/>
  <c r="H381" i="35"/>
  <c r="C383" i="36"/>
  <c r="H382" i="36"/>
  <c r="C382" i="34"/>
  <c r="H381" i="34"/>
  <c r="C383" i="35" l="1"/>
  <c r="H382" i="35"/>
  <c r="C383" i="34"/>
  <c r="H382" i="34"/>
  <c r="C384" i="36"/>
  <c r="H383" i="36"/>
  <c r="C383" i="33"/>
  <c r="H382" i="33"/>
  <c r="C384" i="33" l="1"/>
  <c r="H383" i="33"/>
  <c r="C384" i="34"/>
  <c r="H383" i="34"/>
  <c r="C385" i="36"/>
  <c r="H384" i="36"/>
  <c r="C384" i="35"/>
  <c r="H383" i="35"/>
  <c r="C385" i="34" l="1"/>
  <c r="H384" i="34"/>
  <c r="C385" i="35"/>
  <c r="H384" i="35"/>
  <c r="C386" i="36"/>
  <c r="H385" i="36"/>
  <c r="C385" i="33"/>
  <c r="H384" i="33"/>
  <c r="C386" i="33" l="1"/>
  <c r="H385" i="33"/>
  <c r="C387" i="36"/>
  <c r="H386" i="36"/>
  <c r="C386" i="35"/>
  <c r="H385" i="35"/>
  <c r="C386" i="34"/>
  <c r="H385" i="34"/>
  <c r="C388" i="36" l="1"/>
  <c r="H387" i="36"/>
  <c r="C387" i="34"/>
  <c r="H386" i="34"/>
  <c r="C387" i="35"/>
  <c r="H386" i="35"/>
  <c r="C387" i="33"/>
  <c r="H386" i="33"/>
  <c r="C388" i="34" l="1"/>
  <c r="H387" i="34"/>
  <c r="C388" i="33"/>
  <c r="H387" i="33"/>
  <c r="C388" i="35"/>
  <c r="H387" i="35"/>
  <c r="C389" i="36"/>
  <c r="H388" i="36"/>
  <c r="C390" i="36" l="1"/>
  <c r="H389" i="36"/>
  <c r="C389" i="33"/>
  <c r="H388" i="33"/>
  <c r="C389" i="35"/>
  <c r="H388" i="35"/>
  <c r="C389" i="34"/>
  <c r="H388" i="34"/>
  <c r="C390" i="33" l="1"/>
  <c r="H389" i="33"/>
  <c r="C390" i="34"/>
  <c r="H389" i="34"/>
  <c r="C390" i="35"/>
  <c r="H389" i="35"/>
  <c r="C391" i="36"/>
  <c r="H390" i="36"/>
  <c r="C391" i="34" l="1"/>
  <c r="H390" i="34"/>
  <c r="C392" i="36"/>
  <c r="H391" i="36"/>
  <c r="C391" i="35"/>
  <c r="H390" i="35"/>
  <c r="C391" i="33"/>
  <c r="H390" i="33"/>
  <c r="C392" i="33" l="1"/>
  <c r="H391" i="33"/>
  <c r="C393" i="36"/>
  <c r="H392" i="36"/>
  <c r="C392" i="35"/>
  <c r="H391" i="35"/>
  <c r="C392" i="34"/>
  <c r="H391" i="34"/>
  <c r="C393" i="34" l="1"/>
  <c r="H392" i="34"/>
  <c r="C394" i="36"/>
  <c r="H393" i="36"/>
  <c r="C393" i="35"/>
  <c r="H392" i="35"/>
  <c r="C393" i="33"/>
  <c r="H392" i="33"/>
  <c r="C395" i="36" l="1"/>
  <c r="H394" i="36"/>
  <c r="C394" i="33"/>
  <c r="H393" i="33"/>
  <c r="C394" i="35"/>
  <c r="H393" i="35"/>
  <c r="C394" i="34"/>
  <c r="H393" i="34"/>
  <c r="C395" i="33" l="1"/>
  <c r="H394" i="33"/>
  <c r="C395" i="34"/>
  <c r="H394" i="34"/>
  <c r="C395" i="35"/>
  <c r="H394" i="35"/>
  <c r="C396" i="36"/>
  <c r="H395" i="36"/>
  <c r="C396" i="34" l="1"/>
  <c r="H395" i="34"/>
  <c r="C396" i="35"/>
  <c r="H395" i="35"/>
  <c r="C397" i="36"/>
  <c r="H396" i="36"/>
  <c r="C396" i="33"/>
  <c r="H395" i="33"/>
  <c r="C397" i="33" l="1"/>
  <c r="H396" i="33"/>
  <c r="C397" i="35"/>
  <c r="H396" i="35"/>
  <c r="C398" i="36"/>
  <c r="H397" i="36"/>
  <c r="C397" i="34"/>
  <c r="H396" i="34"/>
  <c r="C398" i="34" l="1"/>
  <c r="H397" i="34"/>
  <c r="C398" i="35"/>
  <c r="H397" i="35"/>
  <c r="C399" i="36"/>
  <c r="H398" i="36"/>
  <c r="C398" i="33"/>
  <c r="H397" i="33"/>
  <c r="C399" i="33" l="1"/>
  <c r="H398" i="33"/>
  <c r="C399" i="35"/>
  <c r="H398" i="35"/>
  <c r="C400" i="36"/>
  <c r="H399" i="36"/>
  <c r="C399" i="34"/>
  <c r="H398" i="34"/>
  <c r="C400" i="35" l="1"/>
  <c r="H399" i="35"/>
  <c r="C400" i="34"/>
  <c r="H399" i="34"/>
  <c r="C401" i="36"/>
  <c r="H400" i="36"/>
  <c r="C400" i="33"/>
  <c r="H399" i="33"/>
  <c r="C401" i="33" l="1"/>
  <c r="H400" i="33"/>
  <c r="C401" i="34"/>
  <c r="H400" i="34"/>
  <c r="C402" i="36"/>
  <c r="H401" i="36"/>
  <c r="C401" i="35"/>
  <c r="H400" i="35"/>
  <c r="C402" i="35" l="1"/>
  <c r="H401" i="35"/>
  <c r="C402" i="34"/>
  <c r="H401" i="34"/>
  <c r="C403" i="36"/>
  <c r="H402" i="36"/>
  <c r="C402" i="33"/>
  <c r="H401" i="33"/>
  <c r="C403" i="34" l="1"/>
  <c r="H402" i="34"/>
  <c r="C403" i="33"/>
  <c r="H402" i="33"/>
  <c r="C404" i="36"/>
  <c r="H403" i="36"/>
  <c r="C403" i="35"/>
  <c r="H402" i="35"/>
  <c r="C404" i="33" l="1"/>
  <c r="H403" i="33"/>
  <c r="C404" i="35"/>
  <c r="H403" i="35"/>
  <c r="C405" i="36"/>
  <c r="H404" i="36"/>
  <c r="C404" i="34"/>
  <c r="H403" i="34"/>
  <c r="C405" i="34" l="1"/>
  <c r="H404" i="34"/>
  <c r="C405" i="35"/>
  <c r="H404" i="35"/>
  <c r="C406" i="36"/>
  <c r="H405" i="36"/>
  <c r="C405" i="33"/>
  <c r="H404" i="33"/>
  <c r="C406" i="33" l="1"/>
  <c r="H405" i="33"/>
  <c r="C406" i="35"/>
  <c r="H405" i="35"/>
  <c r="C407" i="36"/>
  <c r="H406" i="36"/>
  <c r="C406" i="34"/>
  <c r="H405" i="34"/>
  <c r="C407" i="34" l="1"/>
  <c r="H406" i="34"/>
  <c r="C407" i="35"/>
  <c r="H406" i="35"/>
  <c r="C408" i="36"/>
  <c r="H407" i="36"/>
  <c r="C407" i="33"/>
  <c r="H406" i="33"/>
  <c r="C408" i="35" l="1"/>
  <c r="H407" i="35"/>
  <c r="C408" i="33"/>
  <c r="H407" i="33"/>
  <c r="C409" i="36"/>
  <c r="H408" i="36"/>
  <c r="C408" i="34"/>
  <c r="H407" i="34"/>
  <c r="C409" i="34" l="1"/>
  <c r="H408" i="34"/>
  <c r="C409" i="33"/>
  <c r="H408" i="33"/>
  <c r="C410" i="36"/>
  <c r="H409" i="36"/>
  <c r="C409" i="35"/>
  <c r="H408" i="35"/>
  <c r="C410" i="35" l="1"/>
  <c r="H409" i="35"/>
  <c r="C410" i="33"/>
  <c r="H409" i="33"/>
  <c r="C411" i="36"/>
  <c r="H410" i="36"/>
  <c r="C410" i="34"/>
  <c r="H409" i="34"/>
  <c r="C411" i="34" l="1"/>
  <c r="H410" i="34"/>
  <c r="C411" i="33"/>
  <c r="H410" i="33"/>
  <c r="C412" i="36"/>
  <c r="H411" i="36"/>
  <c r="C411" i="35"/>
  <c r="H410" i="35"/>
  <c r="C412" i="33" l="1"/>
  <c r="H411" i="33"/>
  <c r="C412" i="35"/>
  <c r="H411" i="35"/>
  <c r="C413" i="36"/>
  <c r="H412" i="36"/>
  <c r="C412" i="34"/>
  <c r="H411" i="34"/>
  <c r="C413" i="34" l="1"/>
  <c r="H412" i="34"/>
  <c r="C413" i="35"/>
  <c r="H412" i="35"/>
  <c r="C414" i="36"/>
  <c r="H413" i="36"/>
  <c r="C413" i="33"/>
  <c r="H412" i="33"/>
  <c r="C414" i="33" l="1"/>
  <c r="H413" i="33"/>
  <c r="C414" i="35"/>
  <c r="H413" i="35"/>
  <c r="C415" i="36"/>
  <c r="H414" i="36"/>
  <c r="C414" i="34"/>
  <c r="H413" i="34"/>
  <c r="C415" i="34" l="1"/>
  <c r="H414" i="34"/>
  <c r="C415" i="35"/>
  <c r="H414" i="35"/>
  <c r="C416" i="36"/>
  <c r="H415" i="36"/>
  <c r="C415" i="33"/>
  <c r="H414" i="33"/>
  <c r="C416" i="33" l="1"/>
  <c r="H415" i="33"/>
  <c r="C416" i="35"/>
  <c r="H415" i="35"/>
  <c r="C417" i="36"/>
  <c r="H416" i="36"/>
  <c r="C416" i="34"/>
  <c r="H415" i="34"/>
  <c r="C417" i="35" l="1"/>
  <c r="H416" i="35"/>
  <c r="C417" i="34"/>
  <c r="H416" i="34"/>
  <c r="C418" i="36"/>
  <c r="H417" i="36"/>
  <c r="C417" i="33"/>
  <c r="H416" i="33"/>
  <c r="C418" i="34" l="1"/>
  <c r="H417" i="34"/>
  <c r="C418" i="33"/>
  <c r="H417" i="33"/>
  <c r="C419" i="36"/>
  <c r="H418" i="36"/>
  <c r="C418" i="35"/>
  <c r="H417" i="35"/>
  <c r="C419" i="35" l="1"/>
  <c r="H418" i="35"/>
  <c r="C419" i="33"/>
  <c r="H418" i="33"/>
  <c r="C420" i="36"/>
  <c r="H419" i="36"/>
  <c r="C419" i="34"/>
  <c r="H418" i="34"/>
  <c r="C420" i="34" l="1"/>
  <c r="H419" i="34"/>
  <c r="C420" i="33"/>
  <c r="H419" i="33"/>
  <c r="C421" i="36"/>
  <c r="H420" i="36"/>
  <c r="C420" i="35"/>
  <c r="H419" i="35"/>
  <c r="C421" i="33" l="1"/>
  <c r="H420" i="33"/>
  <c r="C421" i="35"/>
  <c r="H420" i="35"/>
  <c r="C422" i="36"/>
  <c r="H421" i="36"/>
  <c r="C421" i="34"/>
  <c r="H420" i="34"/>
  <c r="C422" i="34" l="1"/>
  <c r="H421" i="34"/>
  <c r="C422" i="35"/>
  <c r="H421" i="35"/>
  <c r="C423" i="36"/>
  <c r="H422" i="36"/>
  <c r="C422" i="33"/>
  <c r="H421" i="33"/>
  <c r="C423" i="35" l="1"/>
  <c r="H422" i="35"/>
  <c r="C423" i="33"/>
  <c r="H422" i="33"/>
  <c r="C424" i="36"/>
  <c r="H423" i="36"/>
  <c r="C423" i="34"/>
  <c r="H422" i="34"/>
  <c r="C424" i="33" l="1"/>
  <c r="H423" i="33"/>
  <c r="C424" i="34"/>
  <c r="H423" i="34"/>
  <c r="C425" i="36"/>
  <c r="H424" i="36"/>
  <c r="C424" i="35"/>
  <c r="H423" i="35"/>
  <c r="C425" i="35" l="1"/>
  <c r="H424" i="35"/>
  <c r="C425" i="34"/>
  <c r="H424" i="34"/>
  <c r="C426" i="36"/>
  <c r="H425" i="36"/>
  <c r="C425" i="33"/>
  <c r="H424" i="33"/>
  <c r="C426" i="34" l="1"/>
  <c r="H425" i="34"/>
  <c r="C426" i="33"/>
  <c r="H425" i="33"/>
  <c r="C427" i="36"/>
  <c r="H426" i="36"/>
  <c r="C426" i="35"/>
  <c r="H425" i="35"/>
  <c r="C427" i="35" l="1"/>
  <c r="H426" i="35"/>
  <c r="C427" i="33"/>
  <c r="H426" i="33"/>
  <c r="C428" i="36"/>
  <c r="H427" i="36"/>
  <c r="C427" i="34"/>
  <c r="H426" i="34"/>
  <c r="C428" i="34" l="1"/>
  <c r="H427" i="34"/>
  <c r="C428" i="33"/>
  <c r="H427" i="33"/>
  <c r="C429" i="36"/>
  <c r="H428" i="36"/>
  <c r="C428" i="35"/>
  <c r="H427" i="35"/>
  <c r="C429" i="35" l="1"/>
  <c r="H428" i="35"/>
  <c r="C429" i="33"/>
  <c r="H428" i="33"/>
  <c r="C430" i="36"/>
  <c r="H429" i="36"/>
  <c r="C429" i="34"/>
  <c r="H428" i="34"/>
  <c r="C430" i="34" l="1"/>
  <c r="H429" i="34"/>
  <c r="C430" i="33"/>
  <c r="H429" i="33"/>
  <c r="C431" i="36"/>
  <c r="H430" i="36"/>
  <c r="C430" i="35"/>
  <c r="H429" i="35"/>
  <c r="C431" i="35" l="1"/>
  <c r="H430" i="35"/>
  <c r="C431" i="33"/>
  <c r="H430" i="33"/>
  <c r="C432" i="36"/>
  <c r="H431" i="36"/>
  <c r="C431" i="34"/>
  <c r="H430" i="34"/>
  <c r="C432" i="33" l="1"/>
  <c r="H431" i="33"/>
  <c r="C432" i="34"/>
  <c r="H431" i="34"/>
  <c r="C433" i="36"/>
  <c r="H432" i="36"/>
  <c r="C432" i="35"/>
  <c r="H431" i="35"/>
  <c r="C433" i="35" l="1"/>
  <c r="H432" i="35"/>
  <c r="C433" i="34"/>
  <c r="H432" i="34"/>
  <c r="C434" i="36"/>
  <c r="H433" i="36"/>
  <c r="C433" i="33"/>
  <c r="H432" i="33"/>
  <c r="C434" i="34" l="1"/>
  <c r="H433" i="34"/>
  <c r="C435" i="36"/>
  <c r="H434" i="36"/>
  <c r="C434" i="33"/>
  <c r="H433" i="33"/>
  <c r="C434" i="35"/>
  <c r="H433" i="35"/>
  <c r="C435" i="35" l="1"/>
  <c r="H434" i="35"/>
  <c r="C436" i="36"/>
  <c r="H435" i="36"/>
  <c r="C435" i="33"/>
  <c r="H434" i="33"/>
  <c r="C435" i="34"/>
  <c r="H434" i="34"/>
  <c r="C436" i="34" l="1"/>
  <c r="H435" i="34"/>
  <c r="C437" i="36"/>
  <c r="H436" i="36"/>
  <c r="C436" i="33"/>
  <c r="H435" i="33"/>
  <c r="C436" i="35"/>
  <c r="H435" i="35"/>
  <c r="C437" i="35" l="1"/>
  <c r="H436" i="35"/>
  <c r="C438" i="36"/>
  <c r="H437" i="36"/>
  <c r="C437" i="33"/>
  <c r="H436" i="33"/>
  <c r="C437" i="34"/>
  <c r="H436" i="34"/>
  <c r="C439" i="36" l="1"/>
  <c r="H438" i="36"/>
  <c r="C438" i="34"/>
  <c r="H437" i="34"/>
  <c r="C438" i="33"/>
  <c r="H437" i="33"/>
  <c r="C438" i="35"/>
  <c r="H437" i="35"/>
  <c r="C439" i="35" l="1"/>
  <c r="H438" i="35"/>
  <c r="C439" i="34"/>
  <c r="H438" i="34"/>
  <c r="C439" i="33"/>
  <c r="H438" i="33"/>
  <c r="C440" i="36"/>
  <c r="H439" i="36"/>
  <c r="C440" i="34" l="1"/>
  <c r="H439" i="34"/>
  <c r="C441" i="36"/>
  <c r="H440" i="36"/>
  <c r="C440" i="33"/>
  <c r="H439" i="33"/>
  <c r="C440" i="35"/>
  <c r="H439" i="35"/>
  <c r="C441" i="35" l="1"/>
  <c r="H440" i="35"/>
  <c r="C442" i="36"/>
  <c r="H441" i="36"/>
  <c r="C441" i="33"/>
  <c r="H440" i="33"/>
  <c r="C441" i="34"/>
  <c r="H440" i="34"/>
  <c r="C442" i="34" l="1"/>
  <c r="H441" i="34"/>
  <c r="C442" i="33"/>
  <c r="H441" i="33"/>
  <c r="C443" i="36"/>
  <c r="H442" i="36"/>
  <c r="C442" i="35"/>
  <c r="H441" i="35"/>
  <c r="C443" i="35" l="1"/>
  <c r="H442" i="35"/>
  <c r="C443" i="33"/>
  <c r="H442" i="33"/>
  <c r="C444" i="36"/>
  <c r="H443" i="36"/>
  <c r="C443" i="34"/>
  <c r="H442" i="34"/>
  <c r="C444" i="33" l="1"/>
  <c r="H443" i="33"/>
  <c r="C444" i="34"/>
  <c r="H443" i="34"/>
  <c r="C445" i="36"/>
  <c r="H444" i="36"/>
  <c r="C444" i="35"/>
  <c r="H443" i="35"/>
  <c r="C445" i="35" l="1"/>
  <c r="H444" i="35"/>
  <c r="C445" i="34"/>
  <c r="H444" i="34"/>
  <c r="C446" i="36"/>
  <c r="H445" i="36"/>
  <c r="C445" i="33"/>
  <c r="H444" i="33"/>
  <c r="C446" i="34" l="1"/>
  <c r="H445" i="34"/>
  <c r="C446" i="33"/>
  <c r="H445" i="33"/>
  <c r="C447" i="36"/>
  <c r="H446" i="36"/>
  <c r="C446" i="35"/>
  <c r="H445" i="35"/>
  <c r="C447" i="35" l="1"/>
  <c r="H446" i="35"/>
  <c r="C447" i="33"/>
  <c r="H446" i="33"/>
  <c r="C448" i="36"/>
  <c r="H447" i="36"/>
  <c r="C447" i="34"/>
  <c r="H446" i="34"/>
  <c r="C448" i="33" l="1"/>
  <c r="H447" i="33"/>
  <c r="C448" i="34"/>
  <c r="H447" i="34"/>
  <c r="C449" i="36"/>
  <c r="H448" i="36"/>
  <c r="C448" i="35"/>
  <c r="H447" i="35"/>
  <c r="C449" i="35" l="1"/>
  <c r="H448" i="35"/>
  <c r="C449" i="34"/>
  <c r="H448" i="34"/>
  <c r="C450" i="36"/>
  <c r="H449" i="36"/>
  <c r="C449" i="33"/>
  <c r="H448" i="33"/>
  <c r="C450" i="33" l="1"/>
  <c r="H449" i="33"/>
  <c r="C450" i="34"/>
  <c r="H449" i="34"/>
  <c r="C451" i="36"/>
  <c r="H450" i="36"/>
  <c r="C450" i="35"/>
  <c r="H449" i="35"/>
  <c r="C451" i="35" l="1"/>
  <c r="H450" i="35"/>
  <c r="C452" i="36"/>
  <c r="H451" i="36"/>
  <c r="C451" i="33"/>
  <c r="H450" i="33"/>
  <c r="C451" i="34"/>
  <c r="H450" i="34"/>
  <c r="C452" i="34" l="1"/>
  <c r="H451" i="34"/>
  <c r="C453" i="36"/>
  <c r="H452" i="36"/>
  <c r="C452" i="33"/>
  <c r="H451" i="33"/>
  <c r="C452" i="35"/>
  <c r="H451" i="35"/>
  <c r="C453" i="35" l="1"/>
  <c r="H452" i="35"/>
  <c r="C454" i="36"/>
  <c r="H453" i="36"/>
  <c r="C453" i="33"/>
  <c r="H452" i="33"/>
  <c r="C453" i="34"/>
  <c r="H452" i="34"/>
  <c r="C454" i="34" l="1"/>
  <c r="H453" i="34"/>
  <c r="C455" i="36"/>
  <c r="H454" i="36"/>
  <c r="C454" i="33"/>
  <c r="H453" i="33"/>
  <c r="C454" i="35"/>
  <c r="H453" i="35"/>
  <c r="C456" i="36" l="1"/>
  <c r="H455" i="36"/>
  <c r="C455" i="35"/>
  <c r="H454" i="35"/>
  <c r="C455" i="33"/>
  <c r="H454" i="33"/>
  <c r="C455" i="34"/>
  <c r="H454" i="34"/>
  <c r="C456" i="34" l="1"/>
  <c r="H455" i="34"/>
  <c r="C456" i="35"/>
  <c r="H455" i="35"/>
  <c r="C456" i="33"/>
  <c r="H455" i="33"/>
  <c r="C457" i="36"/>
  <c r="H456" i="36"/>
  <c r="C458" i="36" l="1"/>
  <c r="H457" i="36"/>
  <c r="C457" i="35"/>
  <c r="H456" i="35"/>
  <c r="C457" i="33"/>
  <c r="H456" i="33"/>
  <c r="C457" i="34"/>
  <c r="H456" i="34"/>
  <c r="C458" i="35" l="1"/>
  <c r="H457" i="35"/>
  <c r="C458" i="33"/>
  <c r="H457" i="33"/>
  <c r="C458" i="34"/>
  <c r="H457" i="34"/>
  <c r="C459" i="36"/>
  <c r="H458" i="36"/>
  <c r="C460" i="36" l="1"/>
  <c r="H459" i="36"/>
  <c r="C459" i="33"/>
  <c r="H458" i="33"/>
  <c r="C459" i="34"/>
  <c r="H458" i="34"/>
  <c r="C459" i="35"/>
  <c r="H458" i="35"/>
  <c r="C460" i="35" l="1"/>
  <c r="H459" i="35"/>
  <c r="C460" i="33"/>
  <c r="H459" i="33"/>
  <c r="C460" i="34"/>
  <c r="H459" i="34"/>
  <c r="C461" i="36"/>
  <c r="H460" i="36"/>
  <c r="C462" i="36" l="1"/>
  <c r="H461" i="36"/>
  <c r="C461" i="33"/>
  <c r="H460" i="33"/>
  <c r="C461" i="34"/>
  <c r="H460" i="34"/>
  <c r="C461" i="35"/>
  <c r="H460" i="35"/>
  <c r="C462" i="33" l="1"/>
  <c r="H461" i="33"/>
  <c r="C462" i="35"/>
  <c r="H461" i="35"/>
  <c r="C462" i="34"/>
  <c r="H461" i="34"/>
  <c r="C463" i="36"/>
  <c r="H462" i="36"/>
  <c r="C464" i="36" l="1"/>
  <c r="H463" i="36"/>
  <c r="C463" i="35"/>
  <c r="H462" i="35"/>
  <c r="C463" i="34"/>
  <c r="H462" i="34"/>
  <c r="C463" i="33"/>
  <c r="H462" i="33"/>
  <c r="C464" i="33" l="1"/>
  <c r="H463" i="33"/>
  <c r="C464" i="35"/>
  <c r="H463" i="35"/>
  <c r="C464" i="34"/>
  <c r="H463" i="34"/>
  <c r="C465" i="36"/>
  <c r="H464" i="36"/>
  <c r="C465" i="35" l="1"/>
  <c r="H464" i="35"/>
  <c r="C466" i="36"/>
  <c r="H465" i="36"/>
  <c r="C465" i="34"/>
  <c r="H464" i="34"/>
  <c r="C465" i="33"/>
  <c r="H464" i="33"/>
  <c r="C467" i="36" l="1"/>
  <c r="H466" i="36"/>
  <c r="C466" i="33"/>
  <c r="H465" i="33"/>
  <c r="C466" i="34"/>
  <c r="H465" i="34"/>
  <c r="C466" i="35"/>
  <c r="H465" i="35"/>
  <c r="C467" i="33" l="1"/>
  <c r="H466" i="33"/>
  <c r="C467" i="35"/>
  <c r="H466" i="35"/>
  <c r="C467" i="34"/>
  <c r="H466" i="34"/>
  <c r="C468" i="36"/>
  <c r="H467" i="36"/>
  <c r="C469" i="36" l="1"/>
  <c r="H468" i="36"/>
  <c r="C468" i="35"/>
  <c r="H467" i="35"/>
  <c r="C468" i="34"/>
  <c r="H467" i="34"/>
  <c r="C468" i="33"/>
  <c r="H467" i="33"/>
  <c r="C469" i="33" l="1"/>
  <c r="H468" i="33"/>
  <c r="C469" i="35"/>
  <c r="H468" i="35"/>
  <c r="C469" i="34"/>
  <c r="H468" i="34"/>
  <c r="C470" i="36"/>
  <c r="H469" i="36"/>
  <c r="C470" i="35" l="1"/>
  <c r="H469" i="35"/>
  <c r="C471" i="36"/>
  <c r="H470" i="36"/>
  <c r="C470" i="34"/>
  <c r="H469" i="34"/>
  <c r="C470" i="33"/>
  <c r="H469" i="33"/>
  <c r="C471" i="33" l="1"/>
  <c r="H470" i="33"/>
  <c r="C472" i="36"/>
  <c r="H471" i="36"/>
  <c r="C471" i="34"/>
  <c r="H470" i="34"/>
  <c r="C471" i="35"/>
  <c r="H470" i="35"/>
  <c r="C472" i="35" l="1"/>
  <c r="H471" i="35"/>
  <c r="C473" i="36"/>
  <c r="H472" i="36"/>
  <c r="C472" i="34"/>
  <c r="H471" i="34"/>
  <c r="C472" i="33"/>
  <c r="H471" i="33"/>
  <c r="C473" i="33" l="1"/>
  <c r="H472" i="33"/>
  <c r="C474" i="36"/>
  <c r="H473" i="36"/>
  <c r="C473" i="34"/>
  <c r="H472" i="34"/>
  <c r="C473" i="35"/>
  <c r="H472" i="35"/>
  <c r="C474" i="35" l="1"/>
  <c r="H473" i="35"/>
  <c r="C475" i="36"/>
  <c r="H474" i="36"/>
  <c r="C474" i="34"/>
  <c r="H473" i="34"/>
  <c r="C474" i="33"/>
  <c r="H473" i="33"/>
  <c r="C475" i="33" l="1"/>
  <c r="H474" i="33"/>
  <c r="C476" i="36"/>
  <c r="H475" i="36"/>
  <c r="C475" i="34"/>
  <c r="H474" i="34"/>
  <c r="C475" i="35"/>
  <c r="H474" i="35"/>
  <c r="C477" i="36" l="1"/>
  <c r="H476" i="36"/>
  <c r="C476" i="35"/>
  <c r="H475" i="35"/>
  <c r="C476" i="34"/>
  <c r="H475" i="34"/>
  <c r="C476" i="33"/>
  <c r="H475" i="33"/>
  <c r="C477" i="35" l="1"/>
  <c r="H476" i="35"/>
  <c r="C477" i="33"/>
  <c r="H476" i="33"/>
  <c r="C477" i="34"/>
  <c r="H476" i="34"/>
  <c r="C478" i="36"/>
  <c r="H477" i="36"/>
  <c r="C478" i="33" l="1"/>
  <c r="H477" i="33"/>
  <c r="C479" i="36"/>
  <c r="H478" i="36"/>
  <c r="C478" i="34"/>
  <c r="H477" i="34"/>
  <c r="C478" i="35"/>
  <c r="H477" i="35"/>
  <c r="C479" i="35" l="1"/>
  <c r="H478" i="35"/>
  <c r="C480" i="36"/>
  <c r="H479" i="36"/>
  <c r="C479" i="34"/>
  <c r="H478" i="34"/>
  <c r="C479" i="33"/>
  <c r="H478" i="33"/>
  <c r="C480" i="33" l="1"/>
  <c r="H479" i="33"/>
  <c r="C481" i="36"/>
  <c r="H480" i="36"/>
  <c r="C480" i="34"/>
  <c r="H479" i="34"/>
  <c r="C480" i="35"/>
  <c r="H479" i="35"/>
  <c r="C481" i="35" l="1"/>
  <c r="H480" i="35"/>
  <c r="C482" i="36"/>
  <c r="H481" i="36"/>
  <c r="C481" i="34"/>
  <c r="H480" i="34"/>
  <c r="C481" i="33"/>
  <c r="H480" i="33"/>
  <c r="C482" i="33" l="1"/>
  <c r="H481" i="33"/>
  <c r="C483" i="36"/>
  <c r="H482" i="36"/>
  <c r="C482" i="34"/>
  <c r="H481" i="34"/>
  <c r="C482" i="35"/>
  <c r="H481" i="35"/>
  <c r="C483" i="35" l="1"/>
  <c r="H482" i="35"/>
  <c r="C484" i="36"/>
  <c r="H483" i="36"/>
  <c r="C483" i="34"/>
  <c r="H482" i="34"/>
  <c r="C483" i="33"/>
  <c r="H482" i="33"/>
  <c r="C484" i="33" l="1"/>
  <c r="H483" i="33"/>
  <c r="C485" i="36"/>
  <c r="H484" i="36"/>
  <c r="C484" i="34"/>
  <c r="H483" i="34"/>
  <c r="C484" i="35"/>
  <c r="H483" i="35"/>
  <c r="C485" i="35" l="1"/>
  <c r="H484" i="35"/>
  <c r="C486" i="36"/>
  <c r="H485" i="36"/>
  <c r="C485" i="34"/>
  <c r="H484" i="34"/>
  <c r="C485" i="33"/>
  <c r="H484" i="33"/>
  <c r="C487" i="36" l="1"/>
  <c r="H486" i="36"/>
  <c r="C486" i="33"/>
  <c r="H485" i="33"/>
  <c r="C486" i="34"/>
  <c r="H485" i="34"/>
  <c r="C486" i="35"/>
  <c r="H485" i="35"/>
  <c r="C487" i="35" l="1"/>
  <c r="H486" i="35"/>
  <c r="C487" i="33"/>
  <c r="H486" i="33"/>
  <c r="C487" i="34"/>
  <c r="H486" i="34"/>
  <c r="C488" i="36"/>
  <c r="H487" i="36"/>
  <c r="C489" i="36" l="1"/>
  <c r="H488" i="36"/>
  <c r="C488" i="33"/>
  <c r="H487" i="33"/>
  <c r="C488" i="34"/>
  <c r="H487" i="34"/>
  <c r="C488" i="35"/>
  <c r="H487" i="35"/>
  <c r="C489" i="35" l="1"/>
  <c r="H488" i="35"/>
  <c r="C489" i="33"/>
  <c r="H488" i="33"/>
  <c r="C489" i="34"/>
  <c r="H488" i="34"/>
  <c r="C490" i="36"/>
  <c r="H489" i="36"/>
  <c r="C491" i="36" l="1"/>
  <c r="H490" i="36"/>
  <c r="C490" i="33"/>
  <c r="H489" i="33"/>
  <c r="C490" i="34"/>
  <c r="H489" i="34"/>
  <c r="C490" i="35"/>
  <c r="H489" i="35"/>
  <c r="C491" i="35" l="1"/>
  <c r="H490" i="35"/>
  <c r="C491" i="33"/>
  <c r="H490" i="33"/>
  <c r="C491" i="34"/>
  <c r="H490" i="34"/>
  <c r="C492" i="36"/>
  <c r="H491" i="36"/>
  <c r="C493" i="36" l="1"/>
  <c r="H492" i="36"/>
  <c r="C492" i="33"/>
  <c r="H491" i="33"/>
  <c r="C492" i="34"/>
  <c r="H491" i="34"/>
  <c r="C492" i="35"/>
  <c r="H491" i="35"/>
  <c r="C493" i="35" l="1"/>
  <c r="H492" i="35"/>
  <c r="C493" i="33"/>
  <c r="H492" i="33"/>
  <c r="C493" i="34"/>
  <c r="H492" i="34"/>
  <c r="C494" i="36"/>
  <c r="H493" i="36"/>
  <c r="C494" i="33" l="1"/>
  <c r="H493" i="33"/>
  <c r="C494" i="34"/>
  <c r="H493" i="34"/>
  <c r="C495" i="36"/>
  <c r="H494" i="36"/>
  <c r="C494" i="35"/>
  <c r="H493" i="35"/>
  <c r="C495" i="34" l="1"/>
  <c r="H494" i="34"/>
  <c r="C496" i="36"/>
  <c r="H495" i="36"/>
  <c r="C495" i="33"/>
  <c r="H494" i="33"/>
  <c r="C495" i="35"/>
  <c r="H494" i="35"/>
  <c r="C496" i="35" l="1"/>
  <c r="H495" i="35"/>
  <c r="C497" i="36"/>
  <c r="H496" i="36"/>
  <c r="C496" i="33"/>
  <c r="H495" i="33"/>
  <c r="C496" i="34"/>
  <c r="H495" i="34"/>
  <c r="C497" i="34" l="1"/>
  <c r="H496" i="34"/>
  <c r="C498" i="36"/>
  <c r="H497" i="36"/>
  <c r="C497" i="33"/>
  <c r="H496" i="33"/>
  <c r="C497" i="35"/>
  <c r="H496" i="35"/>
  <c r="C498" i="35" l="1"/>
  <c r="H497" i="35"/>
  <c r="C498" i="33"/>
  <c r="H497" i="33"/>
  <c r="C499" i="36"/>
  <c r="H498" i="36"/>
  <c r="C498" i="34"/>
  <c r="H497" i="34"/>
  <c r="C499" i="34" l="1"/>
  <c r="H498" i="34"/>
  <c r="C499" i="33"/>
  <c r="H498" i="33"/>
  <c r="C500" i="36"/>
  <c r="H499" i="36"/>
  <c r="C499" i="35"/>
  <c r="H498" i="35"/>
  <c r="C500" i="35" l="1"/>
  <c r="H499" i="35"/>
  <c r="C500" i="33"/>
  <c r="H499" i="33"/>
  <c r="C501" i="36"/>
  <c r="H500" i="36"/>
  <c r="C500" i="34"/>
  <c r="H499" i="34"/>
  <c r="C501" i="34" l="1"/>
  <c r="H500" i="34"/>
  <c r="C501" i="33"/>
  <c r="H500" i="33"/>
  <c r="C502" i="36"/>
  <c r="H501" i="36"/>
  <c r="C501" i="35"/>
  <c r="H500" i="35"/>
  <c r="C502" i="33" l="1"/>
  <c r="H501" i="33"/>
  <c r="C502" i="35"/>
  <c r="H501" i="35"/>
  <c r="C503" i="36"/>
  <c r="H502" i="36"/>
  <c r="C502" i="34"/>
  <c r="H501" i="34"/>
  <c r="C503" i="34" l="1"/>
  <c r="H502" i="34"/>
  <c r="C503" i="35"/>
  <c r="H502" i="35"/>
  <c r="C504" i="36"/>
  <c r="H503" i="36"/>
  <c r="C503" i="33"/>
  <c r="H502" i="33"/>
  <c r="C504" i="33" l="1"/>
  <c r="H503" i="33"/>
  <c r="C504" i="35"/>
  <c r="H503" i="35"/>
  <c r="C505" i="36"/>
  <c r="H504" i="36"/>
  <c r="C504" i="34"/>
  <c r="H503" i="34"/>
  <c r="C505" i="35" l="1"/>
  <c r="H504" i="35"/>
  <c r="C505" i="34"/>
  <c r="H504" i="34"/>
  <c r="C506" i="36"/>
  <c r="H505" i="36"/>
  <c r="C505" i="33"/>
  <c r="H504" i="33"/>
  <c r="C506" i="34" l="1"/>
  <c r="H505" i="34"/>
  <c r="C506" i="33"/>
  <c r="H505" i="33"/>
  <c r="C507" i="36"/>
  <c r="H506" i="36"/>
  <c r="C506" i="35"/>
  <c r="H505" i="35"/>
  <c r="C507" i="35" l="1"/>
  <c r="H506" i="35"/>
  <c r="C507" i="33"/>
  <c r="H506" i="33"/>
  <c r="C508" i="36"/>
  <c r="H507" i="36"/>
  <c r="C507" i="34"/>
  <c r="H506" i="34"/>
  <c r="C508" i="33" l="1"/>
  <c r="H507" i="33"/>
  <c r="C508" i="34"/>
  <c r="H507" i="34"/>
  <c r="C509" i="36"/>
  <c r="H508" i="36"/>
  <c r="C508" i="35"/>
  <c r="H507" i="35"/>
  <c r="C509" i="35" l="1"/>
  <c r="H508" i="35"/>
  <c r="C509" i="34"/>
  <c r="H508" i="34"/>
  <c r="C510" i="36"/>
  <c r="H509" i="36"/>
  <c r="C509" i="33"/>
  <c r="H508" i="33"/>
  <c r="C510" i="33" l="1"/>
  <c r="H509" i="33"/>
  <c r="C510" i="34"/>
  <c r="H509" i="34"/>
  <c r="C511" i="36"/>
  <c r="H510" i="36"/>
  <c r="C510" i="35"/>
  <c r="H509" i="35"/>
  <c r="C511" i="34" l="1"/>
  <c r="H510" i="34"/>
  <c r="C511" i="35"/>
  <c r="H510" i="35"/>
  <c r="C512" i="36"/>
  <c r="H511" i="36"/>
  <c r="C511" i="33"/>
  <c r="H510" i="33"/>
  <c r="C512" i="33" l="1"/>
  <c r="H511" i="33"/>
  <c r="C512" i="35"/>
  <c r="H511" i="35"/>
  <c r="C513" i="36"/>
  <c r="H512" i="36"/>
  <c r="C512" i="34"/>
  <c r="H511" i="34"/>
  <c r="C513" i="35" l="1"/>
  <c r="H512" i="35"/>
  <c r="C513" i="34"/>
  <c r="H512" i="34"/>
  <c r="C514" i="36"/>
  <c r="H513" i="36"/>
  <c r="C513" i="33"/>
  <c r="H512" i="33"/>
  <c r="C514" i="33" l="1"/>
  <c r="H513" i="33"/>
  <c r="C514" i="34"/>
  <c r="H513" i="34"/>
  <c r="C515" i="36"/>
  <c r="H514" i="36"/>
  <c r="C514" i="35"/>
  <c r="H513" i="35"/>
  <c r="C515" i="35" l="1"/>
  <c r="H514" i="35"/>
  <c r="C515" i="34"/>
  <c r="H514" i="34"/>
  <c r="C516" i="36"/>
  <c r="H515" i="36"/>
  <c r="C515" i="33"/>
  <c r="H514" i="33"/>
  <c r="C516" i="33" l="1"/>
  <c r="H515" i="33"/>
  <c r="C516" i="34"/>
  <c r="H515" i="34"/>
  <c r="C517" i="36"/>
  <c r="H516" i="36"/>
  <c r="C516" i="35"/>
  <c r="H515" i="35"/>
  <c r="C517" i="34" l="1"/>
  <c r="H516" i="34"/>
  <c r="C517" i="35"/>
  <c r="H516" i="35"/>
  <c r="C518" i="36"/>
  <c r="H517" i="36"/>
  <c r="C517" i="33"/>
  <c r="H516" i="33"/>
  <c r="C518" i="35" l="1"/>
  <c r="H517" i="35"/>
  <c r="C518" i="33"/>
  <c r="H517" i="33"/>
  <c r="C519" i="36"/>
  <c r="H518" i="36"/>
  <c r="C518" i="34"/>
  <c r="H517" i="34"/>
  <c r="C519" i="34" l="1"/>
  <c r="H518" i="34"/>
  <c r="C519" i="33"/>
  <c r="H518" i="33"/>
  <c r="C520" i="36"/>
  <c r="H519" i="36"/>
  <c r="C519" i="35"/>
  <c r="H518" i="35"/>
  <c r="C520" i="33" l="1"/>
  <c r="H519" i="33"/>
  <c r="C520" i="35"/>
  <c r="H519" i="35"/>
  <c r="C521" i="36"/>
  <c r="H520" i="36"/>
  <c r="C520" i="34"/>
  <c r="H519" i="34"/>
  <c r="C521" i="34" l="1"/>
  <c r="H520" i="34"/>
  <c r="C521" i="35"/>
  <c r="H520" i="35"/>
  <c r="C522" i="36"/>
  <c r="H521" i="36"/>
  <c r="C521" i="33"/>
  <c r="H520" i="33"/>
  <c r="C522" i="35" l="1"/>
  <c r="H521" i="35"/>
  <c r="C522" i="33"/>
  <c r="H521" i="33"/>
  <c r="C523" i="36"/>
  <c r="H522" i="36"/>
  <c r="C522" i="34"/>
  <c r="H521" i="34"/>
  <c r="C523" i="34" l="1"/>
  <c r="H522" i="34"/>
  <c r="C523" i="33"/>
  <c r="H522" i="33"/>
  <c r="C524" i="36"/>
  <c r="H523" i="36"/>
  <c r="C523" i="35"/>
  <c r="H522" i="35"/>
  <c r="C524" i="33" l="1"/>
  <c r="H523" i="33"/>
  <c r="C524" i="35"/>
  <c r="H523" i="35"/>
  <c r="C525" i="36"/>
  <c r="H524" i="36"/>
  <c r="C524" i="34"/>
  <c r="H523" i="34"/>
  <c r="C525" i="34" l="1"/>
  <c r="H524" i="34"/>
  <c r="C525" i="35"/>
  <c r="H524" i="35"/>
  <c r="C526" i="36"/>
  <c r="H525" i="36"/>
  <c r="C525" i="33"/>
  <c r="H524" i="33"/>
  <c r="C526" i="33" l="1"/>
  <c r="H525" i="33"/>
  <c r="C527" i="36"/>
  <c r="H526" i="36"/>
  <c r="C526" i="35"/>
  <c r="H525" i="35"/>
  <c r="C526" i="34"/>
  <c r="H525" i="34"/>
  <c r="C527" i="34" l="1"/>
  <c r="H526" i="34"/>
  <c r="C528" i="36"/>
  <c r="H527" i="36"/>
  <c r="C527" i="35"/>
  <c r="H526" i="35"/>
  <c r="C527" i="33"/>
  <c r="H526" i="33"/>
  <c r="C529" i="36" l="1"/>
  <c r="H528" i="36"/>
  <c r="C528" i="33"/>
  <c r="H527" i="33"/>
  <c r="C528" i="35"/>
  <c r="H527" i="35"/>
  <c r="C528" i="34"/>
  <c r="H527" i="34"/>
  <c r="C529" i="33" l="1"/>
  <c r="H528" i="33"/>
  <c r="C529" i="34"/>
  <c r="H528" i="34"/>
  <c r="C529" i="35"/>
  <c r="H528" i="35"/>
  <c r="C530" i="36"/>
  <c r="H529" i="36"/>
  <c r="C530" i="34" l="1"/>
  <c r="H529" i="34"/>
  <c r="C531" i="36"/>
  <c r="H530" i="36"/>
  <c r="C530" i="35"/>
  <c r="H529" i="35"/>
  <c r="C530" i="33"/>
  <c r="H529" i="33"/>
  <c r="C532" i="36" l="1"/>
  <c r="H531" i="36"/>
  <c r="C531" i="33"/>
  <c r="H530" i="33"/>
  <c r="C531" i="35"/>
  <c r="H530" i="35"/>
  <c r="C531" i="34"/>
  <c r="H530" i="34"/>
  <c r="C532" i="33" l="1"/>
  <c r="H531" i="33"/>
  <c r="C532" i="34"/>
  <c r="H531" i="34"/>
  <c r="C532" i="35"/>
  <c r="H531" i="35"/>
  <c r="C533" i="36"/>
  <c r="H532" i="36"/>
  <c r="C534" i="36" l="1"/>
  <c r="H533" i="36"/>
  <c r="C533" i="35"/>
  <c r="H532" i="35"/>
  <c r="C533" i="34"/>
  <c r="H532" i="34"/>
  <c r="C533" i="33"/>
  <c r="H532" i="33"/>
  <c r="C534" i="34" l="1"/>
  <c r="H533" i="34"/>
  <c r="C534" i="33"/>
  <c r="H533" i="33"/>
  <c r="C534" i="35"/>
  <c r="H533" i="35"/>
  <c r="C535" i="36"/>
  <c r="H534" i="36"/>
  <c r="C536" i="36" l="1"/>
  <c r="H535" i="36"/>
  <c r="C535" i="33"/>
  <c r="H534" i="33"/>
  <c r="C535" i="35"/>
  <c r="H534" i="35"/>
  <c r="C535" i="34"/>
  <c r="H534" i="34"/>
  <c r="C536" i="33" l="1"/>
  <c r="H535" i="33"/>
  <c r="C536" i="34"/>
  <c r="H535" i="34"/>
  <c r="C536" i="35"/>
  <c r="H535" i="35"/>
  <c r="C537" i="36"/>
  <c r="H536" i="36"/>
  <c r="C538" i="36" l="1"/>
  <c r="H537" i="36"/>
  <c r="C537" i="34"/>
  <c r="H536" i="34"/>
  <c r="C537" i="35"/>
  <c r="H536" i="35"/>
  <c r="C537" i="33"/>
  <c r="H536" i="33"/>
  <c r="C538" i="34" l="1"/>
  <c r="H537" i="34"/>
  <c r="C538" i="33"/>
  <c r="H537" i="33"/>
  <c r="C538" i="35"/>
  <c r="H537" i="35"/>
  <c r="C539" i="36"/>
  <c r="H538" i="36"/>
  <c r="C539" i="33" l="1"/>
  <c r="H538" i="33"/>
  <c r="C540" i="36"/>
  <c r="H539" i="36"/>
  <c r="C539" i="35"/>
  <c r="H538" i="35"/>
  <c r="C539" i="34"/>
  <c r="H538" i="34"/>
  <c r="C541" i="36" l="1"/>
  <c r="H540" i="36"/>
  <c r="C540" i="34"/>
  <c r="H539" i="34"/>
  <c r="C540" i="35"/>
  <c r="H539" i="35"/>
  <c r="C540" i="33"/>
  <c r="H539" i="33"/>
  <c r="C541" i="33" l="1"/>
  <c r="H540" i="33"/>
  <c r="C541" i="34"/>
  <c r="H540" i="34"/>
  <c r="C541" i="35"/>
  <c r="H540" i="35"/>
  <c r="C542" i="36"/>
  <c r="H541" i="36"/>
  <c r="C543" i="36" l="1"/>
  <c r="H542" i="36"/>
  <c r="C542" i="34"/>
  <c r="H541" i="34"/>
  <c r="C542" i="35"/>
  <c r="H541" i="35"/>
  <c r="C542" i="33"/>
  <c r="H541" i="33"/>
  <c r="C543" i="33" l="1"/>
  <c r="H542" i="33"/>
  <c r="C543" i="34"/>
  <c r="H542" i="34"/>
  <c r="C543" i="35"/>
  <c r="H542" i="35"/>
  <c r="C544" i="36"/>
  <c r="H543" i="36"/>
  <c r="C544" i="34" l="1"/>
  <c r="H543" i="34"/>
  <c r="C545" i="36"/>
  <c r="H544" i="36"/>
  <c r="C544" i="35"/>
  <c r="H543" i="35"/>
  <c r="C544" i="33"/>
  <c r="H543" i="33"/>
  <c r="C546" i="36" l="1"/>
  <c r="H545" i="36"/>
  <c r="C545" i="33"/>
  <c r="H544" i="33"/>
  <c r="C545" i="35"/>
  <c r="H544" i="35"/>
  <c r="C545" i="34"/>
  <c r="H544" i="34"/>
  <c r="C546" i="33" l="1"/>
  <c r="H545" i="33"/>
  <c r="C546" i="34"/>
  <c r="H545" i="34"/>
  <c r="C546" i="35"/>
  <c r="H545" i="35"/>
  <c r="C547" i="36"/>
  <c r="H546" i="36"/>
  <c r="C547" i="34" l="1"/>
  <c r="H546" i="34"/>
  <c r="C548" i="36"/>
  <c r="H547" i="36"/>
  <c r="C547" i="35"/>
  <c r="H546" i="35"/>
  <c r="C547" i="33"/>
  <c r="H546" i="33"/>
  <c r="C548" i="33" l="1"/>
  <c r="H547" i="33"/>
  <c r="C549" i="36"/>
  <c r="H548" i="36"/>
  <c r="C548" i="35"/>
  <c r="H547" i="35"/>
  <c r="C548" i="34"/>
  <c r="H547" i="34"/>
  <c r="C550" i="36" l="1"/>
  <c r="H549" i="36"/>
  <c r="C549" i="34"/>
  <c r="H548" i="34"/>
  <c r="C549" i="35"/>
  <c r="H548" i="35"/>
  <c r="C549" i="33"/>
  <c r="H548" i="33"/>
  <c r="C550" i="34" l="1"/>
  <c r="H549" i="34"/>
  <c r="C550" i="33"/>
  <c r="H549" i="33"/>
  <c r="C550" i="35"/>
  <c r="H549" i="35"/>
  <c r="C551" i="36"/>
  <c r="H550" i="36"/>
  <c r="C551" i="33" l="1"/>
  <c r="H550" i="33"/>
  <c r="C552" i="36"/>
  <c r="H551" i="36"/>
  <c r="C551" i="35"/>
  <c r="H550" i="35"/>
  <c r="C551" i="34"/>
  <c r="H550" i="34"/>
  <c r="C553" i="36" l="1"/>
  <c r="H552" i="36"/>
  <c r="C552" i="34"/>
  <c r="H551" i="34"/>
  <c r="C552" i="35"/>
  <c r="H551" i="35"/>
  <c r="C552" i="33"/>
  <c r="H551" i="33"/>
  <c r="C553" i="34" l="1"/>
  <c r="H552" i="34"/>
  <c r="C553" i="33"/>
  <c r="H552" i="33"/>
  <c r="C553" i="35"/>
  <c r="H552" i="35"/>
  <c r="C554" i="36"/>
  <c r="H553" i="36"/>
  <c r="C555" i="36" l="1"/>
  <c r="H554" i="36"/>
  <c r="C554" i="33"/>
  <c r="H553" i="33"/>
  <c r="C554" i="35"/>
  <c r="H553" i="35"/>
  <c r="C554" i="34"/>
  <c r="H553" i="34"/>
  <c r="C555" i="33" l="1"/>
  <c r="H554" i="33"/>
  <c r="C555" i="34"/>
  <c r="H554" i="34"/>
  <c r="C555" i="35"/>
  <c r="H554" i="35"/>
  <c r="C556" i="36"/>
  <c r="H555" i="36"/>
  <c r="C557" i="36" l="1"/>
  <c r="H556" i="36"/>
  <c r="C556" i="34"/>
  <c r="H555" i="34"/>
  <c r="C556" i="35"/>
  <c r="H555" i="35"/>
  <c r="C556" i="33"/>
  <c r="H555" i="33"/>
  <c r="C557" i="34" l="1"/>
  <c r="H556" i="34"/>
  <c r="C557" i="33"/>
  <c r="H556" i="33"/>
  <c r="C557" i="35"/>
  <c r="H556" i="35"/>
  <c r="C558" i="36"/>
  <c r="H557" i="36"/>
  <c r="C559" i="36" l="1"/>
  <c r="H558" i="36"/>
  <c r="C558" i="35"/>
  <c r="H557" i="35"/>
  <c r="C558" i="33"/>
  <c r="H557" i="33"/>
  <c r="C558" i="34"/>
  <c r="H557" i="34"/>
  <c r="C559" i="34" l="1"/>
  <c r="H558" i="34"/>
  <c r="C559" i="35"/>
  <c r="H558" i="35"/>
  <c r="C559" i="33"/>
  <c r="H558" i="33"/>
  <c r="C560" i="36"/>
  <c r="H559" i="36"/>
  <c r="C561" i="36" l="1"/>
  <c r="H560" i="36"/>
  <c r="C560" i="35"/>
  <c r="H559" i="35"/>
  <c r="C560" i="33"/>
  <c r="H559" i="33"/>
  <c r="C560" i="34"/>
  <c r="H559" i="34"/>
  <c r="C561" i="34" l="1"/>
  <c r="H560" i="34"/>
  <c r="C561" i="35"/>
  <c r="H560" i="35"/>
  <c r="C561" i="33"/>
  <c r="H560" i="33"/>
  <c r="C562" i="36"/>
  <c r="H561" i="36"/>
  <c r="C562" i="35" l="1"/>
  <c r="H561" i="35"/>
  <c r="C563" i="36"/>
  <c r="H562" i="36"/>
  <c r="C562" i="33"/>
  <c r="H561" i="33"/>
  <c r="C562" i="34"/>
  <c r="H561" i="34"/>
  <c r="C563" i="34" l="1"/>
  <c r="H562" i="34"/>
  <c r="C564" i="36"/>
  <c r="H563" i="36"/>
  <c r="C563" i="33"/>
  <c r="H562" i="33"/>
  <c r="C563" i="35"/>
  <c r="H562" i="35"/>
  <c r="C564" i="35" l="1"/>
  <c r="H563" i="35"/>
  <c r="C565" i="36"/>
  <c r="H564" i="36"/>
  <c r="C564" i="33"/>
  <c r="H563" i="33"/>
  <c r="C564" i="34"/>
  <c r="H563" i="34"/>
  <c r="C565" i="34" l="1"/>
  <c r="H564" i="34"/>
  <c r="C566" i="36"/>
  <c r="H565" i="36"/>
  <c r="C565" i="33"/>
  <c r="H564" i="33"/>
  <c r="C565" i="35"/>
  <c r="H564" i="35"/>
  <c r="C567" i="36" l="1"/>
  <c r="H566" i="36"/>
  <c r="C566" i="35"/>
  <c r="H565" i="35"/>
  <c r="C566" i="33"/>
  <c r="H565" i="33"/>
  <c r="C566" i="34"/>
  <c r="H565" i="34"/>
  <c r="C567" i="34" l="1"/>
  <c r="H566" i="34"/>
  <c r="C567" i="35"/>
  <c r="H566" i="35"/>
  <c r="C567" i="33"/>
  <c r="H566" i="33"/>
  <c r="C568" i="36"/>
  <c r="H567" i="36"/>
  <c r="C568" i="35" l="1"/>
  <c r="H567" i="35"/>
  <c r="C569" i="36"/>
  <c r="H568" i="36"/>
  <c r="C568" i="33"/>
  <c r="H567" i="33"/>
  <c r="C568" i="34"/>
  <c r="H567" i="34"/>
  <c r="C570" i="36" l="1"/>
  <c r="H569" i="36"/>
  <c r="C569" i="34"/>
  <c r="H568" i="34"/>
  <c r="C569" i="33"/>
  <c r="H568" i="33"/>
  <c r="C569" i="35"/>
  <c r="H568" i="35"/>
  <c r="C570" i="34" l="1"/>
  <c r="H569" i="34"/>
  <c r="C570" i="35"/>
  <c r="H569" i="35"/>
  <c r="C570" i="33"/>
  <c r="H569" i="33"/>
  <c r="C571" i="36"/>
  <c r="H570" i="36"/>
  <c r="C572" i="36" l="1"/>
  <c r="H571" i="36"/>
  <c r="C571" i="35"/>
  <c r="H570" i="35"/>
  <c r="C571" i="33"/>
  <c r="H570" i="33"/>
  <c r="C571" i="34"/>
  <c r="H570" i="34"/>
  <c r="C572" i="34" l="1"/>
  <c r="H571" i="34"/>
  <c r="C572" i="33"/>
  <c r="H571" i="33"/>
  <c r="C573" i="36"/>
  <c r="H572" i="36"/>
  <c r="C572" i="35"/>
  <c r="H571" i="35"/>
  <c r="C573" i="33" l="1"/>
  <c r="H572" i="33"/>
  <c r="C573" i="35"/>
  <c r="H572" i="35"/>
  <c r="C574" i="36"/>
  <c r="H573" i="36"/>
  <c r="C573" i="34"/>
  <c r="H572" i="34"/>
  <c r="C574" i="35" l="1"/>
  <c r="H573" i="35"/>
  <c r="C574" i="34"/>
  <c r="H573" i="34"/>
  <c r="C575" i="36"/>
  <c r="H574" i="36"/>
  <c r="C574" i="33"/>
  <c r="H573" i="33"/>
  <c r="C575" i="33" l="1"/>
  <c r="H574" i="33"/>
  <c r="C575" i="34"/>
  <c r="H574" i="34"/>
  <c r="C576" i="36"/>
  <c r="H575" i="36"/>
  <c r="C575" i="35"/>
  <c r="H574" i="35"/>
  <c r="C576" i="35" l="1"/>
  <c r="H575" i="35"/>
  <c r="C576" i="34"/>
  <c r="H575" i="34"/>
  <c r="C577" i="36"/>
  <c r="H576" i="36"/>
  <c r="C576" i="33"/>
  <c r="H575" i="33"/>
  <c r="C577" i="33" l="1"/>
  <c r="H576" i="33"/>
  <c r="C578" i="36"/>
  <c r="H577" i="36"/>
  <c r="C577" i="34"/>
  <c r="H576" i="34"/>
  <c r="C577" i="35"/>
  <c r="H576" i="35"/>
  <c r="C579" i="36" l="1"/>
  <c r="H578" i="36"/>
  <c r="C578" i="35"/>
  <c r="H577" i="35"/>
  <c r="C578" i="34"/>
  <c r="H577" i="34"/>
  <c r="C578" i="33"/>
  <c r="H577" i="33"/>
  <c r="C579" i="33" l="1"/>
  <c r="H578" i="33"/>
  <c r="C579" i="35"/>
  <c r="H578" i="35"/>
  <c r="C579" i="34"/>
  <c r="H578" i="34"/>
  <c r="C580" i="36"/>
  <c r="H579" i="36"/>
  <c r="C581" i="36" l="1"/>
  <c r="H580" i="36"/>
  <c r="C580" i="35"/>
  <c r="H579" i="35"/>
  <c r="C580" i="34"/>
  <c r="H579" i="34"/>
  <c r="C580" i="33"/>
  <c r="H579" i="33"/>
  <c r="C581" i="35" l="1"/>
  <c r="H580" i="35"/>
  <c r="C581" i="33"/>
  <c r="H580" i="33"/>
  <c r="C581" i="34"/>
  <c r="H580" i="34"/>
  <c r="C582" i="36"/>
  <c r="H581" i="36"/>
  <c r="C583" i="36" l="1"/>
  <c r="H582" i="36"/>
  <c r="C582" i="33"/>
  <c r="H581" i="33"/>
  <c r="C582" i="34"/>
  <c r="H581" i="34"/>
  <c r="C582" i="35"/>
  <c r="H581" i="35"/>
  <c r="C583" i="35" l="1"/>
  <c r="H582" i="35"/>
  <c r="C583" i="33"/>
  <c r="H582" i="33"/>
  <c r="C583" i="34"/>
  <c r="H582" i="34"/>
  <c r="C584" i="36"/>
  <c r="H583" i="36"/>
  <c r="C584" i="33" l="1"/>
  <c r="H583" i="33"/>
  <c r="C585" i="36"/>
  <c r="H584" i="36"/>
  <c r="C584" i="34"/>
  <c r="H583" i="34"/>
  <c r="C584" i="35"/>
  <c r="H583" i="35"/>
  <c r="C586" i="36" l="1"/>
  <c r="H585" i="36"/>
  <c r="C585" i="35"/>
  <c r="H584" i="35"/>
  <c r="C585" i="34"/>
  <c r="H584" i="34"/>
  <c r="C585" i="33"/>
  <c r="H584" i="33"/>
  <c r="C586" i="33" l="1"/>
  <c r="H585" i="33"/>
  <c r="C586" i="35"/>
  <c r="H585" i="35"/>
  <c r="C586" i="34"/>
  <c r="H585" i="34"/>
  <c r="C587" i="36"/>
  <c r="H586" i="36"/>
  <c r="C587" i="35" l="1"/>
  <c r="H586" i="35"/>
  <c r="C588" i="36"/>
  <c r="H587" i="36"/>
  <c r="C587" i="34"/>
  <c r="H586" i="34"/>
  <c r="C587" i="33"/>
  <c r="H586" i="33"/>
  <c r="C589" i="36" l="1"/>
  <c r="H588" i="36"/>
  <c r="C588" i="33"/>
  <c r="H587" i="33"/>
  <c r="C588" i="34"/>
  <c r="H587" i="34"/>
  <c r="C588" i="35"/>
  <c r="H587" i="35"/>
  <c r="C589" i="33" l="1"/>
  <c r="H588" i="33"/>
  <c r="C589" i="35"/>
  <c r="H588" i="35"/>
  <c r="C589" i="34"/>
  <c r="H588" i="34"/>
  <c r="C590" i="36"/>
  <c r="H589" i="36"/>
  <c r="C591" i="36" l="1"/>
  <c r="H590" i="36"/>
  <c r="C590" i="35"/>
  <c r="H589" i="35"/>
  <c r="C590" i="34"/>
  <c r="H589" i="34"/>
  <c r="C590" i="33"/>
  <c r="H589" i="33"/>
  <c r="C591" i="33" l="1"/>
  <c r="H590" i="33"/>
  <c r="C591" i="35"/>
  <c r="H590" i="35"/>
  <c r="C591" i="34"/>
  <c r="H590" i="34"/>
  <c r="C592" i="36"/>
  <c r="H591" i="36"/>
  <c r="C593" i="36" l="1"/>
  <c r="H592" i="36"/>
  <c r="C592" i="35"/>
  <c r="H591" i="35"/>
  <c r="C592" i="34"/>
  <c r="H591" i="34"/>
  <c r="C592" i="33"/>
  <c r="H591" i="33"/>
  <c r="C593" i="33" l="1"/>
  <c r="H592" i="33"/>
  <c r="C593" i="35"/>
  <c r="H592" i="35"/>
  <c r="C593" i="34"/>
  <c r="H592" i="34"/>
  <c r="C594" i="36"/>
  <c r="H593" i="36"/>
  <c r="C595" i="36" l="1"/>
  <c r="H594" i="36"/>
  <c r="C594" i="35"/>
  <c r="H593" i="35"/>
  <c r="C594" i="34"/>
  <c r="H593" i="34"/>
  <c r="C594" i="33"/>
  <c r="H593" i="33"/>
  <c r="C595" i="35" l="1"/>
  <c r="H594" i="35"/>
  <c r="C595" i="33"/>
  <c r="H594" i="33"/>
  <c r="C595" i="34"/>
  <c r="H594" i="34"/>
  <c r="C596" i="36"/>
  <c r="H595" i="36"/>
  <c r="C597" i="36" l="1"/>
  <c r="H596" i="36"/>
  <c r="C596" i="34"/>
  <c r="H595" i="34"/>
  <c r="C596" i="33"/>
  <c r="H595" i="33"/>
  <c r="C596" i="35"/>
  <c r="H595" i="35"/>
  <c r="C597" i="34" l="1"/>
  <c r="H596" i="34"/>
  <c r="C597" i="35"/>
  <c r="H596" i="35"/>
  <c r="C597" i="33"/>
  <c r="H596" i="33"/>
  <c r="C598" i="36"/>
  <c r="H597" i="36"/>
  <c r="C599" i="36" l="1"/>
  <c r="H598" i="36"/>
  <c r="C598" i="35"/>
  <c r="H597" i="35"/>
  <c r="C598" i="33"/>
  <c r="H597" i="33"/>
  <c r="C598" i="34"/>
  <c r="H597" i="34"/>
  <c r="C599" i="35" l="1"/>
  <c r="H598" i="35"/>
  <c r="C599" i="34"/>
  <c r="H598" i="34"/>
  <c r="C599" i="33"/>
  <c r="H598" i="33"/>
  <c r="C600" i="36"/>
  <c r="H599" i="36"/>
  <c r="C601" i="36" l="1"/>
  <c r="H600" i="36"/>
  <c r="C600" i="34"/>
  <c r="H599" i="34"/>
  <c r="C600" i="33"/>
  <c r="H599" i="33"/>
  <c r="C600" i="35"/>
  <c r="H599" i="35"/>
  <c r="C601" i="34" l="1"/>
  <c r="H600" i="34"/>
  <c r="C601" i="35"/>
  <c r="H600" i="35"/>
  <c r="C601" i="33"/>
  <c r="H600" i="33"/>
  <c r="C602" i="36"/>
  <c r="H601" i="36"/>
  <c r="C602" i="35" l="1"/>
  <c r="H601" i="35"/>
  <c r="C603" i="36"/>
  <c r="H602" i="36"/>
  <c r="C602" i="33"/>
  <c r="H601" i="33"/>
  <c r="C602" i="34"/>
  <c r="H601" i="34"/>
  <c r="C603" i="33" l="1"/>
  <c r="H602" i="33"/>
  <c r="C603" i="34"/>
  <c r="H602" i="34"/>
  <c r="C604" i="36"/>
  <c r="H603" i="36"/>
  <c r="C603" i="35"/>
  <c r="H602" i="35"/>
  <c r="C604" i="35" l="1"/>
  <c r="H603" i="35"/>
  <c r="C604" i="34"/>
  <c r="H603" i="34"/>
  <c r="C605" i="36"/>
  <c r="H604" i="36"/>
  <c r="C604" i="33"/>
  <c r="H603" i="33"/>
  <c r="C605" i="33" l="1"/>
  <c r="H604" i="33"/>
  <c r="C605" i="34"/>
  <c r="H604" i="34"/>
  <c r="C606" i="36"/>
  <c r="H605" i="36"/>
  <c r="C605" i="35"/>
  <c r="H604" i="35"/>
  <c r="C607" i="36" l="1"/>
  <c r="H606" i="36"/>
  <c r="C606" i="35"/>
  <c r="H605" i="35"/>
  <c r="C606" i="34"/>
  <c r="H605" i="34"/>
  <c r="C606" i="33"/>
  <c r="H605" i="33"/>
  <c r="C607" i="35" l="1"/>
  <c r="H606" i="35"/>
  <c r="C607" i="33"/>
  <c r="H606" i="33"/>
  <c r="C607" i="34"/>
  <c r="H606" i="34"/>
  <c r="C608" i="36"/>
  <c r="H607" i="36"/>
  <c r="C608" i="33" l="1"/>
  <c r="H607" i="33"/>
  <c r="C609" i="36"/>
  <c r="H608" i="36"/>
  <c r="C608" i="34"/>
  <c r="H607" i="34"/>
  <c r="C608" i="35"/>
  <c r="H607" i="35"/>
  <c r="C609" i="35" l="1"/>
  <c r="H608" i="35"/>
  <c r="C610" i="36"/>
  <c r="H609" i="36"/>
  <c r="C609" i="34"/>
  <c r="H608" i="34"/>
  <c r="C609" i="33"/>
  <c r="H608" i="33"/>
  <c r="C610" i="33" l="1"/>
  <c r="H609" i="33"/>
  <c r="C611" i="36"/>
  <c r="H610" i="36"/>
  <c r="C610" i="34"/>
  <c r="H609" i="34"/>
  <c r="C610" i="35"/>
  <c r="H609" i="35"/>
  <c r="C612" i="36" l="1"/>
  <c r="H611" i="36"/>
  <c r="C611" i="34"/>
  <c r="H610" i="34"/>
  <c r="C611" i="33"/>
  <c r="H610" i="33"/>
  <c r="C611" i="35"/>
  <c r="H610" i="35"/>
  <c r="C612" i="35" l="1"/>
  <c r="H611" i="35"/>
  <c r="C612" i="34"/>
  <c r="H611" i="34"/>
  <c r="C612" i="33"/>
  <c r="H611" i="33"/>
  <c r="C613" i="36"/>
  <c r="H612" i="36"/>
  <c r="C614" i="36" l="1"/>
  <c r="H613" i="36"/>
  <c r="C613" i="34"/>
  <c r="H612" i="34"/>
  <c r="C613" i="33"/>
  <c r="H612" i="33"/>
  <c r="C613" i="35"/>
  <c r="H612" i="35"/>
  <c r="C614" i="35" l="1"/>
  <c r="H613" i="35"/>
  <c r="C614" i="34"/>
  <c r="H613" i="34"/>
  <c r="C614" i="33"/>
  <c r="H613" i="33"/>
  <c r="C615" i="36"/>
  <c r="H614" i="36"/>
  <c r="C615" i="34" l="1"/>
  <c r="H614" i="34"/>
  <c r="C616" i="36"/>
  <c r="H615" i="36"/>
  <c r="C615" i="33"/>
  <c r="H614" i="33"/>
  <c r="C615" i="35"/>
  <c r="H614" i="35"/>
  <c r="C616" i="35" l="1"/>
  <c r="H615" i="35"/>
  <c r="C617" i="36"/>
  <c r="H616" i="36"/>
  <c r="C616" i="33"/>
  <c r="H615" i="33"/>
  <c r="C616" i="34"/>
  <c r="H615" i="34"/>
  <c r="C617" i="34" l="1"/>
  <c r="H616" i="34"/>
  <c r="C618" i="36"/>
  <c r="H617" i="36"/>
  <c r="C617" i="33"/>
  <c r="H616" i="33"/>
  <c r="C617" i="35"/>
  <c r="H616" i="35"/>
  <c r="C618" i="35" l="1"/>
  <c r="H617" i="35"/>
  <c r="C619" i="36"/>
  <c r="H618" i="36"/>
  <c r="C618" i="33"/>
  <c r="H617" i="33"/>
  <c r="C618" i="34"/>
  <c r="H617" i="34"/>
  <c r="C619" i="34" l="1"/>
  <c r="H618" i="34"/>
  <c r="C620" i="36"/>
  <c r="H619" i="36"/>
  <c r="C619" i="33"/>
  <c r="H618" i="33"/>
  <c r="C619" i="35"/>
  <c r="H618" i="35"/>
  <c r="C621" i="36" l="1"/>
  <c r="H620" i="36"/>
  <c r="C620" i="33"/>
  <c r="H619" i="33"/>
  <c r="C620" i="35"/>
  <c r="H619" i="35"/>
  <c r="C620" i="34"/>
  <c r="H619" i="34"/>
  <c r="C621" i="34" l="1"/>
  <c r="H620" i="34"/>
  <c r="C621" i="33"/>
  <c r="H620" i="33"/>
  <c r="C621" i="35"/>
  <c r="H620" i="35"/>
  <c r="C622" i="36"/>
  <c r="H621" i="36"/>
  <c r="C623" i="36" l="1"/>
  <c r="H622" i="36"/>
  <c r="C622" i="33"/>
  <c r="H621" i="33"/>
  <c r="C622" i="35"/>
  <c r="H621" i="35"/>
  <c r="C622" i="34"/>
  <c r="H621" i="34"/>
  <c r="C623" i="34" l="1"/>
  <c r="H622" i="34"/>
  <c r="C623" i="33"/>
  <c r="H622" i="33"/>
  <c r="C623" i="35"/>
  <c r="H622" i="35"/>
  <c r="C624" i="36"/>
  <c r="H623" i="36"/>
  <c r="C624" i="33" l="1"/>
  <c r="H623" i="33"/>
  <c r="C625" i="36"/>
  <c r="H624" i="36"/>
  <c r="C624" i="35"/>
  <c r="H623" i="35"/>
  <c r="C624" i="34"/>
  <c r="H623" i="34"/>
  <c r="C625" i="34" l="1"/>
  <c r="H624" i="34"/>
  <c r="C626" i="36"/>
  <c r="H625" i="36"/>
  <c r="C625" i="35"/>
  <c r="H624" i="35"/>
  <c r="C625" i="33"/>
  <c r="H624" i="33"/>
  <c r="C627" i="36" l="1"/>
  <c r="H626" i="36"/>
  <c r="C626" i="33"/>
  <c r="H625" i="33"/>
  <c r="C626" i="35"/>
  <c r="H625" i="35"/>
  <c r="C626" i="34"/>
  <c r="H625" i="34"/>
  <c r="C627" i="33" l="1"/>
  <c r="H626" i="33"/>
  <c r="C627" i="34"/>
  <c r="H626" i="34"/>
  <c r="C627" i="35"/>
  <c r="H626" i="35"/>
  <c r="C628" i="36"/>
  <c r="H627" i="36"/>
  <c r="C629" i="36" l="1"/>
  <c r="H628" i="36"/>
  <c r="C628" i="34"/>
  <c r="H627" i="34"/>
  <c r="C628" i="35"/>
  <c r="H627" i="35"/>
  <c r="C628" i="33"/>
  <c r="H627" i="33"/>
  <c r="C629" i="34" l="1"/>
  <c r="H628" i="34"/>
  <c r="C629" i="33"/>
  <c r="H628" i="33"/>
  <c r="C629" i="35"/>
  <c r="H628" i="35"/>
  <c r="C630" i="36"/>
  <c r="H629" i="36"/>
  <c r="C630" i="33" l="1"/>
  <c r="H629" i="33"/>
  <c r="C631" i="36"/>
  <c r="H630" i="36"/>
  <c r="C630" i="35"/>
  <c r="H629" i="35"/>
  <c r="C630" i="34"/>
  <c r="H629" i="34"/>
  <c r="C631" i="34" l="1"/>
  <c r="H630" i="34"/>
  <c r="C632" i="36"/>
  <c r="H631" i="36"/>
  <c r="C631" i="35"/>
  <c r="H630" i="35"/>
  <c r="C631" i="33"/>
  <c r="H630" i="33"/>
  <c r="C632" i="33" l="1"/>
  <c r="H631" i="33"/>
  <c r="C633" i="36"/>
  <c r="H632" i="36"/>
  <c r="C632" i="35"/>
  <c r="H631" i="35"/>
  <c r="C632" i="34"/>
  <c r="H631" i="34"/>
  <c r="C633" i="34" l="1"/>
  <c r="H632" i="34"/>
  <c r="C634" i="36"/>
  <c r="H633" i="36"/>
  <c r="C633" i="35"/>
  <c r="H632" i="35"/>
  <c r="C633" i="33"/>
  <c r="H632" i="33"/>
  <c r="C635" i="36" l="1"/>
  <c r="H634" i="36"/>
  <c r="C634" i="33"/>
  <c r="H633" i="33"/>
  <c r="C634" i="35"/>
  <c r="H633" i="35"/>
  <c r="C634" i="34"/>
  <c r="H633" i="34"/>
  <c r="C635" i="34" l="1"/>
  <c r="H634" i="34"/>
  <c r="C635" i="33"/>
  <c r="H634" i="33"/>
  <c r="C635" i="35"/>
  <c r="H634" i="35"/>
  <c r="C636" i="36"/>
  <c r="H635" i="36"/>
  <c r="C637" i="36" l="1"/>
  <c r="H636" i="36"/>
  <c r="C636" i="33"/>
  <c r="H635" i="33"/>
  <c r="C636" i="35"/>
  <c r="H635" i="35"/>
  <c r="C636" i="34"/>
  <c r="H635" i="34"/>
  <c r="C637" i="34" l="1"/>
  <c r="H636" i="34"/>
  <c r="C637" i="33"/>
  <c r="H636" i="33"/>
  <c r="C637" i="35"/>
  <c r="H636" i="35"/>
  <c r="C638" i="36"/>
  <c r="H637" i="36"/>
  <c r="C639" i="36" l="1"/>
  <c r="H638" i="36"/>
  <c r="C638" i="33"/>
  <c r="H637" i="33"/>
  <c r="C638" i="35"/>
  <c r="H637" i="35"/>
  <c r="C638" i="34"/>
  <c r="H637" i="34"/>
  <c r="C639" i="34" l="1"/>
  <c r="H638" i="34"/>
  <c r="C639" i="35"/>
  <c r="H638" i="35"/>
  <c r="C639" i="33"/>
  <c r="H638" i="33"/>
  <c r="C640" i="36"/>
  <c r="H639" i="36"/>
  <c r="C640" i="35" l="1"/>
  <c r="H639" i="35"/>
  <c r="C640" i="33"/>
  <c r="H639" i="33"/>
  <c r="C641" i="36"/>
  <c r="H640" i="36"/>
  <c r="C640" i="34"/>
  <c r="H639" i="34"/>
  <c r="C642" i="36" l="1"/>
  <c r="H641" i="36"/>
  <c r="C641" i="34"/>
  <c r="H640" i="34"/>
  <c r="C641" i="33"/>
  <c r="H640" i="33"/>
  <c r="C641" i="35"/>
  <c r="H640" i="35"/>
  <c r="C642" i="34" l="1"/>
  <c r="H641" i="34"/>
  <c r="C642" i="35"/>
  <c r="H641" i="35"/>
  <c r="C642" i="33"/>
  <c r="H641" i="33"/>
  <c r="C643" i="36"/>
  <c r="H642" i="36"/>
  <c r="C644" i="36" l="1"/>
  <c r="H643" i="36"/>
  <c r="C643" i="35"/>
  <c r="H642" i="35"/>
  <c r="C643" i="33"/>
  <c r="H642" i="33"/>
  <c r="C643" i="34"/>
  <c r="H642" i="34"/>
  <c r="C644" i="35" l="1"/>
  <c r="H643" i="35"/>
  <c r="C644" i="33"/>
  <c r="H643" i="33"/>
  <c r="C644" i="34"/>
  <c r="H643" i="34"/>
  <c r="C645" i="36"/>
  <c r="H644" i="36"/>
  <c r="C646" i="36" l="1"/>
  <c r="H645" i="36"/>
  <c r="C645" i="33"/>
  <c r="H644" i="33"/>
  <c r="C645" i="34"/>
  <c r="H644" i="34"/>
  <c r="C645" i="35"/>
  <c r="H644" i="35"/>
  <c r="C646" i="35" l="1"/>
  <c r="H645" i="35"/>
  <c r="C646" i="33"/>
  <c r="H645" i="33"/>
  <c r="C646" i="34"/>
  <c r="H645" i="34"/>
  <c r="C647" i="36"/>
  <c r="H646" i="36"/>
  <c r="C647" i="33" l="1"/>
  <c r="H646" i="33"/>
  <c r="C648" i="36"/>
  <c r="H647" i="36"/>
  <c r="C647" i="34"/>
  <c r="H646" i="34"/>
  <c r="C647" i="35"/>
  <c r="H646" i="35"/>
  <c r="C649" i="36" l="1"/>
  <c r="H648" i="36"/>
  <c r="C648" i="35"/>
  <c r="H647" i="35"/>
  <c r="C648" i="34"/>
  <c r="H647" i="34"/>
  <c r="C648" i="33"/>
  <c r="H647" i="33"/>
  <c r="C649" i="33" l="1"/>
  <c r="H648" i="33"/>
  <c r="C649" i="35"/>
  <c r="H648" i="35"/>
  <c r="C649" i="34"/>
  <c r="H648" i="34"/>
  <c r="C650" i="36"/>
  <c r="H649" i="36"/>
  <c r="C650" i="35" l="1"/>
  <c r="H649" i="35"/>
  <c r="C650" i="34"/>
  <c r="H649" i="34"/>
  <c r="C651" i="36"/>
  <c r="H650" i="36"/>
  <c r="C650" i="33"/>
  <c r="H649" i="33"/>
  <c r="C651" i="34" l="1"/>
  <c r="H650" i="34"/>
  <c r="C651" i="33"/>
  <c r="H650" i="33"/>
  <c r="C652" i="36"/>
  <c r="H651" i="36"/>
  <c r="C651" i="35"/>
  <c r="H650" i="35"/>
  <c r="C652" i="33" l="1"/>
  <c r="H651" i="33"/>
  <c r="C652" i="35"/>
  <c r="H651" i="35"/>
  <c r="C653" i="36"/>
  <c r="H652" i="36"/>
  <c r="C652" i="34"/>
  <c r="H651" i="34"/>
  <c r="C653" i="35" l="1"/>
  <c r="H652" i="35"/>
  <c r="C653" i="34"/>
  <c r="H652" i="34"/>
  <c r="C654" i="36"/>
  <c r="H653" i="36"/>
  <c r="C653" i="33"/>
  <c r="H652" i="33"/>
  <c r="C654" i="33" l="1"/>
  <c r="H653" i="33"/>
  <c r="C654" i="34"/>
  <c r="H653" i="34"/>
  <c r="C655" i="36"/>
  <c r="H654" i="36"/>
  <c r="C654" i="35"/>
  <c r="H653" i="35"/>
  <c r="C655" i="35" l="1"/>
  <c r="H654" i="35"/>
  <c r="C655" i="34"/>
  <c r="H654" i="34"/>
  <c r="C656" i="36"/>
  <c r="H655" i="36"/>
  <c r="C655" i="33"/>
  <c r="H654" i="33"/>
  <c r="C656" i="33" l="1"/>
  <c r="H655" i="33"/>
  <c r="C657" i="36"/>
  <c r="H656" i="36"/>
  <c r="C656" i="35"/>
  <c r="H655" i="35"/>
  <c r="C656" i="34"/>
  <c r="H655" i="34"/>
  <c r="C657" i="34" l="1"/>
  <c r="H656" i="34"/>
  <c r="C658" i="36"/>
  <c r="H657" i="36"/>
  <c r="C657" i="35"/>
  <c r="H656" i="35"/>
  <c r="C657" i="33"/>
  <c r="H656" i="33"/>
  <c r="C658" i="33" l="1"/>
  <c r="H657" i="33"/>
  <c r="C658" i="35"/>
  <c r="H657" i="35"/>
  <c r="C659" i="36"/>
  <c r="H658" i="36"/>
  <c r="C658" i="34"/>
  <c r="H657" i="34"/>
  <c r="C659" i="35" l="1"/>
  <c r="H658" i="35"/>
  <c r="C659" i="34"/>
  <c r="H658" i="34"/>
  <c r="C660" i="36"/>
  <c r="H659" i="36"/>
  <c r="C659" i="33"/>
  <c r="H658" i="33"/>
  <c r="C660" i="34" l="1"/>
  <c r="H659" i="34"/>
  <c r="C660" i="33"/>
  <c r="H659" i="33"/>
  <c r="C661" i="36"/>
  <c r="H660" i="36"/>
  <c r="C660" i="35"/>
  <c r="H659" i="35"/>
  <c r="C661" i="33" l="1"/>
  <c r="H660" i="33"/>
  <c r="C661" i="35"/>
  <c r="H660" i="35"/>
  <c r="C662" i="36"/>
  <c r="H661" i="36"/>
  <c r="C661" i="34"/>
  <c r="H660" i="34"/>
  <c r="C662" i="34" l="1"/>
  <c r="H661" i="34"/>
  <c r="C662" i="35"/>
  <c r="H661" i="35"/>
  <c r="C663" i="36"/>
  <c r="H662" i="36"/>
  <c r="C662" i="33"/>
  <c r="H661" i="33"/>
  <c r="C663" i="33" l="1"/>
  <c r="H662" i="33"/>
  <c r="C663" i="35"/>
  <c r="H662" i="35"/>
  <c r="C664" i="36"/>
  <c r="H663" i="36"/>
  <c r="C663" i="34"/>
  <c r="H662" i="34"/>
  <c r="C664" i="35" l="1"/>
  <c r="H663" i="35"/>
  <c r="C664" i="34"/>
  <c r="H663" i="34"/>
  <c r="C665" i="36"/>
  <c r="H664" i="36"/>
  <c r="C664" i="33"/>
  <c r="H663" i="33"/>
  <c r="C665" i="34" l="1"/>
  <c r="H664" i="34"/>
  <c r="C665" i="33"/>
  <c r="H664" i="33"/>
  <c r="C666" i="36"/>
  <c r="H665" i="36"/>
  <c r="C665" i="35"/>
  <c r="H664" i="35"/>
  <c r="C666" i="35" l="1"/>
  <c r="H665" i="35"/>
  <c r="C667" i="36"/>
  <c r="H666" i="36"/>
  <c r="C666" i="33"/>
  <c r="H665" i="33"/>
  <c r="C666" i="34"/>
  <c r="H665" i="34"/>
  <c r="C667" i="34" l="1"/>
  <c r="H666" i="34"/>
  <c r="C668" i="36"/>
  <c r="H667" i="36"/>
  <c r="C667" i="33"/>
  <c r="H666" i="33"/>
  <c r="C667" i="35"/>
  <c r="H666" i="35"/>
  <c r="C669" i="36" l="1"/>
  <c r="H668" i="36"/>
  <c r="C668" i="35"/>
  <c r="H667" i="35"/>
  <c r="C668" i="33"/>
  <c r="H667" i="33"/>
  <c r="C668" i="34"/>
  <c r="H667" i="34"/>
  <c r="C669" i="35" l="1"/>
  <c r="H668" i="35"/>
  <c r="C669" i="34"/>
  <c r="H668" i="34"/>
  <c r="C669" i="33"/>
  <c r="H668" i="33"/>
  <c r="C670" i="36"/>
  <c r="H669" i="36"/>
  <c r="C670" i="34" l="1"/>
  <c r="H669" i="34"/>
  <c r="C671" i="36"/>
  <c r="H670" i="36"/>
  <c r="C670" i="33"/>
  <c r="H669" i="33"/>
  <c r="C670" i="35"/>
  <c r="H669" i="35"/>
  <c r="C671" i="35" l="1"/>
  <c r="H670" i="35"/>
  <c r="C672" i="36"/>
  <c r="H671" i="36"/>
  <c r="C671" i="33"/>
  <c r="H670" i="33"/>
  <c r="C671" i="34"/>
  <c r="H670" i="34"/>
  <c r="C672" i="34" l="1"/>
  <c r="H671" i="34"/>
  <c r="C673" i="36"/>
  <c r="H672" i="36"/>
  <c r="C672" i="33"/>
  <c r="H671" i="33"/>
  <c r="C672" i="35"/>
  <c r="H671" i="35"/>
  <c r="C673" i="35" l="1"/>
  <c r="H672" i="35"/>
  <c r="C674" i="36"/>
  <c r="H673" i="36"/>
  <c r="C673" i="33"/>
  <c r="H672" i="33"/>
  <c r="C673" i="34"/>
  <c r="H672" i="34"/>
  <c r="C674" i="34" l="1"/>
  <c r="H673" i="34"/>
  <c r="C675" i="36"/>
  <c r="H674" i="36"/>
  <c r="C674" i="33"/>
  <c r="H673" i="33"/>
  <c r="C674" i="35"/>
  <c r="H673" i="35"/>
  <c r="C676" i="36" l="1"/>
  <c r="H675" i="36"/>
  <c r="C675" i="35"/>
  <c r="H674" i="35"/>
  <c r="C675" i="33"/>
  <c r="H674" i="33"/>
  <c r="C675" i="34"/>
  <c r="H674" i="34"/>
  <c r="C676" i="35" l="1"/>
  <c r="H675" i="35"/>
  <c r="C676" i="34"/>
  <c r="H675" i="34"/>
  <c r="C676" i="33"/>
  <c r="H675" i="33"/>
  <c r="C677" i="36"/>
  <c r="H676" i="36"/>
  <c r="C678" i="36" l="1"/>
  <c r="H677" i="36"/>
  <c r="C677" i="34"/>
  <c r="H676" i="34"/>
  <c r="C677" i="33"/>
  <c r="H676" i="33"/>
  <c r="C677" i="35"/>
  <c r="H676" i="35"/>
  <c r="C678" i="34" l="1"/>
  <c r="H677" i="34"/>
  <c r="C678" i="35"/>
  <c r="H677" i="35"/>
  <c r="C678" i="33"/>
  <c r="H677" i="33"/>
  <c r="C679" i="36"/>
  <c r="H678" i="36"/>
  <c r="C679" i="35" l="1"/>
  <c r="H678" i="35"/>
  <c r="C680" i="36"/>
  <c r="H679" i="36"/>
  <c r="C679" i="33"/>
  <c r="H678" i="33"/>
  <c r="C679" i="34"/>
  <c r="H678" i="34"/>
  <c r="C680" i="34" l="1"/>
  <c r="H679" i="34"/>
  <c r="C681" i="36"/>
  <c r="H680" i="36"/>
  <c r="C680" i="33"/>
  <c r="H679" i="33"/>
  <c r="C680" i="35"/>
  <c r="H679" i="35"/>
  <c r="C681" i="35" l="1"/>
  <c r="H680" i="35"/>
  <c r="C682" i="36"/>
  <c r="H681" i="36"/>
  <c r="C681" i="33"/>
  <c r="H680" i="33"/>
  <c r="C681" i="34"/>
  <c r="H680" i="34"/>
  <c r="C683" i="36" l="1"/>
  <c r="H682" i="36"/>
  <c r="C682" i="34"/>
  <c r="H681" i="34"/>
  <c r="C682" i="33"/>
  <c r="H681" i="33"/>
  <c r="C682" i="35"/>
  <c r="H681" i="35"/>
  <c r="C683" i="35" l="1"/>
  <c r="H682" i="35"/>
  <c r="C683" i="34"/>
  <c r="H682" i="34"/>
  <c r="C683" i="33"/>
  <c r="H682" i="33"/>
  <c r="C684" i="36"/>
  <c r="H683" i="36"/>
  <c r="C685" i="36" l="1"/>
  <c r="H684" i="36"/>
  <c r="C684" i="34"/>
  <c r="H683" i="34"/>
  <c r="C684" i="33"/>
  <c r="H683" i="33"/>
  <c r="C684" i="35"/>
  <c r="H683" i="35"/>
  <c r="C685" i="35" l="1"/>
  <c r="H684" i="35"/>
  <c r="C685" i="34"/>
  <c r="H684" i="34"/>
  <c r="C685" i="33"/>
  <c r="H684" i="33"/>
  <c r="C686" i="36"/>
  <c r="H685" i="36"/>
  <c r="C686" i="34" l="1"/>
  <c r="H685" i="34"/>
  <c r="C687" i="36"/>
  <c r="H686" i="36"/>
  <c r="C686" i="33"/>
  <c r="H685" i="33"/>
  <c r="C686" i="35"/>
  <c r="H685" i="35"/>
  <c r="C688" i="36" l="1"/>
  <c r="H687" i="36"/>
  <c r="C687" i="35"/>
  <c r="H686" i="35"/>
  <c r="C687" i="33"/>
  <c r="H686" i="33"/>
  <c r="C687" i="34"/>
  <c r="H686" i="34"/>
  <c r="C688" i="35" l="1"/>
  <c r="H687" i="35"/>
  <c r="C688" i="34"/>
  <c r="H687" i="34"/>
  <c r="C688" i="33"/>
  <c r="H687" i="33"/>
  <c r="C689" i="36"/>
  <c r="H688" i="36"/>
  <c r="C689" i="34" l="1"/>
  <c r="H688" i="34"/>
  <c r="C690" i="36"/>
  <c r="H689" i="36"/>
  <c r="C689" i="33"/>
  <c r="H688" i="33"/>
  <c r="C689" i="35"/>
  <c r="H688" i="35"/>
  <c r="C690" i="35" l="1"/>
  <c r="H689" i="35"/>
  <c r="C691" i="36"/>
  <c r="H690" i="36"/>
  <c r="C690" i="33"/>
  <c r="H689" i="33"/>
  <c r="C690" i="34"/>
  <c r="H689" i="34"/>
  <c r="C691" i="34" l="1"/>
  <c r="H690" i="34"/>
  <c r="C692" i="36"/>
  <c r="H691" i="36"/>
  <c r="C691" i="33"/>
  <c r="H690" i="33"/>
  <c r="C691" i="35"/>
  <c r="H690" i="35"/>
  <c r="C693" i="36" l="1"/>
  <c r="H692" i="36"/>
  <c r="C692" i="33"/>
  <c r="H691" i="33"/>
  <c r="C692" i="34"/>
  <c r="H691" i="34"/>
  <c r="C692" i="35"/>
  <c r="H691" i="35"/>
  <c r="C693" i="35" l="1"/>
  <c r="H692" i="35"/>
  <c r="C693" i="33"/>
  <c r="H692" i="33"/>
  <c r="C693" i="34"/>
  <c r="H692" i="34"/>
  <c r="C694" i="36"/>
  <c r="H693" i="36"/>
  <c r="C695" i="36" l="1"/>
  <c r="H694" i="36"/>
  <c r="C694" i="33"/>
  <c r="H693" i="33"/>
  <c r="C694" i="34"/>
  <c r="H693" i="34"/>
  <c r="C694" i="35"/>
  <c r="H693" i="35"/>
  <c r="C695" i="33" l="1"/>
  <c r="H694" i="33"/>
  <c r="C695" i="35"/>
  <c r="H694" i="35"/>
  <c r="C695" i="34"/>
  <c r="H694" i="34"/>
  <c r="C696" i="36"/>
  <c r="H695" i="36"/>
  <c r="C697" i="36" l="1"/>
  <c r="H696" i="36"/>
  <c r="C696" i="35"/>
  <c r="H695" i="35"/>
  <c r="C696" i="34"/>
  <c r="H695" i="34"/>
  <c r="C696" i="33"/>
  <c r="H695" i="33"/>
  <c r="C697" i="33" l="1"/>
  <c r="H696" i="33"/>
  <c r="C697" i="35"/>
  <c r="H696" i="35"/>
  <c r="C697" i="34"/>
  <c r="H696" i="34"/>
  <c r="C698" i="36"/>
  <c r="H697" i="36"/>
  <c r="C698" i="35" l="1"/>
  <c r="H697" i="35"/>
  <c r="C698" i="34"/>
  <c r="H697" i="34"/>
  <c r="C699" i="36"/>
  <c r="H698" i="36"/>
  <c r="C698" i="33"/>
  <c r="H697" i="33"/>
  <c r="C699" i="33" l="1"/>
  <c r="H698" i="33"/>
  <c r="C699" i="34"/>
  <c r="H698" i="34"/>
  <c r="C700" i="36"/>
  <c r="H699" i="36"/>
  <c r="C699" i="35"/>
  <c r="H698" i="35"/>
  <c r="C700" i="35" l="1"/>
  <c r="H699" i="35"/>
  <c r="C700" i="34"/>
  <c r="H699" i="34"/>
  <c r="C701" i="36"/>
  <c r="H700" i="36"/>
  <c r="C700" i="33"/>
  <c r="H699" i="33"/>
  <c r="C701" i="33" l="1"/>
  <c r="H700" i="33"/>
  <c r="C701" i="34"/>
  <c r="H700" i="34"/>
  <c r="C702" i="36"/>
  <c r="H701" i="36"/>
  <c r="C701" i="35"/>
  <c r="H700" i="35"/>
  <c r="C702" i="35" l="1"/>
  <c r="H701" i="35"/>
  <c r="C702" i="34"/>
  <c r="H701" i="34"/>
  <c r="C703" i="36"/>
  <c r="H702" i="36"/>
  <c r="C702" i="33"/>
  <c r="H701" i="33"/>
  <c r="C703" i="33" l="1"/>
  <c r="H702" i="33"/>
  <c r="C703" i="34"/>
  <c r="H702" i="34"/>
  <c r="C704" i="36"/>
  <c r="H703" i="36"/>
  <c r="C703" i="35"/>
  <c r="H702" i="35"/>
  <c r="C704" i="35" l="1"/>
  <c r="H703" i="35"/>
  <c r="C704" i="34"/>
  <c r="H703" i="34"/>
  <c r="C705" i="36"/>
  <c r="H704" i="36"/>
  <c r="C704" i="33"/>
  <c r="H703" i="33"/>
  <c r="C705" i="34" l="1"/>
  <c r="H704" i="34"/>
  <c r="C705" i="33"/>
  <c r="H704" i="33"/>
  <c r="C706" i="36"/>
  <c r="H705" i="36"/>
  <c r="C705" i="35"/>
  <c r="H704" i="35"/>
  <c r="C706" i="33" l="1"/>
  <c r="H705" i="33"/>
  <c r="C706" i="35"/>
  <c r="H705" i="35"/>
  <c r="C707" i="36"/>
  <c r="H706" i="36"/>
  <c r="C706" i="34"/>
  <c r="H705" i="34"/>
  <c r="C707" i="34" l="1"/>
  <c r="H706" i="34"/>
  <c r="C707" i="35"/>
  <c r="H706" i="35"/>
  <c r="C708" i="36"/>
  <c r="H707" i="36"/>
  <c r="C707" i="33"/>
  <c r="H706" i="33"/>
  <c r="C708" i="33" l="1"/>
  <c r="H707" i="33"/>
  <c r="C708" i="35"/>
  <c r="H707" i="35"/>
  <c r="C709" i="36"/>
  <c r="H708" i="36"/>
  <c r="C708" i="34"/>
  <c r="H707" i="34"/>
  <c r="C709" i="35" l="1"/>
  <c r="H708" i="35"/>
  <c r="C709" i="34"/>
  <c r="H708" i="34"/>
  <c r="C710" i="36"/>
  <c r="H709" i="36"/>
  <c r="C709" i="33"/>
  <c r="H708" i="33"/>
  <c r="C710" i="34" l="1"/>
  <c r="H709" i="34"/>
  <c r="C711" i="36"/>
  <c r="H710" i="36"/>
  <c r="C710" i="33"/>
  <c r="H709" i="33"/>
  <c r="C710" i="35"/>
  <c r="H709" i="35"/>
  <c r="C711" i="35" l="1"/>
  <c r="H710" i="35"/>
  <c r="C712" i="36"/>
  <c r="H711" i="36"/>
  <c r="C711" i="33"/>
  <c r="H710" i="33"/>
  <c r="C711" i="34"/>
  <c r="H710" i="34"/>
  <c r="C712" i="34" l="1"/>
  <c r="H711" i="34"/>
  <c r="C713" i="36"/>
  <c r="H712" i="36"/>
  <c r="C712" i="33"/>
  <c r="H711" i="33"/>
  <c r="C712" i="35"/>
  <c r="H711" i="35"/>
  <c r="C713" i="35" l="1"/>
  <c r="H712" i="35"/>
  <c r="C714" i="36"/>
  <c r="H713" i="36"/>
  <c r="C713" i="33"/>
  <c r="H712" i="33"/>
  <c r="C713" i="34"/>
  <c r="H712" i="34"/>
  <c r="C714" i="34" l="1"/>
  <c r="H713" i="34"/>
  <c r="C715" i="36"/>
  <c r="H714" i="36"/>
  <c r="C714" i="33"/>
  <c r="H713" i="33"/>
  <c r="C714" i="35"/>
  <c r="H713" i="35"/>
  <c r="C716" i="36" l="1"/>
  <c r="H715" i="36"/>
  <c r="C715" i="35"/>
  <c r="H714" i="35"/>
  <c r="C715" i="33"/>
  <c r="H714" i="33"/>
  <c r="C715" i="34"/>
  <c r="H714" i="34"/>
  <c r="C716" i="34" l="1"/>
  <c r="H715" i="34"/>
  <c r="C716" i="35"/>
  <c r="H715" i="35"/>
  <c r="C716" i="33"/>
  <c r="H715" i="33"/>
  <c r="C717" i="36"/>
  <c r="H716" i="36"/>
  <c r="C717" i="35" l="1"/>
  <c r="H716" i="35"/>
  <c r="C717" i="33"/>
  <c r="H716" i="33"/>
  <c r="C718" i="36"/>
  <c r="H717" i="36"/>
  <c r="C717" i="34"/>
  <c r="H716" i="34"/>
  <c r="C718" i="33" l="1"/>
  <c r="H717" i="33"/>
  <c r="C719" i="36"/>
  <c r="H718" i="36"/>
  <c r="C718" i="34"/>
  <c r="H717" i="34"/>
  <c r="C718" i="35"/>
  <c r="H717" i="35"/>
  <c r="C720" i="36" l="1"/>
  <c r="H719" i="36"/>
  <c r="C719" i="35"/>
  <c r="H718" i="35"/>
  <c r="C719" i="34"/>
  <c r="H718" i="34"/>
  <c r="C719" i="33"/>
  <c r="H718" i="33"/>
  <c r="C720" i="33" l="1"/>
  <c r="H719" i="33"/>
  <c r="C720" i="35"/>
  <c r="H719" i="35"/>
  <c r="C720" i="34"/>
  <c r="H719" i="34"/>
  <c r="C721" i="36"/>
  <c r="H720" i="36"/>
  <c r="C721" i="35" l="1"/>
  <c r="H720" i="35"/>
  <c r="C722" i="36"/>
  <c r="H721" i="36"/>
  <c r="C721" i="34"/>
  <c r="H720" i="34"/>
  <c r="C721" i="33"/>
  <c r="H720" i="33"/>
  <c r="C723" i="36" l="1"/>
  <c r="H722" i="36"/>
  <c r="C722" i="34"/>
  <c r="H721" i="34"/>
  <c r="C722" i="33"/>
  <c r="H721" i="33"/>
  <c r="C722" i="35"/>
  <c r="H721" i="35"/>
  <c r="C723" i="35" l="1"/>
  <c r="H722" i="35"/>
  <c r="C723" i="34"/>
  <c r="H722" i="34"/>
  <c r="C723" i="33"/>
  <c r="H722" i="33"/>
  <c r="C724" i="36"/>
  <c r="H723" i="36"/>
  <c r="C724" i="34" l="1"/>
  <c r="H723" i="34"/>
  <c r="C725" i="36"/>
  <c r="H724" i="36"/>
  <c r="C724" i="33"/>
  <c r="H723" i="33"/>
  <c r="C724" i="35"/>
  <c r="H723" i="35"/>
  <c r="C725" i="35" l="1"/>
  <c r="H724" i="35"/>
  <c r="C726" i="36"/>
  <c r="H725" i="36"/>
  <c r="C725" i="33"/>
  <c r="H724" i="33"/>
  <c r="C725" i="34"/>
  <c r="H724" i="34"/>
  <c r="C726" i="34" l="1"/>
  <c r="H725" i="34"/>
  <c r="C727" i="36"/>
  <c r="H726" i="36"/>
  <c r="C726" i="33"/>
  <c r="H725" i="33"/>
  <c r="C726" i="35"/>
  <c r="H725" i="35"/>
  <c r="C727" i="35" l="1"/>
  <c r="H726" i="35"/>
  <c r="C728" i="36"/>
  <c r="H727" i="36"/>
  <c r="C727" i="33"/>
  <c r="H726" i="33"/>
  <c r="C727" i="34"/>
  <c r="H726" i="34"/>
  <c r="C728" i="34" l="1"/>
  <c r="H727" i="34"/>
  <c r="C729" i="36"/>
  <c r="H728" i="36"/>
  <c r="C728" i="33"/>
  <c r="H727" i="33"/>
  <c r="C728" i="35"/>
  <c r="H727" i="35"/>
  <c r="C729" i="35" l="1"/>
  <c r="H728" i="35"/>
  <c r="C730" i="36"/>
  <c r="H729" i="36"/>
  <c r="C729" i="33"/>
  <c r="H728" i="33"/>
  <c r="C729" i="34"/>
  <c r="H728" i="34"/>
  <c r="C731" i="36" l="1"/>
  <c r="H730" i="36"/>
  <c r="C730" i="34"/>
  <c r="H729" i="34"/>
  <c r="C730" i="33"/>
  <c r="H729" i="33"/>
  <c r="C730" i="35"/>
  <c r="H729" i="35"/>
  <c r="C731" i="34" l="1"/>
  <c r="H730" i="34"/>
  <c r="C731" i="35"/>
  <c r="H730" i="35"/>
  <c r="C731" i="33"/>
  <c r="H730" i="33"/>
  <c r="C732" i="36"/>
  <c r="H731" i="36"/>
  <c r="C733" i="36" l="1"/>
  <c r="H732" i="36"/>
  <c r="C732" i="35"/>
  <c r="H731" i="35"/>
  <c r="C732" i="33"/>
  <c r="H731" i="33"/>
  <c r="C732" i="34"/>
  <c r="H731" i="34"/>
  <c r="C733" i="35" l="1"/>
  <c r="H732" i="35"/>
  <c r="C733" i="34"/>
  <c r="H732" i="34"/>
  <c r="C733" i="33"/>
  <c r="H732" i="33"/>
  <c r="C734" i="36"/>
  <c r="H733" i="36"/>
  <c r="C735" i="36" l="1"/>
  <c r="H734" i="36"/>
  <c r="C734" i="34"/>
  <c r="H733" i="34"/>
  <c r="C734" i="33"/>
  <c r="H733" i="33"/>
  <c r="C734" i="35"/>
  <c r="H733" i="35"/>
  <c r="C735" i="35" l="1"/>
  <c r="H734" i="35"/>
  <c r="C735" i="33"/>
  <c r="H734" i="33"/>
  <c r="C735" i="34"/>
  <c r="H734" i="34"/>
  <c r="C736" i="36"/>
  <c r="H735" i="36"/>
  <c r="C736" i="33" l="1"/>
  <c r="H735" i="33"/>
  <c r="C736" i="34"/>
  <c r="H735" i="34"/>
  <c r="C737" i="36"/>
  <c r="H736" i="36"/>
  <c r="C736" i="35"/>
  <c r="H735" i="35"/>
  <c r="C737" i="35" l="1"/>
  <c r="H736" i="35"/>
  <c r="C738" i="36"/>
  <c r="H737" i="36"/>
  <c r="C737" i="34"/>
  <c r="H736" i="34"/>
  <c r="C737" i="33"/>
  <c r="H736" i="33"/>
  <c r="C738" i="33" l="1"/>
  <c r="H737" i="33"/>
  <c r="C738" i="34"/>
  <c r="H737" i="34"/>
  <c r="C739" i="36"/>
  <c r="H738" i="36"/>
  <c r="C738" i="35"/>
  <c r="H737" i="35"/>
  <c r="C739" i="34" l="1"/>
  <c r="H738" i="34"/>
  <c r="C740" i="36"/>
  <c r="H739" i="36"/>
  <c r="C739" i="33"/>
  <c r="H738" i="33"/>
  <c r="C739" i="35"/>
  <c r="H738" i="35"/>
  <c r="C741" i="36" l="1"/>
  <c r="H740" i="36"/>
  <c r="C740" i="35"/>
  <c r="H739" i="35"/>
  <c r="C740" i="33"/>
  <c r="H739" i="33"/>
  <c r="C740" i="34"/>
  <c r="H739" i="34"/>
  <c r="C741" i="34" l="1"/>
  <c r="H740" i="34"/>
  <c r="C741" i="35"/>
  <c r="H740" i="35"/>
  <c r="C741" i="33"/>
  <c r="H740" i="33"/>
  <c r="C742" i="36"/>
  <c r="H741" i="36"/>
  <c r="C743" i="36" l="1"/>
  <c r="H742" i="36"/>
  <c r="C742" i="33"/>
  <c r="H741" i="33"/>
  <c r="C742" i="35"/>
  <c r="H741" i="35"/>
  <c r="C742" i="34"/>
  <c r="H741" i="34"/>
  <c r="C743" i="33" l="1"/>
  <c r="H742" i="33"/>
  <c r="C743" i="34"/>
  <c r="H742" i="34"/>
  <c r="C743" i="35"/>
  <c r="H742" i="35"/>
  <c r="C744" i="36"/>
  <c r="H743" i="36"/>
  <c r="C745" i="36" l="1"/>
  <c r="H744" i="36"/>
  <c r="C744" i="34"/>
  <c r="H743" i="34"/>
  <c r="C744" i="35"/>
  <c r="H743" i="35"/>
  <c r="C744" i="33"/>
  <c r="H743" i="33"/>
  <c r="C745" i="33" l="1"/>
  <c r="H744" i="33"/>
  <c r="C745" i="34"/>
  <c r="H744" i="34"/>
  <c r="C745" i="35"/>
  <c r="H744" i="35"/>
  <c r="C746" i="36"/>
  <c r="H745" i="36"/>
  <c r="C746" i="34" l="1"/>
  <c r="H745" i="34"/>
  <c r="C747" i="36"/>
  <c r="H746" i="36"/>
  <c r="C746" i="35"/>
  <c r="H745" i="35"/>
  <c r="C746" i="33"/>
  <c r="H745" i="33"/>
  <c r="C747" i="33" l="1"/>
  <c r="H746" i="33"/>
  <c r="C748" i="36"/>
  <c r="H747" i="36"/>
  <c r="C747" i="35"/>
  <c r="H746" i="35"/>
  <c r="C747" i="34"/>
  <c r="H746" i="34"/>
  <c r="C749" i="36" l="1"/>
  <c r="H748" i="36"/>
  <c r="C748" i="34"/>
  <c r="H747" i="34"/>
  <c r="C748" i="35"/>
  <c r="H747" i="35"/>
  <c r="C748" i="33"/>
  <c r="H747" i="33"/>
  <c r="C749" i="34" l="1"/>
  <c r="H748" i="34"/>
  <c r="C749" i="33"/>
  <c r="H748" i="33"/>
  <c r="C749" i="35"/>
  <c r="H748" i="35"/>
  <c r="C750" i="36"/>
  <c r="H749" i="36"/>
  <c r="C751" i="36" l="1"/>
  <c r="H750" i="36"/>
  <c r="C750" i="35"/>
  <c r="H749" i="35"/>
  <c r="C750" i="33"/>
  <c r="H749" i="33"/>
  <c r="C750" i="34"/>
  <c r="H749" i="34"/>
  <c r="C751" i="34" l="1"/>
  <c r="H750" i="34"/>
  <c r="C751" i="35"/>
  <c r="H750" i="35"/>
  <c r="C751" i="33"/>
  <c r="H750" i="33"/>
  <c r="C752" i="36"/>
  <c r="H751" i="36"/>
  <c r="C752" i="35" l="1"/>
  <c r="H751" i="35"/>
  <c r="C753" i="36"/>
  <c r="H752" i="36"/>
  <c r="C752" i="33"/>
  <c r="H751" i="33"/>
  <c r="C752" i="34"/>
  <c r="H751" i="34"/>
  <c r="C753" i="34" l="1"/>
  <c r="H752" i="34"/>
  <c r="C754" i="36"/>
  <c r="H753" i="36"/>
  <c r="C753" i="33"/>
  <c r="H752" i="33"/>
  <c r="C753" i="35"/>
  <c r="H752" i="35"/>
  <c r="C754" i="35" l="1"/>
  <c r="H753" i="35"/>
  <c r="C754" i="33"/>
  <c r="H753" i="33"/>
  <c r="C755" i="36"/>
  <c r="H754" i="36"/>
  <c r="C754" i="34"/>
  <c r="H753" i="34"/>
  <c r="C755" i="33" l="1"/>
  <c r="H754" i="33"/>
  <c r="C756" i="36"/>
  <c r="H755" i="36"/>
  <c r="C755" i="34"/>
  <c r="H754" i="34"/>
  <c r="C755" i="35"/>
  <c r="H754" i="35"/>
  <c r="C756" i="35" l="1"/>
  <c r="H755" i="35"/>
  <c r="C757" i="36"/>
  <c r="H756" i="36"/>
  <c r="C756" i="34"/>
  <c r="H755" i="34"/>
  <c r="C756" i="33"/>
  <c r="H755" i="33"/>
  <c r="C757" i="33" l="1"/>
  <c r="H756" i="33"/>
  <c r="C757" i="34"/>
  <c r="H756" i="34"/>
  <c r="C758" i="36"/>
  <c r="H757" i="36"/>
  <c r="C757" i="35"/>
  <c r="H756" i="35"/>
  <c r="C758" i="35" l="1"/>
  <c r="H757" i="35"/>
  <c r="C758" i="34"/>
  <c r="H757" i="34"/>
  <c r="C759" i="36"/>
  <c r="H758" i="36"/>
  <c r="C758" i="33"/>
  <c r="H757" i="33"/>
  <c r="C759" i="33" l="1"/>
  <c r="H758" i="33"/>
  <c r="C759" i="34"/>
  <c r="H758" i="34"/>
  <c r="C760" i="36"/>
  <c r="H759" i="36"/>
  <c r="C759" i="35"/>
  <c r="H758" i="35"/>
  <c r="C760" i="35" l="1"/>
  <c r="H759" i="35"/>
  <c r="C760" i="34"/>
  <c r="H759" i="34"/>
  <c r="C761" i="36"/>
  <c r="H760" i="36"/>
  <c r="C760" i="33"/>
  <c r="H759" i="33"/>
  <c r="C761" i="33" l="1"/>
  <c r="H760" i="33"/>
  <c r="C761" i="34"/>
  <c r="H760" i="34"/>
  <c r="C762" i="36"/>
  <c r="H761" i="36"/>
  <c r="C761" i="35"/>
  <c r="H760" i="35"/>
  <c r="C762" i="35" l="1"/>
  <c r="H761" i="35"/>
  <c r="C762" i="34"/>
  <c r="H761" i="34"/>
  <c r="C763" i="36"/>
  <c r="H762" i="36"/>
  <c r="C762" i="33"/>
  <c r="H761" i="33"/>
  <c r="C763" i="34" l="1"/>
  <c r="H762" i="34"/>
  <c r="C763" i="33"/>
  <c r="H762" i="33"/>
  <c r="C764" i="36"/>
  <c r="H763" i="36"/>
  <c r="C763" i="35"/>
  <c r="H762" i="35"/>
  <c r="C764" i="35" l="1"/>
  <c r="H763" i="35"/>
  <c r="C764" i="33"/>
  <c r="H763" i="33"/>
  <c r="C765" i="36"/>
  <c r="H764" i="36"/>
  <c r="C764" i="34"/>
  <c r="H763" i="34"/>
  <c r="C765" i="34" l="1"/>
  <c r="H764" i="34"/>
  <c r="C765" i="33"/>
  <c r="H764" i="33"/>
  <c r="C766" i="36"/>
  <c r="H765" i="36"/>
  <c r="C765" i="35"/>
  <c r="H764" i="35"/>
  <c r="C766" i="35" l="1"/>
  <c r="H765" i="35"/>
  <c r="C766" i="33"/>
  <c r="H765" i="33"/>
  <c r="C767" i="36"/>
  <c r="H766" i="36"/>
  <c r="C766" i="34"/>
  <c r="H765" i="34"/>
  <c r="C767" i="33" l="1"/>
  <c r="H766" i="33"/>
  <c r="C767" i="34"/>
  <c r="H766" i="34"/>
  <c r="C768" i="36"/>
  <c r="H767" i="36"/>
  <c r="C767" i="35"/>
  <c r="H766" i="35"/>
  <c r="C768" i="35" l="1"/>
  <c r="H767" i="35"/>
  <c r="C769" i="36"/>
  <c r="H768" i="36"/>
  <c r="C768" i="34"/>
  <c r="H767" i="34"/>
  <c r="C768" i="33"/>
  <c r="H767" i="33"/>
  <c r="C769" i="33" l="1"/>
  <c r="H768" i="33"/>
  <c r="C770" i="36"/>
  <c r="H769" i="36"/>
  <c r="C769" i="34"/>
  <c r="H768" i="34"/>
  <c r="C769" i="35"/>
  <c r="H768" i="35"/>
  <c r="C770" i="35" l="1"/>
  <c r="H769" i="35"/>
  <c r="C771" i="36"/>
  <c r="H770" i="36"/>
  <c r="C770" i="34"/>
  <c r="H769" i="34"/>
  <c r="C770" i="33"/>
  <c r="H769" i="33"/>
  <c r="C772" i="36" l="1"/>
  <c r="H771" i="36"/>
  <c r="C771" i="33"/>
  <c r="H770" i="33"/>
  <c r="C771" i="34"/>
  <c r="H770" i="34"/>
  <c r="C771" i="35"/>
  <c r="H770" i="35"/>
  <c r="C772" i="33" l="1"/>
  <c r="H771" i="33"/>
  <c r="C772" i="35"/>
  <c r="H771" i="35"/>
  <c r="C772" i="34"/>
  <c r="H771" i="34"/>
  <c r="C773" i="36"/>
  <c r="H772" i="36"/>
  <c r="C774" i="36" l="1"/>
  <c r="H773" i="36"/>
  <c r="C773" i="35"/>
  <c r="H772" i="35"/>
  <c r="C773" i="34"/>
  <c r="H772" i="34"/>
  <c r="C773" i="33"/>
  <c r="H772" i="33"/>
  <c r="C774" i="35" l="1"/>
  <c r="H773" i="35"/>
  <c r="C774" i="33"/>
  <c r="H773" i="33"/>
  <c r="C774" i="34"/>
  <c r="H773" i="34"/>
  <c r="C775" i="36"/>
  <c r="H774" i="36"/>
  <c r="C775" i="33" l="1"/>
  <c r="H774" i="33"/>
  <c r="C776" i="36"/>
  <c r="H775" i="36"/>
  <c r="C775" i="34"/>
  <c r="H774" i="34"/>
  <c r="C775" i="35"/>
  <c r="H774" i="35"/>
  <c r="C776" i="35" l="1"/>
  <c r="H775" i="35"/>
  <c r="C777" i="36"/>
  <c r="H776" i="36"/>
  <c r="C776" i="34"/>
  <c r="H775" i="34"/>
  <c r="C776" i="33"/>
  <c r="H775" i="33"/>
  <c r="C778" i="36" l="1"/>
  <c r="H777" i="36"/>
  <c r="C777" i="33"/>
  <c r="H776" i="33"/>
  <c r="C777" i="34"/>
  <c r="H776" i="34"/>
  <c r="C777" i="35"/>
  <c r="H776" i="35"/>
  <c r="C778" i="33" l="1"/>
  <c r="H777" i="33"/>
  <c r="C778" i="35"/>
  <c r="H777" i="35"/>
  <c r="C778" i="34"/>
  <c r="H777" i="34"/>
  <c r="C779" i="36"/>
  <c r="H778" i="36"/>
  <c r="C779" i="35" l="1"/>
  <c r="H778" i="35"/>
  <c r="C779" i="34"/>
  <c r="H778" i="34"/>
  <c r="C779" i="33"/>
  <c r="H778" i="33"/>
  <c r="C780" i="36"/>
  <c r="H779" i="36"/>
  <c r="C781" i="36" l="1"/>
  <c r="H780" i="36"/>
  <c r="C780" i="34"/>
  <c r="H779" i="34"/>
  <c r="C780" i="33"/>
  <c r="H779" i="33"/>
  <c r="C780" i="35"/>
  <c r="H779" i="35"/>
  <c r="C781" i="35" l="1"/>
  <c r="H780" i="35"/>
  <c r="C781" i="33"/>
  <c r="H780" i="33"/>
  <c r="C781" i="34"/>
  <c r="H780" i="34"/>
  <c r="C782" i="36"/>
  <c r="H781" i="36"/>
  <c r="C783" i="36" l="1"/>
  <c r="H782" i="36"/>
  <c r="C782" i="33"/>
  <c r="H781" i="33"/>
  <c r="C782" i="34"/>
  <c r="H781" i="34"/>
  <c r="C782" i="35"/>
  <c r="H781" i="35"/>
  <c r="C783" i="35" l="1"/>
  <c r="H782" i="35"/>
  <c r="C783" i="33"/>
  <c r="H782" i="33"/>
  <c r="C783" i="34"/>
  <c r="H782" i="34"/>
  <c r="C784" i="36"/>
  <c r="H783" i="36"/>
  <c r="C785" i="36" l="1"/>
  <c r="H784" i="36"/>
  <c r="C784" i="34"/>
  <c r="H783" i="34"/>
  <c r="C784" i="35"/>
  <c r="H783" i="35"/>
  <c r="C784" i="33"/>
  <c r="H783" i="33"/>
  <c r="C785" i="34" l="1"/>
  <c r="H784" i="34"/>
  <c r="C785" i="33"/>
  <c r="H784" i="33"/>
  <c r="C785" i="35"/>
  <c r="H784" i="35"/>
  <c r="C786" i="36"/>
  <c r="H785" i="36"/>
  <c r="C786" i="33" l="1"/>
  <c r="H785" i="33"/>
  <c r="C787" i="36"/>
  <c r="H786" i="36"/>
  <c r="C786" i="35"/>
  <c r="H785" i="35"/>
  <c r="C786" i="34"/>
  <c r="H785" i="34"/>
  <c r="C787" i="34" l="1"/>
  <c r="H786" i="34"/>
  <c r="C788" i="36"/>
  <c r="H787" i="36"/>
  <c r="C787" i="35"/>
  <c r="H786" i="35"/>
  <c r="C787" i="33"/>
  <c r="H786" i="33"/>
  <c r="C788" i="33" l="1"/>
  <c r="H787" i="33"/>
  <c r="C789" i="36"/>
  <c r="H788" i="36"/>
  <c r="C788" i="35"/>
  <c r="H787" i="35"/>
  <c r="C788" i="34"/>
  <c r="H787" i="34"/>
  <c r="C790" i="36" l="1"/>
  <c r="H789" i="36"/>
  <c r="C789" i="34"/>
  <c r="H788" i="34"/>
  <c r="C789" i="35"/>
  <c r="H788" i="35"/>
  <c r="C789" i="33"/>
  <c r="H788" i="33"/>
  <c r="C790" i="34" l="1"/>
  <c r="H789" i="34"/>
  <c r="C790" i="33"/>
  <c r="H789" i="33"/>
  <c r="C790" i="35"/>
  <c r="H789" i="35"/>
  <c r="C791" i="36"/>
  <c r="H790" i="36"/>
  <c r="C792" i="36" l="1"/>
  <c r="H791" i="36"/>
  <c r="C791" i="33"/>
  <c r="H790" i="33"/>
  <c r="C791" i="35"/>
  <c r="H790" i="35"/>
  <c r="C791" i="34"/>
  <c r="H790" i="34"/>
  <c r="C792" i="33" l="1"/>
  <c r="H791" i="33"/>
  <c r="C792" i="34"/>
  <c r="H791" i="34"/>
  <c r="C792" i="35"/>
  <c r="H791" i="35"/>
  <c r="C793" i="36"/>
  <c r="H792" i="36"/>
  <c r="C794" i="36" l="1"/>
  <c r="H793" i="36"/>
  <c r="C793" i="34"/>
  <c r="H792" i="34"/>
  <c r="C793" i="35"/>
  <c r="H792" i="35"/>
  <c r="C793" i="33"/>
  <c r="H792" i="33"/>
  <c r="C794" i="33" l="1"/>
  <c r="H793" i="33"/>
  <c r="C794" i="34"/>
  <c r="H793" i="34"/>
  <c r="C794" i="35"/>
  <c r="H793" i="35"/>
  <c r="C795" i="36"/>
  <c r="H794" i="36"/>
  <c r="C795" i="34" l="1"/>
  <c r="H794" i="34"/>
  <c r="C796" i="36"/>
  <c r="H795" i="36"/>
  <c r="C795" i="35"/>
  <c r="H794" i="35"/>
  <c r="C795" i="33"/>
  <c r="H794" i="33"/>
  <c r="C797" i="36" l="1"/>
  <c r="H796" i="36"/>
  <c r="C796" i="33"/>
  <c r="H795" i="33"/>
  <c r="C796" i="35"/>
  <c r="H795" i="35"/>
  <c r="C796" i="34"/>
  <c r="H795" i="34"/>
  <c r="C797" i="34" l="1"/>
  <c r="H796" i="34"/>
  <c r="C797" i="33"/>
  <c r="H796" i="33"/>
  <c r="C797" i="35"/>
  <c r="H796" i="35"/>
  <c r="C798" i="36"/>
  <c r="H797" i="36"/>
  <c r="C799" i="36" l="1"/>
  <c r="H798" i="36"/>
  <c r="C798" i="33"/>
  <c r="H797" i="33"/>
  <c r="C798" i="35"/>
  <c r="H797" i="35"/>
  <c r="C798" i="34"/>
  <c r="H797" i="34"/>
  <c r="C799" i="34" l="1"/>
  <c r="H798" i="34"/>
  <c r="C799" i="33"/>
  <c r="H798" i="33"/>
  <c r="C799" i="35"/>
  <c r="H798" i="35"/>
  <c r="C800" i="36"/>
  <c r="H799" i="36"/>
  <c r="C801" i="36" l="1"/>
  <c r="H800" i="36"/>
  <c r="C800" i="33"/>
  <c r="H799" i="33"/>
  <c r="C800" i="35"/>
  <c r="H799" i="35"/>
  <c r="C800" i="34"/>
  <c r="H799" i="34"/>
  <c r="C801" i="34" l="1"/>
  <c r="H800" i="34"/>
  <c r="C801" i="33"/>
  <c r="H800" i="33"/>
  <c r="C801" i="35"/>
  <c r="H800" i="35"/>
  <c r="C802" i="36"/>
  <c r="H801" i="36"/>
  <c r="C802" i="33" l="1"/>
  <c r="H801" i="33"/>
  <c r="C803" i="36"/>
  <c r="H802" i="36"/>
  <c r="C802" i="35"/>
  <c r="H801" i="35"/>
  <c r="C802" i="34"/>
  <c r="H801" i="34"/>
  <c r="C803" i="34" l="1"/>
  <c r="H802" i="34"/>
  <c r="C804" i="36"/>
  <c r="H803" i="36"/>
  <c r="C803" i="35"/>
  <c r="H802" i="35"/>
  <c r="C803" i="33"/>
  <c r="H802" i="33"/>
  <c r="C805" i="36" l="1"/>
  <c r="H804" i="36"/>
  <c r="C804" i="33"/>
  <c r="H803" i="33"/>
  <c r="C804" i="35"/>
  <c r="H803" i="35"/>
  <c r="C804" i="34"/>
  <c r="H803" i="34"/>
  <c r="C805" i="34" l="1"/>
  <c r="H804" i="34"/>
  <c r="C805" i="33"/>
  <c r="H804" i="33"/>
  <c r="C805" i="35"/>
  <c r="H804" i="35"/>
  <c r="C806" i="36"/>
  <c r="H805" i="36"/>
  <c r="C806" i="33" l="1"/>
  <c r="H805" i="33"/>
  <c r="C807" i="36"/>
  <c r="H806" i="36"/>
  <c r="C806" i="35"/>
  <c r="H805" i="35"/>
  <c r="C806" i="34"/>
  <c r="H805" i="34"/>
  <c r="C807" i="34" l="1"/>
  <c r="H806" i="34"/>
  <c r="C807" i="35"/>
  <c r="H806" i="35"/>
  <c r="C808" i="36"/>
  <c r="H807" i="36"/>
  <c r="C807" i="33"/>
  <c r="H806" i="33"/>
  <c r="C808" i="35" l="1"/>
  <c r="H807" i="35"/>
  <c r="C808" i="33"/>
  <c r="H807" i="33"/>
  <c r="C809" i="36"/>
  <c r="H808" i="36"/>
  <c r="C808" i="34"/>
  <c r="H807" i="34"/>
  <c r="C809" i="33" l="1"/>
  <c r="H808" i="33"/>
  <c r="C809" i="34"/>
  <c r="H808" i="34"/>
  <c r="C810" i="36"/>
  <c r="H809" i="36"/>
  <c r="C809" i="35"/>
  <c r="H808" i="35"/>
  <c r="C810" i="35" l="1"/>
  <c r="H809" i="35"/>
  <c r="C810" i="34"/>
  <c r="H809" i="34"/>
  <c r="C811" i="36"/>
  <c r="H810" i="36"/>
  <c r="C810" i="33"/>
  <c r="H809" i="33"/>
  <c r="C811" i="33" l="1"/>
  <c r="H810" i="33"/>
  <c r="C811" i="34"/>
  <c r="H810" i="34"/>
  <c r="C812" i="36"/>
  <c r="H811" i="36"/>
  <c r="C811" i="35"/>
  <c r="H810" i="35"/>
  <c r="C813" i="36" l="1"/>
  <c r="H812" i="36"/>
  <c r="C812" i="33"/>
  <c r="H811" i="33"/>
  <c r="C812" i="35"/>
  <c r="H811" i="35"/>
  <c r="C812" i="34"/>
  <c r="H811" i="34"/>
  <c r="C813" i="34" l="1"/>
  <c r="H812" i="34"/>
  <c r="C813" i="35"/>
  <c r="H812" i="35"/>
  <c r="C814" i="36"/>
  <c r="H813" i="36"/>
  <c r="C813" i="33"/>
  <c r="H812" i="33"/>
  <c r="C814" i="33" l="1"/>
  <c r="H813" i="33"/>
  <c r="C815" i="36"/>
  <c r="H814" i="36"/>
  <c r="C814" i="34"/>
  <c r="H813" i="34"/>
  <c r="C814" i="35"/>
  <c r="H813" i="35"/>
  <c r="C815" i="34" l="1"/>
  <c r="H814" i="34"/>
  <c r="C815" i="33"/>
  <c r="H814" i="33"/>
  <c r="C815" i="35"/>
  <c r="H814" i="35"/>
  <c r="C816" i="36"/>
  <c r="H815" i="36"/>
  <c r="C817" i="36" l="1"/>
  <c r="H816" i="36"/>
  <c r="C816" i="35"/>
  <c r="H815" i="35"/>
  <c r="C816" i="34"/>
  <c r="H815" i="34"/>
  <c r="C816" i="33"/>
  <c r="H815" i="33"/>
  <c r="C817" i="34" l="1"/>
  <c r="H816" i="34"/>
  <c r="C818" i="36"/>
  <c r="H817" i="36"/>
  <c r="C817" i="33"/>
  <c r="H816" i="33"/>
  <c r="C817" i="35"/>
  <c r="H816" i="35"/>
  <c r="C818" i="33" l="1"/>
  <c r="H817" i="33"/>
  <c r="C818" i="34"/>
  <c r="H817" i="34"/>
  <c r="C818" i="35"/>
  <c r="H817" i="35"/>
  <c r="C819" i="36"/>
  <c r="H818" i="36"/>
  <c r="C820" i="36" l="1"/>
  <c r="H819" i="36"/>
  <c r="C819" i="35"/>
  <c r="H818" i="35"/>
  <c r="C819" i="33"/>
  <c r="H818" i="33"/>
  <c r="C819" i="34"/>
  <c r="H818" i="34"/>
  <c r="C820" i="33" l="1"/>
  <c r="H819" i="33"/>
  <c r="C821" i="36"/>
  <c r="H820" i="36"/>
  <c r="C820" i="34"/>
  <c r="H819" i="34"/>
  <c r="C820" i="35"/>
  <c r="H819" i="35"/>
  <c r="C822" i="36" l="1"/>
  <c r="H821" i="36"/>
  <c r="C821" i="35"/>
  <c r="H820" i="35"/>
  <c r="C821" i="34"/>
  <c r="H820" i="34"/>
  <c r="C821" i="33"/>
  <c r="H820" i="33"/>
  <c r="C822" i="33" l="1"/>
  <c r="H821" i="33"/>
  <c r="C822" i="35"/>
  <c r="H821" i="35"/>
  <c r="C822" i="34"/>
  <c r="H821" i="34"/>
  <c r="C823" i="36"/>
  <c r="H822" i="36"/>
  <c r="C824" i="36" l="1"/>
  <c r="H823" i="36"/>
  <c r="C823" i="35"/>
  <c r="H822" i="35"/>
  <c r="C823" i="34"/>
  <c r="H822" i="34"/>
  <c r="C823" i="33"/>
  <c r="H822" i="33"/>
  <c r="C824" i="33" l="1"/>
  <c r="H823" i="33"/>
  <c r="C824" i="34"/>
  <c r="H823" i="34"/>
  <c r="C825" i="36"/>
  <c r="H824" i="36"/>
  <c r="C824" i="35"/>
  <c r="H823" i="35"/>
  <c r="C826" i="36" l="1"/>
  <c r="H825" i="36"/>
  <c r="C825" i="33"/>
  <c r="H824" i="33"/>
  <c r="C825" i="35"/>
  <c r="H824" i="35"/>
  <c r="C825" i="34"/>
  <c r="H824" i="34"/>
  <c r="C826" i="34" l="1"/>
  <c r="H825" i="34"/>
  <c r="C826" i="33"/>
  <c r="H825" i="33"/>
  <c r="C826" i="35"/>
  <c r="H825" i="35"/>
  <c r="C827" i="36"/>
  <c r="H826" i="36"/>
  <c r="C827" i="33" l="1"/>
  <c r="H826" i="33"/>
  <c r="C828" i="36"/>
  <c r="H827" i="36"/>
  <c r="C827" i="35"/>
  <c r="H826" i="35"/>
  <c r="C827" i="34"/>
  <c r="H826" i="34"/>
  <c r="C828" i="34" l="1"/>
  <c r="H827" i="34"/>
  <c r="C829" i="36"/>
  <c r="H828" i="36"/>
  <c r="C828" i="35"/>
  <c r="H827" i="35"/>
  <c r="C828" i="33"/>
  <c r="H827" i="33"/>
  <c r="C830" i="36" l="1"/>
  <c r="H829" i="36"/>
  <c r="C829" i="33"/>
  <c r="H828" i="33"/>
  <c r="C829" i="35"/>
  <c r="H828" i="35"/>
  <c r="C829" i="34"/>
  <c r="H828" i="34"/>
  <c r="C830" i="34" l="1"/>
  <c r="H829" i="34"/>
  <c r="C830" i="33"/>
  <c r="H829" i="33"/>
  <c r="C830" i="35"/>
  <c r="H829" i="35"/>
  <c r="C831" i="36"/>
  <c r="H830" i="36"/>
  <c r="C832" i="36" l="1"/>
  <c r="H831" i="36"/>
  <c r="C831" i="33"/>
  <c r="H830" i="33"/>
  <c r="C831" i="35"/>
  <c r="H830" i="35"/>
  <c r="C831" i="34"/>
  <c r="H830" i="34"/>
  <c r="C832" i="34" l="1"/>
  <c r="H831" i="34"/>
  <c r="C832" i="35"/>
  <c r="H831" i="35"/>
  <c r="C832" i="33"/>
  <c r="H831" i="33"/>
  <c r="C833" i="36"/>
  <c r="H832" i="36"/>
  <c r="C834" i="36" l="1"/>
  <c r="H833" i="36"/>
  <c r="C833" i="35"/>
  <c r="H832" i="35"/>
  <c r="C833" i="33"/>
  <c r="H832" i="33"/>
  <c r="C833" i="34"/>
  <c r="H832" i="34"/>
  <c r="C834" i="34" l="1"/>
  <c r="H833" i="34"/>
  <c r="C834" i="35"/>
  <c r="H833" i="35"/>
  <c r="C834" i="33"/>
  <c r="H833" i="33"/>
  <c r="C835" i="36"/>
  <c r="H834" i="36"/>
  <c r="C836" i="36" l="1"/>
  <c r="H835" i="36"/>
  <c r="C835" i="35"/>
  <c r="H834" i="35"/>
  <c r="C835" i="33"/>
  <c r="H834" i="33"/>
  <c r="C835" i="34"/>
  <c r="H834" i="34"/>
  <c r="C836" i="35" l="1"/>
  <c r="H835" i="35"/>
  <c r="C836" i="34"/>
  <c r="H835" i="34"/>
  <c r="C836" i="33"/>
  <c r="H835" i="33"/>
  <c r="C837" i="36"/>
  <c r="H836" i="36"/>
  <c r="C838" i="36" l="1"/>
  <c r="H837" i="36"/>
  <c r="C837" i="34"/>
  <c r="H836" i="34"/>
  <c r="C837" i="33"/>
  <c r="H836" i="33"/>
  <c r="C837" i="35"/>
  <c r="H836" i="35"/>
  <c r="C838" i="35" l="1"/>
  <c r="H837" i="35"/>
  <c r="C838" i="34"/>
  <c r="H837" i="34"/>
  <c r="C838" i="33"/>
  <c r="H837" i="33"/>
  <c r="C839" i="36"/>
  <c r="H838" i="36"/>
  <c r="C840" i="36" l="1"/>
  <c r="H839" i="36"/>
  <c r="C839" i="33"/>
  <c r="H838" i="33"/>
  <c r="C839" i="35"/>
  <c r="H838" i="35"/>
  <c r="C839" i="34"/>
  <c r="H838" i="34"/>
  <c r="C840" i="33" l="1"/>
  <c r="H839" i="33"/>
  <c r="C840" i="34"/>
  <c r="H839" i="34"/>
  <c r="C840" i="35"/>
  <c r="H839" i="35"/>
  <c r="C841" i="36"/>
  <c r="H840" i="36"/>
  <c r="C842" i="36" l="1"/>
  <c r="H841" i="36"/>
  <c r="C841" i="34"/>
  <c r="H840" i="34"/>
  <c r="C841" i="35"/>
  <c r="H840" i="35"/>
  <c r="C841" i="33"/>
  <c r="H840" i="33"/>
  <c r="C842" i="33" l="1"/>
  <c r="H841" i="33"/>
  <c r="C842" i="34"/>
  <c r="H841" i="34"/>
  <c r="C842" i="35"/>
  <c r="H841" i="35"/>
  <c r="C843" i="36"/>
  <c r="H842" i="36"/>
  <c r="C844" i="36" l="1"/>
  <c r="H843" i="36"/>
  <c r="C843" i="34"/>
  <c r="H842" i="34"/>
  <c r="C843" i="35"/>
  <c r="H842" i="35"/>
  <c r="C843" i="33"/>
  <c r="H842" i="33"/>
  <c r="C844" i="33" l="1"/>
  <c r="H843" i="33"/>
  <c r="C844" i="34"/>
  <c r="H843" i="34"/>
  <c r="C844" i="35"/>
  <c r="H843" i="35"/>
  <c r="C845" i="36"/>
  <c r="H844" i="36"/>
  <c r="C845" i="34" l="1"/>
  <c r="H844" i="34"/>
  <c r="C845" i="35"/>
  <c r="H844" i="35"/>
  <c r="C846" i="36"/>
  <c r="H845" i="36"/>
  <c r="C845" i="33"/>
  <c r="H844" i="33"/>
  <c r="C846" i="33" l="1"/>
  <c r="H845" i="33"/>
  <c r="C847" i="36"/>
  <c r="H846" i="36"/>
  <c r="C846" i="35"/>
  <c r="H845" i="35"/>
  <c r="C846" i="34"/>
  <c r="H845" i="34"/>
  <c r="C847" i="34" l="1"/>
  <c r="H846" i="34"/>
  <c r="C848" i="36"/>
  <c r="H847" i="36"/>
  <c r="C847" i="35"/>
  <c r="H846" i="35"/>
  <c r="C847" i="33"/>
  <c r="H846" i="33"/>
  <c r="C848" i="33" l="1"/>
  <c r="H847" i="33"/>
  <c r="C849" i="36"/>
  <c r="H848" i="36"/>
  <c r="C848" i="35"/>
  <c r="H847" i="35"/>
  <c r="C848" i="34"/>
  <c r="H847" i="34"/>
  <c r="C849" i="35" l="1"/>
  <c r="H848" i="35"/>
  <c r="C849" i="34"/>
  <c r="H848" i="34"/>
  <c r="C850" i="36"/>
  <c r="H849" i="36"/>
  <c r="C849" i="33"/>
  <c r="H848" i="33"/>
  <c r="C850" i="33" l="1"/>
  <c r="H849" i="33"/>
  <c r="C851" i="36"/>
  <c r="H850" i="36"/>
  <c r="C850" i="34"/>
  <c r="H849" i="34"/>
  <c r="C850" i="35"/>
  <c r="H849" i="35"/>
  <c r="C852" i="36" l="1"/>
  <c r="H851" i="36"/>
  <c r="C851" i="34"/>
  <c r="H850" i="34"/>
  <c r="C851" i="33"/>
  <c r="H850" i="33"/>
  <c r="C851" i="35"/>
  <c r="H850" i="35"/>
  <c r="C852" i="35" l="1"/>
  <c r="H851" i="35"/>
  <c r="C852" i="34"/>
  <c r="H851" i="34"/>
  <c r="C852" i="33"/>
  <c r="H851" i="33"/>
  <c r="C853" i="36"/>
  <c r="H852" i="36"/>
  <c r="C854" i="36" l="1"/>
  <c r="H853" i="36"/>
  <c r="C853" i="34"/>
  <c r="H852" i="34"/>
  <c r="C853" i="33"/>
  <c r="H852" i="33"/>
  <c r="C853" i="35"/>
  <c r="H852" i="35"/>
  <c r="C854" i="35" l="1"/>
  <c r="H853" i="35"/>
  <c r="C854" i="34"/>
  <c r="H853" i="34"/>
  <c r="C854" i="33"/>
  <c r="H853" i="33"/>
  <c r="C855" i="36"/>
  <c r="H854" i="36"/>
  <c r="C855" i="34" l="1"/>
  <c r="H854" i="34"/>
  <c r="C856" i="36"/>
  <c r="H855" i="36"/>
  <c r="C855" i="33"/>
  <c r="H854" i="33"/>
  <c r="C855" i="35"/>
  <c r="H854" i="35"/>
  <c r="C857" i="36" l="1"/>
  <c r="H856" i="36"/>
  <c r="C856" i="35"/>
  <c r="H855" i="35"/>
  <c r="C856" i="33"/>
  <c r="H855" i="33"/>
  <c r="C856" i="34"/>
  <c r="H855" i="34"/>
  <c r="C857" i="35" l="1"/>
  <c r="H856" i="35"/>
  <c r="C857" i="34"/>
  <c r="H856" i="34"/>
  <c r="C857" i="33"/>
  <c r="H856" i="33"/>
  <c r="C858" i="36"/>
  <c r="H857" i="36"/>
  <c r="C858" i="34" l="1"/>
  <c r="H857" i="34"/>
  <c r="C859" i="36"/>
  <c r="H858" i="36"/>
  <c r="C858" i="33"/>
  <c r="H857" i="33"/>
  <c r="C858" i="35"/>
  <c r="H857" i="35"/>
  <c r="C859" i="35" l="1"/>
  <c r="H858" i="35"/>
  <c r="C860" i="36"/>
  <c r="H859" i="36"/>
  <c r="C859" i="33"/>
  <c r="H858" i="33"/>
  <c r="C859" i="34"/>
  <c r="H858" i="34"/>
  <c r="C861" i="36" l="1"/>
  <c r="H860" i="36"/>
  <c r="C860" i="34"/>
  <c r="H859" i="34"/>
  <c r="C860" i="33"/>
  <c r="H859" i="33"/>
  <c r="C860" i="35"/>
  <c r="H859" i="35"/>
  <c r="C861" i="35" l="1"/>
  <c r="H860" i="35"/>
  <c r="C861" i="34"/>
  <c r="H860" i="34"/>
  <c r="C861" i="33"/>
  <c r="H860" i="33"/>
  <c r="C862" i="36"/>
  <c r="H861" i="36"/>
  <c r="C863" i="36" l="1"/>
  <c r="H862" i="36"/>
  <c r="C862" i="34"/>
  <c r="H861" i="34"/>
  <c r="C862" i="33"/>
  <c r="H861" i="33"/>
  <c r="C862" i="35"/>
  <c r="H861" i="35"/>
  <c r="C863" i="34" l="1"/>
  <c r="H862" i="34"/>
  <c r="C863" i="35"/>
  <c r="H862" i="35"/>
  <c r="C863" i="33"/>
  <c r="H862" i="33"/>
  <c r="C864" i="36"/>
  <c r="H863" i="36"/>
  <c r="C865" i="36" l="1"/>
  <c r="H864" i="36"/>
  <c r="C864" i="35"/>
  <c r="H863" i="35"/>
  <c r="C864" i="33"/>
  <c r="H863" i="33"/>
  <c r="C864" i="34"/>
  <c r="H863" i="34"/>
  <c r="C865" i="35" l="1"/>
  <c r="H864" i="35"/>
  <c r="C865" i="34"/>
  <c r="H864" i="34"/>
  <c r="C865" i="33"/>
  <c r="H864" i="33"/>
  <c r="C866" i="36"/>
  <c r="H865" i="36"/>
  <c r="C866" i="34" l="1"/>
  <c r="H865" i="34"/>
  <c r="C867" i="36"/>
  <c r="H866" i="36"/>
  <c r="C866" i="33"/>
  <c r="H865" i="33"/>
  <c r="C866" i="35"/>
  <c r="H865" i="35"/>
  <c r="C867" i="35" l="1"/>
  <c r="H866" i="35"/>
  <c r="C868" i="36"/>
  <c r="H867" i="36"/>
  <c r="C867" i="33"/>
  <c r="H866" i="33"/>
  <c r="C867" i="34"/>
  <c r="H866" i="34"/>
  <c r="C869" i="36" l="1"/>
  <c r="H868" i="36"/>
  <c r="C868" i="34"/>
  <c r="H867" i="34"/>
  <c r="C868" i="33"/>
  <c r="H867" i="33"/>
  <c r="C868" i="35"/>
  <c r="H867" i="35"/>
  <c r="C869" i="35" l="1"/>
  <c r="H868" i="35"/>
  <c r="C869" i="34"/>
  <c r="H868" i="34"/>
  <c r="C869" i="33"/>
  <c r="H868" i="33"/>
  <c r="C870" i="36"/>
  <c r="H869" i="36"/>
  <c r="C871" i="36" l="1"/>
  <c r="H870" i="36"/>
  <c r="C870" i="34"/>
  <c r="H869" i="34"/>
  <c r="C870" i="33"/>
  <c r="H869" i="33"/>
  <c r="C870" i="35"/>
  <c r="H869" i="35"/>
  <c r="C871" i="35" l="1"/>
  <c r="H870" i="35"/>
  <c r="C871" i="34"/>
  <c r="H870" i="34"/>
  <c r="C871" i="33"/>
  <c r="H870" i="33"/>
  <c r="C872" i="36"/>
  <c r="H871" i="36"/>
  <c r="C873" i="36" l="1"/>
  <c r="H872" i="36"/>
  <c r="C872" i="34"/>
  <c r="H871" i="34"/>
  <c r="C872" i="33"/>
  <c r="H871" i="33"/>
  <c r="C872" i="35"/>
  <c r="H871" i="35"/>
  <c r="C873" i="34" l="1"/>
  <c r="H872" i="34"/>
  <c r="C873" i="35"/>
  <c r="H872" i="35"/>
  <c r="C873" i="33"/>
  <c r="H872" i="33"/>
  <c r="C874" i="36"/>
  <c r="H873" i="36"/>
  <c r="C875" i="36" l="1"/>
  <c r="H874" i="36"/>
  <c r="C874" i="35"/>
  <c r="H873" i="35"/>
  <c r="C874" i="33"/>
  <c r="H873" i="33"/>
  <c r="C874" i="34"/>
  <c r="H873" i="34"/>
  <c r="C875" i="34" l="1"/>
  <c r="H874" i="34"/>
  <c r="C875" i="35"/>
  <c r="H874" i="35"/>
  <c r="C875" i="33"/>
  <c r="H874" i="33"/>
  <c r="C876" i="36"/>
  <c r="H875" i="36"/>
  <c r="C876" i="35" l="1"/>
  <c r="H875" i="35"/>
  <c r="C877" i="36"/>
  <c r="H876" i="36"/>
  <c r="C876" i="33"/>
  <c r="H875" i="33"/>
  <c r="C876" i="34"/>
  <c r="H875" i="34"/>
  <c r="C878" i="36" l="1"/>
  <c r="H877" i="36"/>
  <c r="C877" i="34"/>
  <c r="H876" i="34"/>
  <c r="C877" i="33"/>
  <c r="H876" i="33"/>
  <c r="C877" i="35"/>
  <c r="H876" i="35"/>
  <c r="C878" i="33" l="1"/>
  <c r="H877" i="33"/>
  <c r="C878" i="35"/>
  <c r="H877" i="35"/>
  <c r="C878" i="34"/>
  <c r="H877" i="34"/>
  <c r="C879" i="36"/>
  <c r="H878" i="36"/>
  <c r="C880" i="36" l="1"/>
  <c r="H879" i="36"/>
  <c r="C879" i="35"/>
  <c r="H878" i="35"/>
  <c r="C879" i="34"/>
  <c r="H878" i="34"/>
  <c r="C879" i="33"/>
  <c r="H878" i="33"/>
  <c r="C880" i="34" l="1"/>
  <c r="H879" i="34"/>
  <c r="C881" i="36"/>
  <c r="H880" i="36"/>
  <c r="C880" i="33"/>
  <c r="H879" i="33"/>
  <c r="C880" i="35"/>
  <c r="H879" i="35"/>
  <c r="C881" i="33" l="1"/>
  <c r="H880" i="33"/>
  <c r="C881" i="35"/>
  <c r="H880" i="35"/>
  <c r="C882" i="36"/>
  <c r="H881" i="36"/>
  <c r="C881" i="34"/>
  <c r="H880" i="34"/>
  <c r="C882" i="34" l="1"/>
  <c r="H881" i="34"/>
  <c r="C882" i="35"/>
  <c r="H881" i="35"/>
  <c r="C883" i="36"/>
  <c r="H882" i="36"/>
  <c r="C882" i="33"/>
  <c r="H881" i="33"/>
  <c r="C883" i="33" l="1"/>
  <c r="H882" i="33"/>
  <c r="C883" i="35"/>
  <c r="H882" i="35"/>
  <c r="C883" i="34"/>
  <c r="H882" i="34"/>
  <c r="C884" i="36"/>
  <c r="H883" i="36"/>
  <c r="C884" i="33" l="1"/>
  <c r="H883" i="33"/>
  <c r="C885" i="36"/>
  <c r="H884" i="36"/>
  <c r="C884" i="35"/>
  <c r="H883" i="35"/>
  <c r="C884" i="34"/>
  <c r="H883" i="34"/>
  <c r="C885" i="34" l="1"/>
  <c r="H884" i="34"/>
  <c r="C886" i="36"/>
  <c r="H885" i="36"/>
  <c r="C885" i="35"/>
  <c r="H884" i="35"/>
  <c r="C885" i="33"/>
  <c r="H884" i="33"/>
  <c r="C886" i="33" l="1"/>
  <c r="H885" i="33"/>
  <c r="C887" i="36"/>
  <c r="H886" i="36"/>
  <c r="C886" i="35"/>
  <c r="H885" i="35"/>
  <c r="C886" i="34"/>
  <c r="H885" i="34"/>
  <c r="C887" i="35" l="1"/>
  <c r="H886" i="35"/>
  <c r="C887" i="33"/>
  <c r="H886" i="33"/>
  <c r="C887" i="34"/>
  <c r="H886" i="34"/>
  <c r="C888" i="36"/>
  <c r="H887" i="36"/>
  <c r="C889" i="36" l="1"/>
  <c r="H888" i="36"/>
  <c r="C888" i="33"/>
  <c r="H887" i="33"/>
  <c r="C888" i="34"/>
  <c r="H887" i="34"/>
  <c r="C888" i="35"/>
  <c r="H887" i="35"/>
  <c r="C889" i="33" l="1"/>
  <c r="H888" i="33"/>
  <c r="C889" i="35"/>
  <c r="H888" i="35"/>
  <c r="C889" i="34"/>
  <c r="H888" i="34"/>
  <c r="C890" i="36"/>
  <c r="H889" i="36"/>
  <c r="C891" i="36" l="1"/>
  <c r="H890" i="36"/>
  <c r="C890" i="34"/>
  <c r="H889" i="34"/>
  <c r="C890" i="35"/>
  <c r="H889" i="35"/>
  <c r="C890" i="33"/>
  <c r="H889" i="33"/>
  <c r="C891" i="34" l="1"/>
  <c r="H890" i="34"/>
  <c r="C891" i="33"/>
  <c r="H890" i="33"/>
  <c r="C891" i="35"/>
  <c r="H890" i="35"/>
  <c r="C892" i="36"/>
  <c r="H891" i="36"/>
  <c r="C893" i="36" l="1"/>
  <c r="H892" i="36"/>
  <c r="C892" i="33"/>
  <c r="H891" i="33"/>
  <c r="C892" i="35"/>
  <c r="H891" i="35"/>
  <c r="C892" i="34"/>
  <c r="H891" i="34"/>
  <c r="C893" i="34" l="1"/>
  <c r="H892" i="34"/>
  <c r="C893" i="35"/>
  <c r="H892" i="35"/>
  <c r="C893" i="33"/>
  <c r="H892" i="33"/>
  <c r="C894" i="36"/>
  <c r="H893" i="36"/>
  <c r="C895" i="36" l="1"/>
  <c r="H894" i="36"/>
  <c r="C894" i="33"/>
  <c r="H893" i="33"/>
  <c r="C894" i="35"/>
  <c r="H893" i="35"/>
  <c r="C894" i="34"/>
  <c r="H893" i="34"/>
  <c r="C895" i="33" l="1"/>
  <c r="H894" i="33"/>
  <c r="C895" i="35"/>
  <c r="H894" i="35"/>
  <c r="C895" i="34"/>
  <c r="H894" i="34"/>
  <c r="C896" i="36"/>
  <c r="H895" i="36"/>
  <c r="C897" i="36" l="1"/>
  <c r="H896" i="36"/>
  <c r="C896" i="34"/>
  <c r="H895" i="34"/>
  <c r="C896" i="35"/>
  <c r="H895" i="35"/>
  <c r="C896" i="33"/>
  <c r="H895" i="33"/>
  <c r="C897" i="34" l="1"/>
  <c r="H896" i="34"/>
  <c r="C897" i="35"/>
  <c r="H896" i="35"/>
  <c r="C897" i="33"/>
  <c r="H896" i="33"/>
  <c r="C898" i="36"/>
  <c r="H897" i="36"/>
  <c r="C899" i="36" l="1"/>
  <c r="H898" i="36"/>
  <c r="C898" i="33"/>
  <c r="H897" i="33"/>
  <c r="C898" i="35"/>
  <c r="H897" i="35"/>
  <c r="C898" i="34"/>
  <c r="H897" i="34"/>
  <c r="C899" i="33" l="1"/>
  <c r="H898" i="33"/>
  <c r="C899" i="34"/>
  <c r="H898" i="34"/>
  <c r="C899" i="35"/>
  <c r="H898" i="35"/>
  <c r="C900" i="36"/>
  <c r="H899" i="36"/>
  <c r="C901" i="36" l="1"/>
  <c r="H900" i="36"/>
  <c r="C900" i="34"/>
  <c r="H899" i="34"/>
  <c r="C900" i="35"/>
  <c r="H899" i="35"/>
  <c r="C900" i="33"/>
  <c r="H899" i="33"/>
  <c r="C901" i="34" l="1"/>
  <c r="H900" i="34"/>
  <c r="C901" i="33"/>
  <c r="H900" i="33"/>
  <c r="C901" i="35"/>
  <c r="H900" i="35"/>
  <c r="C902" i="36"/>
  <c r="H901" i="36"/>
  <c r="C903" i="36" l="1"/>
  <c r="H902" i="36"/>
  <c r="C902" i="33"/>
  <c r="H901" i="33"/>
  <c r="C902" i="35"/>
  <c r="H901" i="35"/>
  <c r="C902" i="34"/>
  <c r="H901" i="34"/>
  <c r="C903" i="33" l="1"/>
  <c r="H902" i="33"/>
  <c r="C903" i="34"/>
  <c r="H902" i="34"/>
  <c r="C903" i="35"/>
  <c r="H902" i="35"/>
  <c r="C904" i="36"/>
  <c r="H903" i="36"/>
  <c r="C904" i="34" l="1"/>
  <c r="H903" i="34"/>
  <c r="C905" i="36"/>
  <c r="H904" i="36"/>
  <c r="C904" i="35"/>
  <c r="H903" i="35"/>
  <c r="C904" i="33"/>
  <c r="H903" i="33"/>
  <c r="C905" i="33" l="1"/>
  <c r="H904" i="33"/>
  <c r="C906" i="36"/>
  <c r="H905" i="36"/>
  <c r="C905" i="35"/>
  <c r="H904" i="35"/>
  <c r="C905" i="34"/>
  <c r="H904" i="34"/>
  <c r="C906" i="34" l="1"/>
  <c r="H905" i="34"/>
  <c r="C907" i="36"/>
  <c r="H906" i="36"/>
  <c r="C906" i="35"/>
  <c r="H905" i="35"/>
  <c r="C906" i="33"/>
  <c r="H905" i="33"/>
  <c r="C908" i="36" l="1"/>
  <c r="H907" i="36"/>
  <c r="C907" i="33"/>
  <c r="H906" i="33"/>
  <c r="C907" i="35"/>
  <c r="H906" i="35"/>
  <c r="C907" i="34"/>
  <c r="H906" i="34"/>
  <c r="C908" i="33" l="1"/>
  <c r="H907" i="33"/>
  <c r="C908" i="34"/>
  <c r="H907" i="34"/>
  <c r="C908" i="35"/>
  <c r="H907" i="35"/>
  <c r="C909" i="36"/>
  <c r="H908" i="36"/>
  <c r="C909" i="34" l="1"/>
  <c r="H908" i="34"/>
  <c r="C910" i="36"/>
  <c r="H909" i="36"/>
  <c r="C909" i="35"/>
  <c r="H908" i="35"/>
  <c r="C909" i="33"/>
  <c r="H908" i="33"/>
  <c r="C910" i="33" l="1"/>
  <c r="H909" i="33"/>
  <c r="C911" i="36"/>
  <c r="H910" i="36"/>
  <c r="C910" i="35"/>
  <c r="H909" i="35"/>
  <c r="C910" i="34"/>
  <c r="H909" i="34"/>
  <c r="C911" i="34" l="1"/>
  <c r="H910" i="34"/>
  <c r="C912" i="36"/>
  <c r="H911" i="36"/>
  <c r="C911" i="35"/>
  <c r="H910" i="35"/>
  <c r="C911" i="33"/>
  <c r="H910" i="33"/>
  <c r="C913" i="36" l="1"/>
  <c r="H912" i="36"/>
  <c r="C912" i="33"/>
  <c r="H911" i="33"/>
  <c r="C912" i="35"/>
  <c r="H911" i="35"/>
  <c r="C912" i="34"/>
  <c r="H911" i="34"/>
  <c r="C913" i="34" l="1"/>
  <c r="H912" i="34"/>
  <c r="C913" i="33"/>
  <c r="H912" i="33"/>
  <c r="C913" i="35"/>
  <c r="H912" i="35"/>
  <c r="C914" i="36"/>
  <c r="H913" i="36"/>
  <c r="C914" i="33" l="1"/>
  <c r="H913" i="33"/>
  <c r="C915" i="36"/>
  <c r="H914" i="36"/>
  <c r="C914" i="35"/>
  <c r="H913" i="35"/>
  <c r="C914" i="34"/>
  <c r="H913" i="34"/>
  <c r="C915" i="34" l="1"/>
  <c r="H914" i="34"/>
  <c r="C916" i="36"/>
  <c r="H915" i="36"/>
  <c r="C915" i="35"/>
  <c r="H914" i="35"/>
  <c r="C915" i="33"/>
  <c r="H914" i="33"/>
  <c r="C916" i="33" l="1"/>
  <c r="H915" i="33"/>
  <c r="C917" i="36"/>
  <c r="H916" i="36"/>
  <c r="C916" i="35"/>
  <c r="H915" i="35"/>
  <c r="C916" i="34"/>
  <c r="H915" i="34"/>
  <c r="C917" i="34" l="1"/>
  <c r="H916" i="34"/>
  <c r="C918" i="36"/>
  <c r="H917" i="36"/>
  <c r="C917" i="35"/>
  <c r="H916" i="35"/>
  <c r="C917" i="33"/>
  <c r="H916" i="33"/>
  <c r="C918" i="33" l="1"/>
  <c r="H917" i="33"/>
  <c r="C919" i="36"/>
  <c r="H918" i="36"/>
  <c r="C918" i="35"/>
  <c r="H917" i="35"/>
  <c r="C918" i="34"/>
  <c r="H917" i="34"/>
  <c r="C919" i="34" l="1"/>
  <c r="H918" i="34"/>
  <c r="C919" i="35"/>
  <c r="H918" i="35"/>
  <c r="C920" i="36"/>
  <c r="H919" i="36"/>
  <c r="C919" i="33"/>
  <c r="H918" i="33"/>
  <c r="C920" i="33" l="1"/>
  <c r="H919" i="33"/>
  <c r="C920" i="35"/>
  <c r="H919" i="35"/>
  <c r="C921" i="36"/>
  <c r="H920" i="36"/>
  <c r="C920" i="34"/>
  <c r="H919" i="34"/>
  <c r="C921" i="34" l="1"/>
  <c r="H920" i="34"/>
  <c r="C921" i="35"/>
  <c r="H920" i="35"/>
  <c r="C922" i="36"/>
  <c r="H921" i="36"/>
  <c r="C921" i="33"/>
  <c r="H920" i="33"/>
  <c r="C922" i="33" l="1"/>
  <c r="H921" i="33"/>
  <c r="C922" i="35"/>
  <c r="H921" i="35"/>
  <c r="C923" i="36"/>
  <c r="H922" i="36"/>
  <c r="C922" i="34"/>
  <c r="H921" i="34"/>
  <c r="C923" i="35" l="1"/>
  <c r="H922" i="35"/>
  <c r="C924" i="36"/>
  <c r="H923" i="36"/>
  <c r="C923" i="34"/>
  <c r="H922" i="34"/>
  <c r="C923" i="33"/>
  <c r="H922" i="33"/>
  <c r="C924" i="33" l="1"/>
  <c r="H923" i="33"/>
  <c r="C925" i="36"/>
  <c r="H924" i="36"/>
  <c r="C924" i="34"/>
  <c r="H923" i="34"/>
  <c r="C924" i="35"/>
  <c r="H923" i="35"/>
  <c r="C926" i="36" l="1"/>
  <c r="H925" i="36"/>
  <c r="C925" i="35"/>
  <c r="H924" i="35"/>
  <c r="C925" i="34"/>
  <c r="H924" i="34"/>
  <c r="C925" i="33"/>
  <c r="H924" i="33"/>
  <c r="C926" i="35" l="1"/>
  <c r="H925" i="35"/>
  <c r="C926" i="33"/>
  <c r="H925" i="33"/>
  <c r="C926" i="34"/>
  <c r="H925" i="34"/>
  <c r="C927" i="36"/>
  <c r="H926" i="36"/>
  <c r="C927" i="33" l="1"/>
  <c r="H926" i="33"/>
  <c r="C928" i="36"/>
  <c r="H927" i="36"/>
  <c r="C927" i="34"/>
  <c r="H926" i="34"/>
  <c r="C927" i="35"/>
  <c r="H926" i="35"/>
  <c r="C928" i="35" l="1"/>
  <c r="H927" i="35"/>
  <c r="C929" i="36"/>
  <c r="H928" i="36"/>
  <c r="C928" i="34"/>
  <c r="H927" i="34"/>
  <c r="C928" i="33"/>
  <c r="H927" i="33"/>
  <c r="C930" i="36" l="1"/>
  <c r="H929" i="36"/>
  <c r="C929" i="34"/>
  <c r="H928" i="34"/>
  <c r="C929" i="35"/>
  <c r="H928" i="35"/>
  <c r="C929" i="33"/>
  <c r="H928" i="33"/>
  <c r="C930" i="33" l="1"/>
  <c r="H929" i="33"/>
  <c r="C930" i="34"/>
  <c r="H929" i="34"/>
  <c r="C930" i="35"/>
  <c r="H929" i="35"/>
  <c r="C931" i="36"/>
  <c r="H930" i="36"/>
  <c r="C931" i="34" l="1"/>
  <c r="H930" i="34"/>
  <c r="C932" i="36"/>
  <c r="H931" i="36"/>
  <c r="C931" i="35"/>
  <c r="H930" i="35"/>
  <c r="C931" i="33"/>
  <c r="H930" i="33"/>
  <c r="C933" i="36" l="1"/>
  <c r="H932" i="36"/>
  <c r="C932" i="33"/>
  <c r="H931" i="33"/>
  <c r="C932" i="35"/>
  <c r="H931" i="35"/>
  <c r="C932" i="34"/>
  <c r="H931" i="34"/>
  <c r="C933" i="34" l="1"/>
  <c r="H932" i="34"/>
  <c r="C933" i="33"/>
  <c r="H932" i="33"/>
  <c r="C933" i="35"/>
  <c r="H932" i="35"/>
  <c r="C934" i="36"/>
  <c r="H933" i="36"/>
  <c r="C935" i="36" l="1"/>
  <c r="H934" i="36"/>
  <c r="C934" i="33"/>
  <c r="H933" i="33"/>
  <c r="C934" i="35"/>
  <c r="H933" i="35"/>
  <c r="C934" i="34"/>
  <c r="H933" i="34"/>
  <c r="C935" i="34" l="1"/>
  <c r="H934" i="34"/>
  <c r="C935" i="33"/>
  <c r="H934" i="33"/>
  <c r="C935" i="35"/>
  <c r="H934" i="35"/>
  <c r="C936" i="36"/>
  <c r="H935" i="36"/>
  <c r="C937" i="36" l="1"/>
  <c r="H936" i="36"/>
  <c r="C936" i="33"/>
  <c r="H935" i="33"/>
  <c r="C936" i="35"/>
  <c r="H935" i="35"/>
  <c r="C936" i="34"/>
  <c r="H935" i="34"/>
  <c r="C937" i="33" l="1"/>
  <c r="H936" i="33"/>
  <c r="C937" i="34"/>
  <c r="H936" i="34"/>
  <c r="C937" i="35"/>
  <c r="H936" i="35"/>
  <c r="C938" i="36"/>
  <c r="H937" i="36"/>
  <c r="C938" i="34" l="1"/>
  <c r="H937" i="34"/>
  <c r="C939" i="36"/>
  <c r="H938" i="36"/>
  <c r="C938" i="35"/>
  <c r="H937" i="35"/>
  <c r="C938" i="33"/>
  <c r="H937" i="33"/>
  <c r="C940" i="36" l="1"/>
  <c r="H939" i="36"/>
  <c r="C939" i="33"/>
  <c r="H938" i="33"/>
  <c r="C939" i="35"/>
  <c r="H938" i="35"/>
  <c r="C939" i="34"/>
  <c r="H938" i="34"/>
  <c r="C940" i="33" l="1"/>
  <c r="H939" i="33"/>
  <c r="C940" i="34"/>
  <c r="H939" i="34"/>
  <c r="C940" i="35"/>
  <c r="H939" i="35"/>
  <c r="C941" i="36"/>
  <c r="H940" i="36"/>
  <c r="C942" i="36" l="1"/>
  <c r="H941" i="36"/>
  <c r="C941" i="34"/>
  <c r="H940" i="34"/>
  <c r="C941" i="35"/>
  <c r="H940" i="35"/>
  <c r="C941" i="33"/>
  <c r="H940" i="33"/>
  <c r="C942" i="33" l="1"/>
  <c r="H941" i="33"/>
  <c r="C942" i="34"/>
  <c r="H941" i="34"/>
  <c r="C942" i="35"/>
  <c r="H941" i="35"/>
  <c r="C943" i="36"/>
  <c r="H942" i="36"/>
  <c r="C943" i="34" l="1"/>
  <c r="H942" i="34"/>
  <c r="C944" i="36"/>
  <c r="H943" i="36"/>
  <c r="C943" i="35"/>
  <c r="H942" i="35"/>
  <c r="C943" i="33"/>
  <c r="H942" i="33"/>
  <c r="C945" i="36" l="1"/>
  <c r="H944" i="36"/>
  <c r="C944" i="35"/>
  <c r="H943" i="35"/>
  <c r="C944" i="33"/>
  <c r="H943" i="33"/>
  <c r="C944" i="34"/>
  <c r="H943" i="34"/>
  <c r="C945" i="35" l="1"/>
  <c r="H944" i="35"/>
  <c r="C945" i="33"/>
  <c r="H944" i="33"/>
  <c r="C946" i="36"/>
  <c r="H945" i="36"/>
  <c r="C945" i="34"/>
  <c r="H944" i="34"/>
  <c r="C946" i="34" l="1"/>
  <c r="H945" i="34"/>
  <c r="C946" i="33"/>
  <c r="H945" i="33"/>
  <c r="C947" i="36"/>
  <c r="H946" i="36"/>
  <c r="C946" i="35"/>
  <c r="H945" i="35"/>
  <c r="C947" i="35" l="1"/>
  <c r="H946" i="35"/>
  <c r="C947" i="33"/>
  <c r="H946" i="33"/>
  <c r="C948" i="36"/>
  <c r="H947" i="36"/>
  <c r="C947" i="34"/>
  <c r="H946" i="34"/>
  <c r="C948" i="33" l="1"/>
  <c r="H947" i="33"/>
  <c r="C948" i="34"/>
  <c r="H947" i="34"/>
  <c r="C949" i="36"/>
  <c r="H948" i="36"/>
  <c r="C948" i="35"/>
  <c r="H947" i="35"/>
  <c r="C949" i="34" l="1"/>
  <c r="H948" i="34"/>
  <c r="C949" i="35"/>
  <c r="H948" i="35"/>
  <c r="C950" i="36"/>
  <c r="H949" i="36"/>
  <c r="C949" i="33"/>
  <c r="H948" i="33"/>
  <c r="C950" i="33" l="1"/>
  <c r="H949" i="33"/>
  <c r="C950" i="35"/>
  <c r="H949" i="35"/>
  <c r="C951" i="36"/>
  <c r="H950" i="36"/>
  <c r="C950" i="34"/>
  <c r="H949" i="34"/>
  <c r="C951" i="34" l="1"/>
  <c r="H950" i="34"/>
  <c r="C951" i="35"/>
  <c r="H950" i="35"/>
  <c r="C952" i="36"/>
  <c r="H951" i="36"/>
  <c r="C951" i="33"/>
  <c r="H950" i="33"/>
  <c r="C952" i="33" l="1"/>
  <c r="H951" i="33"/>
  <c r="C952" i="35"/>
  <c r="H951" i="35"/>
  <c r="C953" i="36"/>
  <c r="H952" i="36"/>
  <c r="C952" i="34"/>
  <c r="H951" i="34"/>
  <c r="C954" i="36" l="1"/>
  <c r="H953" i="36"/>
  <c r="C953" i="34"/>
  <c r="H952" i="34"/>
  <c r="C953" i="35"/>
  <c r="H952" i="35"/>
  <c r="C953" i="33"/>
  <c r="H952" i="33"/>
  <c r="C954" i="33" l="1"/>
  <c r="H953" i="33"/>
  <c r="C954" i="34"/>
  <c r="H953" i="34"/>
  <c r="C954" i="35"/>
  <c r="H953" i="35"/>
  <c r="C955" i="36"/>
  <c r="H954" i="36"/>
  <c r="C956" i="36" l="1"/>
  <c r="H955" i="36"/>
  <c r="C955" i="35"/>
  <c r="H954" i="35"/>
  <c r="C955" i="33"/>
  <c r="H954" i="33"/>
  <c r="C955" i="34"/>
  <c r="H954" i="34"/>
  <c r="C956" i="35" l="1"/>
  <c r="H955" i="35"/>
  <c r="C956" i="34"/>
  <c r="H955" i="34"/>
  <c r="C956" i="33"/>
  <c r="H955" i="33"/>
  <c r="C957" i="36"/>
  <c r="H956" i="36"/>
  <c r="C958" i="36" l="1"/>
  <c r="H957" i="36"/>
  <c r="C957" i="34"/>
  <c r="H956" i="34"/>
  <c r="C957" i="33"/>
  <c r="H956" i="33"/>
  <c r="C957" i="35"/>
  <c r="H956" i="35"/>
  <c r="C958" i="34" l="1"/>
  <c r="H957" i="34"/>
  <c r="C958" i="35"/>
  <c r="H957" i="35"/>
  <c r="C958" i="33"/>
  <c r="H957" i="33"/>
  <c r="C959" i="36"/>
  <c r="H958" i="36"/>
  <c r="C960" i="36" l="1"/>
  <c r="H959" i="36"/>
  <c r="C959" i="35"/>
  <c r="H958" i="35"/>
  <c r="C959" i="33"/>
  <c r="H958" i="33"/>
  <c r="C959" i="34"/>
  <c r="H958" i="34"/>
  <c r="C960" i="34" l="1"/>
  <c r="H959" i="34"/>
  <c r="C960" i="35"/>
  <c r="H959" i="35"/>
  <c r="C960" i="33"/>
  <c r="H959" i="33"/>
  <c r="C961" i="36"/>
  <c r="H960" i="36"/>
  <c r="C961" i="35" l="1"/>
  <c r="H960" i="35"/>
  <c r="C962" i="36"/>
  <c r="H961" i="36"/>
  <c r="C961" i="33"/>
  <c r="H960" i="33"/>
  <c r="C961" i="34"/>
  <c r="H960" i="34"/>
  <c r="C963" i="36" l="1"/>
  <c r="H962" i="36"/>
  <c r="C962" i="34"/>
  <c r="H961" i="34"/>
  <c r="C962" i="33"/>
  <c r="H961" i="33"/>
  <c r="C962" i="35"/>
  <c r="H961" i="35"/>
  <c r="C963" i="34" l="1"/>
  <c r="H962" i="34"/>
  <c r="C963" i="35"/>
  <c r="H962" i="35"/>
  <c r="C963" i="33"/>
  <c r="H962" i="33"/>
  <c r="C964" i="36"/>
  <c r="H963" i="36"/>
  <c r="C964" i="35" l="1"/>
  <c r="H963" i="35"/>
  <c r="C965" i="36"/>
  <c r="H964" i="36"/>
  <c r="C964" i="33"/>
  <c r="H963" i="33"/>
  <c r="C964" i="34"/>
  <c r="H963" i="34"/>
  <c r="C965" i="34" l="1"/>
  <c r="H964" i="34"/>
  <c r="C966" i="36"/>
  <c r="H965" i="36"/>
  <c r="C965" i="33"/>
  <c r="H964" i="33"/>
  <c r="C965" i="35"/>
  <c r="H964" i="35"/>
  <c r="C966" i="35" l="1"/>
  <c r="H965" i="35"/>
  <c r="C966" i="33"/>
  <c r="H965" i="33"/>
  <c r="C967" i="36"/>
  <c r="H966" i="36"/>
  <c r="C966" i="34"/>
  <c r="H965" i="34"/>
  <c r="C967" i="34" l="1"/>
  <c r="H966" i="34"/>
  <c r="C967" i="33"/>
  <c r="H966" i="33"/>
  <c r="C968" i="36"/>
  <c r="H967" i="36"/>
  <c r="C967" i="35"/>
  <c r="H966" i="35"/>
  <c r="C968" i="33" l="1"/>
  <c r="H967" i="33"/>
  <c r="C968" i="35"/>
  <c r="H967" i="35"/>
  <c r="C969" i="36"/>
  <c r="H968" i="36"/>
  <c r="C968" i="34"/>
  <c r="H967" i="34"/>
  <c r="C969" i="35" l="1"/>
  <c r="H968" i="35"/>
  <c r="C970" i="36"/>
  <c r="H969" i="36"/>
  <c r="C969" i="33"/>
  <c r="H968" i="33"/>
  <c r="C969" i="34"/>
  <c r="H968" i="34"/>
  <c r="C970" i="34" l="1"/>
  <c r="H969" i="34"/>
  <c r="C971" i="36"/>
  <c r="H970" i="36"/>
  <c r="C970" i="33"/>
  <c r="H969" i="33"/>
  <c r="C970" i="35"/>
  <c r="H969" i="35"/>
  <c r="C971" i="35" l="1"/>
  <c r="H970" i="35"/>
  <c r="C972" i="36"/>
  <c r="H971" i="36"/>
  <c r="C971" i="33"/>
  <c r="H970" i="33"/>
  <c r="C971" i="34"/>
  <c r="H970" i="34"/>
  <c r="C972" i="34" l="1"/>
  <c r="H971" i="34"/>
  <c r="C973" i="36"/>
  <c r="H972" i="36"/>
  <c r="C972" i="33"/>
  <c r="H971" i="33"/>
  <c r="C972" i="35"/>
  <c r="H971" i="35"/>
  <c r="C973" i="35" l="1"/>
  <c r="H972" i="35"/>
  <c r="C974" i="36"/>
  <c r="H973" i="36"/>
  <c r="C973" i="33"/>
  <c r="H972" i="33"/>
  <c r="C973" i="34"/>
  <c r="H972" i="34"/>
  <c r="C975" i="36" l="1"/>
  <c r="H974" i="36"/>
  <c r="C974" i="34"/>
  <c r="H973" i="34"/>
  <c r="C974" i="33"/>
  <c r="H973" i="33"/>
  <c r="C974" i="35"/>
  <c r="H973" i="35"/>
  <c r="C975" i="34" l="1"/>
  <c r="H974" i="34"/>
  <c r="C975" i="35"/>
  <c r="H974" i="35"/>
  <c r="C975" i="33"/>
  <c r="H974" i="33"/>
  <c r="C976" i="36"/>
  <c r="H975" i="36"/>
  <c r="C977" i="36" l="1"/>
  <c r="H976" i="36"/>
  <c r="C976" i="35"/>
  <c r="H975" i="35"/>
  <c r="C976" i="33"/>
  <c r="H975" i="33"/>
  <c r="C976" i="34"/>
  <c r="H975" i="34"/>
  <c r="C977" i="35" l="1"/>
  <c r="H976" i="35"/>
  <c r="C977" i="34"/>
  <c r="H976" i="34"/>
  <c r="C977" i="33"/>
  <c r="H976" i="33"/>
  <c r="C978" i="36"/>
  <c r="H977" i="36"/>
  <c r="C979" i="36" l="1"/>
  <c r="H978" i="36"/>
  <c r="C978" i="34"/>
  <c r="H977" i="34"/>
  <c r="C978" i="33"/>
  <c r="H977" i="33"/>
  <c r="C978" i="35"/>
  <c r="H977" i="35"/>
  <c r="C979" i="35" l="1"/>
  <c r="H978" i="35"/>
  <c r="C979" i="34"/>
  <c r="H978" i="34"/>
  <c r="C979" i="33"/>
  <c r="H978" i="33"/>
  <c r="C980" i="36"/>
  <c r="H979" i="36"/>
  <c r="C981" i="36" l="1"/>
  <c r="H980" i="36"/>
  <c r="C980" i="34"/>
  <c r="H979" i="34"/>
  <c r="C980" i="33"/>
  <c r="H979" i="33"/>
  <c r="C980" i="35"/>
  <c r="H979" i="35"/>
  <c r="C981" i="35" l="1"/>
  <c r="H980" i="35"/>
  <c r="C981" i="34"/>
  <c r="H980" i="34"/>
  <c r="C981" i="33"/>
  <c r="H980" i="33"/>
  <c r="C982" i="36"/>
  <c r="H981" i="36"/>
  <c r="C983" i="36" l="1"/>
  <c r="H982" i="36"/>
  <c r="C982" i="34"/>
  <c r="H981" i="34"/>
  <c r="C982" i="33"/>
  <c r="H981" i="33"/>
  <c r="C982" i="35"/>
  <c r="H981" i="35"/>
  <c r="C983" i="35" l="1"/>
  <c r="H982" i="35"/>
  <c r="C983" i="34"/>
  <c r="H982" i="34"/>
  <c r="C983" i="33"/>
  <c r="H982" i="33"/>
  <c r="C984" i="36"/>
  <c r="H983" i="36"/>
  <c r="C984" i="34" l="1"/>
  <c r="H983" i="34"/>
  <c r="C985" i="36"/>
  <c r="H984" i="36"/>
  <c r="C984" i="33"/>
  <c r="H983" i="33"/>
  <c r="C984" i="35"/>
  <c r="H983" i="35"/>
  <c r="C985" i="35" l="1"/>
  <c r="H984" i="35"/>
  <c r="C985" i="33"/>
  <c r="H984" i="33"/>
  <c r="C986" i="36"/>
  <c r="H985" i="36"/>
  <c r="C985" i="34"/>
  <c r="H984" i="34"/>
  <c r="C986" i="33" l="1"/>
  <c r="H985" i="33"/>
  <c r="C986" i="34"/>
  <c r="H985" i="34"/>
  <c r="C987" i="36"/>
  <c r="H986" i="36"/>
  <c r="C986" i="35"/>
  <c r="H985" i="35"/>
  <c r="C987" i="35" l="1"/>
  <c r="H986" i="35"/>
  <c r="C987" i="34"/>
  <c r="H986" i="34"/>
  <c r="C988" i="36"/>
  <c r="H987" i="36"/>
  <c r="C987" i="33"/>
  <c r="H986" i="33"/>
  <c r="C988" i="33" l="1"/>
  <c r="H987" i="33"/>
  <c r="C988" i="34"/>
  <c r="H987" i="34"/>
  <c r="C989" i="36"/>
  <c r="H988" i="36"/>
  <c r="C988" i="35"/>
  <c r="H987" i="35"/>
  <c r="C989" i="34" l="1"/>
  <c r="H988" i="34"/>
  <c r="C989" i="35"/>
  <c r="H988" i="35"/>
  <c r="C990" i="36"/>
  <c r="H989" i="36"/>
  <c r="C989" i="33"/>
  <c r="H988" i="33"/>
  <c r="C990" i="33" l="1"/>
  <c r="H989" i="33"/>
  <c r="C990" i="35"/>
  <c r="H989" i="35"/>
  <c r="C991" i="36"/>
  <c r="H990" i="36"/>
  <c r="C990" i="34"/>
  <c r="H989" i="34"/>
  <c r="C991" i="35" l="1"/>
  <c r="H990" i="35"/>
  <c r="C991" i="34"/>
  <c r="H990" i="34"/>
  <c r="C992" i="36"/>
  <c r="H991" i="36"/>
  <c r="C991" i="33"/>
  <c r="H990" i="33"/>
  <c r="C992" i="34" l="1"/>
  <c r="H991" i="34"/>
  <c r="C992" i="33"/>
  <c r="H991" i="33"/>
  <c r="C993" i="36"/>
  <c r="H992" i="36"/>
  <c r="C992" i="35"/>
  <c r="H991" i="35"/>
  <c r="C993" i="35" l="1"/>
  <c r="H992" i="35"/>
  <c r="C993" i="33"/>
  <c r="H992" i="33"/>
  <c r="C994" i="36"/>
  <c r="H993" i="36"/>
  <c r="C993" i="34"/>
  <c r="H992" i="34"/>
  <c r="C994" i="33" l="1"/>
  <c r="H993" i="33"/>
  <c r="C994" i="34"/>
  <c r="H993" i="34"/>
  <c r="C995" i="36"/>
  <c r="H994" i="36"/>
  <c r="C994" i="35"/>
  <c r="H993" i="35"/>
  <c r="C995" i="34" l="1"/>
  <c r="H994" i="34"/>
  <c r="C995" i="35"/>
  <c r="H994" i="35"/>
  <c r="C996" i="36"/>
  <c r="H995" i="36"/>
  <c r="C995" i="33"/>
  <c r="H994" i="33"/>
  <c r="C996" i="33" l="1"/>
  <c r="H995" i="33"/>
  <c r="C996" i="35"/>
  <c r="H995" i="35"/>
  <c r="C997" i="36"/>
  <c r="H996" i="36"/>
  <c r="C996" i="34"/>
  <c r="H995" i="34"/>
  <c r="C997" i="34" l="1"/>
  <c r="H996" i="34"/>
  <c r="C997" i="35"/>
  <c r="H996" i="35"/>
  <c r="C998" i="36"/>
  <c r="H997" i="36"/>
  <c r="C997" i="33"/>
  <c r="H996" i="33"/>
  <c r="C998" i="35" l="1"/>
  <c r="H997" i="35"/>
  <c r="C998" i="33"/>
  <c r="H997" i="33"/>
  <c r="C999" i="36"/>
  <c r="H998" i="36"/>
  <c r="C998" i="34"/>
  <c r="H997" i="34"/>
  <c r="C999" i="34" l="1"/>
  <c r="H998" i="34"/>
  <c r="C999" i="33"/>
  <c r="H998" i="33"/>
  <c r="C1000" i="36"/>
  <c r="H999" i="36"/>
  <c r="C999" i="35"/>
  <c r="H998" i="35"/>
  <c r="C1000" i="35" l="1"/>
  <c r="H999" i="35"/>
  <c r="C1000" i="33"/>
  <c r="H999" i="33"/>
  <c r="C1001" i="36"/>
  <c r="H1000" i="36"/>
  <c r="C1000" i="34"/>
  <c r="H999" i="34"/>
  <c r="C1001" i="34" l="1"/>
  <c r="H1000" i="34"/>
  <c r="C1001" i="33"/>
  <c r="H1000" i="33"/>
  <c r="C1002" i="36"/>
  <c r="H1001" i="36"/>
  <c r="C1001" i="35"/>
  <c r="H1000" i="35"/>
  <c r="C1002" i="35" l="1"/>
  <c r="H1001" i="35"/>
  <c r="C1002" i="33"/>
  <c r="H1001" i="33"/>
  <c r="C1003" i="36"/>
  <c r="H1002" i="36"/>
  <c r="C1002" i="34"/>
  <c r="H1001" i="34"/>
  <c r="C1003" i="34" l="1"/>
  <c r="H1002" i="34"/>
  <c r="C1004" i="36"/>
  <c r="H1003" i="36"/>
  <c r="C1003" i="33"/>
  <c r="H1002" i="33"/>
  <c r="C1003" i="35"/>
  <c r="H1002" i="35"/>
  <c r="C1005" i="36" l="1"/>
  <c r="H1004" i="36"/>
  <c r="C1004" i="33"/>
  <c r="H1003" i="33"/>
  <c r="C1004" i="35"/>
  <c r="H1003" i="35"/>
  <c r="C1004" i="34"/>
  <c r="H1003" i="34"/>
  <c r="C1005" i="33" l="1"/>
  <c r="H1004" i="33"/>
  <c r="C1005" i="34"/>
  <c r="H1004" i="34"/>
  <c r="C1005" i="35"/>
  <c r="H1004" i="35"/>
  <c r="C1006" i="36"/>
  <c r="H1005" i="36"/>
  <c r="C1006" i="34" l="1"/>
  <c r="H1005" i="34"/>
  <c r="C1007" i="36"/>
  <c r="H1007" i="36" s="1"/>
  <c r="H1006" i="36"/>
  <c r="C1006" i="35"/>
  <c r="H1005" i="35"/>
  <c r="C1006" i="33"/>
  <c r="H1005" i="33"/>
  <c r="C1007" i="33" l="1"/>
  <c r="H1007" i="33" s="1"/>
  <c r="H1006" i="33"/>
  <c r="C1007" i="35"/>
  <c r="H1007" i="35" s="1"/>
  <c r="H1006" i="35"/>
  <c r="C1007" i="34"/>
  <c r="H1007" i="34" s="1"/>
  <c r="H1006" i="34"/>
  <c r="I108" i="9"/>
  <c r="G108" i="9" s="1"/>
  <c r="H108" i="9" s="1"/>
  <c r="I100" i="9"/>
  <c r="G100" i="9" s="1"/>
  <c r="H100" i="9" s="1"/>
  <c r="F93" i="31" s="1"/>
  <c r="I92" i="9"/>
  <c r="G92" i="9" s="1"/>
  <c r="H92" i="9" s="1"/>
  <c r="I84" i="9"/>
  <c r="G84" i="9" s="1"/>
  <c r="I76" i="9"/>
  <c r="G76" i="9" s="1"/>
  <c r="H76" i="9" s="1"/>
  <c r="I68" i="9"/>
  <c r="G68" i="9" s="1"/>
  <c r="H68" i="9" s="1"/>
  <c r="F61" i="31" s="1"/>
  <c r="I60" i="9"/>
  <c r="G60" i="9" s="1"/>
  <c r="H60" i="9" s="1"/>
  <c r="I52" i="9"/>
  <c r="G52" i="9" s="1"/>
  <c r="H52" i="9" s="1"/>
  <c r="F45" i="26" s="1"/>
  <c r="I43" i="9"/>
  <c r="G43" i="9" s="1"/>
  <c r="H43" i="9" s="1"/>
  <c r="F36" i="26" s="1"/>
  <c r="I35" i="9"/>
  <c r="G35" i="9" s="1"/>
  <c r="I27" i="9"/>
  <c r="G27" i="9" s="1"/>
  <c r="H27" i="9" s="1"/>
  <c r="I19" i="9"/>
  <c r="G19" i="9" s="1"/>
  <c r="I111" i="9"/>
  <c r="G111" i="9" s="1"/>
  <c r="H111" i="9" s="1"/>
  <c r="I103" i="9"/>
  <c r="G103" i="9" s="1"/>
  <c r="H103" i="9" s="1"/>
  <c r="F96" i="31" s="1"/>
  <c r="I99" i="9"/>
  <c r="G99" i="9" s="1"/>
  <c r="I91" i="9"/>
  <c r="G91" i="9" s="1"/>
  <c r="J91" i="9" s="1"/>
  <c r="K91" i="9" s="1"/>
  <c r="I83" i="9"/>
  <c r="G83" i="9" s="1"/>
  <c r="H83" i="9" s="1"/>
  <c r="I71" i="9"/>
  <c r="G71" i="9" s="1"/>
  <c r="J71" i="9" s="1"/>
  <c r="K71" i="9" s="1"/>
  <c r="I63" i="9"/>
  <c r="G63" i="9" s="1"/>
  <c r="H63" i="9" s="1"/>
  <c r="I55" i="9"/>
  <c r="G55" i="9" s="1"/>
  <c r="H55" i="9" s="1"/>
  <c r="I46" i="9"/>
  <c r="G46" i="9" s="1"/>
  <c r="H46" i="9" s="1"/>
  <c r="I110" i="9"/>
  <c r="G110" i="9" s="1"/>
  <c r="I106" i="9"/>
  <c r="G106" i="9" s="1"/>
  <c r="H106" i="9" s="1"/>
  <c r="I102" i="9"/>
  <c r="G102" i="9" s="1"/>
  <c r="H102" i="9" s="1"/>
  <c r="I98" i="9"/>
  <c r="G98" i="9" s="1"/>
  <c r="H98" i="9" s="1"/>
  <c r="I94" i="9"/>
  <c r="G94" i="9" s="1"/>
  <c r="H94" i="9" s="1"/>
  <c r="I90" i="9"/>
  <c r="G90" i="9" s="1"/>
  <c r="H90" i="9" s="1"/>
  <c r="I86" i="9"/>
  <c r="G86" i="9" s="1"/>
  <c r="I82" i="9"/>
  <c r="G82" i="9" s="1"/>
  <c r="H82" i="9" s="1"/>
  <c r="I78" i="9"/>
  <c r="G78" i="9" s="1"/>
  <c r="H78" i="9" s="1"/>
  <c r="I74" i="9"/>
  <c r="G74" i="9" s="1"/>
  <c r="H74" i="9" s="1"/>
  <c r="I70" i="9"/>
  <c r="G70" i="9" s="1"/>
  <c r="H70" i="9" s="1"/>
  <c r="F63" i="26" s="1"/>
  <c r="I66" i="9"/>
  <c r="G66" i="9" s="1"/>
  <c r="H66" i="9" s="1"/>
  <c r="I62" i="9"/>
  <c r="G62" i="9" s="1"/>
  <c r="J62" i="9" s="1"/>
  <c r="K62" i="9" s="1"/>
  <c r="I58" i="9"/>
  <c r="G58" i="9" s="1"/>
  <c r="I54" i="9"/>
  <c r="G54" i="9" s="1"/>
  <c r="J54" i="9" s="1"/>
  <c r="K54" i="9" s="1"/>
  <c r="I50" i="9"/>
  <c r="G50" i="9" s="1"/>
  <c r="H50" i="9" s="1"/>
  <c r="I45" i="9"/>
  <c r="G45" i="9" s="1"/>
  <c r="H45" i="9" s="1"/>
  <c r="L45" i="9" s="1"/>
  <c r="M45" i="9" s="1"/>
  <c r="N45" i="9" s="1"/>
  <c r="I41" i="9"/>
  <c r="G41" i="9" s="1"/>
  <c r="H41" i="9" s="1"/>
  <c r="I37" i="9"/>
  <c r="G37" i="9" s="1"/>
  <c r="J37" i="9" s="1"/>
  <c r="K37" i="9" s="1"/>
  <c r="I33" i="9"/>
  <c r="G33" i="9" s="1"/>
  <c r="H33" i="9" s="1"/>
  <c r="I29" i="9"/>
  <c r="G29" i="9" s="1"/>
  <c r="H29" i="9" s="1"/>
  <c r="F22" i="31" s="1"/>
  <c r="I25" i="9"/>
  <c r="G25" i="9" s="1"/>
  <c r="H25" i="9" s="1"/>
  <c r="I21" i="9"/>
  <c r="G21" i="9" s="1"/>
  <c r="H21" i="9" s="1"/>
  <c r="F14" i="26" s="1"/>
  <c r="I17" i="9"/>
  <c r="G17" i="9" s="1"/>
  <c r="H17" i="9" s="1"/>
  <c r="I112" i="9"/>
  <c r="G112" i="9" s="1"/>
  <c r="I104" i="9"/>
  <c r="G104" i="9" s="1"/>
  <c r="H104" i="9" s="1"/>
  <c r="I96" i="9"/>
  <c r="G96" i="9" s="1"/>
  <c r="J96" i="9" s="1"/>
  <c r="K96" i="9" s="1"/>
  <c r="I88" i="9"/>
  <c r="G88" i="9" s="1"/>
  <c r="H88" i="9" s="1"/>
  <c r="I80" i="9"/>
  <c r="G80" i="9" s="1"/>
  <c r="J80" i="9" s="1"/>
  <c r="K80" i="9" s="1"/>
  <c r="I72" i="9"/>
  <c r="G72" i="9" s="1"/>
  <c r="H72" i="9" s="1"/>
  <c r="I64" i="9"/>
  <c r="G64" i="9" s="1"/>
  <c r="J64" i="9" s="1"/>
  <c r="K64" i="9" s="1"/>
  <c r="I56" i="9"/>
  <c r="G56" i="9" s="1"/>
  <c r="H56" i="9" s="1"/>
  <c r="I47" i="9"/>
  <c r="G47" i="9" s="1"/>
  <c r="H47" i="9" s="1"/>
  <c r="I39" i="9"/>
  <c r="G39" i="9" s="1"/>
  <c r="I31" i="9"/>
  <c r="G31" i="9" s="1"/>
  <c r="H31" i="9" s="1"/>
  <c r="I23" i="9"/>
  <c r="G23" i="9" s="1"/>
  <c r="H23" i="9" s="1"/>
  <c r="I15" i="9"/>
  <c r="G15" i="9" s="1"/>
  <c r="I107" i="9"/>
  <c r="G107" i="9" s="1"/>
  <c r="H107" i="9" s="1"/>
  <c r="I95" i="9"/>
  <c r="G95" i="9" s="1"/>
  <c r="H95" i="9" s="1"/>
  <c r="F88" i="26" s="1"/>
  <c r="I87" i="9"/>
  <c r="G87" i="9" s="1"/>
  <c r="H87" i="9" s="1"/>
  <c r="I79" i="9"/>
  <c r="G79" i="9" s="1"/>
  <c r="H79" i="9" s="1"/>
  <c r="I75" i="9"/>
  <c r="G75" i="9" s="1"/>
  <c r="I67" i="9"/>
  <c r="G67" i="9" s="1"/>
  <c r="I59" i="9"/>
  <c r="G59" i="9" s="1"/>
  <c r="I51" i="9"/>
  <c r="G51" i="9" s="1"/>
  <c r="H51" i="9" s="1"/>
  <c r="I42" i="9"/>
  <c r="G42" i="9" s="1"/>
  <c r="I38" i="9"/>
  <c r="G38" i="9" s="1"/>
  <c r="J38" i="9" s="1"/>
  <c r="K38" i="9" s="1"/>
  <c r="I34" i="9"/>
  <c r="G34" i="9" s="1"/>
  <c r="I30" i="9"/>
  <c r="G30" i="9" s="1"/>
  <c r="H30" i="9" s="1"/>
  <c r="F23" i="31" s="1"/>
  <c r="I26" i="9"/>
  <c r="G26" i="9" s="1"/>
  <c r="I22" i="9"/>
  <c r="G22" i="9" s="1"/>
  <c r="H22" i="9" s="1"/>
  <c r="I18" i="9"/>
  <c r="G18" i="9" s="1"/>
  <c r="I109" i="9"/>
  <c r="G109" i="9" s="1"/>
  <c r="H109" i="9" s="1"/>
  <c r="I105" i="9"/>
  <c r="G105" i="9" s="1"/>
  <c r="I101" i="9"/>
  <c r="G101" i="9" s="1"/>
  <c r="I97" i="9"/>
  <c r="G97" i="9" s="1"/>
  <c r="I93" i="9"/>
  <c r="G93" i="9" s="1"/>
  <c r="H93" i="9" s="1"/>
  <c r="I89" i="9"/>
  <c r="G89" i="9" s="1"/>
  <c r="I85" i="9"/>
  <c r="G85" i="9" s="1"/>
  <c r="I81" i="9"/>
  <c r="G81" i="9" s="1"/>
  <c r="I77" i="9"/>
  <c r="G77" i="9" s="1"/>
  <c r="I73" i="9"/>
  <c r="G73" i="9" s="1"/>
  <c r="I69" i="9"/>
  <c r="G69" i="9" s="1"/>
  <c r="H69" i="9" s="1"/>
  <c r="I65" i="9"/>
  <c r="G65" i="9" s="1"/>
  <c r="I61" i="9"/>
  <c r="G61" i="9" s="1"/>
  <c r="J61" i="9" s="1"/>
  <c r="K61" i="9" s="1"/>
  <c r="I57" i="9"/>
  <c r="G57" i="9" s="1"/>
  <c r="I53" i="9"/>
  <c r="G53" i="9" s="1"/>
  <c r="J53" i="9" s="1"/>
  <c r="K53" i="9" s="1"/>
  <c r="I48" i="9"/>
  <c r="G48" i="9" s="1"/>
  <c r="I44" i="9"/>
  <c r="G44" i="9" s="1"/>
  <c r="I40" i="9"/>
  <c r="G40" i="9" s="1"/>
  <c r="I36" i="9"/>
  <c r="G36" i="9" s="1"/>
  <c r="H36" i="9" s="1"/>
  <c r="F29" i="26" s="1"/>
  <c r="I32" i="9"/>
  <c r="G32" i="9" s="1"/>
  <c r="I28" i="9"/>
  <c r="G28" i="9" s="1"/>
  <c r="J28" i="9" s="1"/>
  <c r="K28" i="9" s="1"/>
  <c r="I24" i="9"/>
  <c r="G24" i="9" s="1"/>
  <c r="I20" i="9"/>
  <c r="G20" i="9" s="1"/>
  <c r="J20" i="9" s="1"/>
  <c r="K20" i="9" s="1"/>
  <c r="I16" i="9"/>
  <c r="G16" i="9" s="1"/>
  <c r="J55" i="9" l="1"/>
  <c r="K55" i="9" s="1"/>
  <c r="J43" i="9"/>
  <c r="K43" i="9" s="1"/>
  <c r="J76" i="9"/>
  <c r="K76" i="9" s="1"/>
  <c r="J79" i="9"/>
  <c r="K79" i="9" s="1"/>
  <c r="J63" i="9"/>
  <c r="K63" i="9" s="1"/>
  <c r="J111" i="9"/>
  <c r="K111" i="9" s="1"/>
  <c r="J108" i="9"/>
  <c r="K108" i="9" s="1"/>
  <c r="H62" i="9"/>
  <c r="L62" i="9" s="1"/>
  <c r="M62" i="9" s="1"/>
  <c r="N62" i="9" s="1"/>
  <c r="J52" i="9"/>
  <c r="K52" i="9" s="1"/>
  <c r="J92" i="9"/>
  <c r="K92" i="9" s="1"/>
  <c r="H91" i="9"/>
  <c r="F84" i="26" s="1"/>
  <c r="H71" i="9"/>
  <c r="F64" i="26" s="1"/>
  <c r="L95" i="9"/>
  <c r="M95" i="9" s="1"/>
  <c r="N95" i="9" s="1"/>
  <c r="H53" i="9"/>
  <c r="F46" i="31" s="1"/>
  <c r="H61" i="9"/>
  <c r="F54" i="26" s="1"/>
  <c r="J83" i="9"/>
  <c r="K83" i="9" s="1"/>
  <c r="J27" i="9"/>
  <c r="K27" i="9" s="1"/>
  <c r="J60" i="9"/>
  <c r="K60" i="9" s="1"/>
  <c r="H96" i="9"/>
  <c r="L96" i="9" s="1"/>
  <c r="M96" i="9" s="1"/>
  <c r="N96" i="9" s="1"/>
  <c r="L52" i="9"/>
  <c r="M52" i="9" s="1"/>
  <c r="N52" i="9" s="1"/>
  <c r="H57" i="9"/>
  <c r="J57" i="9"/>
  <c r="K57" i="9" s="1"/>
  <c r="L88" i="9"/>
  <c r="M88" i="9" s="1"/>
  <c r="N88" i="9" s="1"/>
  <c r="F81" i="26"/>
  <c r="F81" i="31"/>
  <c r="H99" i="9"/>
  <c r="J99" i="9"/>
  <c r="K99" i="9" s="1"/>
  <c r="J19" i="9"/>
  <c r="K19" i="9" s="1"/>
  <c r="H19" i="9"/>
  <c r="H32" i="9"/>
  <c r="J32" i="9"/>
  <c r="K32" i="9" s="1"/>
  <c r="H48" i="9"/>
  <c r="J48" i="9"/>
  <c r="K48" i="9" s="1"/>
  <c r="H73" i="9"/>
  <c r="J73" i="9"/>
  <c r="K73" i="9" s="1"/>
  <c r="H89" i="9"/>
  <c r="J89" i="9"/>
  <c r="K89" i="9" s="1"/>
  <c r="H105" i="9"/>
  <c r="J105" i="9"/>
  <c r="K105" i="9" s="1"/>
  <c r="H26" i="9"/>
  <c r="J26" i="9"/>
  <c r="K26" i="9" s="1"/>
  <c r="H24" i="9"/>
  <c r="J24" i="9"/>
  <c r="K24" i="9" s="1"/>
  <c r="H42" i="9"/>
  <c r="J42" i="9"/>
  <c r="K42" i="9" s="1"/>
  <c r="H75" i="9"/>
  <c r="J75" i="9"/>
  <c r="K75" i="9" s="1"/>
  <c r="F75" i="31"/>
  <c r="F75" i="26"/>
  <c r="L82" i="9"/>
  <c r="M82" i="9" s="1"/>
  <c r="N82" i="9" s="1"/>
  <c r="F101" i="26"/>
  <c r="F101" i="31"/>
  <c r="L108" i="9"/>
  <c r="M108" i="9" s="1"/>
  <c r="N108" i="9" s="1"/>
  <c r="L53" i="9"/>
  <c r="M53" i="9" s="1"/>
  <c r="N53" i="9" s="1"/>
  <c r="H39" i="9"/>
  <c r="J39" i="9"/>
  <c r="K39" i="9" s="1"/>
  <c r="H59" i="9"/>
  <c r="J59" i="9"/>
  <c r="K59" i="9" s="1"/>
  <c r="H16" i="9"/>
  <c r="J16" i="9"/>
  <c r="K16" i="9" s="1"/>
  <c r="H40" i="9"/>
  <c r="J40" i="9"/>
  <c r="K40" i="9" s="1"/>
  <c r="H65" i="9"/>
  <c r="J65" i="9"/>
  <c r="K65" i="9" s="1"/>
  <c r="H81" i="9"/>
  <c r="J81" i="9"/>
  <c r="K81" i="9" s="1"/>
  <c r="H97" i="9"/>
  <c r="J97" i="9"/>
  <c r="K97" i="9" s="1"/>
  <c r="H18" i="9"/>
  <c r="J18" i="9"/>
  <c r="K18" i="9" s="1"/>
  <c r="H34" i="9"/>
  <c r="J34" i="9"/>
  <c r="K34" i="9" s="1"/>
  <c r="H58" i="9"/>
  <c r="J58" i="9"/>
  <c r="K58" i="9" s="1"/>
  <c r="F104" i="26"/>
  <c r="L111" i="9"/>
  <c r="M111" i="9" s="1"/>
  <c r="N111" i="9" s="1"/>
  <c r="F100" i="31"/>
  <c r="F100" i="26"/>
  <c r="L107" i="9"/>
  <c r="M107" i="9" s="1"/>
  <c r="N107" i="9" s="1"/>
  <c r="F65" i="26"/>
  <c r="F65" i="31"/>
  <c r="L72" i="9"/>
  <c r="M72" i="9" s="1"/>
  <c r="N72" i="9" s="1"/>
  <c r="L17" i="9"/>
  <c r="M17" i="9" s="1"/>
  <c r="N17" i="9" s="1"/>
  <c r="F10" i="26"/>
  <c r="L33" i="9"/>
  <c r="M33" i="9" s="1"/>
  <c r="N33" i="9" s="1"/>
  <c r="F26" i="26"/>
  <c r="F26" i="31"/>
  <c r="L50" i="9"/>
  <c r="M50" i="9" s="1"/>
  <c r="N50" i="9" s="1"/>
  <c r="F43" i="26"/>
  <c r="F43" i="31"/>
  <c r="F59" i="26"/>
  <c r="F59" i="31"/>
  <c r="L66" i="9"/>
  <c r="M66" i="9" s="1"/>
  <c r="N66" i="9" s="1"/>
  <c r="F91" i="31"/>
  <c r="F91" i="26"/>
  <c r="L98" i="9"/>
  <c r="M98" i="9" s="1"/>
  <c r="N98" i="9" s="1"/>
  <c r="F39" i="26"/>
  <c r="F39" i="31"/>
  <c r="L46" i="9"/>
  <c r="M46" i="9" s="1"/>
  <c r="N46" i="9" s="1"/>
  <c r="J67" i="9"/>
  <c r="K67" i="9" s="1"/>
  <c r="H67" i="9"/>
  <c r="H44" i="9"/>
  <c r="J44" i="9"/>
  <c r="K44" i="9" s="1"/>
  <c r="F62" i="26"/>
  <c r="F62" i="31"/>
  <c r="L69" i="9"/>
  <c r="M69" i="9" s="1"/>
  <c r="N69" i="9" s="1"/>
  <c r="H77" i="9"/>
  <c r="J77" i="9"/>
  <c r="K77" i="9" s="1"/>
  <c r="J85" i="9"/>
  <c r="K85" i="9" s="1"/>
  <c r="H85" i="9"/>
  <c r="L93" i="9"/>
  <c r="M93" i="9" s="1"/>
  <c r="N93" i="9" s="1"/>
  <c r="F86" i="26"/>
  <c r="F86" i="31"/>
  <c r="H101" i="9"/>
  <c r="J101" i="9"/>
  <c r="K101" i="9" s="1"/>
  <c r="J87" i="9"/>
  <c r="K87" i="9" s="1"/>
  <c r="J107" i="9"/>
  <c r="K107" i="9" s="1"/>
  <c r="J23" i="9"/>
  <c r="K23" i="9" s="1"/>
  <c r="J56" i="9"/>
  <c r="K56" i="9" s="1"/>
  <c r="J72" i="9"/>
  <c r="K72" i="9" s="1"/>
  <c r="J88" i="9"/>
  <c r="K88" i="9" s="1"/>
  <c r="J104" i="9"/>
  <c r="K104" i="9" s="1"/>
  <c r="J17" i="9"/>
  <c r="K17" i="9" s="1"/>
  <c r="J25" i="9"/>
  <c r="K25" i="9" s="1"/>
  <c r="J33" i="9"/>
  <c r="K33" i="9" s="1"/>
  <c r="J41" i="9"/>
  <c r="K41" i="9" s="1"/>
  <c r="J50" i="9"/>
  <c r="K50" i="9" s="1"/>
  <c r="J66" i="9"/>
  <c r="K66" i="9" s="1"/>
  <c r="J74" i="9"/>
  <c r="K74" i="9" s="1"/>
  <c r="J82" i="9"/>
  <c r="K82" i="9" s="1"/>
  <c r="J90" i="9"/>
  <c r="K90" i="9" s="1"/>
  <c r="J98" i="9"/>
  <c r="K98" i="9" s="1"/>
  <c r="J106" i="9"/>
  <c r="K106" i="9" s="1"/>
  <c r="J46" i="9"/>
  <c r="K46" i="9" s="1"/>
  <c r="L63" i="9"/>
  <c r="M63" i="9" s="1"/>
  <c r="N63" i="9" s="1"/>
  <c r="F56" i="26"/>
  <c r="F56" i="31"/>
  <c r="L83" i="9"/>
  <c r="M83" i="9" s="1"/>
  <c r="N83" i="9" s="1"/>
  <c r="F76" i="26"/>
  <c r="F76" i="31"/>
  <c r="L27" i="9"/>
  <c r="M27" i="9" s="1"/>
  <c r="N27" i="9" s="1"/>
  <c r="F20" i="26"/>
  <c r="F36" i="31"/>
  <c r="L43" i="9"/>
  <c r="M43" i="9" s="1"/>
  <c r="N43" i="9" s="1"/>
  <c r="H35" i="9"/>
  <c r="J35" i="9"/>
  <c r="K35" i="9" s="1"/>
  <c r="H28" i="9"/>
  <c r="H84" i="9"/>
  <c r="J84" i="9"/>
  <c r="K84" i="9" s="1"/>
  <c r="F80" i="31"/>
  <c r="F80" i="26"/>
  <c r="L87" i="9"/>
  <c r="M87" i="9" s="1"/>
  <c r="N87" i="9" s="1"/>
  <c r="F16" i="26"/>
  <c r="L23" i="9"/>
  <c r="M23" i="9" s="1"/>
  <c r="N23" i="9" s="1"/>
  <c r="F49" i="31"/>
  <c r="F49" i="26"/>
  <c r="L56" i="9"/>
  <c r="M56" i="9" s="1"/>
  <c r="N56" i="9" s="1"/>
  <c r="F97" i="26"/>
  <c r="L104" i="9"/>
  <c r="M104" i="9" s="1"/>
  <c r="N104" i="9" s="1"/>
  <c r="F97" i="31"/>
  <c r="L25" i="9"/>
  <c r="M25" i="9" s="1"/>
  <c r="N25" i="9" s="1"/>
  <c r="F18" i="26"/>
  <c r="L41" i="9"/>
  <c r="M41" i="9" s="1"/>
  <c r="N41" i="9" s="1"/>
  <c r="F34" i="26"/>
  <c r="F34" i="31"/>
  <c r="F67" i="31"/>
  <c r="F67" i="26"/>
  <c r="L74" i="9"/>
  <c r="M74" i="9" s="1"/>
  <c r="N74" i="9" s="1"/>
  <c r="L90" i="9"/>
  <c r="M90" i="9" s="1"/>
  <c r="N90" i="9" s="1"/>
  <c r="F83" i="31"/>
  <c r="F83" i="26"/>
  <c r="F99" i="26"/>
  <c r="L106" i="9"/>
  <c r="M106" i="9" s="1"/>
  <c r="N106" i="9" s="1"/>
  <c r="F99" i="31"/>
  <c r="H15" i="9"/>
  <c r="J15" i="9"/>
  <c r="K15" i="9" s="1"/>
  <c r="L31" i="9"/>
  <c r="M31" i="9" s="1"/>
  <c r="N31" i="9" s="1"/>
  <c r="F24" i="31"/>
  <c r="F24" i="26"/>
  <c r="H112" i="9"/>
  <c r="J112" i="9"/>
  <c r="K112" i="9" s="1"/>
  <c r="F71" i="31"/>
  <c r="L78" i="9"/>
  <c r="M78" i="9" s="1"/>
  <c r="N78" i="9" s="1"/>
  <c r="F71" i="26"/>
  <c r="H86" i="9"/>
  <c r="J86" i="9"/>
  <c r="K86" i="9" s="1"/>
  <c r="H110" i="9"/>
  <c r="J110" i="9"/>
  <c r="K110" i="9" s="1"/>
  <c r="F53" i="31"/>
  <c r="L60" i="9"/>
  <c r="M60" i="9" s="1"/>
  <c r="N60" i="9" s="1"/>
  <c r="F53" i="26"/>
  <c r="L76" i="9"/>
  <c r="M76" i="9" s="1"/>
  <c r="N76" i="9" s="1"/>
  <c r="F69" i="26"/>
  <c r="F69" i="31"/>
  <c r="L92" i="9"/>
  <c r="M92" i="9" s="1"/>
  <c r="N92" i="9" s="1"/>
  <c r="F85" i="26"/>
  <c r="F85" i="31"/>
  <c r="H80" i="9"/>
  <c r="H38" i="9"/>
  <c r="F104" i="31"/>
  <c r="F87" i="26"/>
  <c r="F87" i="31"/>
  <c r="L94" i="9"/>
  <c r="M94" i="9" s="1"/>
  <c r="N94" i="9" s="1"/>
  <c r="L36" i="9"/>
  <c r="M36" i="9" s="1"/>
  <c r="N36" i="9" s="1"/>
  <c r="F29" i="31"/>
  <c r="J93" i="9"/>
  <c r="K93" i="9" s="1"/>
  <c r="J109" i="9"/>
  <c r="K109" i="9" s="1"/>
  <c r="F15" i="26"/>
  <c r="L22" i="9"/>
  <c r="M22" i="9" s="1"/>
  <c r="N22" i="9" s="1"/>
  <c r="J30" i="9"/>
  <c r="K30" i="9" s="1"/>
  <c r="J51" i="9"/>
  <c r="K51" i="9" s="1"/>
  <c r="J47" i="9"/>
  <c r="K47" i="9" s="1"/>
  <c r="J29" i="9"/>
  <c r="K29" i="9" s="1"/>
  <c r="J45" i="9"/>
  <c r="K45" i="9" s="1"/>
  <c r="J78" i="9"/>
  <c r="K78" i="9" s="1"/>
  <c r="J94" i="9"/>
  <c r="K94" i="9" s="1"/>
  <c r="F95" i="26"/>
  <c r="F95" i="31"/>
  <c r="J103" i="9"/>
  <c r="K103" i="9" s="1"/>
  <c r="J68" i="9"/>
  <c r="K68" i="9" s="1"/>
  <c r="J100" i="9"/>
  <c r="K100" i="9" s="1"/>
  <c r="H64" i="9"/>
  <c r="F22" i="26"/>
  <c r="F93" i="26"/>
  <c r="L70" i="9"/>
  <c r="M70" i="9" s="1"/>
  <c r="N70" i="9" s="1"/>
  <c r="H54" i="9"/>
  <c r="H37" i="9"/>
  <c r="H20" i="9"/>
  <c r="F38" i="31"/>
  <c r="F38" i="26"/>
  <c r="F48" i="26"/>
  <c r="F48" i="31"/>
  <c r="L55" i="9"/>
  <c r="M55" i="9" s="1"/>
  <c r="N55" i="9" s="1"/>
  <c r="J36" i="9"/>
  <c r="K36" i="9" s="1"/>
  <c r="J69" i="9"/>
  <c r="K69" i="9" s="1"/>
  <c r="F102" i="31"/>
  <c r="F102" i="26"/>
  <c r="J22" i="9"/>
  <c r="K22" i="9" s="1"/>
  <c r="F23" i="26"/>
  <c r="L30" i="9"/>
  <c r="M30" i="9" s="1"/>
  <c r="N30" i="9" s="1"/>
  <c r="L51" i="9"/>
  <c r="M51" i="9" s="1"/>
  <c r="N51" i="9" s="1"/>
  <c r="F44" i="31"/>
  <c r="L79" i="9"/>
  <c r="M79" i="9" s="1"/>
  <c r="N79" i="9" s="1"/>
  <c r="F72" i="26"/>
  <c r="J95" i="9"/>
  <c r="K95" i="9" s="1"/>
  <c r="J31" i="9"/>
  <c r="K31" i="9" s="1"/>
  <c r="F40" i="31"/>
  <c r="F40" i="26"/>
  <c r="L47" i="9"/>
  <c r="M47" i="9" s="1"/>
  <c r="N47" i="9" s="1"/>
  <c r="J21" i="9"/>
  <c r="K21" i="9" s="1"/>
  <c r="J70" i="9"/>
  <c r="K70" i="9" s="1"/>
  <c r="J102" i="9"/>
  <c r="K102" i="9" s="1"/>
  <c r="L103" i="9"/>
  <c r="M103" i="9" s="1"/>
  <c r="N103" i="9" s="1"/>
  <c r="F96" i="26"/>
  <c r="L68" i="9"/>
  <c r="M68" i="9" s="1"/>
  <c r="N68" i="9" s="1"/>
  <c r="F61" i="26"/>
  <c r="L29" i="9"/>
  <c r="M29" i="9" s="1"/>
  <c r="N29" i="9" s="1"/>
  <c r="L100" i="9"/>
  <c r="M100" i="9" s="1"/>
  <c r="N100" i="9" s="1"/>
  <c r="F63" i="31"/>
  <c r="F44" i="26"/>
  <c r="L102" i="9"/>
  <c r="M102" i="9" s="1"/>
  <c r="N102" i="9" s="1"/>
  <c r="F88" i="31"/>
  <c r="F72" i="31"/>
  <c r="L109" i="9"/>
  <c r="M109" i="9" s="1"/>
  <c r="N109" i="9" s="1"/>
  <c r="F45" i="31"/>
  <c r="L21" i="9"/>
  <c r="M21" i="9" s="1"/>
  <c r="N21" i="9" s="1"/>
  <c r="L61" i="9" l="1"/>
  <c r="M61" i="9" s="1"/>
  <c r="N61" i="9" s="1"/>
  <c r="F46" i="26"/>
  <c r="F89" i="26"/>
  <c r="F64" i="31"/>
  <c r="F55" i="26"/>
  <c r="L71" i="9"/>
  <c r="M71" i="9" s="1"/>
  <c r="N71" i="9" s="1"/>
  <c r="F55" i="31"/>
  <c r="F89" i="31"/>
  <c r="F54" i="31"/>
  <c r="L91" i="9"/>
  <c r="M91" i="9" s="1"/>
  <c r="N91" i="9" s="1"/>
  <c r="F84" i="31"/>
  <c r="L38" i="9"/>
  <c r="M38" i="9" s="1"/>
  <c r="N38" i="9" s="1"/>
  <c r="F31" i="31"/>
  <c r="F31" i="26"/>
  <c r="L15" i="9"/>
  <c r="M15" i="9" s="1"/>
  <c r="N15" i="9" s="1"/>
  <c r="F8" i="26"/>
  <c r="L28" i="9"/>
  <c r="M28" i="9" s="1"/>
  <c r="N28" i="9" s="1"/>
  <c r="F21" i="26"/>
  <c r="F27" i="26"/>
  <c r="F27" i="31"/>
  <c r="L34" i="9"/>
  <c r="M34" i="9" s="1"/>
  <c r="N34" i="9" s="1"/>
  <c r="F58" i="26"/>
  <c r="F58" i="31"/>
  <c r="L65" i="9"/>
  <c r="M65" i="9" s="1"/>
  <c r="N65" i="9" s="1"/>
  <c r="F9" i="26"/>
  <c r="L16" i="9"/>
  <c r="M16" i="9" s="1"/>
  <c r="N16" i="9" s="1"/>
  <c r="F32" i="31"/>
  <c r="L39" i="9"/>
  <c r="M39" i="9" s="1"/>
  <c r="N39" i="9" s="1"/>
  <c r="F32" i="26"/>
  <c r="F13" i="26"/>
  <c r="L20" i="9"/>
  <c r="M20" i="9" s="1"/>
  <c r="N20" i="9" s="1"/>
  <c r="L101" i="9"/>
  <c r="M101" i="9" s="1"/>
  <c r="N101" i="9" s="1"/>
  <c r="F94" i="26"/>
  <c r="F94" i="31"/>
  <c r="F78" i="31"/>
  <c r="F78" i="26"/>
  <c r="L85" i="9"/>
  <c r="M85" i="9" s="1"/>
  <c r="N85" i="9" s="1"/>
  <c r="F37" i="31"/>
  <c r="L44" i="9"/>
  <c r="M44" i="9" s="1"/>
  <c r="N44" i="9" s="1"/>
  <c r="F37" i="26"/>
  <c r="F35" i="31"/>
  <c r="L42" i="9"/>
  <c r="M42" i="9" s="1"/>
  <c r="N42" i="9" s="1"/>
  <c r="F35" i="26"/>
  <c r="F30" i="26"/>
  <c r="F30" i="31"/>
  <c r="L37" i="9"/>
  <c r="M37" i="9" s="1"/>
  <c r="N37" i="9" s="1"/>
  <c r="L86" i="9"/>
  <c r="M86" i="9" s="1"/>
  <c r="N86" i="9" s="1"/>
  <c r="F79" i="31"/>
  <c r="F79" i="26"/>
  <c r="F28" i="31"/>
  <c r="F28" i="26"/>
  <c r="L35" i="9"/>
  <c r="M35" i="9" s="1"/>
  <c r="N35" i="9" s="1"/>
  <c r="L67" i="9"/>
  <c r="M67" i="9" s="1"/>
  <c r="N67" i="9" s="1"/>
  <c r="F60" i="26"/>
  <c r="F60" i="31"/>
  <c r="F51" i="31"/>
  <c r="F51" i="26"/>
  <c r="L58" i="9"/>
  <c r="M58" i="9" s="1"/>
  <c r="N58" i="9" s="1"/>
  <c r="L18" i="9"/>
  <c r="M18" i="9" s="1"/>
  <c r="N18" i="9" s="1"/>
  <c r="F11" i="26"/>
  <c r="F74" i="26"/>
  <c r="F74" i="31"/>
  <c r="L81" i="9"/>
  <c r="M81" i="9" s="1"/>
  <c r="N81" i="9" s="1"/>
  <c r="F33" i="26"/>
  <c r="F33" i="31"/>
  <c r="L40" i="9"/>
  <c r="M40" i="9" s="1"/>
  <c r="N40" i="9" s="1"/>
  <c r="L59" i="9"/>
  <c r="M59" i="9" s="1"/>
  <c r="N59" i="9" s="1"/>
  <c r="F52" i="31"/>
  <c r="F52" i="26"/>
  <c r="F98" i="31"/>
  <c r="L105" i="9"/>
  <c r="M105" i="9" s="1"/>
  <c r="N105" i="9" s="1"/>
  <c r="F98" i="26"/>
  <c r="L73" i="9"/>
  <c r="M73" i="9" s="1"/>
  <c r="N73" i="9" s="1"/>
  <c r="F66" i="31"/>
  <c r="F66" i="26"/>
  <c r="F25" i="31"/>
  <c r="L32" i="9"/>
  <c r="M32" i="9" s="1"/>
  <c r="N32" i="9" s="1"/>
  <c r="F25" i="26"/>
  <c r="F92" i="26"/>
  <c r="F92" i="31"/>
  <c r="L99" i="9"/>
  <c r="M99" i="9" s="1"/>
  <c r="N99" i="9" s="1"/>
  <c r="F103" i="31"/>
  <c r="F103" i="26"/>
  <c r="L110" i="9"/>
  <c r="M110" i="9" s="1"/>
  <c r="N110" i="9" s="1"/>
  <c r="F70" i="31"/>
  <c r="F70" i="26"/>
  <c r="L77" i="9"/>
  <c r="M77" i="9" s="1"/>
  <c r="N77" i="9" s="1"/>
  <c r="F90" i="31"/>
  <c r="F90" i="26"/>
  <c r="L97" i="9"/>
  <c r="M97" i="9" s="1"/>
  <c r="N97" i="9" s="1"/>
  <c r="F19" i="26"/>
  <c r="L26" i="9"/>
  <c r="M26" i="9" s="1"/>
  <c r="N26" i="9" s="1"/>
  <c r="F82" i="31"/>
  <c r="L89" i="9"/>
  <c r="M89" i="9" s="1"/>
  <c r="N89" i="9" s="1"/>
  <c r="F82" i="26"/>
  <c r="L48" i="9"/>
  <c r="M48" i="9" s="1"/>
  <c r="N48" i="9" s="1"/>
  <c r="F41" i="31"/>
  <c r="F41" i="26"/>
  <c r="F73" i="26"/>
  <c r="F73" i="31"/>
  <c r="L80" i="9"/>
  <c r="M80" i="9" s="1"/>
  <c r="N80" i="9" s="1"/>
  <c r="F47" i="31"/>
  <c r="F47" i="26"/>
  <c r="L54" i="9"/>
  <c r="M54" i="9" s="1"/>
  <c r="N54" i="9" s="1"/>
  <c r="F57" i="26"/>
  <c r="F57" i="31"/>
  <c r="L64" i="9"/>
  <c r="M64" i="9" s="1"/>
  <c r="N64" i="9" s="1"/>
  <c r="F105" i="26"/>
  <c r="F105" i="31"/>
  <c r="L112" i="9"/>
  <c r="M112" i="9" s="1"/>
  <c r="N112" i="9" s="1"/>
  <c r="F77" i="31"/>
  <c r="F77" i="26"/>
  <c r="L84" i="9"/>
  <c r="M84" i="9" s="1"/>
  <c r="N84" i="9" s="1"/>
  <c r="L75" i="9"/>
  <c r="M75" i="9" s="1"/>
  <c r="N75" i="9" s="1"/>
  <c r="F68" i="31"/>
  <c r="F68" i="26"/>
  <c r="L24" i="9"/>
  <c r="M24" i="9" s="1"/>
  <c r="N24" i="9" s="1"/>
  <c r="F17" i="26"/>
  <c r="F12" i="26"/>
  <c r="L19" i="9"/>
  <c r="M19" i="9" s="1"/>
  <c r="N19" i="9" s="1"/>
  <c r="F50" i="26"/>
  <c r="L57" i="9"/>
  <c r="M57" i="9" s="1"/>
  <c r="N57" i="9" s="1"/>
  <c r="F50" i="31"/>
</calcChain>
</file>

<file path=xl/sharedStrings.xml><?xml version="1.0" encoding="utf-8"?>
<sst xmlns="http://schemas.openxmlformats.org/spreadsheetml/2006/main" count="645" uniqueCount="355">
  <si>
    <t>Year</t>
  </si>
  <si>
    <t xml:space="preserve">Refuse </t>
  </si>
  <si>
    <t xml:space="preserve">Disposal Rate </t>
  </si>
  <si>
    <t>In-Place</t>
  </si>
  <si>
    <t>(tons/yr)</t>
  </si>
  <si>
    <t>(tons)</t>
  </si>
  <si>
    <t>LFG</t>
  </si>
  <si>
    <t>(cfm)</t>
  </si>
  <si>
    <t>(mmBtu/hr)</t>
  </si>
  <si>
    <t>(cf/lb-yr)</t>
  </si>
  <si>
    <t>(mmcf/day)</t>
  </si>
  <si>
    <t>ASSUMED  METHANE CONTENT OF LFG:</t>
  </si>
  <si>
    <t>cu ft/ton</t>
  </si>
  <si>
    <t>cu m/Mg per cu ft/ton (cu ft/ton ==&gt; cu m/Mg)</t>
  </si>
  <si>
    <t>cf/yr</t>
  </si>
  <si>
    <t>Tons Disposed</t>
  </si>
  <si>
    <t>Year delay before methane generation.</t>
  </si>
  <si>
    <t>Metals</t>
  </si>
  <si>
    <t>Plastics</t>
  </si>
  <si>
    <t>total</t>
  </si>
  <si>
    <t>BREAKDOWN OF WASTE CATEGORIES</t>
  </si>
  <si>
    <t>Assumed Methane Content of LFG:</t>
  </si>
  <si>
    <t>Fast Decay</t>
  </si>
  <si>
    <t>Slow Decay</t>
  </si>
  <si>
    <t>DO NOT EDIT</t>
  </si>
  <si>
    <t>Waste Category</t>
  </si>
  <si>
    <t>Food Waste</t>
  </si>
  <si>
    <t>Glass and Ceramics</t>
  </si>
  <si>
    <t>Paper and Cardboard</t>
  </si>
  <si>
    <t>Wood Waste</t>
  </si>
  <si>
    <t>Total Organic Waste</t>
  </si>
  <si>
    <t>Total Inorganic Waste</t>
  </si>
  <si>
    <t>SITE-SPECIFIC AND DEFAULT WASTE COMPOSITION TABLE FOR MODEL INPUTS</t>
  </si>
  <si>
    <t>Methane Generation</t>
  </si>
  <si>
    <t>Generation</t>
  </si>
  <si>
    <t>SELECTED Lo (for organic waste only):</t>
  </si>
  <si>
    <t>SELECTED k:</t>
  </si>
  <si>
    <t>years decay during lag period</t>
  </si>
  <si>
    <t>m</t>
  </si>
  <si>
    <t>Unknown</t>
  </si>
  <si>
    <t>Site Management</t>
  </si>
  <si>
    <t>Cumulative Metric Tonnes</t>
  </si>
  <si>
    <t>Depth &gt; 5m</t>
  </si>
  <si>
    <t>Depth &lt; 5m</t>
  </si>
  <si>
    <t>Unmanaged Disposal Site</t>
  </si>
  <si>
    <t>METHANE CORRECTION FACTOR LOOKUP TABLE*</t>
  </si>
  <si>
    <t>*Based on IPPC, 2006. Table 3.1, SWDS Classification and Methane Correction Factor (MCF), with modifications.</t>
  </si>
  <si>
    <t>Methane Content of Landfill Biogas Adjusted to:</t>
  </si>
  <si>
    <t>Methane Correction Factor (MCF):</t>
  </si>
  <si>
    <t>Unmanaged disposal sites are those that do not meet criteria of managed landfills.</t>
  </si>
  <si>
    <t>Yes</t>
  </si>
  <si>
    <t>No</t>
  </si>
  <si>
    <t>Calculated Fast-decay Organic Waste Lo</t>
  </si>
  <si>
    <t>Calculated Slow-decay Organic Waste Lo</t>
  </si>
  <si>
    <t>Moderately Fast Decay (2)</t>
  </si>
  <si>
    <t>Moderately Slow Decay (3)</t>
  </si>
  <si>
    <t>Very Fast Decay (1)</t>
  </si>
  <si>
    <t>Food, Other Organics</t>
  </si>
  <si>
    <t>Garden Waste and Toilet Paper</t>
  </si>
  <si>
    <t>Paper and Textiles</t>
  </si>
  <si>
    <t>Wood, Rubber, Leather, Straw</t>
  </si>
  <si>
    <t>Climate Regions:</t>
  </si>
  <si>
    <t>Climate #</t>
  </si>
  <si>
    <t>k values (1/yr):</t>
  </si>
  <si>
    <t>Very Slow Decay (4)</t>
  </si>
  <si>
    <t>Fire Adjustment Factor:</t>
  </si>
  <si>
    <t>Rubber, Leather, Bones, Straw</t>
  </si>
  <si>
    <t>Textiles</t>
  </si>
  <si>
    <t>Garden Waste (Green Waste)</t>
  </si>
  <si>
    <t>Other Organics</t>
  </si>
  <si>
    <t>Percent very fast decay organic waste (1)</t>
  </si>
  <si>
    <t>Percent medium-fast decay organic waste (2)</t>
  </si>
  <si>
    <t>Percent medium-slow decay organic waste (3)</t>
  </si>
  <si>
    <t>Percent slow decay organic waste (4)</t>
  </si>
  <si>
    <t>Construction and Demolition Waste</t>
  </si>
  <si>
    <t>Calculated medium fast decay Organic Waste Lo</t>
  </si>
  <si>
    <t>Calculated medium slow decay Organic Waste Lo</t>
  </si>
  <si>
    <t>Has site been impacted by fires?</t>
  </si>
  <si>
    <t>Account for wellfield coverage of waste area:</t>
  </si>
  <si>
    <t>Account for liner type and extent:</t>
  </si>
  <si>
    <t>Final cover = 90%; intermediate cover = 80%; daily cover = 75%; no cover = 50%</t>
  </si>
  <si>
    <t>Coverage factor adjustment</t>
  </si>
  <si>
    <t>INSTRUCTIONS:</t>
  </si>
  <si>
    <t>Collection System Efficiency</t>
  </si>
  <si>
    <t>Calculated based on user inputs</t>
  </si>
  <si>
    <t>Is waste compacted on a regular basis?</t>
  </si>
  <si>
    <t>Does the landfill experience leachate surface seeps or surface ponding?</t>
  </si>
  <si>
    <t>Account for waste depth:</t>
  </si>
  <si>
    <t>Account for waste compaction:</t>
  </si>
  <si>
    <t>Discount is 3% if no compaction</t>
  </si>
  <si>
    <t>Discount is 5% x % area without liner</t>
  </si>
  <si>
    <t>Leachate Lookup Factor</t>
  </si>
  <si>
    <t>Rainstorm/climate lookup</t>
  </si>
  <si>
    <t>Calculated based on user inputs and table below</t>
  </si>
  <si>
    <t>CALCULATED COLLECTION EFFICIENCY:</t>
  </si>
  <si>
    <t>Account for leachate</t>
  </si>
  <si>
    <t>DEFAULT MODEL INPUT CALCULATIONS:</t>
  </si>
  <si>
    <t>Moderately Fast Decay</t>
  </si>
  <si>
    <t>Waste Category:</t>
  </si>
  <si>
    <t>**Emission reductions do not account for electricity generation or project emissions and are calculated using a methane density (at standard temperature and pressure) of 0.0007168 Mg/m3.</t>
  </si>
  <si>
    <t xml:space="preserve">Managed landfills have controlled placement of waste (waste directed to specific areas, a degree of control of scavengers and fires), </t>
  </si>
  <si>
    <t>and at least one of the following: cover material, mechanical compacting, or leveling of the waste.</t>
  </si>
  <si>
    <t>Actual LFG Recovery (m3/hr at 50% CH4)</t>
  </si>
  <si>
    <t>Baseline LFG Recovery (m3/hr at 50% CH4)</t>
  </si>
  <si>
    <t>Site-specific waste composition data?</t>
  </si>
  <si>
    <t>Year opened:</t>
  </si>
  <si>
    <t>Year of disposal estimate:</t>
  </si>
  <si>
    <t>Projected or actual closure year:</t>
  </si>
  <si>
    <t>Estimated growth in annual disposal:</t>
  </si>
  <si>
    <t xml:space="preserve">Mg </t>
  </si>
  <si>
    <t>LFG Generation</t>
  </si>
  <si>
    <t>Predicted LFG Recovery</t>
  </si>
  <si>
    <t>Methane Emissions
Reduction Estimates**</t>
  </si>
  <si>
    <t>Disposal
(Mg/yr)</t>
  </si>
  <si>
    <t>Refuse
In-Place
(Mg)</t>
  </si>
  <si>
    <t>Collection
System
Efficiency
(%)</t>
  </si>
  <si>
    <t>Maximum
Power Plant
Capacity*
(MW)</t>
  </si>
  <si>
    <t>MODEL INPUT PARAMETERS</t>
  </si>
  <si>
    <t>Moderately Slow Decay</t>
  </si>
  <si>
    <t>City:</t>
  </si>
  <si>
    <t>PROJECTION OF LANDFILL GAS GENERATION AND RECOVERY</t>
  </si>
  <si>
    <t>Collection Efficiency Calculations</t>
  </si>
  <si>
    <t>Enter
Site Specific Data</t>
  </si>
  <si>
    <t>DISPOSAL AND LFG RECOVERY WORKSHEET</t>
  </si>
  <si>
    <t>LOOKUP TABLES WORKSHEET</t>
  </si>
  <si>
    <r>
      <t>Actual LFG Recovery</t>
    </r>
    <r>
      <rPr>
        <sz val="10"/>
        <rFont val="Verdana"/>
        <family val="2"/>
      </rPr>
      <t>: If a collection system is installed, input into Column E below the average annual biogas flows at 50% methane.  DO NOT PUT IN ZEROS.</t>
    </r>
  </si>
  <si>
    <t>1. Enter landfill name.  This will feed into the Output Table.</t>
  </si>
  <si>
    <t>2. Enter city where the landfill is located. This will feed into the Output Table.</t>
  </si>
  <si>
    <t xml:space="preserve">Waste Disposal Estimates (Metric Tonnes) </t>
  </si>
  <si>
    <t>Progressive discount if &lt;10 m deep (5% for each meter &lt; 10m)</t>
  </si>
  <si>
    <t xml:space="preserve">     If 13a answer is Yes, indicate % of landfill area impacted:</t>
  </si>
  <si>
    <t xml:space="preserve">     If 13a answer is Yes, indicate the severity of fire impacts:</t>
  </si>
  <si>
    <t xml:space="preserve">     If 23a answer is yes, does this occur only after rainstorms?</t>
  </si>
  <si>
    <t>CH4 Generation Potential (Lo) (m3/Mg):</t>
  </si>
  <si>
    <t>CH4 Generation Rate Constant (k):</t>
  </si>
  <si>
    <r>
      <rPr>
        <b/>
        <sz val="10"/>
        <rFont val="Verdana"/>
        <family val="2"/>
      </rPr>
      <t>INSTRUCTIONS:</t>
    </r>
    <r>
      <rPr>
        <sz val="10"/>
        <rFont val="Verdana"/>
        <family val="2"/>
      </rPr>
      <t xml:space="preserve"> If site specific waste composition data are available, "Yes" should be entered into Cell B10 of the Inputs worksheet and the percentages of indicated waste categories disposed (wet weight basis) should be entered into Cells B7 through B20 below.</t>
    </r>
  </si>
  <si>
    <r>
      <t>Waste Disposal Estimates</t>
    </r>
    <r>
      <rPr>
        <sz val="10"/>
        <rFont val="Verdana"/>
        <family val="2"/>
      </rPr>
      <t xml:space="preserve">: Input annual waste disposal rates in Column B below only for years with available disposal data.  Inputs will override calculations based on estimates provided by user in "Inputs" worksheet.
</t>
    </r>
    <r>
      <rPr>
        <u/>
        <sz val="10"/>
        <rFont val="Verdana"/>
        <family val="2"/>
      </rPr>
      <t>Collection System Efficiency</t>
    </r>
    <r>
      <rPr>
        <sz val="10"/>
        <rFont val="Verdana"/>
        <family val="2"/>
      </rPr>
      <t>: Collection system effciency is calculated based on user inputs.  To override automatic calculations enter values by year in Column D below.</t>
    </r>
  </si>
  <si>
    <r>
      <rPr>
        <b/>
        <sz val="10"/>
        <rFont val="Verdana"/>
        <family val="2"/>
      </rPr>
      <t>INSTRUCTIONS:</t>
    </r>
    <r>
      <rPr>
        <sz val="10"/>
        <rFont val="Verdana"/>
        <family val="2"/>
      </rPr>
      <t xml:space="preserve"> Table title is linked to Inputs sheet.  Column titles cannot be changed.  Contents of print table cannot be changed (except for power plant capacity) and are derived/calculated based on user inputs.  Print table format will need adjustment. User will need to adjust page breaks and unhide or hide the rows at bottom of table as needed.</t>
    </r>
  </si>
  <si>
    <t>Projected LFG Recovery (m3/hr at 50% CH4)</t>
  </si>
  <si>
    <t>Developed by SCS Engineers for the U.S. EPA Landfill Methane Outreach Program</t>
  </si>
  <si>
    <t xml:space="preserve">Landfill Gas Generation and Recovery Projection          </t>
  </si>
  <si>
    <t>Graph needs x-axis scale formatting to start and end in the year of choice.  Lines will fall short of end date if rows in output table are hidden. Hide rows in output table for years beyond desired end date, or unhide rows to prevent this.  Actual landfill gas recovery data should be entered in the Disposal &amp; LFG Recovery worksheet if there is data.  If not, delete from legend by clicking on the legend, then clicking on "Actual Landfill Gas Recovery", then pressing the delete key.</t>
  </si>
  <si>
    <t>Landfill name:</t>
  </si>
  <si>
    <t>Collection efficiency estimate:</t>
  </si>
  <si>
    <t xml:space="preserve">      Developed by SCS Engineers for the U.S. EPA Landfill Methane Outreach Program</t>
  </si>
  <si>
    <t>Wet</t>
  </si>
  <si>
    <t>Moderately Wet</t>
  </si>
  <si>
    <t>Moderately Dry</t>
  </si>
  <si>
    <t>Dry</t>
  </si>
  <si>
    <t>Climate</t>
  </si>
  <si>
    <t>mm/yr</t>
  </si>
  <si>
    <t>Account for site management practices:</t>
  </si>
  <si>
    <t>TOTAL</t>
  </si>
  <si>
    <t>Year of initial collection system start-up.</t>
  </si>
  <si>
    <t>Go Back to Inputs</t>
  </si>
  <si>
    <t>Account for cover type and extent:</t>
  </si>
  <si>
    <t>Site design and management practices (historical average conditions):</t>
  </si>
  <si>
    <t>INPUTS WORKSHEET</t>
  </si>
  <si>
    <t>Other Inorganic Waste</t>
  </si>
  <si>
    <t>Get Map</t>
  </si>
  <si>
    <t>Select one of 5 climate zones based on average annual rainfall:</t>
  </si>
  <si>
    <r>
      <t>(tonnes CO</t>
    </r>
    <r>
      <rPr>
        <vertAlign val="subscript"/>
        <sz val="11"/>
        <color indexed="9"/>
        <rFont val="Verdana"/>
        <family val="2"/>
      </rPr>
      <t>2</t>
    </r>
    <r>
      <rPr>
        <sz val="11"/>
        <color indexed="9"/>
        <rFont val="Verdana"/>
        <family val="2"/>
      </rPr>
      <t>eq/yr)</t>
    </r>
  </si>
  <si>
    <r>
      <t>(m</t>
    </r>
    <r>
      <rPr>
        <vertAlign val="superscript"/>
        <sz val="11"/>
        <color indexed="9"/>
        <rFont val="Verdana"/>
        <family val="2"/>
      </rPr>
      <t>3</t>
    </r>
    <r>
      <rPr>
        <sz val="11"/>
        <color indexed="9"/>
        <rFont val="Verdana"/>
        <family val="2"/>
      </rPr>
      <t>/hr)</t>
    </r>
  </si>
  <si>
    <t>Annual disposal for latest year with data in tonnes per year (Mg/yr)</t>
  </si>
  <si>
    <r>
      <t>Estimated in-place waste density in Mg per m</t>
    </r>
    <r>
      <rPr>
        <vertAlign val="superscript"/>
        <sz val="10"/>
        <color indexed="9"/>
        <rFont val="Verdana"/>
        <family val="2"/>
      </rPr>
      <t>3</t>
    </r>
    <r>
      <rPr>
        <sz val="10"/>
        <color indexed="9"/>
        <rFont val="Verdana"/>
        <family val="2"/>
      </rPr>
      <t xml:space="preserve"> (typical range: 0.5-1.0):</t>
    </r>
  </si>
  <si>
    <t>If waste in place estimate is in volume (m3), convert to Mg:</t>
  </si>
  <si>
    <t>Mg</t>
  </si>
  <si>
    <t>Waste in place estimate for end of year listed in #9 (most recent data):</t>
  </si>
  <si>
    <t>Is there historical waste tonnage data to estimate Mg in place?</t>
  </si>
  <si>
    <r>
      <t xml:space="preserve">6. Select </t>
    </r>
    <r>
      <rPr>
        <sz val="10"/>
        <color indexed="10"/>
        <rFont val="Verdana"/>
        <family val="2"/>
      </rPr>
      <t>No</t>
    </r>
    <r>
      <rPr>
        <sz val="10"/>
        <rFont val="Verdana"/>
        <family val="2"/>
      </rPr>
      <t xml:space="preserve"> if there is no data, </t>
    </r>
    <r>
      <rPr>
        <sz val="10"/>
        <color indexed="10"/>
        <rFont val="Verdana"/>
        <family val="2"/>
      </rPr>
      <t xml:space="preserve">Yes </t>
    </r>
    <r>
      <rPr>
        <sz val="10"/>
        <rFont val="Verdana"/>
        <family val="2"/>
      </rPr>
      <t xml:space="preserve">if there is data.  If </t>
    </r>
    <r>
      <rPr>
        <sz val="10"/>
        <color indexed="10"/>
        <rFont val="Verdana"/>
        <family val="2"/>
      </rPr>
      <t>Yes</t>
    </r>
    <r>
      <rPr>
        <sz val="10"/>
        <rFont val="Verdana"/>
        <family val="2"/>
      </rPr>
      <t>, input site specific data in Waste Composition worksheet.</t>
    </r>
  </si>
  <si>
    <t>8. Enter disposal in most recent year of disposal before site closure.  If multiple years of disposal data are available, enter annual tonnes disposed for each year with data in Disposal &amp; LFG Recovery worksheet.</t>
  </si>
  <si>
    <t>9. Enter most recent year of disposal reflecting tonnes listed above.</t>
  </si>
  <si>
    <t>12. Enter estimated amount of waste in place.  Estimate should reflect the most recent end-of-year value available. Units of measure for mass (Mg) or volume (m3) will be automatically selected based on answer to #11.</t>
  </si>
  <si>
    <t>16. Enter estimated percentage annual growth in disposal.</t>
  </si>
  <si>
    <t>14. This value is calculated automatically (no user inputs)</t>
  </si>
  <si>
    <t>17. Enter average current waste depth in meters for areas with wells or targeted for well installation.</t>
  </si>
  <si>
    <t>19a. Select Yes or No from dropdown menu.  If unknown, select No.</t>
  </si>
  <si>
    <t>21. Enter a value up to 100% for current or future wellfield coverage of waste footprint (active disposal sites will be &lt; 100%)</t>
  </si>
  <si>
    <t>25. Value automatically calculated as the remaining area</t>
  </si>
  <si>
    <t>27. Select Yes or No from dropdown menu.</t>
  </si>
  <si>
    <t>28. Select Yes or No from dropdown menu.</t>
  </si>
  <si>
    <t>29a. Select Yes or No from dropdown menu.</t>
  </si>
  <si>
    <t>30. This value is calculated based on the inputs above.</t>
  </si>
  <si>
    <t>19a</t>
  </si>
  <si>
    <t>19b</t>
  </si>
  <si>
    <t>19c</t>
  </si>
  <si>
    <t>29a</t>
  </si>
  <si>
    <t>29b</t>
  </si>
  <si>
    <r>
      <t xml:space="preserve">INSTRUCTIONS: 
</t>
    </r>
    <r>
      <rPr>
        <sz val="10"/>
        <rFont val="Verdana"/>
        <family val="2"/>
      </rPr>
      <t>Edit all items with yellow lettering. Follow instructions left of each item and below.  Items with white lettering cannot be changed.  Instructions below describe input requirements.</t>
    </r>
  </si>
  <si>
    <r>
      <t>Mg/m</t>
    </r>
    <r>
      <rPr>
        <vertAlign val="superscript"/>
        <sz val="11"/>
        <color indexed="9"/>
        <rFont val="Verdana"/>
        <family val="2"/>
      </rPr>
      <t>3</t>
    </r>
  </si>
  <si>
    <t>Is there site data available on estimated waste in place (volume or mass)? If NO, then skip to #15</t>
  </si>
  <si>
    <t>10. Indicate whether data is available on in-place waste volume or mass.  If "No" then tonnage estimates will be based on a Mg/yr disposal rate (#8) and estimated annual growth.</t>
  </si>
  <si>
    <t>(alphabetic</t>
  </si>
  <si>
    <t>order for</t>
  </si>
  <si>
    <t>lookup)</t>
  </si>
  <si>
    <t>(list by # for</t>
  </si>
  <si>
    <t>drop-down)</t>
  </si>
  <si>
    <r>
      <t>Baseline LFG Recovery</t>
    </r>
    <r>
      <rPr>
        <sz val="10"/>
        <rFont val="Verdana"/>
        <family val="2"/>
      </rPr>
      <t>: Enter into Column G the baseline LFG flows at 50% methane. See UNFCCC CDM website for baseline methodologies.</t>
    </r>
  </si>
  <si>
    <r>
      <t>Lo= MCFxDOCxDOC</t>
    </r>
    <r>
      <rPr>
        <vertAlign val="subscript"/>
        <sz val="12"/>
        <rFont val="Tw Cen MT"/>
        <family val="2"/>
      </rPr>
      <t>F</t>
    </r>
    <r>
      <rPr>
        <sz val="12"/>
        <rFont val="Tw Cen MT"/>
        <family val="2"/>
      </rPr>
      <t>xFx16/12*.0007168</t>
    </r>
  </si>
  <si>
    <t>Food waste</t>
  </si>
  <si>
    <t>Garden</t>
  </si>
  <si>
    <t>Paper</t>
  </si>
  <si>
    <t>Wood and straw</t>
  </si>
  <si>
    <t>Disposable nappies</t>
  </si>
  <si>
    <t>Sewage sludge</t>
  </si>
  <si>
    <t>DOC</t>
  </si>
  <si>
    <t>DOCf</t>
  </si>
  <si>
    <t>F</t>
  </si>
  <si>
    <t>Lo (m3/Mg)</t>
  </si>
  <si>
    <t>19b. If 19a answer is yes (impacted by fires) estimate % area impacted.</t>
  </si>
  <si>
    <t>19c. If 19a answer is yes, estimate severity of impacts (1=low impacts; 2=medium impacts; 3=severe impacts)</t>
  </si>
  <si>
    <t>29b. If 29a answer is yes, indicate if seeps or ponding occur only immediately following rainstorms.</t>
  </si>
  <si>
    <t xml:space="preserve">                    Developed by SCS Engineers for the U.S. EPA Landfill Methane Outreach Program          </t>
  </si>
  <si>
    <t>Dry (&lt;400 mm/yr)</t>
  </si>
  <si>
    <t>Moderately Dry (400-499 mm/yr)</t>
  </si>
  <si>
    <t>Moderate (500-599 mm/yr)</t>
  </si>
  <si>
    <t>Wet (&gt;700 mm/yr)</t>
  </si>
  <si>
    <t>Moderately Wet (600-699 mm/yr)</t>
  </si>
  <si>
    <t>Country:</t>
  </si>
  <si>
    <t>COUNTRY</t>
  </si>
  <si>
    <t>Bulgaria</t>
  </si>
  <si>
    <t>Poland</t>
  </si>
  <si>
    <t>Serbia</t>
  </si>
  <si>
    <t>Ukraine</t>
  </si>
  <si>
    <t>Belgrade</t>
  </si>
  <si>
    <t>Moderate</t>
  </si>
  <si>
    <t>Climate category</t>
  </si>
  <si>
    <t>If Serbia, select one of 6 areas listed in map; otherwise select country</t>
  </si>
  <si>
    <t>Central and Eastern Europe Landfill Gas Model v.1</t>
  </si>
  <si>
    <t>Novi Sad</t>
  </si>
  <si>
    <t>Nis</t>
  </si>
  <si>
    <t>INPUTS WORKSHEET FOR PORTIONS OF SITE TO BE DEVELOPED</t>
  </si>
  <si>
    <t>Model projects generation as of Dec 31 of each year listed.</t>
  </si>
  <si>
    <t>Engineered/Sanitary Landfill</t>
  </si>
  <si>
    <t>Managed Disposal Site</t>
  </si>
  <si>
    <t>Calculated annual decline in LFG Generation</t>
  </si>
  <si>
    <t>Calculated average annual LFG generation decline from waste in place</t>
  </si>
  <si>
    <t>Collection efficiency for areas with wells installed (see Output-Table for total site collection efficiency)</t>
  </si>
  <si>
    <t>Percent of area where wells are/will be installed which has final cover:</t>
  </si>
  <si>
    <t>Percent of area where wells are/will be installed which has intermediate cover:</t>
  </si>
  <si>
    <t>Percent of area where wells are/will be installed which has daily cover:</t>
  </si>
  <si>
    <t>Percent of area where wells are/will be installed which has no cover:</t>
  </si>
  <si>
    <t>Percent of area where wells are/will be installed which has a clay or synthetic liner:</t>
  </si>
  <si>
    <t>Oxidation estimate:</t>
  </si>
  <si>
    <t>Baseline Methane Recovery +Oxidation
(m3/hr)</t>
  </si>
  <si>
    <r>
      <t>(Mg CH</t>
    </r>
    <r>
      <rPr>
        <vertAlign val="subscript"/>
        <sz val="11"/>
        <color indexed="9"/>
        <rFont val="Verdana"/>
        <family val="2"/>
      </rPr>
      <t>4</t>
    </r>
    <r>
      <rPr>
        <sz val="11"/>
        <color indexed="9"/>
        <rFont val="Verdana"/>
        <family val="2"/>
      </rPr>
      <t>/yr)</t>
    </r>
  </si>
  <si>
    <t>MUNICIPALITY</t>
  </si>
  <si>
    <t>Beograd</t>
  </si>
  <si>
    <t>Niš</t>
  </si>
  <si>
    <t>Kragujevac</t>
  </si>
  <si>
    <t>Šabac</t>
  </si>
  <si>
    <t>Sombor</t>
  </si>
  <si>
    <t>Bor</t>
  </si>
  <si>
    <t>Inđija</t>
  </si>
  <si>
    <t>Topola</t>
  </si>
  <si>
    <t>Novi Kneževac</t>
  </si>
  <si>
    <t>Waste category</t>
  </si>
  <si>
    <t>Yard waste</t>
  </si>
  <si>
    <t>Other biodegradable waste</t>
  </si>
  <si>
    <t>Glass</t>
  </si>
  <si>
    <t>Cardboard</t>
  </si>
  <si>
    <t>Cardboard - waxed</t>
  </si>
  <si>
    <t>Cardboard - aluminum</t>
  </si>
  <si>
    <t>Metal - packaging and other</t>
  </si>
  <si>
    <t>Metal - aluminum cans</t>
  </si>
  <si>
    <t>Plastic packaging waste</t>
  </si>
  <si>
    <t>Plastic bags</t>
  </si>
  <si>
    <t>Hard plastic</t>
  </si>
  <si>
    <t>Textile</t>
  </si>
  <si>
    <t>Leather</t>
  </si>
  <si>
    <t>Diapers</t>
  </si>
  <si>
    <t>Small particles</t>
  </si>
  <si>
    <t>Avg. %</t>
  </si>
  <si>
    <t>Other cardboard &amp; Leather</t>
  </si>
  <si>
    <t>Other inert waste</t>
  </si>
  <si>
    <t>Population</t>
  </si>
  <si>
    <t>Serbia - Other</t>
  </si>
  <si>
    <t>Waste Composition Zone</t>
  </si>
  <si>
    <t>Serbia - Belgrade</t>
  </si>
  <si>
    <t>Serbia - Kragujevac</t>
  </si>
  <si>
    <t>Serbia - Nis</t>
  </si>
  <si>
    <t>Serbia - Novi Sad</t>
  </si>
  <si>
    <t>Serbia - Other cities</t>
  </si>
  <si>
    <t>Percent of waste volume where wells are/will be installed and operating:</t>
  </si>
  <si>
    <t>Calculated Oxidation Rate (based on cover):</t>
  </si>
  <si>
    <t>Bulgaria - Sofia</t>
  </si>
  <si>
    <t>Bulgaria - Other Cities</t>
  </si>
  <si>
    <t>Bulgaria - Other cities</t>
  </si>
  <si>
    <t>Poland - Cities &gt;50,000</t>
  </si>
  <si>
    <t>Poland - Cities &lt;50,000</t>
  </si>
  <si>
    <t>Poland - Rural</t>
  </si>
  <si>
    <t>Average Precipitation</t>
  </si>
  <si>
    <t>Surface area deduction -</t>
  </si>
  <si>
    <t>All areas</t>
  </si>
  <si>
    <t>Well areas</t>
  </si>
  <si>
    <t>Total volume</t>
  </si>
  <si>
    <t>Total volume (m3)</t>
  </si>
  <si>
    <t>depth (m) for</t>
  </si>
  <si>
    <t>50% CH4 loss</t>
  </si>
  <si>
    <t>% vol w/50% CH4 loss</t>
  </si>
  <si>
    <t>NEW VALUES (Managed disposal site added)</t>
  </si>
  <si>
    <t>ALL AREAS</t>
  </si>
  <si>
    <t>WELL AREAS</t>
  </si>
  <si>
    <t>before correction for</t>
  </si>
  <si>
    <t>extent of shallow waste</t>
  </si>
  <si>
    <t>Methane content is fixed at 50%. Model calculates methane generation and normalizes landfill gas flow to 50% methane.</t>
  </si>
  <si>
    <t>Total site</t>
  </si>
  <si>
    <t>Welled areas</t>
  </si>
  <si>
    <r>
      <t>Total Site L</t>
    </r>
    <r>
      <rPr>
        <u/>
        <vertAlign val="subscript"/>
        <sz val="10"/>
        <color indexed="8"/>
        <rFont val="Verdana"/>
        <family val="2"/>
      </rPr>
      <t>0</t>
    </r>
    <r>
      <rPr>
        <u/>
        <sz val="10"/>
        <color indexed="8"/>
        <rFont val="Verdana"/>
        <family val="2"/>
      </rPr>
      <t xml:space="preserve"> Values (m</t>
    </r>
    <r>
      <rPr>
        <u/>
        <vertAlign val="superscript"/>
        <sz val="10"/>
        <color indexed="8"/>
        <rFont val="Verdana"/>
        <family val="2"/>
      </rPr>
      <t>3</t>
    </r>
    <r>
      <rPr>
        <u/>
        <sz val="10"/>
        <color indexed="8"/>
        <rFont val="Verdana"/>
        <family val="2"/>
      </rPr>
      <t>/Mg):</t>
    </r>
  </si>
  <si>
    <r>
      <t>Welled Areas L</t>
    </r>
    <r>
      <rPr>
        <u/>
        <vertAlign val="subscript"/>
        <sz val="10"/>
        <color indexed="8"/>
        <rFont val="Verdana"/>
        <family val="2"/>
      </rPr>
      <t>0</t>
    </r>
    <r>
      <rPr>
        <u/>
        <sz val="10"/>
        <color indexed="8"/>
        <rFont val="Verdana"/>
        <family val="2"/>
      </rPr>
      <t xml:space="preserve"> Values (m</t>
    </r>
    <r>
      <rPr>
        <u/>
        <vertAlign val="superscript"/>
        <sz val="10"/>
        <color indexed="8"/>
        <rFont val="Verdana"/>
        <family val="2"/>
      </rPr>
      <t>3</t>
    </r>
    <r>
      <rPr>
        <u/>
        <sz val="10"/>
        <color indexed="8"/>
        <rFont val="Verdana"/>
        <family val="2"/>
      </rPr>
      <t>/Mg):</t>
    </r>
  </si>
  <si>
    <t>Is there information on the areas of the site to be developed with wells, including years of disposal and total waste amounts or waste disposal rates?</t>
  </si>
  <si>
    <t>3. Select country from the dropdown menu. Click on arrow and select country.</t>
  </si>
  <si>
    <t>4. Select country and region for assigning default waste composition.</t>
  </si>
  <si>
    <t>5. Select climate zone based on average annual rainfall.</t>
  </si>
  <si>
    <t>11. Indicate whether data is available on metric tonnes of waste in place.  Select "No" if only volume data are available. If annual disposal data are available, enter each year with data in Disposal &amp; LFG Recovery worksheet.</t>
  </si>
  <si>
    <t>32. If portions of the landfill are not going to be developed and waste disposal data is available for areas that have or will have wells installed, select Yes.</t>
  </si>
  <si>
    <t>31. Oxidation of uncollected LFG is calculated based on percentages of daily, intermediate, and final cover.</t>
  </si>
  <si>
    <t>Poland Precipitation Map</t>
  </si>
  <si>
    <t>5. Select climate zone based on average annual rainfall from the closest town in www.worldclimate.com.  See Poland Map worksheet for Poland precipitation ranges.</t>
  </si>
  <si>
    <t>1. Enter name of solid waste disposal site (SWDS).  This will feed into the Output Table.</t>
  </si>
  <si>
    <t>2. Enter city where the SWDS is located. This will feed into the Output Table.</t>
  </si>
  <si>
    <t>7. Enter year SWDS began receiving waste.</t>
  </si>
  <si>
    <t>15. Enter actual or projected year SWDS stops receiving waste.</t>
  </si>
  <si>
    <t>18. Select value from dropdown menu: 1=Open Dump site; 2=Controlled Landfill or Dump site; 3=Sanitary Landfill; 4=Unknown.  See Users Manual for definitions of each category.</t>
  </si>
  <si>
    <t>Average waste depth:</t>
  </si>
  <si>
    <t>4. Select country and applicable city/population category for assigning default waste composition.</t>
  </si>
  <si>
    <t>Year of initial gas collection system start-up.</t>
  </si>
  <si>
    <t>20. If no gas collection system is installed, give projected year of system start-up, and complete questions 17-22 based on anticipated conditions as of start-up date.</t>
  </si>
  <si>
    <t>22. Enter a value up to 100% for % of waste area with an engineered final cover.</t>
  </si>
  <si>
    <t>23. Enter a value up to 100% for % of waste area with intermediate cover, including closed areas without engineered (low permeability) final cover.</t>
  </si>
  <si>
    <t>Are waste compactors as well as bulldozers used on a regular basis?</t>
  </si>
  <si>
    <t>Select (from drop-down list) country and city/population category:</t>
  </si>
  <si>
    <t>24. Enter a value up to 100% for % of waste area with daily cover only.</t>
  </si>
  <si>
    <t>26. Enter a value up to 100% for % of waste area with clay or synthetic liner.</t>
  </si>
  <si>
    <t>7. Enter year the SWDS cells/phases targeted for wellfield development started receiving waste.</t>
  </si>
  <si>
    <t>13. Enter estimated in-place density.  Expected values are 0.5 to 1.0 Mg/m3 for MSW disposal sites.</t>
  </si>
  <si>
    <t>Average waste depth in areas with LFG wells:</t>
  </si>
  <si>
    <t>Year disposal areas with/to have LFG wells started to receive waste:</t>
  </si>
  <si>
    <t>10. Indicate whether data is available on in-place waste volume or mass for the targeted disposal areas.  If "No" then tonnage estimates will be based on a Mg/yr disposal rate (#8) and estimated annual growth.</t>
  </si>
  <si>
    <t>Year of most current waste disposal estimate:</t>
  </si>
  <si>
    <t>(MJ/hr)</t>
  </si>
  <si>
    <t xml:space="preserve"> * Maximum power plant capacity assumes a gross heat rate of 10,800 Btus per kW-hr (hhv), equivalent to</t>
  </si>
  <si>
    <t xml:space="preserve">  11.28 MJ per kW-hr.</t>
  </si>
  <si>
    <t>NOTES:</t>
  </si>
  <si>
    <t>additional</t>
  </si>
  <si>
    <t>Account for focused working face:</t>
  </si>
  <si>
    <t>Discount is 15% for dump site site and 5% for controlled landfill/dump site</t>
  </si>
  <si>
    <t>Discount is 5% if no focused working face</t>
  </si>
  <si>
    <t>Discount is up to 36% depending on climate and frequency of leachate ponding/runoff</t>
  </si>
  <si>
    <t>Areas 5-9m:</t>
  </si>
  <si>
    <t>Poland Landfill</t>
  </si>
  <si>
    <t>Warsaw</t>
  </si>
  <si>
    <t>Is waste delivered to a focused working face?</t>
  </si>
  <si>
    <t>3. Enter country where the SWDS is located. This will feed into the Output Table.</t>
  </si>
  <si>
    <t>Release Date: December 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</si>
</sst>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General_)"/>
    <numFmt numFmtId="165" formatCode="0_)"/>
    <numFmt numFmtId="166" formatCode="0.0000_)"/>
    <numFmt numFmtId="167" formatCode="0.0"/>
    <numFmt numFmtId="168" formatCode="0.000"/>
    <numFmt numFmtId="169" formatCode="#,##0.000"/>
    <numFmt numFmtId="170" formatCode="_(* #,##0_);_(* \(#,##0\);_(* &quot;-&quot;??_);_(@_)"/>
    <numFmt numFmtId="171" formatCode="0.0000"/>
    <numFmt numFmtId="172" formatCode="0.0%"/>
    <numFmt numFmtId="173" formatCode="0.000%"/>
    <numFmt numFmtId="174" formatCode="#,##0.0"/>
  </numFmts>
  <fonts count="53" x14ac:knownFonts="1">
    <font>
      <sz val="12"/>
      <name val="Times New Roman"/>
      <family val="1"/>
    </font>
    <font>
      <sz val="10"/>
      <name val="Arial"/>
      <family val="2"/>
    </font>
    <font>
      <sz val="12"/>
      <name val="Helv"/>
    </font>
    <font>
      <u/>
      <sz val="9"/>
      <color indexed="12"/>
      <name val="Times New Roman"/>
      <family val="1"/>
    </font>
    <font>
      <sz val="8"/>
      <name val="Times New Roman"/>
      <family val="1"/>
    </font>
    <font>
      <sz val="11"/>
      <name val="Verdana"/>
      <family val="2"/>
    </font>
    <font>
      <sz val="10"/>
      <color indexed="9"/>
      <name val="Verdana"/>
      <family val="2"/>
    </font>
    <font>
      <b/>
      <sz val="12"/>
      <color indexed="9"/>
      <name val="Verdana"/>
      <family val="2"/>
    </font>
    <font>
      <b/>
      <sz val="11"/>
      <name val="Verdana"/>
      <family val="2"/>
    </font>
    <font>
      <sz val="12"/>
      <name val="Verdana"/>
      <family val="2"/>
    </font>
    <font>
      <sz val="12"/>
      <color indexed="9"/>
      <name val="Verdana"/>
      <family val="2"/>
    </font>
    <font>
      <sz val="10"/>
      <name val="Verdana"/>
      <family val="2"/>
    </font>
    <font>
      <b/>
      <sz val="10"/>
      <color indexed="9"/>
      <name val="Verdana"/>
      <family val="2"/>
    </font>
    <font>
      <b/>
      <sz val="10"/>
      <name val="Verdana"/>
      <family val="2"/>
    </font>
    <font>
      <i/>
      <sz val="10"/>
      <color indexed="9"/>
      <name val="Verdana"/>
      <family val="2"/>
    </font>
    <font>
      <sz val="10"/>
      <color indexed="13"/>
      <name val="Verdana"/>
      <family val="2"/>
    </font>
    <font>
      <sz val="10"/>
      <color indexed="10"/>
      <name val="Verdana"/>
      <family val="2"/>
    </font>
    <font>
      <b/>
      <sz val="10"/>
      <color indexed="10"/>
      <name val="Verdana"/>
      <family val="2"/>
    </font>
    <font>
      <u/>
      <sz val="10"/>
      <name val="Verdana"/>
      <family val="2"/>
    </font>
    <font>
      <sz val="10"/>
      <color indexed="8"/>
      <name val="Verdana"/>
      <family val="2"/>
    </font>
    <font>
      <u/>
      <sz val="11"/>
      <name val="Verdana"/>
      <family val="2"/>
    </font>
    <font>
      <b/>
      <sz val="11"/>
      <color indexed="10"/>
      <name val="Verdana"/>
      <family val="2"/>
    </font>
    <font>
      <b/>
      <sz val="12"/>
      <name val="Times New Roman"/>
      <family val="1"/>
    </font>
    <font>
      <b/>
      <u/>
      <sz val="10"/>
      <name val="Verdana"/>
      <family val="2"/>
    </font>
    <font>
      <b/>
      <sz val="12"/>
      <color indexed="8"/>
      <name val="Verdana"/>
      <family val="2"/>
    </font>
    <font>
      <b/>
      <sz val="10"/>
      <color indexed="8"/>
      <name val="Verdana"/>
      <family val="2"/>
    </font>
    <font>
      <u/>
      <sz val="10"/>
      <color indexed="8"/>
      <name val="Verdana"/>
      <family val="2"/>
    </font>
    <font>
      <u/>
      <vertAlign val="subscript"/>
      <sz val="10"/>
      <color indexed="8"/>
      <name val="Verdana"/>
      <family val="2"/>
    </font>
    <font>
      <u/>
      <vertAlign val="superscript"/>
      <sz val="10"/>
      <color indexed="8"/>
      <name val="Verdana"/>
      <family val="2"/>
    </font>
    <font>
      <sz val="11"/>
      <color indexed="9"/>
      <name val="Times New Roman"/>
      <family val="1"/>
    </font>
    <font>
      <sz val="11"/>
      <color indexed="9"/>
      <name val="Verdana"/>
      <family val="2"/>
    </font>
    <font>
      <b/>
      <sz val="10"/>
      <color indexed="9"/>
      <name val="Verdana"/>
      <family val="2"/>
    </font>
    <font>
      <sz val="10"/>
      <color indexed="9"/>
      <name val="Verdana"/>
      <family val="2"/>
    </font>
    <font>
      <sz val="10"/>
      <name val="Times New Roman"/>
      <family val="1"/>
    </font>
    <font>
      <sz val="8"/>
      <name val="Verdana"/>
      <family val="2"/>
    </font>
    <font>
      <b/>
      <sz val="16"/>
      <name val="Verdana"/>
      <family val="2"/>
    </font>
    <font>
      <sz val="12"/>
      <name val="Tw Cen MT"/>
      <family val="2"/>
    </font>
    <font>
      <sz val="16"/>
      <name val="Verdana"/>
      <family val="2"/>
    </font>
    <font>
      <sz val="16"/>
      <color indexed="12"/>
      <name val="Verdana"/>
      <family val="2"/>
    </font>
    <font>
      <b/>
      <u/>
      <sz val="10"/>
      <color indexed="10"/>
      <name val="Verdana"/>
      <family val="2"/>
    </font>
    <font>
      <vertAlign val="subscript"/>
      <sz val="11"/>
      <color indexed="9"/>
      <name val="Verdana"/>
      <family val="2"/>
    </font>
    <font>
      <vertAlign val="superscript"/>
      <sz val="11"/>
      <color indexed="9"/>
      <name val="Verdana"/>
      <family val="2"/>
    </font>
    <font>
      <vertAlign val="superscript"/>
      <sz val="10"/>
      <color indexed="9"/>
      <name val="Verdana"/>
      <family val="2"/>
    </font>
    <font>
      <sz val="11"/>
      <color indexed="13"/>
      <name val="Verdana"/>
      <family val="2"/>
    </font>
    <font>
      <vertAlign val="subscript"/>
      <sz val="12"/>
      <name val="Tw Cen MT"/>
      <family val="2"/>
    </font>
    <font>
      <sz val="10"/>
      <color theme="0"/>
      <name val="Verdana"/>
      <family val="2"/>
    </font>
    <font>
      <b/>
      <sz val="11"/>
      <color rgb="FFF2F2F2"/>
      <name val="Calibri"/>
      <family val="2"/>
      <scheme val="minor"/>
    </font>
    <font>
      <b/>
      <sz val="11"/>
      <color rgb="FFFFFFFF"/>
      <name val="Calibri"/>
      <family val="2"/>
      <scheme val="minor"/>
    </font>
    <font>
      <b/>
      <sz val="9"/>
      <color theme="1"/>
      <name val="Calibri"/>
      <family val="2"/>
      <scheme val="minor"/>
    </font>
    <font>
      <b/>
      <sz val="8"/>
      <color theme="1"/>
      <name val="Calibri"/>
      <family val="2"/>
      <scheme val="minor"/>
    </font>
    <font>
      <b/>
      <sz val="8"/>
      <name val="Calibri"/>
      <family val="2"/>
      <scheme val="minor"/>
    </font>
    <font>
      <sz val="11"/>
      <name val="Calibri"/>
      <family val="2"/>
      <scheme val="minor"/>
    </font>
    <font>
      <sz val="12"/>
      <name val="Calibri"/>
      <family val="2"/>
      <scheme val="minor"/>
    </font>
  </fonts>
  <fills count="15">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30"/>
        <bgColor indexed="64"/>
      </patternFill>
    </fill>
    <fill>
      <patternFill patternType="solid">
        <fgColor indexed="65"/>
        <bgColor indexed="64"/>
      </patternFill>
    </fill>
    <fill>
      <patternFill patternType="solid">
        <fgColor indexed="9"/>
        <bgColor indexed="64"/>
      </patternFill>
    </fill>
    <fill>
      <patternFill patternType="solid">
        <fgColor indexed="49"/>
        <bgColor indexed="64"/>
      </patternFill>
    </fill>
    <fill>
      <patternFill patternType="solid">
        <fgColor indexed="12"/>
        <bgColor indexed="64"/>
      </patternFill>
    </fill>
    <fill>
      <patternFill patternType="solid">
        <fgColor rgb="FF0000CC"/>
        <bgColor indexed="64"/>
      </patternFill>
    </fill>
    <fill>
      <patternFill patternType="solid">
        <fgColor rgb="FF365F91"/>
        <bgColor indexed="64"/>
      </patternFill>
    </fill>
    <fill>
      <patternFill patternType="solid">
        <fgColor rgb="FF95B3D7"/>
        <bgColor indexed="64"/>
      </patternFill>
    </fill>
    <fill>
      <patternFill patternType="solid">
        <fgColor theme="7" tint="0.59999389629810485"/>
        <bgColor indexed="64"/>
      </patternFill>
    </fill>
    <fill>
      <patternFill patternType="solid">
        <fgColor rgb="FF00B050"/>
        <bgColor indexed="64"/>
      </patternFill>
    </fill>
    <fill>
      <patternFill patternType="solid">
        <fgColor rgb="FF0066CC"/>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double">
        <color indexed="8"/>
      </left>
      <right style="thin">
        <color indexed="8"/>
      </right>
      <top style="double">
        <color indexed="8"/>
      </top>
      <bottom/>
      <diagonal/>
    </border>
    <border>
      <left/>
      <right style="thin">
        <color indexed="8"/>
      </right>
      <top style="double">
        <color indexed="8"/>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double">
        <color indexed="64"/>
      </top>
      <bottom/>
      <diagonal/>
    </border>
    <border>
      <left style="double">
        <color indexed="8"/>
      </left>
      <right style="thin">
        <color indexed="8"/>
      </right>
      <top/>
      <bottom/>
      <diagonal/>
    </border>
    <border>
      <left/>
      <right style="thin">
        <color indexed="8"/>
      </right>
      <top/>
      <bottom/>
      <diagonal/>
    </border>
    <border>
      <left style="thin">
        <color indexed="64"/>
      </left>
      <right/>
      <top/>
      <bottom/>
      <diagonal/>
    </border>
    <border>
      <left/>
      <right style="double">
        <color indexed="64"/>
      </right>
      <top/>
      <bottom/>
      <diagonal/>
    </border>
    <border>
      <left style="thin">
        <color indexed="8"/>
      </left>
      <right/>
      <top/>
      <bottom/>
      <diagonal/>
    </border>
    <border>
      <left/>
      <right style="thin">
        <color indexed="64"/>
      </right>
      <top/>
      <bottom/>
      <diagonal/>
    </border>
    <border>
      <left style="double">
        <color indexed="8"/>
      </left>
      <right style="thin">
        <color indexed="8"/>
      </right>
      <top/>
      <bottom style="thin">
        <color indexed="64"/>
      </bottom>
      <diagonal/>
    </border>
    <border>
      <left/>
      <right style="thin">
        <color indexed="8"/>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style="thin">
        <color indexed="8"/>
      </bottom>
      <diagonal/>
    </border>
    <border>
      <left style="thin">
        <color indexed="9"/>
      </left>
      <right style="thin">
        <color indexed="9"/>
      </right>
      <top style="thin">
        <color indexed="9"/>
      </top>
      <bottom/>
      <diagonal/>
    </border>
    <border>
      <left style="thin">
        <color indexed="9"/>
      </left>
      <right style="thin">
        <color indexed="9"/>
      </right>
      <top/>
      <bottom/>
      <diagonal/>
    </border>
    <border>
      <left style="thin">
        <color indexed="9"/>
      </left>
      <right style="thin">
        <color indexed="9"/>
      </right>
      <top/>
      <bottom style="thin">
        <color indexed="9"/>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9"/>
      </right>
      <top style="thin">
        <color indexed="9"/>
      </top>
      <bottom style="thin">
        <color indexed="9"/>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right/>
      <top/>
      <bottom style="thin">
        <color indexed="9"/>
      </bottom>
      <diagonal/>
    </border>
    <border>
      <left/>
      <right/>
      <top style="thin">
        <color indexed="64"/>
      </top>
      <bottom/>
      <diagonal/>
    </border>
    <border>
      <left/>
      <right/>
      <top style="medium">
        <color indexed="64"/>
      </top>
      <bottom/>
      <diagonal/>
    </border>
    <border>
      <left style="thin">
        <color indexed="9"/>
      </left>
      <right style="medium">
        <color indexed="64"/>
      </right>
      <top style="thin">
        <color indexed="9"/>
      </top>
      <bottom style="thin">
        <color indexed="9"/>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9"/>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9"/>
      </left>
      <right/>
      <top style="thin">
        <color indexed="9"/>
      </top>
      <bottom style="thin">
        <color indexed="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9"/>
      </right>
      <top style="thin">
        <color indexed="9"/>
      </top>
      <bottom style="thin">
        <color indexed="9"/>
      </bottom>
      <diagonal/>
    </border>
    <border>
      <left/>
      <right style="medium">
        <color indexed="64"/>
      </right>
      <top style="thick">
        <color rgb="FF000000"/>
      </top>
      <bottom style="medium">
        <color rgb="FF000000"/>
      </bottom>
      <diagonal/>
    </border>
    <border>
      <left style="medium">
        <color indexed="64"/>
      </left>
      <right style="medium">
        <color indexed="64"/>
      </right>
      <top style="thick">
        <color rgb="FF000000"/>
      </top>
      <bottom/>
      <diagonal/>
    </border>
    <border>
      <left style="medium">
        <color indexed="64"/>
      </left>
      <right/>
      <top style="thick">
        <color rgb="FF000000"/>
      </top>
      <bottom/>
      <diagonal/>
    </border>
    <border>
      <left/>
      <right style="medium">
        <color indexed="64"/>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right style="medium">
        <color indexed="64"/>
      </right>
      <top/>
      <bottom style="medium">
        <color rgb="FF000000"/>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indexed="8"/>
      </left>
      <right style="thin">
        <color indexed="8"/>
      </right>
      <top style="thin">
        <color indexed="8"/>
      </top>
      <bottom/>
      <diagonal/>
    </border>
    <border>
      <left style="thin">
        <color theme="0"/>
      </left>
      <right/>
      <top/>
      <bottom/>
      <diagonal/>
    </border>
  </borders>
  <cellStyleXfs count="13">
    <xf numFmtId="164" fontId="0" fillId="0" borderId="0"/>
    <xf numFmtId="43" fontId="1" fillId="0" borderId="0" applyFont="0" applyFill="0" applyBorder="0" applyAlignment="0" applyProtection="0"/>
    <xf numFmtId="44" fontId="1" fillId="0" borderId="0" applyFont="0" applyFill="0" applyBorder="0" applyAlignment="0" applyProtection="0"/>
    <xf numFmtId="0" fontId="3"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cellStyleXfs>
  <cellXfs count="455">
    <xf numFmtId="164" fontId="0" fillId="0" borderId="0" xfId="0"/>
    <xf numFmtId="164" fontId="11" fillId="0" borderId="0" xfId="0" applyFont="1" applyFill="1" applyAlignment="1" applyProtection="1">
      <alignment vertical="center"/>
      <protection locked="0"/>
    </xf>
    <xf numFmtId="164" fontId="11" fillId="0" borderId="0" xfId="0" applyFont="1" applyProtection="1">
      <protection locked="0"/>
    </xf>
    <xf numFmtId="164" fontId="11" fillId="0" borderId="0" xfId="0" applyFont="1" applyFill="1" applyProtection="1">
      <protection locked="0"/>
    </xf>
    <xf numFmtId="164" fontId="11" fillId="2" borderId="0" xfId="0" applyFont="1" applyFill="1" applyProtection="1">
      <protection locked="0"/>
    </xf>
    <xf numFmtId="164" fontId="6" fillId="0" borderId="0" xfId="0" applyFont="1" applyFill="1" applyProtection="1">
      <protection locked="0"/>
    </xf>
    <xf numFmtId="164" fontId="11" fillId="0" borderId="0" xfId="0" applyFont="1" applyFill="1" applyAlignment="1" applyProtection="1">
      <alignment horizontal="left" indent="15"/>
      <protection locked="0"/>
    </xf>
    <xf numFmtId="37" fontId="11" fillId="0" borderId="1" xfId="0" applyNumberFormat="1" applyFont="1" applyBorder="1" applyAlignment="1" applyProtection="1">
      <alignment horizontal="center"/>
    </xf>
    <xf numFmtId="3" fontId="11" fillId="0" borderId="1" xfId="0" applyNumberFormat="1" applyFont="1" applyBorder="1" applyAlignment="1" applyProtection="1">
      <alignment horizontal="center"/>
    </xf>
    <xf numFmtId="9" fontId="11" fillId="0" borderId="1" xfId="0" applyNumberFormat="1" applyFont="1" applyBorder="1" applyAlignment="1" applyProtection="1">
      <alignment horizontal="center"/>
    </xf>
    <xf numFmtId="174" fontId="11" fillId="0" borderId="1" xfId="0" applyNumberFormat="1" applyFont="1" applyBorder="1" applyAlignment="1" applyProtection="1">
      <alignment horizontal="center"/>
    </xf>
    <xf numFmtId="164" fontId="11" fillId="2" borderId="0" xfId="0" applyFont="1" applyFill="1" applyBorder="1" applyAlignment="1">
      <alignment horizontal="center" wrapText="1"/>
    </xf>
    <xf numFmtId="9" fontId="13" fillId="2" borderId="2" xfId="12" applyFont="1" applyFill="1" applyBorder="1" applyAlignment="1" applyProtection="1">
      <alignment horizontal="center"/>
    </xf>
    <xf numFmtId="164" fontId="6" fillId="2" borderId="0" xfId="0" applyFont="1" applyFill="1" applyBorder="1" applyProtection="1">
      <protection locked="0"/>
    </xf>
    <xf numFmtId="164" fontId="11" fillId="0" borderId="0" xfId="0" applyFont="1" applyFill="1" applyAlignment="1" applyProtection="1">
      <protection locked="0"/>
    </xf>
    <xf numFmtId="164" fontId="0" fillId="0" borderId="0" xfId="0" applyFill="1" applyAlignment="1"/>
    <xf numFmtId="164" fontId="11" fillId="0" borderId="0" xfId="0" applyFont="1" applyFill="1" applyAlignment="1"/>
    <xf numFmtId="164" fontId="18" fillId="0" borderId="0" xfId="0" applyFont="1" applyFill="1" applyAlignment="1" applyProtection="1">
      <protection locked="0"/>
    </xf>
    <xf numFmtId="164" fontId="11" fillId="0" borderId="0" xfId="0" applyFont="1" applyFill="1" applyAlignment="1">
      <alignment vertical="top"/>
    </xf>
    <xf numFmtId="172" fontId="5" fillId="3" borderId="0" xfId="12" applyNumberFormat="1" applyFont="1" applyFill="1" applyProtection="1">
      <protection hidden="1"/>
    </xf>
    <xf numFmtId="164" fontId="5" fillId="3" borderId="0" xfId="0" applyFont="1" applyFill="1" applyProtection="1">
      <protection hidden="1"/>
    </xf>
    <xf numFmtId="172" fontId="8" fillId="3" borderId="0" xfId="12" applyNumberFormat="1" applyFont="1" applyFill="1" applyProtection="1">
      <protection hidden="1"/>
    </xf>
    <xf numFmtId="164" fontId="8" fillId="3" borderId="0" xfId="0" applyFont="1" applyFill="1" applyProtection="1">
      <protection hidden="1"/>
    </xf>
    <xf numFmtId="164" fontId="8" fillId="3" borderId="0" xfId="0" applyFont="1" applyFill="1" applyAlignment="1" applyProtection="1">
      <alignment horizontal="center"/>
      <protection hidden="1"/>
    </xf>
    <xf numFmtId="164" fontId="8" fillId="3" borderId="0" xfId="0" applyFont="1" applyFill="1" applyAlignment="1" applyProtection="1">
      <alignment horizontal="right"/>
      <protection hidden="1"/>
    </xf>
    <xf numFmtId="3" fontId="20" fillId="3" borderId="0" xfId="0" applyNumberFormat="1" applyFont="1" applyFill="1" applyProtection="1">
      <protection hidden="1"/>
    </xf>
    <xf numFmtId="3" fontId="21" fillId="3" borderId="0" xfId="0" applyNumberFormat="1" applyFont="1" applyFill="1" applyProtection="1">
      <protection hidden="1"/>
    </xf>
    <xf numFmtId="3" fontId="5" fillId="3" borderId="0" xfId="0" applyNumberFormat="1" applyFont="1" applyFill="1" applyProtection="1">
      <protection hidden="1"/>
    </xf>
    <xf numFmtId="170" fontId="5" fillId="3" borderId="0" xfId="1" applyNumberFormat="1" applyFont="1" applyFill="1" applyAlignment="1" applyProtection="1">
      <alignment horizontal="center"/>
      <protection hidden="1"/>
    </xf>
    <xf numFmtId="170" fontId="5" fillId="3" borderId="0" xfId="1" applyNumberFormat="1" applyFont="1" applyFill="1" applyProtection="1">
      <protection hidden="1"/>
    </xf>
    <xf numFmtId="3" fontId="8" fillId="3" borderId="0" xfId="0" applyNumberFormat="1" applyFont="1" applyFill="1" applyProtection="1">
      <protection hidden="1"/>
    </xf>
    <xf numFmtId="10" fontId="5" fillId="3" borderId="0" xfId="12" applyNumberFormat="1" applyFont="1" applyFill="1" applyProtection="1">
      <protection hidden="1"/>
    </xf>
    <xf numFmtId="173" fontId="8" fillId="3" borderId="0" xfId="12" applyNumberFormat="1" applyFont="1" applyFill="1" applyProtection="1">
      <protection hidden="1"/>
    </xf>
    <xf numFmtId="164" fontId="5" fillId="3" borderId="0" xfId="0" applyFont="1" applyFill="1" applyAlignment="1" applyProtection="1">
      <alignment horizontal="center"/>
      <protection hidden="1"/>
    </xf>
    <xf numFmtId="167" fontId="13" fillId="3" borderId="0" xfId="0" applyNumberFormat="1" applyFont="1" applyFill="1" applyProtection="1">
      <protection hidden="1"/>
    </xf>
    <xf numFmtId="164" fontId="11" fillId="3" borderId="0" xfId="0" applyFont="1" applyFill="1" applyProtection="1">
      <protection hidden="1"/>
    </xf>
    <xf numFmtId="172" fontId="17" fillId="3" borderId="0" xfId="12" applyNumberFormat="1" applyFont="1" applyFill="1" applyProtection="1">
      <protection hidden="1"/>
    </xf>
    <xf numFmtId="172" fontId="11" fillId="3" borderId="0" xfId="12" applyNumberFormat="1" applyFont="1" applyFill="1" applyProtection="1">
      <protection hidden="1"/>
    </xf>
    <xf numFmtId="164" fontId="13" fillId="3" borderId="3" xfId="0" applyNumberFormat="1" applyFont="1" applyFill="1" applyBorder="1" applyProtection="1">
      <protection hidden="1"/>
    </xf>
    <xf numFmtId="164" fontId="13" fillId="3" borderId="4" xfId="0" applyNumberFormat="1" applyFont="1" applyFill="1" applyBorder="1" applyProtection="1">
      <protection hidden="1"/>
    </xf>
    <xf numFmtId="164" fontId="13" fillId="3" borderId="5" xfId="0" applyNumberFormat="1" applyFont="1" applyFill="1" applyBorder="1" applyProtection="1">
      <protection hidden="1"/>
    </xf>
    <xf numFmtId="164" fontId="11" fillId="3" borderId="6" xfId="0" applyFont="1" applyFill="1" applyBorder="1" applyProtection="1">
      <protection hidden="1"/>
    </xf>
    <xf numFmtId="164" fontId="11" fillId="3" borderId="7" xfId="0" applyFont="1" applyFill="1" applyBorder="1" applyProtection="1">
      <protection hidden="1"/>
    </xf>
    <xf numFmtId="164" fontId="11" fillId="3" borderId="5" xfId="0" applyNumberFormat="1" applyFont="1" applyFill="1" applyBorder="1" applyProtection="1">
      <protection hidden="1"/>
    </xf>
    <xf numFmtId="164" fontId="11" fillId="3" borderId="8" xfId="0" applyNumberFormat="1" applyFont="1" applyFill="1" applyBorder="1" applyProtection="1">
      <protection hidden="1"/>
    </xf>
    <xf numFmtId="164" fontId="13" fillId="3" borderId="9" xfId="0" applyNumberFormat="1" applyFont="1" applyFill="1" applyBorder="1" applyProtection="1">
      <protection hidden="1"/>
    </xf>
    <xf numFmtId="164" fontId="13" fillId="3" borderId="10" xfId="0" applyNumberFormat="1" applyFont="1" applyFill="1" applyBorder="1" applyProtection="1">
      <protection hidden="1"/>
    </xf>
    <xf numFmtId="164" fontId="13" fillId="3" borderId="10" xfId="0" applyNumberFormat="1" applyFont="1" applyFill="1" applyBorder="1" applyAlignment="1" applyProtection="1">
      <alignment horizontal="center"/>
      <protection hidden="1"/>
    </xf>
    <xf numFmtId="164" fontId="13" fillId="3" borderId="11" xfId="0" applyNumberFormat="1" applyFont="1" applyFill="1" applyBorder="1" applyAlignment="1" applyProtection="1">
      <alignment horizontal="centerContinuous"/>
      <protection hidden="1"/>
    </xf>
    <xf numFmtId="164" fontId="13" fillId="3" borderId="0" xfId="0" applyFont="1" applyFill="1" applyBorder="1" applyAlignment="1" applyProtection="1">
      <alignment horizontal="centerContinuous"/>
      <protection hidden="1"/>
    </xf>
    <xf numFmtId="164" fontId="13" fillId="3" borderId="12" xfId="0" applyNumberFormat="1" applyFont="1" applyFill="1" applyBorder="1" applyAlignment="1" applyProtection="1">
      <alignment horizontal="centerContinuous"/>
      <protection hidden="1"/>
    </xf>
    <xf numFmtId="164" fontId="23" fillId="3" borderId="10" xfId="0" applyNumberFormat="1" applyFont="1" applyFill="1" applyBorder="1" applyAlignment="1" applyProtection="1">
      <alignment horizontal="right"/>
      <protection hidden="1"/>
    </xf>
    <xf numFmtId="164" fontId="23" fillId="3" borderId="10" xfId="0" applyNumberFormat="1" applyFont="1" applyFill="1" applyBorder="1" applyAlignment="1" applyProtection="1">
      <alignment horizontal="center"/>
      <protection hidden="1"/>
    </xf>
    <xf numFmtId="2" fontId="23" fillId="3" borderId="13" xfId="0" applyNumberFormat="1" applyFont="1" applyFill="1" applyBorder="1" applyAlignment="1" applyProtection="1">
      <alignment horizontal="center"/>
      <protection hidden="1"/>
    </xf>
    <xf numFmtId="2" fontId="23" fillId="3" borderId="0" xfId="0" applyNumberFormat="1" applyFont="1" applyFill="1" applyBorder="1" applyAlignment="1" applyProtection="1">
      <alignment horizontal="center"/>
      <protection hidden="1"/>
    </xf>
    <xf numFmtId="2" fontId="23" fillId="3" borderId="14" xfId="0" applyNumberFormat="1" applyFont="1" applyFill="1" applyBorder="1" applyAlignment="1" applyProtection="1">
      <alignment horizontal="center"/>
      <protection hidden="1"/>
    </xf>
    <xf numFmtId="164" fontId="23" fillId="3" borderId="11" xfId="0" applyNumberFormat="1" applyFont="1" applyFill="1" applyBorder="1" applyAlignment="1" applyProtection="1">
      <alignment horizontal="centerContinuous"/>
      <protection hidden="1"/>
    </xf>
    <xf numFmtId="164" fontId="23" fillId="3" borderId="12" xfId="0" applyNumberFormat="1" applyFont="1" applyFill="1" applyBorder="1" applyAlignment="1" applyProtection="1">
      <alignment horizontal="centerContinuous"/>
      <protection hidden="1"/>
    </xf>
    <xf numFmtId="164" fontId="13" fillId="3" borderId="15" xfId="0" applyNumberFormat="1" applyFont="1" applyFill="1" applyBorder="1" applyAlignment="1" applyProtection="1">
      <alignment horizontal="center"/>
      <protection hidden="1"/>
    </xf>
    <xf numFmtId="164" fontId="13" fillId="3" borderId="16" xfId="0" applyNumberFormat="1" applyFont="1" applyFill="1" applyBorder="1" applyAlignment="1" applyProtection="1">
      <alignment horizontal="center"/>
      <protection hidden="1"/>
    </xf>
    <xf numFmtId="164" fontId="13" fillId="3" borderId="17" xfId="0" applyNumberFormat="1" applyFont="1" applyFill="1" applyBorder="1" applyAlignment="1" applyProtection="1">
      <alignment horizontal="center"/>
      <protection hidden="1"/>
    </xf>
    <xf numFmtId="164" fontId="13" fillId="3" borderId="18" xfId="0" applyFont="1" applyFill="1" applyBorder="1" applyAlignment="1" applyProtection="1">
      <alignment horizontal="center"/>
      <protection hidden="1"/>
    </xf>
    <xf numFmtId="164" fontId="13" fillId="3" borderId="19" xfId="0" applyNumberFormat="1" applyFont="1" applyFill="1" applyBorder="1" applyAlignment="1" applyProtection="1">
      <alignment horizontal="center"/>
      <protection hidden="1"/>
    </xf>
    <xf numFmtId="164" fontId="13" fillId="3" borderId="17" xfId="0" applyFont="1" applyFill="1" applyBorder="1" applyAlignment="1" applyProtection="1">
      <alignment horizontal="center"/>
      <protection hidden="1"/>
    </xf>
    <xf numFmtId="164" fontId="13" fillId="3" borderId="20" xfId="0" applyNumberFormat="1" applyFont="1" applyFill="1" applyBorder="1" applyAlignment="1" applyProtection="1">
      <alignment horizontal="center"/>
      <protection hidden="1"/>
    </xf>
    <xf numFmtId="164" fontId="11" fillId="3" borderId="0" xfId="0" applyNumberFormat="1" applyFont="1" applyFill="1" applyAlignment="1" applyProtection="1">
      <alignment horizontal="left"/>
      <protection hidden="1"/>
    </xf>
    <xf numFmtId="167" fontId="11" fillId="3" borderId="21" xfId="0" applyNumberFormat="1" applyFont="1" applyFill="1" applyBorder="1" applyProtection="1">
      <protection hidden="1"/>
    </xf>
    <xf numFmtId="170" fontId="11" fillId="3" borderId="1" xfId="1" applyNumberFormat="1" applyFont="1" applyFill="1" applyBorder="1" applyProtection="1">
      <protection hidden="1"/>
    </xf>
    <xf numFmtId="37" fontId="11" fillId="3" borderId="1" xfId="0" applyNumberFormat="1" applyFont="1" applyFill="1" applyBorder="1" applyProtection="1">
      <protection hidden="1"/>
    </xf>
    <xf numFmtId="164" fontId="11" fillId="3" borderId="1" xfId="0" applyFont="1" applyFill="1" applyBorder="1" applyProtection="1">
      <protection hidden="1"/>
    </xf>
    <xf numFmtId="169" fontId="11" fillId="3" borderId="1" xfId="0" applyNumberFormat="1" applyFont="1" applyFill="1" applyBorder="1" applyProtection="1">
      <protection hidden="1"/>
    </xf>
    <xf numFmtId="168" fontId="11" fillId="3" borderId="22" xfId="0" applyNumberFormat="1" applyFont="1" applyFill="1" applyBorder="1" applyAlignment="1" applyProtection="1">
      <alignment horizontal="right"/>
      <protection hidden="1"/>
    </xf>
    <xf numFmtId="164" fontId="17" fillId="3" borderId="0" xfId="0" applyFont="1" applyFill="1" applyProtection="1">
      <protection hidden="1"/>
    </xf>
    <xf numFmtId="3" fontId="11" fillId="3" borderId="23" xfId="0" applyNumberFormat="1" applyFont="1" applyFill="1" applyBorder="1" applyProtection="1">
      <protection hidden="1"/>
    </xf>
    <xf numFmtId="165" fontId="11" fillId="3" borderId="0" xfId="0" applyNumberFormat="1" applyFont="1" applyFill="1" applyProtection="1">
      <protection hidden="1"/>
    </xf>
    <xf numFmtId="3" fontId="11" fillId="3" borderId="24" xfId="0" applyNumberFormat="1" applyFont="1" applyFill="1" applyBorder="1" applyProtection="1">
      <protection hidden="1"/>
    </xf>
    <xf numFmtId="3" fontId="11" fillId="3" borderId="25" xfId="0" applyNumberFormat="1" applyFont="1" applyFill="1" applyBorder="1" applyProtection="1">
      <protection hidden="1"/>
    </xf>
    <xf numFmtId="3" fontId="11" fillId="3" borderId="26" xfId="0" applyNumberFormat="1" applyFont="1" applyFill="1" applyBorder="1" applyProtection="1">
      <protection hidden="1"/>
    </xf>
    <xf numFmtId="37" fontId="11" fillId="3" borderId="0" xfId="0" applyNumberFormat="1" applyFont="1" applyFill="1" applyProtection="1">
      <protection hidden="1"/>
    </xf>
    <xf numFmtId="9" fontId="11" fillId="3" borderId="0" xfId="0" applyNumberFormat="1" applyFont="1" applyFill="1" applyProtection="1">
      <protection hidden="1"/>
    </xf>
    <xf numFmtId="171" fontId="11" fillId="3" borderId="0" xfId="0" applyNumberFormat="1" applyFont="1" applyFill="1" applyProtection="1">
      <protection hidden="1"/>
    </xf>
    <xf numFmtId="3" fontId="11" fillId="3" borderId="0" xfId="0" applyNumberFormat="1" applyFont="1" applyFill="1" applyProtection="1">
      <protection hidden="1"/>
    </xf>
    <xf numFmtId="43" fontId="11" fillId="3" borderId="0" xfId="1" applyFont="1" applyFill="1" applyProtection="1">
      <protection hidden="1"/>
    </xf>
    <xf numFmtId="166" fontId="11" fillId="3" borderId="0" xfId="0" applyNumberFormat="1" applyFont="1" applyFill="1" applyProtection="1">
      <protection hidden="1"/>
    </xf>
    <xf numFmtId="1" fontId="11" fillId="3" borderId="0" xfId="0" applyNumberFormat="1" applyFont="1" applyFill="1" applyProtection="1">
      <protection hidden="1"/>
    </xf>
    <xf numFmtId="164" fontId="11" fillId="3" borderId="19" xfId="0" applyNumberFormat="1" applyFont="1" applyFill="1" applyBorder="1" applyAlignment="1" applyProtection="1">
      <alignment horizontal="center"/>
      <protection hidden="1"/>
    </xf>
    <xf numFmtId="168" fontId="11" fillId="3" borderId="0" xfId="0" applyNumberFormat="1" applyFont="1" applyFill="1" applyProtection="1">
      <protection hidden="1"/>
    </xf>
    <xf numFmtId="164" fontId="11" fillId="2" borderId="0" xfId="0" applyFont="1" applyFill="1" applyProtection="1"/>
    <xf numFmtId="164" fontId="23" fillId="2" borderId="0" xfId="0" applyFont="1" applyFill="1" applyProtection="1"/>
    <xf numFmtId="164" fontId="11" fillId="2" borderId="0" xfId="0" applyFont="1" applyFill="1" applyBorder="1" applyAlignment="1" applyProtection="1">
      <alignment horizontal="center" wrapText="1"/>
    </xf>
    <xf numFmtId="164" fontId="13" fillId="2" borderId="0" xfId="0" applyFont="1" applyFill="1" applyProtection="1"/>
    <xf numFmtId="164" fontId="18" fillId="2" borderId="0" xfId="0" applyFont="1" applyFill="1" applyBorder="1" applyAlignment="1" applyProtection="1">
      <alignment vertical="top"/>
    </xf>
    <xf numFmtId="164" fontId="11" fillId="2" borderId="0" xfId="0" applyFont="1" applyFill="1" applyBorder="1" applyProtection="1"/>
    <xf numFmtId="164" fontId="11" fillId="2" borderId="0" xfId="0" applyFont="1" applyFill="1" applyBorder="1" applyAlignment="1" applyProtection="1"/>
    <xf numFmtId="164" fontId="11" fillId="2" borderId="0" xfId="0" applyFont="1" applyFill="1" applyAlignment="1" applyProtection="1"/>
    <xf numFmtId="164" fontId="11" fillId="2" borderId="27" xfId="0" applyFont="1" applyFill="1" applyBorder="1" applyAlignment="1" applyProtection="1"/>
    <xf numFmtId="164" fontId="11" fillId="2" borderId="0" xfId="0" applyFont="1" applyFill="1" applyAlignment="1" applyProtection="1">
      <alignment vertical="top"/>
    </xf>
    <xf numFmtId="164" fontId="11" fillId="2" borderId="28" xfId="0" applyFont="1" applyFill="1" applyBorder="1" applyAlignment="1" applyProtection="1"/>
    <xf numFmtId="164" fontId="11" fillId="2" borderId="29" xfId="0" applyFont="1" applyFill="1" applyBorder="1" applyAlignment="1" applyProtection="1"/>
    <xf numFmtId="164" fontId="11" fillId="2" borderId="2" xfId="0" applyFont="1" applyFill="1" applyBorder="1" applyAlignment="1" applyProtection="1">
      <alignment horizontal="right"/>
    </xf>
    <xf numFmtId="164" fontId="13" fillId="2" borderId="2" xfId="0" applyFont="1" applyFill="1" applyBorder="1" applyAlignment="1" applyProtection="1">
      <alignment horizontal="right"/>
    </xf>
    <xf numFmtId="164" fontId="11" fillId="0" borderId="0" xfId="0" applyFont="1" applyFill="1" applyProtection="1"/>
    <xf numFmtId="164" fontId="11" fillId="0" borderId="0" xfId="0" applyFont="1" applyFill="1" applyAlignment="1" applyProtection="1">
      <alignment wrapText="1"/>
      <protection locked="0"/>
    </xf>
    <xf numFmtId="164" fontId="6" fillId="4" borderId="30" xfId="0" applyFont="1" applyFill="1" applyBorder="1" applyAlignment="1" applyProtection="1">
      <alignment horizontal="left" vertical="center"/>
    </xf>
    <xf numFmtId="164" fontId="6" fillId="4" borderId="30" xfId="0" applyNumberFormat="1" applyFont="1" applyFill="1" applyBorder="1" applyAlignment="1" applyProtection="1">
      <alignment horizontal="left" vertical="center"/>
    </xf>
    <xf numFmtId="164" fontId="6" fillId="4" borderId="30" xfId="0" applyNumberFormat="1" applyFont="1" applyFill="1" applyBorder="1" applyAlignment="1" applyProtection="1">
      <alignment horizontal="left" vertical="center" wrapText="1"/>
    </xf>
    <xf numFmtId="164" fontId="6" fillId="4" borderId="29" xfId="0" applyFont="1" applyFill="1" applyBorder="1" applyProtection="1"/>
    <xf numFmtId="3" fontId="15" fillId="4" borderId="29" xfId="0" applyNumberFormat="1" applyFont="1" applyFill="1" applyBorder="1" applyProtection="1">
      <protection locked="0"/>
    </xf>
    <xf numFmtId="3" fontId="6" fillId="4" borderId="29" xfId="0" applyNumberFormat="1" applyFont="1" applyFill="1" applyBorder="1" applyProtection="1"/>
    <xf numFmtId="9" fontId="15" fillId="4" borderId="29" xfId="0" applyNumberFormat="1" applyFont="1" applyFill="1" applyBorder="1" applyProtection="1">
      <protection locked="0"/>
    </xf>
    <xf numFmtId="164" fontId="6" fillId="4" borderId="2" xfId="0" applyFont="1" applyFill="1" applyBorder="1" applyProtection="1"/>
    <xf numFmtId="3" fontId="15" fillId="4" borderId="2" xfId="0" applyNumberFormat="1" applyFont="1" applyFill="1" applyBorder="1" applyProtection="1">
      <protection locked="0"/>
    </xf>
    <xf numFmtId="3" fontId="6" fillId="4" borderId="2" xfId="0" applyNumberFormat="1" applyFont="1" applyFill="1" applyBorder="1" applyProtection="1"/>
    <xf numFmtId="9" fontId="15" fillId="4" borderId="2" xfId="0" applyNumberFormat="1" applyFont="1" applyFill="1" applyBorder="1" applyProtection="1">
      <protection locked="0"/>
    </xf>
    <xf numFmtId="172" fontId="15" fillId="4" borderId="2" xfId="1" applyNumberFormat="1" applyFont="1" applyFill="1" applyBorder="1" applyAlignment="1" applyProtection="1">
      <alignment horizontal="center"/>
      <protection locked="0"/>
    </xf>
    <xf numFmtId="37" fontId="11" fillId="0" borderId="31" xfId="0" applyNumberFormat="1" applyFont="1" applyBorder="1" applyAlignment="1" applyProtection="1">
      <alignment horizontal="center"/>
    </xf>
    <xf numFmtId="9" fontId="11" fillId="0" borderId="31" xfId="0" applyNumberFormat="1" applyFont="1" applyBorder="1" applyAlignment="1" applyProtection="1">
      <alignment horizontal="center"/>
    </xf>
    <xf numFmtId="3" fontId="11" fillId="0" borderId="31" xfId="0" applyNumberFormat="1" applyFont="1" applyBorder="1" applyAlignment="1" applyProtection="1">
      <alignment horizontal="center"/>
    </xf>
    <xf numFmtId="9" fontId="6" fillId="4" borderId="0" xfId="0" applyNumberFormat="1" applyFont="1" applyFill="1" applyAlignment="1" applyProtection="1">
      <alignment horizontal="center"/>
      <protection hidden="1"/>
    </xf>
    <xf numFmtId="2" fontId="6" fillId="4" borderId="0" xfId="0" applyNumberFormat="1" applyFont="1" applyFill="1" applyProtection="1">
      <protection hidden="1"/>
    </xf>
    <xf numFmtId="1" fontId="6" fillId="4" borderId="0" xfId="0" applyNumberFormat="1" applyFont="1" applyFill="1" applyProtection="1">
      <protection hidden="1"/>
    </xf>
    <xf numFmtId="167" fontId="6" fillId="4" borderId="0" xfId="0" applyNumberFormat="1" applyFont="1" applyFill="1" applyAlignment="1" applyProtection="1">
      <alignment horizontal="center"/>
      <protection hidden="1"/>
    </xf>
    <xf numFmtId="9" fontId="6" fillId="4" borderId="0" xfId="0" applyNumberFormat="1" applyFont="1" applyFill="1" applyAlignment="1" applyProtection="1">
      <alignment horizontal="right"/>
      <protection hidden="1"/>
    </xf>
    <xf numFmtId="168" fontId="6" fillId="4" borderId="2" xfId="1" applyNumberFormat="1" applyFont="1" applyFill="1" applyBorder="1" applyAlignment="1" applyProtection="1">
      <alignment horizontal="center"/>
      <protection hidden="1"/>
    </xf>
    <xf numFmtId="3" fontId="6" fillId="4" borderId="2" xfId="1" applyNumberFormat="1" applyFont="1" applyFill="1" applyBorder="1" applyAlignment="1" applyProtection="1">
      <alignment horizontal="center"/>
      <protection hidden="1"/>
    </xf>
    <xf numFmtId="164" fontId="12" fillId="4" borderId="2" xfId="0" applyFont="1" applyFill="1" applyBorder="1" applyAlignment="1" applyProtection="1">
      <alignment horizontal="center" vertical="center"/>
      <protection locked="0"/>
    </xf>
    <xf numFmtId="164" fontId="12" fillId="4" borderId="2" xfId="0" applyFont="1" applyFill="1" applyBorder="1" applyAlignment="1" applyProtection="1">
      <alignment horizontal="center" vertical="center" wrapText="1"/>
      <protection locked="0"/>
    </xf>
    <xf numFmtId="9" fontId="6" fillId="4" borderId="2" xfId="0" applyNumberFormat="1" applyFont="1" applyFill="1" applyBorder="1" applyAlignment="1" applyProtection="1">
      <alignment horizontal="center" vertical="center"/>
      <protection hidden="1"/>
    </xf>
    <xf numFmtId="3" fontId="6" fillId="4" borderId="2" xfId="0" applyNumberFormat="1" applyFont="1" applyFill="1" applyBorder="1" applyAlignment="1" applyProtection="1">
      <alignment horizontal="center" vertical="center" wrapText="1"/>
      <protection hidden="1"/>
    </xf>
    <xf numFmtId="9" fontId="13" fillId="2" borderId="2" xfId="12" applyFont="1" applyFill="1" applyBorder="1" applyAlignment="1" applyProtection="1">
      <alignment horizontal="center"/>
      <protection hidden="1"/>
    </xf>
    <xf numFmtId="3" fontId="6" fillId="4" borderId="29" xfId="0" applyNumberFormat="1" applyFont="1" applyFill="1" applyBorder="1" applyProtection="1">
      <protection locked="0"/>
    </xf>
    <xf numFmtId="164" fontId="34" fillId="0" borderId="0" xfId="0" applyFont="1" applyFill="1" applyAlignment="1" applyProtection="1">
      <alignment vertical="center"/>
      <protection locked="0"/>
    </xf>
    <xf numFmtId="164" fontId="6" fillId="4" borderId="30" xfId="0" applyFont="1" applyFill="1" applyBorder="1" applyAlignment="1" applyProtection="1">
      <alignment horizontal="left" vertical="center" wrapText="1"/>
    </xf>
    <xf numFmtId="164" fontId="0" fillId="5" borderId="0" xfId="0" applyFill="1"/>
    <xf numFmtId="164" fontId="9" fillId="5" borderId="0" xfId="0" applyFont="1" applyFill="1"/>
    <xf numFmtId="164" fontId="0" fillId="5" borderId="0" xfId="0" applyFill="1" applyAlignment="1">
      <alignment horizontal="center"/>
    </xf>
    <xf numFmtId="164" fontId="0" fillId="5" borderId="32" xfId="0" applyFill="1" applyBorder="1"/>
    <xf numFmtId="164" fontId="0" fillId="5" borderId="0" xfId="0" applyFill="1" applyBorder="1"/>
    <xf numFmtId="164" fontId="0" fillId="5" borderId="33" xfId="0" applyFill="1" applyBorder="1"/>
    <xf numFmtId="164" fontId="35" fillId="5" borderId="0" xfId="0" applyFont="1" applyFill="1" applyBorder="1"/>
    <xf numFmtId="164" fontId="37" fillId="5" borderId="0" xfId="0" applyFont="1" applyFill="1" applyBorder="1"/>
    <xf numFmtId="164" fontId="35" fillId="5" borderId="0" xfId="0" applyFont="1" applyFill="1" applyBorder="1" applyAlignment="1">
      <alignment horizontal="center"/>
    </xf>
    <xf numFmtId="164" fontId="0" fillId="5" borderId="34" xfId="0" applyFill="1" applyBorder="1"/>
    <xf numFmtId="164" fontId="0" fillId="5" borderId="35" xfId="0" applyFill="1" applyBorder="1"/>
    <xf numFmtId="164" fontId="30" fillId="4" borderId="2" xfId="0" applyNumberFormat="1" applyFont="1" applyFill="1" applyBorder="1" applyAlignment="1" applyProtection="1">
      <alignment horizontal="center" vertical="center"/>
    </xf>
    <xf numFmtId="164" fontId="30" fillId="4" borderId="2" xfId="0" quotePrefix="1" applyNumberFormat="1" applyFont="1" applyFill="1" applyBorder="1" applyAlignment="1" applyProtection="1">
      <alignment horizontal="center" vertical="center"/>
    </xf>
    <xf numFmtId="164" fontId="43" fillId="4" borderId="30" xfId="0" applyFont="1" applyFill="1" applyBorder="1" applyAlignment="1" applyProtection="1">
      <alignment horizontal="left" vertical="center" wrapText="1"/>
      <protection locked="0"/>
    </xf>
    <xf numFmtId="164" fontId="43" fillId="4" borderId="30" xfId="0" applyFont="1" applyFill="1" applyBorder="1" applyAlignment="1" applyProtection="1">
      <alignment horizontal="right" vertical="center"/>
      <protection locked="0"/>
    </xf>
    <xf numFmtId="1" fontId="43" fillId="4" borderId="30" xfId="0" applyNumberFormat="1" applyFont="1" applyFill="1" applyBorder="1" applyAlignment="1" applyProtection="1">
      <alignment vertical="center"/>
      <protection locked="0"/>
    </xf>
    <xf numFmtId="3" fontId="43" fillId="4" borderId="30" xfId="0" applyNumberFormat="1" applyFont="1" applyFill="1" applyBorder="1" applyAlignment="1" applyProtection="1">
      <alignment vertical="center"/>
      <protection locked="0"/>
    </xf>
    <xf numFmtId="1" fontId="30" fillId="4" borderId="36" xfId="0" applyNumberFormat="1" applyFont="1" applyFill="1" applyBorder="1" applyAlignment="1" applyProtection="1">
      <alignment horizontal="center" vertical="center"/>
    </xf>
    <xf numFmtId="3" fontId="30" fillId="4" borderId="36" xfId="0" applyNumberFormat="1" applyFont="1" applyFill="1" applyBorder="1" applyAlignment="1" applyProtection="1">
      <alignment horizontal="left" vertical="center"/>
    </xf>
    <xf numFmtId="172" fontId="43" fillId="4" borderId="30" xfId="12" applyNumberFormat="1" applyFont="1" applyFill="1" applyBorder="1" applyAlignment="1" applyProtection="1">
      <alignment horizontal="right" vertical="center"/>
      <protection locked="0"/>
    </xf>
    <xf numFmtId="172" fontId="30" fillId="4" borderId="36" xfId="12" applyNumberFormat="1" applyFont="1" applyFill="1" applyBorder="1" applyAlignment="1" applyProtection="1">
      <alignment horizontal="center" vertical="center"/>
    </xf>
    <xf numFmtId="164" fontId="30" fillId="4" borderId="36" xfId="0" applyFont="1" applyFill="1" applyBorder="1" applyAlignment="1" applyProtection="1">
      <alignment horizontal="left" vertical="center" wrapText="1"/>
    </xf>
    <xf numFmtId="1" fontId="43" fillId="4" borderId="30" xfId="0" applyNumberFormat="1" applyFont="1" applyFill="1" applyBorder="1" applyAlignment="1" applyProtection="1">
      <alignment horizontal="right" vertical="center"/>
      <protection locked="0"/>
    </xf>
    <xf numFmtId="9" fontId="43" fillId="4" borderId="0" xfId="12" applyNumberFormat="1" applyFont="1" applyFill="1" applyAlignment="1" applyProtection="1">
      <alignment horizontal="right" vertical="center"/>
      <protection locked="0"/>
    </xf>
    <xf numFmtId="164" fontId="30" fillId="4" borderId="36" xfId="0" applyFont="1" applyFill="1" applyBorder="1" applyAlignment="1" applyProtection="1">
      <alignment horizontal="center" vertical="center"/>
    </xf>
    <xf numFmtId="9" fontId="43" fillId="4" borderId="30" xfId="12" applyFont="1" applyFill="1" applyBorder="1" applyAlignment="1" applyProtection="1">
      <alignment vertical="center"/>
      <protection locked="0"/>
    </xf>
    <xf numFmtId="9" fontId="30" fillId="4" borderId="36" xfId="12" applyFont="1" applyFill="1" applyBorder="1" applyAlignment="1" applyProtection="1">
      <alignment horizontal="center" vertical="center"/>
    </xf>
    <xf numFmtId="9" fontId="30" fillId="4" borderId="30" xfId="12" applyFont="1" applyFill="1" applyBorder="1" applyAlignment="1" applyProtection="1">
      <alignment vertical="center"/>
    </xf>
    <xf numFmtId="1" fontId="43" fillId="4" borderId="0" xfId="0" applyNumberFormat="1" applyFont="1" applyFill="1" applyAlignment="1" applyProtection="1">
      <alignment horizontal="right" vertical="center"/>
      <protection locked="0"/>
    </xf>
    <xf numFmtId="164" fontId="6" fillId="0" borderId="0" xfId="0" applyFont="1" applyFill="1" applyProtection="1">
      <protection hidden="1"/>
    </xf>
    <xf numFmtId="164" fontId="11" fillId="0" borderId="0" xfId="0" applyFont="1" applyFill="1" applyProtection="1">
      <protection hidden="1"/>
    </xf>
    <xf numFmtId="164" fontId="25" fillId="0" borderId="0" xfId="0" applyFont="1" applyFill="1" applyAlignment="1" applyProtection="1">
      <alignment horizontal="center" wrapText="1"/>
      <protection hidden="1"/>
    </xf>
    <xf numFmtId="164" fontId="25" fillId="0" borderId="24" xfId="0" applyFont="1" applyFill="1" applyBorder="1" applyAlignment="1" applyProtection="1">
      <alignment horizontal="center"/>
      <protection hidden="1"/>
    </xf>
    <xf numFmtId="164" fontId="25" fillId="0" borderId="24" xfId="0" applyFont="1" applyFill="1" applyBorder="1" applyAlignment="1" applyProtection="1">
      <alignment horizontal="left"/>
      <protection hidden="1"/>
    </xf>
    <xf numFmtId="164" fontId="19" fillId="0" borderId="0" xfId="0" applyFont="1" applyFill="1" applyProtection="1">
      <protection hidden="1"/>
    </xf>
    <xf numFmtId="164" fontId="25" fillId="0" borderId="24" xfId="0" applyFont="1" applyFill="1" applyBorder="1" applyAlignment="1" applyProtection="1">
      <alignment horizontal="center" vertical="center"/>
      <protection hidden="1"/>
    </xf>
    <xf numFmtId="164" fontId="19" fillId="0" borderId="24" xfId="0" applyFont="1" applyFill="1" applyBorder="1" applyAlignment="1" applyProtection="1">
      <alignment horizontal="center" wrapText="1"/>
      <protection hidden="1"/>
    </xf>
    <xf numFmtId="164" fontId="19" fillId="0" borderId="24" xfId="0" applyFont="1" applyFill="1" applyBorder="1" applyAlignment="1" applyProtection="1">
      <alignment horizontal="center"/>
      <protection hidden="1"/>
    </xf>
    <xf numFmtId="172" fontId="19" fillId="0" borderId="0" xfId="12" applyNumberFormat="1" applyFont="1" applyFill="1" applyBorder="1" applyProtection="1">
      <protection hidden="1"/>
    </xf>
    <xf numFmtId="170" fontId="25" fillId="0" borderId="0" xfId="1" applyNumberFormat="1" applyFont="1" applyFill="1" applyBorder="1" applyProtection="1">
      <protection hidden="1"/>
    </xf>
    <xf numFmtId="164" fontId="19" fillId="0" borderId="24" xfId="0" applyFont="1" applyFill="1" applyBorder="1" applyAlignment="1" applyProtection="1">
      <alignment horizontal="center" vertical="center"/>
      <protection hidden="1"/>
    </xf>
    <xf numFmtId="168" fontId="19" fillId="0" borderId="24" xfId="0" applyNumberFormat="1" applyFont="1" applyFill="1" applyBorder="1" applyAlignment="1" applyProtection="1">
      <alignment horizontal="center"/>
      <protection hidden="1"/>
    </xf>
    <xf numFmtId="167" fontId="19" fillId="0" borderId="24" xfId="0" applyNumberFormat="1" applyFont="1" applyFill="1" applyBorder="1" applyAlignment="1" applyProtection="1">
      <alignment horizontal="center"/>
      <protection hidden="1"/>
    </xf>
    <xf numFmtId="164" fontId="19" fillId="0" borderId="0" xfId="0" applyFont="1" applyFill="1" applyBorder="1" applyAlignment="1" applyProtection="1">
      <alignment horizontal="center"/>
      <protection hidden="1"/>
    </xf>
    <xf numFmtId="167" fontId="19" fillId="0" borderId="0" xfId="0" applyNumberFormat="1" applyFont="1" applyFill="1" applyBorder="1" applyAlignment="1" applyProtection="1">
      <alignment horizontal="center"/>
      <protection hidden="1"/>
    </xf>
    <xf numFmtId="164" fontId="19" fillId="0" borderId="0" xfId="0" applyFont="1" applyFill="1" applyAlignment="1" applyProtection="1">
      <protection hidden="1"/>
    </xf>
    <xf numFmtId="3" fontId="19" fillId="0" borderId="0" xfId="1" applyNumberFormat="1" applyFont="1" applyFill="1" applyBorder="1" applyAlignment="1" applyProtection="1">
      <alignment horizontal="center"/>
      <protection hidden="1"/>
    </xf>
    <xf numFmtId="164" fontId="19" fillId="0" borderId="0" xfId="0" applyFont="1" applyFill="1" applyAlignment="1" applyProtection="1">
      <alignment wrapText="1"/>
      <protection hidden="1"/>
    </xf>
    <xf numFmtId="164" fontId="19" fillId="0" borderId="24" xfId="0" applyFont="1" applyFill="1" applyBorder="1" applyAlignment="1" applyProtection="1">
      <alignment horizontal="center" vertical="center" wrapText="1"/>
      <protection hidden="1"/>
    </xf>
    <xf numFmtId="164" fontId="26" fillId="0" borderId="24" xfId="0" applyFont="1" applyFill="1" applyBorder="1" applyAlignment="1" applyProtection="1">
      <alignment horizontal="center" wrapText="1"/>
      <protection hidden="1"/>
    </xf>
    <xf numFmtId="164" fontId="26" fillId="0" borderId="24" xfId="0" applyFont="1" applyFill="1" applyBorder="1" applyAlignment="1" applyProtection="1">
      <alignment horizontal="center" vertical="center" wrapText="1"/>
      <protection hidden="1"/>
    </xf>
    <xf numFmtId="164" fontId="19" fillId="0" borderId="24" xfId="0" applyFont="1" applyFill="1" applyBorder="1" applyAlignment="1" applyProtection="1">
      <alignment horizontal="right"/>
      <protection hidden="1"/>
    </xf>
    <xf numFmtId="168" fontId="25" fillId="0" borderId="24" xfId="0" applyNumberFormat="1" applyFont="1" applyFill="1" applyBorder="1" applyAlignment="1" applyProtection="1">
      <alignment horizontal="center"/>
      <protection hidden="1"/>
    </xf>
    <xf numFmtId="1" fontId="25" fillId="0" borderId="24" xfId="0" applyNumberFormat="1" applyFont="1" applyFill="1" applyBorder="1" applyAlignment="1" applyProtection="1">
      <alignment horizontal="center"/>
      <protection hidden="1"/>
    </xf>
    <xf numFmtId="164" fontId="25" fillId="0" borderId="24" xfId="0" applyFont="1" applyFill="1" applyBorder="1" applyProtection="1">
      <protection hidden="1"/>
    </xf>
    <xf numFmtId="164" fontId="25" fillId="0" borderId="24" xfId="0" applyFont="1" applyFill="1" applyBorder="1" applyAlignment="1" applyProtection="1">
      <alignment horizontal="right"/>
      <protection hidden="1"/>
    </xf>
    <xf numFmtId="164" fontId="25" fillId="0" borderId="24" xfId="0" applyFont="1" applyFill="1" applyBorder="1" applyAlignment="1" applyProtection="1">
      <alignment horizontal="center" wrapText="1"/>
      <protection hidden="1"/>
    </xf>
    <xf numFmtId="164" fontId="25" fillId="0" borderId="24" xfId="0" applyFont="1" applyFill="1" applyBorder="1" applyAlignment="1" applyProtection="1">
      <alignment horizontal="right" vertical="center"/>
      <protection hidden="1"/>
    </xf>
    <xf numFmtId="164" fontId="25" fillId="0" borderId="24" xfId="0" applyFont="1" applyFill="1" applyBorder="1" applyAlignment="1" applyProtection="1">
      <alignment horizontal="center" vertical="center" wrapText="1"/>
      <protection hidden="1"/>
    </xf>
    <xf numFmtId="164" fontId="19" fillId="0" borderId="0" xfId="0" applyFont="1" applyFill="1" applyAlignment="1" applyProtection="1">
      <alignment horizontal="left"/>
      <protection hidden="1"/>
    </xf>
    <xf numFmtId="164" fontId="19" fillId="0" borderId="37" xfId="0" applyNumberFormat="1" applyFont="1" applyFill="1" applyBorder="1" applyAlignment="1" applyProtection="1">
      <alignment horizontal="right"/>
      <protection hidden="1"/>
    </xf>
    <xf numFmtId="9" fontId="25" fillId="0" borderId="38" xfId="0" applyNumberFormat="1" applyFont="1" applyFill="1" applyBorder="1" applyProtection="1">
      <protection hidden="1"/>
    </xf>
    <xf numFmtId="2" fontId="25" fillId="0" borderId="38" xfId="0" applyNumberFormat="1" applyFont="1" applyFill="1" applyBorder="1" applyProtection="1">
      <protection hidden="1"/>
    </xf>
    <xf numFmtId="9" fontId="25" fillId="0" borderId="38" xfId="12" applyFont="1" applyFill="1" applyBorder="1" applyProtection="1">
      <protection hidden="1"/>
    </xf>
    <xf numFmtId="2" fontId="25" fillId="0" borderId="0" xfId="0" applyNumberFormat="1" applyFont="1" applyFill="1" applyProtection="1">
      <protection hidden="1"/>
    </xf>
    <xf numFmtId="164" fontId="19" fillId="0" borderId="24" xfId="0" applyFont="1" applyFill="1" applyBorder="1" applyProtection="1">
      <protection hidden="1"/>
    </xf>
    <xf numFmtId="9" fontId="19" fillId="0" borderId="24" xfId="12" applyFont="1" applyFill="1" applyBorder="1" applyProtection="1">
      <protection hidden="1"/>
    </xf>
    <xf numFmtId="164" fontId="6" fillId="0" borderId="0" xfId="0" applyFont="1" applyFill="1" applyAlignment="1" applyProtection="1">
      <alignment horizontal="left"/>
      <protection hidden="1"/>
    </xf>
    <xf numFmtId="164" fontId="23" fillId="0" borderId="0" xfId="0" applyFont="1" applyFill="1" applyProtection="1">
      <protection hidden="1"/>
    </xf>
    <xf numFmtId="164" fontId="11" fillId="0" borderId="0" xfId="0" applyFont="1" applyProtection="1"/>
    <xf numFmtId="164" fontId="6" fillId="4" borderId="0" xfId="0" applyFont="1" applyFill="1" applyBorder="1" applyProtection="1"/>
    <xf numFmtId="1" fontId="30" fillId="4" borderId="2" xfId="0" applyNumberFormat="1" applyFont="1" applyFill="1" applyBorder="1" applyAlignment="1" applyProtection="1">
      <alignment horizontal="center" vertical="center"/>
    </xf>
    <xf numFmtId="1" fontId="30" fillId="4" borderId="2" xfId="0" applyNumberFormat="1" applyFont="1" applyFill="1" applyBorder="1" applyAlignment="1" applyProtection="1">
      <alignment horizontal="center" vertical="center" wrapText="1"/>
    </xf>
    <xf numFmtId="164" fontId="11" fillId="0" borderId="31" xfId="0" applyFont="1" applyBorder="1" applyAlignment="1" applyProtection="1">
      <alignment horizontal="center"/>
    </xf>
    <xf numFmtId="174" fontId="11" fillId="0" borderId="31" xfId="0" applyNumberFormat="1" applyFont="1" applyBorder="1" applyAlignment="1" applyProtection="1">
      <alignment horizontal="center"/>
    </xf>
    <xf numFmtId="164" fontId="6" fillId="4" borderId="0" xfId="0" applyFont="1" applyFill="1" applyAlignment="1" applyProtection="1">
      <alignment vertical="center"/>
    </xf>
    <xf numFmtId="164" fontId="11" fillId="0" borderId="0" xfId="0" applyFont="1" applyAlignment="1" applyProtection="1">
      <alignment vertical="center"/>
    </xf>
    <xf numFmtId="164" fontId="11" fillId="6" borderId="0" xfId="0" applyFont="1" applyFill="1" applyAlignment="1" applyProtection="1"/>
    <xf numFmtId="2" fontId="11" fillId="0" borderId="0" xfId="0" applyNumberFormat="1" applyFont="1" applyProtection="1"/>
    <xf numFmtId="1" fontId="11" fillId="0" borderId="0" xfId="0" applyNumberFormat="1" applyFont="1" applyProtection="1"/>
    <xf numFmtId="170" fontId="13" fillId="0" borderId="0" xfId="1" applyNumberFormat="1" applyFont="1" applyProtection="1"/>
    <xf numFmtId="172" fontId="11" fillId="0" borderId="0" xfId="12" applyNumberFormat="1" applyFont="1" applyProtection="1"/>
    <xf numFmtId="44" fontId="11" fillId="0" borderId="0" xfId="2" applyFont="1" applyProtection="1"/>
    <xf numFmtId="164" fontId="11" fillId="2" borderId="0" xfId="0" applyFont="1" applyFill="1" applyProtection="1">
      <protection hidden="1"/>
    </xf>
    <xf numFmtId="164" fontId="11" fillId="0" borderId="0" xfId="0" applyFont="1" applyFill="1" applyAlignment="1" applyProtection="1">
      <alignment horizontal="left" indent="15"/>
      <protection hidden="1"/>
    </xf>
    <xf numFmtId="164" fontId="11" fillId="0" borderId="0" xfId="0" applyFont="1" applyFill="1" applyBorder="1" applyAlignment="1" applyProtection="1">
      <protection hidden="1"/>
    </xf>
    <xf numFmtId="164" fontId="0" fillId="4" borderId="30" xfId="0" applyFill="1" applyBorder="1" applyAlignment="1" applyProtection="1">
      <protection hidden="1"/>
    </xf>
    <xf numFmtId="164" fontId="0" fillId="4" borderId="36" xfId="0" applyFill="1" applyBorder="1" applyAlignment="1" applyProtection="1">
      <protection hidden="1"/>
    </xf>
    <xf numFmtId="164" fontId="31" fillId="4" borderId="2" xfId="0" applyFont="1" applyFill="1" applyBorder="1" applyAlignment="1" applyProtection="1">
      <alignment horizontal="center" vertical="center" wrapText="1"/>
      <protection hidden="1"/>
    </xf>
    <xf numFmtId="164" fontId="15" fillId="4" borderId="2" xfId="0" applyFont="1" applyFill="1" applyBorder="1" applyAlignment="1" applyProtection="1">
      <alignment horizontal="center" vertical="center" wrapText="1"/>
      <protection hidden="1"/>
    </xf>
    <xf numFmtId="164" fontId="19" fillId="0" borderId="0" xfId="0" applyFont="1" applyFill="1" applyAlignment="1" applyProtection="1">
      <alignment vertical="center"/>
      <protection hidden="1"/>
    </xf>
    <xf numFmtId="0" fontId="32" fillId="4" borderId="2" xfId="0" applyNumberFormat="1" applyFont="1" applyFill="1" applyBorder="1" applyAlignment="1" applyProtection="1">
      <alignment horizontal="left"/>
      <protection hidden="1"/>
    </xf>
    <xf numFmtId="172" fontId="15" fillId="4" borderId="2" xfId="1" applyNumberFormat="1" applyFont="1" applyFill="1" applyBorder="1" applyAlignment="1" applyProtection="1">
      <alignment horizontal="center"/>
      <protection hidden="1"/>
    </xf>
    <xf numFmtId="172" fontId="32" fillId="4" borderId="2" xfId="0" applyNumberFormat="1" applyFont="1" applyFill="1" applyBorder="1" applyAlignment="1" applyProtection="1">
      <alignment horizontal="center"/>
      <protection hidden="1"/>
    </xf>
    <xf numFmtId="172" fontId="6" fillId="4" borderId="2" xfId="0" applyNumberFormat="1" applyFont="1" applyFill="1" applyBorder="1" applyAlignment="1" applyProtection="1">
      <alignment horizontal="center"/>
      <protection hidden="1"/>
    </xf>
    <xf numFmtId="164" fontId="32" fillId="4" borderId="2" xfId="0" applyFont="1" applyFill="1" applyBorder="1" applyAlignment="1" applyProtection="1">
      <alignment horizontal="left"/>
      <protection hidden="1"/>
    </xf>
    <xf numFmtId="172" fontId="6" fillId="4" borderId="2" xfId="12" applyNumberFormat="1" applyFont="1" applyFill="1" applyBorder="1" applyAlignment="1" applyProtection="1">
      <alignment horizontal="center"/>
      <protection hidden="1"/>
    </xf>
    <xf numFmtId="164" fontId="19" fillId="0" borderId="17" xfId="0" applyFont="1" applyFill="1" applyBorder="1" applyProtection="1">
      <protection hidden="1"/>
    </xf>
    <xf numFmtId="172" fontId="32" fillId="4" borderId="2" xfId="0" applyNumberFormat="1" applyFont="1" applyFill="1" applyBorder="1" applyAlignment="1" applyProtection="1">
      <alignment horizontal="left"/>
      <protection hidden="1"/>
    </xf>
    <xf numFmtId="172" fontId="19" fillId="0" borderId="40" xfId="0" applyNumberFormat="1" applyFont="1" applyFill="1" applyBorder="1" applyProtection="1">
      <protection hidden="1"/>
    </xf>
    <xf numFmtId="172" fontId="32" fillId="4" borderId="2" xfId="0" applyNumberFormat="1" applyFont="1" applyFill="1" applyBorder="1" applyAlignment="1" applyProtection="1">
      <alignment horizontal="left" wrapText="1"/>
      <protection hidden="1"/>
    </xf>
    <xf numFmtId="172" fontId="19" fillId="0" borderId="0" xfId="0" applyNumberFormat="1" applyFont="1" applyFill="1" applyProtection="1">
      <protection hidden="1"/>
    </xf>
    <xf numFmtId="164" fontId="32" fillId="4" borderId="2" xfId="0" applyFont="1" applyFill="1" applyBorder="1" applyAlignment="1" applyProtection="1">
      <alignment horizontal="left" wrapText="1"/>
      <protection hidden="1"/>
    </xf>
    <xf numFmtId="172" fontId="6" fillId="4" borderId="2" xfId="1" applyNumberFormat="1" applyFont="1" applyFill="1" applyBorder="1" applyAlignment="1" applyProtection="1">
      <alignment horizontal="center"/>
      <protection hidden="1"/>
    </xf>
    <xf numFmtId="0" fontId="32" fillId="4" borderId="2" xfId="0" applyNumberFormat="1" applyFont="1" applyFill="1" applyBorder="1" applyAlignment="1" applyProtection="1">
      <alignment horizontal="right"/>
      <protection hidden="1"/>
    </xf>
    <xf numFmtId="164" fontId="32" fillId="4" borderId="2" xfId="0" applyFont="1" applyFill="1" applyBorder="1" applyAlignment="1" applyProtection="1">
      <alignment horizontal="right"/>
      <protection hidden="1"/>
    </xf>
    <xf numFmtId="164" fontId="11" fillId="0" borderId="0" xfId="0" applyFont="1" applyFill="1" applyAlignment="1" applyProtection="1">
      <alignment vertical="center"/>
    </xf>
    <xf numFmtId="164" fontId="6" fillId="4" borderId="0" xfId="0" applyFont="1" applyFill="1" applyAlignment="1" applyProtection="1">
      <alignment horizontal="center"/>
    </xf>
    <xf numFmtId="164" fontId="14" fillId="4" borderId="0" xfId="0" applyFont="1" applyFill="1" applyAlignment="1" applyProtection="1">
      <alignment horizontal="center"/>
    </xf>
    <xf numFmtId="164" fontId="13" fillId="0" borderId="0" xfId="0" applyFont="1" applyAlignment="1" applyProtection="1">
      <alignment horizontal="left"/>
    </xf>
    <xf numFmtId="164" fontId="13" fillId="0" borderId="0" xfId="0" applyFont="1" applyAlignment="1" applyProtection="1">
      <alignment horizontal="left" wrapText="1"/>
    </xf>
    <xf numFmtId="164" fontId="11" fillId="0" borderId="0" xfId="0" applyFont="1" applyAlignment="1" applyProtection="1">
      <alignment horizontal="left" wrapText="1"/>
    </xf>
    <xf numFmtId="164" fontId="11" fillId="0" borderId="0" xfId="0" applyFont="1" applyAlignment="1" applyProtection="1"/>
    <xf numFmtId="164" fontId="11" fillId="0" borderId="0" xfId="0" applyFont="1" applyBorder="1" applyProtection="1"/>
    <xf numFmtId="164" fontId="11" fillId="0" borderId="0" xfId="0" applyFont="1" applyAlignment="1" applyProtection="1">
      <alignment horizontal="left"/>
    </xf>
    <xf numFmtId="170" fontId="13" fillId="0" borderId="0" xfId="1" applyNumberFormat="1" applyFont="1" applyBorder="1" applyProtection="1"/>
    <xf numFmtId="164" fontId="6" fillId="0" borderId="0" xfId="0" applyFont="1" applyFill="1" applyAlignment="1" applyProtection="1">
      <alignment horizontal="center" vertical="center"/>
    </xf>
    <xf numFmtId="9" fontId="17" fillId="0" borderId="0" xfId="0" applyNumberFormat="1" applyFont="1" applyFill="1" applyAlignment="1" applyProtection="1">
      <alignment vertical="center"/>
    </xf>
    <xf numFmtId="164" fontId="11" fillId="0" borderId="0" xfId="0" applyFont="1" applyFill="1" applyBorder="1" applyAlignment="1" applyProtection="1">
      <alignment horizontal="center" vertical="center"/>
    </xf>
    <xf numFmtId="168" fontId="11" fillId="0" borderId="0" xfId="0" applyNumberFormat="1" applyFont="1" applyFill="1" applyBorder="1" applyAlignment="1" applyProtection="1">
      <alignment horizontal="center" vertical="center"/>
    </xf>
    <xf numFmtId="172" fontId="11" fillId="0" borderId="0" xfId="12" applyNumberFormat="1" applyFont="1" applyFill="1" applyBorder="1" applyAlignment="1" applyProtection="1">
      <alignment vertical="center"/>
    </xf>
    <xf numFmtId="164" fontId="11" fillId="0" borderId="0" xfId="0" applyFont="1" applyFill="1" applyAlignment="1" applyProtection="1">
      <alignment horizontal="right"/>
    </xf>
    <xf numFmtId="9" fontId="17" fillId="0" borderId="0" xfId="12" applyFont="1" applyFill="1" applyProtection="1"/>
    <xf numFmtId="9" fontId="6" fillId="0" borderId="0" xfId="12" applyFont="1" applyFill="1" applyAlignment="1" applyProtection="1">
      <alignment horizontal="center" vertical="center"/>
    </xf>
    <xf numFmtId="164" fontId="11" fillId="0" borderId="0" xfId="0" applyFont="1" applyFill="1" applyBorder="1" applyAlignment="1" applyProtection="1">
      <alignment vertical="center"/>
    </xf>
    <xf numFmtId="164" fontId="17" fillId="0" borderId="0" xfId="0" applyFont="1" applyFill="1" applyProtection="1"/>
    <xf numFmtId="9" fontId="17" fillId="0" borderId="0" xfId="0" applyNumberFormat="1" applyFont="1" applyFill="1" applyProtection="1"/>
    <xf numFmtId="9" fontId="6" fillId="0" borderId="0" xfId="0" applyNumberFormat="1" applyFont="1" applyFill="1" applyAlignment="1" applyProtection="1">
      <alignment horizontal="center" vertical="center"/>
    </xf>
    <xf numFmtId="3" fontId="17" fillId="0" borderId="0" xfId="0" applyNumberFormat="1" applyFont="1" applyFill="1" applyAlignment="1" applyProtection="1">
      <alignment vertical="center"/>
    </xf>
    <xf numFmtId="3" fontId="13" fillId="0" borderId="0" xfId="0" applyNumberFormat="1" applyFont="1" applyFill="1" applyProtection="1"/>
    <xf numFmtId="3" fontId="6" fillId="0" borderId="0" xfId="0" applyNumberFormat="1" applyFont="1" applyFill="1" applyAlignment="1" applyProtection="1">
      <alignment horizontal="center" vertical="center"/>
    </xf>
    <xf numFmtId="3" fontId="11" fillId="0" borderId="0" xfId="0" applyNumberFormat="1" applyFont="1" applyFill="1" applyAlignment="1" applyProtection="1">
      <alignment vertical="center"/>
    </xf>
    <xf numFmtId="9" fontId="13" fillId="0" borderId="0" xfId="0" applyNumberFormat="1" applyFont="1" applyFill="1" applyAlignment="1" applyProtection="1">
      <alignment vertical="center"/>
    </xf>
    <xf numFmtId="1" fontId="6" fillId="4" borderId="36" xfId="0" applyNumberFormat="1" applyFont="1" applyFill="1" applyBorder="1" applyAlignment="1" applyProtection="1">
      <alignment horizontal="center" vertical="center"/>
      <protection locked="0"/>
    </xf>
    <xf numFmtId="164" fontId="11" fillId="4" borderId="41" xfId="0" applyFont="1" applyFill="1" applyBorder="1" applyProtection="1"/>
    <xf numFmtId="2" fontId="11" fillId="4" borderId="41" xfId="0" applyNumberFormat="1" applyFont="1" applyFill="1" applyBorder="1" applyProtection="1"/>
    <xf numFmtId="1" fontId="11" fillId="4" borderId="41" xfId="0" applyNumberFormat="1" applyFont="1" applyFill="1" applyBorder="1" applyProtection="1"/>
    <xf numFmtId="164" fontId="6" fillId="4" borderId="32" xfId="0" applyFont="1" applyFill="1" applyBorder="1" applyProtection="1"/>
    <xf numFmtId="164" fontId="6" fillId="4" borderId="33" xfId="0" applyFont="1" applyFill="1" applyBorder="1" applyProtection="1"/>
    <xf numFmtId="1" fontId="30" fillId="4" borderId="42" xfId="0" applyNumberFormat="1" applyFont="1" applyFill="1" applyBorder="1" applyAlignment="1" applyProtection="1">
      <alignment horizontal="center" vertical="center" wrapText="1"/>
    </xf>
    <xf numFmtId="164" fontId="11" fillId="0" borderId="43" xfId="0" applyNumberFormat="1" applyFont="1" applyBorder="1" applyAlignment="1" applyProtection="1">
      <alignment horizontal="center"/>
    </xf>
    <xf numFmtId="3" fontId="11" fillId="0" borderId="44" xfId="0" applyNumberFormat="1" applyFont="1" applyBorder="1" applyAlignment="1" applyProtection="1">
      <alignment horizontal="center"/>
    </xf>
    <xf numFmtId="164" fontId="11" fillId="0" borderId="45" xfId="0" applyNumberFormat="1" applyFont="1" applyBorder="1" applyAlignment="1" applyProtection="1">
      <alignment horizontal="center"/>
    </xf>
    <xf numFmtId="3" fontId="11" fillId="0" borderId="46" xfId="0" applyNumberFormat="1" applyFont="1" applyBorder="1" applyAlignment="1" applyProtection="1">
      <alignment horizontal="center"/>
    </xf>
    <xf numFmtId="164" fontId="11" fillId="0" borderId="45" xfId="0" applyNumberFormat="1" applyFont="1" applyBorder="1" applyAlignment="1" applyProtection="1">
      <alignment horizontal="center"/>
      <protection hidden="1"/>
    </xf>
    <xf numFmtId="164" fontId="11" fillId="0" borderId="47" xfId="0" applyNumberFormat="1" applyFont="1" applyBorder="1" applyAlignment="1" applyProtection="1">
      <alignment horizontal="center"/>
      <protection hidden="1"/>
    </xf>
    <xf numFmtId="37" fontId="11" fillId="0" borderId="48" xfId="0" applyNumberFormat="1" applyFont="1" applyBorder="1" applyAlignment="1" applyProtection="1">
      <alignment horizontal="center"/>
    </xf>
    <xf numFmtId="3" fontId="11" fillId="0" borderId="48" xfId="0" applyNumberFormat="1" applyFont="1" applyBorder="1" applyAlignment="1" applyProtection="1">
      <alignment horizontal="center"/>
    </xf>
    <xf numFmtId="3" fontId="11" fillId="0" borderId="49" xfId="0" applyNumberFormat="1" applyFont="1" applyBorder="1" applyAlignment="1" applyProtection="1">
      <alignment horizontal="center"/>
    </xf>
    <xf numFmtId="164" fontId="19" fillId="7" borderId="0" xfId="0" applyFont="1" applyFill="1" applyProtection="1">
      <protection hidden="1"/>
    </xf>
    <xf numFmtId="164" fontId="6" fillId="8" borderId="30" xfId="0" applyFont="1" applyFill="1" applyBorder="1" applyAlignment="1" applyProtection="1">
      <alignment horizontal="right" vertical="center" wrapText="1"/>
      <protection hidden="1"/>
    </xf>
    <xf numFmtId="1" fontId="6" fillId="8" borderId="36" xfId="0" applyNumberFormat="1" applyFont="1" applyFill="1" applyBorder="1" applyAlignment="1" applyProtection="1">
      <alignment horizontal="center" vertical="center"/>
      <protection hidden="1"/>
    </xf>
    <xf numFmtId="164" fontId="36" fillId="0" borderId="0" xfId="0" applyFont="1"/>
    <xf numFmtId="0" fontId="11" fillId="0" borderId="0" xfId="0" applyNumberFormat="1" applyFont="1" applyFill="1" applyProtection="1">
      <protection hidden="1"/>
    </xf>
    <xf numFmtId="164" fontId="11" fillId="0" borderId="0" xfId="0" applyFont="1" applyFill="1" applyAlignment="1" applyProtection="1">
      <alignment horizontal="right"/>
      <protection hidden="1"/>
    </xf>
    <xf numFmtId="170" fontId="13" fillId="0" borderId="0" xfId="1" applyNumberFormat="1" applyFont="1" applyFill="1" applyProtection="1">
      <protection hidden="1"/>
    </xf>
    <xf numFmtId="1" fontId="39" fillId="4" borderId="36" xfId="3" applyNumberFormat="1" applyFont="1" applyFill="1" applyBorder="1" applyAlignment="1" applyProtection="1">
      <alignment horizontal="left" vertical="center"/>
    </xf>
    <xf numFmtId="1" fontId="30" fillId="4" borderId="36" xfId="0" applyNumberFormat="1" applyFont="1" applyFill="1" applyBorder="1" applyAlignment="1" applyProtection="1">
      <alignment horizontal="left" vertical="center"/>
    </xf>
    <xf numFmtId="2" fontId="43" fillId="4" borderId="30" xfId="0" applyNumberFormat="1" applyFont="1" applyFill="1" applyBorder="1" applyAlignment="1" applyProtection="1">
      <alignment vertical="center"/>
      <protection locked="0"/>
    </xf>
    <xf numFmtId="3" fontId="30" fillId="4" borderId="30" xfId="0" applyNumberFormat="1" applyFont="1" applyFill="1" applyBorder="1" applyAlignment="1" applyProtection="1">
      <alignment vertical="center"/>
    </xf>
    <xf numFmtId="164" fontId="6" fillId="4" borderId="2" xfId="0" applyFont="1" applyFill="1" applyBorder="1" applyAlignment="1" applyProtection="1">
      <alignment horizontal="right" vertical="center"/>
    </xf>
    <xf numFmtId="168" fontId="25" fillId="0" borderId="24" xfId="0" applyNumberFormat="1" applyFont="1" applyFill="1" applyBorder="1" applyAlignment="1" applyProtection="1">
      <alignment horizontal="center"/>
    </xf>
    <xf numFmtId="164" fontId="0" fillId="0" borderId="38" xfId="0" applyBorder="1" applyAlignment="1">
      <alignment horizontal="right"/>
    </xf>
    <xf numFmtId="164" fontId="19" fillId="0" borderId="24" xfId="0" applyFont="1" applyFill="1" applyBorder="1" applyAlignment="1" applyProtection="1">
      <alignment horizontal="left"/>
      <protection hidden="1"/>
    </xf>
    <xf numFmtId="164" fontId="19" fillId="0" borderId="24" xfId="0" applyFont="1" applyFill="1" applyBorder="1" applyAlignment="1" applyProtection="1">
      <protection hidden="1"/>
    </xf>
    <xf numFmtId="164" fontId="19" fillId="0" borderId="55" xfId="0" applyFont="1" applyFill="1" applyBorder="1" applyAlignment="1" applyProtection="1">
      <alignment horizontal="left"/>
      <protection hidden="1"/>
    </xf>
    <xf numFmtId="164" fontId="19" fillId="0" borderId="56" xfId="0" applyFont="1" applyFill="1" applyBorder="1" applyAlignment="1" applyProtection="1">
      <alignment horizontal="left"/>
      <protection hidden="1"/>
    </xf>
    <xf numFmtId="164" fontId="18" fillId="2" borderId="0" xfId="0" applyFont="1" applyFill="1" applyBorder="1" applyAlignment="1" applyProtection="1">
      <alignment vertical="top"/>
    </xf>
    <xf numFmtId="164" fontId="11" fillId="0" borderId="0" xfId="0" applyFont="1" applyFill="1" applyAlignment="1" applyProtection="1">
      <alignment horizontal="center"/>
      <protection hidden="1"/>
    </xf>
    <xf numFmtId="164" fontId="6" fillId="4" borderId="0" xfId="0" applyFont="1" applyFill="1" applyAlignment="1" applyProtection="1">
      <alignment vertical="center"/>
    </xf>
    <xf numFmtId="164" fontId="19" fillId="0" borderId="24" xfId="0" applyFont="1" applyFill="1" applyBorder="1" applyAlignment="1" applyProtection="1">
      <alignment horizontal="left" vertical="center"/>
      <protection hidden="1"/>
    </xf>
    <xf numFmtId="168" fontId="25" fillId="2" borderId="24" xfId="0" applyNumberFormat="1" applyFont="1" applyFill="1" applyBorder="1" applyAlignment="1" applyProtection="1">
      <alignment horizontal="center"/>
    </xf>
    <xf numFmtId="164" fontId="45" fillId="9" borderId="0" xfId="0" applyFont="1" applyFill="1" applyAlignment="1" applyProtection="1">
      <alignment wrapText="1"/>
      <protection hidden="1"/>
    </xf>
    <xf numFmtId="3" fontId="15" fillId="8" borderId="30" xfId="0" applyNumberFormat="1" applyFont="1" applyFill="1" applyBorder="1" applyAlignment="1" applyProtection="1">
      <alignment horizontal="center" vertical="center"/>
      <protection hidden="1"/>
    </xf>
    <xf numFmtId="164" fontId="12" fillId="4" borderId="2" xfId="0" applyFont="1" applyFill="1" applyBorder="1" applyAlignment="1" applyProtection="1">
      <alignment horizontal="center" vertical="center" wrapText="1"/>
      <protection hidden="1"/>
    </xf>
    <xf numFmtId="1" fontId="39" fillId="4" borderId="36" xfId="3" applyNumberFormat="1" applyFont="1" applyFill="1" applyBorder="1" applyAlignment="1" applyProtection="1">
      <alignment horizontal="right" vertical="center"/>
    </xf>
    <xf numFmtId="172" fontId="6" fillId="4" borderId="2" xfId="0" applyNumberFormat="1" applyFont="1" applyFill="1" applyBorder="1" applyAlignment="1" applyProtection="1">
      <alignment horizontal="center"/>
    </xf>
    <xf numFmtId="172" fontId="6" fillId="4" borderId="2" xfId="12" applyNumberFormat="1" applyFont="1" applyFill="1" applyBorder="1" applyAlignment="1" applyProtection="1">
      <alignment horizontal="center"/>
    </xf>
    <xf numFmtId="9" fontId="13" fillId="2" borderId="2" xfId="12" applyNumberFormat="1" applyFont="1" applyFill="1" applyBorder="1" applyAlignment="1" applyProtection="1">
      <alignment horizontal="center"/>
    </xf>
    <xf numFmtId="172" fontId="13" fillId="2" borderId="2" xfId="12" applyNumberFormat="1" applyFont="1" applyFill="1" applyBorder="1" applyAlignment="1" applyProtection="1">
      <alignment horizontal="center"/>
    </xf>
    <xf numFmtId="172" fontId="30" fillId="4" borderId="30" xfId="12" applyNumberFormat="1" applyFont="1" applyFill="1" applyBorder="1" applyAlignment="1" applyProtection="1">
      <alignment vertical="center"/>
    </xf>
    <xf numFmtId="164" fontId="46" fillId="10" borderId="61" xfId="0" applyFont="1" applyFill="1" applyBorder="1" applyAlignment="1">
      <alignment horizontal="center" vertical="center" wrapText="1"/>
    </xf>
    <xf numFmtId="164" fontId="47" fillId="10" borderId="64" xfId="0" applyFont="1" applyFill="1" applyBorder="1" applyAlignment="1">
      <alignment horizontal="center" vertical="center" wrapText="1"/>
    </xf>
    <xf numFmtId="164" fontId="48" fillId="11" borderId="53" xfId="0" applyFont="1" applyFill="1" applyBorder="1" applyAlignment="1">
      <alignment horizontal="justify" vertical="center" wrapText="1"/>
    </xf>
    <xf numFmtId="164" fontId="48" fillId="11" borderId="64" xfId="0" applyFont="1" applyFill="1" applyBorder="1" applyAlignment="1">
      <alignment horizontal="justify" vertical="center" wrapText="1"/>
    </xf>
    <xf numFmtId="172" fontId="49" fillId="0" borderId="53" xfId="12" applyNumberFormat="1" applyFont="1" applyBorder="1" applyAlignment="1">
      <alignment horizontal="center" vertical="center" wrapText="1"/>
    </xf>
    <xf numFmtId="172" fontId="50" fillId="0" borderId="53" xfId="12" applyNumberFormat="1" applyFont="1" applyFill="1" applyBorder="1" applyAlignment="1">
      <alignment horizontal="center" vertical="center" wrapText="1"/>
    </xf>
    <xf numFmtId="164" fontId="48" fillId="11" borderId="67" xfId="0" applyFont="1" applyFill="1" applyBorder="1" applyAlignment="1">
      <alignment horizontal="justify" vertical="center" wrapText="1"/>
    </xf>
    <xf numFmtId="164" fontId="48" fillId="12" borderId="53" xfId="0" applyFont="1" applyFill="1" applyBorder="1" applyAlignment="1">
      <alignment horizontal="justify" vertical="center" wrapText="1"/>
    </xf>
    <xf numFmtId="172" fontId="49" fillId="12" borderId="53" xfId="12" applyNumberFormat="1" applyFont="1" applyFill="1" applyBorder="1" applyAlignment="1">
      <alignment horizontal="center" vertical="center" wrapText="1"/>
    </xf>
    <xf numFmtId="172" fontId="0" fillId="0" borderId="0" xfId="0" applyNumberFormat="1"/>
    <xf numFmtId="172" fontId="49" fillId="0" borderId="53" xfId="12" applyNumberFormat="1" applyFont="1" applyFill="1" applyBorder="1" applyAlignment="1">
      <alignment horizontal="center" vertical="center" wrapText="1"/>
    </xf>
    <xf numFmtId="164" fontId="48" fillId="12" borderId="0" xfId="0" applyFont="1" applyFill="1" applyBorder="1" applyAlignment="1">
      <alignment horizontal="justify" vertical="center" wrapText="1"/>
    </xf>
    <xf numFmtId="3" fontId="51" fillId="0" borderId="0" xfId="0" applyNumberFormat="1" applyFont="1" applyFill="1" applyAlignment="1">
      <alignment horizontal="center"/>
    </xf>
    <xf numFmtId="164" fontId="51" fillId="0" borderId="0" xfId="0" applyFont="1" applyFill="1"/>
    <xf numFmtId="164" fontId="47" fillId="10" borderId="62" xfId="0" applyFont="1" applyFill="1" applyBorder="1" applyAlignment="1">
      <alignment horizontal="center" vertical="center" wrapText="1"/>
    </xf>
    <xf numFmtId="3" fontId="52" fillId="0" borderId="0" xfId="0" applyNumberFormat="1" applyFont="1" applyAlignment="1">
      <alignment horizontal="center"/>
    </xf>
    <xf numFmtId="164" fontId="52" fillId="0" borderId="0" xfId="0" applyFont="1"/>
    <xf numFmtId="164" fontId="47" fillId="10" borderId="62" xfId="0" applyFont="1" applyFill="1" applyBorder="1" applyAlignment="1">
      <alignment horizontal="center" vertical="center"/>
    </xf>
    <xf numFmtId="164" fontId="47" fillId="10" borderId="63" xfId="0" applyFont="1" applyFill="1" applyBorder="1" applyAlignment="1">
      <alignment horizontal="center" vertical="center"/>
    </xf>
    <xf numFmtId="164" fontId="47" fillId="10" borderId="65" xfId="0" applyFont="1" applyFill="1" applyBorder="1" applyAlignment="1">
      <alignment horizontal="center" vertical="center"/>
    </xf>
    <xf numFmtId="164" fontId="47" fillId="10" borderId="66" xfId="0" applyFont="1" applyFill="1" applyBorder="1" applyAlignment="1">
      <alignment horizontal="center" vertical="center"/>
    </xf>
    <xf numFmtId="164" fontId="12" fillId="13" borderId="2" xfId="0" applyFont="1" applyFill="1" applyBorder="1" applyAlignment="1" applyProtection="1">
      <alignment horizontal="center" vertical="center" wrapText="1"/>
      <protection hidden="1"/>
    </xf>
    <xf numFmtId="164" fontId="0" fillId="0" borderId="0" xfId="0" applyAlignment="1"/>
    <xf numFmtId="164" fontId="30" fillId="4" borderId="57" xfId="0" applyFont="1" applyFill="1" applyBorder="1" applyAlignment="1" applyProtection="1">
      <alignment horizontal="left" vertical="center" wrapText="1"/>
      <protection hidden="1"/>
    </xf>
    <xf numFmtId="164" fontId="29" fillId="4" borderId="30" xfId="0" applyFont="1" applyFill="1" applyBorder="1" applyAlignment="1" applyProtection="1">
      <protection hidden="1"/>
    </xf>
    <xf numFmtId="164" fontId="11" fillId="2" borderId="0" xfId="0" applyFont="1" applyFill="1" applyAlignment="1" applyProtection="1">
      <alignment vertical="center" wrapText="1"/>
      <protection hidden="1"/>
    </xf>
    <xf numFmtId="164" fontId="0" fillId="2" borderId="0" xfId="0" applyFill="1" applyAlignment="1" applyProtection="1">
      <alignment wrapText="1"/>
      <protection hidden="1"/>
    </xf>
    <xf numFmtId="164" fontId="11" fillId="0" borderId="39" xfId="0" applyFont="1" applyFill="1" applyBorder="1" applyAlignment="1" applyProtection="1">
      <alignment horizontal="right"/>
      <protection hidden="1"/>
    </xf>
    <xf numFmtId="164" fontId="11" fillId="0" borderId="0" xfId="0" applyFont="1" applyFill="1" applyAlignment="1" applyProtection="1">
      <alignment horizontal="center"/>
      <protection hidden="1"/>
    </xf>
    <xf numFmtId="164" fontId="12" fillId="14" borderId="2" xfId="0" applyFont="1" applyFill="1" applyBorder="1" applyAlignment="1" applyProtection="1">
      <alignment horizontal="center" vertical="center" wrapText="1"/>
      <protection hidden="1"/>
    </xf>
    <xf numFmtId="164" fontId="11" fillId="0" borderId="0" xfId="0" applyFont="1" applyFill="1" applyBorder="1" applyAlignment="1" applyProtection="1">
      <alignment horizontal="right"/>
      <protection hidden="1"/>
    </xf>
    <xf numFmtId="170" fontId="19" fillId="0" borderId="0" xfId="1" applyNumberFormat="1" applyFont="1" applyFill="1" applyProtection="1">
      <protection hidden="1"/>
    </xf>
    <xf numFmtId="168" fontId="19" fillId="0" borderId="38" xfId="0" applyNumberFormat="1" applyFont="1" applyFill="1" applyBorder="1" applyAlignment="1" applyProtection="1">
      <alignment horizontal="center"/>
      <protection hidden="1"/>
    </xf>
    <xf numFmtId="167" fontId="19" fillId="0" borderId="38" xfId="0" applyNumberFormat="1" applyFont="1" applyFill="1" applyBorder="1" applyAlignment="1" applyProtection="1">
      <alignment horizontal="center"/>
      <protection hidden="1"/>
    </xf>
    <xf numFmtId="167" fontId="19" fillId="0" borderId="38" xfId="0" quotePrefix="1" applyNumberFormat="1" applyFont="1" applyFill="1" applyBorder="1" applyAlignment="1" applyProtection="1">
      <alignment horizontal="center"/>
      <protection hidden="1"/>
    </xf>
    <xf numFmtId="172" fontId="19" fillId="0" borderId="1" xfId="12" applyNumberFormat="1" applyFont="1" applyFill="1" applyBorder="1" applyProtection="1">
      <protection hidden="1"/>
    </xf>
    <xf numFmtId="164" fontId="11" fillId="0" borderId="1" xfId="0" applyFont="1" applyFill="1" applyBorder="1" applyProtection="1">
      <protection hidden="1"/>
    </xf>
    <xf numFmtId="9" fontId="19" fillId="0" borderId="1" xfId="12" applyFont="1" applyFill="1" applyBorder="1" applyAlignment="1" applyProtection="1">
      <alignment horizontal="center"/>
      <protection hidden="1"/>
    </xf>
    <xf numFmtId="164" fontId="19" fillId="0" borderId="55" xfId="0" applyFont="1" applyFill="1" applyBorder="1" applyAlignment="1" applyProtection="1">
      <alignment horizontal="center" vertical="center"/>
      <protection hidden="1"/>
    </xf>
    <xf numFmtId="168" fontId="19" fillId="0" borderId="55" xfId="0" applyNumberFormat="1" applyFont="1" applyFill="1" applyBorder="1" applyAlignment="1" applyProtection="1">
      <alignment horizontal="center"/>
      <protection hidden="1"/>
    </xf>
    <xf numFmtId="170" fontId="19" fillId="0" borderId="38" xfId="1" applyNumberFormat="1" applyFont="1" applyFill="1" applyBorder="1" applyAlignment="1" applyProtection="1">
      <alignment horizontal="center"/>
      <protection hidden="1"/>
    </xf>
    <xf numFmtId="170" fontId="19" fillId="0" borderId="56" xfId="1" applyNumberFormat="1" applyFont="1" applyFill="1" applyBorder="1" applyAlignment="1" applyProtection="1">
      <alignment horizontal="center"/>
      <protection hidden="1"/>
    </xf>
    <xf numFmtId="3" fontId="19" fillId="0" borderId="56" xfId="1" applyNumberFormat="1" applyFont="1" applyFill="1" applyBorder="1" applyAlignment="1" applyProtection="1">
      <alignment horizontal="center"/>
      <protection hidden="1"/>
    </xf>
    <xf numFmtId="1" fontId="19" fillId="0" borderId="1" xfId="12" applyNumberFormat="1" applyFont="1" applyFill="1" applyBorder="1" applyAlignment="1" applyProtection="1">
      <alignment horizontal="center"/>
      <protection hidden="1"/>
    </xf>
    <xf numFmtId="168" fontId="19" fillId="0" borderId="1" xfId="0" applyNumberFormat="1" applyFont="1" applyFill="1" applyBorder="1" applyAlignment="1" applyProtection="1">
      <alignment horizontal="center"/>
      <protection hidden="1"/>
    </xf>
    <xf numFmtId="2" fontId="25" fillId="0" borderId="24" xfId="0" applyNumberFormat="1" applyFont="1" applyFill="1" applyBorder="1" applyAlignment="1" applyProtection="1">
      <alignment horizontal="center"/>
      <protection hidden="1"/>
    </xf>
    <xf numFmtId="164" fontId="25" fillId="0" borderId="0" xfId="0" applyFont="1" applyFill="1" applyProtection="1">
      <protection hidden="1"/>
    </xf>
    <xf numFmtId="168" fontId="25" fillId="0" borderId="70" xfId="0" applyNumberFormat="1" applyFont="1" applyFill="1" applyBorder="1" applyAlignment="1" applyProtection="1">
      <alignment horizontal="center"/>
    </xf>
    <xf numFmtId="164" fontId="25" fillId="0" borderId="1" xfId="0" applyFont="1" applyFill="1" applyBorder="1" applyProtection="1">
      <protection hidden="1"/>
    </xf>
    <xf numFmtId="9" fontId="25" fillId="0" borderId="1" xfId="0" applyNumberFormat="1" applyFont="1" applyFill="1" applyBorder="1" applyProtection="1">
      <protection hidden="1"/>
    </xf>
    <xf numFmtId="2" fontId="25" fillId="0" borderId="1" xfId="0" applyNumberFormat="1" applyFont="1" applyFill="1" applyBorder="1" applyProtection="1">
      <protection hidden="1"/>
    </xf>
    <xf numFmtId="9" fontId="25" fillId="0" borderId="1" xfId="12" applyFont="1" applyFill="1" applyBorder="1" applyProtection="1">
      <protection hidden="1"/>
    </xf>
    <xf numFmtId="164" fontId="6" fillId="4" borderId="0" xfId="0" applyFont="1" applyFill="1" applyAlignment="1" applyProtection="1">
      <alignment vertical="center"/>
    </xf>
    <xf numFmtId="172" fontId="13" fillId="2" borderId="2" xfId="12" applyNumberFormat="1" applyFont="1" applyFill="1" applyBorder="1" applyAlignment="1" applyProtection="1">
      <alignment horizontal="center"/>
      <protection hidden="1"/>
    </xf>
    <xf numFmtId="170" fontId="11" fillId="0" borderId="0" xfId="1" applyNumberFormat="1" applyFont="1" applyProtection="1"/>
    <xf numFmtId="164" fontId="6" fillId="4" borderId="0" xfId="0" applyNumberFormat="1" applyFont="1" applyFill="1" applyBorder="1" applyAlignment="1" applyProtection="1">
      <alignment vertical="center"/>
    </xf>
    <xf numFmtId="3" fontId="11" fillId="4" borderId="41" xfId="0" applyNumberFormat="1" applyFont="1" applyFill="1" applyBorder="1" applyProtection="1"/>
    <xf numFmtId="2" fontId="6" fillId="4" borderId="0" xfId="12" applyNumberFormat="1" applyFont="1" applyFill="1" applyAlignment="1" applyProtection="1">
      <alignment horizontal="center"/>
      <protection hidden="1"/>
    </xf>
    <xf numFmtId="9" fontId="30" fillId="4" borderId="30" xfId="12" applyNumberFormat="1" applyFont="1" applyFill="1" applyBorder="1" applyAlignment="1" applyProtection="1">
      <alignment vertical="center"/>
    </xf>
    <xf numFmtId="164" fontId="11" fillId="2" borderId="0" xfId="0" applyFont="1" applyFill="1" applyAlignment="1" applyProtection="1">
      <alignment vertical="center" wrapText="1"/>
    </xf>
    <xf numFmtId="164" fontId="11" fillId="2" borderId="54" xfId="0" applyFont="1" applyFill="1" applyBorder="1" applyAlignment="1" applyProtection="1">
      <alignment vertical="center" wrapText="1"/>
    </xf>
    <xf numFmtId="164" fontId="0" fillId="2" borderId="0" xfId="0" applyFill="1" applyAlignment="1" applyProtection="1">
      <alignment vertical="center" wrapText="1"/>
    </xf>
    <xf numFmtId="164" fontId="11" fillId="0" borderId="0" xfId="0" applyFont="1" applyFill="1" applyAlignment="1" applyProtection="1">
      <alignment horizontal="center" vertical="center" wrapText="1"/>
    </xf>
    <xf numFmtId="164" fontId="43" fillId="4" borderId="30" xfId="0" applyFont="1" applyFill="1" applyBorder="1" applyAlignment="1" applyProtection="1">
      <alignment horizontal="left" vertical="center"/>
      <protection locked="0"/>
    </xf>
    <xf numFmtId="164" fontId="43" fillId="4" borderId="36" xfId="0" applyFont="1" applyFill="1" applyBorder="1" applyAlignment="1" applyProtection="1">
      <alignment horizontal="left" vertical="center"/>
      <protection locked="0"/>
    </xf>
    <xf numFmtId="164" fontId="11" fillId="2" borderId="0" xfId="0" applyFont="1" applyFill="1" applyAlignment="1" applyProtection="1">
      <alignment horizontal="left" vertical="center" wrapText="1"/>
    </xf>
    <xf numFmtId="164" fontId="11" fillId="0" borderId="0" xfId="0" applyFont="1" applyFill="1" applyAlignment="1" applyProtection="1">
      <alignment horizontal="right" vertical="center"/>
    </xf>
    <xf numFmtId="164" fontId="0" fillId="0" borderId="0" xfId="0" applyAlignment="1" applyProtection="1">
      <alignment horizontal="right" vertical="center"/>
    </xf>
    <xf numFmtId="164" fontId="7" fillId="4" borderId="0" xfId="0" applyFont="1" applyFill="1" applyAlignment="1" applyProtection="1">
      <alignment horizontal="center" vertical="center"/>
    </xf>
    <xf numFmtId="164" fontId="13" fillId="2" borderId="0" xfId="0" applyFont="1" applyFill="1" applyAlignment="1" applyProtection="1">
      <alignment vertical="center" wrapText="1"/>
    </xf>
    <xf numFmtId="164" fontId="33" fillId="0" borderId="0" xfId="0" applyFont="1" applyAlignment="1" applyProtection="1">
      <alignment vertical="center" wrapText="1"/>
    </xf>
    <xf numFmtId="164" fontId="15" fillId="4" borderId="30" xfId="0" applyFont="1" applyFill="1" applyBorder="1" applyAlignment="1" applyProtection="1">
      <alignment vertical="center"/>
      <protection locked="0"/>
    </xf>
    <xf numFmtId="164" fontId="0" fillId="4" borderId="30" xfId="0" applyFill="1" applyBorder="1" applyAlignment="1" applyProtection="1">
      <protection locked="0"/>
    </xf>
    <xf numFmtId="164" fontId="43" fillId="4" borderId="36" xfId="0" applyFont="1" applyFill="1" applyBorder="1" applyAlignment="1" applyProtection="1">
      <alignment vertical="center"/>
      <protection locked="0"/>
    </xf>
    <xf numFmtId="164" fontId="11" fillId="2" borderId="71" xfId="0" applyFont="1" applyFill="1" applyBorder="1" applyAlignment="1" applyProtection="1">
      <alignment horizontal="left" vertical="center" wrapText="1"/>
    </xf>
    <xf numFmtId="164" fontId="11" fillId="2" borderId="0" xfId="0" applyFont="1" applyFill="1" applyBorder="1" applyAlignment="1" applyProtection="1">
      <alignment horizontal="left" vertical="center" wrapText="1"/>
    </xf>
    <xf numFmtId="164" fontId="0" fillId="2" borderId="0" xfId="0" applyFill="1" applyAlignment="1" applyProtection="1">
      <alignment wrapText="1"/>
    </xf>
    <xf numFmtId="164" fontId="13" fillId="2" borderId="27" xfId="0" applyFont="1" applyFill="1" applyBorder="1" applyAlignment="1" applyProtection="1">
      <alignment horizontal="center" wrapText="1"/>
    </xf>
    <xf numFmtId="164" fontId="0" fillId="0" borderId="28" xfId="0" applyBorder="1" applyAlignment="1">
      <alignment wrapText="1"/>
    </xf>
    <xf numFmtId="164" fontId="0" fillId="0" borderId="29" xfId="0" applyBorder="1" applyAlignment="1">
      <alignment wrapText="1"/>
    </xf>
    <xf numFmtId="164" fontId="18" fillId="2" borderId="0" xfId="0" applyFont="1" applyFill="1" applyBorder="1" applyAlignment="1" applyProtection="1">
      <alignment wrapText="1"/>
    </xf>
    <xf numFmtId="164" fontId="7" fillId="4" borderId="39" xfId="0" applyFont="1" applyFill="1" applyBorder="1" applyAlignment="1" applyProtection="1">
      <alignment horizontal="center" vertical="center" wrapText="1"/>
      <protection locked="0"/>
    </xf>
    <xf numFmtId="164" fontId="9" fillId="4" borderId="39" xfId="0" applyFont="1" applyFill="1" applyBorder="1" applyAlignment="1">
      <alignment horizontal="center" vertical="center" wrapText="1"/>
    </xf>
    <xf numFmtId="164" fontId="11" fillId="0" borderId="0" xfId="0" applyFont="1" applyFill="1" applyAlignment="1" applyProtection="1">
      <alignment horizontal="center" vertical="center"/>
      <protection locked="0"/>
    </xf>
    <xf numFmtId="164" fontId="18" fillId="2" borderId="0" xfId="0" applyFont="1" applyFill="1" applyAlignment="1" applyProtection="1">
      <alignment wrapText="1"/>
    </xf>
    <xf numFmtId="164" fontId="18" fillId="2" borderId="0" xfId="0" applyFont="1" applyFill="1" applyBorder="1" applyAlignment="1" applyProtection="1">
      <alignment vertical="top"/>
    </xf>
    <xf numFmtId="164" fontId="0" fillId="0" borderId="0" xfId="0" applyAlignment="1"/>
    <xf numFmtId="164" fontId="0" fillId="2" borderId="0" xfId="0" applyFill="1" applyAlignment="1"/>
    <xf numFmtId="164" fontId="0" fillId="4" borderId="36" xfId="0" applyFill="1" applyBorder="1" applyAlignment="1" applyProtection="1">
      <protection locked="0"/>
    </xf>
    <xf numFmtId="164" fontId="11" fillId="2" borderId="32" xfId="0" applyFont="1" applyFill="1" applyBorder="1" applyAlignment="1" applyProtection="1">
      <alignment horizontal="left" vertical="center" wrapText="1"/>
    </xf>
    <xf numFmtId="164" fontId="19" fillId="0" borderId="55" xfId="0" applyFont="1" applyFill="1" applyBorder="1" applyAlignment="1" applyProtection="1">
      <alignment horizontal="center" vertical="center"/>
      <protection hidden="1"/>
    </xf>
    <xf numFmtId="164" fontId="19" fillId="0" borderId="69" xfId="0" applyFont="1" applyFill="1" applyBorder="1" applyAlignment="1" applyProtection="1">
      <alignment horizontal="center" vertical="center"/>
      <protection hidden="1"/>
    </xf>
    <xf numFmtId="164" fontId="11" fillId="0" borderId="0" xfId="0" applyFont="1" applyFill="1" applyAlignment="1" applyProtection="1">
      <alignment horizontal="center" vertical="center" wrapText="1"/>
      <protection hidden="1"/>
    </xf>
    <xf numFmtId="164" fontId="24" fillId="0" borderId="0" xfId="0" applyFont="1" applyFill="1" applyAlignment="1" applyProtection="1">
      <alignment horizontal="center" vertical="center" wrapText="1"/>
      <protection hidden="1"/>
    </xf>
    <xf numFmtId="172" fontId="19" fillId="0" borderId="13" xfId="12" applyNumberFormat="1" applyFont="1" applyFill="1" applyBorder="1" applyAlignment="1" applyProtection="1">
      <alignment horizontal="center"/>
      <protection hidden="1"/>
    </xf>
    <xf numFmtId="172" fontId="19" fillId="0" borderId="0" xfId="12" applyNumberFormat="1" applyFont="1" applyFill="1" applyBorder="1" applyAlignment="1" applyProtection="1">
      <alignment horizontal="center"/>
      <protection hidden="1"/>
    </xf>
    <xf numFmtId="164" fontId="19" fillId="0" borderId="68" xfId="0" applyFont="1" applyFill="1" applyBorder="1" applyAlignment="1" applyProtection="1">
      <alignment horizontal="center" vertical="center"/>
      <protection hidden="1"/>
    </xf>
    <xf numFmtId="164" fontId="0" fillId="0" borderId="0" xfId="0" applyFont="1" applyAlignment="1" applyProtection="1">
      <alignment wrapText="1"/>
    </xf>
    <xf numFmtId="9" fontId="6" fillId="4" borderId="0" xfId="12" applyFont="1" applyFill="1" applyBorder="1" applyAlignment="1" applyProtection="1">
      <alignment horizontal="left"/>
    </xf>
    <xf numFmtId="164" fontId="6" fillId="4" borderId="0" xfId="0" applyFont="1" applyFill="1" applyAlignment="1" applyProtection="1"/>
    <xf numFmtId="164" fontId="6" fillId="4" borderId="0" xfId="0" applyNumberFormat="1" applyFont="1" applyFill="1" applyBorder="1" applyAlignment="1" applyProtection="1">
      <alignment horizontal="left" vertical="center"/>
    </xf>
    <xf numFmtId="164" fontId="6" fillId="4" borderId="0" xfId="0" applyFont="1" applyFill="1" applyAlignment="1" applyProtection="1">
      <alignment vertical="center"/>
    </xf>
    <xf numFmtId="164" fontId="11" fillId="0" borderId="0" xfId="0" applyFont="1" applyBorder="1" applyAlignment="1" applyProtection="1">
      <alignment horizontal="center" wrapText="1"/>
    </xf>
    <xf numFmtId="164" fontId="11" fillId="0" borderId="0" xfId="0" applyFont="1" applyBorder="1" applyAlignment="1" applyProtection="1">
      <alignment horizontal="center" vertical="center" wrapText="1"/>
    </xf>
    <xf numFmtId="164" fontId="30" fillId="4" borderId="2" xfId="0" applyNumberFormat="1" applyFont="1" applyFill="1" applyBorder="1" applyAlignment="1" applyProtection="1">
      <alignment horizontal="center" vertical="center" wrapText="1"/>
    </xf>
    <xf numFmtId="164" fontId="30" fillId="4" borderId="2" xfId="0" applyFont="1" applyFill="1" applyBorder="1" applyAlignment="1" applyProtection="1">
      <alignment vertical="center" wrapText="1"/>
    </xf>
    <xf numFmtId="164" fontId="10" fillId="4" borderId="58" xfId="0" applyFont="1" applyFill="1" applyBorder="1" applyAlignment="1" applyProtection="1">
      <alignment horizontal="center" vertical="center"/>
    </xf>
    <xf numFmtId="164" fontId="10" fillId="4" borderId="41" xfId="0" applyFont="1" applyFill="1" applyBorder="1" applyAlignment="1" applyProtection="1">
      <alignment horizontal="center" vertical="center"/>
    </xf>
    <xf numFmtId="164" fontId="10" fillId="4" borderId="59" xfId="0" applyFont="1" applyFill="1" applyBorder="1" applyAlignment="1" applyProtection="1">
      <alignment horizontal="center" vertical="center"/>
    </xf>
    <xf numFmtId="164" fontId="30" fillId="4" borderId="60" xfId="0" applyNumberFormat="1" applyFont="1" applyFill="1" applyBorder="1" applyAlignment="1" applyProtection="1">
      <alignment horizontal="center" vertical="center"/>
    </xf>
    <xf numFmtId="164" fontId="30" fillId="4" borderId="60" xfId="0" applyFont="1" applyFill="1" applyBorder="1" applyAlignment="1" applyProtection="1">
      <alignment vertical="center"/>
    </xf>
    <xf numFmtId="164" fontId="10" fillId="4" borderId="32" xfId="0" applyFont="1" applyFill="1" applyBorder="1" applyAlignment="1" applyProtection="1">
      <alignment horizontal="center" vertical="center"/>
    </xf>
    <xf numFmtId="164" fontId="10" fillId="4" borderId="0" xfId="0" applyFont="1" applyFill="1" applyBorder="1" applyAlignment="1" applyProtection="1">
      <alignment horizontal="center" vertical="center"/>
    </xf>
    <xf numFmtId="164" fontId="10" fillId="4" borderId="33" xfId="0" applyFont="1" applyFill="1" applyBorder="1" applyAlignment="1" applyProtection="1">
      <alignment horizontal="center" vertical="center"/>
    </xf>
    <xf numFmtId="164" fontId="30" fillId="4" borderId="42" xfId="0" applyFont="1" applyFill="1" applyBorder="1" applyAlignment="1" applyProtection="1">
      <alignment horizontal="center" vertical="center" wrapText="1"/>
    </xf>
    <xf numFmtId="164" fontId="30" fillId="4" borderId="2" xfId="0" applyFont="1" applyFill="1" applyBorder="1" applyAlignment="1" applyProtection="1">
      <alignment horizontal="center" vertical="center" wrapText="1"/>
    </xf>
    <xf numFmtId="164" fontId="6" fillId="4" borderId="2" xfId="0" applyNumberFormat="1" applyFont="1" applyFill="1" applyBorder="1" applyAlignment="1" applyProtection="1">
      <alignment horizontal="left"/>
    </xf>
    <xf numFmtId="164" fontId="6" fillId="4" borderId="2" xfId="0" applyFont="1" applyFill="1" applyBorder="1" applyAlignment="1" applyProtection="1"/>
    <xf numFmtId="9" fontId="6" fillId="4" borderId="0" xfId="0" applyNumberFormat="1" applyFont="1" applyFill="1" applyAlignment="1" applyProtection="1">
      <alignment horizontal="left" wrapText="1"/>
    </xf>
    <xf numFmtId="164" fontId="6" fillId="4" borderId="0" xfId="0" applyFont="1" applyFill="1" applyAlignment="1" applyProtection="1">
      <alignment wrapText="1"/>
    </xf>
    <xf numFmtId="164" fontId="30" fillId="4" borderId="2" xfId="0" applyNumberFormat="1" applyFont="1" applyFill="1" applyBorder="1" applyAlignment="1" applyProtection="1">
      <alignment horizontal="center" vertical="center"/>
    </xf>
    <xf numFmtId="164" fontId="30" fillId="4" borderId="2" xfId="0" applyFont="1" applyFill="1" applyBorder="1" applyAlignment="1" applyProtection="1">
      <alignment vertical="center"/>
    </xf>
    <xf numFmtId="164" fontId="6" fillId="4" borderId="2" xfId="0" applyFont="1" applyFill="1" applyBorder="1" applyAlignment="1" applyProtection="1">
      <alignment vertical="center"/>
    </xf>
    <xf numFmtId="164" fontId="6" fillId="4" borderId="0" xfId="0" applyNumberFormat="1" applyFont="1" applyFill="1" applyAlignment="1" applyProtection="1">
      <alignment horizontal="left"/>
    </xf>
    <xf numFmtId="164" fontId="6" fillId="4" borderId="0" xfId="0" applyNumberFormat="1" applyFont="1" applyFill="1" applyBorder="1" applyAlignment="1" applyProtection="1">
      <alignment horizontal="left"/>
    </xf>
    <xf numFmtId="3" fontId="30" fillId="4" borderId="2" xfId="0" applyNumberFormat="1" applyFont="1" applyFill="1" applyBorder="1" applyAlignment="1" applyProtection="1">
      <alignment horizontal="center" vertical="center" wrapText="1"/>
    </xf>
    <xf numFmtId="164" fontId="6" fillId="4" borderId="54" xfId="0" applyNumberFormat="1" applyFont="1" applyFill="1" applyBorder="1" applyAlignment="1" applyProtection="1">
      <alignment horizontal="left" vertical="center" wrapText="1"/>
    </xf>
    <xf numFmtId="164" fontId="6" fillId="4" borderId="0" xfId="0" applyNumberFormat="1" applyFont="1" applyFill="1" applyBorder="1" applyAlignment="1" applyProtection="1">
      <alignment horizontal="left" vertical="center" wrapText="1"/>
    </xf>
    <xf numFmtId="164" fontId="13" fillId="0" borderId="0" xfId="0" applyFont="1" applyAlignment="1" applyProtection="1">
      <alignment wrapText="1"/>
    </xf>
    <xf numFmtId="164" fontId="11" fillId="0" borderId="0" xfId="0" applyFont="1" applyAlignment="1" applyProtection="1">
      <alignment wrapText="1"/>
    </xf>
    <xf numFmtId="164" fontId="11" fillId="6" borderId="0" xfId="0" applyFont="1" applyFill="1" applyAlignment="1" applyProtection="1">
      <alignment horizontal="center" vertical="center" wrapText="1"/>
    </xf>
    <xf numFmtId="164" fontId="35" fillId="5" borderId="50" xfId="0" applyFont="1" applyFill="1" applyBorder="1" applyAlignment="1">
      <alignment horizontal="center"/>
    </xf>
    <xf numFmtId="164" fontId="35" fillId="5" borderId="51" xfId="0" applyFont="1" applyFill="1" applyBorder="1" applyAlignment="1">
      <alignment horizontal="center"/>
    </xf>
    <xf numFmtId="164" fontId="35" fillId="5" borderId="52" xfId="0" applyFont="1" applyFill="1" applyBorder="1" applyAlignment="1">
      <alignment horizontal="center"/>
    </xf>
    <xf numFmtId="164" fontId="38" fillId="5" borderId="35" xfId="3" applyNumberFormat="1" applyFont="1" applyFill="1" applyBorder="1" applyAlignment="1" applyProtection="1">
      <alignment horizontal="center"/>
    </xf>
    <xf numFmtId="164" fontId="38" fillId="5" borderId="53" xfId="3" applyNumberFormat="1" applyFont="1" applyFill="1" applyBorder="1" applyAlignment="1" applyProtection="1">
      <alignment horizontal="center"/>
    </xf>
    <xf numFmtId="164" fontId="8" fillId="3" borderId="0" xfId="0" applyFont="1" applyFill="1" applyAlignment="1" applyProtection="1">
      <alignment horizontal="center" wrapText="1"/>
      <protection hidden="1"/>
    </xf>
    <xf numFmtId="164" fontId="22" fillId="0" borderId="0" xfId="0" applyFont="1" applyAlignment="1" applyProtection="1">
      <alignment horizontal="center" wrapText="1"/>
      <protection hidden="1"/>
    </xf>
    <xf numFmtId="164" fontId="13" fillId="3" borderId="13" xfId="0" applyNumberFormat="1" applyFont="1" applyFill="1" applyBorder="1" applyAlignment="1" applyProtection="1">
      <alignment horizontal="center"/>
      <protection hidden="1"/>
    </xf>
    <xf numFmtId="164" fontId="13" fillId="3" borderId="0" xfId="0" applyNumberFormat="1" applyFont="1" applyFill="1" applyBorder="1" applyAlignment="1" applyProtection="1">
      <alignment horizontal="center"/>
      <protection hidden="1"/>
    </xf>
    <xf numFmtId="164" fontId="13" fillId="3" borderId="14" xfId="0" applyNumberFormat="1" applyFont="1" applyFill="1" applyBorder="1" applyAlignment="1" applyProtection="1">
      <alignment horizontal="center"/>
      <protection hidden="1"/>
    </xf>
  </cellXfs>
  <cellStyles count="13">
    <cellStyle name="Comma" xfId="1" builtinId="3"/>
    <cellStyle name="Currency" xfId="2" builtinId="4"/>
    <cellStyle name="Hyperlink" xfId="3" builtinId="8"/>
    <cellStyle name="Normal" xfId="0" builtinId="0"/>
    <cellStyle name="Normal - Style1" xfId="4" xr:uid="{00000000-0005-0000-0000-000004000000}"/>
    <cellStyle name="Normal - Style2" xfId="5" xr:uid="{00000000-0005-0000-0000-000005000000}"/>
    <cellStyle name="Normal - Style3" xfId="6" xr:uid="{00000000-0005-0000-0000-000006000000}"/>
    <cellStyle name="Normal - Style4" xfId="7" xr:uid="{00000000-0005-0000-0000-000007000000}"/>
    <cellStyle name="Normal - Style5" xfId="8" xr:uid="{00000000-0005-0000-0000-000008000000}"/>
    <cellStyle name="Normal - Style6" xfId="9" xr:uid="{00000000-0005-0000-0000-000009000000}"/>
    <cellStyle name="Normal - Style7" xfId="10" xr:uid="{00000000-0005-0000-0000-00000A000000}"/>
    <cellStyle name="Normal - Style8" xfId="11" xr:uid="{00000000-0005-0000-0000-00000B000000}"/>
    <cellStyle name="Percent" xfId="12"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DFDA00"/>
      <rgbColor rgb="0000FFFF"/>
      <rgbColor rgb="00800080"/>
      <rgbColor rgb="00E60000"/>
      <rgbColor rgb="00008080"/>
      <rgbColor rgb="000000FF"/>
      <rgbColor rgb="0000CFFF"/>
      <rgbColor rgb="0069FFFF"/>
      <rgbColor rgb="00E0FFE0"/>
      <rgbColor rgb="00FFFF80"/>
      <rgbColor rgb="00A6CAF0"/>
      <rgbColor rgb="00DD9CB3"/>
      <rgbColor rgb="00B38FEE"/>
      <rgbColor rgb="00E3E3E3"/>
      <rgbColor rgb="002A6FF9"/>
      <rgbColor rgb="003FB8CD"/>
      <rgbColor rgb="00488436"/>
      <rgbColor rgb="00958C41"/>
      <rgbColor rgb="008E5E42"/>
      <rgbColor rgb="00A0627A"/>
      <rgbColor rgb="00624FAC"/>
      <rgbColor rgb="00969696"/>
      <rgbColor rgb="001D2FBE"/>
      <rgbColor rgb="00286676"/>
      <rgbColor rgb="00004500"/>
      <rgbColor rgb="00453E01"/>
      <rgbColor rgb="006A2813"/>
      <rgbColor rgb="0085396A"/>
      <rgbColor rgb="004A3285"/>
      <rgbColor rgb="00424242"/>
    </indexedColors>
    <mruColors>
      <color rgb="FF0066CC"/>
      <color rgb="FF0066FF"/>
      <color rgb="FF3366FF"/>
      <color rgb="FF3333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'Output-Graph'!$B$9:$B$12</c:f>
          <c:strCache>
            <c:ptCount val="4"/>
            <c:pt idx="0">
              <c:v>Landfill Gas Generation and Recovery Projection          </c:v>
            </c:pt>
            <c:pt idx="1">
              <c:v>Poland Landfill,</c:v>
            </c:pt>
            <c:pt idx="2">
              <c:v>Warsaw,</c:v>
            </c:pt>
            <c:pt idx="3">
              <c:v>Poland</c:v>
            </c:pt>
          </c:strCache>
        </c:strRef>
      </c:tx>
      <c:layout>
        <c:manualLayout>
          <c:xMode val="edge"/>
          <c:yMode val="edge"/>
          <c:x val="0.1633605600933489"/>
          <c:y val="9.7847451618544006E-3"/>
        </c:manualLayout>
      </c:layout>
      <c:overlay val="0"/>
      <c:spPr>
        <a:noFill/>
        <a:ln w="25400">
          <a:noFill/>
        </a:ln>
      </c:spPr>
      <c:txPr>
        <a:bodyPr/>
        <a:lstStyle/>
        <a:p>
          <a:pPr>
            <a:defRPr sz="1600" b="1" i="0" u="none" strike="noStrike" baseline="0">
              <a:solidFill>
                <a:srgbClr val="000000"/>
              </a:solidFill>
              <a:latin typeface="Verdana"/>
              <a:ea typeface="Verdana"/>
              <a:cs typeface="Verdana"/>
            </a:defRPr>
          </a:pPr>
          <a:endParaRPr lang="en-US"/>
        </a:p>
      </c:txPr>
    </c:title>
    <c:autoTitleDeleted val="0"/>
    <c:plotArea>
      <c:layout>
        <c:manualLayout>
          <c:layoutTarget val="inner"/>
          <c:xMode val="edge"/>
          <c:yMode val="edge"/>
          <c:x val="9.9183197199533252E-2"/>
          <c:y val="0.13502948323359074"/>
          <c:w val="0.85530921820303385"/>
          <c:h val="0.69863080455640414"/>
        </c:manualLayout>
      </c:layout>
      <c:scatterChart>
        <c:scatterStyle val="lineMarker"/>
        <c:varyColors val="0"/>
        <c:ser>
          <c:idx val="2"/>
          <c:order val="0"/>
          <c:tx>
            <c:v>Landfill Gas Generation</c:v>
          </c:tx>
          <c:spPr>
            <a:ln w="12700">
              <a:solidFill>
                <a:srgbClr val="000000"/>
              </a:solidFill>
              <a:prstDash val="solid"/>
            </a:ln>
          </c:spPr>
          <c:marker>
            <c:symbol val="none"/>
          </c:marker>
          <c:xVal>
            <c:numRef>
              <c:f>'Output-Table'!$A$13:$A$112</c:f>
              <c:numCache>
                <c:formatCode>General_)</c:formatCode>
                <c:ptCount val="10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pt idx="61">
                  <c:v>2051</c:v>
                </c:pt>
                <c:pt idx="62">
                  <c:v>2052</c:v>
                </c:pt>
                <c:pt idx="63">
                  <c:v>2053</c:v>
                </c:pt>
                <c:pt idx="64">
                  <c:v>2054</c:v>
                </c:pt>
                <c:pt idx="65">
                  <c:v>2055</c:v>
                </c:pt>
                <c:pt idx="66">
                  <c:v>2056</c:v>
                </c:pt>
                <c:pt idx="67">
                  <c:v>2057</c:v>
                </c:pt>
                <c:pt idx="68">
                  <c:v>2058</c:v>
                </c:pt>
                <c:pt idx="69">
                  <c:v>2059</c:v>
                </c:pt>
                <c:pt idx="70">
                  <c:v>2060</c:v>
                </c:pt>
                <c:pt idx="71">
                  <c:v>2061</c:v>
                </c:pt>
                <c:pt idx="72">
                  <c:v>2062</c:v>
                </c:pt>
                <c:pt idx="73">
                  <c:v>2063</c:v>
                </c:pt>
                <c:pt idx="74">
                  <c:v>2064</c:v>
                </c:pt>
                <c:pt idx="75">
                  <c:v>2065</c:v>
                </c:pt>
                <c:pt idx="76">
                  <c:v>2066</c:v>
                </c:pt>
                <c:pt idx="77">
                  <c:v>2067</c:v>
                </c:pt>
                <c:pt idx="78">
                  <c:v>2068</c:v>
                </c:pt>
                <c:pt idx="79">
                  <c:v>2069</c:v>
                </c:pt>
                <c:pt idx="80">
                  <c:v>2070</c:v>
                </c:pt>
                <c:pt idx="81">
                  <c:v>2071</c:v>
                </c:pt>
                <c:pt idx="82">
                  <c:v>2072</c:v>
                </c:pt>
                <c:pt idx="83">
                  <c:v>2073</c:v>
                </c:pt>
                <c:pt idx="84">
                  <c:v>2074</c:v>
                </c:pt>
                <c:pt idx="85">
                  <c:v>2075</c:v>
                </c:pt>
                <c:pt idx="86">
                  <c:v>2076</c:v>
                </c:pt>
                <c:pt idx="87">
                  <c:v>2077</c:v>
                </c:pt>
                <c:pt idx="88">
                  <c:v>2078</c:v>
                </c:pt>
                <c:pt idx="89">
                  <c:v>2079</c:v>
                </c:pt>
                <c:pt idx="90">
                  <c:v>2080</c:v>
                </c:pt>
                <c:pt idx="91">
                  <c:v>2081</c:v>
                </c:pt>
                <c:pt idx="92">
                  <c:v>2082</c:v>
                </c:pt>
                <c:pt idx="93">
                  <c:v>2083</c:v>
                </c:pt>
                <c:pt idx="94">
                  <c:v>2084</c:v>
                </c:pt>
                <c:pt idx="95">
                  <c:v>2085</c:v>
                </c:pt>
                <c:pt idx="96">
                  <c:v>2086</c:v>
                </c:pt>
                <c:pt idx="97">
                  <c:v>2087</c:v>
                </c:pt>
                <c:pt idx="98">
                  <c:v>2088</c:v>
                </c:pt>
                <c:pt idx="99">
                  <c:v>2089</c:v>
                </c:pt>
              </c:numCache>
            </c:numRef>
          </c:xVal>
          <c:yVal>
            <c:numRef>
              <c:f>'Output-Table'!$D$13:$D$112</c:f>
              <c:numCache>
                <c:formatCode>#,##0</c:formatCode>
                <c:ptCount val="100"/>
                <c:pt idx="0" formatCode="General_)">
                  <c:v>0</c:v>
                </c:pt>
                <c:pt idx="1">
                  <c:v>246.71099817262933</c:v>
                </c:pt>
                <c:pt idx="2">
                  <c:v>474.96100402366551</c:v>
                </c:pt>
                <c:pt idx="3">
                  <c:v>687.11456827911388</c:v>
                </c:pt>
                <c:pt idx="4">
                  <c:v>885.23866535110085</c:v>
                </c:pt>
                <c:pt idx="5">
                  <c:v>1071.1498166947781</c:v>
                </c:pt>
                <c:pt idx="6">
                  <c:v>1246.4288591697452</c:v>
                </c:pt>
                <c:pt idx="7">
                  <c:v>1412.4774259725441</c:v>
                </c:pt>
                <c:pt idx="8">
                  <c:v>1570.5149393781051</c:v>
                </c:pt>
                <c:pt idx="9">
                  <c:v>1721.6104550894386</c:v>
                </c:pt>
                <c:pt idx="10">
                  <c:v>1866.710703602733</c:v>
                </c:pt>
                <c:pt idx="11">
                  <c:v>2006.6471103092647</c:v>
                </c:pt>
                <c:pt idx="12">
                  <c:v>2142.1592962311061</c:v>
                </c:pt>
                <c:pt idx="13">
                  <c:v>2273.889297331425</c:v>
                </c:pt>
                <c:pt idx="14">
                  <c:v>2402.4113186496047</c:v>
                </c:pt>
                <c:pt idx="15">
                  <c:v>2528.23171601691</c:v>
                </c:pt>
                <c:pt idx="16">
                  <c:v>2651.806372630625</c:v>
                </c:pt>
                <c:pt idx="17">
                  <c:v>2773.5295893435518</c:v>
                </c:pt>
                <c:pt idx="18">
                  <c:v>2893.7592013689336</c:v>
                </c:pt>
                <c:pt idx="19">
                  <c:v>3012.8213747309387</c:v>
                </c:pt>
                <c:pt idx="20">
                  <c:v>3130.9970788946457</c:v>
                </c:pt>
                <c:pt idx="21">
                  <c:v>3248.5450990816057</c:v>
                </c:pt>
                <c:pt idx="22">
                  <c:v>3365.6961502290119</c:v>
                </c:pt>
                <c:pt idx="23">
                  <c:v>3499.5344255010259</c:v>
                </c:pt>
                <c:pt idx="24">
                  <c:v>3632.1193869945409</c:v>
                </c:pt>
                <c:pt idx="25">
                  <c:v>3763.7876445996867</c:v>
                </c:pt>
                <c:pt idx="26">
                  <c:v>3894.8378008279624</c:v>
                </c:pt>
                <c:pt idx="27">
                  <c:v>4025.5440110913109</c:v>
                </c:pt>
                <c:pt idx="28">
                  <c:v>3716.4251090197454</c:v>
                </c:pt>
                <c:pt idx="29">
                  <c:v>3440.3418393336869</c:v>
                </c:pt>
                <c:pt idx="30">
                  <c:v>3193.2784487331523</c:v>
                </c:pt>
                <c:pt idx="31">
                  <c:v>2971.7288824979037</c:v>
                </c:pt>
                <c:pt idx="32">
                  <c:v>2772.6310586526706</c:v>
                </c:pt>
                <c:pt idx="33">
                  <c:v>2593.3096744353006</c:v>
                </c:pt>
                <c:pt idx="34">
                  <c:v>2431.4264339478946</c:v>
                </c:pt>
                <c:pt idx="35">
                  <c:v>2284.9367307923662</c:v>
                </c:pt>
                <c:pt idx="36">
                  <c:v>2152.0519454964365</c:v>
                </c:pt>
                <c:pt idx="37">
                  <c:v>2031.2066270940825</c:v>
                </c:pt>
                <c:pt idx="38">
                  <c:v>1921.0299234834192</c:v>
                </c:pt>
                <c:pt idx="39">
                  <c:v>1820.3207080122261</c:v>
                </c:pt>
                <c:pt idx="40">
                  <c:v>1728.0259217597704</c:v>
                </c:pt>
                <c:pt idx="41">
                  <c:v>1643.2217136048116</c:v>
                </c:pt>
                <c:pt idx="42">
                  <c:v>1565.0970146203313</c:v>
                </c:pt>
                <c:pt idx="43">
                  <c:v>1492.9392306825528</c:v>
                </c:pt>
                <c:pt idx="44">
                  <c:v>1426.121778352343</c:v>
                </c:pt>
                <c:pt idx="45">
                  <c:v>1364.0932248876813</c:v>
                </c:pt>
                <c:pt idx="46">
                  <c:v>1306.367824377227</c:v>
                </c:pt>
                <c:pt idx="47">
                  <c:v>1252.5172690568079</c:v>
                </c:pt>
                <c:pt idx="48">
                  <c:v>1202.1634984125762</c:v>
                </c:pt>
                <c:pt idx="49">
                  <c:v>1154.972429147467</c:v>
                </c:pt>
                <c:pt idx="50">
                  <c:v>1110.6484868917328</c:v>
                </c:pt>
                <c:pt idx="51">
                  <c:v>1068.9298360222899</c:v>
                </c:pt>
                <c:pt idx="52">
                  <c:v>1029.5842174217744</c:v>
                </c:pt>
                <c:pt idx="53">
                  <c:v>992.40531572011355</c:v>
                </c:pt>
                <c:pt idx="54">
                  <c:v>957.2095877477451</c:v>
                </c:pt>
                <c:pt idx="55">
                  <c:v>923.83349278946025</c:v>
                </c:pt>
                <c:pt idx="56">
                  <c:v>892.1310729341418</c:v>
                </c:pt>
                <c:pt idx="57">
                  <c:v>861.97183851891305</c:v>
                </c:pt>
                <c:pt idx="58">
                  <c:v>833.23891949719109</c:v>
                </c:pt>
                <c:pt idx="59">
                  <c:v>805.82744863248195</c:v>
                </c:pt>
                <c:pt idx="60">
                  <c:v>779.64314683253804</c:v>
                </c:pt>
                <c:pt idx="61">
                  <c:v>754.60108477747679</c:v>
                </c:pt>
                <c:pt idx="62">
                  <c:v>730.62459833558989</c:v>
                </c:pt>
                <c:pt idx="63">
                  <c:v>707.6443381667134</c:v>
                </c:pt>
                <c:pt idx="64">
                  <c:v>685.59743644182288</c:v>
                </c:pt>
                <c:pt idx="65">
                  <c:v>664.42677580800841</c:v>
                </c:pt>
                <c:pt idx="66">
                  <c:v>644.08034764302204</c:v>
                </c:pt>
                <c:pt idx="67">
                  <c:v>624.51068831024338</c:v>
                </c:pt>
                <c:pt idx="68">
                  <c:v>605.67438357556193</c:v>
                </c:pt>
                <c:pt idx="69">
                  <c:v>587.53163261041857</c:v>
                </c:pt>
                <c:pt idx="70">
                  <c:v>570.04586410450713</c:v>
                </c:pt>
                <c:pt idx="71">
                  <c:v>553.18339796867235</c:v>
                </c:pt>
                <c:pt idx="72">
                  <c:v>536.91314694189259</c:v>
                </c:pt>
                <c:pt idx="73">
                  <c:v>521.20635314186018</c:v>
                </c:pt>
                <c:pt idx="74">
                  <c:v>506.03635523069403</c:v>
                </c:pt>
                <c:pt idx="75">
                  <c:v>491.37838241780224</c:v>
                </c:pt>
                <c:pt idx="76">
                  <c:v>477.20937200145602</c:v>
                </c:pt>
                <c:pt idx="77">
                  <c:v>463.50780756848326</c:v>
                </c:pt>
                <c:pt idx="78">
                  <c:v>450.25357533556405</c:v>
                </c:pt>
                <c:pt idx="79">
                  <c:v>437.4278364329673</c:v>
                </c:pt>
                <c:pt idx="80">
                  <c:v>425.0129132081783</c:v>
                </c:pt>
                <c:pt idx="81">
                  <c:v>412.99218786805585</c:v>
                </c:pt>
                <c:pt idx="82">
                  <c:v>401.350011988478</c:v>
                </c:pt>
                <c:pt idx="83">
                  <c:v>390.07162560390503</c:v>
                </c:pt>
                <c:pt idx="84">
                  <c:v>379.14308474932648</c:v>
                </c:pt>
                <c:pt idx="85">
                  <c:v>368.5511964667599</c:v>
                </c:pt>
                <c:pt idx="86">
                  <c:v>358.28346041036713</c:v>
                </c:pt>
                <c:pt idx="87">
                  <c:v>348.32801629073003</c:v>
                </c:pt>
                <c:pt idx="88">
                  <c:v>338.6735964918023</c:v>
                </c:pt>
                <c:pt idx="89">
                  <c:v>329.30948327528171</c:v>
                </c:pt>
                <c:pt idx="90">
                  <c:v>320.22547005816347</c:v>
                </c:pt>
                <c:pt idx="91">
                  <c:v>311.41182631128606</c:v>
                </c:pt>
                <c:pt idx="92">
                  <c:v>302.85926568099677</c:v>
                </c:pt>
                <c:pt idx="93">
                  <c:v>294.55891698355401</c:v>
                </c:pt>
                <c:pt idx="94">
                  <c:v>286.50229776347203</c:v>
                </c:pt>
                <c:pt idx="95">
                  <c:v>278.68129014343521</c:v>
                </c:pt>
                <c:pt idx="96">
                  <c:v>271.08811872532158</c:v>
                </c:pt>
                <c:pt idx="97">
                  <c:v>263.715330329842</c:v>
                </c:pt>
                <c:pt idx="98">
                  <c:v>256.55577538684526</c:v>
                </c:pt>
                <c:pt idx="99">
                  <c:v>249.6025908098772</c:v>
                </c:pt>
              </c:numCache>
            </c:numRef>
          </c:yVal>
          <c:smooth val="0"/>
          <c:extLst>
            <c:ext xmlns:c16="http://schemas.microsoft.com/office/drawing/2014/chart" uri="{C3380CC4-5D6E-409C-BE32-E72D297353CC}">
              <c16:uniqueId val="{00000000-D148-4B6F-A939-4C2A9E38D904}"/>
            </c:ext>
          </c:extLst>
        </c:ser>
        <c:ser>
          <c:idx val="0"/>
          <c:order val="1"/>
          <c:tx>
            <c:v> Landfill Gas Recovery</c:v>
          </c:tx>
          <c:spPr>
            <a:ln w="25400">
              <a:solidFill>
                <a:srgbClr val="000000"/>
              </a:solidFill>
              <a:prstDash val="solid"/>
            </a:ln>
          </c:spPr>
          <c:marker>
            <c:symbol val="none"/>
          </c:marker>
          <c:xVal>
            <c:numRef>
              <c:f>'Output-Table'!$A$13:$A$112</c:f>
              <c:numCache>
                <c:formatCode>General_)</c:formatCode>
                <c:ptCount val="10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pt idx="61">
                  <c:v>2051</c:v>
                </c:pt>
                <c:pt idx="62">
                  <c:v>2052</c:v>
                </c:pt>
                <c:pt idx="63">
                  <c:v>2053</c:v>
                </c:pt>
                <c:pt idx="64">
                  <c:v>2054</c:v>
                </c:pt>
                <c:pt idx="65">
                  <c:v>2055</c:v>
                </c:pt>
                <c:pt idx="66">
                  <c:v>2056</c:v>
                </c:pt>
                <c:pt idx="67">
                  <c:v>2057</c:v>
                </c:pt>
                <c:pt idx="68">
                  <c:v>2058</c:v>
                </c:pt>
                <c:pt idx="69">
                  <c:v>2059</c:v>
                </c:pt>
                <c:pt idx="70">
                  <c:v>2060</c:v>
                </c:pt>
                <c:pt idx="71">
                  <c:v>2061</c:v>
                </c:pt>
                <c:pt idx="72">
                  <c:v>2062</c:v>
                </c:pt>
                <c:pt idx="73">
                  <c:v>2063</c:v>
                </c:pt>
                <c:pt idx="74">
                  <c:v>2064</c:v>
                </c:pt>
                <c:pt idx="75">
                  <c:v>2065</c:v>
                </c:pt>
                <c:pt idx="76">
                  <c:v>2066</c:v>
                </c:pt>
                <c:pt idx="77">
                  <c:v>2067</c:v>
                </c:pt>
                <c:pt idx="78">
                  <c:v>2068</c:v>
                </c:pt>
                <c:pt idx="79">
                  <c:v>2069</c:v>
                </c:pt>
                <c:pt idx="80">
                  <c:v>2070</c:v>
                </c:pt>
                <c:pt idx="81">
                  <c:v>2071</c:v>
                </c:pt>
                <c:pt idx="82">
                  <c:v>2072</c:v>
                </c:pt>
                <c:pt idx="83">
                  <c:v>2073</c:v>
                </c:pt>
                <c:pt idx="84">
                  <c:v>2074</c:v>
                </c:pt>
                <c:pt idx="85">
                  <c:v>2075</c:v>
                </c:pt>
                <c:pt idx="86">
                  <c:v>2076</c:v>
                </c:pt>
                <c:pt idx="87">
                  <c:v>2077</c:v>
                </c:pt>
                <c:pt idx="88">
                  <c:v>2078</c:v>
                </c:pt>
                <c:pt idx="89">
                  <c:v>2079</c:v>
                </c:pt>
                <c:pt idx="90">
                  <c:v>2080</c:v>
                </c:pt>
                <c:pt idx="91">
                  <c:v>2081</c:v>
                </c:pt>
                <c:pt idx="92">
                  <c:v>2082</c:v>
                </c:pt>
                <c:pt idx="93">
                  <c:v>2083</c:v>
                </c:pt>
                <c:pt idx="94">
                  <c:v>2084</c:v>
                </c:pt>
                <c:pt idx="95">
                  <c:v>2085</c:v>
                </c:pt>
                <c:pt idx="96">
                  <c:v>2086</c:v>
                </c:pt>
                <c:pt idx="97">
                  <c:v>2087</c:v>
                </c:pt>
                <c:pt idx="98">
                  <c:v>2088</c:v>
                </c:pt>
                <c:pt idx="99">
                  <c:v>2089</c:v>
                </c:pt>
              </c:numCache>
            </c:numRef>
          </c:xVal>
          <c:yVal>
            <c:numRef>
              <c:f>'Output-Table'!$H$13:$H$112</c:f>
              <c:numCache>
                <c:formatCode>#,##0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1746.9604724239696</c:v>
                </c:pt>
                <c:pt idx="25">
                  <c:v>1846.0081255446241</c:v>
                </c:pt>
                <c:pt idx="26">
                  <c:v>1942.8704063632035</c:v>
                </c:pt>
                <c:pt idx="27">
                  <c:v>2037.9103974035454</c:v>
                </c:pt>
                <c:pt idx="28">
                  <c:v>1872.010917591316</c:v>
                </c:pt>
                <c:pt idx="29">
                  <c:v>1724.3150147441343</c:v>
                </c:pt>
                <c:pt idx="30">
                  <c:v>1592.589826633121</c:v>
                </c:pt>
                <c:pt idx="31">
                  <c:v>1474.8868089966186</c:v>
                </c:pt>
                <c:pt idx="32">
                  <c:v>1369.5050243404123</c:v>
                </c:pt>
                <c:pt idx="33">
                  <c:v>1274.959199346252</c:v>
                </c:pt>
                <c:pt idx="34">
                  <c:v>1189.95192971149</c:v>
                </c:pt>
                <c:pt idx="35">
                  <c:v>1113.3494922739239</c:v>
                </c:pt>
                <c:pt idx="36">
                  <c:v>1044.1607947291693</c:v>
                </c:pt>
                <c:pt idx="37">
                  <c:v>981.51905450462004</c:v>
                </c:pt>
                <c:pt idx="38">
                  <c:v>924.6658516150793</c:v>
                </c:pt>
                <c:pt idx="39">
                  <c:v>872.93724663470095</c:v>
                </c:pt>
                <c:pt idx="40">
                  <c:v>825.75169518551422</c:v>
                </c:pt>
                <c:pt idx="41">
                  <c:v>782.59952535386731</c:v>
                </c:pt>
                <c:pt idx="42">
                  <c:v>743.03377488855142</c:v>
                </c:pt>
                <c:pt idx="43">
                  <c:v>706.66221150473575</c:v>
                </c:pt>
                <c:pt idx="44">
                  <c:v>673.14038263471423</c:v>
                </c:pt>
                <c:pt idx="45">
                  <c:v>642.16556098067781</c:v>
                </c:pt>
                <c:pt idx="46">
                  <c:v>613.47146962828742</c:v>
                </c:pt>
                <c:pt idx="47">
                  <c:v>586.82368561352882</c:v>
                </c:pt>
                <c:pt idx="48">
                  <c:v>562.0156339953985</c:v>
                </c:pt>
                <c:pt idx="49">
                  <c:v>538.8650959311309</c:v>
                </c:pt>
                <c:pt idx="50">
                  <c:v>517.21116420270744</c:v>
                </c:pt>
                <c:pt idx="51">
                  <c:v>496.91158829820824</c:v>
                </c:pt>
                <c:pt idx="52">
                  <c:v>477.84045867827979</c:v>
                </c:pt>
                <c:pt idx="53">
                  <c:v>459.88618640392741</c:v>
                </c:pt>
                <c:pt idx="54">
                  <c:v>442.94973999487974</c:v>
                </c:pt>
                <c:pt idx="55">
                  <c:v>426.94310633924033</c:v>
                </c:pt>
                <c:pt idx="56">
                  <c:v>411.78794678172062</c:v>
                </c:pt>
                <c:pt idx="57">
                  <c:v>397.41442326360402</c:v>
                </c:pt>
                <c:pt idx="58">
                  <c:v>383.76017264581458</c:v>
                </c:pt>
                <c:pt idx="59">
                  <c:v>370.76941018066123</c:v>
                </c:pt>
                <c:pt idx="60">
                  <c:v>358.39214556327227</c:v>
                </c:pt>
                <c:pt idx="61">
                  <c:v>346.58349713852027</c:v>
                </c:pt>
                <c:pt idx="62">
                  <c:v>335.30309170513078</c:v>
                </c:pt>
                <c:pt idx="63">
                  <c:v>324.5145389820409</c:v>
                </c:pt>
                <c:pt idx="64">
                  <c:v>314.18497121451099</c:v>
                </c:pt>
                <c:pt idx="65">
                  <c:v>304.28463962648055</c:v>
                </c:pt>
                <c:pt idx="66">
                  <c:v>294.78656049509431</c:v>
                </c:pt>
                <c:pt idx="67">
                  <c:v>285.66620455397043</c:v>
                </c:pt>
                <c:pt idx="68">
                  <c:v>276.90122424173319</c:v>
                </c:pt>
                <c:pt idx="69">
                  <c:v>268.47121401726446</c:v>
                </c:pt>
                <c:pt idx="70">
                  <c:v>260.35749957674199</c:v>
                </c:pt>
                <c:pt idx="71">
                  <c:v>252.5429523416704</c:v>
                </c:pt>
                <c:pt idx="72">
                  <c:v>245.0118260521526</c:v>
                </c:pt>
                <c:pt idx="73">
                  <c:v>237.74961270452519</c:v>
                </c:pt>
                <c:pt idx="74">
                  <c:v>230.74291542505739</c:v>
                </c:pt>
                <c:pt idx="75">
                  <c:v>223.97933617845734</c:v>
                </c:pt>
                <c:pt idx="76">
                  <c:v>217.44737647735818</c:v>
                </c:pt>
                <c:pt idx="77">
                  <c:v>211.1363494919209</c:v>
                </c:pt>
                <c:pt idx="78">
                  <c:v>205.0363021616445</c:v>
                </c:pt>
                <c:pt idx="79">
                  <c:v>199.13794608833618</c:v>
                </c:pt>
                <c:pt idx="80">
                  <c:v>193.43259614331078</c:v>
                </c:pt>
                <c:pt idx="81">
                  <c:v>187.91211585624237</c:v>
                </c:pt>
                <c:pt idx="82">
                  <c:v>182.5688687702087</c:v>
                </c:pt>
                <c:pt idx="83">
                  <c:v>177.3956750496036</c:v>
                </c:pt>
                <c:pt idx="84">
                  <c:v>172.38577271666657</c:v>
                </c:pt>
                <c:pt idx="85">
                  <c:v>167.53278297008785</c:v>
                </c:pt>
                <c:pt idx="86">
                  <c:v>162.83067910694902</c:v>
                </c:pt>
                <c:pt idx="87">
                  <c:v>158.27375862844775</c:v>
                </c:pt>
                <c:pt idx="88">
                  <c:v>153.85661816151406</c:v>
                </c:pt>
                <c:pt idx="89">
                  <c:v>149.57413087355641</c:v>
                </c:pt>
                <c:pt idx="90">
                  <c:v>145.42142609698598</c:v>
                </c:pt>
                <c:pt idx="91">
                  <c:v>141.39387091461774</c:v>
                </c:pt>
                <c:pt idx="92">
                  <c:v>137.48705348715595</c:v>
                </c:pt>
                <c:pt idx="93">
                  <c:v>133.69676793030348</c:v>
                </c:pt>
                <c:pt idx="94">
                  <c:v>130.0190005720722</c:v>
                </c:pt>
                <c:pt idx="95">
                  <c:v>126.44991744103291</c:v>
                </c:pt>
                <c:pt idx="96">
                  <c:v>122.98585285389979</c:v>
                </c:pt>
                <c:pt idx="97">
                  <c:v>119.62329898630567</c:v>
                </c:pt>
                <c:pt idx="98">
                  <c:v>116.35889632418353</c:v>
                </c:pt>
                <c:pt idx="99">
                  <c:v>113.18942490505559</c:v>
                </c:pt>
              </c:numCache>
            </c:numRef>
          </c:yVal>
          <c:smooth val="0"/>
          <c:extLst>
            <c:ext xmlns:c16="http://schemas.microsoft.com/office/drawing/2014/chart" uri="{C3380CC4-5D6E-409C-BE32-E72D297353CC}">
              <c16:uniqueId val="{00000001-D148-4B6F-A939-4C2A9E38D904}"/>
            </c:ext>
          </c:extLst>
        </c:ser>
        <c:ser>
          <c:idx val="4"/>
          <c:order val="2"/>
          <c:tx>
            <c:v>Actual Landfill Gas Recovery</c:v>
          </c:tx>
          <c:spPr>
            <a:ln w="28575">
              <a:noFill/>
            </a:ln>
          </c:spPr>
          <c:marker>
            <c:symbol val="circle"/>
            <c:size val="7"/>
            <c:spPr>
              <a:solidFill>
                <a:sysClr val="windowText" lastClr="000000"/>
              </a:solidFill>
              <a:ln>
                <a:solidFill>
                  <a:schemeClr val="tx1"/>
                </a:solidFill>
              </a:ln>
            </c:spPr>
          </c:marker>
          <c:xVal>
            <c:numRef>
              <c:f>'Disposal &amp; LFG Recovery'!$A$6:$A$105</c:f>
              <c:numCache>
                <c:formatCode>General_)</c:formatCode>
                <c:ptCount val="10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pt idx="61">
                  <c:v>2051</c:v>
                </c:pt>
                <c:pt idx="62">
                  <c:v>2052</c:v>
                </c:pt>
                <c:pt idx="63">
                  <c:v>2053</c:v>
                </c:pt>
                <c:pt idx="64">
                  <c:v>2054</c:v>
                </c:pt>
                <c:pt idx="65">
                  <c:v>2055</c:v>
                </c:pt>
                <c:pt idx="66">
                  <c:v>2056</c:v>
                </c:pt>
                <c:pt idx="67">
                  <c:v>2057</c:v>
                </c:pt>
                <c:pt idx="68">
                  <c:v>2058</c:v>
                </c:pt>
                <c:pt idx="69">
                  <c:v>2059</c:v>
                </c:pt>
                <c:pt idx="70">
                  <c:v>2060</c:v>
                </c:pt>
                <c:pt idx="71">
                  <c:v>2061</c:v>
                </c:pt>
                <c:pt idx="72">
                  <c:v>2062</c:v>
                </c:pt>
                <c:pt idx="73">
                  <c:v>2063</c:v>
                </c:pt>
                <c:pt idx="74">
                  <c:v>2064</c:v>
                </c:pt>
                <c:pt idx="75">
                  <c:v>2065</c:v>
                </c:pt>
                <c:pt idx="76">
                  <c:v>2066</c:v>
                </c:pt>
                <c:pt idx="77">
                  <c:v>2067</c:v>
                </c:pt>
                <c:pt idx="78">
                  <c:v>2068</c:v>
                </c:pt>
                <c:pt idx="79">
                  <c:v>2069</c:v>
                </c:pt>
                <c:pt idx="80">
                  <c:v>2070</c:v>
                </c:pt>
                <c:pt idx="81">
                  <c:v>2071</c:v>
                </c:pt>
                <c:pt idx="82">
                  <c:v>2072</c:v>
                </c:pt>
                <c:pt idx="83">
                  <c:v>2073</c:v>
                </c:pt>
                <c:pt idx="84">
                  <c:v>2074</c:v>
                </c:pt>
                <c:pt idx="85">
                  <c:v>2075</c:v>
                </c:pt>
                <c:pt idx="86">
                  <c:v>2076</c:v>
                </c:pt>
                <c:pt idx="87">
                  <c:v>2077</c:v>
                </c:pt>
                <c:pt idx="88">
                  <c:v>2078</c:v>
                </c:pt>
                <c:pt idx="89">
                  <c:v>2079</c:v>
                </c:pt>
                <c:pt idx="90">
                  <c:v>2080</c:v>
                </c:pt>
                <c:pt idx="91">
                  <c:v>2081</c:v>
                </c:pt>
                <c:pt idx="92">
                  <c:v>2082</c:v>
                </c:pt>
                <c:pt idx="93">
                  <c:v>2083</c:v>
                </c:pt>
                <c:pt idx="94">
                  <c:v>2084</c:v>
                </c:pt>
                <c:pt idx="95">
                  <c:v>2085</c:v>
                </c:pt>
                <c:pt idx="96">
                  <c:v>2086</c:v>
                </c:pt>
                <c:pt idx="97">
                  <c:v>2087</c:v>
                </c:pt>
                <c:pt idx="98">
                  <c:v>2088</c:v>
                </c:pt>
                <c:pt idx="99">
                  <c:v>2089</c:v>
                </c:pt>
              </c:numCache>
            </c:numRef>
          </c:xVal>
          <c:yVal>
            <c:numRef>
              <c:f>'Disposal &amp; LFG Recovery'!$E$6:$E$105</c:f>
              <c:numCache>
                <c:formatCode>#,##0</c:formatCode>
                <c:ptCount val="100"/>
              </c:numCache>
            </c:numRef>
          </c:yVal>
          <c:smooth val="0"/>
          <c:extLst>
            <c:ext xmlns:c16="http://schemas.microsoft.com/office/drawing/2014/chart" uri="{C3380CC4-5D6E-409C-BE32-E72D297353CC}">
              <c16:uniqueId val="{00000002-D148-4B6F-A939-4C2A9E38D904}"/>
            </c:ext>
          </c:extLst>
        </c:ser>
        <c:dLbls>
          <c:showLegendKey val="0"/>
          <c:showVal val="0"/>
          <c:showCatName val="0"/>
          <c:showSerName val="0"/>
          <c:showPercent val="0"/>
          <c:showBubbleSize val="0"/>
        </c:dLbls>
        <c:axId val="80944128"/>
        <c:axId val="81001472"/>
      </c:scatterChart>
      <c:valAx>
        <c:axId val="80944128"/>
        <c:scaling>
          <c:orientation val="minMax"/>
          <c:max val="2030"/>
        </c:scaling>
        <c:delete val="0"/>
        <c:axPos val="b"/>
        <c:majorGridlines>
          <c:spPr>
            <a:ln w="3175">
              <a:solidFill>
                <a:srgbClr val="000000"/>
              </a:solidFill>
              <a:prstDash val="solid"/>
            </a:ln>
          </c:spPr>
        </c:majorGridlines>
        <c:numFmt formatCode="General_)"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Verdana"/>
                <a:ea typeface="Verdana"/>
                <a:cs typeface="Verdana"/>
              </a:defRPr>
            </a:pPr>
            <a:endParaRPr lang="en-US"/>
          </a:p>
        </c:txPr>
        <c:crossAx val="81001472"/>
        <c:crosses val="autoZero"/>
        <c:crossBetween val="midCat"/>
        <c:majorUnit val="5"/>
      </c:valAx>
      <c:valAx>
        <c:axId val="81001472"/>
        <c:scaling>
          <c:orientation val="minMax"/>
          <c:min val="0"/>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Tw Cen MT"/>
                    <a:ea typeface="Tw Cen MT"/>
                    <a:cs typeface="Tw Cen MT"/>
                  </a:defRPr>
                </a:pPr>
                <a:r>
                  <a:rPr lang="en-US"/>
                  <a:t>LFG Flow at 50% Methane (m3/hr)          '</a:t>
                </a:r>
              </a:p>
            </c:rich>
          </c:tx>
          <c:layout>
            <c:manualLayout>
              <c:xMode val="edge"/>
              <c:yMode val="edge"/>
              <c:x val="5.8343057176196032E-3"/>
              <c:y val="0.2230921896902803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Verdana"/>
                <a:ea typeface="Verdana"/>
                <a:cs typeface="Verdana"/>
              </a:defRPr>
            </a:pPr>
            <a:endParaRPr lang="en-US"/>
          </a:p>
        </c:txPr>
        <c:crossAx val="80944128"/>
        <c:crosses val="autoZero"/>
        <c:crossBetween val="midCat"/>
      </c:valAx>
      <c:spPr>
        <a:noFill/>
        <a:ln w="12700">
          <a:solidFill>
            <a:srgbClr val="000000"/>
          </a:solidFill>
          <a:prstDash val="solid"/>
        </a:ln>
      </c:spPr>
    </c:plotArea>
    <c:legend>
      <c:legendPos val="b"/>
      <c:legendEntry>
        <c:idx val="0"/>
        <c:txPr>
          <a:bodyPr/>
          <a:lstStyle/>
          <a:p>
            <a:pPr>
              <a:defRPr sz="920" b="0" i="0" u="none" strike="noStrike" baseline="0">
                <a:solidFill>
                  <a:srgbClr val="000000"/>
                </a:solidFill>
                <a:latin typeface="Verdana"/>
                <a:ea typeface="Verdana"/>
                <a:cs typeface="Verdana"/>
              </a:defRPr>
            </a:pPr>
            <a:endParaRPr lang="en-US"/>
          </a:p>
        </c:txPr>
      </c:legendEntry>
      <c:legendEntry>
        <c:idx val="1"/>
        <c:txPr>
          <a:bodyPr/>
          <a:lstStyle/>
          <a:p>
            <a:pPr>
              <a:defRPr sz="920" b="0" i="0" u="none" strike="noStrike" baseline="0">
                <a:solidFill>
                  <a:srgbClr val="000000"/>
                </a:solidFill>
                <a:latin typeface="Verdana"/>
                <a:ea typeface="Verdana"/>
                <a:cs typeface="Verdana"/>
              </a:defRPr>
            </a:pPr>
            <a:endParaRPr lang="en-US"/>
          </a:p>
        </c:txPr>
      </c:legendEntry>
      <c:legendEntry>
        <c:idx val="2"/>
        <c:txPr>
          <a:bodyPr/>
          <a:lstStyle/>
          <a:p>
            <a:pPr>
              <a:defRPr sz="920" b="0" i="0" u="none" strike="noStrike" baseline="0">
                <a:solidFill>
                  <a:srgbClr val="000000"/>
                </a:solidFill>
                <a:latin typeface="Verdana"/>
                <a:ea typeface="Verdana"/>
                <a:cs typeface="Verdana"/>
              </a:defRPr>
            </a:pPr>
            <a:endParaRPr lang="en-US"/>
          </a:p>
        </c:txPr>
      </c:legendEntry>
      <c:layout>
        <c:manualLayout>
          <c:xMode val="edge"/>
          <c:yMode val="edge"/>
          <c:x val="0.12018669778296383"/>
          <c:y val="0.90802435102008838"/>
          <c:w val="0.8249708284714119"/>
          <c:h val="8.6105757424318724E-2"/>
        </c:manualLayout>
      </c:layout>
      <c:overlay val="0"/>
      <c:spPr>
        <a:noFill/>
        <a:ln w="3175">
          <a:solidFill>
            <a:srgbClr val="000000"/>
          </a:solidFill>
          <a:prstDash val="solid"/>
        </a:ln>
      </c:spPr>
      <c:txPr>
        <a:bodyPr/>
        <a:lstStyle/>
        <a:p>
          <a:pPr>
            <a:defRPr sz="92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Tw Cen MT"/>
          <a:ea typeface="Tw Cen MT"/>
          <a:cs typeface="Tw Cen MT"/>
        </a:defRPr>
      </a:pPr>
      <a:endParaRPr lang="en-US"/>
    </a:p>
  </c:txPr>
  <c:printSettings>
    <c:headerFooter alignWithMargins="0">
      <c:oddFooter>&amp;R&amp;9 &amp;D</c:oddFooter>
    </c:headerFooter>
    <c:pageMargins b="0.75" l="0.75" r="0.75" t="1" header="0.5" footer="0.5"/>
    <c:pageSetup orientation="landscape" horizontalDpi="-4"/>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FIGURE 1.  LOPEZ CANYON LANDFILL: MEASURED AVERAGE MONTHLY LFG RECOVERY AMOUNT AND METHANE CONTENT</a:t>
            </a:r>
          </a:p>
        </c:rich>
      </c:tx>
      <c:overlay val="0"/>
      <c:spPr>
        <a:noFill/>
        <a:ln w="25400">
          <a:noFill/>
        </a:ln>
      </c:spPr>
    </c:title>
    <c:autoTitleDeleted val="0"/>
    <c:plotArea>
      <c:layout/>
      <c:scatterChart>
        <c:scatterStyle val="lineMarker"/>
        <c:varyColors val="0"/>
        <c:ser>
          <c:idx val="0"/>
          <c:order val="0"/>
          <c:tx>
            <c:v>LFG Flow</c:v>
          </c:tx>
          <c:spPr>
            <a:ln w="12700">
              <a:solidFill>
                <a:srgbClr val="000080"/>
              </a:solidFill>
              <a:prstDash val="solid"/>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0-D265-4ADD-AF7C-A687BC653522}"/>
            </c:ext>
          </c:extLst>
        </c:ser>
        <c:dLbls>
          <c:showLegendKey val="0"/>
          <c:showVal val="0"/>
          <c:showCatName val="0"/>
          <c:showSerName val="0"/>
          <c:showPercent val="0"/>
          <c:showBubbleSize val="0"/>
        </c:dLbls>
        <c:axId val="72901760"/>
        <c:axId val="72903296"/>
      </c:scatterChart>
      <c:scatterChart>
        <c:scatterStyle val="lineMarker"/>
        <c:varyColors val="0"/>
        <c:ser>
          <c:idx val="2"/>
          <c:order val="1"/>
          <c:tx>
            <c:v>Methane %</c:v>
          </c:tx>
          <c:spPr>
            <a:ln w="25400">
              <a:solidFill>
                <a:srgbClr val="000000"/>
              </a:solidFill>
              <a:prstDash val="sysDash"/>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1-D265-4ADD-AF7C-A687BC653522}"/>
            </c:ext>
          </c:extLst>
        </c:ser>
        <c:dLbls>
          <c:showLegendKey val="0"/>
          <c:showVal val="0"/>
          <c:showCatName val="0"/>
          <c:showSerName val="0"/>
          <c:showPercent val="0"/>
          <c:showBubbleSize val="0"/>
        </c:dLbls>
        <c:axId val="72905472"/>
        <c:axId val="72907008"/>
      </c:scatterChart>
      <c:valAx>
        <c:axId val="72901760"/>
        <c:scaling>
          <c:orientation val="minMax"/>
          <c:max val="35514"/>
          <c:min val="34335"/>
        </c:scaling>
        <c:delete val="0"/>
        <c:axPos val="b"/>
        <c:numFmt formatCode="General" sourceLinked="1"/>
        <c:majorTickMark val="cross"/>
        <c:minorTickMark val="in"/>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72903296"/>
        <c:crosses val="autoZero"/>
        <c:crossBetween val="midCat"/>
        <c:majorUnit val="31"/>
        <c:minorUnit val="31"/>
      </c:valAx>
      <c:valAx>
        <c:axId val="7290329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LFG Flows at 50% Methane (cfm)</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2901760"/>
        <c:crosses val="autoZero"/>
        <c:crossBetween val="midCat"/>
      </c:valAx>
      <c:valAx>
        <c:axId val="72905472"/>
        <c:scaling>
          <c:orientation val="minMax"/>
        </c:scaling>
        <c:delete val="1"/>
        <c:axPos val="b"/>
        <c:numFmt formatCode="General" sourceLinked="1"/>
        <c:majorTickMark val="out"/>
        <c:minorTickMark val="none"/>
        <c:tickLblPos val="nextTo"/>
        <c:crossAx val="72907008"/>
        <c:crosses val="autoZero"/>
        <c:crossBetween val="midCat"/>
      </c:valAx>
      <c:valAx>
        <c:axId val="72907008"/>
        <c:scaling>
          <c:orientation val="minMax"/>
          <c:max val="0.5"/>
          <c:min val="0"/>
        </c:scaling>
        <c:delete val="0"/>
        <c:axPos val="r"/>
        <c:title>
          <c:tx>
            <c:rich>
              <a:bodyPr/>
              <a:lstStyle/>
              <a:p>
                <a:pPr>
                  <a:defRPr sz="1000" b="1" i="0" u="none" strike="noStrike" baseline="0">
                    <a:solidFill>
                      <a:srgbClr val="000000"/>
                    </a:solidFill>
                    <a:latin typeface="Arial"/>
                    <a:ea typeface="Arial"/>
                    <a:cs typeface="Arial"/>
                  </a:defRPr>
                </a:pPr>
                <a:r>
                  <a:rPr lang="en-US"/>
                  <a:t>Methane %</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905472"/>
        <c:crosses val="max"/>
        <c:crossBetween val="midCat"/>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Footer>&amp;R&amp;D</c:oddFooter>
    </c:headerFooter>
    <c:pageMargins b="0.75" l="0.75" r="0.75" t="0.75" header="0.5" footer="0.5"/>
    <c:pageSetup orientation="landscape" horizontalDpi="300" verticalDpi="3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FIGURE 1.  LOPEZ CANYON LANDFILL: MEASURED AVERAGE MONTHLY LFG RECOVERY AMOUNT AND METHANE CONTENT</a:t>
            </a:r>
          </a:p>
        </c:rich>
      </c:tx>
      <c:overlay val="0"/>
      <c:spPr>
        <a:noFill/>
        <a:ln w="25400">
          <a:noFill/>
        </a:ln>
      </c:spPr>
    </c:title>
    <c:autoTitleDeleted val="0"/>
    <c:plotArea>
      <c:layout/>
      <c:scatterChart>
        <c:scatterStyle val="lineMarker"/>
        <c:varyColors val="0"/>
        <c:ser>
          <c:idx val="0"/>
          <c:order val="0"/>
          <c:tx>
            <c:v>LFG Flow</c:v>
          </c:tx>
          <c:spPr>
            <a:ln w="12700">
              <a:solidFill>
                <a:srgbClr val="000080"/>
              </a:solidFill>
              <a:prstDash val="solid"/>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0-DDFE-4B4B-B66B-D6F4479CA4EA}"/>
            </c:ext>
          </c:extLst>
        </c:ser>
        <c:dLbls>
          <c:showLegendKey val="0"/>
          <c:showVal val="0"/>
          <c:showCatName val="0"/>
          <c:showSerName val="0"/>
          <c:showPercent val="0"/>
          <c:showBubbleSize val="0"/>
        </c:dLbls>
        <c:axId val="81090432"/>
        <c:axId val="81091968"/>
      </c:scatterChart>
      <c:scatterChart>
        <c:scatterStyle val="lineMarker"/>
        <c:varyColors val="0"/>
        <c:ser>
          <c:idx val="2"/>
          <c:order val="1"/>
          <c:tx>
            <c:v>Methane %</c:v>
          </c:tx>
          <c:spPr>
            <a:ln w="25400">
              <a:solidFill>
                <a:srgbClr val="000000"/>
              </a:solidFill>
              <a:prstDash val="sysDash"/>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1-DDFE-4B4B-B66B-D6F4479CA4EA}"/>
            </c:ext>
          </c:extLst>
        </c:ser>
        <c:dLbls>
          <c:showLegendKey val="0"/>
          <c:showVal val="0"/>
          <c:showCatName val="0"/>
          <c:showSerName val="0"/>
          <c:showPercent val="0"/>
          <c:showBubbleSize val="0"/>
        </c:dLbls>
        <c:axId val="81094144"/>
        <c:axId val="81095680"/>
      </c:scatterChart>
      <c:valAx>
        <c:axId val="81090432"/>
        <c:scaling>
          <c:orientation val="minMax"/>
          <c:max val="35514"/>
          <c:min val="34335"/>
        </c:scaling>
        <c:delete val="0"/>
        <c:axPos val="b"/>
        <c:numFmt formatCode="General" sourceLinked="1"/>
        <c:majorTickMark val="cross"/>
        <c:minorTickMark val="in"/>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81091968"/>
        <c:crosses val="autoZero"/>
        <c:crossBetween val="midCat"/>
        <c:majorUnit val="31"/>
        <c:minorUnit val="31"/>
      </c:valAx>
      <c:valAx>
        <c:axId val="8109196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LFG Flows at 50% Methane (cfm)</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090432"/>
        <c:crosses val="autoZero"/>
        <c:crossBetween val="midCat"/>
      </c:valAx>
      <c:valAx>
        <c:axId val="81094144"/>
        <c:scaling>
          <c:orientation val="minMax"/>
        </c:scaling>
        <c:delete val="1"/>
        <c:axPos val="b"/>
        <c:numFmt formatCode="General" sourceLinked="1"/>
        <c:majorTickMark val="out"/>
        <c:minorTickMark val="none"/>
        <c:tickLblPos val="nextTo"/>
        <c:crossAx val="81095680"/>
        <c:crosses val="autoZero"/>
        <c:crossBetween val="midCat"/>
      </c:valAx>
      <c:valAx>
        <c:axId val="81095680"/>
        <c:scaling>
          <c:orientation val="minMax"/>
          <c:max val="0.5"/>
          <c:min val="0"/>
        </c:scaling>
        <c:delete val="0"/>
        <c:axPos val="r"/>
        <c:title>
          <c:tx>
            <c:rich>
              <a:bodyPr/>
              <a:lstStyle/>
              <a:p>
                <a:pPr>
                  <a:defRPr sz="1000" b="1" i="0" u="none" strike="noStrike" baseline="0">
                    <a:solidFill>
                      <a:srgbClr val="000000"/>
                    </a:solidFill>
                    <a:latin typeface="Arial"/>
                    <a:ea typeface="Arial"/>
                    <a:cs typeface="Arial"/>
                  </a:defRPr>
                </a:pPr>
                <a:r>
                  <a:rPr lang="en-US"/>
                  <a:t>Methane %</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094144"/>
        <c:crosses val="max"/>
        <c:crossBetween val="midCat"/>
      </c:valAx>
      <c:spPr>
        <a:noFill/>
        <a:ln w="12700">
          <a:solidFill>
            <a:srgbClr val="000000"/>
          </a:solidFill>
          <a:prstDash val="solid"/>
        </a:ln>
      </c:spPr>
    </c:plotArea>
    <c:legend>
      <c:legendPos val="r"/>
      <c:layout>
        <c:manualLayout>
          <c:xMode val="edge"/>
          <c:yMode val="edge"/>
          <c:x val="0.81831187410586548"/>
          <c:y val="0"/>
          <c:w val="0.17024320457796852"/>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Footer>&amp;R&amp;D</c:oddFooter>
    </c:headerFooter>
    <c:pageMargins b="0.75" l="0.75" r="0.75" t="0.75" header="0.5" footer="0.5"/>
    <c:pageSetup orientation="landscape" horizontalDpi="300" verticalDpi="3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FIGURE 1.  LOPEZ CANYON LANDFILL: MEASURED AVERAGE MONTHLY LFG RECOVERY AMOUNT AND METHANE CONTENT</a:t>
            </a:r>
          </a:p>
        </c:rich>
      </c:tx>
      <c:overlay val="0"/>
      <c:spPr>
        <a:noFill/>
        <a:ln w="25400">
          <a:noFill/>
        </a:ln>
      </c:spPr>
    </c:title>
    <c:autoTitleDeleted val="0"/>
    <c:plotArea>
      <c:layout/>
      <c:scatterChart>
        <c:scatterStyle val="lineMarker"/>
        <c:varyColors val="0"/>
        <c:ser>
          <c:idx val="0"/>
          <c:order val="0"/>
          <c:tx>
            <c:v>LFG Flow</c:v>
          </c:tx>
          <c:spPr>
            <a:ln w="12700">
              <a:solidFill>
                <a:srgbClr val="000080"/>
              </a:solidFill>
              <a:prstDash val="solid"/>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0-2C62-4A30-97EB-EEDB99805EED}"/>
            </c:ext>
          </c:extLst>
        </c:ser>
        <c:dLbls>
          <c:showLegendKey val="0"/>
          <c:showVal val="0"/>
          <c:showCatName val="0"/>
          <c:showSerName val="0"/>
          <c:showPercent val="0"/>
          <c:showBubbleSize val="0"/>
        </c:dLbls>
        <c:axId val="97688192"/>
        <c:axId val="97694080"/>
      </c:scatterChart>
      <c:scatterChart>
        <c:scatterStyle val="lineMarker"/>
        <c:varyColors val="0"/>
        <c:ser>
          <c:idx val="2"/>
          <c:order val="1"/>
          <c:tx>
            <c:v>Methane %</c:v>
          </c:tx>
          <c:spPr>
            <a:ln w="25400">
              <a:solidFill>
                <a:srgbClr val="000000"/>
              </a:solidFill>
              <a:prstDash val="sysDash"/>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1-2C62-4A30-97EB-EEDB99805EED}"/>
            </c:ext>
          </c:extLst>
        </c:ser>
        <c:dLbls>
          <c:showLegendKey val="0"/>
          <c:showVal val="0"/>
          <c:showCatName val="0"/>
          <c:showSerName val="0"/>
          <c:showPercent val="0"/>
          <c:showBubbleSize val="0"/>
        </c:dLbls>
        <c:axId val="97696000"/>
        <c:axId val="97701888"/>
      </c:scatterChart>
      <c:valAx>
        <c:axId val="97688192"/>
        <c:scaling>
          <c:orientation val="minMax"/>
          <c:max val="35514"/>
          <c:min val="34335"/>
        </c:scaling>
        <c:delete val="0"/>
        <c:axPos val="b"/>
        <c:numFmt formatCode="General" sourceLinked="1"/>
        <c:majorTickMark val="cross"/>
        <c:minorTickMark val="in"/>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97694080"/>
        <c:crosses val="autoZero"/>
        <c:crossBetween val="midCat"/>
        <c:majorUnit val="31"/>
        <c:minorUnit val="31"/>
      </c:valAx>
      <c:valAx>
        <c:axId val="9769408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LFG Flows at 50% Methane (cfm)</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7688192"/>
        <c:crosses val="autoZero"/>
        <c:crossBetween val="midCat"/>
      </c:valAx>
      <c:valAx>
        <c:axId val="97696000"/>
        <c:scaling>
          <c:orientation val="minMax"/>
        </c:scaling>
        <c:delete val="1"/>
        <c:axPos val="b"/>
        <c:numFmt formatCode="General" sourceLinked="1"/>
        <c:majorTickMark val="out"/>
        <c:minorTickMark val="none"/>
        <c:tickLblPos val="nextTo"/>
        <c:crossAx val="97701888"/>
        <c:crosses val="autoZero"/>
        <c:crossBetween val="midCat"/>
      </c:valAx>
      <c:valAx>
        <c:axId val="97701888"/>
        <c:scaling>
          <c:orientation val="minMax"/>
          <c:max val="0.5"/>
          <c:min val="0"/>
        </c:scaling>
        <c:delete val="0"/>
        <c:axPos val="r"/>
        <c:title>
          <c:tx>
            <c:rich>
              <a:bodyPr/>
              <a:lstStyle/>
              <a:p>
                <a:pPr>
                  <a:defRPr sz="1000" b="1" i="0" u="none" strike="noStrike" baseline="0">
                    <a:solidFill>
                      <a:srgbClr val="000000"/>
                    </a:solidFill>
                    <a:latin typeface="Arial"/>
                    <a:ea typeface="Arial"/>
                    <a:cs typeface="Arial"/>
                  </a:defRPr>
                </a:pPr>
                <a:r>
                  <a:rPr lang="en-US"/>
                  <a:t>Methane %</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7696000"/>
        <c:crosses val="max"/>
        <c:crossBetween val="midCat"/>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Footer>&amp;R&amp;D</c:oddFooter>
    </c:headerFooter>
    <c:pageMargins b="0.75" l="0.75" r="0.75" t="0.75" header="0.5" footer="0.5"/>
    <c:pageSetup orientation="landscape" horizontalDpi="300" verticalDpi="3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FIGURE 1.  LOPEZ CANYON LANDFILL: MEASURED AVERAGE MONTHLY LFG RECOVERY AMOUNT AND METHANE CONTENT</a:t>
            </a:r>
          </a:p>
        </c:rich>
      </c:tx>
      <c:overlay val="0"/>
      <c:spPr>
        <a:noFill/>
        <a:ln w="25400">
          <a:noFill/>
        </a:ln>
      </c:spPr>
    </c:title>
    <c:autoTitleDeleted val="0"/>
    <c:plotArea>
      <c:layout/>
      <c:scatterChart>
        <c:scatterStyle val="lineMarker"/>
        <c:varyColors val="0"/>
        <c:ser>
          <c:idx val="0"/>
          <c:order val="0"/>
          <c:tx>
            <c:v>LFG Flow</c:v>
          </c:tx>
          <c:spPr>
            <a:ln w="12700">
              <a:solidFill>
                <a:srgbClr val="000080"/>
              </a:solidFill>
              <a:prstDash val="solid"/>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0-7A0A-4F35-A91A-1E89DEE88312}"/>
            </c:ext>
          </c:extLst>
        </c:ser>
        <c:dLbls>
          <c:showLegendKey val="0"/>
          <c:showVal val="0"/>
          <c:showCatName val="0"/>
          <c:showSerName val="0"/>
          <c:showPercent val="0"/>
          <c:showBubbleSize val="0"/>
        </c:dLbls>
        <c:axId val="102718848"/>
        <c:axId val="102720640"/>
      </c:scatterChart>
      <c:scatterChart>
        <c:scatterStyle val="lineMarker"/>
        <c:varyColors val="0"/>
        <c:ser>
          <c:idx val="2"/>
          <c:order val="1"/>
          <c:tx>
            <c:v>Methane %</c:v>
          </c:tx>
          <c:spPr>
            <a:ln w="25400">
              <a:solidFill>
                <a:srgbClr val="000000"/>
              </a:solidFill>
              <a:prstDash val="sysDash"/>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1-7A0A-4F35-A91A-1E89DEE88312}"/>
            </c:ext>
          </c:extLst>
        </c:ser>
        <c:dLbls>
          <c:showLegendKey val="0"/>
          <c:showVal val="0"/>
          <c:showCatName val="0"/>
          <c:showSerName val="0"/>
          <c:showPercent val="0"/>
          <c:showBubbleSize val="0"/>
        </c:dLbls>
        <c:axId val="102722560"/>
        <c:axId val="102728448"/>
      </c:scatterChart>
      <c:valAx>
        <c:axId val="102718848"/>
        <c:scaling>
          <c:orientation val="minMax"/>
          <c:max val="35514"/>
          <c:min val="34335"/>
        </c:scaling>
        <c:delete val="0"/>
        <c:axPos val="b"/>
        <c:numFmt formatCode="General" sourceLinked="1"/>
        <c:majorTickMark val="cross"/>
        <c:minorTickMark val="in"/>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02720640"/>
        <c:crosses val="autoZero"/>
        <c:crossBetween val="midCat"/>
        <c:majorUnit val="31"/>
        <c:minorUnit val="31"/>
      </c:valAx>
      <c:valAx>
        <c:axId val="10272064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LFG Flows at 50% Methane (cfm)</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2718848"/>
        <c:crosses val="autoZero"/>
        <c:crossBetween val="midCat"/>
      </c:valAx>
      <c:valAx>
        <c:axId val="102722560"/>
        <c:scaling>
          <c:orientation val="minMax"/>
        </c:scaling>
        <c:delete val="1"/>
        <c:axPos val="b"/>
        <c:numFmt formatCode="General" sourceLinked="1"/>
        <c:majorTickMark val="out"/>
        <c:minorTickMark val="none"/>
        <c:tickLblPos val="nextTo"/>
        <c:crossAx val="102728448"/>
        <c:crosses val="autoZero"/>
        <c:crossBetween val="midCat"/>
      </c:valAx>
      <c:valAx>
        <c:axId val="102728448"/>
        <c:scaling>
          <c:orientation val="minMax"/>
          <c:max val="0.5"/>
          <c:min val="0"/>
        </c:scaling>
        <c:delete val="0"/>
        <c:axPos val="r"/>
        <c:title>
          <c:tx>
            <c:rich>
              <a:bodyPr/>
              <a:lstStyle/>
              <a:p>
                <a:pPr>
                  <a:defRPr sz="1000" b="1" i="0" u="none" strike="noStrike" baseline="0">
                    <a:solidFill>
                      <a:srgbClr val="000000"/>
                    </a:solidFill>
                    <a:latin typeface="Arial"/>
                    <a:ea typeface="Arial"/>
                    <a:cs typeface="Arial"/>
                  </a:defRPr>
                </a:pPr>
                <a:r>
                  <a:rPr lang="en-US"/>
                  <a:t>Methane %</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2722560"/>
        <c:crosses val="max"/>
        <c:crossBetween val="midCat"/>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Footer>&amp;R&amp;D</c:oddFooter>
    </c:headerFooter>
    <c:pageMargins b="0.75" l="0.75" r="0.75" t="0.75" header="0.5" footer="0.5"/>
    <c:pageSetup orientation="landscape" horizontalDpi="300" verticalDpi="300"/>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FIGURE 1.  LOPEZ CANYON LANDFILL: MEASURED AVERAGE MONTHLY LFG RECOVERY AMOUNT AND METHANE CONTENT</a:t>
            </a:r>
          </a:p>
        </c:rich>
      </c:tx>
      <c:overlay val="0"/>
      <c:spPr>
        <a:noFill/>
        <a:ln w="25400">
          <a:noFill/>
        </a:ln>
      </c:spPr>
    </c:title>
    <c:autoTitleDeleted val="0"/>
    <c:plotArea>
      <c:layout/>
      <c:scatterChart>
        <c:scatterStyle val="lineMarker"/>
        <c:varyColors val="0"/>
        <c:ser>
          <c:idx val="0"/>
          <c:order val="0"/>
          <c:tx>
            <c:v>LFG Flow</c:v>
          </c:tx>
          <c:spPr>
            <a:ln w="12700">
              <a:solidFill>
                <a:srgbClr val="000080"/>
              </a:solidFill>
              <a:prstDash val="solid"/>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0-8A43-4083-8091-3B4C36501698}"/>
            </c:ext>
          </c:extLst>
        </c:ser>
        <c:dLbls>
          <c:showLegendKey val="0"/>
          <c:showVal val="0"/>
          <c:showCatName val="0"/>
          <c:showSerName val="0"/>
          <c:showPercent val="0"/>
          <c:showBubbleSize val="0"/>
        </c:dLbls>
        <c:axId val="133391104"/>
        <c:axId val="133392640"/>
      </c:scatterChart>
      <c:scatterChart>
        <c:scatterStyle val="lineMarker"/>
        <c:varyColors val="0"/>
        <c:ser>
          <c:idx val="2"/>
          <c:order val="1"/>
          <c:tx>
            <c:v>Methane %</c:v>
          </c:tx>
          <c:spPr>
            <a:ln w="25400">
              <a:solidFill>
                <a:srgbClr val="000000"/>
              </a:solidFill>
              <a:prstDash val="sysDash"/>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1-8A43-4083-8091-3B4C36501698}"/>
            </c:ext>
          </c:extLst>
        </c:ser>
        <c:dLbls>
          <c:showLegendKey val="0"/>
          <c:showVal val="0"/>
          <c:showCatName val="0"/>
          <c:showSerName val="0"/>
          <c:showPercent val="0"/>
          <c:showBubbleSize val="0"/>
        </c:dLbls>
        <c:axId val="133398912"/>
        <c:axId val="133400448"/>
      </c:scatterChart>
      <c:valAx>
        <c:axId val="133391104"/>
        <c:scaling>
          <c:orientation val="minMax"/>
          <c:max val="35514"/>
          <c:min val="34335"/>
        </c:scaling>
        <c:delete val="0"/>
        <c:axPos val="b"/>
        <c:numFmt formatCode="General" sourceLinked="1"/>
        <c:majorTickMark val="cross"/>
        <c:minorTickMark val="in"/>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33392640"/>
        <c:crosses val="autoZero"/>
        <c:crossBetween val="midCat"/>
        <c:majorUnit val="31"/>
        <c:minorUnit val="31"/>
      </c:valAx>
      <c:valAx>
        <c:axId val="13339264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LFG Flows at 50% Methane (cfm)</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3391104"/>
        <c:crosses val="autoZero"/>
        <c:crossBetween val="midCat"/>
      </c:valAx>
      <c:valAx>
        <c:axId val="133398912"/>
        <c:scaling>
          <c:orientation val="minMax"/>
        </c:scaling>
        <c:delete val="1"/>
        <c:axPos val="b"/>
        <c:numFmt formatCode="General" sourceLinked="1"/>
        <c:majorTickMark val="out"/>
        <c:minorTickMark val="none"/>
        <c:tickLblPos val="nextTo"/>
        <c:crossAx val="133400448"/>
        <c:crosses val="autoZero"/>
        <c:crossBetween val="midCat"/>
      </c:valAx>
      <c:valAx>
        <c:axId val="133400448"/>
        <c:scaling>
          <c:orientation val="minMax"/>
          <c:max val="0.5"/>
          <c:min val="0"/>
        </c:scaling>
        <c:delete val="0"/>
        <c:axPos val="r"/>
        <c:title>
          <c:tx>
            <c:rich>
              <a:bodyPr/>
              <a:lstStyle/>
              <a:p>
                <a:pPr>
                  <a:defRPr sz="1000" b="1" i="0" u="none" strike="noStrike" baseline="0">
                    <a:solidFill>
                      <a:srgbClr val="000000"/>
                    </a:solidFill>
                    <a:latin typeface="Arial"/>
                    <a:ea typeface="Arial"/>
                    <a:cs typeface="Arial"/>
                  </a:defRPr>
                </a:pPr>
                <a:r>
                  <a:rPr lang="en-US"/>
                  <a:t>Methane %</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3398912"/>
        <c:crosses val="max"/>
        <c:crossBetween val="midCat"/>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Footer>&amp;R&amp;D</c:oddFooter>
    </c:headerFooter>
    <c:pageMargins b="0.75" l="0.75" r="0.75" t="0.75" header="0.5" footer="0.5"/>
    <c:pageSetup orientation="landscape" horizontalDpi="300" verticalDpi="30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FIGURE 1.  LOPEZ CANYON LANDFILL: MEASURED AVERAGE MONTHLY LFG RECOVERY AMOUNT AND METHANE CONTENT</a:t>
            </a:r>
          </a:p>
        </c:rich>
      </c:tx>
      <c:overlay val="0"/>
      <c:spPr>
        <a:noFill/>
        <a:ln w="25400">
          <a:noFill/>
        </a:ln>
      </c:spPr>
    </c:title>
    <c:autoTitleDeleted val="0"/>
    <c:plotArea>
      <c:layout/>
      <c:scatterChart>
        <c:scatterStyle val="lineMarker"/>
        <c:varyColors val="0"/>
        <c:ser>
          <c:idx val="0"/>
          <c:order val="0"/>
          <c:tx>
            <c:v>LFG Flow</c:v>
          </c:tx>
          <c:spPr>
            <a:ln w="12700">
              <a:solidFill>
                <a:srgbClr val="000080"/>
              </a:solidFill>
              <a:prstDash val="solid"/>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0-0426-4CBF-9269-08F9B7422108}"/>
            </c:ext>
          </c:extLst>
        </c:ser>
        <c:dLbls>
          <c:showLegendKey val="0"/>
          <c:showVal val="0"/>
          <c:showCatName val="0"/>
          <c:showSerName val="0"/>
          <c:showPercent val="0"/>
          <c:showBubbleSize val="0"/>
        </c:dLbls>
        <c:axId val="142910976"/>
        <c:axId val="142912512"/>
      </c:scatterChart>
      <c:scatterChart>
        <c:scatterStyle val="lineMarker"/>
        <c:varyColors val="0"/>
        <c:ser>
          <c:idx val="2"/>
          <c:order val="1"/>
          <c:tx>
            <c:v>Methane %</c:v>
          </c:tx>
          <c:spPr>
            <a:ln w="25400">
              <a:solidFill>
                <a:srgbClr val="000000"/>
              </a:solidFill>
              <a:prstDash val="sysDash"/>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1-0426-4CBF-9269-08F9B7422108}"/>
            </c:ext>
          </c:extLst>
        </c:ser>
        <c:dLbls>
          <c:showLegendKey val="0"/>
          <c:showVal val="0"/>
          <c:showCatName val="0"/>
          <c:showSerName val="0"/>
          <c:showPercent val="0"/>
          <c:showBubbleSize val="0"/>
        </c:dLbls>
        <c:axId val="142922880"/>
        <c:axId val="142924416"/>
      </c:scatterChart>
      <c:valAx>
        <c:axId val="142910976"/>
        <c:scaling>
          <c:orientation val="minMax"/>
          <c:max val="35514"/>
          <c:min val="34335"/>
        </c:scaling>
        <c:delete val="0"/>
        <c:axPos val="b"/>
        <c:numFmt formatCode="General" sourceLinked="1"/>
        <c:majorTickMark val="cross"/>
        <c:minorTickMark val="in"/>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42912512"/>
        <c:crosses val="autoZero"/>
        <c:crossBetween val="midCat"/>
        <c:majorUnit val="31"/>
        <c:minorUnit val="31"/>
      </c:valAx>
      <c:valAx>
        <c:axId val="1429125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LFG Flows at 50% Methane (cfm)</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2910976"/>
        <c:crosses val="autoZero"/>
        <c:crossBetween val="midCat"/>
      </c:valAx>
      <c:valAx>
        <c:axId val="142922880"/>
        <c:scaling>
          <c:orientation val="minMax"/>
        </c:scaling>
        <c:delete val="1"/>
        <c:axPos val="b"/>
        <c:numFmt formatCode="General" sourceLinked="1"/>
        <c:majorTickMark val="out"/>
        <c:minorTickMark val="none"/>
        <c:tickLblPos val="nextTo"/>
        <c:crossAx val="142924416"/>
        <c:crosses val="autoZero"/>
        <c:crossBetween val="midCat"/>
      </c:valAx>
      <c:valAx>
        <c:axId val="142924416"/>
        <c:scaling>
          <c:orientation val="minMax"/>
          <c:max val="0.5"/>
          <c:min val="0"/>
        </c:scaling>
        <c:delete val="0"/>
        <c:axPos val="r"/>
        <c:title>
          <c:tx>
            <c:rich>
              <a:bodyPr/>
              <a:lstStyle/>
              <a:p>
                <a:pPr>
                  <a:defRPr sz="1000" b="1" i="0" u="none" strike="noStrike" baseline="0">
                    <a:solidFill>
                      <a:srgbClr val="000000"/>
                    </a:solidFill>
                    <a:latin typeface="Arial"/>
                    <a:ea typeface="Arial"/>
                    <a:cs typeface="Arial"/>
                  </a:defRPr>
                </a:pPr>
                <a:r>
                  <a:rPr lang="en-US"/>
                  <a:t>Methane %</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2922880"/>
        <c:crosses val="max"/>
        <c:crossBetween val="midCat"/>
      </c:valAx>
      <c:spPr>
        <a:noFill/>
        <a:ln w="12700">
          <a:solidFill>
            <a:srgbClr val="000000"/>
          </a:solidFill>
          <a:prstDash val="solid"/>
        </a:ln>
      </c:spPr>
    </c:plotArea>
    <c:legend>
      <c:legendPos val="r"/>
      <c:layout>
        <c:manualLayout>
          <c:xMode val="edge"/>
          <c:yMode val="edge"/>
          <c:x val="0.81831187410586548"/>
          <c:y val="0"/>
          <c:w val="0.17024320457796852"/>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Footer>&amp;R&amp;D</c:oddFooter>
    </c:headerFooter>
    <c:pageMargins b="0.75" l="0.75" r="0.75" t="0.75" header="0.5" footer="0.5"/>
    <c:pageSetup orientation="landscape" horizontalDpi="300" verticalDpi="30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FIGURE 1.  LOPEZ CANYON LANDFILL: MEASURED AVERAGE MONTHLY LFG RECOVERY AMOUNT AND METHANE CONTENT</a:t>
            </a:r>
          </a:p>
        </c:rich>
      </c:tx>
      <c:overlay val="0"/>
      <c:spPr>
        <a:noFill/>
        <a:ln w="25400">
          <a:noFill/>
        </a:ln>
      </c:spPr>
    </c:title>
    <c:autoTitleDeleted val="0"/>
    <c:plotArea>
      <c:layout/>
      <c:scatterChart>
        <c:scatterStyle val="lineMarker"/>
        <c:varyColors val="0"/>
        <c:ser>
          <c:idx val="0"/>
          <c:order val="0"/>
          <c:tx>
            <c:v>LFG Flow</c:v>
          </c:tx>
          <c:spPr>
            <a:ln w="12700">
              <a:solidFill>
                <a:srgbClr val="000080"/>
              </a:solidFill>
              <a:prstDash val="solid"/>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0-B177-4E4E-A519-B81B2A9B3AC3}"/>
            </c:ext>
          </c:extLst>
        </c:ser>
        <c:dLbls>
          <c:showLegendKey val="0"/>
          <c:showVal val="0"/>
          <c:showCatName val="0"/>
          <c:showSerName val="0"/>
          <c:showPercent val="0"/>
          <c:showBubbleSize val="0"/>
        </c:dLbls>
        <c:axId val="97265536"/>
        <c:axId val="97267072"/>
      </c:scatterChart>
      <c:scatterChart>
        <c:scatterStyle val="lineMarker"/>
        <c:varyColors val="0"/>
        <c:ser>
          <c:idx val="2"/>
          <c:order val="1"/>
          <c:tx>
            <c:v>Methane %</c:v>
          </c:tx>
          <c:spPr>
            <a:ln w="25400">
              <a:solidFill>
                <a:srgbClr val="000000"/>
              </a:solidFill>
              <a:prstDash val="sysDash"/>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1-B177-4E4E-A519-B81B2A9B3AC3}"/>
            </c:ext>
          </c:extLst>
        </c:ser>
        <c:dLbls>
          <c:showLegendKey val="0"/>
          <c:showVal val="0"/>
          <c:showCatName val="0"/>
          <c:showSerName val="0"/>
          <c:showPercent val="0"/>
          <c:showBubbleSize val="0"/>
        </c:dLbls>
        <c:axId val="97269248"/>
        <c:axId val="97270784"/>
      </c:scatterChart>
      <c:valAx>
        <c:axId val="97265536"/>
        <c:scaling>
          <c:orientation val="minMax"/>
          <c:max val="35514"/>
          <c:min val="34335"/>
        </c:scaling>
        <c:delete val="0"/>
        <c:axPos val="b"/>
        <c:numFmt formatCode="General" sourceLinked="1"/>
        <c:majorTickMark val="cross"/>
        <c:minorTickMark val="in"/>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97267072"/>
        <c:crosses val="autoZero"/>
        <c:crossBetween val="midCat"/>
        <c:majorUnit val="31"/>
        <c:minorUnit val="31"/>
      </c:valAx>
      <c:valAx>
        <c:axId val="972670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LFG Flows at 50% Methane (cfm)</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7265536"/>
        <c:crosses val="autoZero"/>
        <c:crossBetween val="midCat"/>
      </c:valAx>
      <c:valAx>
        <c:axId val="97269248"/>
        <c:scaling>
          <c:orientation val="minMax"/>
        </c:scaling>
        <c:delete val="1"/>
        <c:axPos val="b"/>
        <c:numFmt formatCode="General" sourceLinked="1"/>
        <c:majorTickMark val="out"/>
        <c:minorTickMark val="none"/>
        <c:tickLblPos val="nextTo"/>
        <c:crossAx val="97270784"/>
        <c:crosses val="autoZero"/>
        <c:crossBetween val="midCat"/>
      </c:valAx>
      <c:valAx>
        <c:axId val="97270784"/>
        <c:scaling>
          <c:orientation val="minMax"/>
          <c:max val="0.5"/>
          <c:min val="0"/>
        </c:scaling>
        <c:delete val="0"/>
        <c:axPos val="r"/>
        <c:title>
          <c:tx>
            <c:rich>
              <a:bodyPr/>
              <a:lstStyle/>
              <a:p>
                <a:pPr>
                  <a:defRPr sz="1000" b="1" i="0" u="none" strike="noStrike" baseline="0">
                    <a:solidFill>
                      <a:srgbClr val="000000"/>
                    </a:solidFill>
                    <a:latin typeface="Arial"/>
                    <a:ea typeface="Arial"/>
                    <a:cs typeface="Arial"/>
                  </a:defRPr>
                </a:pPr>
                <a:r>
                  <a:rPr lang="en-US"/>
                  <a:t>Methane %</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7269248"/>
        <c:crosses val="max"/>
        <c:crossBetween val="midCat"/>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Footer>&amp;R&amp;D</c:oddFooter>
    </c:headerFooter>
    <c:pageMargins b="0.75" l="0.75" r="0.75" t="0.75" header="0.5" footer="0.5"/>
    <c:pageSetup orientation="landscape" horizontalDpi="300" verticalDpi="30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FIGURE 1.  LOPEZ CANYON LANDFILL: MEASURED AVERAGE MONTHLY LFG RECOVERY AMOUNT AND METHANE CONTENT</a:t>
            </a:r>
          </a:p>
        </c:rich>
      </c:tx>
      <c:overlay val="0"/>
      <c:spPr>
        <a:noFill/>
        <a:ln w="25400">
          <a:noFill/>
        </a:ln>
      </c:spPr>
    </c:title>
    <c:autoTitleDeleted val="0"/>
    <c:plotArea>
      <c:layout/>
      <c:scatterChart>
        <c:scatterStyle val="lineMarker"/>
        <c:varyColors val="0"/>
        <c:ser>
          <c:idx val="0"/>
          <c:order val="0"/>
          <c:tx>
            <c:v>LFG Flow</c:v>
          </c:tx>
          <c:spPr>
            <a:ln w="12700">
              <a:solidFill>
                <a:srgbClr val="000080"/>
              </a:solidFill>
              <a:prstDash val="solid"/>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0-E580-42A0-A020-923FD59CF3C8}"/>
            </c:ext>
          </c:extLst>
        </c:ser>
        <c:dLbls>
          <c:showLegendKey val="0"/>
          <c:showVal val="0"/>
          <c:showCatName val="0"/>
          <c:showSerName val="0"/>
          <c:showPercent val="0"/>
          <c:showBubbleSize val="0"/>
        </c:dLbls>
        <c:axId val="117246592"/>
        <c:axId val="117248384"/>
      </c:scatterChart>
      <c:scatterChart>
        <c:scatterStyle val="lineMarker"/>
        <c:varyColors val="0"/>
        <c:ser>
          <c:idx val="2"/>
          <c:order val="1"/>
          <c:tx>
            <c:v>Methane %</c:v>
          </c:tx>
          <c:spPr>
            <a:ln w="25400">
              <a:solidFill>
                <a:srgbClr val="000000"/>
              </a:solidFill>
              <a:prstDash val="sysDash"/>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1-E580-42A0-A020-923FD59CF3C8}"/>
            </c:ext>
          </c:extLst>
        </c:ser>
        <c:dLbls>
          <c:showLegendKey val="0"/>
          <c:showVal val="0"/>
          <c:showCatName val="0"/>
          <c:showSerName val="0"/>
          <c:showPercent val="0"/>
          <c:showBubbleSize val="0"/>
        </c:dLbls>
        <c:axId val="117250304"/>
        <c:axId val="117256192"/>
      </c:scatterChart>
      <c:valAx>
        <c:axId val="117246592"/>
        <c:scaling>
          <c:orientation val="minMax"/>
          <c:max val="35514"/>
          <c:min val="34335"/>
        </c:scaling>
        <c:delete val="0"/>
        <c:axPos val="b"/>
        <c:numFmt formatCode="General" sourceLinked="1"/>
        <c:majorTickMark val="cross"/>
        <c:minorTickMark val="in"/>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17248384"/>
        <c:crosses val="autoZero"/>
        <c:crossBetween val="midCat"/>
        <c:majorUnit val="31"/>
        <c:minorUnit val="31"/>
      </c:valAx>
      <c:valAx>
        <c:axId val="11724838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LFG Flows at 50% Methane (cfm)</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7246592"/>
        <c:crosses val="autoZero"/>
        <c:crossBetween val="midCat"/>
      </c:valAx>
      <c:valAx>
        <c:axId val="117250304"/>
        <c:scaling>
          <c:orientation val="minMax"/>
        </c:scaling>
        <c:delete val="1"/>
        <c:axPos val="b"/>
        <c:numFmt formatCode="General" sourceLinked="1"/>
        <c:majorTickMark val="out"/>
        <c:minorTickMark val="none"/>
        <c:tickLblPos val="nextTo"/>
        <c:crossAx val="117256192"/>
        <c:crosses val="autoZero"/>
        <c:crossBetween val="midCat"/>
      </c:valAx>
      <c:valAx>
        <c:axId val="117256192"/>
        <c:scaling>
          <c:orientation val="minMax"/>
          <c:max val="0.5"/>
          <c:min val="0"/>
        </c:scaling>
        <c:delete val="0"/>
        <c:axPos val="r"/>
        <c:title>
          <c:tx>
            <c:rich>
              <a:bodyPr/>
              <a:lstStyle/>
              <a:p>
                <a:pPr>
                  <a:defRPr sz="1000" b="1" i="0" u="none" strike="noStrike" baseline="0">
                    <a:solidFill>
                      <a:srgbClr val="000000"/>
                    </a:solidFill>
                    <a:latin typeface="Arial"/>
                    <a:ea typeface="Arial"/>
                    <a:cs typeface="Arial"/>
                  </a:defRPr>
                </a:pPr>
                <a:r>
                  <a:rPr lang="en-US"/>
                  <a:t>Methane %</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250304"/>
        <c:crosses val="max"/>
        <c:crossBetween val="midCat"/>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Footer>&amp;R&amp;D</c:oddFooter>
    </c:headerFooter>
    <c:pageMargins b="0.75" l="0.75" r="0.75" t="0.75" header="0.5" footer="0.5"/>
    <c:pageSetup orientation="landscape" horizontalDpi="300" verticalDpi="300"/>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4</xdr:col>
      <xdr:colOff>47625</xdr:colOff>
      <xdr:row>0</xdr:row>
      <xdr:rowOff>0</xdr:rowOff>
    </xdr:from>
    <xdr:to>
      <xdr:col>4</xdr:col>
      <xdr:colOff>771525</xdr:colOff>
      <xdr:row>2</xdr:row>
      <xdr:rowOff>190500</xdr:rowOff>
    </xdr:to>
    <xdr:pic>
      <xdr:nvPicPr>
        <xdr:cNvPr id="30827" name="Picture 409">
          <a:extLst>
            <a:ext uri="{FF2B5EF4-FFF2-40B4-BE49-F238E27FC236}">
              <a16:creationId xmlns:a16="http://schemas.microsoft.com/office/drawing/2014/main" id="{00000000-0008-0000-0000-00006B7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43850" y="0"/>
          <a:ext cx="7239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988217</xdr:colOff>
      <xdr:row>2</xdr:row>
      <xdr:rowOff>140175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297780" cy="6402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266700</xdr:colOff>
      <xdr:row>4</xdr:row>
      <xdr:rowOff>12700</xdr:rowOff>
    </xdr:from>
    <xdr:to>
      <xdr:col>9</xdr:col>
      <xdr:colOff>596900</xdr:colOff>
      <xdr:row>31</xdr:row>
      <xdr:rowOff>177950</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927100"/>
          <a:ext cx="5816600" cy="590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xdr:row>
      <xdr:rowOff>78502</xdr:rowOff>
    </xdr:from>
    <xdr:to>
      <xdr:col>12</xdr:col>
      <xdr:colOff>431800</xdr:colOff>
      <xdr:row>25</xdr:row>
      <xdr:rowOff>60088</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0" y="992902"/>
          <a:ext cx="1803400" cy="4248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619125</xdr:colOff>
      <xdr:row>1015</xdr:row>
      <xdr:rowOff>0</xdr:rowOff>
    </xdr:from>
    <xdr:to>
      <xdr:col>8</xdr:col>
      <xdr:colOff>333375</xdr:colOff>
      <xdr:row>1015</xdr:row>
      <xdr:rowOff>0</xdr:rowOff>
    </xdr:to>
    <xdr:graphicFrame macro="">
      <xdr:nvGraphicFramePr>
        <xdr:cNvPr id="13355" name="Chart 1">
          <a:extLst>
            <a:ext uri="{FF2B5EF4-FFF2-40B4-BE49-F238E27FC236}">
              <a16:creationId xmlns:a16="http://schemas.microsoft.com/office/drawing/2014/main" id="{00000000-0008-0000-0B00-00002B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0.35763</cdr:x>
      <cdr:y>0.60616</cdr:y>
    </cdr:from>
    <cdr:to>
      <cdr:x>0.35763</cdr:x>
      <cdr:y>0.60616</cdr:y>
    </cdr:to>
    <cdr:sp macro="" textlink="">
      <cdr:nvSpPr>
        <cdr:cNvPr id="14337" name="Text 5"/>
        <cdr:cNvSpPr txBox="1">
          <a:spLocks xmlns:a="http://schemas.openxmlformats.org/drawingml/2006/main" noChangeArrowheads="1"/>
        </cdr:cNvSpPr>
      </cdr:nvSpPr>
      <cdr:spPr bwMode="auto">
        <a:xfrm xmlns:a="http://schemas.openxmlformats.org/drawingml/2006/main">
          <a:off x="2622686" y="447745"/>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vert270" wrap="square" lIns="27432" tIns="22860" rIns="27432" bIns="22860" anchor="ctr" upright="1"/>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Missing March 1995 data</a:t>
          </a:r>
        </a:p>
      </cdr:txBody>
    </cdr:sp>
  </cdr:relSizeAnchor>
  <cdr:relSizeAnchor xmlns:cdr="http://schemas.openxmlformats.org/drawingml/2006/chartDrawing">
    <cdr:from>
      <cdr:x>0.51752</cdr:x>
      <cdr:y>0.60616</cdr:y>
    </cdr:from>
    <cdr:to>
      <cdr:x>0.51752</cdr:x>
      <cdr:y>0.60616</cdr:y>
    </cdr:to>
    <cdr:sp macro="" textlink="">
      <cdr:nvSpPr>
        <cdr:cNvPr id="14338" name="Text 6"/>
        <cdr:cNvSpPr txBox="1">
          <a:spLocks xmlns:a="http://schemas.openxmlformats.org/drawingml/2006/main" noChangeArrowheads="1"/>
        </cdr:cNvSpPr>
      </cdr:nvSpPr>
      <cdr:spPr bwMode="auto">
        <a:xfrm xmlns:a="http://schemas.openxmlformats.org/drawingml/2006/main">
          <a:off x="3793861" y="447745"/>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vert270" wrap="square" lIns="27432" tIns="22860" rIns="27432" bIns="22860" anchor="ctr" upright="1"/>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Missing Jan. 1996 data</a:t>
          </a: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619125</xdr:colOff>
      <xdr:row>1015</xdr:row>
      <xdr:rowOff>0</xdr:rowOff>
    </xdr:from>
    <xdr:to>
      <xdr:col>8</xdr:col>
      <xdr:colOff>333375</xdr:colOff>
      <xdr:row>1015</xdr:row>
      <xdr:rowOff>0</xdr:rowOff>
    </xdr:to>
    <xdr:graphicFrame macro="">
      <xdr:nvGraphicFramePr>
        <xdr:cNvPr id="19499" name="Chart 1">
          <a:extLst>
            <a:ext uri="{FF2B5EF4-FFF2-40B4-BE49-F238E27FC236}">
              <a16:creationId xmlns:a16="http://schemas.microsoft.com/office/drawing/2014/main" id="{00000000-0008-0000-0C00-00002B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0.35934</cdr:x>
      <cdr:y>0.60616</cdr:y>
    </cdr:from>
    <cdr:to>
      <cdr:x>0.35934</cdr:x>
      <cdr:y>0.60616</cdr:y>
    </cdr:to>
    <cdr:sp macro="" textlink="">
      <cdr:nvSpPr>
        <cdr:cNvPr id="20481" name="Text 5"/>
        <cdr:cNvSpPr txBox="1">
          <a:spLocks xmlns:a="http://schemas.openxmlformats.org/drawingml/2006/main" noChangeArrowheads="1"/>
        </cdr:cNvSpPr>
      </cdr:nvSpPr>
      <cdr:spPr bwMode="auto">
        <a:xfrm xmlns:a="http://schemas.openxmlformats.org/drawingml/2006/main">
          <a:off x="2340889" y="447745"/>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vert270" wrap="square" lIns="27432" tIns="22860" rIns="27432" bIns="22860" anchor="ctr" upright="1"/>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Missing March 1995 data</a:t>
          </a:r>
        </a:p>
      </cdr:txBody>
    </cdr:sp>
  </cdr:relSizeAnchor>
  <cdr:relSizeAnchor xmlns:cdr="http://schemas.openxmlformats.org/drawingml/2006/chartDrawing">
    <cdr:from>
      <cdr:x>0.51528</cdr:x>
      <cdr:y>0.60616</cdr:y>
    </cdr:from>
    <cdr:to>
      <cdr:x>0.51528</cdr:x>
      <cdr:y>0.60616</cdr:y>
    </cdr:to>
    <cdr:sp macro="" textlink="">
      <cdr:nvSpPr>
        <cdr:cNvPr id="20482" name="Text 6"/>
        <cdr:cNvSpPr txBox="1">
          <a:spLocks xmlns:a="http://schemas.openxmlformats.org/drawingml/2006/main" noChangeArrowheads="1"/>
        </cdr:cNvSpPr>
      </cdr:nvSpPr>
      <cdr:spPr bwMode="auto">
        <a:xfrm xmlns:a="http://schemas.openxmlformats.org/drawingml/2006/main">
          <a:off x="3361733" y="447745"/>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vert270" wrap="square" lIns="27432" tIns="22860" rIns="27432" bIns="22860" anchor="ctr" upright="1"/>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Missing Jan. 1996 data</a:t>
          </a:r>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619125</xdr:colOff>
      <xdr:row>1015</xdr:row>
      <xdr:rowOff>0</xdr:rowOff>
    </xdr:from>
    <xdr:to>
      <xdr:col>8</xdr:col>
      <xdr:colOff>333375</xdr:colOff>
      <xdr:row>1015</xdr:row>
      <xdr:rowOff>0</xdr:rowOff>
    </xdr:to>
    <xdr:graphicFrame macro="">
      <xdr:nvGraphicFramePr>
        <xdr:cNvPr id="31787" name="Chart 1">
          <a:extLst>
            <a:ext uri="{FF2B5EF4-FFF2-40B4-BE49-F238E27FC236}">
              <a16:creationId xmlns:a16="http://schemas.microsoft.com/office/drawing/2014/main" id="{00000000-0008-0000-0D00-00002B7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0.35834</cdr:x>
      <cdr:y>0.60616</cdr:y>
    </cdr:from>
    <cdr:to>
      <cdr:x>0.35834</cdr:x>
      <cdr:y>0.60616</cdr:y>
    </cdr:to>
    <cdr:sp macro="" textlink="">
      <cdr:nvSpPr>
        <cdr:cNvPr id="32769" name="Text 5"/>
        <cdr:cNvSpPr txBox="1">
          <a:spLocks xmlns:a="http://schemas.openxmlformats.org/drawingml/2006/main" noChangeArrowheads="1"/>
        </cdr:cNvSpPr>
      </cdr:nvSpPr>
      <cdr:spPr bwMode="auto">
        <a:xfrm xmlns:a="http://schemas.openxmlformats.org/drawingml/2006/main">
          <a:off x="2348051" y="447745"/>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vert270" wrap="square" lIns="27432" tIns="22860" rIns="27432" bIns="22860" anchor="ctr" upright="1"/>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Missing March 1995 data</a:t>
          </a:r>
        </a:p>
      </cdr:txBody>
    </cdr:sp>
  </cdr:relSizeAnchor>
  <cdr:relSizeAnchor xmlns:cdr="http://schemas.openxmlformats.org/drawingml/2006/chartDrawing">
    <cdr:from>
      <cdr:x>0.51601</cdr:x>
      <cdr:y>0.60616</cdr:y>
    </cdr:from>
    <cdr:to>
      <cdr:x>0.51601</cdr:x>
      <cdr:y>0.60616</cdr:y>
    </cdr:to>
    <cdr:sp macro="" textlink="">
      <cdr:nvSpPr>
        <cdr:cNvPr id="32770" name="Text 6"/>
        <cdr:cNvSpPr txBox="1">
          <a:spLocks xmlns:a="http://schemas.openxmlformats.org/drawingml/2006/main" noChangeArrowheads="1"/>
        </cdr:cNvSpPr>
      </cdr:nvSpPr>
      <cdr:spPr bwMode="auto">
        <a:xfrm xmlns:a="http://schemas.openxmlformats.org/drawingml/2006/main">
          <a:off x="3379799" y="447745"/>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vert270" wrap="square" lIns="27432" tIns="22860" rIns="27432" bIns="22860" anchor="ctr" upright="1"/>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Missing Jan. 1996 data</a:t>
          </a:r>
        </a:p>
      </cdr:txBody>
    </cdr:sp>
  </cdr:relSizeAnchor>
</c:userShapes>
</file>

<file path=xl/drawings/drawing17.xml><?xml version="1.0" encoding="utf-8"?>
<xdr:wsDr xmlns:xdr="http://schemas.openxmlformats.org/drawingml/2006/spreadsheetDrawing" xmlns:a="http://schemas.openxmlformats.org/drawingml/2006/main">
  <xdr:twoCellAnchor>
    <xdr:from>
      <xdr:col>1</xdr:col>
      <xdr:colOff>619125</xdr:colOff>
      <xdr:row>1015</xdr:row>
      <xdr:rowOff>0</xdr:rowOff>
    </xdr:from>
    <xdr:to>
      <xdr:col>8</xdr:col>
      <xdr:colOff>333375</xdr:colOff>
      <xdr:row>1015</xdr:row>
      <xdr:rowOff>0</xdr:rowOff>
    </xdr:to>
    <xdr:graphicFrame macro="">
      <xdr:nvGraphicFramePr>
        <xdr:cNvPr id="33835" name="Chart 1">
          <a:extLst>
            <a:ext uri="{FF2B5EF4-FFF2-40B4-BE49-F238E27FC236}">
              <a16:creationId xmlns:a16="http://schemas.microsoft.com/office/drawing/2014/main" id="{00000000-0008-0000-0E00-00002B8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0.35964</cdr:x>
      <cdr:y>0.60616</cdr:y>
    </cdr:from>
    <cdr:to>
      <cdr:x>0.35964</cdr:x>
      <cdr:y>0.60616</cdr:y>
    </cdr:to>
    <cdr:sp macro="" textlink="">
      <cdr:nvSpPr>
        <cdr:cNvPr id="34817" name="Text 5"/>
        <cdr:cNvSpPr txBox="1">
          <a:spLocks xmlns:a="http://schemas.openxmlformats.org/drawingml/2006/main" noChangeArrowheads="1"/>
        </cdr:cNvSpPr>
      </cdr:nvSpPr>
      <cdr:spPr bwMode="auto">
        <a:xfrm xmlns:a="http://schemas.openxmlformats.org/drawingml/2006/main">
          <a:off x="2288008" y="447745"/>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vert270" wrap="square" lIns="27432" tIns="22860" rIns="27432" bIns="22860" anchor="ctr" upright="1"/>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Missing March 1995 data</a:t>
          </a:r>
        </a:p>
      </cdr:txBody>
    </cdr:sp>
  </cdr:relSizeAnchor>
  <cdr:relSizeAnchor xmlns:cdr="http://schemas.openxmlformats.org/drawingml/2006/chartDrawing">
    <cdr:from>
      <cdr:x>0.51478</cdr:x>
      <cdr:y>0.60616</cdr:y>
    </cdr:from>
    <cdr:to>
      <cdr:x>0.51478</cdr:x>
      <cdr:y>0.60616</cdr:y>
    </cdr:to>
    <cdr:sp macro="" textlink="">
      <cdr:nvSpPr>
        <cdr:cNvPr id="34818" name="Text 6"/>
        <cdr:cNvSpPr txBox="1">
          <a:spLocks xmlns:a="http://schemas.openxmlformats.org/drawingml/2006/main" noChangeArrowheads="1"/>
        </cdr:cNvSpPr>
      </cdr:nvSpPr>
      <cdr:spPr bwMode="auto">
        <a:xfrm xmlns:a="http://schemas.openxmlformats.org/drawingml/2006/main">
          <a:off x="3273631" y="447745"/>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vert270" wrap="square" lIns="27432" tIns="22860" rIns="27432" bIns="22860" anchor="ctr" upright="1"/>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Missing Jan. 1996 data</a:t>
          </a: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619125</xdr:colOff>
      <xdr:row>1015</xdr:row>
      <xdr:rowOff>0</xdr:rowOff>
    </xdr:from>
    <xdr:to>
      <xdr:col>8</xdr:col>
      <xdr:colOff>333375</xdr:colOff>
      <xdr:row>1015</xdr:row>
      <xdr:rowOff>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19050</xdr:colOff>
      <xdr:row>0</xdr:row>
      <xdr:rowOff>38100</xdr:rowOff>
    </xdr:from>
    <xdr:to>
      <xdr:col>8</xdr:col>
      <xdr:colOff>742950</xdr:colOff>
      <xdr:row>2</xdr:row>
      <xdr:rowOff>228600</xdr:rowOff>
    </xdr:to>
    <xdr:pic>
      <xdr:nvPicPr>
        <xdr:cNvPr id="130073" name="Picture 409">
          <a:extLst>
            <a:ext uri="{FF2B5EF4-FFF2-40B4-BE49-F238E27FC236}">
              <a16:creationId xmlns:a16="http://schemas.microsoft.com/office/drawing/2014/main" id="{00000000-0008-0000-0100-000019F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34150" y="38100"/>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715074</xdr:colOff>
      <xdr:row>2</xdr:row>
      <xdr:rowOff>102356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297780" cy="64023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0.35763</cdr:x>
      <cdr:y>0.60616</cdr:y>
    </cdr:from>
    <cdr:to>
      <cdr:x>0.35763</cdr:x>
      <cdr:y>0.60616</cdr:y>
    </cdr:to>
    <cdr:sp macro="" textlink="">
      <cdr:nvSpPr>
        <cdr:cNvPr id="14337" name="Text 5"/>
        <cdr:cNvSpPr txBox="1">
          <a:spLocks xmlns:a="http://schemas.openxmlformats.org/drawingml/2006/main" noChangeArrowheads="1"/>
        </cdr:cNvSpPr>
      </cdr:nvSpPr>
      <cdr:spPr bwMode="auto">
        <a:xfrm xmlns:a="http://schemas.openxmlformats.org/drawingml/2006/main">
          <a:off x="2622686" y="447745"/>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vert270" wrap="square" lIns="27432" tIns="22860" rIns="27432" bIns="22860" anchor="ctr" upright="1"/>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Missing March 1995 data</a:t>
          </a:r>
        </a:p>
      </cdr:txBody>
    </cdr:sp>
  </cdr:relSizeAnchor>
  <cdr:relSizeAnchor xmlns:cdr="http://schemas.openxmlformats.org/drawingml/2006/chartDrawing">
    <cdr:from>
      <cdr:x>0.51752</cdr:x>
      <cdr:y>0.60616</cdr:y>
    </cdr:from>
    <cdr:to>
      <cdr:x>0.51752</cdr:x>
      <cdr:y>0.60616</cdr:y>
    </cdr:to>
    <cdr:sp macro="" textlink="">
      <cdr:nvSpPr>
        <cdr:cNvPr id="14338" name="Text 6"/>
        <cdr:cNvSpPr txBox="1">
          <a:spLocks xmlns:a="http://schemas.openxmlformats.org/drawingml/2006/main" noChangeArrowheads="1"/>
        </cdr:cNvSpPr>
      </cdr:nvSpPr>
      <cdr:spPr bwMode="auto">
        <a:xfrm xmlns:a="http://schemas.openxmlformats.org/drawingml/2006/main">
          <a:off x="3793861" y="447745"/>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vert270" wrap="square" lIns="27432" tIns="22860" rIns="27432" bIns="22860" anchor="ctr" upright="1"/>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Missing Jan. 1996 data</a:t>
          </a:r>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619125</xdr:colOff>
      <xdr:row>1015</xdr:row>
      <xdr:rowOff>0</xdr:rowOff>
    </xdr:from>
    <xdr:to>
      <xdr:col>8</xdr:col>
      <xdr:colOff>333375</xdr:colOff>
      <xdr:row>1015</xdr:row>
      <xdr:rowOff>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0.35934</cdr:x>
      <cdr:y>0.60616</cdr:y>
    </cdr:from>
    <cdr:to>
      <cdr:x>0.35934</cdr:x>
      <cdr:y>0.60616</cdr:y>
    </cdr:to>
    <cdr:sp macro="" textlink="">
      <cdr:nvSpPr>
        <cdr:cNvPr id="20481" name="Text 5"/>
        <cdr:cNvSpPr txBox="1">
          <a:spLocks xmlns:a="http://schemas.openxmlformats.org/drawingml/2006/main" noChangeArrowheads="1"/>
        </cdr:cNvSpPr>
      </cdr:nvSpPr>
      <cdr:spPr bwMode="auto">
        <a:xfrm xmlns:a="http://schemas.openxmlformats.org/drawingml/2006/main">
          <a:off x="2340889" y="447745"/>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vert270" wrap="square" lIns="27432" tIns="22860" rIns="27432" bIns="22860" anchor="ctr" upright="1"/>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Missing March 1995 data</a:t>
          </a:r>
        </a:p>
      </cdr:txBody>
    </cdr:sp>
  </cdr:relSizeAnchor>
  <cdr:relSizeAnchor xmlns:cdr="http://schemas.openxmlformats.org/drawingml/2006/chartDrawing">
    <cdr:from>
      <cdr:x>0.51528</cdr:x>
      <cdr:y>0.60616</cdr:y>
    </cdr:from>
    <cdr:to>
      <cdr:x>0.51528</cdr:x>
      <cdr:y>0.60616</cdr:y>
    </cdr:to>
    <cdr:sp macro="" textlink="">
      <cdr:nvSpPr>
        <cdr:cNvPr id="20482" name="Text 6"/>
        <cdr:cNvSpPr txBox="1">
          <a:spLocks xmlns:a="http://schemas.openxmlformats.org/drawingml/2006/main" noChangeArrowheads="1"/>
        </cdr:cNvSpPr>
      </cdr:nvSpPr>
      <cdr:spPr bwMode="auto">
        <a:xfrm xmlns:a="http://schemas.openxmlformats.org/drawingml/2006/main">
          <a:off x="3361733" y="447745"/>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vert270" wrap="square" lIns="27432" tIns="22860" rIns="27432" bIns="22860" anchor="ctr" upright="1"/>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Missing Jan. 1996 data</a:t>
          </a:r>
        </a:p>
      </cdr:txBody>
    </cdr:sp>
  </cdr:relSizeAnchor>
</c:userShapes>
</file>

<file path=xl/drawings/drawing23.xml><?xml version="1.0" encoding="utf-8"?>
<xdr:wsDr xmlns:xdr="http://schemas.openxmlformats.org/drawingml/2006/spreadsheetDrawing" xmlns:a="http://schemas.openxmlformats.org/drawingml/2006/main">
  <xdr:twoCellAnchor>
    <xdr:from>
      <xdr:col>1</xdr:col>
      <xdr:colOff>619125</xdr:colOff>
      <xdr:row>1015</xdr:row>
      <xdr:rowOff>0</xdr:rowOff>
    </xdr:from>
    <xdr:to>
      <xdr:col>8</xdr:col>
      <xdr:colOff>333375</xdr:colOff>
      <xdr:row>1015</xdr:row>
      <xdr:rowOff>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0.35834</cdr:x>
      <cdr:y>0.60616</cdr:y>
    </cdr:from>
    <cdr:to>
      <cdr:x>0.35834</cdr:x>
      <cdr:y>0.60616</cdr:y>
    </cdr:to>
    <cdr:sp macro="" textlink="">
      <cdr:nvSpPr>
        <cdr:cNvPr id="32769" name="Text 5"/>
        <cdr:cNvSpPr txBox="1">
          <a:spLocks xmlns:a="http://schemas.openxmlformats.org/drawingml/2006/main" noChangeArrowheads="1"/>
        </cdr:cNvSpPr>
      </cdr:nvSpPr>
      <cdr:spPr bwMode="auto">
        <a:xfrm xmlns:a="http://schemas.openxmlformats.org/drawingml/2006/main">
          <a:off x="2348051" y="447745"/>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vert270" wrap="square" lIns="27432" tIns="22860" rIns="27432" bIns="22860" anchor="ctr" upright="1"/>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Missing March 1995 data</a:t>
          </a:r>
        </a:p>
      </cdr:txBody>
    </cdr:sp>
  </cdr:relSizeAnchor>
  <cdr:relSizeAnchor xmlns:cdr="http://schemas.openxmlformats.org/drawingml/2006/chartDrawing">
    <cdr:from>
      <cdr:x>0.51601</cdr:x>
      <cdr:y>0.60616</cdr:y>
    </cdr:from>
    <cdr:to>
      <cdr:x>0.51601</cdr:x>
      <cdr:y>0.60616</cdr:y>
    </cdr:to>
    <cdr:sp macro="" textlink="">
      <cdr:nvSpPr>
        <cdr:cNvPr id="32770" name="Text 6"/>
        <cdr:cNvSpPr txBox="1">
          <a:spLocks xmlns:a="http://schemas.openxmlformats.org/drawingml/2006/main" noChangeArrowheads="1"/>
        </cdr:cNvSpPr>
      </cdr:nvSpPr>
      <cdr:spPr bwMode="auto">
        <a:xfrm xmlns:a="http://schemas.openxmlformats.org/drawingml/2006/main">
          <a:off x="3379799" y="447745"/>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vert270" wrap="square" lIns="27432" tIns="22860" rIns="27432" bIns="22860" anchor="ctr" upright="1"/>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Missing Jan. 1996 data</a:t>
          </a:r>
        </a:p>
      </cdr:txBody>
    </cdr:sp>
  </cdr:relSizeAnchor>
</c:userShapes>
</file>

<file path=xl/drawings/drawing25.xml><?xml version="1.0" encoding="utf-8"?>
<xdr:wsDr xmlns:xdr="http://schemas.openxmlformats.org/drawingml/2006/spreadsheetDrawing" xmlns:a="http://schemas.openxmlformats.org/drawingml/2006/main">
  <xdr:twoCellAnchor>
    <xdr:from>
      <xdr:col>1</xdr:col>
      <xdr:colOff>619125</xdr:colOff>
      <xdr:row>1015</xdr:row>
      <xdr:rowOff>0</xdr:rowOff>
    </xdr:from>
    <xdr:to>
      <xdr:col>8</xdr:col>
      <xdr:colOff>333375</xdr:colOff>
      <xdr:row>1015</xdr:row>
      <xdr:rowOff>0</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0.35964</cdr:x>
      <cdr:y>0.60616</cdr:y>
    </cdr:from>
    <cdr:to>
      <cdr:x>0.35964</cdr:x>
      <cdr:y>0.60616</cdr:y>
    </cdr:to>
    <cdr:sp macro="" textlink="">
      <cdr:nvSpPr>
        <cdr:cNvPr id="34817" name="Text 5"/>
        <cdr:cNvSpPr txBox="1">
          <a:spLocks xmlns:a="http://schemas.openxmlformats.org/drawingml/2006/main" noChangeArrowheads="1"/>
        </cdr:cNvSpPr>
      </cdr:nvSpPr>
      <cdr:spPr bwMode="auto">
        <a:xfrm xmlns:a="http://schemas.openxmlformats.org/drawingml/2006/main">
          <a:off x="2288008" y="447745"/>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vert270" wrap="square" lIns="27432" tIns="22860" rIns="27432" bIns="22860" anchor="ctr" upright="1"/>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Missing March 1995 data</a:t>
          </a:r>
        </a:p>
      </cdr:txBody>
    </cdr:sp>
  </cdr:relSizeAnchor>
  <cdr:relSizeAnchor xmlns:cdr="http://schemas.openxmlformats.org/drawingml/2006/chartDrawing">
    <cdr:from>
      <cdr:x>0.51478</cdr:x>
      <cdr:y>0.60616</cdr:y>
    </cdr:from>
    <cdr:to>
      <cdr:x>0.51478</cdr:x>
      <cdr:y>0.60616</cdr:y>
    </cdr:to>
    <cdr:sp macro="" textlink="">
      <cdr:nvSpPr>
        <cdr:cNvPr id="34818" name="Text 6"/>
        <cdr:cNvSpPr txBox="1">
          <a:spLocks xmlns:a="http://schemas.openxmlformats.org/drawingml/2006/main" noChangeArrowheads="1"/>
        </cdr:cNvSpPr>
      </cdr:nvSpPr>
      <cdr:spPr bwMode="auto">
        <a:xfrm xmlns:a="http://schemas.openxmlformats.org/drawingml/2006/main">
          <a:off x="3273631" y="447745"/>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vert270" wrap="square" lIns="27432" tIns="22860" rIns="27432" bIns="22860" anchor="ctr" upright="1"/>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Missing Jan. 1996 data</a:t>
          </a:r>
        </a:p>
      </cdr:txBody>
    </cdr:sp>
  </cdr:relSizeAnchor>
</c:userShapes>
</file>

<file path=xl/drawings/drawing3.xml><?xml version="1.0" encoding="utf-8"?>
<xdr:wsDr xmlns:xdr="http://schemas.openxmlformats.org/drawingml/2006/spreadsheetDrawing" xmlns:a="http://schemas.openxmlformats.org/drawingml/2006/main">
  <xdr:twoCellAnchor>
    <xdr:from>
      <xdr:col>4</xdr:col>
      <xdr:colOff>47625</xdr:colOff>
      <xdr:row>0</xdr:row>
      <xdr:rowOff>0</xdr:rowOff>
    </xdr:from>
    <xdr:to>
      <xdr:col>4</xdr:col>
      <xdr:colOff>771525</xdr:colOff>
      <xdr:row>2</xdr:row>
      <xdr:rowOff>190500</xdr:rowOff>
    </xdr:to>
    <xdr:pic>
      <xdr:nvPicPr>
        <xdr:cNvPr id="3" name="Picture 409">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96250" y="0"/>
          <a:ext cx="7239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47625</xdr:colOff>
      <xdr:row>0</xdr:row>
      <xdr:rowOff>0</xdr:rowOff>
    </xdr:from>
    <xdr:to>
      <xdr:col>4</xdr:col>
      <xdr:colOff>771525</xdr:colOff>
      <xdr:row>2</xdr:row>
      <xdr:rowOff>190500</xdr:rowOff>
    </xdr:to>
    <xdr:pic>
      <xdr:nvPicPr>
        <xdr:cNvPr id="5" name="Picture 409">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96250" y="0"/>
          <a:ext cx="7239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988217</xdr:colOff>
      <xdr:row>2</xdr:row>
      <xdr:rowOff>140175</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297780" cy="640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19050</xdr:colOff>
      <xdr:row>0</xdr:row>
      <xdr:rowOff>38100</xdr:rowOff>
    </xdr:from>
    <xdr:to>
      <xdr:col>8</xdr:col>
      <xdr:colOff>742950</xdr:colOff>
      <xdr:row>2</xdr:row>
      <xdr:rowOff>228600</xdr:rowOff>
    </xdr:to>
    <xdr:pic>
      <xdr:nvPicPr>
        <xdr:cNvPr id="3" name="Picture 409">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34150" y="38100"/>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19050</xdr:colOff>
      <xdr:row>0</xdr:row>
      <xdr:rowOff>38100</xdr:rowOff>
    </xdr:from>
    <xdr:to>
      <xdr:col>8</xdr:col>
      <xdr:colOff>742950</xdr:colOff>
      <xdr:row>2</xdr:row>
      <xdr:rowOff>228600</xdr:rowOff>
    </xdr:to>
    <xdr:pic>
      <xdr:nvPicPr>
        <xdr:cNvPr id="5" name="Picture 409">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34150" y="38100"/>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714374</xdr:colOff>
      <xdr:row>2</xdr:row>
      <xdr:rowOff>104457</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297780" cy="640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1</xdr:col>
      <xdr:colOff>1238250</xdr:colOff>
      <xdr:row>3</xdr:row>
      <xdr:rowOff>19050</xdr:rowOff>
    </xdr:to>
    <xdr:pic>
      <xdr:nvPicPr>
        <xdr:cNvPr id="136215" name="Picture 7">
          <a:extLst>
            <a:ext uri="{FF2B5EF4-FFF2-40B4-BE49-F238E27FC236}">
              <a16:creationId xmlns:a16="http://schemas.microsoft.com/office/drawing/2014/main" id="{00000000-0008-0000-0400-00001714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0"/>
          <a:ext cx="18764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311150</xdr:colOff>
      <xdr:row>0</xdr:row>
      <xdr:rowOff>0</xdr:rowOff>
    </xdr:from>
    <xdr:to>
      <xdr:col>6</xdr:col>
      <xdr:colOff>1035050</xdr:colOff>
      <xdr:row>3</xdr:row>
      <xdr:rowOff>9525</xdr:rowOff>
    </xdr:to>
    <xdr:pic>
      <xdr:nvPicPr>
        <xdr:cNvPr id="136216" name="Picture 409">
          <a:extLst>
            <a:ext uri="{FF2B5EF4-FFF2-40B4-BE49-F238E27FC236}">
              <a16:creationId xmlns:a16="http://schemas.microsoft.com/office/drawing/2014/main" id="{00000000-0008-0000-0400-00001814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18450" y="0"/>
          <a:ext cx="7239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285750</xdr:colOff>
      <xdr:row>1</xdr:row>
      <xdr:rowOff>85725</xdr:rowOff>
    </xdr:from>
    <xdr:to>
      <xdr:col>3</xdr:col>
      <xdr:colOff>114300</xdr:colOff>
      <xdr:row>3</xdr:row>
      <xdr:rowOff>171450</xdr:rowOff>
    </xdr:to>
    <xdr:pic>
      <xdr:nvPicPr>
        <xdr:cNvPr id="142358" name="Picture 7">
          <a:extLst>
            <a:ext uri="{FF2B5EF4-FFF2-40B4-BE49-F238E27FC236}">
              <a16:creationId xmlns:a16="http://schemas.microsoft.com/office/drawing/2014/main" id="{00000000-0008-0000-0500-0000162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52900" y="523875"/>
          <a:ext cx="15716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57150</xdr:rowOff>
    </xdr:from>
    <xdr:to>
      <xdr:col>13</xdr:col>
      <xdr:colOff>704850</xdr:colOff>
      <xdr:row>3</xdr:row>
      <xdr:rowOff>247650</xdr:rowOff>
    </xdr:to>
    <xdr:pic>
      <xdr:nvPicPr>
        <xdr:cNvPr id="142359" name="Picture 409">
          <a:extLst>
            <a:ext uri="{FF2B5EF4-FFF2-40B4-BE49-F238E27FC236}">
              <a16:creationId xmlns:a16="http://schemas.microsoft.com/office/drawing/2014/main" id="{00000000-0008-0000-0500-0000172C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77100" y="495300"/>
          <a:ext cx="7810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13</xdr:col>
      <xdr:colOff>76200</xdr:colOff>
      <xdr:row>1</xdr:row>
      <xdr:rowOff>95250</xdr:rowOff>
    </xdr:from>
    <xdr:to>
      <xdr:col>13</xdr:col>
      <xdr:colOff>771525</xdr:colOff>
      <xdr:row>3</xdr:row>
      <xdr:rowOff>304800</xdr:rowOff>
    </xdr:to>
    <xdr:pic>
      <xdr:nvPicPr>
        <xdr:cNvPr id="77856" name="Picture 409">
          <a:extLst>
            <a:ext uri="{FF2B5EF4-FFF2-40B4-BE49-F238E27FC236}">
              <a16:creationId xmlns:a16="http://schemas.microsoft.com/office/drawing/2014/main" id="{00000000-0008-0000-0600-0000203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15725" y="523875"/>
          <a:ext cx="6953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63500</xdr:colOff>
      <xdr:row>1</xdr:row>
      <xdr:rowOff>76200</xdr:rowOff>
    </xdr:from>
    <xdr:to>
      <xdr:col>1</xdr:col>
      <xdr:colOff>774700</xdr:colOff>
      <xdr:row>3</xdr:row>
      <xdr:rowOff>232156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 y="508000"/>
          <a:ext cx="1371600" cy="6766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2</xdr:row>
      <xdr:rowOff>38100</xdr:rowOff>
    </xdr:from>
    <xdr:to>
      <xdr:col>9</xdr:col>
      <xdr:colOff>800100</xdr:colOff>
      <xdr:row>30</xdr:row>
      <xdr:rowOff>114300</xdr:rowOff>
    </xdr:to>
    <xdr:graphicFrame macro="">
      <xdr:nvGraphicFramePr>
        <xdr:cNvPr id="10312" name="Chart 1">
          <a:extLst>
            <a:ext uri="{FF2B5EF4-FFF2-40B4-BE49-F238E27FC236}">
              <a16:creationId xmlns:a16="http://schemas.microsoft.com/office/drawing/2014/main" id="{00000000-0008-0000-0700-000048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0.00622</cdr:x>
      <cdr:y>0.01044</cdr:y>
    </cdr:from>
    <cdr:to>
      <cdr:x>0.11085</cdr:x>
      <cdr:y>0.097</cdr:y>
    </cdr:to>
    <cdr:pic>
      <cdr:nvPicPr>
        <cdr:cNvPr id="2" name="Picture 1">
          <a:extLst xmlns:a="http://schemas.openxmlformats.org/drawingml/2006/main">
            <a:ext uri="{FF2B5EF4-FFF2-40B4-BE49-F238E27FC236}">
              <a16:creationId xmlns:a16="http://schemas.microsoft.com/office/drawing/2014/main" id="{3B0474A9-8411-4F88-8BB6-187144016C5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1"/>
          <a:ext cx="854075" cy="421344"/>
        </a:xfrm>
        <a:prstGeom xmlns:a="http://schemas.openxmlformats.org/drawingml/2006/main" prst="rect">
          <a:avLst/>
        </a:prstGeom>
      </cdr:spPr>
    </cdr:pic>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152"/>
  <sheetViews>
    <sheetView showGridLines="0" tabSelected="1" zoomScale="80" zoomScaleNormal="80" zoomScaleSheetLayoutView="100" workbookViewId="0">
      <pane ySplit="5" topLeftCell="A6" activePane="bottomLeft" state="frozen"/>
      <selection pane="bottomLeft" sqref="A1:D1"/>
    </sheetView>
  </sheetViews>
  <sheetFormatPr defaultColWidth="9" defaultRowHeight="13.5" x14ac:dyDescent="0.3"/>
  <cols>
    <col min="1" max="1" width="4.08203125" style="239" customWidth="1"/>
    <col min="2" max="2" width="69.25" style="101" customWidth="1"/>
    <col min="3" max="3" width="24.25" style="101" customWidth="1"/>
    <col min="4" max="4" width="11.25" style="249" customWidth="1"/>
    <col min="5" max="5" width="11.58203125" style="239" customWidth="1"/>
    <col min="6" max="6" width="8.83203125" style="239" customWidth="1"/>
    <col min="7" max="8" width="11.58203125" style="239" customWidth="1"/>
    <col min="9" max="9" width="11.25" style="239" customWidth="1"/>
    <col min="10" max="10" width="10.83203125" style="239" customWidth="1"/>
    <col min="11" max="11" width="11.58203125" style="239" customWidth="1"/>
    <col min="12" max="12" width="13" style="239" customWidth="1"/>
    <col min="13" max="13" width="14.75" style="239" customWidth="1"/>
    <col min="14" max="29" width="16.75" style="202" customWidth="1"/>
    <col min="30" max="37" width="12.75" style="202" customWidth="1"/>
    <col min="38" max="40" width="16.75" style="202" customWidth="1"/>
    <col min="41" max="16384" width="9" style="202"/>
  </cols>
  <sheetData>
    <row r="1" spans="1:18" ht="19.5" customHeight="1" x14ac:dyDescent="0.3">
      <c r="A1" s="376" t="s">
        <v>228</v>
      </c>
      <c r="B1" s="376"/>
      <c r="C1" s="376"/>
      <c r="D1" s="376"/>
    </row>
    <row r="2" spans="1:18" ht="19.5" customHeight="1" x14ac:dyDescent="0.3">
      <c r="A2" s="376" t="s">
        <v>354</v>
      </c>
      <c r="B2" s="376"/>
      <c r="C2" s="376"/>
      <c r="D2" s="376"/>
    </row>
    <row r="3" spans="1:18" ht="18.75" customHeight="1" x14ac:dyDescent="0.3">
      <c r="A3" s="380" t="s">
        <v>212</v>
      </c>
      <c r="B3" s="380"/>
      <c r="C3" s="380"/>
      <c r="D3" s="381"/>
    </row>
    <row r="4" spans="1:18" ht="22" customHeight="1" x14ac:dyDescent="0.3">
      <c r="A4" s="208"/>
      <c r="B4" s="382" t="s">
        <v>120</v>
      </c>
      <c r="C4" s="382"/>
      <c r="D4" s="240"/>
      <c r="E4" s="383" t="s">
        <v>188</v>
      </c>
      <c r="F4" s="384"/>
      <c r="G4" s="384"/>
      <c r="H4" s="384"/>
      <c r="I4" s="384"/>
      <c r="J4" s="384"/>
      <c r="K4" s="384"/>
      <c r="L4" s="384"/>
      <c r="M4" s="384"/>
    </row>
    <row r="5" spans="1:18" ht="22" customHeight="1" x14ac:dyDescent="0.3">
      <c r="A5" s="208"/>
      <c r="B5" s="382" t="s">
        <v>157</v>
      </c>
      <c r="C5" s="382"/>
      <c r="D5" s="241"/>
      <c r="E5" s="384"/>
      <c r="F5" s="384"/>
      <c r="G5" s="384"/>
      <c r="H5" s="384"/>
      <c r="I5" s="384"/>
      <c r="J5" s="384"/>
      <c r="K5" s="384"/>
      <c r="L5" s="384"/>
      <c r="M5" s="384"/>
    </row>
    <row r="6" spans="1:18" ht="21.75" customHeight="1" x14ac:dyDescent="0.3">
      <c r="A6" s="293">
        <v>1</v>
      </c>
      <c r="B6" s="103" t="s">
        <v>142</v>
      </c>
      <c r="C6" s="377" t="s">
        <v>350</v>
      </c>
      <c r="D6" s="378"/>
      <c r="E6" s="373" t="s">
        <v>319</v>
      </c>
      <c r="F6" s="373"/>
      <c r="G6" s="373"/>
      <c r="H6" s="373"/>
      <c r="I6" s="373"/>
      <c r="J6" s="373"/>
      <c r="K6" s="373"/>
      <c r="L6" s="373"/>
      <c r="M6" s="373"/>
      <c r="N6" s="242"/>
      <c r="O6" s="242"/>
      <c r="P6" s="242"/>
      <c r="Q6" s="242"/>
      <c r="R6" s="242"/>
    </row>
    <row r="7" spans="1:18" ht="21.75" customHeight="1" x14ac:dyDescent="0.3">
      <c r="A7" s="293">
        <v>2</v>
      </c>
      <c r="B7" s="103" t="s">
        <v>119</v>
      </c>
      <c r="C7" s="377" t="s">
        <v>351</v>
      </c>
      <c r="D7" s="387"/>
      <c r="E7" s="373" t="s">
        <v>320</v>
      </c>
      <c r="F7" s="373"/>
      <c r="G7" s="373"/>
      <c r="H7" s="373"/>
      <c r="I7" s="373"/>
      <c r="J7" s="373"/>
      <c r="K7" s="373"/>
      <c r="L7" s="373"/>
      <c r="M7" s="373"/>
      <c r="N7" s="242"/>
      <c r="O7" s="242"/>
      <c r="P7" s="242"/>
      <c r="Q7" s="242"/>
      <c r="R7" s="242"/>
    </row>
    <row r="8" spans="1:18" ht="21.75" customHeight="1" x14ac:dyDescent="0.3">
      <c r="A8" s="293">
        <v>3</v>
      </c>
      <c r="B8" s="103" t="s">
        <v>218</v>
      </c>
      <c r="C8" s="377" t="s">
        <v>221</v>
      </c>
      <c r="D8" s="387"/>
      <c r="E8" s="373" t="s">
        <v>353</v>
      </c>
      <c r="F8" s="373"/>
      <c r="G8" s="373"/>
      <c r="H8" s="373"/>
      <c r="I8" s="373"/>
      <c r="J8" s="373"/>
      <c r="K8" s="373"/>
      <c r="L8" s="373"/>
      <c r="M8" s="373"/>
      <c r="N8" s="243"/>
      <c r="O8" s="243"/>
      <c r="P8" s="243"/>
      <c r="Q8" s="243"/>
      <c r="R8" s="243"/>
    </row>
    <row r="9" spans="1:18" ht="21.75" customHeight="1" x14ac:dyDescent="0.3">
      <c r="A9" s="293">
        <v>4</v>
      </c>
      <c r="B9" s="103" t="s">
        <v>331</v>
      </c>
      <c r="C9" s="146" t="s">
        <v>288</v>
      </c>
      <c r="D9" s="308"/>
      <c r="E9" s="379" t="s">
        <v>325</v>
      </c>
      <c r="F9" s="379"/>
      <c r="G9" s="379"/>
      <c r="H9" s="379"/>
      <c r="I9" s="379"/>
      <c r="J9" s="379"/>
      <c r="K9" s="379"/>
      <c r="L9" s="379"/>
      <c r="M9" s="379"/>
      <c r="N9" s="243"/>
      <c r="O9" s="243"/>
      <c r="P9" s="243"/>
      <c r="Q9" s="243"/>
      <c r="R9" s="243"/>
    </row>
    <row r="10" spans="1:18" ht="28.5" customHeight="1" x14ac:dyDescent="0.35">
      <c r="A10" s="293">
        <v>5</v>
      </c>
      <c r="B10" s="103" t="s">
        <v>160</v>
      </c>
      <c r="C10" s="385" t="s">
        <v>215</v>
      </c>
      <c r="D10" s="386"/>
      <c r="E10" s="388" t="s">
        <v>318</v>
      </c>
      <c r="F10" s="389"/>
      <c r="G10" s="389"/>
      <c r="H10" s="389"/>
      <c r="I10" s="389"/>
      <c r="J10" s="389"/>
      <c r="K10" s="389"/>
      <c r="L10" s="389"/>
      <c r="M10" s="389"/>
      <c r="N10" s="243"/>
      <c r="O10" s="243"/>
      <c r="P10" s="243"/>
      <c r="Q10" s="243"/>
      <c r="R10" s="243"/>
    </row>
    <row r="11" spans="1:18" ht="21.75" customHeight="1" x14ac:dyDescent="0.3">
      <c r="A11" s="293">
        <v>6</v>
      </c>
      <c r="B11" s="103" t="s">
        <v>104</v>
      </c>
      <c r="C11" s="147" t="s">
        <v>51</v>
      </c>
      <c r="D11" s="266"/>
      <c r="E11" s="379" t="s">
        <v>169</v>
      </c>
      <c r="F11" s="379"/>
      <c r="G11" s="379"/>
      <c r="H11" s="379"/>
      <c r="I11" s="379"/>
      <c r="J11" s="379"/>
      <c r="K11" s="379"/>
      <c r="L11" s="379"/>
      <c r="M11" s="379"/>
      <c r="N11" s="243"/>
      <c r="O11" s="243"/>
      <c r="P11" s="243"/>
      <c r="Q11" s="243"/>
      <c r="R11" s="243"/>
    </row>
    <row r="12" spans="1:18" ht="21.75" customHeight="1" x14ac:dyDescent="0.3">
      <c r="A12" s="293">
        <f t="shared" ref="A12:A17" si="0">A11+1</f>
        <v>7</v>
      </c>
      <c r="B12" s="103" t="s">
        <v>105</v>
      </c>
      <c r="C12" s="148">
        <v>1990</v>
      </c>
      <c r="D12" s="266"/>
      <c r="E12" s="373" t="s">
        <v>321</v>
      </c>
      <c r="F12" s="373"/>
      <c r="G12" s="373"/>
      <c r="H12" s="373"/>
      <c r="I12" s="373"/>
      <c r="J12" s="373"/>
      <c r="K12" s="373"/>
      <c r="L12" s="373"/>
      <c r="M12" s="373"/>
    </row>
    <row r="13" spans="1:18" ht="27.75" customHeight="1" x14ac:dyDescent="0.3">
      <c r="A13" s="293">
        <f t="shared" si="0"/>
        <v>8</v>
      </c>
      <c r="B13" s="103" t="s">
        <v>163</v>
      </c>
      <c r="C13" s="149">
        <v>450000</v>
      </c>
      <c r="D13" s="151" t="s">
        <v>109</v>
      </c>
      <c r="E13" s="373" t="s">
        <v>170</v>
      </c>
      <c r="F13" s="373"/>
      <c r="G13" s="373"/>
      <c r="H13" s="373"/>
      <c r="I13" s="373"/>
      <c r="J13" s="373"/>
      <c r="K13" s="373"/>
      <c r="L13" s="373"/>
      <c r="M13" s="373"/>
    </row>
    <row r="14" spans="1:18" ht="21.75" customHeight="1" x14ac:dyDescent="0.3">
      <c r="A14" s="293">
        <f t="shared" si="0"/>
        <v>9</v>
      </c>
      <c r="B14" s="103" t="s">
        <v>106</v>
      </c>
      <c r="C14" s="148">
        <v>2012</v>
      </c>
      <c r="D14" s="150"/>
      <c r="E14" s="373" t="s">
        <v>171</v>
      </c>
      <c r="F14" s="373"/>
      <c r="G14" s="373"/>
      <c r="H14" s="373"/>
      <c r="I14" s="373"/>
      <c r="J14" s="373"/>
      <c r="K14" s="373"/>
      <c r="L14" s="373"/>
      <c r="M14" s="373"/>
    </row>
    <row r="15" spans="1:18" ht="33" customHeight="1" x14ac:dyDescent="0.3">
      <c r="A15" s="293">
        <f t="shared" si="0"/>
        <v>10</v>
      </c>
      <c r="B15" s="132" t="s">
        <v>190</v>
      </c>
      <c r="C15" s="147" t="s">
        <v>50</v>
      </c>
      <c r="D15" s="150"/>
      <c r="E15" s="373" t="s">
        <v>191</v>
      </c>
      <c r="F15" s="373"/>
      <c r="G15" s="373"/>
      <c r="H15" s="373"/>
      <c r="I15" s="373"/>
      <c r="J15" s="373"/>
      <c r="K15" s="373"/>
      <c r="L15" s="373"/>
      <c r="M15" s="373"/>
    </row>
    <row r="16" spans="1:18" ht="33" customHeight="1" x14ac:dyDescent="0.3">
      <c r="A16" s="293">
        <f t="shared" si="0"/>
        <v>11</v>
      </c>
      <c r="B16" s="103" t="s">
        <v>168</v>
      </c>
      <c r="C16" s="147" t="s">
        <v>51</v>
      </c>
      <c r="D16" s="290"/>
      <c r="E16" s="373" t="s">
        <v>314</v>
      </c>
      <c r="F16" s="373"/>
      <c r="G16" s="373"/>
      <c r="H16" s="373"/>
      <c r="I16" s="373"/>
      <c r="J16" s="373"/>
      <c r="K16" s="373"/>
      <c r="L16" s="373"/>
      <c r="M16" s="373"/>
    </row>
    <row r="17" spans="1:18" ht="33" customHeight="1" x14ac:dyDescent="0.3">
      <c r="A17" s="293">
        <f t="shared" si="0"/>
        <v>12</v>
      </c>
      <c r="B17" s="103" t="s">
        <v>167</v>
      </c>
      <c r="C17" s="149">
        <v>10000000</v>
      </c>
      <c r="D17" s="151" t="str">
        <f>IF($C$16="No","m3","Mg")</f>
        <v>m3</v>
      </c>
      <c r="E17" s="373" t="s">
        <v>172</v>
      </c>
      <c r="F17" s="373"/>
      <c r="G17" s="373"/>
      <c r="H17" s="373"/>
      <c r="I17" s="373"/>
      <c r="J17" s="373"/>
      <c r="K17" s="373"/>
      <c r="L17" s="373"/>
      <c r="M17" s="373"/>
    </row>
    <row r="18" spans="1:18" ht="23.25" customHeight="1" x14ac:dyDescent="0.3">
      <c r="A18" s="293">
        <f t="shared" ref="A18:A23" si="1">A17+1</f>
        <v>13</v>
      </c>
      <c r="B18" s="103" t="s">
        <v>164</v>
      </c>
      <c r="C18" s="291">
        <v>0.8</v>
      </c>
      <c r="D18" s="290" t="s">
        <v>189</v>
      </c>
      <c r="E18" s="374" t="s">
        <v>335</v>
      </c>
      <c r="F18" s="373"/>
      <c r="G18" s="373"/>
      <c r="H18" s="373"/>
      <c r="I18" s="373"/>
      <c r="J18" s="373"/>
      <c r="K18" s="373"/>
      <c r="L18" s="373"/>
      <c r="M18" s="373"/>
    </row>
    <row r="19" spans="1:18" ht="23.25" customHeight="1" x14ac:dyDescent="0.3">
      <c r="A19" s="293">
        <f t="shared" si="1"/>
        <v>14</v>
      </c>
      <c r="B19" s="103" t="s">
        <v>165</v>
      </c>
      <c r="C19" s="292">
        <f>IF(D17="Mg",C17,C17*C18)</f>
        <v>8000000</v>
      </c>
      <c r="D19" s="290" t="s">
        <v>166</v>
      </c>
      <c r="E19" s="374" t="s">
        <v>174</v>
      </c>
      <c r="F19" s="373"/>
      <c r="G19" s="373"/>
      <c r="H19" s="373"/>
      <c r="I19" s="373"/>
      <c r="J19" s="373"/>
      <c r="K19" s="373"/>
      <c r="L19" s="373"/>
      <c r="M19" s="373"/>
    </row>
    <row r="20" spans="1:18" ht="21.75" customHeight="1" x14ac:dyDescent="0.3">
      <c r="A20" s="293">
        <f t="shared" si="1"/>
        <v>15</v>
      </c>
      <c r="B20" s="103" t="s">
        <v>107</v>
      </c>
      <c r="C20" s="148">
        <v>2016</v>
      </c>
      <c r="D20" s="150"/>
      <c r="E20" s="373" t="s">
        <v>322</v>
      </c>
      <c r="F20" s="373"/>
      <c r="G20" s="373"/>
      <c r="H20" s="373"/>
      <c r="I20" s="373"/>
      <c r="J20" s="373"/>
      <c r="K20" s="373"/>
      <c r="L20" s="373"/>
      <c r="M20" s="373"/>
    </row>
    <row r="21" spans="1:18" ht="21.75" customHeight="1" x14ac:dyDescent="0.3">
      <c r="A21" s="293">
        <f t="shared" si="1"/>
        <v>16</v>
      </c>
      <c r="B21" s="103" t="s">
        <v>108</v>
      </c>
      <c r="C21" s="152">
        <v>0.02</v>
      </c>
      <c r="D21" s="153"/>
      <c r="E21" s="373" t="s">
        <v>173</v>
      </c>
      <c r="F21" s="373"/>
      <c r="G21" s="373"/>
      <c r="H21" s="373"/>
      <c r="I21" s="373"/>
      <c r="J21" s="373"/>
      <c r="K21" s="373"/>
      <c r="L21" s="373"/>
      <c r="M21" s="373"/>
    </row>
    <row r="22" spans="1:18" ht="22" customHeight="1" x14ac:dyDescent="0.3">
      <c r="A22" s="293">
        <f t="shared" si="1"/>
        <v>17</v>
      </c>
      <c r="B22" s="104" t="s">
        <v>324</v>
      </c>
      <c r="C22" s="148">
        <v>10</v>
      </c>
      <c r="D22" s="154" t="s">
        <v>38</v>
      </c>
      <c r="E22" s="373" t="s">
        <v>175</v>
      </c>
      <c r="F22" s="373"/>
      <c r="G22" s="373"/>
      <c r="H22" s="373"/>
      <c r="I22" s="373"/>
      <c r="J22" s="373"/>
      <c r="K22" s="373"/>
      <c r="L22" s="373"/>
      <c r="M22" s="373"/>
      <c r="N22" s="244"/>
      <c r="O22" s="244"/>
      <c r="P22" s="244"/>
      <c r="Q22" s="244"/>
      <c r="R22" s="245"/>
    </row>
    <row r="23" spans="1:18" ht="33" customHeight="1" x14ac:dyDescent="0.3">
      <c r="A23" s="293">
        <f t="shared" si="1"/>
        <v>18</v>
      </c>
      <c r="B23" s="104" t="s">
        <v>156</v>
      </c>
      <c r="C23" s="148">
        <v>3</v>
      </c>
      <c r="D23" s="150"/>
      <c r="E23" s="379" t="s">
        <v>323</v>
      </c>
      <c r="F23" s="379"/>
      <c r="G23" s="379"/>
      <c r="H23" s="379"/>
      <c r="I23" s="379"/>
      <c r="J23" s="379"/>
      <c r="K23" s="379"/>
      <c r="L23" s="379"/>
      <c r="M23" s="379"/>
      <c r="N23" s="244"/>
      <c r="O23" s="244"/>
      <c r="P23" s="244"/>
      <c r="Q23" s="244"/>
      <c r="R23" s="245"/>
    </row>
    <row r="24" spans="1:18" ht="22" customHeight="1" x14ac:dyDescent="0.3">
      <c r="A24" s="293" t="s">
        <v>183</v>
      </c>
      <c r="B24" s="104" t="s">
        <v>77</v>
      </c>
      <c r="C24" s="155" t="s">
        <v>51</v>
      </c>
      <c r="D24" s="150"/>
      <c r="E24" s="373" t="s">
        <v>176</v>
      </c>
      <c r="F24" s="373"/>
      <c r="G24" s="373"/>
      <c r="H24" s="373"/>
      <c r="I24" s="373"/>
      <c r="J24" s="373"/>
      <c r="K24" s="373"/>
      <c r="L24" s="373"/>
      <c r="M24" s="373"/>
      <c r="N24" s="244"/>
      <c r="O24" s="244"/>
      <c r="P24" s="244"/>
      <c r="Q24" s="244"/>
      <c r="R24" s="245"/>
    </row>
    <row r="25" spans="1:18" ht="22" customHeight="1" x14ac:dyDescent="0.3">
      <c r="A25" s="293" t="s">
        <v>184</v>
      </c>
      <c r="B25" s="104" t="s">
        <v>130</v>
      </c>
      <c r="C25" s="156">
        <v>0</v>
      </c>
      <c r="D25" s="150"/>
      <c r="E25" s="373" t="s">
        <v>209</v>
      </c>
      <c r="F25" s="373"/>
      <c r="G25" s="373"/>
      <c r="H25" s="373"/>
      <c r="I25" s="373"/>
      <c r="J25" s="373"/>
      <c r="K25" s="373"/>
      <c r="L25" s="373"/>
      <c r="M25" s="373"/>
      <c r="N25" s="244"/>
      <c r="O25" s="244"/>
      <c r="P25" s="244"/>
      <c r="Q25" s="244"/>
      <c r="R25" s="245"/>
    </row>
    <row r="26" spans="1:18" ht="22" customHeight="1" x14ac:dyDescent="0.3">
      <c r="A26" s="293" t="s">
        <v>185</v>
      </c>
      <c r="B26" s="104" t="s">
        <v>131</v>
      </c>
      <c r="C26" s="155">
        <v>1</v>
      </c>
      <c r="D26" s="150"/>
      <c r="E26" s="373" t="s">
        <v>210</v>
      </c>
      <c r="F26" s="373"/>
      <c r="G26" s="373"/>
      <c r="H26" s="373"/>
      <c r="I26" s="373"/>
      <c r="J26" s="373"/>
      <c r="K26" s="373"/>
      <c r="L26" s="373"/>
      <c r="M26" s="373"/>
      <c r="N26" s="244"/>
      <c r="O26" s="244"/>
      <c r="P26" s="244"/>
      <c r="Q26" s="244"/>
      <c r="R26" s="245"/>
    </row>
    <row r="27" spans="1:18" ht="27.75" customHeight="1" x14ac:dyDescent="0.3">
      <c r="A27" s="293">
        <v>20</v>
      </c>
      <c r="B27" s="132" t="s">
        <v>326</v>
      </c>
      <c r="C27" s="147">
        <v>2014</v>
      </c>
      <c r="D27" s="157"/>
      <c r="E27" s="373" t="s">
        <v>327</v>
      </c>
      <c r="F27" s="373"/>
      <c r="G27" s="373"/>
      <c r="H27" s="373"/>
      <c r="I27" s="373"/>
      <c r="J27" s="373"/>
      <c r="K27" s="373"/>
      <c r="L27" s="373"/>
      <c r="M27" s="373"/>
      <c r="N27" s="246"/>
    </row>
    <row r="28" spans="1:18" ht="26.25" customHeight="1" x14ac:dyDescent="0.3">
      <c r="A28" s="293">
        <v>21</v>
      </c>
      <c r="B28" s="132" t="s">
        <v>283</v>
      </c>
      <c r="C28" s="158">
        <v>0.6</v>
      </c>
      <c r="D28" s="159"/>
      <c r="E28" s="373" t="s">
        <v>177</v>
      </c>
      <c r="F28" s="373"/>
      <c r="G28" s="373"/>
      <c r="H28" s="373"/>
      <c r="I28" s="373"/>
      <c r="J28" s="373"/>
      <c r="K28" s="373"/>
      <c r="L28" s="373"/>
      <c r="M28" s="373"/>
      <c r="N28" s="246"/>
    </row>
    <row r="29" spans="1:18" ht="22" customHeight="1" x14ac:dyDescent="0.3">
      <c r="A29" s="293">
        <v>22</v>
      </c>
      <c r="B29" s="103" t="s">
        <v>238</v>
      </c>
      <c r="C29" s="158">
        <v>0</v>
      </c>
      <c r="D29" s="159"/>
      <c r="E29" s="373" t="s">
        <v>328</v>
      </c>
      <c r="F29" s="373"/>
      <c r="G29" s="373"/>
      <c r="H29" s="373"/>
      <c r="I29" s="373"/>
      <c r="J29" s="373"/>
      <c r="K29" s="373"/>
      <c r="L29" s="373"/>
      <c r="M29" s="373"/>
      <c r="N29" s="246"/>
    </row>
    <row r="30" spans="1:18" ht="30" customHeight="1" x14ac:dyDescent="0.3">
      <c r="A30" s="293">
        <v>23</v>
      </c>
      <c r="B30" s="132" t="s">
        <v>239</v>
      </c>
      <c r="C30" s="158">
        <v>0.9</v>
      </c>
      <c r="D30" s="159"/>
      <c r="E30" s="373" t="s">
        <v>329</v>
      </c>
      <c r="F30" s="373"/>
      <c r="G30" s="373"/>
      <c r="H30" s="373"/>
      <c r="I30" s="373"/>
      <c r="J30" s="373"/>
      <c r="K30" s="373"/>
      <c r="L30" s="373"/>
      <c r="M30" s="373"/>
      <c r="N30" s="246"/>
    </row>
    <row r="31" spans="1:18" ht="22" customHeight="1" x14ac:dyDescent="0.3">
      <c r="A31" s="293">
        <v>24</v>
      </c>
      <c r="B31" s="132" t="s">
        <v>240</v>
      </c>
      <c r="C31" s="158">
        <v>0.1</v>
      </c>
      <c r="D31" s="159"/>
      <c r="E31" s="373" t="s">
        <v>332</v>
      </c>
      <c r="F31" s="373"/>
      <c r="G31" s="373"/>
      <c r="H31" s="373"/>
      <c r="I31" s="373"/>
      <c r="J31" s="373"/>
      <c r="K31" s="373"/>
      <c r="L31" s="373"/>
      <c r="M31" s="373"/>
      <c r="N31" s="246"/>
    </row>
    <row r="32" spans="1:18" ht="22" customHeight="1" x14ac:dyDescent="0.3">
      <c r="A32" s="293">
        <v>25</v>
      </c>
      <c r="B32" s="132" t="s">
        <v>241</v>
      </c>
      <c r="C32" s="160">
        <f>1-SUM(C29:C31)</f>
        <v>0</v>
      </c>
      <c r="D32" s="159"/>
      <c r="E32" s="373" t="s">
        <v>178</v>
      </c>
      <c r="F32" s="373"/>
      <c r="G32" s="373"/>
      <c r="H32" s="373"/>
      <c r="I32" s="373"/>
      <c r="J32" s="373"/>
      <c r="K32" s="373"/>
      <c r="L32" s="373"/>
      <c r="M32" s="373"/>
      <c r="N32" s="246"/>
    </row>
    <row r="33" spans="1:20" ht="29.25" customHeight="1" x14ac:dyDescent="0.3">
      <c r="A33" s="293">
        <v>26</v>
      </c>
      <c r="B33" s="132" t="s">
        <v>242</v>
      </c>
      <c r="C33" s="158">
        <v>0</v>
      </c>
      <c r="D33" s="159"/>
      <c r="E33" s="373" t="s">
        <v>333</v>
      </c>
      <c r="F33" s="373"/>
      <c r="G33" s="373"/>
      <c r="H33" s="373"/>
      <c r="I33" s="373"/>
      <c r="J33" s="373"/>
      <c r="K33" s="373"/>
      <c r="L33" s="373"/>
      <c r="M33" s="373"/>
      <c r="N33" s="246"/>
    </row>
    <row r="34" spans="1:20" ht="22" customHeight="1" x14ac:dyDescent="0.3">
      <c r="A34" s="293">
        <v>27</v>
      </c>
      <c r="B34" s="104" t="s">
        <v>330</v>
      </c>
      <c r="C34" s="147" t="s">
        <v>50</v>
      </c>
      <c r="D34" s="150"/>
      <c r="E34" s="373" t="s">
        <v>179</v>
      </c>
      <c r="F34" s="373"/>
      <c r="G34" s="373"/>
      <c r="H34" s="373"/>
      <c r="I34" s="373"/>
      <c r="J34" s="373"/>
      <c r="K34" s="373"/>
      <c r="L34" s="373"/>
      <c r="M34" s="373"/>
      <c r="N34" s="244"/>
      <c r="O34" s="244"/>
      <c r="P34" s="244"/>
      <c r="Q34" s="244"/>
      <c r="R34" s="245"/>
    </row>
    <row r="35" spans="1:20" ht="22" customHeight="1" x14ac:dyDescent="0.3">
      <c r="A35" s="293">
        <v>28</v>
      </c>
      <c r="B35" s="105" t="s">
        <v>352</v>
      </c>
      <c r="C35" s="147" t="s">
        <v>50</v>
      </c>
      <c r="D35" s="150"/>
      <c r="E35" s="373" t="s">
        <v>180</v>
      </c>
      <c r="F35" s="373"/>
      <c r="G35" s="373"/>
      <c r="H35" s="373"/>
      <c r="I35" s="373"/>
      <c r="J35" s="373"/>
      <c r="K35" s="373"/>
      <c r="L35" s="373"/>
      <c r="M35" s="373"/>
      <c r="N35" s="247"/>
      <c r="O35" s="247"/>
      <c r="P35" s="247"/>
      <c r="Q35" s="247"/>
      <c r="R35" s="245"/>
    </row>
    <row r="36" spans="1:20" ht="22" customHeight="1" x14ac:dyDescent="0.35">
      <c r="A36" s="293" t="s">
        <v>186</v>
      </c>
      <c r="B36" s="105" t="s">
        <v>86</v>
      </c>
      <c r="C36" s="147" t="s">
        <v>50</v>
      </c>
      <c r="D36" s="150"/>
      <c r="E36" s="374" t="s">
        <v>181</v>
      </c>
      <c r="F36" s="375"/>
      <c r="G36" s="375"/>
      <c r="H36" s="375"/>
      <c r="I36" s="375"/>
      <c r="J36" s="375"/>
      <c r="K36" s="375"/>
      <c r="L36" s="390"/>
      <c r="M36" s="390"/>
      <c r="N36" s="244"/>
      <c r="O36" s="244"/>
      <c r="P36" s="244"/>
      <c r="Q36" s="244"/>
      <c r="R36" s="245"/>
    </row>
    <row r="37" spans="1:20" ht="22" customHeight="1" x14ac:dyDescent="0.3">
      <c r="A37" s="293" t="s">
        <v>187</v>
      </c>
      <c r="B37" s="105" t="s">
        <v>132</v>
      </c>
      <c r="C37" s="161" t="s">
        <v>50</v>
      </c>
      <c r="D37" s="150"/>
      <c r="E37" s="374" t="s">
        <v>211</v>
      </c>
      <c r="F37" s="375"/>
      <c r="G37" s="375"/>
      <c r="H37" s="375"/>
      <c r="I37" s="375"/>
      <c r="J37" s="375"/>
      <c r="K37" s="375"/>
      <c r="L37" s="375"/>
      <c r="M37" s="375"/>
      <c r="N37" s="244"/>
      <c r="O37" s="244"/>
      <c r="P37" s="244"/>
      <c r="Q37" s="244"/>
      <c r="R37" s="245"/>
    </row>
    <row r="38" spans="1:20" ht="22" customHeight="1" x14ac:dyDescent="0.3">
      <c r="A38" s="293">
        <v>30</v>
      </c>
      <c r="B38" s="103" t="s">
        <v>143</v>
      </c>
      <c r="C38" s="160">
        <f>'Disposal &amp; LFG Recovery'!J22</f>
        <v>0.39</v>
      </c>
      <c r="D38" s="159"/>
      <c r="E38" s="373" t="s">
        <v>182</v>
      </c>
      <c r="F38" s="373"/>
      <c r="G38" s="373"/>
      <c r="H38" s="373"/>
      <c r="I38" s="373"/>
      <c r="J38" s="373"/>
      <c r="K38" s="373"/>
      <c r="L38" s="373"/>
      <c r="M38" s="373"/>
      <c r="N38" s="248"/>
      <c r="O38" s="246"/>
      <c r="P38" s="246"/>
      <c r="Q38" s="246"/>
      <c r="R38" s="246"/>
      <c r="S38" s="246"/>
      <c r="T38" s="246"/>
    </row>
    <row r="39" spans="1:20" ht="22" customHeight="1" x14ac:dyDescent="0.3">
      <c r="A39" s="293">
        <v>31</v>
      </c>
      <c r="B39" s="103" t="s">
        <v>243</v>
      </c>
      <c r="C39" s="313">
        <f>(1-$C$38)*($C$29*0.2+$C$30*0.1+$C$31*0.05)</f>
        <v>5.7950000000000008E-2</v>
      </c>
      <c r="D39" s="159"/>
      <c r="E39" s="374" t="s">
        <v>316</v>
      </c>
      <c r="F39" s="373"/>
      <c r="G39" s="373"/>
      <c r="H39" s="373"/>
      <c r="I39" s="373"/>
      <c r="J39" s="373"/>
      <c r="K39" s="373"/>
      <c r="L39" s="373"/>
      <c r="M39" s="373"/>
      <c r="N39" s="248"/>
      <c r="O39" s="246"/>
      <c r="P39" s="246"/>
      <c r="Q39" s="246"/>
      <c r="R39" s="246"/>
      <c r="S39" s="246"/>
      <c r="T39" s="246"/>
    </row>
    <row r="40" spans="1:20" ht="36.75" customHeight="1" x14ac:dyDescent="0.3">
      <c r="A40" s="293">
        <v>32</v>
      </c>
      <c r="B40" s="132" t="s">
        <v>310</v>
      </c>
      <c r="C40" s="147" t="s">
        <v>50</v>
      </c>
      <c r="D40" s="159"/>
      <c r="E40" s="373" t="s">
        <v>315</v>
      </c>
      <c r="F40" s="373"/>
      <c r="G40" s="373"/>
      <c r="H40" s="373"/>
      <c r="I40" s="373"/>
      <c r="J40" s="373"/>
      <c r="K40" s="373"/>
      <c r="L40" s="373"/>
      <c r="M40" s="373"/>
      <c r="N40" s="248"/>
      <c r="O40" s="246"/>
      <c r="P40" s="246"/>
      <c r="Q40" s="246"/>
      <c r="R40" s="246"/>
      <c r="S40" s="246"/>
      <c r="T40" s="246"/>
    </row>
    <row r="41" spans="1:20" x14ac:dyDescent="0.3">
      <c r="H41" s="250"/>
      <c r="I41" s="251"/>
      <c r="J41" s="252"/>
      <c r="K41" s="251"/>
      <c r="L41" s="251"/>
      <c r="M41" s="253"/>
      <c r="N41" s="248"/>
      <c r="O41" s="246"/>
      <c r="P41" s="246"/>
      <c r="Q41" s="246"/>
      <c r="R41" s="246"/>
      <c r="S41" s="246"/>
      <c r="T41" s="246"/>
    </row>
    <row r="42" spans="1:20" x14ac:dyDescent="0.3">
      <c r="H42" s="250"/>
      <c r="I42" s="251"/>
      <c r="J42" s="252"/>
      <c r="K42" s="251"/>
      <c r="L42" s="251"/>
      <c r="M42" s="253"/>
      <c r="N42" s="248"/>
      <c r="O42" s="246"/>
      <c r="P42" s="246"/>
      <c r="Q42" s="246"/>
      <c r="R42" s="246"/>
      <c r="S42" s="246"/>
      <c r="T42" s="246"/>
    </row>
    <row r="43" spans="1:20" x14ac:dyDescent="0.3">
      <c r="H43" s="250"/>
      <c r="I43" s="251"/>
      <c r="J43" s="252"/>
      <c r="K43" s="251"/>
      <c r="L43" s="251"/>
      <c r="M43" s="253"/>
      <c r="N43" s="248"/>
      <c r="O43" s="246"/>
      <c r="P43" s="246"/>
      <c r="Q43" s="246"/>
      <c r="R43" s="246"/>
      <c r="S43" s="246"/>
      <c r="T43" s="246"/>
    </row>
    <row r="44" spans="1:20" x14ac:dyDescent="0.3">
      <c r="B44" s="254"/>
      <c r="C44" s="255"/>
      <c r="D44" s="256"/>
      <c r="H44" s="250"/>
      <c r="I44" s="251"/>
      <c r="J44" s="252"/>
      <c r="K44" s="251"/>
      <c r="L44" s="251"/>
      <c r="M44" s="253"/>
      <c r="N44" s="248"/>
      <c r="O44" s="246"/>
      <c r="P44" s="246"/>
      <c r="Q44" s="246"/>
      <c r="R44" s="246"/>
      <c r="S44" s="246"/>
      <c r="T44" s="246"/>
    </row>
    <row r="45" spans="1:20" x14ac:dyDescent="0.3">
      <c r="B45" s="254"/>
      <c r="C45" s="255"/>
      <c r="D45" s="256"/>
      <c r="H45" s="250"/>
      <c r="I45" s="251"/>
      <c r="J45" s="252"/>
      <c r="K45" s="251"/>
      <c r="L45" s="251"/>
      <c r="M45" s="253"/>
      <c r="N45" s="248"/>
      <c r="O45" s="246"/>
      <c r="P45" s="246"/>
      <c r="Q45" s="246"/>
      <c r="R45" s="246"/>
      <c r="S45" s="246"/>
      <c r="T45" s="246"/>
    </row>
    <row r="46" spans="1:20" x14ac:dyDescent="0.3">
      <c r="B46" s="254"/>
      <c r="C46" s="255"/>
      <c r="D46" s="256"/>
      <c r="H46" s="250"/>
      <c r="I46" s="251"/>
      <c r="J46" s="252"/>
      <c r="K46" s="251"/>
      <c r="L46" s="251"/>
      <c r="M46" s="253"/>
      <c r="N46" s="248"/>
      <c r="O46" s="246"/>
      <c r="P46" s="246"/>
      <c r="Q46" s="246"/>
      <c r="R46" s="246"/>
      <c r="S46" s="246"/>
      <c r="T46" s="246"/>
    </row>
    <row r="47" spans="1:20" x14ac:dyDescent="0.3">
      <c r="B47" s="254"/>
      <c r="C47" s="255"/>
      <c r="D47" s="256"/>
      <c r="H47" s="250"/>
      <c r="I47" s="251"/>
      <c r="J47" s="252"/>
      <c r="K47" s="251"/>
      <c r="L47" s="251"/>
      <c r="M47" s="253"/>
      <c r="N47" s="248"/>
      <c r="O47" s="246"/>
      <c r="P47" s="246"/>
      <c r="Q47" s="246"/>
      <c r="R47" s="246"/>
      <c r="S47" s="246"/>
      <c r="T47" s="246"/>
    </row>
    <row r="48" spans="1:20" x14ac:dyDescent="0.3">
      <c r="B48" s="254"/>
      <c r="C48" s="255"/>
      <c r="D48" s="256"/>
      <c r="H48" s="250"/>
      <c r="I48" s="251"/>
      <c r="J48" s="252"/>
      <c r="K48" s="257"/>
      <c r="L48" s="257"/>
      <c r="M48" s="257"/>
      <c r="N48" s="248"/>
      <c r="O48" s="246"/>
      <c r="P48" s="246"/>
      <c r="Q48" s="246"/>
      <c r="R48" s="246"/>
      <c r="S48" s="246"/>
      <c r="T48" s="246"/>
    </row>
    <row r="49" spans="1:20" x14ac:dyDescent="0.3">
      <c r="B49" s="254"/>
      <c r="C49" s="255"/>
      <c r="D49" s="256"/>
      <c r="H49" s="250"/>
      <c r="I49" s="251"/>
      <c r="J49" s="252"/>
      <c r="K49" s="257"/>
      <c r="L49" s="257"/>
      <c r="M49" s="257"/>
      <c r="N49" s="248"/>
      <c r="O49" s="246"/>
      <c r="P49" s="246"/>
      <c r="Q49" s="246"/>
      <c r="R49" s="246"/>
      <c r="S49" s="246"/>
      <c r="T49" s="246"/>
    </row>
    <row r="50" spans="1:20" x14ac:dyDescent="0.3">
      <c r="A50" s="202"/>
      <c r="B50" s="202"/>
      <c r="C50" s="255"/>
      <c r="D50" s="256"/>
      <c r="H50" s="250"/>
      <c r="I50" s="251"/>
      <c r="J50" s="252"/>
      <c r="K50" s="257"/>
      <c r="L50" s="257"/>
      <c r="N50" s="248"/>
    </row>
    <row r="51" spans="1:20" x14ac:dyDescent="0.3">
      <c r="A51" s="202"/>
      <c r="B51" s="202"/>
      <c r="C51" s="255"/>
      <c r="D51" s="256"/>
      <c r="H51" s="250"/>
      <c r="I51" s="251"/>
      <c r="J51" s="252"/>
      <c r="K51" s="257"/>
      <c r="L51" s="257"/>
      <c r="N51" s="248"/>
    </row>
    <row r="52" spans="1:20" x14ac:dyDescent="0.3">
      <c r="A52" s="202"/>
      <c r="B52" s="202"/>
      <c r="C52" s="255"/>
      <c r="D52" s="256"/>
      <c r="H52" s="250"/>
      <c r="I52" s="251"/>
      <c r="J52" s="252"/>
      <c r="K52" s="257"/>
      <c r="L52" s="257"/>
      <c r="N52" s="248"/>
    </row>
    <row r="53" spans="1:20" x14ac:dyDescent="0.3">
      <c r="A53" s="202"/>
      <c r="B53" s="202"/>
      <c r="C53" s="255"/>
      <c r="D53" s="256"/>
      <c r="H53" s="250"/>
      <c r="I53" s="251"/>
      <c r="J53" s="252"/>
      <c r="K53" s="257"/>
      <c r="L53" s="257"/>
      <c r="N53" s="248"/>
    </row>
    <row r="54" spans="1:20" x14ac:dyDescent="0.3">
      <c r="A54" s="202"/>
      <c r="B54" s="202"/>
      <c r="C54" s="258"/>
      <c r="H54" s="250"/>
      <c r="I54" s="251"/>
      <c r="J54" s="252"/>
      <c r="K54" s="257"/>
      <c r="L54" s="257"/>
      <c r="N54" s="248"/>
    </row>
    <row r="55" spans="1:20" x14ac:dyDescent="0.3">
      <c r="A55" s="202"/>
      <c r="B55" s="202"/>
      <c r="H55" s="250"/>
      <c r="I55" s="251"/>
      <c r="J55" s="252"/>
      <c r="K55" s="257"/>
      <c r="L55" s="257"/>
      <c r="N55" s="248"/>
    </row>
    <row r="56" spans="1:20" x14ac:dyDescent="0.3">
      <c r="A56" s="202"/>
      <c r="B56" s="202"/>
      <c r="H56" s="250"/>
      <c r="I56" s="251"/>
      <c r="J56" s="252"/>
      <c r="K56" s="257"/>
      <c r="L56" s="257"/>
      <c r="N56" s="248"/>
    </row>
    <row r="57" spans="1:20" x14ac:dyDescent="0.3">
      <c r="A57" s="202"/>
      <c r="B57" s="202"/>
      <c r="H57" s="250"/>
      <c r="I57" s="251"/>
      <c r="J57" s="252"/>
      <c r="K57" s="257"/>
      <c r="L57" s="257"/>
      <c r="N57" s="248"/>
    </row>
    <row r="58" spans="1:20" x14ac:dyDescent="0.3">
      <c r="A58" s="202"/>
      <c r="B58" s="202"/>
      <c r="H58" s="250"/>
      <c r="I58" s="251"/>
      <c r="J58" s="252"/>
      <c r="K58" s="257"/>
      <c r="L58" s="257"/>
      <c r="N58" s="248"/>
    </row>
    <row r="59" spans="1:20" x14ac:dyDescent="0.3">
      <c r="A59" s="202"/>
      <c r="B59" s="202"/>
      <c r="H59" s="250"/>
      <c r="I59" s="251"/>
      <c r="J59" s="252"/>
      <c r="K59" s="257"/>
      <c r="L59" s="257"/>
      <c r="N59" s="248"/>
    </row>
    <row r="60" spans="1:20" x14ac:dyDescent="0.3">
      <c r="A60" s="202"/>
      <c r="B60" s="202"/>
      <c r="H60" s="250"/>
      <c r="I60" s="251"/>
      <c r="J60" s="252"/>
      <c r="K60" s="257"/>
      <c r="L60" s="257"/>
      <c r="N60" s="248"/>
    </row>
    <row r="61" spans="1:20" x14ac:dyDescent="0.3">
      <c r="A61" s="202"/>
      <c r="B61" s="202"/>
      <c r="H61" s="250"/>
      <c r="I61" s="251"/>
      <c r="J61" s="252"/>
      <c r="K61" s="257"/>
      <c r="L61" s="257"/>
      <c r="N61" s="248"/>
    </row>
    <row r="62" spans="1:20" x14ac:dyDescent="0.3">
      <c r="A62" s="202"/>
      <c r="B62" s="202"/>
      <c r="H62" s="250"/>
      <c r="I62" s="251"/>
      <c r="J62" s="252"/>
      <c r="K62" s="257"/>
      <c r="L62" s="257"/>
      <c r="N62" s="248"/>
    </row>
    <row r="63" spans="1:20" x14ac:dyDescent="0.3">
      <c r="A63" s="202"/>
      <c r="B63" s="202"/>
      <c r="H63" s="250"/>
      <c r="I63" s="251"/>
      <c r="J63" s="252"/>
      <c r="K63" s="257"/>
      <c r="L63" s="257"/>
      <c r="N63" s="248"/>
    </row>
    <row r="64" spans="1:20" x14ac:dyDescent="0.3">
      <c r="A64" s="202"/>
      <c r="B64" s="202"/>
      <c r="H64" s="250"/>
      <c r="I64" s="251"/>
      <c r="J64" s="252"/>
      <c r="K64" s="257"/>
      <c r="L64" s="257"/>
      <c r="N64" s="248"/>
    </row>
    <row r="65" spans="1:14" x14ac:dyDescent="0.3">
      <c r="A65" s="202"/>
      <c r="B65" s="202"/>
      <c r="H65" s="250"/>
      <c r="I65" s="251"/>
      <c r="J65" s="252"/>
      <c r="K65" s="257"/>
      <c r="L65" s="257"/>
      <c r="N65" s="248"/>
    </row>
    <row r="66" spans="1:14" x14ac:dyDescent="0.3">
      <c r="A66" s="202"/>
      <c r="B66" s="202"/>
      <c r="H66" s="250"/>
      <c r="I66" s="251"/>
      <c r="J66" s="252"/>
      <c r="K66" s="257"/>
      <c r="L66" s="257"/>
      <c r="N66" s="248"/>
    </row>
    <row r="67" spans="1:14" x14ac:dyDescent="0.3">
      <c r="A67" s="202"/>
      <c r="B67" s="202"/>
      <c r="H67" s="250"/>
      <c r="I67" s="251"/>
      <c r="J67" s="252"/>
      <c r="K67" s="257"/>
      <c r="L67" s="257"/>
      <c r="N67" s="248"/>
    </row>
    <row r="68" spans="1:14" x14ac:dyDescent="0.3">
      <c r="A68" s="202"/>
      <c r="B68" s="202"/>
      <c r="H68" s="250"/>
      <c r="I68" s="251"/>
      <c r="J68" s="252"/>
      <c r="K68" s="257"/>
      <c r="L68" s="257"/>
      <c r="N68" s="248"/>
    </row>
    <row r="69" spans="1:14" x14ac:dyDescent="0.3">
      <c r="A69" s="202"/>
      <c r="B69" s="202"/>
      <c r="H69" s="250"/>
      <c r="I69" s="251"/>
      <c r="J69" s="252"/>
      <c r="K69" s="257"/>
      <c r="L69" s="257"/>
      <c r="N69" s="248"/>
    </row>
    <row r="70" spans="1:14" x14ac:dyDescent="0.3">
      <c r="A70" s="202"/>
      <c r="B70" s="202"/>
      <c r="H70" s="250"/>
      <c r="I70" s="251"/>
      <c r="J70" s="252"/>
      <c r="K70" s="257"/>
      <c r="L70" s="257"/>
      <c r="N70" s="248"/>
    </row>
    <row r="71" spans="1:14" x14ac:dyDescent="0.3">
      <c r="A71" s="202"/>
      <c r="B71" s="202"/>
      <c r="H71" s="250"/>
      <c r="I71" s="251"/>
      <c r="J71" s="252"/>
      <c r="K71" s="257"/>
      <c r="L71" s="257"/>
      <c r="N71" s="248"/>
    </row>
    <row r="72" spans="1:14" x14ac:dyDescent="0.3">
      <c r="A72" s="202"/>
      <c r="B72" s="202"/>
      <c r="H72" s="250"/>
      <c r="I72" s="251"/>
      <c r="J72" s="252"/>
      <c r="K72" s="257"/>
      <c r="L72" s="257"/>
      <c r="N72" s="248"/>
    </row>
    <row r="73" spans="1:14" x14ac:dyDescent="0.3">
      <c r="A73" s="202"/>
      <c r="B73" s="202"/>
      <c r="H73" s="250"/>
      <c r="I73" s="251"/>
      <c r="J73" s="252"/>
      <c r="K73" s="257"/>
      <c r="L73" s="257"/>
      <c r="N73" s="248"/>
    </row>
    <row r="74" spans="1:14" x14ac:dyDescent="0.3">
      <c r="A74" s="202"/>
      <c r="B74" s="202"/>
      <c r="H74" s="250"/>
      <c r="I74" s="251"/>
      <c r="J74" s="252"/>
      <c r="K74" s="257"/>
      <c r="L74" s="257"/>
      <c r="N74" s="248"/>
    </row>
    <row r="75" spans="1:14" x14ac:dyDescent="0.3">
      <c r="A75" s="202"/>
      <c r="B75" s="202"/>
      <c r="H75" s="250"/>
      <c r="I75" s="251"/>
      <c r="J75" s="252"/>
      <c r="K75" s="257"/>
      <c r="L75" s="257"/>
      <c r="N75" s="248"/>
    </row>
    <row r="76" spans="1:14" x14ac:dyDescent="0.3">
      <c r="A76" s="202"/>
      <c r="B76" s="202"/>
      <c r="H76" s="250"/>
      <c r="I76" s="251"/>
      <c r="J76" s="252"/>
      <c r="K76" s="257"/>
      <c r="L76" s="257"/>
      <c r="N76" s="248"/>
    </row>
    <row r="77" spans="1:14" x14ac:dyDescent="0.3">
      <c r="A77" s="202"/>
      <c r="B77" s="202"/>
      <c r="C77" s="259"/>
      <c r="D77" s="260"/>
      <c r="E77" s="261"/>
      <c r="H77" s="250"/>
      <c r="I77" s="251"/>
      <c r="J77" s="252"/>
      <c r="K77" s="257"/>
      <c r="L77" s="257"/>
      <c r="N77" s="248"/>
    </row>
    <row r="78" spans="1:14" x14ac:dyDescent="0.3">
      <c r="A78" s="202"/>
      <c r="B78" s="202"/>
      <c r="H78" s="250"/>
      <c r="I78" s="251"/>
      <c r="J78" s="252"/>
      <c r="K78" s="257"/>
      <c r="L78" s="257"/>
      <c r="N78" s="248"/>
    </row>
    <row r="79" spans="1:14" x14ac:dyDescent="0.3">
      <c r="A79" s="202"/>
      <c r="B79" s="202"/>
      <c r="H79" s="250"/>
      <c r="I79" s="251"/>
      <c r="J79" s="252"/>
      <c r="K79" s="257"/>
      <c r="L79" s="257"/>
    </row>
    <row r="80" spans="1:14" x14ac:dyDescent="0.3">
      <c r="A80" s="202"/>
      <c r="B80" s="202"/>
      <c r="H80" s="250"/>
      <c r="I80" s="251"/>
      <c r="J80" s="252"/>
      <c r="K80" s="257"/>
      <c r="L80" s="257"/>
    </row>
    <row r="81" spans="1:13" x14ac:dyDescent="0.3">
      <c r="A81" s="202"/>
      <c r="B81" s="202"/>
      <c r="H81" s="250"/>
      <c r="I81" s="251"/>
      <c r="J81" s="252"/>
      <c r="K81" s="257"/>
      <c r="L81" s="257"/>
    </row>
    <row r="82" spans="1:13" x14ac:dyDescent="0.3">
      <c r="A82" s="202"/>
      <c r="B82" s="202"/>
      <c r="C82" s="202"/>
      <c r="D82" s="202"/>
      <c r="E82" s="202"/>
      <c r="F82" s="202"/>
      <c r="G82" s="202"/>
      <c r="H82" s="250"/>
      <c r="I82" s="251"/>
      <c r="J82" s="252"/>
      <c r="K82" s="257"/>
      <c r="L82" s="257"/>
      <c r="M82" s="202"/>
    </row>
    <row r="83" spans="1:13" x14ac:dyDescent="0.3">
      <c r="A83" s="202"/>
      <c r="B83" s="202"/>
      <c r="C83" s="202"/>
      <c r="D83" s="202"/>
      <c r="E83" s="202"/>
      <c r="F83" s="202"/>
      <c r="G83" s="202"/>
      <c r="H83" s="250"/>
      <c r="I83" s="251"/>
      <c r="J83" s="252"/>
      <c r="K83" s="257"/>
      <c r="L83" s="257"/>
      <c r="M83" s="202"/>
    </row>
    <row r="84" spans="1:13" x14ac:dyDescent="0.3">
      <c r="A84" s="202"/>
      <c r="B84" s="202"/>
      <c r="C84" s="202"/>
      <c r="D84" s="202"/>
      <c r="E84" s="202"/>
      <c r="F84" s="202"/>
      <c r="G84" s="202"/>
      <c r="H84" s="250"/>
      <c r="I84" s="251"/>
      <c r="J84" s="252"/>
      <c r="K84" s="257"/>
      <c r="L84" s="257"/>
      <c r="M84" s="202"/>
    </row>
    <row r="85" spans="1:13" x14ac:dyDescent="0.3">
      <c r="A85" s="202"/>
      <c r="B85" s="202"/>
      <c r="C85" s="202"/>
      <c r="D85" s="202"/>
      <c r="E85" s="202"/>
      <c r="F85" s="202"/>
      <c r="G85" s="202"/>
      <c r="H85" s="250"/>
      <c r="I85" s="251"/>
      <c r="J85" s="252"/>
      <c r="K85" s="257"/>
      <c r="L85" s="257"/>
      <c r="M85" s="202"/>
    </row>
    <row r="86" spans="1:13" x14ac:dyDescent="0.3">
      <c r="A86" s="202"/>
      <c r="B86" s="202"/>
      <c r="C86" s="202"/>
      <c r="D86" s="202"/>
      <c r="E86" s="202"/>
      <c r="F86" s="202"/>
      <c r="G86" s="202"/>
      <c r="H86" s="250"/>
      <c r="I86" s="251"/>
      <c r="J86" s="252"/>
      <c r="K86" s="257"/>
      <c r="L86" s="257"/>
      <c r="M86" s="202"/>
    </row>
    <row r="87" spans="1:13" x14ac:dyDescent="0.3">
      <c r="A87" s="202"/>
      <c r="B87" s="202"/>
      <c r="C87" s="202"/>
      <c r="D87" s="202"/>
      <c r="E87" s="202"/>
      <c r="F87" s="202"/>
      <c r="G87" s="202"/>
      <c r="H87" s="250"/>
      <c r="I87" s="251"/>
      <c r="J87" s="252"/>
      <c r="K87" s="257"/>
      <c r="L87" s="257"/>
      <c r="M87" s="202"/>
    </row>
    <row r="88" spans="1:13" x14ac:dyDescent="0.3">
      <c r="A88" s="202"/>
      <c r="B88" s="202"/>
      <c r="C88" s="202"/>
      <c r="D88" s="202"/>
      <c r="E88" s="202"/>
      <c r="F88" s="202"/>
      <c r="G88" s="202"/>
      <c r="H88" s="250"/>
      <c r="I88" s="251"/>
      <c r="J88" s="252"/>
      <c r="K88" s="257"/>
      <c r="L88" s="257"/>
      <c r="M88" s="202"/>
    </row>
    <row r="89" spans="1:13" x14ac:dyDescent="0.3">
      <c r="A89" s="202"/>
      <c r="B89" s="202"/>
      <c r="C89" s="202"/>
      <c r="D89" s="202"/>
      <c r="E89" s="202"/>
      <c r="F89" s="202"/>
      <c r="G89" s="202"/>
      <c r="H89" s="250"/>
      <c r="I89" s="251"/>
      <c r="J89" s="252"/>
      <c r="K89" s="257"/>
      <c r="L89" s="257"/>
      <c r="M89" s="202"/>
    </row>
    <row r="90" spans="1:13" x14ac:dyDescent="0.3">
      <c r="A90" s="202"/>
      <c r="B90" s="202"/>
      <c r="C90" s="202"/>
      <c r="D90" s="202"/>
      <c r="E90" s="202"/>
      <c r="F90" s="202"/>
      <c r="G90" s="202"/>
      <c r="H90" s="250"/>
      <c r="I90" s="251"/>
      <c r="J90" s="252"/>
      <c r="K90" s="257"/>
      <c r="L90" s="257"/>
      <c r="M90" s="202"/>
    </row>
    <row r="91" spans="1:13" x14ac:dyDescent="0.3">
      <c r="A91" s="202"/>
      <c r="B91" s="202"/>
      <c r="C91" s="202"/>
      <c r="D91" s="202"/>
      <c r="E91" s="202"/>
      <c r="F91" s="202"/>
      <c r="G91" s="202"/>
      <c r="H91" s="250"/>
      <c r="I91" s="251"/>
      <c r="J91" s="252"/>
      <c r="K91" s="257"/>
      <c r="L91" s="257"/>
      <c r="M91" s="202"/>
    </row>
    <row r="92" spans="1:13" x14ac:dyDescent="0.3">
      <c r="A92" s="202"/>
      <c r="B92" s="202"/>
      <c r="C92" s="202"/>
      <c r="D92" s="202"/>
      <c r="E92" s="202"/>
      <c r="F92" s="202"/>
      <c r="G92" s="202"/>
      <c r="H92" s="250"/>
      <c r="I92" s="251"/>
      <c r="J92" s="252"/>
      <c r="K92" s="257"/>
      <c r="L92" s="257"/>
      <c r="M92" s="202"/>
    </row>
    <row r="93" spans="1:13" x14ac:dyDescent="0.3">
      <c r="A93" s="202"/>
      <c r="B93" s="202"/>
      <c r="C93" s="202"/>
      <c r="D93" s="202"/>
      <c r="E93" s="202"/>
      <c r="F93" s="202"/>
      <c r="G93" s="202"/>
      <c r="H93" s="250"/>
      <c r="I93" s="251"/>
      <c r="J93" s="252"/>
      <c r="K93" s="257"/>
      <c r="L93" s="257"/>
      <c r="M93" s="202"/>
    </row>
    <row r="94" spans="1:13" x14ac:dyDescent="0.3">
      <c r="A94" s="202"/>
      <c r="B94" s="202"/>
      <c r="C94" s="202"/>
      <c r="D94" s="202"/>
      <c r="E94" s="202"/>
      <c r="F94" s="202"/>
      <c r="G94" s="202"/>
      <c r="H94" s="250"/>
      <c r="I94" s="251"/>
      <c r="J94" s="252"/>
      <c r="K94" s="257"/>
      <c r="L94" s="257"/>
      <c r="M94" s="202"/>
    </row>
    <row r="95" spans="1:13" x14ac:dyDescent="0.3">
      <c r="A95" s="202"/>
      <c r="B95" s="202"/>
      <c r="C95" s="202"/>
      <c r="D95" s="202"/>
      <c r="E95" s="202"/>
      <c r="F95" s="202"/>
      <c r="G95" s="202"/>
      <c r="H95" s="250"/>
      <c r="I95" s="251"/>
      <c r="J95" s="252"/>
      <c r="K95" s="257"/>
      <c r="L95" s="257"/>
      <c r="M95" s="202"/>
    </row>
    <row r="96" spans="1:13" x14ac:dyDescent="0.3">
      <c r="A96" s="202"/>
      <c r="B96" s="202"/>
      <c r="C96" s="202"/>
      <c r="D96" s="202"/>
      <c r="E96" s="202"/>
      <c r="F96" s="202"/>
      <c r="G96" s="202"/>
      <c r="H96" s="250"/>
      <c r="I96" s="251"/>
      <c r="J96" s="252"/>
      <c r="K96" s="257"/>
      <c r="L96" s="257"/>
      <c r="M96" s="202"/>
    </row>
    <row r="97" spans="1:13" x14ac:dyDescent="0.3">
      <c r="A97" s="202"/>
      <c r="B97" s="202"/>
      <c r="C97" s="202"/>
      <c r="D97" s="202"/>
      <c r="E97" s="202"/>
      <c r="F97" s="202"/>
      <c r="G97" s="202"/>
      <c r="H97" s="250"/>
      <c r="I97" s="251"/>
      <c r="J97" s="252"/>
      <c r="K97" s="257"/>
      <c r="L97" s="257"/>
      <c r="M97" s="202"/>
    </row>
    <row r="98" spans="1:13" x14ac:dyDescent="0.3">
      <c r="A98" s="202"/>
      <c r="B98" s="202"/>
      <c r="C98" s="202"/>
      <c r="D98" s="202"/>
      <c r="E98" s="202"/>
      <c r="F98" s="202"/>
      <c r="G98" s="202"/>
      <c r="H98" s="250"/>
      <c r="I98" s="251"/>
      <c r="J98" s="252"/>
      <c r="K98" s="257"/>
      <c r="L98" s="257"/>
      <c r="M98" s="202"/>
    </row>
    <row r="99" spans="1:13" x14ac:dyDescent="0.3">
      <c r="A99" s="202"/>
      <c r="B99" s="202"/>
      <c r="C99" s="202"/>
      <c r="D99" s="202"/>
      <c r="E99" s="202"/>
      <c r="F99" s="202"/>
      <c r="G99" s="202"/>
      <c r="H99" s="250"/>
      <c r="I99" s="251"/>
      <c r="J99" s="252"/>
      <c r="K99" s="257"/>
      <c r="L99" s="257"/>
      <c r="M99" s="202"/>
    </row>
    <row r="100" spans="1:13" x14ac:dyDescent="0.3">
      <c r="A100" s="202"/>
      <c r="B100" s="202"/>
      <c r="C100" s="202"/>
      <c r="D100" s="202"/>
      <c r="E100" s="202"/>
      <c r="F100" s="202"/>
      <c r="G100" s="202"/>
      <c r="H100" s="250"/>
      <c r="I100" s="251"/>
      <c r="J100" s="252"/>
      <c r="K100" s="257"/>
      <c r="L100" s="257"/>
      <c r="M100" s="202"/>
    </row>
    <row r="101" spans="1:13" x14ac:dyDescent="0.3">
      <c r="A101" s="202"/>
      <c r="B101" s="202"/>
      <c r="C101" s="202"/>
      <c r="D101" s="202"/>
      <c r="E101" s="202"/>
      <c r="F101" s="202"/>
      <c r="G101" s="202"/>
      <c r="H101" s="250"/>
      <c r="I101" s="251"/>
      <c r="J101" s="252"/>
      <c r="K101" s="257"/>
      <c r="L101" s="257"/>
      <c r="M101" s="202"/>
    </row>
    <row r="102" spans="1:13" x14ac:dyDescent="0.3">
      <c r="A102" s="202"/>
      <c r="B102" s="202"/>
      <c r="C102" s="202"/>
      <c r="D102" s="202"/>
      <c r="E102" s="202"/>
      <c r="F102" s="202"/>
      <c r="G102" s="202"/>
      <c r="H102" s="250"/>
      <c r="I102" s="251"/>
      <c r="J102" s="252"/>
      <c r="K102" s="257"/>
      <c r="L102" s="257"/>
      <c r="M102" s="202"/>
    </row>
    <row r="103" spans="1:13" x14ac:dyDescent="0.3">
      <c r="A103" s="202"/>
      <c r="B103" s="202"/>
      <c r="C103" s="202"/>
      <c r="D103" s="202"/>
      <c r="E103" s="202"/>
      <c r="F103" s="202"/>
      <c r="G103" s="202"/>
      <c r="H103" s="250"/>
      <c r="I103" s="251"/>
      <c r="J103" s="252"/>
      <c r="K103" s="257"/>
      <c r="L103" s="257"/>
      <c r="M103" s="202"/>
    </row>
    <row r="104" spans="1:13" x14ac:dyDescent="0.3">
      <c r="A104" s="202"/>
      <c r="B104" s="202"/>
      <c r="C104" s="202"/>
      <c r="D104" s="202"/>
      <c r="E104" s="202"/>
      <c r="F104" s="202"/>
      <c r="G104" s="202"/>
      <c r="H104" s="250"/>
      <c r="I104" s="251"/>
      <c r="J104" s="252"/>
      <c r="K104" s="257"/>
      <c r="L104" s="257"/>
      <c r="M104" s="202"/>
    </row>
    <row r="105" spans="1:13" x14ac:dyDescent="0.3">
      <c r="A105" s="202"/>
      <c r="B105" s="202"/>
      <c r="C105" s="202"/>
      <c r="D105" s="202"/>
      <c r="E105" s="202"/>
      <c r="F105" s="202"/>
      <c r="G105" s="202"/>
      <c r="H105" s="250"/>
      <c r="I105" s="251"/>
      <c r="J105" s="252"/>
      <c r="K105" s="257"/>
      <c r="L105" s="257"/>
      <c r="M105" s="202"/>
    </row>
    <row r="106" spans="1:13" x14ac:dyDescent="0.3">
      <c r="A106" s="202"/>
      <c r="B106" s="202"/>
      <c r="C106" s="202"/>
      <c r="D106" s="202"/>
      <c r="E106" s="202"/>
      <c r="F106" s="202"/>
      <c r="G106" s="202"/>
      <c r="H106" s="250"/>
      <c r="I106" s="251"/>
      <c r="J106" s="252"/>
      <c r="K106" s="257"/>
      <c r="L106" s="257"/>
      <c r="M106" s="202"/>
    </row>
    <row r="107" spans="1:13" x14ac:dyDescent="0.3">
      <c r="A107" s="202"/>
      <c r="B107" s="202"/>
      <c r="C107" s="202"/>
      <c r="D107" s="202"/>
      <c r="E107" s="202"/>
      <c r="F107" s="202"/>
      <c r="G107" s="202"/>
      <c r="H107" s="250"/>
      <c r="I107" s="251"/>
      <c r="J107" s="252"/>
      <c r="K107" s="257"/>
      <c r="L107" s="257"/>
      <c r="M107" s="202"/>
    </row>
    <row r="108" spans="1:13" x14ac:dyDescent="0.3">
      <c r="A108" s="202"/>
      <c r="B108" s="202"/>
      <c r="C108" s="202"/>
      <c r="D108" s="202"/>
      <c r="E108" s="202"/>
      <c r="F108" s="202"/>
      <c r="G108" s="202"/>
      <c r="H108" s="250"/>
      <c r="I108" s="251"/>
      <c r="J108" s="252"/>
      <c r="K108" s="257"/>
      <c r="L108" s="257"/>
      <c r="M108" s="202"/>
    </row>
    <row r="109" spans="1:13" x14ac:dyDescent="0.3">
      <c r="A109" s="202"/>
      <c r="B109" s="202"/>
      <c r="C109" s="202"/>
      <c r="D109" s="202"/>
      <c r="E109" s="202"/>
      <c r="F109" s="202"/>
      <c r="G109" s="202"/>
      <c r="H109" s="250"/>
      <c r="I109" s="251"/>
      <c r="J109" s="252"/>
      <c r="K109" s="257"/>
      <c r="L109" s="257"/>
      <c r="M109" s="202"/>
    </row>
    <row r="110" spans="1:13" x14ac:dyDescent="0.3">
      <c r="A110" s="202"/>
      <c r="B110" s="202"/>
      <c r="C110" s="202"/>
      <c r="D110" s="202"/>
      <c r="E110" s="202"/>
      <c r="F110" s="202"/>
      <c r="G110" s="202"/>
      <c r="H110" s="250"/>
      <c r="I110" s="251"/>
      <c r="J110" s="252"/>
      <c r="K110" s="257"/>
      <c r="L110" s="257"/>
      <c r="M110" s="202"/>
    </row>
    <row r="111" spans="1:13" x14ac:dyDescent="0.3">
      <c r="A111" s="202"/>
      <c r="B111" s="202"/>
      <c r="C111" s="202"/>
      <c r="D111" s="202"/>
      <c r="E111" s="202"/>
      <c r="F111" s="202"/>
      <c r="G111" s="202"/>
      <c r="H111" s="250"/>
      <c r="I111" s="251"/>
      <c r="J111" s="252"/>
      <c r="K111" s="257"/>
      <c r="L111" s="257"/>
      <c r="M111" s="202"/>
    </row>
    <row r="112" spans="1:13" x14ac:dyDescent="0.3">
      <c r="A112" s="202"/>
      <c r="B112" s="202"/>
      <c r="C112" s="202"/>
      <c r="D112" s="202"/>
      <c r="E112" s="202"/>
      <c r="F112" s="202"/>
      <c r="G112" s="202"/>
      <c r="H112" s="250"/>
      <c r="I112" s="251"/>
      <c r="J112" s="252"/>
      <c r="K112" s="257"/>
      <c r="L112" s="257"/>
      <c r="M112" s="202"/>
    </row>
    <row r="113" spans="1:13" x14ac:dyDescent="0.3">
      <c r="A113" s="202"/>
      <c r="B113" s="202"/>
      <c r="C113" s="202"/>
      <c r="D113" s="202"/>
      <c r="E113" s="202"/>
      <c r="F113" s="202"/>
      <c r="G113" s="202"/>
      <c r="H113" s="250"/>
      <c r="I113" s="251"/>
      <c r="J113" s="252"/>
      <c r="K113" s="257"/>
      <c r="L113" s="257"/>
      <c r="M113" s="202"/>
    </row>
    <row r="114" spans="1:13" x14ac:dyDescent="0.3">
      <c r="A114" s="202"/>
      <c r="B114" s="202"/>
      <c r="H114" s="250"/>
      <c r="I114" s="251"/>
      <c r="J114" s="252"/>
      <c r="K114" s="257"/>
      <c r="L114" s="257"/>
      <c r="M114" s="202"/>
    </row>
    <row r="115" spans="1:13" x14ac:dyDescent="0.3">
      <c r="A115" s="202"/>
      <c r="B115" s="202"/>
      <c r="H115" s="250"/>
      <c r="I115" s="251"/>
      <c r="J115" s="252"/>
      <c r="K115" s="257"/>
      <c r="L115" s="257"/>
      <c r="M115" s="202"/>
    </row>
    <row r="116" spans="1:13" x14ac:dyDescent="0.3">
      <c r="A116" s="202"/>
      <c r="B116" s="202"/>
      <c r="H116" s="250"/>
      <c r="I116" s="251"/>
      <c r="J116" s="252"/>
      <c r="K116" s="257"/>
      <c r="L116" s="257"/>
      <c r="M116" s="202"/>
    </row>
    <row r="117" spans="1:13" x14ac:dyDescent="0.3">
      <c r="A117" s="202"/>
      <c r="B117" s="202"/>
      <c r="H117" s="250"/>
      <c r="I117" s="251"/>
      <c r="J117" s="252"/>
      <c r="K117" s="257"/>
      <c r="L117" s="257"/>
      <c r="M117" s="202"/>
    </row>
    <row r="118" spans="1:13" x14ac:dyDescent="0.3">
      <c r="A118" s="202"/>
      <c r="B118" s="202"/>
      <c r="H118" s="250"/>
      <c r="I118" s="251"/>
      <c r="J118" s="252"/>
      <c r="K118" s="257"/>
      <c r="L118" s="257"/>
      <c r="M118" s="202"/>
    </row>
    <row r="119" spans="1:13" x14ac:dyDescent="0.3">
      <c r="A119" s="202"/>
      <c r="B119" s="202"/>
      <c r="H119" s="250"/>
      <c r="I119" s="251"/>
      <c r="J119" s="252"/>
      <c r="K119" s="257"/>
      <c r="L119" s="257"/>
      <c r="M119" s="202"/>
    </row>
    <row r="120" spans="1:13" x14ac:dyDescent="0.3">
      <c r="A120" s="202"/>
      <c r="B120" s="202"/>
      <c r="H120" s="250"/>
      <c r="I120" s="251"/>
      <c r="J120" s="252"/>
      <c r="K120" s="257"/>
      <c r="L120" s="257"/>
      <c r="M120" s="202"/>
    </row>
    <row r="121" spans="1:13" x14ac:dyDescent="0.3">
      <c r="A121" s="202"/>
      <c r="B121" s="202"/>
      <c r="H121" s="250"/>
      <c r="I121" s="251"/>
      <c r="J121" s="252"/>
      <c r="K121" s="257"/>
      <c r="L121" s="257"/>
      <c r="M121" s="202"/>
    </row>
    <row r="122" spans="1:13" x14ac:dyDescent="0.3">
      <c r="A122" s="202"/>
      <c r="B122" s="202"/>
      <c r="H122" s="250"/>
      <c r="I122" s="251"/>
      <c r="J122" s="252"/>
      <c r="K122" s="257"/>
      <c r="L122" s="257"/>
      <c r="M122" s="202"/>
    </row>
    <row r="123" spans="1:13" x14ac:dyDescent="0.3">
      <c r="A123" s="202"/>
      <c r="B123" s="202"/>
      <c r="H123" s="250"/>
      <c r="I123" s="251"/>
      <c r="J123" s="252"/>
      <c r="K123" s="257"/>
      <c r="L123" s="257"/>
      <c r="M123" s="202"/>
    </row>
    <row r="124" spans="1:13" x14ac:dyDescent="0.3">
      <c r="A124" s="202"/>
      <c r="B124" s="202"/>
      <c r="H124" s="250"/>
      <c r="I124" s="257"/>
      <c r="J124" s="257"/>
      <c r="K124" s="257"/>
      <c r="L124" s="257"/>
      <c r="M124" s="202"/>
    </row>
    <row r="125" spans="1:13" x14ac:dyDescent="0.3">
      <c r="A125" s="202"/>
      <c r="B125" s="202"/>
      <c r="H125" s="250"/>
      <c r="I125" s="257"/>
      <c r="J125" s="257"/>
      <c r="K125" s="257"/>
      <c r="L125" s="257"/>
      <c r="M125" s="202"/>
    </row>
    <row r="126" spans="1:13" x14ac:dyDescent="0.3">
      <c r="A126" s="202"/>
      <c r="B126" s="202"/>
      <c r="H126" s="250"/>
      <c r="I126" s="257"/>
      <c r="J126" s="257"/>
      <c r="K126" s="257"/>
      <c r="L126" s="257"/>
      <c r="M126" s="202"/>
    </row>
    <row r="127" spans="1:13" x14ac:dyDescent="0.3">
      <c r="A127" s="202"/>
      <c r="B127" s="202"/>
      <c r="H127" s="250"/>
      <c r="I127" s="257"/>
      <c r="J127" s="257"/>
      <c r="K127" s="257"/>
      <c r="L127" s="257"/>
      <c r="M127" s="202"/>
    </row>
    <row r="128" spans="1:13" x14ac:dyDescent="0.3">
      <c r="A128" s="202"/>
      <c r="B128" s="202"/>
      <c r="C128" s="262"/>
      <c r="D128" s="263"/>
      <c r="E128" s="264"/>
      <c r="F128" s="265"/>
      <c r="G128" s="265"/>
      <c r="H128" s="265"/>
      <c r="I128" s="257"/>
      <c r="J128" s="257"/>
      <c r="K128" s="257"/>
      <c r="L128" s="257"/>
      <c r="M128" s="202"/>
    </row>
    <row r="129" spans="1:13" x14ac:dyDescent="0.3">
      <c r="A129" s="202"/>
      <c r="B129" s="202"/>
      <c r="I129" s="257"/>
      <c r="J129" s="257"/>
      <c r="K129" s="257"/>
      <c r="L129" s="257"/>
      <c r="M129" s="202"/>
    </row>
    <row r="130" spans="1:13" x14ac:dyDescent="0.3">
      <c r="A130" s="202"/>
      <c r="B130" s="202"/>
      <c r="C130" s="202"/>
      <c r="D130" s="202"/>
      <c r="E130" s="202"/>
      <c r="F130" s="202"/>
      <c r="G130" s="202"/>
      <c r="H130" s="202"/>
      <c r="I130" s="257"/>
      <c r="J130" s="257"/>
      <c r="K130" s="257"/>
      <c r="L130" s="257"/>
      <c r="M130" s="202"/>
    </row>
    <row r="131" spans="1:13" x14ac:dyDescent="0.3">
      <c r="A131" s="202"/>
      <c r="B131" s="202"/>
      <c r="C131" s="202"/>
      <c r="D131" s="202"/>
      <c r="E131" s="202"/>
      <c r="F131" s="202"/>
      <c r="G131" s="202"/>
      <c r="H131" s="202"/>
      <c r="I131" s="257"/>
      <c r="J131" s="257"/>
      <c r="K131" s="257"/>
      <c r="L131" s="257"/>
      <c r="M131" s="202"/>
    </row>
    <row r="132" spans="1:13" x14ac:dyDescent="0.3">
      <c r="A132" s="202"/>
      <c r="B132" s="202"/>
      <c r="C132" s="202"/>
      <c r="D132" s="202"/>
      <c r="E132" s="202"/>
      <c r="F132" s="202"/>
      <c r="G132" s="202"/>
      <c r="H132" s="202"/>
      <c r="I132" s="257"/>
      <c r="J132" s="257"/>
      <c r="K132" s="257"/>
      <c r="L132" s="257"/>
      <c r="M132" s="202"/>
    </row>
    <row r="133" spans="1:13" x14ac:dyDescent="0.3">
      <c r="A133" s="202"/>
      <c r="B133" s="202"/>
      <c r="C133" s="202"/>
      <c r="D133" s="202"/>
      <c r="E133" s="202"/>
      <c r="F133" s="202"/>
      <c r="G133" s="202"/>
      <c r="H133" s="202"/>
      <c r="I133" s="257"/>
      <c r="J133" s="257"/>
      <c r="K133" s="257"/>
      <c r="L133" s="257"/>
      <c r="M133" s="202"/>
    </row>
    <row r="134" spans="1:13" x14ac:dyDescent="0.3">
      <c r="A134" s="202"/>
      <c r="B134" s="202"/>
      <c r="C134" s="202"/>
      <c r="D134" s="202"/>
      <c r="E134" s="202"/>
      <c r="F134" s="202"/>
      <c r="G134" s="202"/>
      <c r="H134" s="202"/>
      <c r="I134" s="257"/>
      <c r="J134" s="257"/>
      <c r="K134" s="257"/>
      <c r="L134" s="257"/>
      <c r="M134" s="202"/>
    </row>
    <row r="135" spans="1:13" x14ac:dyDescent="0.3">
      <c r="A135" s="202"/>
      <c r="B135" s="202"/>
      <c r="C135" s="202"/>
      <c r="D135" s="202"/>
      <c r="E135" s="202"/>
      <c r="F135" s="202"/>
      <c r="G135" s="202"/>
      <c r="H135" s="202"/>
      <c r="I135" s="257"/>
      <c r="J135" s="257"/>
      <c r="K135" s="257"/>
      <c r="L135" s="257"/>
      <c r="M135" s="202"/>
    </row>
    <row r="136" spans="1:13" x14ac:dyDescent="0.3">
      <c r="A136" s="202"/>
      <c r="B136" s="202"/>
      <c r="C136" s="202"/>
      <c r="D136" s="202"/>
      <c r="E136" s="202"/>
      <c r="F136" s="202"/>
      <c r="G136" s="202"/>
      <c r="H136" s="202"/>
      <c r="I136" s="257"/>
      <c r="J136" s="257"/>
      <c r="K136" s="257"/>
      <c r="L136" s="257"/>
      <c r="M136" s="202"/>
    </row>
    <row r="137" spans="1:13" x14ac:dyDescent="0.3">
      <c r="A137" s="202"/>
      <c r="B137" s="202"/>
      <c r="C137" s="202"/>
      <c r="D137" s="202"/>
      <c r="E137" s="202"/>
      <c r="F137" s="202"/>
      <c r="G137" s="202"/>
      <c r="H137" s="202"/>
      <c r="I137" s="257"/>
      <c r="J137" s="257"/>
      <c r="K137" s="257"/>
      <c r="L137" s="257"/>
      <c r="M137" s="202"/>
    </row>
    <row r="138" spans="1:13" x14ac:dyDescent="0.3">
      <c r="A138" s="202"/>
      <c r="B138" s="202"/>
      <c r="C138" s="202"/>
      <c r="D138" s="202"/>
      <c r="E138" s="202"/>
      <c r="F138" s="202"/>
      <c r="G138" s="202"/>
      <c r="H138" s="202"/>
      <c r="I138" s="257"/>
      <c r="J138" s="257"/>
      <c r="K138" s="257"/>
      <c r="L138" s="257"/>
      <c r="M138" s="202"/>
    </row>
    <row r="139" spans="1:13" x14ac:dyDescent="0.3">
      <c r="A139" s="202"/>
      <c r="B139" s="202"/>
      <c r="C139" s="202"/>
      <c r="D139" s="202"/>
      <c r="E139" s="202"/>
      <c r="F139" s="202"/>
      <c r="G139" s="202"/>
      <c r="H139" s="202"/>
      <c r="I139" s="257"/>
      <c r="J139" s="257"/>
      <c r="K139" s="257"/>
      <c r="L139" s="257"/>
      <c r="M139" s="202"/>
    </row>
    <row r="140" spans="1:13" x14ac:dyDescent="0.3">
      <c r="A140" s="202"/>
      <c r="B140" s="202"/>
      <c r="C140" s="202"/>
      <c r="D140" s="202"/>
      <c r="E140" s="202"/>
      <c r="F140" s="202"/>
      <c r="G140" s="202"/>
      <c r="H140" s="202"/>
      <c r="I140" s="257"/>
      <c r="J140" s="257"/>
      <c r="K140" s="257"/>
      <c r="L140" s="257"/>
      <c r="M140" s="202"/>
    </row>
    <row r="141" spans="1:13" x14ac:dyDescent="0.3">
      <c r="A141" s="202"/>
      <c r="B141" s="202"/>
      <c r="C141" s="202"/>
      <c r="D141" s="202"/>
      <c r="E141" s="202"/>
      <c r="F141" s="202"/>
      <c r="G141" s="202"/>
      <c r="H141" s="202"/>
      <c r="I141" s="257"/>
      <c r="J141" s="257"/>
      <c r="K141" s="257"/>
      <c r="L141" s="257"/>
      <c r="M141" s="202"/>
    </row>
    <row r="142" spans="1:13" x14ac:dyDescent="0.3">
      <c r="A142" s="202"/>
      <c r="B142" s="202"/>
      <c r="C142" s="202"/>
      <c r="D142" s="202"/>
      <c r="E142" s="202"/>
      <c r="F142" s="202"/>
      <c r="G142" s="202"/>
      <c r="H142" s="202"/>
      <c r="I142" s="257"/>
      <c r="J142" s="257"/>
      <c r="K142" s="257"/>
      <c r="L142" s="257"/>
      <c r="M142" s="202"/>
    </row>
    <row r="143" spans="1:13" x14ac:dyDescent="0.3">
      <c r="A143" s="202"/>
      <c r="B143" s="202"/>
      <c r="C143" s="202"/>
      <c r="D143" s="202"/>
      <c r="E143" s="202"/>
      <c r="F143" s="202"/>
      <c r="G143" s="202"/>
      <c r="H143" s="202"/>
      <c r="I143" s="257"/>
      <c r="J143" s="257"/>
      <c r="K143" s="257"/>
      <c r="L143" s="257"/>
      <c r="M143" s="202"/>
    </row>
    <row r="144" spans="1:13" x14ac:dyDescent="0.3">
      <c r="A144" s="202"/>
      <c r="B144" s="202"/>
      <c r="C144" s="202"/>
      <c r="D144" s="202"/>
      <c r="E144" s="202"/>
      <c r="F144" s="202"/>
      <c r="G144" s="202"/>
      <c r="H144" s="202"/>
      <c r="I144" s="257"/>
      <c r="J144" s="257"/>
      <c r="K144" s="257"/>
      <c r="L144" s="257"/>
      <c r="M144" s="202"/>
    </row>
    <row r="145" spans="1:13" x14ac:dyDescent="0.3">
      <c r="A145" s="202"/>
      <c r="B145" s="202"/>
      <c r="C145" s="202"/>
      <c r="D145" s="202"/>
      <c r="E145" s="202"/>
      <c r="F145" s="202"/>
      <c r="G145" s="202"/>
      <c r="H145" s="202"/>
      <c r="I145" s="257"/>
      <c r="J145" s="257"/>
      <c r="K145" s="257"/>
      <c r="L145" s="257"/>
      <c r="M145" s="202"/>
    </row>
    <row r="146" spans="1:13" x14ac:dyDescent="0.3">
      <c r="A146" s="202"/>
      <c r="B146" s="202"/>
      <c r="C146" s="202"/>
      <c r="D146" s="202"/>
      <c r="E146" s="202"/>
      <c r="F146" s="202"/>
      <c r="G146" s="202"/>
      <c r="H146" s="202"/>
      <c r="I146" s="257"/>
      <c r="J146" s="257"/>
      <c r="K146" s="257"/>
      <c r="L146" s="257"/>
      <c r="M146" s="202"/>
    </row>
    <row r="147" spans="1:13" x14ac:dyDescent="0.3">
      <c r="A147" s="202"/>
      <c r="B147" s="202"/>
      <c r="C147" s="202"/>
      <c r="D147" s="202"/>
      <c r="E147" s="202"/>
      <c r="F147" s="202"/>
      <c r="G147" s="202"/>
      <c r="H147" s="202"/>
      <c r="I147" s="257"/>
      <c r="J147" s="257"/>
      <c r="K147" s="257"/>
      <c r="L147" s="257"/>
      <c r="M147" s="202"/>
    </row>
    <row r="148" spans="1:13" x14ac:dyDescent="0.3">
      <c r="A148" s="202"/>
      <c r="B148" s="202"/>
      <c r="C148" s="202"/>
      <c r="D148" s="202"/>
      <c r="E148" s="202"/>
      <c r="F148" s="202"/>
      <c r="G148" s="202"/>
      <c r="H148" s="202"/>
      <c r="I148" s="257"/>
      <c r="J148" s="257"/>
      <c r="K148" s="257"/>
      <c r="L148" s="257"/>
      <c r="M148" s="202"/>
    </row>
    <row r="149" spans="1:13" x14ac:dyDescent="0.3">
      <c r="A149" s="202"/>
      <c r="B149" s="202"/>
      <c r="C149" s="202"/>
      <c r="D149" s="202"/>
      <c r="E149" s="202"/>
      <c r="F149" s="202"/>
      <c r="G149" s="202"/>
      <c r="H149" s="202"/>
      <c r="I149" s="257"/>
      <c r="J149" s="257"/>
      <c r="K149" s="257"/>
      <c r="L149" s="257"/>
      <c r="M149" s="202"/>
    </row>
    <row r="150" spans="1:13" x14ac:dyDescent="0.3">
      <c r="A150" s="202"/>
      <c r="B150" s="202"/>
      <c r="C150" s="202"/>
      <c r="D150" s="202"/>
      <c r="E150" s="202"/>
      <c r="F150" s="202"/>
      <c r="G150" s="202"/>
      <c r="H150" s="202"/>
      <c r="I150" s="257"/>
      <c r="J150" s="257"/>
      <c r="K150" s="257"/>
      <c r="L150" s="257"/>
      <c r="M150" s="202"/>
    </row>
    <row r="151" spans="1:13" x14ac:dyDescent="0.3">
      <c r="A151" s="202"/>
      <c r="B151" s="202"/>
      <c r="C151" s="202"/>
      <c r="D151" s="202"/>
      <c r="E151" s="202"/>
      <c r="F151" s="202"/>
      <c r="G151" s="202"/>
      <c r="H151" s="202"/>
      <c r="I151" s="257"/>
      <c r="J151" s="257"/>
      <c r="K151" s="257"/>
      <c r="L151" s="257"/>
      <c r="M151" s="202"/>
    </row>
    <row r="152" spans="1:13" x14ac:dyDescent="0.3">
      <c r="A152" s="202"/>
      <c r="B152" s="202"/>
      <c r="C152" s="202"/>
      <c r="D152" s="202"/>
      <c r="E152" s="202"/>
      <c r="F152" s="202"/>
      <c r="G152" s="202"/>
      <c r="H152" s="202"/>
      <c r="I152" s="257"/>
      <c r="J152" s="257"/>
      <c r="K152" s="257"/>
      <c r="L152" s="257"/>
      <c r="M152" s="202"/>
    </row>
  </sheetData>
  <sheetProtection password="EB32" sheet="1" objects="1" scenarios="1"/>
  <mergeCells count="45">
    <mergeCell ref="E39:M39"/>
    <mergeCell ref="E10:M10"/>
    <mergeCell ref="E12:M12"/>
    <mergeCell ref="E20:M20"/>
    <mergeCell ref="E21:M21"/>
    <mergeCell ref="E15:M15"/>
    <mergeCell ref="E16:M16"/>
    <mergeCell ref="E17:M17"/>
    <mergeCell ref="E18:M18"/>
    <mergeCell ref="E19:M19"/>
    <mergeCell ref="E30:M30"/>
    <mergeCell ref="E38:M38"/>
    <mergeCell ref="E32:M32"/>
    <mergeCell ref="E33:M33"/>
    <mergeCell ref="E36:M36"/>
    <mergeCell ref="E14:M14"/>
    <mergeCell ref="E4:M5"/>
    <mergeCell ref="E6:M6"/>
    <mergeCell ref="E7:M7"/>
    <mergeCell ref="C10:D10"/>
    <mergeCell ref="C7:D7"/>
    <mergeCell ref="E9:M9"/>
    <mergeCell ref="C8:D8"/>
    <mergeCell ref="E40:M40"/>
    <mergeCell ref="A1:D1"/>
    <mergeCell ref="A2:D2"/>
    <mergeCell ref="C6:D6"/>
    <mergeCell ref="E11:M11"/>
    <mergeCell ref="E8:M8"/>
    <mergeCell ref="A3:D3"/>
    <mergeCell ref="E22:M22"/>
    <mergeCell ref="E23:M23"/>
    <mergeCell ref="E31:M31"/>
    <mergeCell ref="E24:M24"/>
    <mergeCell ref="E25:M25"/>
    <mergeCell ref="E26:M26"/>
    <mergeCell ref="B4:C4"/>
    <mergeCell ref="B5:C5"/>
    <mergeCell ref="E13:M13"/>
    <mergeCell ref="E27:M27"/>
    <mergeCell ref="E28:M28"/>
    <mergeCell ref="E29:M29"/>
    <mergeCell ref="E37:M37"/>
    <mergeCell ref="E34:M34"/>
    <mergeCell ref="E35:M35"/>
  </mergeCells>
  <phoneticPr fontId="0" type="noConversion"/>
  <dataValidations count="7">
    <dataValidation type="list" allowBlank="1" showInputMessage="1" showErrorMessage="1" error="Select Yes or No" sqref="C34:C37 C15:C16 C11 C40" xr:uid="{00000000-0002-0000-0000-000000000000}">
      <formula1>Compdata?</formula1>
    </dataValidation>
    <dataValidation type="list" allowBlank="1" showInputMessage="1" showErrorMessage="1" sqref="C26" xr:uid="{00000000-0002-0000-0000-000001000000}">
      <formula1>fire</formula1>
    </dataValidation>
    <dataValidation type="decimal" allowBlank="1" showInputMessage="1" showErrorMessage="1" error="Please enter a percentage value between 0% and 100%" promptTitle="% area affected by fires" sqref="C25" xr:uid="{00000000-0002-0000-0000-000002000000}">
      <formula1>0</formula1>
      <formula2>1</formula2>
    </dataValidation>
    <dataValidation type="list" allowBlank="1" showInputMessage="1" showErrorMessage="1" errorTitle="Data entry error" error="Please select a number between 1 and 4 for site management practices" sqref="C23" xr:uid="{00000000-0002-0000-0000-000003000000}">
      <formula1>MCF</formula1>
    </dataValidation>
    <dataValidation type="list" allowBlank="1" showInputMessage="1" showErrorMessage="1" errorTitle="Data entry error" error="Please select a number between 1 and 4 for site management practices" sqref="C24" xr:uid="{00000000-0002-0000-0000-000004000000}">
      <formula1>Compdata?</formula1>
    </dataValidation>
    <dataValidation type="list" allowBlank="1" showInputMessage="1" showErrorMessage="1" sqref="C10" xr:uid="{00000000-0002-0000-0000-000005000000}">
      <formula1>Climate</formula1>
    </dataValidation>
    <dataValidation type="list" allowBlank="1" showInputMessage="1" showErrorMessage="1" errorTitle="Data entry error" error="Please select the name of the Central American country." sqref="C9" xr:uid="{00000000-0002-0000-0000-000006000000}">
      <formula1>Wasteshed</formula1>
    </dataValidation>
  </dataValidations>
  <printOptions horizontalCentered="1" verticalCentered="1"/>
  <pageMargins left="0.5" right="0.5" top="0.5" bottom="0.5" header="0.5" footer="0.5"/>
  <pageSetup scale="84" orientation="portrait" r:id="rId1"/>
  <headerFooter alignWithMargins="0"/>
  <ignoredErrors>
    <ignoredError sqref="C32" formulaRange="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M45"/>
  <sheetViews>
    <sheetView zoomScale="75" workbookViewId="0">
      <selection activeCell="B45" sqref="B45"/>
    </sheetView>
  </sheetViews>
  <sheetFormatPr defaultColWidth="9" defaultRowHeight="15.5" x14ac:dyDescent="0.35"/>
  <cols>
    <col min="1" max="16384" width="9" style="133"/>
  </cols>
  <sheetData>
    <row r="1" spans="2:13" ht="20" thickBot="1" x14ac:dyDescent="0.4">
      <c r="B1" s="445" t="s">
        <v>317</v>
      </c>
      <c r="C1" s="446"/>
      <c r="D1" s="446"/>
      <c r="E1" s="446"/>
      <c r="F1" s="446"/>
      <c r="G1" s="446"/>
      <c r="H1" s="446"/>
      <c r="I1" s="446"/>
      <c r="J1" s="446"/>
      <c r="K1" s="446"/>
      <c r="L1" s="446"/>
      <c r="M1" s="447"/>
    </row>
    <row r="2" spans="2:13" x14ac:dyDescent="0.35">
      <c r="B2" s="136"/>
      <c r="C2" s="137"/>
      <c r="D2" s="137"/>
      <c r="E2" s="137"/>
      <c r="F2" s="137"/>
      <c r="G2" s="137"/>
      <c r="H2" s="137"/>
      <c r="I2" s="137"/>
      <c r="J2" s="137"/>
      <c r="K2" s="137"/>
      <c r="L2" s="137"/>
      <c r="M2" s="138"/>
    </row>
    <row r="3" spans="2:13" x14ac:dyDescent="0.35">
      <c r="B3" s="136"/>
      <c r="C3" s="137"/>
      <c r="D3" s="137"/>
      <c r="E3" s="137"/>
      <c r="F3" s="137"/>
      <c r="G3" s="137"/>
      <c r="H3" s="137"/>
      <c r="I3" s="137"/>
      <c r="J3" s="137"/>
      <c r="K3" s="137"/>
      <c r="L3" s="137"/>
      <c r="M3" s="138"/>
    </row>
    <row r="4" spans="2:13" ht="19.5" x14ac:dyDescent="0.35">
      <c r="B4" s="136"/>
      <c r="C4" s="137"/>
      <c r="D4" s="137"/>
      <c r="E4" s="137"/>
      <c r="F4" s="137"/>
      <c r="G4" s="137"/>
      <c r="H4" s="137"/>
      <c r="I4" s="137"/>
      <c r="J4" s="139" t="s">
        <v>291</v>
      </c>
      <c r="K4" s="137"/>
      <c r="L4" s="137"/>
      <c r="M4" s="138"/>
    </row>
    <row r="5" spans="2:13" x14ac:dyDescent="0.35">
      <c r="B5" s="136"/>
      <c r="C5" s="137"/>
      <c r="D5" s="137"/>
      <c r="E5" s="137"/>
      <c r="F5" s="137"/>
      <c r="G5" s="137"/>
      <c r="H5" s="137"/>
      <c r="I5" s="137"/>
      <c r="J5" s="137"/>
      <c r="K5" s="137"/>
      <c r="L5" s="137"/>
      <c r="M5" s="138"/>
    </row>
    <row r="6" spans="2:13" x14ac:dyDescent="0.35">
      <c r="B6" s="136"/>
      <c r="C6" s="137"/>
      <c r="D6" s="137"/>
      <c r="E6" s="137"/>
      <c r="F6" s="137"/>
      <c r="G6" s="137"/>
      <c r="H6" s="137"/>
      <c r="I6" s="137"/>
      <c r="J6" s="137"/>
      <c r="K6" s="137"/>
      <c r="L6" s="137"/>
      <c r="M6" s="138"/>
    </row>
    <row r="7" spans="2:13" x14ac:dyDescent="0.35">
      <c r="B7" s="136"/>
      <c r="C7" s="137"/>
      <c r="D7" s="137"/>
      <c r="E7" s="137"/>
      <c r="F7" s="137"/>
      <c r="G7" s="137"/>
      <c r="H7" s="137"/>
      <c r="I7" s="137"/>
      <c r="J7" s="137"/>
      <c r="K7" s="137"/>
      <c r="L7" s="137"/>
      <c r="M7" s="138"/>
    </row>
    <row r="8" spans="2:13" x14ac:dyDescent="0.35">
      <c r="B8" s="136"/>
      <c r="C8" s="137"/>
      <c r="D8" s="137"/>
      <c r="E8" s="137"/>
      <c r="F8" s="137"/>
      <c r="G8" s="137"/>
      <c r="H8" s="137"/>
      <c r="I8" s="137"/>
      <c r="J8" s="137"/>
      <c r="K8" s="137"/>
      <c r="L8" s="137"/>
      <c r="M8" s="138"/>
    </row>
    <row r="9" spans="2:13" x14ac:dyDescent="0.35">
      <c r="B9" s="136"/>
      <c r="C9" s="137"/>
      <c r="D9" s="137"/>
      <c r="E9" s="137"/>
      <c r="F9" s="137"/>
      <c r="G9" s="137"/>
      <c r="H9" s="137"/>
      <c r="I9" s="137"/>
      <c r="J9" s="137"/>
      <c r="K9" s="137"/>
      <c r="L9" s="137"/>
      <c r="M9" s="138"/>
    </row>
    <row r="10" spans="2:13" x14ac:dyDescent="0.35">
      <c r="B10" s="136"/>
      <c r="C10" s="137"/>
      <c r="D10" s="137"/>
      <c r="E10" s="137"/>
      <c r="F10" s="137"/>
      <c r="G10" s="137"/>
      <c r="H10" s="137"/>
      <c r="I10" s="137"/>
      <c r="J10" s="137"/>
      <c r="K10" s="137"/>
      <c r="L10" s="137"/>
      <c r="M10" s="138"/>
    </row>
    <row r="11" spans="2:13" x14ac:dyDescent="0.35">
      <c r="B11" s="136"/>
      <c r="C11" s="137"/>
      <c r="D11" s="137"/>
      <c r="E11" s="137"/>
      <c r="F11" s="137"/>
      <c r="G11" s="137"/>
      <c r="H11" s="137"/>
      <c r="I11" s="137"/>
      <c r="J11" s="137"/>
      <c r="K11" s="137"/>
      <c r="L11" s="137"/>
      <c r="M11" s="138"/>
    </row>
    <row r="12" spans="2:13" x14ac:dyDescent="0.35">
      <c r="B12" s="136"/>
      <c r="C12" s="137"/>
      <c r="D12" s="137"/>
      <c r="E12" s="137"/>
      <c r="F12" s="137"/>
      <c r="G12" s="137"/>
      <c r="H12" s="137"/>
      <c r="I12" s="137"/>
      <c r="J12" s="137"/>
      <c r="K12" s="137"/>
      <c r="L12" s="137"/>
      <c r="M12" s="138"/>
    </row>
    <row r="13" spans="2:13" x14ac:dyDescent="0.35">
      <c r="B13" s="136"/>
      <c r="C13" s="137"/>
      <c r="D13" s="137"/>
      <c r="E13" s="137"/>
      <c r="F13" s="137"/>
      <c r="G13" s="137"/>
      <c r="H13" s="137"/>
      <c r="I13" s="137"/>
      <c r="J13" s="137"/>
      <c r="K13" s="137"/>
      <c r="L13" s="137"/>
      <c r="M13" s="138"/>
    </row>
    <row r="14" spans="2:13" x14ac:dyDescent="0.35">
      <c r="B14" s="136"/>
      <c r="C14" s="137"/>
      <c r="D14" s="137"/>
      <c r="E14" s="137"/>
      <c r="F14" s="137"/>
      <c r="G14" s="137"/>
      <c r="H14" s="137"/>
      <c r="I14" s="137"/>
      <c r="J14" s="137"/>
      <c r="K14" s="137"/>
      <c r="L14" s="137"/>
      <c r="M14" s="138"/>
    </row>
    <row r="15" spans="2:13" x14ac:dyDescent="0.35">
      <c r="B15" s="136"/>
      <c r="C15" s="137"/>
      <c r="D15" s="137"/>
      <c r="E15" s="137"/>
      <c r="F15" s="137"/>
      <c r="G15" s="137"/>
      <c r="H15" s="137"/>
      <c r="I15" s="137"/>
      <c r="J15" s="137"/>
      <c r="K15" s="137"/>
      <c r="L15" s="137"/>
      <c r="M15" s="138"/>
    </row>
    <row r="16" spans="2:13" x14ac:dyDescent="0.35">
      <c r="B16" s="136"/>
      <c r="C16" s="137"/>
      <c r="D16" s="137"/>
      <c r="E16" s="137"/>
      <c r="F16" s="137"/>
      <c r="G16" s="137"/>
      <c r="H16" s="137"/>
      <c r="I16" s="137"/>
      <c r="J16" s="137"/>
      <c r="K16" s="137"/>
      <c r="L16" s="137"/>
      <c r="M16" s="138"/>
    </row>
    <row r="17" spans="2:13" x14ac:dyDescent="0.35">
      <c r="B17" s="136"/>
      <c r="C17" s="137"/>
      <c r="D17" s="137"/>
      <c r="E17" s="137"/>
      <c r="F17" s="137"/>
      <c r="G17" s="137"/>
      <c r="H17" s="137"/>
      <c r="I17" s="137"/>
      <c r="J17" s="137"/>
      <c r="K17" s="137"/>
      <c r="L17" s="137"/>
      <c r="M17" s="138"/>
    </row>
    <row r="18" spans="2:13" x14ac:dyDescent="0.35">
      <c r="B18" s="136"/>
      <c r="C18" s="137"/>
      <c r="D18" s="137"/>
      <c r="E18" s="137"/>
      <c r="F18" s="137"/>
      <c r="G18" s="137"/>
      <c r="H18" s="137"/>
      <c r="I18" s="137"/>
      <c r="J18" s="137"/>
      <c r="K18" s="137"/>
      <c r="L18" s="137"/>
      <c r="M18" s="138"/>
    </row>
    <row r="19" spans="2:13" x14ac:dyDescent="0.35">
      <c r="B19" s="136"/>
      <c r="C19" s="137"/>
      <c r="D19" s="137"/>
      <c r="E19" s="137"/>
      <c r="F19" s="137"/>
      <c r="G19" s="137"/>
      <c r="H19" s="137"/>
      <c r="I19" s="137"/>
      <c r="J19" s="137"/>
      <c r="K19" s="137"/>
      <c r="L19" s="137"/>
      <c r="M19" s="138"/>
    </row>
    <row r="20" spans="2:13" x14ac:dyDescent="0.35">
      <c r="B20" s="136"/>
      <c r="C20" s="137"/>
      <c r="D20" s="137"/>
      <c r="E20" s="137"/>
      <c r="F20" s="137"/>
      <c r="G20" s="137"/>
      <c r="H20" s="137"/>
      <c r="I20" s="137"/>
      <c r="J20" s="137"/>
      <c r="K20" s="137"/>
      <c r="L20" s="137"/>
      <c r="M20" s="138"/>
    </row>
    <row r="21" spans="2:13" x14ac:dyDescent="0.35">
      <c r="B21" s="136"/>
      <c r="C21" s="137"/>
      <c r="D21" s="137"/>
      <c r="E21" s="137"/>
      <c r="F21" s="137"/>
      <c r="G21" s="137"/>
      <c r="H21" s="137"/>
      <c r="I21" s="137"/>
      <c r="J21" s="137"/>
      <c r="K21" s="137"/>
      <c r="L21" s="137"/>
      <c r="M21" s="138"/>
    </row>
    <row r="22" spans="2:13" x14ac:dyDescent="0.35">
      <c r="B22" s="136"/>
      <c r="C22" s="137"/>
      <c r="D22" s="137"/>
      <c r="E22" s="137"/>
      <c r="F22" s="137"/>
      <c r="G22" s="137"/>
      <c r="H22" s="137"/>
      <c r="I22" s="137"/>
      <c r="J22" s="137"/>
      <c r="K22" s="137"/>
      <c r="L22" s="137"/>
      <c r="M22" s="138"/>
    </row>
    <row r="23" spans="2:13" x14ac:dyDescent="0.35">
      <c r="B23" s="136"/>
      <c r="C23" s="137"/>
      <c r="D23" s="137"/>
      <c r="E23" s="137"/>
      <c r="F23" s="137"/>
      <c r="G23" s="137"/>
      <c r="H23" s="137"/>
      <c r="I23" s="137"/>
      <c r="J23" s="137"/>
      <c r="K23" s="137"/>
      <c r="L23" s="137"/>
      <c r="M23" s="138"/>
    </row>
    <row r="24" spans="2:13" x14ac:dyDescent="0.35">
      <c r="B24" s="136"/>
      <c r="C24" s="137"/>
      <c r="D24" s="137"/>
      <c r="E24" s="137"/>
      <c r="F24" s="137"/>
      <c r="G24" s="137"/>
      <c r="H24" s="137"/>
      <c r="I24" s="137"/>
      <c r="J24" s="137"/>
      <c r="K24" s="137"/>
      <c r="L24" s="137"/>
      <c r="M24" s="138"/>
    </row>
    <row r="25" spans="2:13" x14ac:dyDescent="0.35">
      <c r="B25" s="136"/>
      <c r="C25" s="137"/>
      <c r="D25" s="137"/>
      <c r="E25" s="137"/>
      <c r="F25" s="137"/>
      <c r="G25" s="137"/>
      <c r="H25" s="137"/>
      <c r="I25" s="137"/>
      <c r="J25" s="137"/>
      <c r="K25" s="137"/>
      <c r="L25" s="137"/>
      <c r="M25" s="138"/>
    </row>
    <row r="26" spans="2:13" x14ac:dyDescent="0.35">
      <c r="B26" s="136"/>
      <c r="C26" s="137"/>
      <c r="D26" s="137"/>
      <c r="E26" s="137"/>
      <c r="F26" s="137"/>
      <c r="G26" s="137"/>
      <c r="H26" s="137"/>
      <c r="I26" s="137"/>
      <c r="J26" s="137"/>
      <c r="K26" s="137"/>
      <c r="L26" s="137"/>
      <c r="M26" s="138"/>
    </row>
    <row r="27" spans="2:13" ht="19.5" x14ac:dyDescent="0.35">
      <c r="B27" s="136"/>
      <c r="C27" s="137"/>
      <c r="D27" s="137"/>
      <c r="E27" s="137"/>
      <c r="F27" s="137"/>
      <c r="G27" s="137"/>
      <c r="H27" s="137"/>
      <c r="I27" s="137"/>
      <c r="K27" s="140"/>
      <c r="L27" s="137"/>
      <c r="M27" s="138"/>
    </row>
    <row r="28" spans="2:13" ht="19.5" x14ac:dyDescent="0.35">
      <c r="B28" s="136"/>
      <c r="C28" s="137"/>
      <c r="D28" s="137"/>
      <c r="E28" s="137"/>
      <c r="F28" s="137"/>
      <c r="G28" s="137"/>
      <c r="H28" s="137"/>
      <c r="I28" s="137"/>
      <c r="J28" s="141"/>
      <c r="K28" s="140"/>
      <c r="L28" s="137"/>
      <c r="M28" s="138"/>
    </row>
    <row r="29" spans="2:13" ht="19.5" x14ac:dyDescent="0.35">
      <c r="B29" s="136"/>
      <c r="C29" s="137"/>
      <c r="D29" s="137"/>
      <c r="E29" s="137"/>
      <c r="F29" s="137"/>
      <c r="G29" s="137"/>
      <c r="H29" s="137"/>
      <c r="I29" s="137"/>
      <c r="J29" s="141"/>
      <c r="K29" s="140"/>
      <c r="L29" s="137"/>
      <c r="M29" s="138"/>
    </row>
    <row r="30" spans="2:13" ht="19.5" x14ac:dyDescent="0.35">
      <c r="B30" s="136"/>
      <c r="C30" s="137"/>
      <c r="D30" s="137"/>
      <c r="E30" s="137"/>
      <c r="F30" s="137"/>
      <c r="G30" s="137"/>
      <c r="H30" s="137"/>
      <c r="I30" s="137"/>
      <c r="J30" s="141"/>
      <c r="K30" s="140"/>
      <c r="L30" s="137"/>
      <c r="M30" s="138"/>
    </row>
    <row r="31" spans="2:13" ht="19.5" x14ac:dyDescent="0.35">
      <c r="B31" s="136"/>
      <c r="C31" s="137"/>
      <c r="D31" s="137"/>
      <c r="E31" s="137"/>
      <c r="F31" s="137"/>
      <c r="G31" s="137"/>
      <c r="H31" s="137"/>
      <c r="I31" s="137"/>
      <c r="J31" s="141"/>
      <c r="K31" s="140"/>
      <c r="L31" s="137"/>
      <c r="M31" s="138"/>
    </row>
    <row r="32" spans="2:13" ht="19.5" x14ac:dyDescent="0.35">
      <c r="B32" s="136"/>
      <c r="C32" s="137"/>
      <c r="D32" s="137"/>
      <c r="E32" s="137"/>
      <c r="F32" s="137"/>
      <c r="G32" s="137"/>
      <c r="H32" s="137"/>
      <c r="I32" s="137"/>
      <c r="J32" s="141"/>
      <c r="K32" s="140"/>
      <c r="L32" s="137"/>
      <c r="M32" s="138"/>
    </row>
    <row r="33" spans="2:13" x14ac:dyDescent="0.35">
      <c r="B33" s="136"/>
      <c r="C33" s="137"/>
      <c r="D33" s="137"/>
      <c r="E33" s="137"/>
      <c r="F33" s="137"/>
      <c r="G33" s="137"/>
      <c r="H33" s="137"/>
      <c r="I33" s="137"/>
      <c r="J33" s="137"/>
      <c r="K33" s="137"/>
      <c r="L33" s="137"/>
      <c r="M33" s="138"/>
    </row>
    <row r="34" spans="2:13" ht="20" thickBot="1" x14ac:dyDescent="0.4">
      <c r="B34" s="142"/>
      <c r="C34" s="143"/>
      <c r="D34" s="143"/>
      <c r="E34" s="143"/>
      <c r="F34" s="143"/>
      <c r="G34" s="143"/>
      <c r="H34" s="143"/>
      <c r="I34" s="143"/>
      <c r="J34" s="143"/>
      <c r="K34" s="448" t="s">
        <v>154</v>
      </c>
      <c r="L34" s="448"/>
      <c r="M34" s="449"/>
    </row>
    <row r="35" spans="2:13" x14ac:dyDescent="0.35">
      <c r="B35" s="137"/>
      <c r="C35" s="137"/>
      <c r="D35" s="137"/>
      <c r="E35" s="137"/>
      <c r="F35" s="137"/>
      <c r="G35" s="137"/>
      <c r="H35" s="137"/>
      <c r="I35" s="137"/>
      <c r="J35" s="137"/>
      <c r="K35" s="137"/>
      <c r="L35" s="137"/>
      <c r="M35" s="137"/>
    </row>
    <row r="36" spans="2:13" x14ac:dyDescent="0.35">
      <c r="B36" s="137"/>
      <c r="C36" s="137"/>
      <c r="D36" s="137"/>
      <c r="E36" s="137"/>
      <c r="F36" s="137"/>
      <c r="G36" s="137"/>
      <c r="H36" s="137"/>
      <c r="I36" s="137"/>
      <c r="J36" s="137"/>
      <c r="K36" s="137"/>
      <c r="L36" s="137"/>
      <c r="M36" s="137"/>
    </row>
    <row r="39" spans="2:13" x14ac:dyDescent="0.35">
      <c r="D39" s="134"/>
    </row>
    <row r="40" spans="2:13" x14ac:dyDescent="0.35">
      <c r="D40" s="134"/>
    </row>
    <row r="41" spans="2:13" x14ac:dyDescent="0.35">
      <c r="D41" s="134"/>
    </row>
    <row r="42" spans="2:13" x14ac:dyDescent="0.35">
      <c r="D42" s="134"/>
    </row>
    <row r="43" spans="2:13" x14ac:dyDescent="0.35">
      <c r="D43" s="134"/>
    </row>
    <row r="44" spans="2:13" x14ac:dyDescent="0.35">
      <c r="D44" s="134"/>
    </row>
    <row r="45" spans="2:13" x14ac:dyDescent="0.35">
      <c r="B45" s="135"/>
    </row>
  </sheetData>
  <mergeCells count="2">
    <mergeCell ref="B1:M1"/>
    <mergeCell ref="K34:M34"/>
  </mergeCells>
  <phoneticPr fontId="4" type="noConversion"/>
  <hyperlinks>
    <hyperlink ref="K34" location="Inputs!A1" display="Go Back to Inputs" xr:uid="{00000000-0004-0000-0900-000000000000}"/>
  </hyperlinks>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104"/>
  <sheetViews>
    <sheetView showGridLines="0" zoomScale="75" workbookViewId="0">
      <selection activeCell="K34" sqref="K34:M34"/>
    </sheetView>
  </sheetViews>
  <sheetFormatPr defaultColWidth="9.75" defaultRowHeight="13.5" x14ac:dyDescent="0.25"/>
  <cols>
    <col min="1" max="1" width="9" style="20" bestFit="1" customWidth="1"/>
    <col min="2" max="2" width="17" style="20" bestFit="1" customWidth="1"/>
    <col min="3" max="3" width="13.25" style="20" customWidth="1"/>
    <col min="4" max="4" width="13.08203125" style="20" bestFit="1" customWidth="1"/>
    <col min="5" max="7" width="11.75" style="20" bestFit="1" customWidth="1"/>
    <col min="8" max="8" width="12.25" style="20" customWidth="1"/>
    <col min="9" max="9" width="3.08203125" style="20" customWidth="1"/>
    <col min="10" max="10" width="9.75" style="20" customWidth="1"/>
    <col min="11" max="11" width="10" style="20" bestFit="1" customWidth="1"/>
    <col min="12" max="15" width="9.75" style="20" customWidth="1"/>
    <col min="16" max="16" width="14.25" style="20" customWidth="1"/>
    <col min="17" max="16384" width="9.75" style="20"/>
  </cols>
  <sheetData>
    <row r="1" spans="1:15" ht="15" x14ac:dyDescent="0.3">
      <c r="A1" s="19"/>
      <c r="B1" s="19"/>
      <c r="C1" s="19"/>
      <c r="D1" s="450" t="s">
        <v>20</v>
      </c>
      <c r="E1" s="451"/>
      <c r="F1" s="451"/>
      <c r="G1" s="451"/>
    </row>
    <row r="2" spans="1:15" x14ac:dyDescent="0.25">
      <c r="B2" s="21">
        <f>SUM(D2:G2)</f>
        <v>0.56840000000000002</v>
      </c>
      <c r="D2" s="21">
        <f>IF(Inputs!$C$11="No",'Waste Composition'!$C$20,'Waste Composition'!$B$20)</f>
        <v>0.27279000000000003</v>
      </c>
      <c r="E2" s="21">
        <f>IF(Inputs!$C$11="No",'Waste Composition'!$C$21,'Waste Composition'!$B$21)</f>
        <v>8.2309999999999994E-2</v>
      </c>
      <c r="F2" s="21">
        <f>IF(Inputs!$C$11="No",'Waste Composition'!$C$22,'Waste Composition'!$B$22)</f>
        <v>0.20229999999999998</v>
      </c>
      <c r="G2" s="21">
        <f>IF(Inputs!$C$11="No",'Waste Composition'!$C$23,'Waste Composition'!$B$23)</f>
        <v>1.0999999999999999E-2</v>
      </c>
      <c r="I2" s="19"/>
    </row>
    <row r="3" spans="1:15" x14ac:dyDescent="0.25">
      <c r="B3" s="22" t="s">
        <v>15</v>
      </c>
      <c r="C3" s="23" t="s">
        <v>19</v>
      </c>
      <c r="D3" s="24">
        <v>1</v>
      </c>
      <c r="E3" s="24">
        <v>2</v>
      </c>
      <c r="F3" s="24">
        <v>3</v>
      </c>
      <c r="G3" s="24">
        <v>4</v>
      </c>
      <c r="O3" s="25"/>
    </row>
    <row r="4" spans="1:15" x14ac:dyDescent="0.25">
      <c r="A4" s="20">
        <f>Inputs!C12</f>
        <v>1990</v>
      </c>
      <c r="B4" s="26">
        <f>LOOKUP(A4,'Disposal &amp; LFG Recovery'!A6:A105,'Disposal &amp; LFG Recovery'!B6:B105)*1.1023</f>
        <v>307266.125</v>
      </c>
      <c r="C4" s="27">
        <f>B4</f>
        <v>307266.125</v>
      </c>
      <c r="D4" s="28">
        <f>$B4*D$2</f>
        <v>83819.126238750003</v>
      </c>
      <c r="E4" s="28">
        <f t="shared" ref="E4:G19" si="0">$B4*E$2</f>
        <v>25291.074748749998</v>
      </c>
      <c r="F4" s="28">
        <f t="shared" si="0"/>
        <v>62159.937087499995</v>
      </c>
      <c r="G4" s="28">
        <f t="shared" si="0"/>
        <v>3379.9273749999998</v>
      </c>
      <c r="H4" s="29"/>
      <c r="O4" s="27"/>
    </row>
    <row r="5" spans="1:15" x14ac:dyDescent="0.25">
      <c r="A5" s="20">
        <f t="shared" ref="A5:A36" si="1">A4+1</f>
        <v>1991</v>
      </c>
      <c r="B5" s="26">
        <f>LOOKUP(A5,'Disposal &amp; LFG Recovery'!A7:A112,'Disposal &amp; LFG Recovery'!B7:B112)*1.1023</f>
        <v>313416.95900000003</v>
      </c>
      <c r="C5" s="27">
        <f>C4+B5</f>
        <v>620683.08400000003</v>
      </c>
      <c r="D5" s="28">
        <f t="shared" ref="D5:G36" si="2">$B5*D$2</f>
        <v>85497.012245610022</v>
      </c>
      <c r="E5" s="28">
        <f t="shared" si="0"/>
        <v>25797.349895290001</v>
      </c>
      <c r="F5" s="28">
        <f t="shared" si="0"/>
        <v>63404.250805700001</v>
      </c>
      <c r="G5" s="28">
        <f t="shared" si="0"/>
        <v>3447.5865490000001</v>
      </c>
      <c r="H5" s="29"/>
      <c r="O5" s="27"/>
    </row>
    <row r="6" spans="1:15" x14ac:dyDescent="0.25">
      <c r="A6" s="20">
        <f t="shared" si="1"/>
        <v>1992</v>
      </c>
      <c r="B6" s="26">
        <f>LOOKUP(A6,'Disposal &amp; LFG Recovery'!A8:A113,'Disposal &amp; LFG Recovery'!B8:B113)*1.1023</f>
        <v>319689.04600000003</v>
      </c>
      <c r="C6" s="27">
        <f t="shared" ref="C6:C69" si="3">C5+B6</f>
        <v>940372.13000000012</v>
      </c>
      <c r="D6" s="28">
        <f t="shared" si="2"/>
        <v>87207.974858340021</v>
      </c>
      <c r="E6" s="28">
        <f t="shared" si="0"/>
        <v>26313.605376260002</v>
      </c>
      <c r="F6" s="28">
        <f t="shared" si="0"/>
        <v>64673.094005799998</v>
      </c>
      <c r="G6" s="28">
        <f t="shared" si="0"/>
        <v>3516.579506</v>
      </c>
      <c r="H6" s="29"/>
      <c r="O6" s="27"/>
    </row>
    <row r="7" spans="1:15" ht="15.75" customHeight="1" x14ac:dyDescent="0.25">
      <c r="A7" s="20">
        <f t="shared" si="1"/>
        <v>1993</v>
      </c>
      <c r="B7" s="26">
        <f>LOOKUP(A7,'Disposal &amp; LFG Recovery'!A9:A114,'Disposal &amp; LFG Recovery'!B9:B114)*1.1023</f>
        <v>326082.386</v>
      </c>
      <c r="C7" s="27">
        <f t="shared" si="3"/>
        <v>1266454.5160000001</v>
      </c>
      <c r="D7" s="28">
        <f t="shared" si="2"/>
        <v>88952.014076940017</v>
      </c>
      <c r="E7" s="28">
        <f t="shared" si="0"/>
        <v>26839.841191659998</v>
      </c>
      <c r="F7" s="28">
        <f t="shared" si="0"/>
        <v>65966.466687799999</v>
      </c>
      <c r="G7" s="28">
        <f t="shared" si="0"/>
        <v>3586.9062459999996</v>
      </c>
      <c r="H7" s="29"/>
      <c r="I7" s="19"/>
      <c r="J7" s="19"/>
      <c r="K7" s="19"/>
      <c r="L7" s="19"/>
      <c r="M7" s="30"/>
      <c r="O7" s="27"/>
    </row>
    <row r="8" spans="1:15" x14ac:dyDescent="0.25">
      <c r="A8" s="20">
        <f t="shared" si="1"/>
        <v>1994</v>
      </c>
      <c r="B8" s="26">
        <f>LOOKUP(A8,'Disposal &amp; LFG Recovery'!A10:A115,'Disposal &amp; LFG Recovery'!B10:B115)*1.1023</f>
        <v>332608.00200000004</v>
      </c>
      <c r="C8" s="27">
        <f t="shared" si="3"/>
        <v>1599062.5180000002</v>
      </c>
      <c r="D8" s="28">
        <f t="shared" si="2"/>
        <v>90732.136865580018</v>
      </c>
      <c r="E8" s="28">
        <f t="shared" si="0"/>
        <v>27376.964644620002</v>
      </c>
      <c r="F8" s="28">
        <f t="shared" si="0"/>
        <v>67286.598804599998</v>
      </c>
      <c r="G8" s="28">
        <f t="shared" si="0"/>
        <v>3658.6880220000003</v>
      </c>
      <c r="H8" s="29"/>
      <c r="I8" s="19"/>
      <c r="J8" s="19"/>
      <c r="K8" s="19"/>
      <c r="L8" s="19"/>
      <c r="M8" s="30"/>
      <c r="O8" s="27"/>
    </row>
    <row r="9" spans="1:15" x14ac:dyDescent="0.25">
      <c r="A9" s="20">
        <f t="shared" si="1"/>
        <v>1995</v>
      </c>
      <c r="B9" s="26">
        <f>LOOKUP(A9,'Disposal &amp; LFG Recovery'!A11:A116,'Disposal &amp; LFG Recovery'!B11:B116)*1.1023</f>
        <v>339254.87100000004</v>
      </c>
      <c r="C9" s="27">
        <f t="shared" si="3"/>
        <v>1938317.3890000002</v>
      </c>
      <c r="D9" s="28">
        <f t="shared" si="2"/>
        <v>92545.336260090029</v>
      </c>
      <c r="E9" s="28">
        <f t="shared" si="0"/>
        <v>27924.068432010001</v>
      </c>
      <c r="F9" s="28">
        <f t="shared" si="0"/>
        <v>68631.260403299995</v>
      </c>
      <c r="G9" s="28">
        <f t="shared" si="0"/>
        <v>3731.8035810000001</v>
      </c>
      <c r="H9" s="29"/>
      <c r="I9" s="19"/>
      <c r="J9" s="19"/>
      <c r="K9" s="19"/>
      <c r="L9" s="19"/>
      <c r="M9" s="30"/>
      <c r="O9" s="27"/>
    </row>
    <row r="10" spans="1:15" x14ac:dyDescent="0.25">
      <c r="A10" s="20">
        <f t="shared" si="1"/>
        <v>1996</v>
      </c>
      <c r="B10" s="26">
        <f>LOOKUP(A10,'Disposal &amp; LFG Recovery'!A12:A117,'Disposal &amp; LFG Recovery'!B12:B117)*1.1023</f>
        <v>346045.03899999999</v>
      </c>
      <c r="C10" s="27">
        <f t="shared" si="3"/>
        <v>2284362.4280000003</v>
      </c>
      <c r="D10" s="28">
        <f t="shared" si="2"/>
        <v>94397.626188810013</v>
      </c>
      <c r="E10" s="28">
        <f t="shared" si="0"/>
        <v>28482.967160089996</v>
      </c>
      <c r="F10" s="28">
        <f t="shared" si="0"/>
        <v>70004.911389699992</v>
      </c>
      <c r="G10" s="28">
        <f t="shared" si="0"/>
        <v>3806.4954289999996</v>
      </c>
      <c r="H10" s="29"/>
      <c r="I10" s="19"/>
      <c r="J10" s="19"/>
      <c r="K10" s="19"/>
      <c r="L10" s="19"/>
      <c r="M10" s="30"/>
      <c r="O10" s="27"/>
    </row>
    <row r="11" spans="1:15" x14ac:dyDescent="0.25">
      <c r="A11" s="20">
        <f t="shared" si="1"/>
        <v>1997</v>
      </c>
      <c r="B11" s="26">
        <f>LOOKUP(A11,'Disposal &amp; LFG Recovery'!A13:A118,'Disposal &amp; LFG Recovery'!B13:B118)*1.1023</f>
        <v>352967.48300000001</v>
      </c>
      <c r="C11" s="27">
        <f t="shared" si="3"/>
        <v>2637329.9110000003</v>
      </c>
      <c r="D11" s="28">
        <f t="shared" si="2"/>
        <v>96285.999687570016</v>
      </c>
      <c r="E11" s="28">
        <f t="shared" si="0"/>
        <v>29052.753525729997</v>
      </c>
      <c r="F11" s="28">
        <f t="shared" si="0"/>
        <v>71405.321810900001</v>
      </c>
      <c r="G11" s="28">
        <f t="shared" si="0"/>
        <v>3882.6423129999998</v>
      </c>
      <c r="H11" s="29"/>
      <c r="I11" s="19"/>
      <c r="J11" s="19"/>
      <c r="K11" s="19"/>
      <c r="L11" s="19"/>
      <c r="M11" s="30"/>
      <c r="O11" s="27"/>
    </row>
    <row r="12" spans="1:15" x14ac:dyDescent="0.25">
      <c r="A12" s="20">
        <f t="shared" si="1"/>
        <v>1998</v>
      </c>
      <c r="B12" s="26">
        <f>LOOKUP(A12,'Disposal &amp; LFG Recovery'!A14:A119,'Disposal &amp; LFG Recovery'!B14:B119)*1.1023</f>
        <v>360022.20300000004</v>
      </c>
      <c r="C12" s="27">
        <f t="shared" si="3"/>
        <v>2997352.1140000005</v>
      </c>
      <c r="D12" s="28">
        <f t="shared" si="2"/>
        <v>98210.456756370026</v>
      </c>
      <c r="E12" s="28">
        <f t="shared" si="0"/>
        <v>29633.427528930002</v>
      </c>
      <c r="F12" s="28">
        <f t="shared" si="0"/>
        <v>72832.491666899994</v>
      </c>
      <c r="G12" s="28">
        <f t="shared" si="0"/>
        <v>3960.2442330000003</v>
      </c>
      <c r="H12" s="29"/>
      <c r="I12" s="19"/>
      <c r="J12" s="19"/>
      <c r="K12" s="19"/>
      <c r="L12" s="19"/>
      <c r="M12" s="30"/>
      <c r="O12" s="27"/>
    </row>
    <row r="13" spans="1:15" x14ac:dyDescent="0.25">
      <c r="A13" s="20">
        <f t="shared" si="1"/>
        <v>1999</v>
      </c>
      <c r="B13" s="26">
        <f>LOOKUP(A13,'Disposal &amp; LFG Recovery'!A15:A120,'Disposal &amp; LFG Recovery'!B15:B120)*1.1023</f>
        <v>367220.22200000001</v>
      </c>
      <c r="C13" s="27">
        <f t="shared" si="3"/>
        <v>3364572.3360000006</v>
      </c>
      <c r="D13" s="28">
        <f t="shared" si="2"/>
        <v>100174.00435938001</v>
      </c>
      <c r="E13" s="28">
        <f t="shared" si="0"/>
        <v>30225.896472819997</v>
      </c>
      <c r="F13" s="28">
        <f t="shared" si="0"/>
        <v>74288.650910600001</v>
      </c>
      <c r="G13" s="28">
        <f t="shared" si="0"/>
        <v>4039.422442</v>
      </c>
      <c r="M13" s="30"/>
      <c r="O13" s="27"/>
    </row>
    <row r="14" spans="1:15" x14ac:dyDescent="0.25">
      <c r="A14" s="20">
        <f t="shared" si="1"/>
        <v>2000</v>
      </c>
      <c r="B14" s="26">
        <f>LOOKUP(A14,'Disposal &amp; LFG Recovery'!A16:A121,'Disposal &amp; LFG Recovery'!B16:B121)*1.1023</f>
        <v>374561.54000000004</v>
      </c>
      <c r="C14" s="27">
        <f t="shared" si="3"/>
        <v>3739133.8760000006</v>
      </c>
      <c r="D14" s="28">
        <f t="shared" si="2"/>
        <v>102176.64249660002</v>
      </c>
      <c r="E14" s="28">
        <f t="shared" si="0"/>
        <v>30830.1603574</v>
      </c>
      <c r="F14" s="28">
        <f t="shared" si="0"/>
        <v>75773.799541999993</v>
      </c>
      <c r="G14" s="28">
        <f t="shared" si="0"/>
        <v>4120.1769400000003</v>
      </c>
      <c r="M14" s="30"/>
      <c r="O14" s="27"/>
    </row>
    <row r="15" spans="1:15" x14ac:dyDescent="0.25">
      <c r="A15" s="20">
        <f t="shared" si="1"/>
        <v>2001</v>
      </c>
      <c r="B15" s="26">
        <f>LOOKUP(A15,'Disposal &amp; LFG Recovery'!A17:A122,'Disposal &amp; LFG Recovery'!B17:B122)*1.1023</f>
        <v>382057.18</v>
      </c>
      <c r="C15" s="27">
        <f t="shared" si="3"/>
        <v>4121191.0560000008</v>
      </c>
      <c r="D15" s="28">
        <f t="shared" si="2"/>
        <v>104221.37813220001</v>
      </c>
      <c r="E15" s="28">
        <f t="shared" si="0"/>
        <v>31447.126485799996</v>
      </c>
      <c r="F15" s="28">
        <f t="shared" si="0"/>
        <v>77290.167513999986</v>
      </c>
      <c r="G15" s="28">
        <f t="shared" si="0"/>
        <v>4202.6289799999995</v>
      </c>
      <c r="M15" s="30"/>
      <c r="O15" s="27"/>
    </row>
    <row r="16" spans="1:15" x14ac:dyDescent="0.25">
      <c r="A16" s="20">
        <f t="shared" si="1"/>
        <v>2002</v>
      </c>
      <c r="B16" s="26">
        <f>LOOKUP(A16,'Disposal &amp; LFG Recovery'!A18:A123,'Disposal &amp; LFG Recovery'!B18:B123)*1.1023</f>
        <v>389696.11900000001</v>
      </c>
      <c r="C16" s="27">
        <f t="shared" si="3"/>
        <v>4510887.1750000007</v>
      </c>
      <c r="D16" s="28">
        <f t="shared" si="2"/>
        <v>106305.20430201001</v>
      </c>
      <c r="E16" s="28">
        <f t="shared" si="0"/>
        <v>32075.88755489</v>
      </c>
      <c r="F16" s="28">
        <f t="shared" si="0"/>
        <v>78835.524873699993</v>
      </c>
      <c r="G16" s="28">
        <f t="shared" si="0"/>
        <v>4286.6573090000002</v>
      </c>
      <c r="M16" s="30"/>
      <c r="O16" s="27"/>
    </row>
    <row r="17" spans="1:15" x14ac:dyDescent="0.25">
      <c r="A17" s="20">
        <f t="shared" si="1"/>
        <v>2003</v>
      </c>
      <c r="B17" s="26">
        <f>LOOKUP(A17,'Disposal &amp; LFG Recovery'!A19:A124,'Disposal &amp; LFG Recovery'!B19:B124)*1.1023</f>
        <v>397489.38</v>
      </c>
      <c r="C17" s="27">
        <f t="shared" si="3"/>
        <v>4908376.5550000006</v>
      </c>
      <c r="D17" s="28">
        <f t="shared" si="2"/>
        <v>108431.12797020002</v>
      </c>
      <c r="E17" s="28">
        <f t="shared" si="0"/>
        <v>32717.3508678</v>
      </c>
      <c r="F17" s="28">
        <f t="shared" si="0"/>
        <v>80412.101573999986</v>
      </c>
      <c r="G17" s="28">
        <f t="shared" si="0"/>
        <v>4372.3831799999998</v>
      </c>
      <c r="M17" s="30"/>
      <c r="O17" s="27"/>
    </row>
    <row r="18" spans="1:15" x14ac:dyDescent="0.25">
      <c r="A18" s="20">
        <f t="shared" si="1"/>
        <v>2004</v>
      </c>
      <c r="B18" s="26">
        <f>LOOKUP(A18,'Disposal &amp; LFG Recovery'!A20:A125,'Disposal &amp; LFG Recovery'!B20:B125)*1.1023</f>
        <v>405436.96300000005</v>
      </c>
      <c r="C18" s="27">
        <f t="shared" si="3"/>
        <v>5313813.5180000011</v>
      </c>
      <c r="D18" s="28">
        <f t="shared" si="2"/>
        <v>110599.14913677002</v>
      </c>
      <c r="E18" s="28">
        <f t="shared" si="0"/>
        <v>33371.516424530004</v>
      </c>
      <c r="F18" s="28">
        <f t="shared" si="0"/>
        <v>82019.897614900008</v>
      </c>
      <c r="G18" s="28">
        <f t="shared" si="0"/>
        <v>4459.8065930000002</v>
      </c>
      <c r="M18" s="30"/>
      <c r="O18" s="27"/>
    </row>
    <row r="19" spans="1:15" x14ac:dyDescent="0.25">
      <c r="A19" s="20">
        <f t="shared" si="1"/>
        <v>2005</v>
      </c>
      <c r="B19" s="26">
        <f>LOOKUP(A19,'Disposal &amp; LFG Recovery'!A21:A126,'Disposal &amp; LFG Recovery'!B21:B126)*1.1023</f>
        <v>413549.891</v>
      </c>
      <c r="C19" s="27">
        <f t="shared" si="3"/>
        <v>5727363.4090000009</v>
      </c>
      <c r="D19" s="28">
        <f t="shared" si="2"/>
        <v>112812.27476589002</v>
      </c>
      <c r="E19" s="28">
        <f t="shared" si="0"/>
        <v>34039.29152821</v>
      </c>
      <c r="F19" s="28">
        <f t="shared" si="0"/>
        <v>83661.142949299989</v>
      </c>
      <c r="G19" s="28">
        <f t="shared" si="0"/>
        <v>4549.0488009999999</v>
      </c>
      <c r="M19" s="30"/>
      <c r="O19" s="27"/>
    </row>
    <row r="20" spans="1:15" x14ac:dyDescent="0.25">
      <c r="A20" s="20">
        <f t="shared" si="1"/>
        <v>2006</v>
      </c>
      <c r="B20" s="26">
        <f>LOOKUP(A20,'Disposal &amp; LFG Recovery'!A22:A127,'Disposal &amp; LFG Recovery'!B22:B127)*1.1023</f>
        <v>421817.141</v>
      </c>
      <c r="C20" s="27">
        <f t="shared" si="3"/>
        <v>6149180.5500000007</v>
      </c>
      <c r="D20" s="28">
        <f t="shared" si="2"/>
        <v>115067.49789339001</v>
      </c>
      <c r="E20" s="28">
        <f t="shared" si="2"/>
        <v>34719.768875709997</v>
      </c>
      <c r="F20" s="28">
        <f t="shared" si="2"/>
        <v>85333.607624299999</v>
      </c>
      <c r="G20" s="28">
        <f t="shared" si="2"/>
        <v>4639.9885509999995</v>
      </c>
      <c r="I20" s="19"/>
      <c r="M20" s="30"/>
      <c r="O20" s="27"/>
    </row>
    <row r="21" spans="1:15" x14ac:dyDescent="0.25">
      <c r="A21" s="20">
        <f t="shared" si="1"/>
        <v>2007</v>
      </c>
      <c r="B21" s="26">
        <f>LOOKUP(A21,'Disposal &amp; LFG Recovery'!A23:A128,'Disposal &amp; LFG Recovery'!B23:B128)*1.1023</f>
        <v>430249.73600000003</v>
      </c>
      <c r="C21" s="27">
        <f t="shared" si="3"/>
        <v>6579430.2860000003</v>
      </c>
      <c r="D21" s="28">
        <f t="shared" si="2"/>
        <v>117367.82548344003</v>
      </c>
      <c r="E21" s="28">
        <f t="shared" si="2"/>
        <v>35413.85577016</v>
      </c>
      <c r="F21" s="28">
        <f t="shared" si="2"/>
        <v>87039.521592799996</v>
      </c>
      <c r="G21" s="28">
        <f t="shared" si="2"/>
        <v>4732.7470960000001</v>
      </c>
      <c r="I21" s="31"/>
      <c r="J21" s="29"/>
      <c r="M21" s="30"/>
      <c r="O21" s="27"/>
    </row>
    <row r="22" spans="1:15" x14ac:dyDescent="0.25">
      <c r="A22" s="20">
        <f t="shared" si="1"/>
        <v>2008</v>
      </c>
      <c r="B22" s="26">
        <f>LOOKUP(A22,'Disposal &amp; LFG Recovery'!A24:A129,'Disposal &amp; LFG Recovery'!B24:B129)*1.1023</f>
        <v>438858.69900000002</v>
      </c>
      <c r="C22" s="27">
        <f t="shared" si="3"/>
        <v>7018288.9850000003</v>
      </c>
      <c r="D22" s="28">
        <f t="shared" si="2"/>
        <v>119716.26450021002</v>
      </c>
      <c r="E22" s="28">
        <f t="shared" si="2"/>
        <v>36122.459514690003</v>
      </c>
      <c r="F22" s="28">
        <f t="shared" si="2"/>
        <v>88781.114807699996</v>
      </c>
      <c r="G22" s="28">
        <f t="shared" si="2"/>
        <v>4827.4456890000001</v>
      </c>
      <c r="I22" s="31"/>
      <c r="J22" s="29"/>
      <c r="M22" s="30"/>
      <c r="O22" s="27"/>
    </row>
    <row r="23" spans="1:15" x14ac:dyDescent="0.25">
      <c r="A23" s="20">
        <f t="shared" si="1"/>
        <v>2009</v>
      </c>
      <c r="B23" s="26">
        <f>LOOKUP(A23,'Disposal &amp; LFG Recovery'!A25:A130,'Disposal &amp; LFG Recovery'!B25:B130)*1.1023</f>
        <v>447633.00700000004</v>
      </c>
      <c r="C23" s="27">
        <f t="shared" si="3"/>
        <v>7465921.9920000006</v>
      </c>
      <c r="D23" s="28">
        <f t="shared" si="2"/>
        <v>122109.80797953003</v>
      </c>
      <c r="E23" s="28">
        <f t="shared" si="2"/>
        <v>36844.672806169998</v>
      </c>
      <c r="F23" s="28">
        <f t="shared" si="2"/>
        <v>90556.157316099998</v>
      </c>
      <c r="G23" s="28">
        <f t="shared" si="2"/>
        <v>4923.9630770000003</v>
      </c>
      <c r="I23" s="31"/>
      <c r="J23" s="29"/>
      <c r="M23" s="30"/>
      <c r="O23" s="27"/>
    </row>
    <row r="24" spans="1:15" x14ac:dyDescent="0.25">
      <c r="A24" s="20">
        <f t="shared" si="1"/>
        <v>2010</v>
      </c>
      <c r="B24" s="26">
        <f>LOOKUP(A24,'Disposal &amp; LFG Recovery'!A26:A131,'Disposal &amp; LFG Recovery'!B26:B131)*1.1023</f>
        <v>456583.68300000002</v>
      </c>
      <c r="C24" s="27">
        <f t="shared" si="3"/>
        <v>7922505.6750000007</v>
      </c>
      <c r="D24" s="28">
        <f t="shared" si="2"/>
        <v>124551.46288557001</v>
      </c>
      <c r="E24" s="28">
        <f t="shared" si="2"/>
        <v>37581.402947729999</v>
      </c>
      <c r="F24" s="28">
        <f t="shared" si="2"/>
        <v>92366.879070899988</v>
      </c>
      <c r="G24" s="28">
        <f t="shared" si="2"/>
        <v>5022.420513</v>
      </c>
      <c r="I24" s="31"/>
      <c r="J24" s="29"/>
      <c r="M24" s="30"/>
      <c r="O24" s="27"/>
    </row>
    <row r="25" spans="1:15" x14ac:dyDescent="0.25">
      <c r="A25" s="20">
        <f t="shared" si="1"/>
        <v>2011</v>
      </c>
      <c r="B25" s="26">
        <f>LOOKUP(A25,'Disposal &amp; LFG Recovery'!A27:A132,'Disposal &amp; LFG Recovery'!B27:B132)*1.1023</f>
        <v>465710.72700000001</v>
      </c>
      <c r="C25" s="27">
        <f t="shared" si="3"/>
        <v>8388216.4020000007</v>
      </c>
      <c r="D25" s="28">
        <f t="shared" si="2"/>
        <v>127041.22921833002</v>
      </c>
      <c r="E25" s="28">
        <f t="shared" si="2"/>
        <v>38332.64993937</v>
      </c>
      <c r="F25" s="28">
        <f t="shared" si="2"/>
        <v>94213.280072099995</v>
      </c>
      <c r="G25" s="28">
        <f t="shared" si="2"/>
        <v>5122.8179970000001</v>
      </c>
      <c r="I25" s="31"/>
      <c r="J25" s="29"/>
      <c r="M25" s="30"/>
      <c r="O25" s="27"/>
    </row>
    <row r="26" spans="1:15" x14ac:dyDescent="0.25">
      <c r="A26" s="20">
        <f t="shared" si="1"/>
        <v>2012</v>
      </c>
      <c r="B26" s="26">
        <f>LOOKUP(A26,'Disposal &amp; LFG Recovery'!A28:A133,'Disposal &amp; LFG Recovery'!B28:B133)*1.1023</f>
        <v>496035</v>
      </c>
      <c r="C26" s="27">
        <f t="shared" si="3"/>
        <v>8884251.4020000007</v>
      </c>
      <c r="D26" s="28">
        <f t="shared" si="2"/>
        <v>135313.38765000002</v>
      </c>
      <c r="E26" s="28">
        <f t="shared" si="2"/>
        <v>40828.640849999996</v>
      </c>
      <c r="F26" s="28">
        <f t="shared" si="2"/>
        <v>100347.88049999998</v>
      </c>
      <c r="G26" s="28">
        <f t="shared" si="2"/>
        <v>5456.3849999999993</v>
      </c>
      <c r="I26" s="31"/>
      <c r="J26" s="29"/>
      <c r="M26" s="30"/>
      <c r="O26" s="27"/>
    </row>
    <row r="27" spans="1:15" x14ac:dyDescent="0.25">
      <c r="A27" s="20">
        <f t="shared" si="1"/>
        <v>2013</v>
      </c>
      <c r="B27" s="26">
        <f>LOOKUP(A27,'Disposal &amp; LFG Recovery'!A29:A134,'Disposal &amp; LFG Recovery'!B29:B134)*1.1023</f>
        <v>505955.7</v>
      </c>
      <c r="C27" s="27">
        <f t="shared" si="3"/>
        <v>9390207.102</v>
      </c>
      <c r="D27" s="28">
        <f t="shared" si="2"/>
        <v>138019.65540300001</v>
      </c>
      <c r="E27" s="28">
        <f t="shared" si="2"/>
        <v>41645.213666999996</v>
      </c>
      <c r="F27" s="28">
        <f t="shared" si="2"/>
        <v>102354.83811</v>
      </c>
      <c r="G27" s="28">
        <f t="shared" si="2"/>
        <v>5565.5127000000002</v>
      </c>
      <c r="I27" s="31"/>
      <c r="J27" s="29"/>
      <c r="M27" s="30"/>
      <c r="O27" s="27"/>
    </row>
    <row r="28" spans="1:15" x14ac:dyDescent="0.25">
      <c r="A28" s="20">
        <f t="shared" si="1"/>
        <v>2014</v>
      </c>
      <c r="B28" s="26">
        <f>LOOKUP(A28,'Disposal &amp; LFG Recovery'!A30:A135,'Disposal &amp; LFG Recovery'!B30:B135)*1.1023</f>
        <v>516074.81400000001</v>
      </c>
      <c r="C28" s="27">
        <f t="shared" si="3"/>
        <v>9906281.9159999993</v>
      </c>
      <c r="D28" s="28">
        <f t="shared" si="2"/>
        <v>140780.04851106001</v>
      </c>
      <c r="E28" s="28">
        <f t="shared" si="2"/>
        <v>42478.117940339995</v>
      </c>
      <c r="F28" s="28">
        <f t="shared" si="2"/>
        <v>104401.93487219998</v>
      </c>
      <c r="G28" s="28">
        <f t="shared" si="2"/>
        <v>5676.8229540000002</v>
      </c>
      <c r="I28" s="31"/>
      <c r="J28" s="29"/>
      <c r="M28" s="30"/>
      <c r="O28" s="27"/>
    </row>
    <row r="29" spans="1:15" x14ac:dyDescent="0.25">
      <c r="A29" s="20">
        <f t="shared" si="1"/>
        <v>2015</v>
      </c>
      <c r="B29" s="26">
        <f>LOOKUP(A29,'Disposal &amp; LFG Recovery'!A31:A136,'Disposal &amp; LFG Recovery'!B31:B136)*1.1023</f>
        <v>526392.34200000006</v>
      </c>
      <c r="C29" s="27">
        <f t="shared" si="3"/>
        <v>10432674.257999999</v>
      </c>
      <c r="D29" s="28">
        <f t="shared" si="2"/>
        <v>143594.56697418002</v>
      </c>
      <c r="E29" s="28">
        <f t="shared" si="2"/>
        <v>43327.353670020006</v>
      </c>
      <c r="F29" s="28">
        <f t="shared" si="2"/>
        <v>106489.17078660001</v>
      </c>
      <c r="G29" s="28">
        <f t="shared" si="2"/>
        <v>5790.3157620000002</v>
      </c>
      <c r="I29" s="31"/>
      <c r="J29" s="29"/>
      <c r="M29" s="30"/>
      <c r="O29" s="27"/>
    </row>
    <row r="30" spans="1:15" x14ac:dyDescent="0.25">
      <c r="A30" s="20">
        <f t="shared" si="1"/>
        <v>2016</v>
      </c>
      <c r="B30" s="26">
        <f>LOOKUP(A30,'Disposal &amp; LFG Recovery'!A32:A137,'Disposal &amp; LFG Recovery'!B32:B137)*1.1023</f>
        <v>536919.30700000003</v>
      </c>
      <c r="C30" s="27">
        <f t="shared" si="3"/>
        <v>10969593.564999999</v>
      </c>
      <c r="D30" s="28">
        <f t="shared" si="2"/>
        <v>146466.21775653004</v>
      </c>
      <c r="E30" s="28">
        <f t="shared" si="2"/>
        <v>44193.82815917</v>
      </c>
      <c r="F30" s="28">
        <f t="shared" si="2"/>
        <v>108618.77580609999</v>
      </c>
      <c r="G30" s="28">
        <f t="shared" si="2"/>
        <v>5906.1123770000004</v>
      </c>
      <c r="I30" s="31"/>
      <c r="J30" s="29"/>
      <c r="M30" s="30"/>
      <c r="O30" s="27"/>
    </row>
    <row r="31" spans="1:15" x14ac:dyDescent="0.25">
      <c r="A31" s="20">
        <f t="shared" si="1"/>
        <v>2017</v>
      </c>
      <c r="B31" s="26">
        <f>LOOKUP(A31,'Disposal &amp; LFG Recovery'!A33:A138,'Disposal &amp; LFG Recovery'!B33:B138)*1.1023</f>
        <v>0</v>
      </c>
      <c r="C31" s="27">
        <f t="shared" si="3"/>
        <v>10969593.564999999</v>
      </c>
      <c r="D31" s="28">
        <f t="shared" si="2"/>
        <v>0</v>
      </c>
      <c r="E31" s="28">
        <f t="shared" si="2"/>
        <v>0</v>
      </c>
      <c r="F31" s="28">
        <f t="shared" si="2"/>
        <v>0</v>
      </c>
      <c r="G31" s="28">
        <f t="shared" si="2"/>
        <v>0</v>
      </c>
      <c r="I31" s="31"/>
      <c r="J31" s="29"/>
      <c r="M31" s="30"/>
      <c r="O31" s="27"/>
    </row>
    <row r="32" spans="1:15" x14ac:dyDescent="0.25">
      <c r="A32" s="20">
        <f t="shared" si="1"/>
        <v>2018</v>
      </c>
      <c r="B32" s="26">
        <f>LOOKUP(A32,'Disposal &amp; LFG Recovery'!A34:A139,'Disposal &amp; LFG Recovery'!B34:B139)*1.1023</f>
        <v>0</v>
      </c>
      <c r="C32" s="27">
        <f t="shared" si="3"/>
        <v>10969593.564999999</v>
      </c>
      <c r="D32" s="28">
        <f t="shared" si="2"/>
        <v>0</v>
      </c>
      <c r="E32" s="28">
        <f t="shared" si="2"/>
        <v>0</v>
      </c>
      <c r="F32" s="28">
        <f t="shared" si="2"/>
        <v>0</v>
      </c>
      <c r="G32" s="28">
        <f t="shared" si="2"/>
        <v>0</v>
      </c>
      <c r="I32" s="31"/>
      <c r="J32" s="29"/>
      <c r="M32" s="30"/>
      <c r="O32" s="27"/>
    </row>
    <row r="33" spans="1:15" x14ac:dyDescent="0.25">
      <c r="A33" s="20">
        <f t="shared" si="1"/>
        <v>2019</v>
      </c>
      <c r="B33" s="26">
        <f>LOOKUP(A33,'Disposal &amp; LFG Recovery'!A35:A140,'Disposal &amp; LFG Recovery'!B35:B140)*1.1023</f>
        <v>0</v>
      </c>
      <c r="C33" s="27">
        <f t="shared" si="3"/>
        <v>10969593.564999999</v>
      </c>
      <c r="D33" s="28">
        <f t="shared" si="2"/>
        <v>0</v>
      </c>
      <c r="E33" s="28">
        <f t="shared" si="2"/>
        <v>0</v>
      </c>
      <c r="F33" s="28">
        <f t="shared" si="2"/>
        <v>0</v>
      </c>
      <c r="G33" s="28">
        <f t="shared" si="2"/>
        <v>0</v>
      </c>
      <c r="I33" s="31"/>
      <c r="J33" s="29"/>
      <c r="M33" s="30"/>
      <c r="O33" s="27"/>
    </row>
    <row r="34" spans="1:15" x14ac:dyDescent="0.25">
      <c r="A34" s="20">
        <f t="shared" si="1"/>
        <v>2020</v>
      </c>
      <c r="B34" s="26">
        <f>LOOKUP(A34,'Disposal &amp; LFG Recovery'!A36:A141,'Disposal &amp; LFG Recovery'!B36:B141)*1.1023</f>
        <v>0</v>
      </c>
      <c r="C34" s="27">
        <f t="shared" si="3"/>
        <v>10969593.564999999</v>
      </c>
      <c r="D34" s="28">
        <f t="shared" si="2"/>
        <v>0</v>
      </c>
      <c r="E34" s="28">
        <f t="shared" si="2"/>
        <v>0</v>
      </c>
      <c r="F34" s="28">
        <f t="shared" si="2"/>
        <v>0</v>
      </c>
      <c r="G34" s="28">
        <f t="shared" si="2"/>
        <v>0</v>
      </c>
      <c r="I34" s="31"/>
      <c r="J34" s="29"/>
      <c r="M34" s="30"/>
      <c r="O34" s="27"/>
    </row>
    <row r="35" spans="1:15" x14ac:dyDescent="0.25">
      <c r="A35" s="20">
        <f t="shared" si="1"/>
        <v>2021</v>
      </c>
      <c r="B35" s="26">
        <f>LOOKUP(A35,'Disposal &amp; LFG Recovery'!A37:A142,'Disposal &amp; LFG Recovery'!B37:B142)*1.1023</f>
        <v>0</v>
      </c>
      <c r="C35" s="27">
        <f t="shared" si="3"/>
        <v>10969593.564999999</v>
      </c>
      <c r="D35" s="28">
        <f t="shared" si="2"/>
        <v>0</v>
      </c>
      <c r="E35" s="28">
        <f t="shared" si="2"/>
        <v>0</v>
      </c>
      <c r="F35" s="28">
        <f t="shared" si="2"/>
        <v>0</v>
      </c>
      <c r="G35" s="28">
        <f t="shared" si="2"/>
        <v>0</v>
      </c>
      <c r="I35" s="32"/>
      <c r="M35" s="30"/>
      <c r="O35" s="27"/>
    </row>
    <row r="36" spans="1:15" x14ac:dyDescent="0.25">
      <c r="A36" s="20">
        <f t="shared" si="1"/>
        <v>2022</v>
      </c>
      <c r="B36" s="26">
        <f>LOOKUP(A36,'Disposal &amp; LFG Recovery'!A38:A143,'Disposal &amp; LFG Recovery'!B38:B143)*1.1023</f>
        <v>0</v>
      </c>
      <c r="C36" s="27">
        <f t="shared" si="3"/>
        <v>10969593.564999999</v>
      </c>
      <c r="D36" s="28">
        <f t="shared" si="2"/>
        <v>0</v>
      </c>
      <c r="E36" s="28">
        <f t="shared" si="2"/>
        <v>0</v>
      </c>
      <c r="F36" s="28">
        <f t="shared" si="2"/>
        <v>0</v>
      </c>
      <c r="G36" s="28">
        <f t="shared" si="2"/>
        <v>0</v>
      </c>
      <c r="M36" s="30"/>
      <c r="O36" s="27"/>
    </row>
    <row r="37" spans="1:15" x14ac:dyDescent="0.25">
      <c r="A37" s="20">
        <f t="shared" ref="A37:A68" si="4">A36+1</f>
        <v>2023</v>
      </c>
      <c r="B37" s="26">
        <f>LOOKUP(A37,'Disposal &amp; LFG Recovery'!A39:A144,'Disposal &amp; LFG Recovery'!B39:B144)*1.1023</f>
        <v>0</v>
      </c>
      <c r="C37" s="27">
        <f t="shared" si="3"/>
        <v>10969593.564999999</v>
      </c>
      <c r="D37" s="28">
        <f t="shared" ref="D37:G68" si="5">$B37*D$2</f>
        <v>0</v>
      </c>
      <c r="E37" s="28">
        <f t="shared" si="5"/>
        <v>0</v>
      </c>
      <c r="F37" s="28">
        <f t="shared" si="5"/>
        <v>0</v>
      </c>
      <c r="G37" s="28">
        <f t="shared" si="5"/>
        <v>0</v>
      </c>
      <c r="M37" s="30"/>
      <c r="O37" s="27"/>
    </row>
    <row r="38" spans="1:15" x14ac:dyDescent="0.25">
      <c r="A38" s="20">
        <f t="shared" si="4"/>
        <v>2024</v>
      </c>
      <c r="B38" s="26">
        <f>LOOKUP(A38,'Disposal &amp; LFG Recovery'!A40:A145,'Disposal &amp; LFG Recovery'!B40:B145)*1.1023</f>
        <v>0</v>
      </c>
      <c r="C38" s="27">
        <f t="shared" si="3"/>
        <v>10969593.564999999</v>
      </c>
      <c r="D38" s="28">
        <f t="shared" si="5"/>
        <v>0</v>
      </c>
      <c r="E38" s="28">
        <f t="shared" si="5"/>
        <v>0</v>
      </c>
      <c r="F38" s="28">
        <f t="shared" si="5"/>
        <v>0</v>
      </c>
      <c r="G38" s="28">
        <f t="shared" si="5"/>
        <v>0</v>
      </c>
      <c r="M38" s="30"/>
      <c r="O38" s="27"/>
    </row>
    <row r="39" spans="1:15" x14ac:dyDescent="0.25">
      <c r="A39" s="20">
        <f t="shared" si="4"/>
        <v>2025</v>
      </c>
      <c r="B39" s="26">
        <f>LOOKUP(A39,'Disposal &amp; LFG Recovery'!A41:A146,'Disposal &amp; LFG Recovery'!B41:B146)*1.1023</f>
        <v>0</v>
      </c>
      <c r="C39" s="27">
        <f t="shared" si="3"/>
        <v>10969593.564999999</v>
      </c>
      <c r="D39" s="28">
        <f t="shared" si="5"/>
        <v>0</v>
      </c>
      <c r="E39" s="28">
        <f t="shared" si="5"/>
        <v>0</v>
      </c>
      <c r="F39" s="28">
        <f t="shared" si="5"/>
        <v>0</v>
      </c>
      <c r="G39" s="28">
        <f t="shared" si="5"/>
        <v>0</v>
      </c>
      <c r="M39" s="30"/>
      <c r="O39" s="27"/>
    </row>
    <row r="40" spans="1:15" x14ac:dyDescent="0.25">
      <c r="A40" s="20">
        <f t="shared" si="4"/>
        <v>2026</v>
      </c>
      <c r="B40" s="26">
        <f>LOOKUP(A40,'Disposal &amp; LFG Recovery'!A42:A147,'Disposal &amp; LFG Recovery'!B42:B147)*1.1023</f>
        <v>0</v>
      </c>
      <c r="C40" s="27">
        <f t="shared" si="3"/>
        <v>10969593.564999999</v>
      </c>
      <c r="D40" s="28">
        <f t="shared" si="5"/>
        <v>0</v>
      </c>
      <c r="E40" s="28">
        <f t="shared" si="5"/>
        <v>0</v>
      </c>
      <c r="F40" s="28">
        <f t="shared" si="5"/>
        <v>0</v>
      </c>
      <c r="G40" s="28">
        <f t="shared" si="5"/>
        <v>0</v>
      </c>
      <c r="M40" s="30"/>
      <c r="O40" s="27"/>
    </row>
    <row r="41" spans="1:15" x14ac:dyDescent="0.25">
      <c r="A41" s="20">
        <f t="shared" si="4"/>
        <v>2027</v>
      </c>
      <c r="B41" s="26">
        <f>LOOKUP(A41,'Disposal &amp; LFG Recovery'!A43:A148,'Disposal &amp; LFG Recovery'!B43:B148)*1.1023</f>
        <v>0</v>
      </c>
      <c r="C41" s="27">
        <f t="shared" si="3"/>
        <v>10969593.564999999</v>
      </c>
      <c r="D41" s="28">
        <f t="shared" si="5"/>
        <v>0</v>
      </c>
      <c r="E41" s="28">
        <f t="shared" si="5"/>
        <v>0</v>
      </c>
      <c r="F41" s="28">
        <f t="shared" si="5"/>
        <v>0</v>
      </c>
      <c r="G41" s="28">
        <f t="shared" si="5"/>
        <v>0</v>
      </c>
      <c r="O41" s="27"/>
    </row>
    <row r="42" spans="1:15" x14ac:dyDescent="0.25">
      <c r="A42" s="20">
        <f t="shared" si="4"/>
        <v>2028</v>
      </c>
      <c r="B42" s="26">
        <f>LOOKUP(A42,'Disposal &amp; LFG Recovery'!A44:A149,'Disposal &amp; LFG Recovery'!B44:B149)*1.1023</f>
        <v>0</v>
      </c>
      <c r="C42" s="27">
        <f t="shared" si="3"/>
        <v>10969593.564999999</v>
      </c>
      <c r="D42" s="28">
        <f t="shared" si="5"/>
        <v>0</v>
      </c>
      <c r="E42" s="28">
        <f t="shared" si="5"/>
        <v>0</v>
      </c>
      <c r="F42" s="28">
        <f t="shared" si="5"/>
        <v>0</v>
      </c>
      <c r="G42" s="28">
        <f t="shared" si="5"/>
        <v>0</v>
      </c>
    </row>
    <row r="43" spans="1:15" x14ac:dyDescent="0.25">
      <c r="A43" s="20">
        <f t="shared" si="4"/>
        <v>2029</v>
      </c>
      <c r="B43" s="26">
        <f>LOOKUP(A43,'Disposal &amp; LFG Recovery'!A45:A150,'Disposal &amp; LFG Recovery'!B45:B150)*1.1023</f>
        <v>0</v>
      </c>
      <c r="C43" s="27">
        <f t="shared" si="3"/>
        <v>10969593.564999999</v>
      </c>
      <c r="D43" s="28">
        <f t="shared" si="5"/>
        <v>0</v>
      </c>
      <c r="E43" s="28">
        <f t="shared" si="5"/>
        <v>0</v>
      </c>
      <c r="F43" s="28">
        <f t="shared" si="5"/>
        <v>0</v>
      </c>
      <c r="G43" s="28">
        <f t="shared" si="5"/>
        <v>0</v>
      </c>
    </row>
    <row r="44" spans="1:15" x14ac:dyDescent="0.25">
      <c r="A44" s="20">
        <f t="shared" si="4"/>
        <v>2030</v>
      </c>
      <c r="B44" s="26">
        <f>LOOKUP(A44,'Disposal &amp; LFG Recovery'!A46:A151,'Disposal &amp; LFG Recovery'!B46:B151)*1.1023</f>
        <v>0</v>
      </c>
      <c r="C44" s="27">
        <f t="shared" si="3"/>
        <v>10969593.564999999</v>
      </c>
      <c r="D44" s="28">
        <f t="shared" si="5"/>
        <v>0</v>
      </c>
      <c r="E44" s="28">
        <f t="shared" si="5"/>
        <v>0</v>
      </c>
      <c r="F44" s="28">
        <f t="shared" si="5"/>
        <v>0</v>
      </c>
      <c r="G44" s="28">
        <f t="shared" si="5"/>
        <v>0</v>
      </c>
    </row>
    <row r="45" spans="1:15" x14ac:dyDescent="0.25">
      <c r="A45" s="20">
        <f t="shared" si="4"/>
        <v>2031</v>
      </c>
      <c r="B45" s="26">
        <f>LOOKUP(A45,'Disposal &amp; LFG Recovery'!A47:A152,'Disposal &amp; LFG Recovery'!B47:B152)*1.1023</f>
        <v>0</v>
      </c>
      <c r="C45" s="27">
        <f t="shared" si="3"/>
        <v>10969593.564999999</v>
      </c>
      <c r="D45" s="28">
        <f t="shared" si="5"/>
        <v>0</v>
      </c>
      <c r="E45" s="28">
        <f t="shared" si="5"/>
        <v>0</v>
      </c>
      <c r="F45" s="28">
        <f t="shared" si="5"/>
        <v>0</v>
      </c>
      <c r="G45" s="28">
        <f t="shared" si="5"/>
        <v>0</v>
      </c>
    </row>
    <row r="46" spans="1:15" x14ac:dyDescent="0.25">
      <c r="A46" s="20">
        <f t="shared" si="4"/>
        <v>2032</v>
      </c>
      <c r="B46" s="26">
        <f>LOOKUP(A46,'Disposal &amp; LFG Recovery'!A48:A153,'Disposal &amp; LFG Recovery'!B48:B153)*1.1023</f>
        <v>0</v>
      </c>
      <c r="C46" s="27">
        <f t="shared" si="3"/>
        <v>10969593.564999999</v>
      </c>
      <c r="D46" s="28">
        <f t="shared" si="5"/>
        <v>0</v>
      </c>
      <c r="E46" s="28">
        <f t="shared" si="5"/>
        <v>0</v>
      </c>
      <c r="F46" s="28">
        <f t="shared" si="5"/>
        <v>0</v>
      </c>
      <c r="G46" s="28">
        <f t="shared" si="5"/>
        <v>0</v>
      </c>
    </row>
    <row r="47" spans="1:15" x14ac:dyDescent="0.25">
      <c r="A47" s="20">
        <f t="shared" si="4"/>
        <v>2033</v>
      </c>
      <c r="B47" s="26">
        <f>LOOKUP(A47,'Disposal &amp; LFG Recovery'!A49:A154,'Disposal &amp; LFG Recovery'!B49:B154)*1.1023</f>
        <v>0</v>
      </c>
      <c r="C47" s="27">
        <f t="shared" si="3"/>
        <v>10969593.564999999</v>
      </c>
      <c r="D47" s="28">
        <f t="shared" si="5"/>
        <v>0</v>
      </c>
      <c r="E47" s="28">
        <f t="shared" si="5"/>
        <v>0</v>
      </c>
      <c r="F47" s="28">
        <f t="shared" si="5"/>
        <v>0</v>
      </c>
      <c r="G47" s="28">
        <f t="shared" si="5"/>
        <v>0</v>
      </c>
    </row>
    <row r="48" spans="1:15" x14ac:dyDescent="0.25">
      <c r="A48" s="20">
        <f t="shared" si="4"/>
        <v>2034</v>
      </c>
      <c r="B48" s="26">
        <f>LOOKUP(A48,'Disposal &amp; LFG Recovery'!A50:A155,'Disposal &amp; LFG Recovery'!B50:B155)*1.1023</f>
        <v>0</v>
      </c>
      <c r="C48" s="27">
        <f t="shared" si="3"/>
        <v>10969593.564999999</v>
      </c>
      <c r="D48" s="28">
        <f t="shared" si="5"/>
        <v>0</v>
      </c>
      <c r="E48" s="28">
        <f t="shared" si="5"/>
        <v>0</v>
      </c>
      <c r="F48" s="28">
        <f t="shared" si="5"/>
        <v>0</v>
      </c>
      <c r="G48" s="28">
        <f t="shared" si="5"/>
        <v>0</v>
      </c>
    </row>
    <row r="49" spans="1:7" x14ac:dyDescent="0.25">
      <c r="A49" s="20">
        <f t="shared" si="4"/>
        <v>2035</v>
      </c>
      <c r="B49" s="26">
        <f>LOOKUP(A49,'Disposal &amp; LFG Recovery'!A51:A156,'Disposal &amp; LFG Recovery'!B51:B156)*1.1023</f>
        <v>0</v>
      </c>
      <c r="C49" s="27">
        <f t="shared" si="3"/>
        <v>10969593.564999999</v>
      </c>
      <c r="D49" s="28">
        <f t="shared" si="5"/>
        <v>0</v>
      </c>
      <c r="E49" s="28">
        <f t="shared" si="5"/>
        <v>0</v>
      </c>
      <c r="F49" s="28">
        <f t="shared" si="5"/>
        <v>0</v>
      </c>
      <c r="G49" s="28">
        <f t="shared" si="5"/>
        <v>0</v>
      </c>
    </row>
    <row r="50" spans="1:7" x14ac:dyDescent="0.25">
      <c r="A50" s="20">
        <f t="shared" si="4"/>
        <v>2036</v>
      </c>
      <c r="B50" s="26">
        <f>LOOKUP(A50,'Disposal &amp; LFG Recovery'!A52:A157,'Disposal &amp; LFG Recovery'!B52:B157)*1.1023</f>
        <v>0</v>
      </c>
      <c r="C50" s="27">
        <f t="shared" si="3"/>
        <v>10969593.564999999</v>
      </c>
      <c r="D50" s="28">
        <f t="shared" si="5"/>
        <v>0</v>
      </c>
      <c r="E50" s="28">
        <f t="shared" si="5"/>
        <v>0</v>
      </c>
      <c r="F50" s="28">
        <f t="shared" si="5"/>
        <v>0</v>
      </c>
      <c r="G50" s="28">
        <f t="shared" si="5"/>
        <v>0</v>
      </c>
    </row>
    <row r="51" spans="1:7" x14ac:dyDescent="0.25">
      <c r="A51" s="20">
        <f t="shared" si="4"/>
        <v>2037</v>
      </c>
      <c r="B51" s="26">
        <f>LOOKUP(A51,'Disposal &amp; LFG Recovery'!A53:A158,'Disposal &amp; LFG Recovery'!B53:B158)*1.1023</f>
        <v>0</v>
      </c>
      <c r="C51" s="27">
        <f t="shared" si="3"/>
        <v>10969593.564999999</v>
      </c>
      <c r="D51" s="28">
        <f t="shared" si="5"/>
        <v>0</v>
      </c>
      <c r="E51" s="28">
        <f t="shared" si="5"/>
        <v>0</v>
      </c>
      <c r="F51" s="28">
        <f t="shared" si="5"/>
        <v>0</v>
      </c>
      <c r="G51" s="28">
        <f t="shared" si="5"/>
        <v>0</v>
      </c>
    </row>
    <row r="52" spans="1:7" x14ac:dyDescent="0.25">
      <c r="A52" s="20">
        <f t="shared" si="4"/>
        <v>2038</v>
      </c>
      <c r="B52" s="26">
        <f>LOOKUP(A52,'Disposal &amp; LFG Recovery'!A54:A159,'Disposal &amp; LFG Recovery'!B54:B159)*1.1023</f>
        <v>0</v>
      </c>
      <c r="C52" s="27">
        <f t="shared" si="3"/>
        <v>10969593.564999999</v>
      </c>
      <c r="D52" s="28">
        <f t="shared" si="5"/>
        <v>0</v>
      </c>
      <c r="E52" s="28">
        <f t="shared" si="5"/>
        <v>0</v>
      </c>
      <c r="F52" s="28">
        <f t="shared" si="5"/>
        <v>0</v>
      </c>
      <c r="G52" s="28">
        <f t="shared" si="5"/>
        <v>0</v>
      </c>
    </row>
    <row r="53" spans="1:7" x14ac:dyDescent="0.25">
      <c r="A53" s="20">
        <f t="shared" si="4"/>
        <v>2039</v>
      </c>
      <c r="B53" s="26">
        <f>LOOKUP(A53,'Disposal &amp; LFG Recovery'!A55:A160,'Disposal &amp; LFG Recovery'!B55:B160)*1.1023</f>
        <v>0</v>
      </c>
      <c r="C53" s="27">
        <f t="shared" si="3"/>
        <v>10969593.564999999</v>
      </c>
      <c r="D53" s="28">
        <f t="shared" si="5"/>
        <v>0</v>
      </c>
      <c r="E53" s="28">
        <f t="shared" si="5"/>
        <v>0</v>
      </c>
      <c r="F53" s="28">
        <f t="shared" si="5"/>
        <v>0</v>
      </c>
      <c r="G53" s="28">
        <f t="shared" si="5"/>
        <v>0</v>
      </c>
    </row>
    <row r="54" spans="1:7" x14ac:dyDescent="0.25">
      <c r="A54" s="20">
        <f t="shared" si="4"/>
        <v>2040</v>
      </c>
      <c r="B54" s="26">
        <f>LOOKUP(A54,'Disposal &amp; LFG Recovery'!A56:A161,'Disposal &amp; LFG Recovery'!B56:B161)*1.1023</f>
        <v>0</v>
      </c>
      <c r="C54" s="27">
        <f t="shared" si="3"/>
        <v>10969593.564999999</v>
      </c>
      <c r="D54" s="28">
        <f t="shared" si="5"/>
        <v>0</v>
      </c>
      <c r="E54" s="28">
        <f t="shared" si="5"/>
        <v>0</v>
      </c>
      <c r="F54" s="28">
        <f t="shared" si="5"/>
        <v>0</v>
      </c>
      <c r="G54" s="28">
        <f t="shared" si="5"/>
        <v>0</v>
      </c>
    </row>
    <row r="55" spans="1:7" x14ac:dyDescent="0.25">
      <c r="A55" s="20">
        <f t="shared" si="4"/>
        <v>2041</v>
      </c>
      <c r="B55" s="26">
        <f>LOOKUP(A55,'Disposal &amp; LFG Recovery'!A57:A162,'Disposal &amp; LFG Recovery'!B57:B162)*1.1023</f>
        <v>0</v>
      </c>
      <c r="C55" s="27">
        <f t="shared" si="3"/>
        <v>10969593.564999999</v>
      </c>
      <c r="D55" s="28">
        <f t="shared" si="5"/>
        <v>0</v>
      </c>
      <c r="E55" s="28">
        <f t="shared" si="5"/>
        <v>0</v>
      </c>
      <c r="F55" s="28">
        <f t="shared" si="5"/>
        <v>0</v>
      </c>
      <c r="G55" s="28">
        <f t="shared" si="5"/>
        <v>0</v>
      </c>
    </row>
    <row r="56" spans="1:7" x14ac:dyDescent="0.25">
      <c r="A56" s="20">
        <f t="shared" si="4"/>
        <v>2042</v>
      </c>
      <c r="B56" s="26">
        <f>LOOKUP(A56,'Disposal &amp; LFG Recovery'!A58:A163,'Disposal &amp; LFG Recovery'!B58:B163)*1.1023</f>
        <v>0</v>
      </c>
      <c r="C56" s="27">
        <f t="shared" si="3"/>
        <v>10969593.564999999</v>
      </c>
      <c r="D56" s="28">
        <f t="shared" si="5"/>
        <v>0</v>
      </c>
      <c r="E56" s="28">
        <f t="shared" si="5"/>
        <v>0</v>
      </c>
      <c r="F56" s="28">
        <f t="shared" si="5"/>
        <v>0</v>
      </c>
      <c r="G56" s="28">
        <f t="shared" si="5"/>
        <v>0</v>
      </c>
    </row>
    <row r="57" spans="1:7" x14ac:dyDescent="0.25">
      <c r="A57" s="20">
        <f t="shared" si="4"/>
        <v>2043</v>
      </c>
      <c r="B57" s="26">
        <f>LOOKUP(A57,'Disposal &amp; LFG Recovery'!A59:A164,'Disposal &amp; LFG Recovery'!B59:B164)*1.1023</f>
        <v>0</v>
      </c>
      <c r="C57" s="27">
        <f t="shared" si="3"/>
        <v>10969593.564999999</v>
      </c>
      <c r="D57" s="28">
        <f t="shared" si="5"/>
        <v>0</v>
      </c>
      <c r="E57" s="28">
        <f t="shared" si="5"/>
        <v>0</v>
      </c>
      <c r="F57" s="28">
        <f t="shared" si="5"/>
        <v>0</v>
      </c>
      <c r="G57" s="28">
        <f t="shared" si="5"/>
        <v>0</v>
      </c>
    </row>
    <row r="58" spans="1:7" x14ac:dyDescent="0.25">
      <c r="A58" s="20">
        <f t="shared" si="4"/>
        <v>2044</v>
      </c>
      <c r="B58" s="26">
        <f>LOOKUP(A58,'Disposal &amp; LFG Recovery'!A60:A165,'Disposal &amp; LFG Recovery'!B60:B165)*1.1023</f>
        <v>0</v>
      </c>
      <c r="C58" s="27">
        <f t="shared" si="3"/>
        <v>10969593.564999999</v>
      </c>
      <c r="D58" s="28">
        <f t="shared" si="5"/>
        <v>0</v>
      </c>
      <c r="E58" s="28">
        <f t="shared" si="5"/>
        <v>0</v>
      </c>
      <c r="F58" s="28">
        <f t="shared" si="5"/>
        <v>0</v>
      </c>
      <c r="G58" s="28">
        <f t="shared" si="5"/>
        <v>0</v>
      </c>
    </row>
    <row r="59" spans="1:7" x14ac:dyDescent="0.25">
      <c r="A59" s="20">
        <f t="shared" si="4"/>
        <v>2045</v>
      </c>
      <c r="B59" s="26">
        <f>LOOKUP(A59,'Disposal &amp; LFG Recovery'!A61:A166,'Disposal &amp; LFG Recovery'!B61:B166)*1.1023</f>
        <v>0</v>
      </c>
      <c r="C59" s="27">
        <f t="shared" si="3"/>
        <v>10969593.564999999</v>
      </c>
      <c r="D59" s="28">
        <f t="shared" si="5"/>
        <v>0</v>
      </c>
      <c r="E59" s="28">
        <f t="shared" si="5"/>
        <v>0</v>
      </c>
      <c r="F59" s="28">
        <f t="shared" si="5"/>
        <v>0</v>
      </c>
      <c r="G59" s="28">
        <f t="shared" si="5"/>
        <v>0</v>
      </c>
    </row>
    <row r="60" spans="1:7" x14ac:dyDescent="0.25">
      <c r="A60" s="20">
        <f t="shared" si="4"/>
        <v>2046</v>
      </c>
      <c r="B60" s="26">
        <f>LOOKUP(A60,'Disposal &amp; LFG Recovery'!A62:A167,'Disposal &amp; LFG Recovery'!B62:B167)*1.1023</f>
        <v>0</v>
      </c>
      <c r="C60" s="27">
        <f t="shared" si="3"/>
        <v>10969593.564999999</v>
      </c>
      <c r="D60" s="28">
        <f t="shared" si="5"/>
        <v>0</v>
      </c>
      <c r="E60" s="28">
        <f t="shared" si="5"/>
        <v>0</v>
      </c>
      <c r="F60" s="28">
        <f t="shared" si="5"/>
        <v>0</v>
      </c>
      <c r="G60" s="28">
        <f t="shared" si="5"/>
        <v>0</v>
      </c>
    </row>
    <row r="61" spans="1:7" x14ac:dyDescent="0.25">
      <c r="A61" s="20">
        <f t="shared" si="4"/>
        <v>2047</v>
      </c>
      <c r="B61" s="26">
        <f>LOOKUP(A61,'Disposal &amp; LFG Recovery'!A63:A168,'Disposal &amp; LFG Recovery'!B63:B168)*1.1023</f>
        <v>0</v>
      </c>
      <c r="C61" s="27">
        <f t="shared" si="3"/>
        <v>10969593.564999999</v>
      </c>
      <c r="D61" s="28">
        <f t="shared" si="5"/>
        <v>0</v>
      </c>
      <c r="E61" s="28">
        <f t="shared" si="5"/>
        <v>0</v>
      </c>
      <c r="F61" s="28">
        <f t="shared" si="5"/>
        <v>0</v>
      </c>
      <c r="G61" s="28">
        <f t="shared" si="5"/>
        <v>0</v>
      </c>
    </row>
    <row r="62" spans="1:7" x14ac:dyDescent="0.25">
      <c r="A62" s="20">
        <f t="shared" si="4"/>
        <v>2048</v>
      </c>
      <c r="B62" s="26">
        <f>LOOKUP(A62,'Disposal &amp; LFG Recovery'!A64:A169,'Disposal &amp; LFG Recovery'!B64:B169)*1.1023</f>
        <v>0</v>
      </c>
      <c r="C62" s="27">
        <f t="shared" si="3"/>
        <v>10969593.564999999</v>
      </c>
      <c r="D62" s="28">
        <f t="shared" si="5"/>
        <v>0</v>
      </c>
      <c r="E62" s="28">
        <f t="shared" si="5"/>
        <v>0</v>
      </c>
      <c r="F62" s="28">
        <f t="shared" si="5"/>
        <v>0</v>
      </c>
      <c r="G62" s="28">
        <f t="shared" si="5"/>
        <v>0</v>
      </c>
    </row>
    <row r="63" spans="1:7" x14ac:dyDescent="0.25">
      <c r="A63" s="20">
        <f t="shared" si="4"/>
        <v>2049</v>
      </c>
      <c r="B63" s="26">
        <f>LOOKUP(A63,'Disposal &amp; LFG Recovery'!A65:A170,'Disposal &amp; LFG Recovery'!B65:B170)*1.1023</f>
        <v>0</v>
      </c>
      <c r="C63" s="27">
        <f t="shared" si="3"/>
        <v>10969593.564999999</v>
      </c>
      <c r="D63" s="28">
        <f t="shared" si="5"/>
        <v>0</v>
      </c>
      <c r="E63" s="28">
        <f t="shared" si="5"/>
        <v>0</v>
      </c>
      <c r="F63" s="28">
        <f t="shared" si="5"/>
        <v>0</v>
      </c>
      <c r="G63" s="28">
        <f t="shared" si="5"/>
        <v>0</v>
      </c>
    </row>
    <row r="64" spans="1:7" x14ac:dyDescent="0.25">
      <c r="A64" s="20">
        <f t="shared" si="4"/>
        <v>2050</v>
      </c>
      <c r="B64" s="26">
        <f>LOOKUP(A64,'Disposal &amp; LFG Recovery'!A66:A171,'Disposal &amp; LFG Recovery'!B66:B171)*1.1023</f>
        <v>0</v>
      </c>
      <c r="C64" s="27">
        <f t="shared" si="3"/>
        <v>10969593.564999999</v>
      </c>
      <c r="D64" s="28">
        <f t="shared" si="5"/>
        <v>0</v>
      </c>
      <c r="E64" s="28">
        <f t="shared" si="5"/>
        <v>0</v>
      </c>
      <c r="F64" s="28">
        <f t="shared" si="5"/>
        <v>0</v>
      </c>
      <c r="G64" s="28">
        <f t="shared" si="5"/>
        <v>0</v>
      </c>
    </row>
    <row r="65" spans="1:7" x14ac:dyDescent="0.25">
      <c r="A65" s="20">
        <f t="shared" si="4"/>
        <v>2051</v>
      </c>
      <c r="B65" s="26">
        <f>LOOKUP(A65,'Disposal &amp; LFG Recovery'!A67:A172,'Disposal &amp; LFG Recovery'!B67:B172)*1.1023</f>
        <v>0</v>
      </c>
      <c r="C65" s="27">
        <f t="shared" si="3"/>
        <v>10969593.564999999</v>
      </c>
      <c r="D65" s="28">
        <f t="shared" si="5"/>
        <v>0</v>
      </c>
      <c r="E65" s="28">
        <f t="shared" si="5"/>
        <v>0</v>
      </c>
      <c r="F65" s="28">
        <f t="shared" si="5"/>
        <v>0</v>
      </c>
      <c r="G65" s="28">
        <f t="shared" si="5"/>
        <v>0</v>
      </c>
    </row>
    <row r="66" spans="1:7" x14ac:dyDescent="0.25">
      <c r="A66" s="20">
        <f t="shared" si="4"/>
        <v>2052</v>
      </c>
      <c r="B66" s="26">
        <f>LOOKUP(A66,'Disposal &amp; LFG Recovery'!A68:A173,'Disposal &amp; LFG Recovery'!B68:B173)*1.1023</f>
        <v>0</v>
      </c>
      <c r="C66" s="27">
        <f t="shared" si="3"/>
        <v>10969593.564999999</v>
      </c>
      <c r="D66" s="28">
        <f t="shared" si="5"/>
        <v>0</v>
      </c>
      <c r="E66" s="28">
        <f t="shared" si="5"/>
        <v>0</v>
      </c>
      <c r="F66" s="28">
        <f t="shared" si="5"/>
        <v>0</v>
      </c>
      <c r="G66" s="28">
        <f t="shared" si="5"/>
        <v>0</v>
      </c>
    </row>
    <row r="67" spans="1:7" x14ac:dyDescent="0.25">
      <c r="A67" s="20">
        <f t="shared" si="4"/>
        <v>2053</v>
      </c>
      <c r="B67" s="26">
        <f>LOOKUP(A67,'Disposal &amp; LFG Recovery'!A69:A174,'Disposal &amp; LFG Recovery'!B69:B174)*1.1023</f>
        <v>0</v>
      </c>
      <c r="C67" s="27">
        <f t="shared" si="3"/>
        <v>10969593.564999999</v>
      </c>
      <c r="D67" s="28">
        <f t="shared" si="5"/>
        <v>0</v>
      </c>
      <c r="E67" s="28">
        <f t="shared" si="5"/>
        <v>0</v>
      </c>
      <c r="F67" s="28">
        <f t="shared" si="5"/>
        <v>0</v>
      </c>
      <c r="G67" s="28">
        <f t="shared" si="5"/>
        <v>0</v>
      </c>
    </row>
    <row r="68" spans="1:7" x14ac:dyDescent="0.25">
      <c r="A68" s="20">
        <f t="shared" si="4"/>
        <v>2054</v>
      </c>
      <c r="B68" s="26">
        <f>LOOKUP(A68,'Disposal &amp; LFG Recovery'!A70:A175,'Disposal &amp; LFG Recovery'!B70:B175)*1.1023</f>
        <v>0</v>
      </c>
      <c r="C68" s="27">
        <f t="shared" si="3"/>
        <v>10969593.564999999</v>
      </c>
      <c r="D68" s="28">
        <f t="shared" si="5"/>
        <v>0</v>
      </c>
      <c r="E68" s="28">
        <f t="shared" si="5"/>
        <v>0</v>
      </c>
      <c r="F68" s="28">
        <f t="shared" si="5"/>
        <v>0</v>
      </c>
      <c r="G68" s="28">
        <f t="shared" si="5"/>
        <v>0</v>
      </c>
    </row>
    <row r="69" spans="1:7" x14ac:dyDescent="0.25">
      <c r="A69" s="20">
        <f t="shared" ref="A69:A103" si="6">A68+1</f>
        <v>2055</v>
      </c>
      <c r="B69" s="26">
        <f>LOOKUP(A69,'Disposal &amp; LFG Recovery'!A71:A176,'Disposal &amp; LFG Recovery'!B71:B176)*1.1023</f>
        <v>0</v>
      </c>
      <c r="C69" s="27">
        <f t="shared" si="3"/>
        <v>10969593.564999999</v>
      </c>
      <c r="D69" s="28">
        <f t="shared" ref="D69:G103" si="7">$B69*D$2</f>
        <v>0</v>
      </c>
      <c r="E69" s="28">
        <f t="shared" si="7"/>
        <v>0</v>
      </c>
      <c r="F69" s="28">
        <f t="shared" si="7"/>
        <v>0</v>
      </c>
      <c r="G69" s="28">
        <f t="shared" si="7"/>
        <v>0</v>
      </c>
    </row>
    <row r="70" spans="1:7" x14ac:dyDescent="0.25">
      <c r="A70" s="20">
        <f t="shared" si="6"/>
        <v>2056</v>
      </c>
      <c r="B70" s="26">
        <f>LOOKUP(A70,'Disposal &amp; LFG Recovery'!A72:A177,'Disposal &amp; LFG Recovery'!B72:B177)*1.1023</f>
        <v>0</v>
      </c>
      <c r="C70" s="27">
        <f t="shared" ref="C70:C103" si="8">C69+B70</f>
        <v>10969593.564999999</v>
      </c>
      <c r="D70" s="28">
        <f t="shared" si="7"/>
        <v>0</v>
      </c>
      <c r="E70" s="28">
        <f t="shared" si="7"/>
        <v>0</v>
      </c>
      <c r="F70" s="28">
        <f t="shared" si="7"/>
        <v>0</v>
      </c>
      <c r="G70" s="28">
        <f t="shared" si="7"/>
        <v>0</v>
      </c>
    </row>
    <row r="71" spans="1:7" x14ac:dyDescent="0.25">
      <c r="A71" s="20">
        <f t="shared" si="6"/>
        <v>2057</v>
      </c>
      <c r="B71" s="26">
        <f>LOOKUP(A71,'Disposal &amp; LFG Recovery'!A73:A178,'Disposal &amp; LFG Recovery'!B73:B178)*1.1023</f>
        <v>0</v>
      </c>
      <c r="C71" s="27">
        <f t="shared" si="8"/>
        <v>10969593.564999999</v>
      </c>
      <c r="D71" s="28">
        <f t="shared" si="7"/>
        <v>0</v>
      </c>
      <c r="E71" s="28">
        <f t="shared" si="7"/>
        <v>0</v>
      </c>
      <c r="F71" s="28">
        <f t="shared" si="7"/>
        <v>0</v>
      </c>
      <c r="G71" s="28">
        <f t="shared" si="7"/>
        <v>0</v>
      </c>
    </row>
    <row r="72" spans="1:7" x14ac:dyDescent="0.25">
      <c r="A72" s="20">
        <f t="shared" si="6"/>
        <v>2058</v>
      </c>
      <c r="B72" s="26">
        <f>LOOKUP(A72,'Disposal &amp; LFG Recovery'!A74:A179,'Disposal &amp; LFG Recovery'!B74:B179)*1.1023</f>
        <v>0</v>
      </c>
      <c r="C72" s="27">
        <f t="shared" si="8"/>
        <v>10969593.564999999</v>
      </c>
      <c r="D72" s="28">
        <f t="shared" si="7"/>
        <v>0</v>
      </c>
      <c r="E72" s="28">
        <f t="shared" si="7"/>
        <v>0</v>
      </c>
      <c r="F72" s="28">
        <f t="shared" si="7"/>
        <v>0</v>
      </c>
      <c r="G72" s="28">
        <f t="shared" si="7"/>
        <v>0</v>
      </c>
    </row>
    <row r="73" spans="1:7" x14ac:dyDescent="0.25">
      <c r="A73" s="20">
        <f t="shared" si="6"/>
        <v>2059</v>
      </c>
      <c r="B73" s="26">
        <f>LOOKUP(A73,'Disposal &amp; LFG Recovery'!A75:A180,'Disposal &amp; LFG Recovery'!B75:B180)*1.1023</f>
        <v>0</v>
      </c>
      <c r="C73" s="27">
        <f t="shared" si="8"/>
        <v>10969593.564999999</v>
      </c>
      <c r="D73" s="28">
        <f t="shared" si="7"/>
        <v>0</v>
      </c>
      <c r="E73" s="28">
        <f t="shared" si="7"/>
        <v>0</v>
      </c>
      <c r="F73" s="28">
        <f t="shared" si="7"/>
        <v>0</v>
      </c>
      <c r="G73" s="28">
        <f t="shared" si="7"/>
        <v>0</v>
      </c>
    </row>
    <row r="74" spans="1:7" x14ac:dyDescent="0.25">
      <c r="A74" s="20">
        <f t="shared" si="6"/>
        <v>2060</v>
      </c>
      <c r="B74" s="26">
        <f>LOOKUP(A74,'Disposal &amp; LFG Recovery'!A76:A181,'Disposal &amp; LFG Recovery'!B76:B181)*1.1023</f>
        <v>0</v>
      </c>
      <c r="C74" s="27">
        <f t="shared" si="8"/>
        <v>10969593.564999999</v>
      </c>
      <c r="D74" s="28">
        <f t="shared" si="7"/>
        <v>0</v>
      </c>
      <c r="E74" s="28">
        <f t="shared" si="7"/>
        <v>0</v>
      </c>
      <c r="F74" s="28">
        <f t="shared" si="7"/>
        <v>0</v>
      </c>
      <c r="G74" s="28">
        <f t="shared" si="7"/>
        <v>0</v>
      </c>
    </row>
    <row r="75" spans="1:7" x14ac:dyDescent="0.25">
      <c r="A75" s="20">
        <f t="shared" si="6"/>
        <v>2061</v>
      </c>
      <c r="B75" s="26">
        <f>LOOKUP(A75,'Disposal &amp; LFG Recovery'!A77:A182,'Disposal &amp; LFG Recovery'!B77:B182)*1.1023</f>
        <v>0</v>
      </c>
      <c r="C75" s="27">
        <f t="shared" si="8"/>
        <v>10969593.564999999</v>
      </c>
      <c r="D75" s="28">
        <f t="shared" si="7"/>
        <v>0</v>
      </c>
      <c r="E75" s="28">
        <f t="shared" si="7"/>
        <v>0</v>
      </c>
      <c r="F75" s="28">
        <f t="shared" si="7"/>
        <v>0</v>
      </c>
      <c r="G75" s="28">
        <f t="shared" si="7"/>
        <v>0</v>
      </c>
    </row>
    <row r="76" spans="1:7" x14ac:dyDescent="0.25">
      <c r="A76" s="20">
        <f t="shared" si="6"/>
        <v>2062</v>
      </c>
      <c r="B76" s="26">
        <f>LOOKUP(A76,'Disposal &amp; LFG Recovery'!A78:A183,'Disposal &amp; LFG Recovery'!B78:B183)*1.1023</f>
        <v>0</v>
      </c>
      <c r="C76" s="27">
        <f t="shared" si="8"/>
        <v>10969593.564999999</v>
      </c>
      <c r="D76" s="28">
        <f t="shared" si="7"/>
        <v>0</v>
      </c>
      <c r="E76" s="28">
        <f t="shared" si="7"/>
        <v>0</v>
      </c>
      <c r="F76" s="28">
        <f t="shared" si="7"/>
        <v>0</v>
      </c>
      <c r="G76" s="28">
        <f t="shared" si="7"/>
        <v>0</v>
      </c>
    </row>
    <row r="77" spans="1:7" x14ac:dyDescent="0.25">
      <c r="A77" s="20">
        <f t="shared" si="6"/>
        <v>2063</v>
      </c>
      <c r="B77" s="26">
        <f>LOOKUP(A77,'Disposal &amp; LFG Recovery'!A79:A184,'Disposal &amp; LFG Recovery'!B79:B184)*1.1023</f>
        <v>0</v>
      </c>
      <c r="C77" s="27">
        <f t="shared" si="8"/>
        <v>10969593.564999999</v>
      </c>
      <c r="D77" s="28">
        <f t="shared" si="7"/>
        <v>0</v>
      </c>
      <c r="E77" s="28">
        <f t="shared" si="7"/>
        <v>0</v>
      </c>
      <c r="F77" s="28">
        <f t="shared" si="7"/>
        <v>0</v>
      </c>
      <c r="G77" s="28">
        <f t="shared" si="7"/>
        <v>0</v>
      </c>
    </row>
    <row r="78" spans="1:7" x14ac:dyDescent="0.25">
      <c r="A78" s="20">
        <f t="shared" si="6"/>
        <v>2064</v>
      </c>
      <c r="B78" s="26">
        <f>LOOKUP(A78,'Disposal &amp; LFG Recovery'!A80:A185,'Disposal &amp; LFG Recovery'!B80:B185)*1.1023</f>
        <v>0</v>
      </c>
      <c r="C78" s="27">
        <f t="shared" si="8"/>
        <v>10969593.564999999</v>
      </c>
      <c r="D78" s="28">
        <f t="shared" si="7"/>
        <v>0</v>
      </c>
      <c r="E78" s="28">
        <f t="shared" si="7"/>
        <v>0</v>
      </c>
      <c r="F78" s="28">
        <f t="shared" si="7"/>
        <v>0</v>
      </c>
      <c r="G78" s="28">
        <f t="shared" si="7"/>
        <v>0</v>
      </c>
    </row>
    <row r="79" spans="1:7" x14ac:dyDescent="0.25">
      <c r="A79" s="20">
        <f t="shared" si="6"/>
        <v>2065</v>
      </c>
      <c r="B79" s="26">
        <f>LOOKUP(A79,'Disposal &amp; LFG Recovery'!A81:A186,'Disposal &amp; LFG Recovery'!B81:B186)*1.1023</f>
        <v>0</v>
      </c>
      <c r="C79" s="27">
        <f t="shared" si="8"/>
        <v>10969593.564999999</v>
      </c>
      <c r="D79" s="28">
        <f t="shared" si="7"/>
        <v>0</v>
      </c>
      <c r="E79" s="28">
        <f t="shared" si="7"/>
        <v>0</v>
      </c>
      <c r="F79" s="28">
        <f t="shared" si="7"/>
        <v>0</v>
      </c>
      <c r="G79" s="28">
        <f t="shared" si="7"/>
        <v>0</v>
      </c>
    </row>
    <row r="80" spans="1:7" x14ac:dyDescent="0.25">
      <c r="A80" s="20">
        <f t="shared" si="6"/>
        <v>2066</v>
      </c>
      <c r="B80" s="26">
        <f>LOOKUP(A80,'Disposal &amp; LFG Recovery'!A82:A187,'Disposal &amp; LFG Recovery'!B82:B187)*1.1023</f>
        <v>0</v>
      </c>
      <c r="C80" s="27">
        <f t="shared" si="8"/>
        <v>10969593.564999999</v>
      </c>
      <c r="D80" s="28">
        <f t="shared" si="7"/>
        <v>0</v>
      </c>
      <c r="E80" s="28">
        <f t="shared" si="7"/>
        <v>0</v>
      </c>
      <c r="F80" s="28">
        <f t="shared" si="7"/>
        <v>0</v>
      </c>
      <c r="G80" s="28">
        <f t="shared" si="7"/>
        <v>0</v>
      </c>
    </row>
    <row r="81" spans="1:8" x14ac:dyDescent="0.25">
      <c r="A81" s="20">
        <f t="shared" si="6"/>
        <v>2067</v>
      </c>
      <c r="B81" s="26">
        <f>LOOKUP(A81,'Disposal &amp; LFG Recovery'!A83:A188,'Disposal &amp; LFG Recovery'!B83:B188)*1.1023</f>
        <v>0</v>
      </c>
      <c r="C81" s="27">
        <f t="shared" si="8"/>
        <v>10969593.564999999</v>
      </c>
      <c r="D81" s="28">
        <f t="shared" si="7"/>
        <v>0</v>
      </c>
      <c r="E81" s="28">
        <f t="shared" si="7"/>
        <v>0</v>
      </c>
      <c r="F81" s="28">
        <f t="shared" si="7"/>
        <v>0</v>
      </c>
      <c r="G81" s="28">
        <f t="shared" si="7"/>
        <v>0</v>
      </c>
    </row>
    <row r="82" spans="1:8" x14ac:dyDescent="0.25">
      <c r="A82" s="20">
        <f t="shared" si="6"/>
        <v>2068</v>
      </c>
      <c r="B82" s="26">
        <f>LOOKUP(A82,'Disposal &amp; LFG Recovery'!A84:A189,'Disposal &amp; LFG Recovery'!B84:B189)*1.1023</f>
        <v>0</v>
      </c>
      <c r="C82" s="27">
        <f t="shared" si="8"/>
        <v>10969593.564999999</v>
      </c>
      <c r="D82" s="28">
        <f t="shared" si="7"/>
        <v>0</v>
      </c>
      <c r="E82" s="28">
        <f t="shared" si="7"/>
        <v>0</v>
      </c>
      <c r="F82" s="28">
        <f t="shared" si="7"/>
        <v>0</v>
      </c>
      <c r="G82" s="28">
        <f t="shared" si="7"/>
        <v>0</v>
      </c>
    </row>
    <row r="83" spans="1:8" x14ac:dyDescent="0.25">
      <c r="A83" s="20">
        <f t="shared" si="6"/>
        <v>2069</v>
      </c>
      <c r="B83" s="26">
        <f>LOOKUP(A83,'Disposal &amp; LFG Recovery'!A85:A190,'Disposal &amp; LFG Recovery'!B85:B190)*1.1023</f>
        <v>0</v>
      </c>
      <c r="C83" s="27">
        <f t="shared" si="8"/>
        <v>10969593.564999999</v>
      </c>
      <c r="D83" s="28">
        <f t="shared" si="7"/>
        <v>0</v>
      </c>
      <c r="E83" s="28">
        <f t="shared" si="7"/>
        <v>0</v>
      </c>
      <c r="F83" s="28">
        <f t="shared" si="7"/>
        <v>0</v>
      </c>
      <c r="G83" s="28">
        <f t="shared" si="7"/>
        <v>0</v>
      </c>
    </row>
    <row r="84" spans="1:8" x14ac:dyDescent="0.25">
      <c r="A84" s="20">
        <f t="shared" si="6"/>
        <v>2070</v>
      </c>
      <c r="B84" s="26">
        <f>LOOKUP(A84,'Disposal &amp; LFG Recovery'!A86:A191,'Disposal &amp; LFG Recovery'!B86:B191)*1.1023</f>
        <v>0</v>
      </c>
      <c r="C84" s="27">
        <f t="shared" si="8"/>
        <v>10969593.564999999</v>
      </c>
      <c r="D84" s="28">
        <f t="shared" si="7"/>
        <v>0</v>
      </c>
      <c r="E84" s="28">
        <f t="shared" si="7"/>
        <v>0</v>
      </c>
      <c r="F84" s="28">
        <f t="shared" si="7"/>
        <v>0</v>
      </c>
      <c r="G84" s="28">
        <f t="shared" si="7"/>
        <v>0</v>
      </c>
    </row>
    <row r="85" spans="1:8" x14ac:dyDescent="0.25">
      <c r="A85" s="20">
        <f t="shared" si="6"/>
        <v>2071</v>
      </c>
      <c r="B85" s="26">
        <f>LOOKUP(A85,'Disposal &amp; LFG Recovery'!A87:A192,'Disposal &amp; LFG Recovery'!B87:B192)*1.1023</f>
        <v>0</v>
      </c>
      <c r="C85" s="27">
        <f t="shared" si="8"/>
        <v>10969593.564999999</v>
      </c>
      <c r="D85" s="28">
        <f t="shared" si="7"/>
        <v>0</v>
      </c>
      <c r="E85" s="28">
        <f t="shared" si="7"/>
        <v>0</v>
      </c>
      <c r="F85" s="28">
        <f t="shared" si="7"/>
        <v>0</v>
      </c>
      <c r="G85" s="28">
        <f t="shared" si="7"/>
        <v>0</v>
      </c>
    </row>
    <row r="86" spans="1:8" x14ac:dyDescent="0.25">
      <c r="A86" s="20">
        <f t="shared" si="6"/>
        <v>2072</v>
      </c>
      <c r="B86" s="26">
        <f>LOOKUP(A86,'Disposal &amp; LFG Recovery'!A88:A193,'Disposal &amp; LFG Recovery'!B88:B193)*1.1023</f>
        <v>0</v>
      </c>
      <c r="C86" s="27">
        <f t="shared" si="8"/>
        <v>10969593.564999999</v>
      </c>
      <c r="D86" s="28">
        <f t="shared" si="7"/>
        <v>0</v>
      </c>
      <c r="E86" s="28">
        <f t="shared" si="7"/>
        <v>0</v>
      </c>
      <c r="F86" s="28">
        <f t="shared" si="7"/>
        <v>0</v>
      </c>
      <c r="G86" s="28">
        <f t="shared" si="7"/>
        <v>0</v>
      </c>
    </row>
    <row r="87" spans="1:8" x14ac:dyDescent="0.25">
      <c r="A87" s="20">
        <f t="shared" si="6"/>
        <v>2073</v>
      </c>
      <c r="B87" s="26">
        <f>LOOKUP(A87,'Disposal &amp; LFG Recovery'!A89:A194,'Disposal &amp; LFG Recovery'!B89:B194)*1.1023</f>
        <v>0</v>
      </c>
      <c r="C87" s="27">
        <f t="shared" si="8"/>
        <v>10969593.564999999</v>
      </c>
      <c r="D87" s="28">
        <f t="shared" si="7"/>
        <v>0</v>
      </c>
      <c r="E87" s="28">
        <f t="shared" si="7"/>
        <v>0</v>
      </c>
      <c r="F87" s="28">
        <f t="shared" si="7"/>
        <v>0</v>
      </c>
      <c r="G87" s="28">
        <f t="shared" si="7"/>
        <v>0</v>
      </c>
    </row>
    <row r="88" spans="1:8" x14ac:dyDescent="0.25">
      <c r="A88" s="20">
        <f t="shared" si="6"/>
        <v>2074</v>
      </c>
      <c r="B88" s="26">
        <f>LOOKUP(A88,'Disposal &amp; LFG Recovery'!A90:A195,'Disposal &amp; LFG Recovery'!B90:B195)*1.1023</f>
        <v>0</v>
      </c>
      <c r="C88" s="27">
        <f t="shared" si="8"/>
        <v>10969593.564999999</v>
      </c>
      <c r="D88" s="28">
        <f t="shared" si="7"/>
        <v>0</v>
      </c>
      <c r="E88" s="28">
        <f t="shared" si="7"/>
        <v>0</v>
      </c>
      <c r="F88" s="28">
        <f t="shared" si="7"/>
        <v>0</v>
      </c>
      <c r="G88" s="28">
        <f t="shared" si="7"/>
        <v>0</v>
      </c>
      <c r="H88" s="33"/>
    </row>
    <row r="89" spans="1:8" x14ac:dyDescent="0.25">
      <c r="A89" s="20">
        <f t="shared" si="6"/>
        <v>2075</v>
      </c>
      <c r="B89" s="26">
        <f>LOOKUP(A89,'Disposal &amp; LFG Recovery'!A91:A196,'Disposal &amp; LFG Recovery'!B91:B196)*1.1023</f>
        <v>0</v>
      </c>
      <c r="C89" s="27">
        <f t="shared" si="8"/>
        <v>10969593.564999999</v>
      </c>
      <c r="D89" s="28">
        <f t="shared" si="7"/>
        <v>0</v>
      </c>
      <c r="E89" s="28">
        <f t="shared" si="7"/>
        <v>0</v>
      </c>
      <c r="F89" s="28">
        <f t="shared" si="7"/>
        <v>0</v>
      </c>
      <c r="G89" s="28">
        <f t="shared" si="7"/>
        <v>0</v>
      </c>
      <c r="H89" s="33"/>
    </row>
    <row r="90" spans="1:8" x14ac:dyDescent="0.25">
      <c r="A90" s="20">
        <f t="shared" si="6"/>
        <v>2076</v>
      </c>
      <c r="B90" s="26">
        <f>LOOKUP(A90,'Disposal &amp; LFG Recovery'!A92:A197,'Disposal &amp; LFG Recovery'!B92:B197)*1.1023</f>
        <v>0</v>
      </c>
      <c r="C90" s="27">
        <f t="shared" si="8"/>
        <v>10969593.564999999</v>
      </c>
      <c r="D90" s="28">
        <f t="shared" si="7"/>
        <v>0</v>
      </c>
      <c r="E90" s="28">
        <f t="shared" si="7"/>
        <v>0</v>
      </c>
      <c r="F90" s="28">
        <f t="shared" si="7"/>
        <v>0</v>
      </c>
      <c r="G90" s="28">
        <f t="shared" si="7"/>
        <v>0</v>
      </c>
      <c r="H90" s="33"/>
    </row>
    <row r="91" spans="1:8" x14ac:dyDescent="0.25">
      <c r="A91" s="20">
        <f t="shared" si="6"/>
        <v>2077</v>
      </c>
      <c r="B91" s="26">
        <f>LOOKUP(A91,'Disposal &amp; LFG Recovery'!A93:A198,'Disposal &amp; LFG Recovery'!B93:B198)*1.1023</f>
        <v>0</v>
      </c>
      <c r="C91" s="27">
        <f t="shared" si="8"/>
        <v>10969593.564999999</v>
      </c>
      <c r="D91" s="28">
        <f t="shared" si="7"/>
        <v>0</v>
      </c>
      <c r="E91" s="28">
        <f t="shared" si="7"/>
        <v>0</v>
      </c>
      <c r="F91" s="28">
        <f t="shared" si="7"/>
        <v>0</v>
      </c>
      <c r="G91" s="28">
        <f t="shared" si="7"/>
        <v>0</v>
      </c>
    </row>
    <row r="92" spans="1:8" x14ac:dyDescent="0.25">
      <c r="A92" s="20">
        <f t="shared" si="6"/>
        <v>2078</v>
      </c>
      <c r="B92" s="26">
        <f>LOOKUP(A92,'Disposal &amp; LFG Recovery'!A94:A199,'Disposal &amp; LFG Recovery'!B94:B199)*1.1023</f>
        <v>0</v>
      </c>
      <c r="C92" s="27">
        <f t="shared" si="8"/>
        <v>10969593.564999999</v>
      </c>
      <c r="D92" s="28">
        <f t="shared" si="7"/>
        <v>0</v>
      </c>
      <c r="E92" s="28">
        <f t="shared" si="7"/>
        <v>0</v>
      </c>
      <c r="F92" s="28">
        <f t="shared" si="7"/>
        <v>0</v>
      </c>
      <c r="G92" s="28">
        <f t="shared" si="7"/>
        <v>0</v>
      </c>
    </row>
    <row r="93" spans="1:8" x14ac:dyDescent="0.25">
      <c r="A93" s="20">
        <f t="shared" si="6"/>
        <v>2079</v>
      </c>
      <c r="B93" s="26">
        <f>LOOKUP(A93,'Disposal &amp; LFG Recovery'!A95:A200,'Disposal &amp; LFG Recovery'!B95:B200)*1.1023</f>
        <v>0</v>
      </c>
      <c r="C93" s="27">
        <f t="shared" si="8"/>
        <v>10969593.564999999</v>
      </c>
      <c r="D93" s="28">
        <f t="shared" si="7"/>
        <v>0</v>
      </c>
      <c r="E93" s="28">
        <f t="shared" si="7"/>
        <v>0</v>
      </c>
      <c r="F93" s="28">
        <f t="shared" si="7"/>
        <v>0</v>
      </c>
      <c r="G93" s="28">
        <f t="shared" si="7"/>
        <v>0</v>
      </c>
    </row>
    <row r="94" spans="1:8" x14ac:dyDescent="0.25">
      <c r="A94" s="20">
        <f t="shared" si="6"/>
        <v>2080</v>
      </c>
      <c r="B94" s="26">
        <f>LOOKUP(A94,'Disposal &amp; LFG Recovery'!A96:A201,'Disposal &amp; LFG Recovery'!B96:B201)*1.1023</f>
        <v>0</v>
      </c>
      <c r="C94" s="27">
        <f t="shared" si="8"/>
        <v>10969593.564999999</v>
      </c>
      <c r="D94" s="28">
        <f t="shared" si="7"/>
        <v>0</v>
      </c>
      <c r="E94" s="28">
        <f t="shared" si="7"/>
        <v>0</v>
      </c>
      <c r="F94" s="28">
        <f t="shared" si="7"/>
        <v>0</v>
      </c>
      <c r="G94" s="28">
        <f t="shared" si="7"/>
        <v>0</v>
      </c>
    </row>
    <row r="95" spans="1:8" x14ac:dyDescent="0.25">
      <c r="A95" s="20">
        <f t="shared" si="6"/>
        <v>2081</v>
      </c>
      <c r="B95" s="26">
        <f>LOOKUP(A95,'Disposal &amp; LFG Recovery'!A97:A202,'Disposal &amp; LFG Recovery'!B97:B202)*1.1023</f>
        <v>0</v>
      </c>
      <c r="C95" s="27">
        <f t="shared" si="8"/>
        <v>10969593.564999999</v>
      </c>
      <c r="D95" s="28">
        <f t="shared" si="7"/>
        <v>0</v>
      </c>
      <c r="E95" s="28">
        <f t="shared" si="7"/>
        <v>0</v>
      </c>
      <c r="F95" s="28">
        <f t="shared" si="7"/>
        <v>0</v>
      </c>
      <c r="G95" s="28">
        <f t="shared" si="7"/>
        <v>0</v>
      </c>
    </row>
    <row r="96" spans="1:8" x14ac:dyDescent="0.25">
      <c r="A96" s="20">
        <f t="shared" si="6"/>
        <v>2082</v>
      </c>
      <c r="B96" s="26">
        <f>LOOKUP(A96,'Disposal &amp; LFG Recovery'!A98:A203,'Disposal &amp; LFG Recovery'!B98:B203)*1.1023</f>
        <v>0</v>
      </c>
      <c r="C96" s="27">
        <f t="shared" si="8"/>
        <v>10969593.564999999</v>
      </c>
      <c r="D96" s="28">
        <f t="shared" si="7"/>
        <v>0</v>
      </c>
      <c r="E96" s="28">
        <f t="shared" si="7"/>
        <v>0</v>
      </c>
      <c r="F96" s="28">
        <f t="shared" si="7"/>
        <v>0</v>
      </c>
      <c r="G96" s="28">
        <f t="shared" si="7"/>
        <v>0</v>
      </c>
    </row>
    <row r="97" spans="1:7" x14ac:dyDescent="0.25">
      <c r="A97" s="20">
        <f t="shared" si="6"/>
        <v>2083</v>
      </c>
      <c r="B97" s="26">
        <f>LOOKUP(A97,'Disposal &amp; LFG Recovery'!A99:A204,'Disposal &amp; LFG Recovery'!B99:B204)*1.1023</f>
        <v>0</v>
      </c>
      <c r="C97" s="27">
        <f t="shared" si="8"/>
        <v>10969593.564999999</v>
      </c>
      <c r="D97" s="28">
        <f t="shared" si="7"/>
        <v>0</v>
      </c>
      <c r="E97" s="28">
        <f t="shared" si="7"/>
        <v>0</v>
      </c>
      <c r="F97" s="28">
        <f t="shared" si="7"/>
        <v>0</v>
      </c>
      <c r="G97" s="28">
        <f t="shared" si="7"/>
        <v>0</v>
      </c>
    </row>
    <row r="98" spans="1:7" x14ac:dyDescent="0.25">
      <c r="A98" s="20">
        <f t="shared" si="6"/>
        <v>2084</v>
      </c>
      <c r="B98" s="26">
        <f>LOOKUP(A98,'Disposal &amp; LFG Recovery'!A100:A205,'Disposal &amp; LFG Recovery'!B100:B205)*1.1023</f>
        <v>0</v>
      </c>
      <c r="C98" s="27">
        <f t="shared" si="8"/>
        <v>10969593.564999999</v>
      </c>
      <c r="D98" s="28">
        <f t="shared" si="7"/>
        <v>0</v>
      </c>
      <c r="E98" s="28">
        <f t="shared" si="7"/>
        <v>0</v>
      </c>
      <c r="F98" s="28">
        <f t="shared" si="7"/>
        <v>0</v>
      </c>
      <c r="G98" s="28">
        <f t="shared" si="7"/>
        <v>0</v>
      </c>
    </row>
    <row r="99" spans="1:7" x14ac:dyDescent="0.25">
      <c r="A99" s="20">
        <f t="shared" si="6"/>
        <v>2085</v>
      </c>
      <c r="B99" s="26">
        <f>LOOKUP(A99,'Disposal &amp; LFG Recovery'!A101:A206,'Disposal &amp; LFG Recovery'!B101:B206)*1.1023</f>
        <v>0</v>
      </c>
      <c r="C99" s="27">
        <f t="shared" si="8"/>
        <v>10969593.564999999</v>
      </c>
      <c r="D99" s="28">
        <f t="shared" si="7"/>
        <v>0</v>
      </c>
      <c r="E99" s="28">
        <f t="shared" si="7"/>
        <v>0</v>
      </c>
      <c r="F99" s="28">
        <f t="shared" si="7"/>
        <v>0</v>
      </c>
      <c r="G99" s="28">
        <f t="shared" si="7"/>
        <v>0</v>
      </c>
    </row>
    <row r="100" spans="1:7" x14ac:dyDescent="0.25">
      <c r="A100" s="20">
        <f t="shared" si="6"/>
        <v>2086</v>
      </c>
      <c r="B100" s="26">
        <f>LOOKUP(A100,'Disposal &amp; LFG Recovery'!A102:A207,'Disposal &amp; LFG Recovery'!B102:B207)*1.1023</f>
        <v>0</v>
      </c>
      <c r="C100" s="27">
        <f t="shared" si="8"/>
        <v>10969593.564999999</v>
      </c>
      <c r="D100" s="28">
        <f t="shared" si="7"/>
        <v>0</v>
      </c>
      <c r="E100" s="28">
        <f t="shared" si="7"/>
        <v>0</v>
      </c>
      <c r="F100" s="28">
        <f t="shared" si="7"/>
        <v>0</v>
      </c>
      <c r="G100" s="28">
        <f t="shared" si="7"/>
        <v>0</v>
      </c>
    </row>
    <row r="101" spans="1:7" x14ac:dyDescent="0.25">
      <c r="A101" s="20">
        <f t="shared" si="6"/>
        <v>2087</v>
      </c>
      <c r="B101" s="26">
        <f>LOOKUP(A101,'Disposal &amp; LFG Recovery'!A103:A208,'Disposal &amp; LFG Recovery'!B103:B208)*1.1023</f>
        <v>0</v>
      </c>
      <c r="C101" s="27">
        <f t="shared" si="8"/>
        <v>10969593.564999999</v>
      </c>
      <c r="D101" s="28">
        <f t="shared" si="7"/>
        <v>0</v>
      </c>
      <c r="E101" s="28">
        <f t="shared" si="7"/>
        <v>0</v>
      </c>
      <c r="F101" s="28">
        <f t="shared" si="7"/>
        <v>0</v>
      </c>
      <c r="G101" s="28">
        <f t="shared" si="7"/>
        <v>0</v>
      </c>
    </row>
    <row r="102" spans="1:7" x14ac:dyDescent="0.25">
      <c r="A102" s="20">
        <f t="shared" si="6"/>
        <v>2088</v>
      </c>
      <c r="B102" s="26">
        <f>LOOKUP(A102,'Disposal &amp; LFG Recovery'!A104:A209,'Disposal &amp; LFG Recovery'!B104:B209)*1.1023</f>
        <v>0</v>
      </c>
      <c r="C102" s="27">
        <f t="shared" si="8"/>
        <v>10969593.564999999</v>
      </c>
      <c r="D102" s="28">
        <f t="shared" si="7"/>
        <v>0</v>
      </c>
      <c r="E102" s="28">
        <f t="shared" si="7"/>
        <v>0</v>
      </c>
      <c r="F102" s="28">
        <f t="shared" si="7"/>
        <v>0</v>
      </c>
      <c r="G102" s="28">
        <f t="shared" si="7"/>
        <v>0</v>
      </c>
    </row>
    <row r="103" spans="1:7" x14ac:dyDescent="0.25">
      <c r="A103" s="20">
        <f t="shared" si="6"/>
        <v>2089</v>
      </c>
      <c r="B103" s="26">
        <f>LOOKUP(A103,'Disposal &amp; LFG Recovery'!A105:A210,'Disposal &amp; LFG Recovery'!B105:B210)*1.1023</f>
        <v>0</v>
      </c>
      <c r="C103" s="27">
        <f t="shared" si="8"/>
        <v>10969593.564999999</v>
      </c>
      <c r="D103" s="28">
        <f t="shared" si="7"/>
        <v>0</v>
      </c>
      <c r="E103" s="28">
        <f t="shared" si="7"/>
        <v>0</v>
      </c>
      <c r="F103" s="28">
        <f t="shared" si="7"/>
        <v>0</v>
      </c>
      <c r="G103" s="28">
        <f t="shared" si="7"/>
        <v>0</v>
      </c>
    </row>
    <row r="104" spans="1:7" x14ac:dyDescent="0.25">
      <c r="B104" s="26"/>
      <c r="C104" s="27"/>
      <c r="D104" s="28"/>
      <c r="E104" s="28"/>
      <c r="F104" s="28"/>
      <c r="G104" s="28"/>
    </row>
  </sheetData>
  <sheetProtection password="8BBD" sheet="1" objects="1" scenarios="1" selectLockedCells="1" selectUnlockedCells="1"/>
  <mergeCells count="1">
    <mergeCell ref="D1:G1"/>
  </mergeCells>
  <phoneticPr fontId="4"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15"/>
  <sheetViews>
    <sheetView showGridLines="0" zoomScale="75" zoomScaleNormal="75" workbookViewId="0">
      <selection activeCell="K34" sqref="K34:M34"/>
    </sheetView>
  </sheetViews>
  <sheetFormatPr defaultColWidth="14.25" defaultRowHeight="13.5" x14ac:dyDescent="0.3"/>
  <cols>
    <col min="1" max="10" width="14.25" style="35"/>
    <col min="11" max="11" width="9.33203125" style="35" customWidth="1"/>
    <col min="12" max="12" width="9" style="35" customWidth="1"/>
    <col min="13" max="13" width="8.58203125" style="35" customWidth="1"/>
    <col min="14" max="14" width="9.33203125" style="35" customWidth="1"/>
    <col min="15" max="15" width="9.83203125" style="35" customWidth="1"/>
    <col min="16" max="16384" width="14.25" style="35"/>
  </cols>
  <sheetData>
    <row r="1" spans="1:25" ht="40.5" customHeight="1" x14ac:dyDescent="0.3">
      <c r="A1" s="34">
        <v>0.5</v>
      </c>
      <c r="B1" s="35" t="s">
        <v>16</v>
      </c>
      <c r="F1" s="34">
        <f>A1</f>
        <v>0.5</v>
      </c>
      <c r="G1" s="35" t="s">
        <v>37</v>
      </c>
    </row>
    <row r="2" spans="1:25" ht="14" thickBot="1" x14ac:dyDescent="0.35">
      <c r="A2" s="36">
        <f>Amounts!D2</f>
        <v>0.27279000000000003</v>
      </c>
      <c r="B2" s="37"/>
      <c r="C2" s="37"/>
      <c r="G2" s="35" t="s">
        <v>232</v>
      </c>
    </row>
    <row r="3" spans="1:25" ht="14" thickTop="1" x14ac:dyDescent="0.3">
      <c r="A3" s="38"/>
      <c r="B3" s="39"/>
      <c r="C3" s="39"/>
      <c r="D3" s="40"/>
      <c r="E3" s="41"/>
      <c r="F3" s="42"/>
      <c r="G3" s="43"/>
      <c r="H3" s="41"/>
      <c r="I3" s="44"/>
    </row>
    <row r="4" spans="1:25" x14ac:dyDescent="0.3">
      <c r="A4" s="45"/>
      <c r="B4" s="46"/>
      <c r="C4" s="47" t="s">
        <v>1</v>
      </c>
      <c r="D4" s="452" t="s">
        <v>33</v>
      </c>
      <c r="E4" s="453"/>
      <c r="F4" s="454"/>
      <c r="G4" s="48" t="s">
        <v>6</v>
      </c>
      <c r="H4" s="49"/>
      <c r="I4" s="50"/>
    </row>
    <row r="5" spans="1:25" x14ac:dyDescent="0.3">
      <c r="A5" s="45"/>
      <c r="B5" s="51" t="s">
        <v>2</v>
      </c>
      <c r="C5" s="52" t="s">
        <v>3</v>
      </c>
      <c r="D5" s="53"/>
      <c r="E5" s="54"/>
      <c r="F5" s="55"/>
      <c r="G5" s="56" t="s">
        <v>34</v>
      </c>
      <c r="H5" s="49"/>
      <c r="I5" s="57"/>
    </row>
    <row r="6" spans="1:25" x14ac:dyDescent="0.3">
      <c r="A6" s="58" t="s">
        <v>0</v>
      </c>
      <c r="B6" s="59" t="s">
        <v>4</v>
      </c>
      <c r="C6" s="59" t="s">
        <v>5</v>
      </c>
      <c r="D6" s="60" t="s">
        <v>14</v>
      </c>
      <c r="E6" s="60" t="s">
        <v>7</v>
      </c>
      <c r="F6" s="61" t="s">
        <v>8</v>
      </c>
      <c r="G6" s="62" t="s">
        <v>7</v>
      </c>
      <c r="H6" s="63" t="s">
        <v>9</v>
      </c>
      <c r="I6" s="64" t="s">
        <v>10</v>
      </c>
      <c r="L6" s="65"/>
      <c r="M6" s="65"/>
      <c r="N6" s="65"/>
    </row>
    <row r="7" spans="1:25" ht="14" thickBot="1" x14ac:dyDescent="0.35">
      <c r="A7" s="66">
        <f>Amounts!A4</f>
        <v>1990</v>
      </c>
      <c r="B7" s="67">
        <f>LOOKUP(A7+0.01,Amounts!$A$4:$A$103,Amounts!$B$4:$B$103)*0.1*$A$2</f>
        <v>8381.9126238750014</v>
      </c>
      <c r="C7" s="68">
        <f>B7</f>
        <v>8381.9126238750014</v>
      </c>
      <c r="D7" s="69">
        <v>0</v>
      </c>
      <c r="E7" s="67">
        <f t="shared" ref="E7:E70" si="0">D7/(365*24*60)*1.00201</f>
        <v>0</v>
      </c>
      <c r="F7" s="70">
        <f>E7*60*1012/1000000</f>
        <v>0</v>
      </c>
      <c r="G7" s="67">
        <f>E7/'Lookup Tables'!$C$48</f>
        <v>0</v>
      </c>
      <c r="H7" s="70">
        <f t="shared" ref="H7:H70" si="1">G7*60*24*365/(C7*2000)</f>
        <v>0</v>
      </c>
      <c r="I7" s="71">
        <f>G7*60*24/1000000</f>
        <v>0</v>
      </c>
      <c r="K7" s="72" t="s">
        <v>24</v>
      </c>
    </row>
    <row r="8" spans="1:25" ht="14" thickTop="1" x14ac:dyDescent="0.3">
      <c r="A8" s="66">
        <f>A7+0.1</f>
        <v>1990.1</v>
      </c>
      <c r="B8" s="67">
        <f>LOOKUP(A8+0.01,Amounts!$A$4:$A$103,Amounts!$B$4:$B$103)*0.1*$A$2</f>
        <v>8381.9126238750014</v>
      </c>
      <c r="C8" s="68">
        <f>C7+B8</f>
        <v>16763.825247750003</v>
      </c>
      <c r="D8" s="69">
        <v>0</v>
      </c>
      <c r="E8" s="67">
        <f t="shared" si="0"/>
        <v>0</v>
      </c>
      <c r="F8" s="70">
        <f>E8*60*1012/1000000</f>
        <v>0</v>
      </c>
      <c r="G8" s="67">
        <f>E8/'Lookup Tables'!$C$48</f>
        <v>0</v>
      </c>
      <c r="H8" s="70">
        <f t="shared" si="1"/>
        <v>0</v>
      </c>
      <c r="I8" s="71">
        <f>G8*60*24/1000000</f>
        <v>0</v>
      </c>
      <c r="J8" s="35">
        <f>'Disposal &amp; LFG Recovery'!A6</f>
        <v>1990</v>
      </c>
      <c r="K8" s="73">
        <v>0</v>
      </c>
      <c r="L8" s="73">
        <v>0</v>
      </c>
      <c r="M8" s="73">
        <v>0</v>
      </c>
      <c r="N8" s="73">
        <v>0</v>
      </c>
      <c r="O8" s="74"/>
      <c r="P8" s="74"/>
      <c r="Q8" s="74"/>
      <c r="R8" s="74"/>
      <c r="S8" s="74"/>
      <c r="T8" s="74"/>
      <c r="U8" s="74"/>
      <c r="V8" s="74"/>
      <c r="W8" s="74"/>
      <c r="X8" s="74"/>
      <c r="Y8" s="74"/>
    </row>
    <row r="9" spans="1:25" x14ac:dyDescent="0.3">
      <c r="A9" s="66">
        <f t="shared" ref="A9:A15" si="2">A8+0.1</f>
        <v>1990.1999999999998</v>
      </c>
      <c r="B9" s="67">
        <f>LOOKUP(A9+0.01,Amounts!$A$4:$A$103,Amounts!$B$4:$B$103)*0.1*$A$2</f>
        <v>8381.9126238750014</v>
      </c>
      <c r="C9" s="68">
        <f t="shared" ref="C9:C72" si="3">C8+B9</f>
        <v>25145.737871625002</v>
      </c>
      <c r="D9" s="69">
        <v>0</v>
      </c>
      <c r="E9" s="67">
        <f t="shared" si="0"/>
        <v>0</v>
      </c>
      <c r="F9" s="70">
        <f t="shared" ref="F9:F16" si="4">E9*60*1012/1000000</f>
        <v>0</v>
      </c>
      <c r="G9" s="67">
        <f>E9/'Lookup Tables'!$C$48</f>
        <v>0</v>
      </c>
      <c r="H9" s="70">
        <f t="shared" si="1"/>
        <v>0</v>
      </c>
      <c r="I9" s="71">
        <f t="shared" ref="I9:I15" si="5">G9*60*24/1000000</f>
        <v>0</v>
      </c>
      <c r="J9" s="35">
        <f>J8+1</f>
        <v>1991</v>
      </c>
      <c r="K9" s="75">
        <f>$G21</f>
        <v>87.605292618105224</v>
      </c>
      <c r="L9" s="75">
        <f>Calcs2!K4</f>
        <v>18.82263988668868</v>
      </c>
      <c r="M9" s="75">
        <f>Calcs3!K4</f>
        <v>37.641512449858965</v>
      </c>
      <c r="N9" s="75">
        <f>Calcs4!K4</f>
        <v>1.1405367197871992</v>
      </c>
      <c r="O9" s="74"/>
      <c r="P9" s="74"/>
      <c r="Q9" s="74"/>
      <c r="R9" s="74"/>
      <c r="S9" s="74"/>
      <c r="T9" s="74"/>
      <c r="U9" s="74"/>
      <c r="V9" s="74"/>
      <c r="W9" s="74"/>
      <c r="X9" s="74"/>
      <c r="Y9" s="74"/>
    </row>
    <row r="10" spans="1:25" x14ac:dyDescent="0.3">
      <c r="A10" s="66">
        <f t="shared" si="2"/>
        <v>1990.2999999999997</v>
      </c>
      <c r="B10" s="67">
        <f>LOOKUP(A10+0.01,Amounts!$A$4:$A$103,Amounts!$B$4:$B$103)*0.1*$A$2</f>
        <v>8381.9126238750014</v>
      </c>
      <c r="C10" s="68">
        <f t="shared" si="3"/>
        <v>33527.650495500005</v>
      </c>
      <c r="D10" s="69">
        <v>0</v>
      </c>
      <c r="E10" s="67">
        <f t="shared" si="0"/>
        <v>0</v>
      </c>
      <c r="F10" s="70">
        <f t="shared" si="4"/>
        <v>0</v>
      </c>
      <c r="G10" s="67">
        <f>E10/'Lookup Tables'!$C$48</f>
        <v>0</v>
      </c>
      <c r="H10" s="70">
        <f t="shared" si="1"/>
        <v>0</v>
      </c>
      <c r="I10" s="71">
        <f t="shared" si="5"/>
        <v>0</v>
      </c>
      <c r="J10" s="35">
        <f t="shared" ref="J10:J73" si="6">J9+1</f>
        <v>1992</v>
      </c>
      <c r="K10" s="75">
        <f>$G31</f>
        <v>165.51935246793229</v>
      </c>
      <c r="L10" s="75">
        <f>Calcs2!K5</f>
        <v>36.749543414914875</v>
      </c>
      <c r="M10" s="75">
        <f>Calcs3!K5</f>
        <v>74.997186697984077</v>
      </c>
      <c r="N10" s="75">
        <f>Calcs4!K5</f>
        <v>2.2880483707644892</v>
      </c>
      <c r="O10" s="74"/>
      <c r="P10" s="74"/>
      <c r="Q10" s="74"/>
      <c r="R10" s="74"/>
      <c r="S10" s="74"/>
      <c r="T10" s="74"/>
      <c r="U10" s="74"/>
      <c r="V10" s="74"/>
      <c r="W10" s="74"/>
      <c r="X10" s="74"/>
      <c r="Y10" s="74"/>
    </row>
    <row r="11" spans="1:25" x14ac:dyDescent="0.3">
      <c r="A11" s="66">
        <f t="shared" si="2"/>
        <v>1990.3999999999996</v>
      </c>
      <c r="B11" s="67">
        <f>LOOKUP(A11+0.01,Amounts!$A$4:$A$103,Amounts!$B$4:$B$103)*0.1*$A$2</f>
        <v>8381.9126238750014</v>
      </c>
      <c r="C11" s="68">
        <f t="shared" si="3"/>
        <v>41909.563119375009</v>
      </c>
      <c r="D11" s="69">
        <v>0</v>
      </c>
      <c r="E11" s="67">
        <f t="shared" si="0"/>
        <v>0</v>
      </c>
      <c r="F11" s="70">
        <f t="shared" si="4"/>
        <v>0</v>
      </c>
      <c r="G11" s="67">
        <f>E11/'Lookup Tables'!$C$48</f>
        <v>0</v>
      </c>
      <c r="H11" s="70">
        <f t="shared" si="1"/>
        <v>0</v>
      </c>
      <c r="I11" s="71">
        <f t="shared" si="5"/>
        <v>0</v>
      </c>
      <c r="J11" s="35">
        <f t="shared" si="6"/>
        <v>1993</v>
      </c>
      <c r="K11" s="75">
        <f>$G41</f>
        <v>235.04282999792116</v>
      </c>
      <c r="L11" s="75">
        <f>Calcs2!K6</f>
        <v>53.848695666451903</v>
      </c>
      <c r="M11" s="75">
        <f>Calcs3!K6</f>
        <v>112.08976925371174</v>
      </c>
      <c r="N11" s="75">
        <f>Calcs4!K6</f>
        <v>3.4428880615303168</v>
      </c>
      <c r="O11" s="74"/>
      <c r="P11" s="74"/>
      <c r="Q11" s="74"/>
      <c r="R11" s="74"/>
      <c r="S11" s="74"/>
      <c r="T11" s="74"/>
      <c r="U11" s="74"/>
      <c r="V11" s="74"/>
      <c r="W11" s="74"/>
      <c r="X11" s="74"/>
      <c r="Y11" s="74"/>
    </row>
    <row r="12" spans="1:25" x14ac:dyDescent="0.3">
      <c r="A12" s="66">
        <f t="shared" si="2"/>
        <v>1990.4999999999995</v>
      </c>
      <c r="B12" s="67">
        <f>LOOKUP(A12+0.01,Amounts!$A$4:$A$103,Amounts!$B$4:$B$103)*0.1*$A$2</f>
        <v>8381.9126238750014</v>
      </c>
      <c r="C12" s="68">
        <f t="shared" si="3"/>
        <v>50291.475743250012</v>
      </c>
      <c r="D12" s="67">
        <f t="array" ref="D12">SUM($B7:$B$7*$F$1009*EXP(-$F$1009*($A12-$A7:$A$7)))*$F$1010</f>
        <v>2445080.3355131359</v>
      </c>
      <c r="E12" s="67">
        <f t="shared" si="0"/>
        <v>4.6613298078149112</v>
      </c>
      <c r="F12" s="70">
        <f t="shared" si="4"/>
        <v>0.28303594593052139</v>
      </c>
      <c r="G12" s="67">
        <f>E12/'Lookup Tables'!$C$48</f>
        <v>9.3226596156298225</v>
      </c>
      <c r="H12" s="70">
        <f t="shared" si="1"/>
        <v>4.8715908825092483E-2</v>
      </c>
      <c r="I12" s="71">
        <f t="shared" si="5"/>
        <v>1.3424629846506945E-2</v>
      </c>
      <c r="J12" s="35">
        <f t="shared" si="6"/>
        <v>1994</v>
      </c>
      <c r="K12" s="75">
        <f>$G51</f>
        <v>297.3064563867984</v>
      </c>
      <c r="L12" s="75">
        <f>Calcs2!K7</f>
        <v>70.183485511391069</v>
      </c>
      <c r="M12" s="75">
        <f>Calcs3!K7</f>
        <v>148.94137855810609</v>
      </c>
      <c r="N12" s="75">
        <f>Calcs4!K7</f>
        <v>4.6054039916064724</v>
      </c>
      <c r="O12" s="74"/>
      <c r="P12" s="74"/>
      <c r="Q12" s="74"/>
      <c r="R12" s="74"/>
      <c r="S12" s="74"/>
      <c r="T12" s="74"/>
      <c r="U12" s="74"/>
      <c r="V12" s="74"/>
      <c r="W12" s="74"/>
      <c r="X12" s="74"/>
      <c r="Y12" s="74"/>
    </row>
    <row r="13" spans="1:25" x14ac:dyDescent="0.3">
      <c r="A13" s="66">
        <f t="shared" si="2"/>
        <v>1990.5999999999995</v>
      </c>
      <c r="B13" s="67">
        <f>LOOKUP(A13+0.01,Amounts!$A$4:$A$103,Amounts!$B$4:$B$103)*0.1*$A$2</f>
        <v>8381.9126238750014</v>
      </c>
      <c r="C13" s="68">
        <f t="shared" si="3"/>
        <v>58673.388367125015</v>
      </c>
      <c r="D13" s="67">
        <f t="array" ref="D13">SUM($B$7:$B8*$F$1009*EXP(-$F$1009*($A13-$A$7:$A8)))*$F$1010</f>
        <v>4856168.0498880837</v>
      </c>
      <c r="E13" s="67">
        <f t="shared" si="0"/>
        <v>9.2578556843005302</v>
      </c>
      <c r="F13" s="70">
        <f t="shared" si="4"/>
        <v>0.56213699715072829</v>
      </c>
      <c r="G13" s="67">
        <f>E13/'Lookup Tables'!$C$48</f>
        <v>18.51571136860106</v>
      </c>
      <c r="H13" s="70">
        <f t="shared" si="1"/>
        <v>8.2932468757757352E-2</v>
      </c>
      <c r="I13" s="71">
        <f t="shared" si="5"/>
        <v>2.6662624370785527E-2</v>
      </c>
      <c r="J13" s="35">
        <f t="shared" si="6"/>
        <v>1995</v>
      </c>
      <c r="K13" s="75">
        <f>$G61</f>
        <v>353.29638488757894</v>
      </c>
      <c r="L13" s="75">
        <f>Calcs2!K8</f>
        <v>85.813691592111482</v>
      </c>
      <c r="M13" s="75">
        <f>Calcs3!K8</f>
        <v>185.57487269410933</v>
      </c>
      <c r="N13" s="75">
        <f>Calcs4!K8</f>
        <v>5.7759804358018165</v>
      </c>
      <c r="O13" s="74"/>
      <c r="P13" s="74"/>
      <c r="Q13" s="74"/>
      <c r="R13" s="74"/>
      <c r="S13" s="74"/>
      <c r="T13" s="74"/>
      <c r="U13" s="74"/>
      <c r="V13" s="74"/>
      <c r="W13" s="74"/>
      <c r="X13" s="74"/>
      <c r="Y13" s="74"/>
    </row>
    <row r="14" spans="1:25" x14ac:dyDescent="0.3">
      <c r="A14" s="66">
        <f t="shared" si="2"/>
        <v>1990.6999999999994</v>
      </c>
      <c r="B14" s="67">
        <f>LOOKUP(A14+0.01,Amounts!$A$4:$A$103,Amounts!$B$4:$B$103)*0.1*$A$2</f>
        <v>8381.9126238750014</v>
      </c>
      <c r="C14" s="68">
        <f t="shared" si="3"/>
        <v>67055.300991000011</v>
      </c>
      <c r="D14" s="67">
        <f t="array" ref="D14">SUM($B$7:$B9*$F$1009*EXP(-$F$1009*($A14-$A$7:$A9)))*$F$1010</f>
        <v>7233735.7240356086</v>
      </c>
      <c r="E14" s="67">
        <f t="shared" si="0"/>
        <v>13.790478563243761</v>
      </c>
      <c r="F14" s="70">
        <f t="shared" si="4"/>
        <v>0.83735785836016119</v>
      </c>
      <c r="G14" s="67">
        <f>E14/'Lookup Tables'!$C$48</f>
        <v>27.580957126487522</v>
      </c>
      <c r="H14" s="70">
        <f t="shared" si="1"/>
        <v>0.10809399742779122</v>
      </c>
      <c r="I14" s="71">
        <f t="shared" si="5"/>
        <v>3.9716578262142033E-2</v>
      </c>
      <c r="J14" s="35">
        <f t="shared" si="6"/>
        <v>1996</v>
      </c>
      <c r="K14" s="75">
        <f>$G71</f>
        <v>403.8667931613698</v>
      </c>
      <c r="L14" s="75">
        <f>Calcs2!K9</f>
        <v>100.79437589367457</v>
      </c>
      <c r="M14" s="75">
        <f>Calcs3!K9</f>
        <v>222.01112822750207</v>
      </c>
      <c r="N14" s="75">
        <f>Calcs4!K9</f>
        <v>6.9549554104461704</v>
      </c>
      <c r="O14" s="74"/>
      <c r="P14" s="74"/>
      <c r="Q14" s="74"/>
      <c r="R14" s="74"/>
      <c r="S14" s="74"/>
      <c r="T14" s="74"/>
      <c r="U14" s="74"/>
      <c r="V14" s="74"/>
      <c r="W14" s="74"/>
      <c r="X14" s="74"/>
      <c r="Y14" s="74"/>
    </row>
    <row r="15" spans="1:25" x14ac:dyDescent="0.3">
      <c r="A15" s="66">
        <f t="shared" si="2"/>
        <v>1990.7999999999993</v>
      </c>
      <c r="B15" s="67">
        <f>LOOKUP(A15+0.01,Amounts!$A$4:$A$103,Amounts!$B$4:$B$103)*0.1*$A$2</f>
        <v>8381.9126238750014</v>
      </c>
      <c r="C15" s="68">
        <f t="shared" si="3"/>
        <v>75437.213614875014</v>
      </c>
      <c r="D15" s="67">
        <f t="array" ref="D15">SUM($B$7:$B10*$F$1009*EXP(-$F$1009*($A15-$A$7:$A10)))*$F$1010</f>
        <v>9578249.3688312732</v>
      </c>
      <c r="E15" s="67">
        <f t="shared" si="0"/>
        <v>18.260086853239393</v>
      </c>
      <c r="F15" s="70">
        <f t="shared" si="4"/>
        <v>1.1087524737286958</v>
      </c>
      <c r="G15" s="67">
        <f>E15/'Lookup Tables'!$C$48</f>
        <v>36.520173706478786</v>
      </c>
      <c r="H15" s="70">
        <f t="shared" si="1"/>
        <v>0.1272250284728193</v>
      </c>
      <c r="I15" s="71">
        <f t="shared" si="5"/>
        <v>5.2589050137329452E-2</v>
      </c>
      <c r="J15" s="35">
        <f t="shared" si="6"/>
        <v>1997</v>
      </c>
      <c r="K15" s="75">
        <f>$G81</f>
        <v>449.76655317388202</v>
      </c>
      <c r="L15" s="75">
        <f>Calcs2!K10</f>
        <v>115.17822837397374</v>
      </c>
      <c r="M15" s="75">
        <f>Calcs3!K10</f>
        <v>258.27314602430755</v>
      </c>
      <c r="N15" s="75">
        <f>Calcs4!K10</f>
        <v>8.1427440648433187</v>
      </c>
      <c r="O15" s="74"/>
      <c r="P15" s="74"/>
      <c r="Q15" s="74"/>
      <c r="R15" s="74"/>
      <c r="S15" s="74"/>
      <c r="T15" s="74"/>
      <c r="U15" s="74"/>
      <c r="V15" s="74"/>
      <c r="W15" s="74"/>
      <c r="X15" s="74"/>
      <c r="Y15" s="74"/>
    </row>
    <row r="16" spans="1:25" x14ac:dyDescent="0.3">
      <c r="A16" s="66">
        <f>A15+0.1</f>
        <v>1990.8999999999992</v>
      </c>
      <c r="B16" s="67">
        <f>LOOKUP(A16+0.01,Amounts!$A$4:$A$103,Amounts!$B$4:$B$103)*0.1*$A$2</f>
        <v>8381.9126238750014</v>
      </c>
      <c r="C16" s="68">
        <f t="shared" si="3"/>
        <v>83819.126238750017</v>
      </c>
      <c r="D16" s="67">
        <f t="array" ref="D16">SUM($B$7:$B11*$F$1009*EXP(-$F$1009*($A16-$A$7:$A11)))*$F$1010</f>
        <v>11890168.51645508</v>
      </c>
      <c r="E16" s="67">
        <f t="shared" si="0"/>
        <v>22.667556611821073</v>
      </c>
      <c r="F16" s="70">
        <f t="shared" si="4"/>
        <v>1.3763740374697757</v>
      </c>
      <c r="G16" s="67">
        <f>E16/'Lookup Tables'!$C$48</f>
        <v>45.335113223642146</v>
      </c>
      <c r="H16" s="70">
        <f t="shared" si="1"/>
        <v>0.14214020462629476</v>
      </c>
      <c r="I16" s="71">
        <f>G16*60*24/1000000</f>
        <v>6.5282563042044703E-2</v>
      </c>
      <c r="J16" s="35">
        <f t="shared" si="6"/>
        <v>1998</v>
      </c>
      <c r="K16" s="75">
        <f>$G91</f>
        <v>491.64356014499845</v>
      </c>
      <c r="L16" s="75">
        <f>Calcs2!K11</f>
        <v>129.0137015724645</v>
      </c>
      <c r="M16" s="75">
        <f>Calcs3!K11</f>
        <v>294.38194149091339</v>
      </c>
      <c r="N16" s="75">
        <f>Calcs4!K11</f>
        <v>9.3397148605867102</v>
      </c>
      <c r="O16" s="74"/>
      <c r="P16" s="74"/>
      <c r="Q16" s="74"/>
      <c r="R16" s="74"/>
      <c r="S16" s="74"/>
      <c r="T16" s="74"/>
      <c r="U16" s="74"/>
      <c r="V16" s="74"/>
      <c r="W16" s="74"/>
      <c r="X16" s="74"/>
      <c r="Y16" s="74"/>
    </row>
    <row r="17" spans="1:25" x14ac:dyDescent="0.3">
      <c r="A17" s="66">
        <f>A16+0.1</f>
        <v>1990.9999999999991</v>
      </c>
      <c r="B17" s="67">
        <f>LOOKUP(A17+0.01,Amounts!$A$4:$A$103,Amounts!$B$4:$B$103)*0.1*$A$2</f>
        <v>8549.7012245610022</v>
      </c>
      <c r="C17" s="68">
        <f t="shared" si="3"/>
        <v>92368.827463311027</v>
      </c>
      <c r="D17" s="67">
        <f t="array" ref="D17">SUM($B$7:$B12*$F$1009*EXP(-$F$1009*($A17-$A$7:$A12)))*$F$1010</f>
        <v>14169946.31046124</v>
      </c>
      <c r="E17" s="67">
        <f t="shared" si="0"/>
        <v>27.013751717171363</v>
      </c>
      <c r="F17" s="70">
        <f>E17*60*1012/1000000</f>
        <v>1.640275004266645</v>
      </c>
      <c r="G17" s="67">
        <f>E17/'Lookup Tables'!$C$48</f>
        <v>54.027503434342727</v>
      </c>
      <c r="H17" s="70">
        <f t="shared" si="1"/>
        <v>0.15371449754718272</v>
      </c>
      <c r="I17" s="71">
        <f>G17*60*24/1000000</f>
        <v>7.7799604945453529E-2</v>
      </c>
      <c r="J17" s="35">
        <f t="shared" si="6"/>
        <v>1999</v>
      </c>
      <c r="K17" s="75">
        <f>$G101</f>
        <v>530.06106711980055</v>
      </c>
      <c r="L17" s="75">
        <f>Calcs2!K12</f>
        <v>142.34597233749452</v>
      </c>
      <c r="M17" s="75">
        <f>Calcs3!K12</f>
        <v>330.35794976401479</v>
      </c>
      <c r="N17" s="75">
        <f>Calcs4!K12</f>
        <v>10.546231136748805</v>
      </c>
      <c r="O17" s="74"/>
      <c r="P17" s="74"/>
      <c r="Q17" s="74"/>
      <c r="R17" s="74"/>
      <c r="S17" s="74"/>
      <c r="T17" s="74"/>
      <c r="U17" s="74"/>
      <c r="V17" s="74"/>
      <c r="W17" s="74"/>
      <c r="X17" s="74"/>
      <c r="Y17" s="74"/>
    </row>
    <row r="18" spans="1:25" x14ac:dyDescent="0.3">
      <c r="A18" s="66">
        <f>A17+0.1</f>
        <v>1991.099999999999</v>
      </c>
      <c r="B18" s="67">
        <f>LOOKUP(A18+0.01,Amounts!$A$4:$A$103,Amounts!$B$4:$B$103)*0.1*$A$2</f>
        <v>8549.7012245610022</v>
      </c>
      <c r="C18" s="68">
        <f t="shared" si="3"/>
        <v>100918.52868787202</v>
      </c>
      <c r="D18" s="67">
        <f t="array" ref="D18">SUM($B$7:$B13*$F$1009*EXP(-$F$1009*($A18-$A$7:$A13)))*$F$1010</f>
        <v>16418029.59459574</v>
      </c>
      <c r="E18" s="67">
        <f t="shared" si="0"/>
        <v>31.299524037444595</v>
      </c>
      <c r="F18" s="70">
        <f>E18*60*1012/1000000</f>
        <v>1.9005070995536357</v>
      </c>
      <c r="G18" s="67">
        <f>E18/'Lookup Tables'!$C$48</f>
        <v>62.59904807488919</v>
      </c>
      <c r="H18" s="70">
        <f t="shared" si="1"/>
        <v>0.16301297737863171</v>
      </c>
      <c r="I18" s="71">
        <f>G18*60*24/1000000</f>
        <v>9.0142629227840429E-2</v>
      </c>
      <c r="J18" s="35">
        <f t="shared" si="6"/>
        <v>2000</v>
      </c>
      <c r="K18" s="75">
        <f>$G111</f>
        <v>565.51188556240913</v>
      </c>
      <c r="L18" s="75">
        <f>Calcs2!K13</f>
        <v>155.21783853492036</v>
      </c>
      <c r="M18" s="75">
        <f>Calcs3!K13</f>
        <v>366.22239210096694</v>
      </c>
      <c r="N18" s="75">
        <f>Calcs4!K13</f>
        <v>11.762692097212213</v>
      </c>
      <c r="O18" s="74"/>
      <c r="P18" s="74"/>
      <c r="Q18" s="74"/>
      <c r="R18" s="74"/>
      <c r="S18" s="74"/>
      <c r="T18" s="74"/>
      <c r="U18" s="74"/>
      <c r="V18" s="74"/>
      <c r="W18" s="74"/>
      <c r="X18" s="74"/>
      <c r="Y18" s="74"/>
    </row>
    <row r="19" spans="1:25" x14ac:dyDescent="0.3">
      <c r="A19" s="66">
        <f t="shared" ref="A19:A82" si="7">A18+0.1</f>
        <v>1991.1999999999989</v>
      </c>
      <c r="B19" s="67">
        <f>LOOKUP(A19+0.01,Amounts!$A$4:$A$103,Amounts!$B$4:$B$103)*0.1*$A$2</f>
        <v>8549.7012245610022</v>
      </c>
      <c r="C19" s="68">
        <f t="shared" si="3"/>
        <v>109468.22991243302</v>
      </c>
      <c r="D19" s="67">
        <f t="array" ref="D19">SUM($B$7:$B14*$F$1009*EXP(-$F$1009*($A19-$A$7:$A14)))*$F$1010</f>
        <v>18634859.00037919</v>
      </c>
      <c r="E19" s="67">
        <f t="shared" si="0"/>
        <v>35.52571359773583</v>
      </c>
      <c r="F19" s="70">
        <f t="shared" ref="F19:F82" si="8">E19*60*1012/1000000</f>
        <v>2.1571213296545193</v>
      </c>
      <c r="G19" s="67">
        <f>E19/'Lookup Tables'!$C$48</f>
        <v>71.051427195471661</v>
      </c>
      <c r="H19" s="70">
        <f t="shared" si="1"/>
        <v>0.17057291491701757</v>
      </c>
      <c r="I19" s="71">
        <f t="shared" ref="I19:I82" si="9">G19*60*24/1000000</f>
        <v>0.10231405516147919</v>
      </c>
      <c r="J19" s="35">
        <f t="shared" si="6"/>
        <v>2001</v>
      </c>
      <c r="K19" s="75">
        <f>$G121</f>
        <v>598.42444517765784</v>
      </c>
      <c r="L19" s="75">
        <f>Calcs2!K14</f>
        <v>167.66920463037249</v>
      </c>
      <c r="M19" s="75">
        <f>Calcs3!K14</f>
        <v>401.99590380555219</v>
      </c>
      <c r="N19" s="75">
        <f>Calcs4!K14</f>
        <v>12.989491395945187</v>
      </c>
      <c r="O19" s="74"/>
      <c r="P19" s="74"/>
      <c r="Q19" s="74"/>
      <c r="R19" s="74"/>
      <c r="S19" s="74"/>
      <c r="T19" s="74"/>
      <c r="U19" s="74"/>
      <c r="V19" s="74"/>
      <c r="W19" s="74"/>
      <c r="X19" s="74"/>
      <c r="Y19" s="74"/>
    </row>
    <row r="20" spans="1:25" x14ac:dyDescent="0.3">
      <c r="A20" s="66">
        <f t="shared" si="7"/>
        <v>1991.2999999999988</v>
      </c>
      <c r="B20" s="67">
        <f>LOOKUP(A20+0.01,Amounts!$A$4:$A$103,Amounts!$B$4:$B$103)*0.1*$A$2</f>
        <v>8549.7012245610022</v>
      </c>
      <c r="C20" s="68">
        <f t="shared" si="3"/>
        <v>118017.93113699401</v>
      </c>
      <c r="D20" s="67">
        <f t="array" ref="D20">SUM($B$7:$B15*$F$1009*EXP(-$F$1009*($A20-$A$7:$A15)))*$F$1010</f>
        <v>20820869.033471979</v>
      </c>
      <c r="E20" s="67">
        <f t="shared" si="0"/>
        <v>39.693148744728418</v>
      </c>
      <c r="F20" s="70">
        <f t="shared" si="8"/>
        <v>2.4101679917799093</v>
      </c>
      <c r="G20" s="67">
        <f>E20/'Lookup Tables'!$C$48</f>
        <v>79.386297489456837</v>
      </c>
      <c r="H20" s="70">
        <f t="shared" si="1"/>
        <v>0.17677584057978465</v>
      </c>
      <c r="I20" s="71">
        <f t="shared" si="9"/>
        <v>0.11431626838481784</v>
      </c>
      <c r="J20" s="35">
        <f t="shared" si="6"/>
        <v>2002</v>
      </c>
      <c r="K20" s="75">
        <f>$G131</f>
        <v>629.1743476484985</v>
      </c>
      <c r="L20" s="75">
        <f>Calcs2!K15</f>
        <v>179.73795255264616</v>
      </c>
      <c r="M20" s="75">
        <f>Calcs3!K15</f>
        <v>437.6999007752724</v>
      </c>
      <c r="N20" s="75">
        <f>Calcs4!K15</f>
        <v>14.227058130274679</v>
      </c>
      <c r="O20" s="74"/>
      <c r="P20" s="74"/>
      <c r="Q20" s="74"/>
      <c r="R20" s="74"/>
      <c r="S20" s="74"/>
      <c r="T20" s="74"/>
      <c r="U20" s="74"/>
      <c r="V20" s="74"/>
      <c r="W20" s="74"/>
      <c r="X20" s="74"/>
      <c r="Y20" s="74"/>
    </row>
    <row r="21" spans="1:25" x14ac:dyDescent="0.3">
      <c r="A21" s="66">
        <f t="shared" si="7"/>
        <v>1991.3999999999987</v>
      </c>
      <c r="B21" s="67">
        <f>LOOKUP(A21+0.01,Amounts!$A$4:$A$103,Amounts!$B$4:$B$103)*0.1*$A$2</f>
        <v>8549.7012245610022</v>
      </c>
      <c r="C21" s="68">
        <f t="shared" si="3"/>
        <v>126567.63236155501</v>
      </c>
      <c r="D21" s="67">
        <f t="array" ref="D21">SUM($B$7:$B16*$F$1009*EXP(-$F$1009*($A21-$A$7:$A16)))*$F$1010</f>
        <v>22976488.158838782</v>
      </c>
      <c r="E21" s="67">
        <f t="shared" si="0"/>
        <v>43.802646309052612</v>
      </c>
      <c r="F21" s="70">
        <f t="shared" si="8"/>
        <v>2.6596966838856746</v>
      </c>
      <c r="G21" s="67">
        <f>E21/'Lookup Tables'!$C$48</f>
        <v>87.605292618105224</v>
      </c>
      <c r="H21" s="70">
        <f t="shared" si="1"/>
        <v>0.18190014674740176</v>
      </c>
      <c r="I21" s="71">
        <f t="shared" si="9"/>
        <v>0.12615162137007152</v>
      </c>
      <c r="J21" s="35">
        <f t="shared" si="6"/>
        <v>2003</v>
      </c>
      <c r="K21" s="75">
        <f>$G141</f>
        <v>658.08498260046997</v>
      </c>
      <c r="L21" s="75">
        <f>Calcs2!K16</f>
        <v>191.4587279263813</v>
      </c>
      <c r="M21" s="75">
        <f>Calcs3!K16</f>
        <v>473.35385721156445</v>
      </c>
      <c r="N21" s="75">
        <f>Calcs4!K16</f>
        <v>15.475774515905503</v>
      </c>
      <c r="O21" s="74"/>
      <c r="P21" s="74"/>
      <c r="Q21" s="74"/>
      <c r="R21" s="74"/>
      <c r="S21" s="74"/>
      <c r="T21" s="74"/>
      <c r="U21" s="74"/>
      <c r="V21" s="74"/>
      <c r="W21" s="74"/>
      <c r="X21" s="74"/>
      <c r="Y21" s="74"/>
    </row>
    <row r="22" spans="1:25" x14ac:dyDescent="0.3">
      <c r="A22" s="66">
        <f t="shared" si="7"/>
        <v>1991.4999999999986</v>
      </c>
      <c r="B22" s="67">
        <f>LOOKUP(A22+0.01,Amounts!$A$4:$A$103,Amounts!$B$4:$B$103)*0.1*$A$2</f>
        <v>8549.7012245610022</v>
      </c>
      <c r="C22" s="68">
        <f t="shared" si="3"/>
        <v>135117.333586116</v>
      </c>
      <c r="D22" s="67">
        <f t="array" ref="D22">SUM($B$7:$B17*$F$1009*EXP(-$F$1009*($A22-$A$7:$A17)))*$F$1010</f>
        <v>25151084.349382579</v>
      </c>
      <c r="E22" s="67">
        <f t="shared" si="0"/>
        <v>47.948321972840262</v>
      </c>
      <c r="F22" s="70">
        <f t="shared" si="8"/>
        <v>2.9114221101908604</v>
      </c>
      <c r="G22" s="67">
        <f>E22/'Lookup Tables'!$C$48</f>
        <v>95.896643945680523</v>
      </c>
      <c r="H22" s="70">
        <f t="shared" si="1"/>
        <v>0.18651669153064487</v>
      </c>
      <c r="I22" s="71">
        <f t="shared" si="9"/>
        <v>0.13809116728177995</v>
      </c>
      <c r="J22" s="35">
        <f t="shared" si="6"/>
        <v>2004</v>
      </c>
      <c r="K22" s="75">
        <f>$G151</f>
        <v>685.44063425854222</v>
      </c>
      <c r="L22" s="75">
        <f>Calcs2!K17</f>
        <v>202.86450936953372</v>
      </c>
      <c r="M22" s="75">
        <f>Calcs3!K17</f>
        <v>508.97805996951638</v>
      </c>
      <c r="N22" s="75">
        <f>Calcs4!K17</f>
        <v>16.736058370921072</v>
      </c>
      <c r="O22" s="74"/>
      <c r="P22" s="74"/>
      <c r="Q22" s="74"/>
      <c r="R22" s="74"/>
      <c r="S22" s="74"/>
      <c r="T22" s="74"/>
      <c r="U22" s="74"/>
      <c r="V22" s="74"/>
      <c r="W22" s="74"/>
      <c r="X22" s="74"/>
      <c r="Y22" s="74"/>
    </row>
    <row r="23" spans="1:25" x14ac:dyDescent="0.3">
      <c r="A23" s="66">
        <f t="shared" si="7"/>
        <v>1991.5999999999985</v>
      </c>
      <c r="B23" s="67">
        <f>LOOKUP(A23+0.01,Amounts!$A$4:$A$103,Amounts!$B$4:$B$103)*0.1*$A$2</f>
        <v>8549.7012245610022</v>
      </c>
      <c r="C23" s="68">
        <f t="shared" si="3"/>
        <v>143667.034810677</v>
      </c>
      <c r="D23" s="67">
        <f t="array" ref="D23">SUM($B$7:$B18*$F$1009*EXP(-$F$1009*($A23-$A$7:$A18)))*$F$1010</f>
        <v>27295448.312641211</v>
      </c>
      <c r="E23" s="67">
        <f t="shared" si="0"/>
        <v>52.036362564211608</v>
      </c>
      <c r="F23" s="70">
        <f t="shared" si="8"/>
        <v>3.1596479348989286</v>
      </c>
      <c r="G23" s="67">
        <f>E23/'Lookup Tables'!$C$48</f>
        <v>104.07272512842322</v>
      </c>
      <c r="H23" s="70">
        <f t="shared" si="1"/>
        <v>0.19037291470372167</v>
      </c>
      <c r="I23" s="71">
        <f t="shared" si="9"/>
        <v>0.14986472418492944</v>
      </c>
      <c r="J23" s="35">
        <f t="shared" si="6"/>
        <v>2005</v>
      </c>
      <c r="K23" s="75">
        <f>$G161</f>
        <v>711.48844745488702</v>
      </c>
      <c r="L23" s="75">
        <f>Calcs2!K18</f>
        <v>213.98604594167489</v>
      </c>
      <c r="M23" s="75">
        <f>Calcs3!K18</f>
        <v>544.59223575101703</v>
      </c>
      <c r="N23" s="75">
        <f>Calcs4!K18</f>
        <v>18.008321704707384</v>
      </c>
      <c r="O23" s="74"/>
      <c r="P23" s="74"/>
      <c r="Q23" s="74"/>
      <c r="R23" s="74"/>
      <c r="S23" s="74"/>
      <c r="T23" s="74"/>
      <c r="U23" s="74"/>
      <c r="V23" s="74"/>
      <c r="W23" s="74"/>
      <c r="X23" s="74"/>
      <c r="Y23" s="74"/>
    </row>
    <row r="24" spans="1:25" x14ac:dyDescent="0.3">
      <c r="A24" s="66">
        <f t="shared" si="7"/>
        <v>1991.6999999999985</v>
      </c>
      <c r="B24" s="67">
        <f>LOOKUP(A24+0.01,Amounts!$A$4:$A$103,Amounts!$B$4:$B$103)*0.1*$A$2</f>
        <v>8549.7012245610022</v>
      </c>
      <c r="C24" s="68">
        <f t="shared" si="3"/>
        <v>152216.73603523799</v>
      </c>
      <c r="D24" s="67">
        <f t="array" ref="D24">SUM($B$7:$B19*$F$1009*EXP(-$F$1009*($A24-$A$7:$A19)))*$F$1010</f>
        <v>29410000.350816362</v>
      </c>
      <c r="E24" s="67">
        <f t="shared" si="0"/>
        <v>56.067569352209865</v>
      </c>
      <c r="F24" s="70">
        <f t="shared" si="8"/>
        <v>3.4044228110661834</v>
      </c>
      <c r="G24" s="67">
        <f>E24/'Lookup Tables'!$C$48</f>
        <v>112.13513870441973</v>
      </c>
      <c r="H24" s="70">
        <f t="shared" si="1"/>
        <v>0.19359970013218153</v>
      </c>
      <c r="I24" s="71">
        <f t="shared" si="9"/>
        <v>0.16147459973436443</v>
      </c>
      <c r="J24" s="35">
        <f t="shared" si="6"/>
        <v>2006</v>
      </c>
      <c r="K24" s="75">
        <f>$G171</f>
        <v>736.44642237545713</v>
      </c>
      <c r="L24" s="75">
        <f>Calcs2!K19</f>
        <v>224.85268312757202</v>
      </c>
      <c r="M24" s="75">
        <f>Calcs3!K19</f>
        <v>580.21691693965579</v>
      </c>
      <c r="N24" s="75">
        <f>Calcs4!K19</f>
        <v>19.293011714823681</v>
      </c>
      <c r="O24" s="74"/>
      <c r="P24" s="74"/>
      <c r="Q24" s="74"/>
      <c r="R24" s="74"/>
      <c r="S24" s="74"/>
      <c r="T24" s="74"/>
      <c r="U24" s="74"/>
      <c r="V24" s="74"/>
      <c r="W24" s="74"/>
      <c r="X24" s="74"/>
      <c r="Y24" s="74"/>
    </row>
    <row r="25" spans="1:25" x14ac:dyDescent="0.3">
      <c r="A25" s="66">
        <f t="shared" si="7"/>
        <v>1991.7999999999984</v>
      </c>
      <c r="B25" s="67">
        <f>LOOKUP(A25+0.01,Amounts!$A$4:$A$103,Amounts!$B$4:$B$103)*0.1*$A$2</f>
        <v>8549.7012245610022</v>
      </c>
      <c r="C25" s="68">
        <f t="shared" si="3"/>
        <v>160766.43725979899</v>
      </c>
      <c r="D25" s="67">
        <f t="array" ref="D25">SUM($B$7:$B20*$F$1009*EXP(-$F$1009*($A25-$A$7:$A20)))*$F$1010</f>
        <v>31495154.922876928</v>
      </c>
      <c r="E25" s="67">
        <f t="shared" si="0"/>
        <v>60.042732466270756</v>
      </c>
      <c r="F25" s="70">
        <f t="shared" si="8"/>
        <v>3.6457947153519603</v>
      </c>
      <c r="G25" s="67">
        <f>E25/'Lookup Tables'!$C$48</f>
        <v>120.08546493254151</v>
      </c>
      <c r="H25" s="70">
        <f t="shared" si="1"/>
        <v>0.19630005318382068</v>
      </c>
      <c r="I25" s="71">
        <f t="shared" si="9"/>
        <v>0.17292306950285979</v>
      </c>
      <c r="J25" s="35">
        <f t="shared" si="6"/>
        <v>2007</v>
      </c>
      <c r="K25" s="75">
        <f>$G181</f>
        <v>760.500936486461</v>
      </c>
      <c r="L25" s="75">
        <f>Calcs2!K20</f>
        <v>235.49110722420932</v>
      </c>
      <c r="M25" s="75">
        <f>Calcs3!K20</f>
        <v>615.87071861821903</v>
      </c>
      <c r="N25" s="75">
        <f>Calcs4!K20</f>
        <v>20.590528465569481</v>
      </c>
      <c r="O25" s="74"/>
      <c r="P25" s="74"/>
      <c r="Q25" s="74"/>
      <c r="R25" s="74"/>
      <c r="S25" s="74"/>
      <c r="T25" s="74"/>
      <c r="U25" s="74"/>
      <c r="V25" s="74"/>
      <c r="W25" s="74"/>
      <c r="X25" s="74"/>
      <c r="Y25" s="74"/>
    </row>
    <row r="26" spans="1:25" x14ac:dyDescent="0.3">
      <c r="A26" s="66">
        <f t="shared" si="7"/>
        <v>1991.8999999999983</v>
      </c>
      <c r="B26" s="67">
        <f>LOOKUP(A26+0.01,Amounts!$A$4:$A$103,Amounts!$B$4:$B$103)*0.1*$A$2</f>
        <v>8549.7012245610022</v>
      </c>
      <c r="C26" s="68">
        <f t="shared" si="3"/>
        <v>169316.13848435998</v>
      </c>
      <c r="D26" s="67">
        <f t="array" ref="D26">SUM($B$7:$B21*$F$1009*EXP(-$F$1009*($A26-$A$7:$A21)))*$F$1010</f>
        <v>33551320.725794356</v>
      </c>
      <c r="E26" s="67">
        <f t="shared" si="0"/>
        <v>63.962631051090575</v>
      </c>
      <c r="F26" s="70">
        <f t="shared" si="8"/>
        <v>3.8838109574222197</v>
      </c>
      <c r="G26" s="67">
        <f>E26/'Lookup Tables'!$C$48</f>
        <v>127.92526210218115</v>
      </c>
      <c r="H26" s="70">
        <f t="shared" si="1"/>
        <v>0.19855613990132795</v>
      </c>
      <c r="I26" s="71">
        <f t="shared" si="9"/>
        <v>0.18421237742714083</v>
      </c>
      <c r="J26" s="35">
        <f t="shared" si="6"/>
        <v>2008</v>
      </c>
      <c r="K26" s="75">
        <f>$G191</f>
        <v>783.81716136380624</v>
      </c>
      <c r="L26" s="75">
        <f>Calcs2!K21</f>
        <v>245.92687562162567</v>
      </c>
      <c r="M26" s="75">
        <f>Calcs3!K21</f>
        <v>651.57309224481594</v>
      </c>
      <c r="N26" s="75">
        <f>Calcs4!K21</f>
        <v>21.901307375483523</v>
      </c>
      <c r="O26" s="74"/>
      <c r="P26" s="74"/>
      <c r="Q26" s="74"/>
      <c r="R26" s="74"/>
      <c r="S26" s="74"/>
      <c r="T26" s="74"/>
      <c r="U26" s="74"/>
      <c r="V26" s="74"/>
      <c r="W26" s="74"/>
      <c r="X26" s="74"/>
      <c r="Y26" s="74"/>
    </row>
    <row r="27" spans="1:25" x14ac:dyDescent="0.3">
      <c r="A27" s="66">
        <f t="shared" si="7"/>
        <v>1991.9999999999982</v>
      </c>
      <c r="B27" s="67">
        <f>LOOKUP(A27+0.01,Amounts!$A$4:$A$103,Amounts!$B$4:$B$103)*0.1*$A$2</f>
        <v>8720.7974858340021</v>
      </c>
      <c r="C27" s="68">
        <f t="shared" si="3"/>
        <v>178036.935970194</v>
      </c>
      <c r="D27" s="67">
        <f t="array" ref="D27">SUM($B$7:$B22*$F$1009*EXP(-$F$1009*($A27-$A$7:$A22)))*$F$1010</f>
        <v>35578900.774648532</v>
      </c>
      <c r="E27" s="67">
        <f t="shared" si="0"/>
        <v>67.828033419340898</v>
      </c>
      <c r="F27" s="70">
        <f t="shared" si="8"/>
        <v>4.118518189222379</v>
      </c>
      <c r="G27" s="67">
        <f>E27/'Lookup Tables'!$C$48</f>
        <v>135.6560668386818</v>
      </c>
      <c r="H27" s="70">
        <f t="shared" si="1"/>
        <v>0.20024167553172209</v>
      </c>
      <c r="I27" s="71">
        <f t="shared" si="9"/>
        <v>0.19534473624770177</v>
      </c>
      <c r="J27" s="35">
        <f t="shared" si="6"/>
        <v>2009</v>
      </c>
      <c r="K27" s="75">
        <f>$G201</f>
        <v>806.54183306802986</v>
      </c>
      <c r="L27" s="75">
        <f>Calcs2!K22</f>
        <v>256.18449312400213</v>
      </c>
      <c r="M27" s="75">
        <f>Calcs3!K22</f>
        <v>687.34430255918653</v>
      </c>
      <c r="N27" s="75">
        <f>Calcs4!K22</f>
        <v>23.225818725833115</v>
      </c>
      <c r="O27" s="74"/>
      <c r="P27" s="74"/>
      <c r="Q27" s="74"/>
      <c r="R27" s="74"/>
      <c r="S27" s="74"/>
      <c r="T27" s="74"/>
      <c r="U27" s="74"/>
      <c r="V27" s="74"/>
      <c r="W27" s="74"/>
      <c r="X27" s="74"/>
      <c r="Y27" s="74"/>
    </row>
    <row r="28" spans="1:25" x14ac:dyDescent="0.3">
      <c r="A28" s="66">
        <f t="shared" si="7"/>
        <v>1992.0999999999981</v>
      </c>
      <c r="B28" s="67">
        <f>LOOKUP(A28+0.01,Amounts!$A$4:$A$103,Amounts!$B$4:$B$103)*0.1*$A$2</f>
        <v>8720.7974858340021</v>
      </c>
      <c r="C28" s="68">
        <f t="shared" si="3"/>
        <v>186757.73345602799</v>
      </c>
      <c r="D28" s="67">
        <f t="array" ref="D28">SUM($B$7:$B23*$F$1009*EXP(-$F$1009*($A28-$A$7:$A23)))*$F$1010</f>
        <v>37578292.481620036</v>
      </c>
      <c r="E28" s="67">
        <f t="shared" si="0"/>
        <v>71.639697202260464</v>
      </c>
      <c r="F28" s="70">
        <f t="shared" si="8"/>
        <v>4.3499624141212552</v>
      </c>
      <c r="G28" s="67">
        <f>E28/'Lookup Tables'!$C$48</f>
        <v>143.27939440452093</v>
      </c>
      <c r="H28" s="70">
        <f t="shared" si="1"/>
        <v>0.20161855765064568</v>
      </c>
      <c r="I28" s="71">
        <f t="shared" si="9"/>
        <v>0.20632232794251013</v>
      </c>
      <c r="J28" s="35">
        <f t="shared" si="6"/>
        <v>2010</v>
      </c>
      <c r="K28" s="75">
        <f>$G211</f>
        <v>828.79937501102245</v>
      </c>
      <c r="L28" s="75">
        <f>Calcs2!K23</f>
        <v>266.28613260765934</v>
      </c>
      <c r="M28" s="75">
        <f>Calcs3!K23</f>
        <v>723.20270439035255</v>
      </c>
      <c r="N28" s="75">
        <f>Calcs4!K23</f>
        <v>24.564485343705549</v>
      </c>
      <c r="O28" s="74"/>
      <c r="P28" s="74"/>
      <c r="Q28" s="74"/>
      <c r="R28" s="74"/>
      <c r="S28" s="74"/>
      <c r="T28" s="74"/>
      <c r="U28" s="74"/>
      <c r="V28" s="74"/>
      <c r="W28" s="74"/>
      <c r="X28" s="74"/>
      <c r="Y28" s="74"/>
    </row>
    <row r="29" spans="1:25" x14ac:dyDescent="0.3">
      <c r="A29" s="66">
        <f t="shared" si="7"/>
        <v>1992.199999999998</v>
      </c>
      <c r="B29" s="67">
        <f>LOOKUP(A29+0.01,Amounts!$A$4:$A$103,Amounts!$B$4:$B$103)*0.1*$A$2</f>
        <v>8720.7974858340021</v>
      </c>
      <c r="C29" s="68">
        <f t="shared" si="3"/>
        <v>195478.53094186197</v>
      </c>
      <c r="D29" s="67">
        <f t="array" ref="D29">SUM($B$7:$B24*$F$1009*EXP(-$F$1009*($A29-$A$7:$A24)))*$F$1010</f>
        <v>39549887.733884186</v>
      </c>
      <c r="E29" s="67">
        <f t="shared" si="0"/>
        <v>75.398369498153144</v>
      </c>
      <c r="F29" s="70">
        <f t="shared" si="8"/>
        <v>4.5781889959278592</v>
      </c>
      <c r="G29" s="67">
        <f>E29/'Lookup Tables'!$C$48</f>
        <v>150.79673899630629</v>
      </c>
      <c r="H29" s="70">
        <f t="shared" si="1"/>
        <v>0.20273010451472862</v>
      </c>
      <c r="I29" s="71">
        <f t="shared" si="9"/>
        <v>0.21714730415468103</v>
      </c>
      <c r="J29" s="35">
        <f t="shared" si="6"/>
        <v>2011</v>
      </c>
      <c r="K29" s="75">
        <f>$G221</f>
        <v>850.70109850135327</v>
      </c>
      <c r="L29" s="75">
        <f>Calcs2!K24</f>
        <v>276.25314317710371</v>
      </c>
      <c r="M29" s="75">
        <f>Calcs3!K24</f>
        <v>759.16749612868898</v>
      </c>
      <c r="N29" s="75">
        <f>Calcs4!K24</f>
        <v>25.917765093968828</v>
      </c>
      <c r="O29" s="74"/>
      <c r="P29" s="74"/>
      <c r="Q29" s="74"/>
      <c r="R29" s="74"/>
      <c r="S29" s="74"/>
      <c r="T29" s="74"/>
      <c r="U29" s="74"/>
      <c r="V29" s="74"/>
      <c r="W29" s="74"/>
      <c r="X29" s="74"/>
      <c r="Y29" s="74"/>
    </row>
    <row r="30" spans="1:25" x14ac:dyDescent="0.3">
      <c r="A30" s="66">
        <f t="shared" si="7"/>
        <v>1992.2999999999979</v>
      </c>
      <c r="B30" s="67">
        <f>LOOKUP(A30+0.01,Amounts!$A$4:$A$103,Amounts!$B$4:$B$103)*0.1*$A$2</f>
        <v>8720.7974858340021</v>
      </c>
      <c r="C30" s="68">
        <f t="shared" si="3"/>
        <v>204199.32842769596</v>
      </c>
      <c r="D30" s="67">
        <f t="array" ref="D30">SUM($B$7:$B25*$F$1009*EXP(-$F$1009*($A30-$A$7:$A25)))*$F$1010</f>
        <v>41494072.970422216</v>
      </c>
      <c r="E30" s="67">
        <f t="shared" si="0"/>
        <v>79.104787018821867</v>
      </c>
      <c r="F30" s="70">
        <f t="shared" si="8"/>
        <v>4.8032426677828646</v>
      </c>
      <c r="G30" s="67">
        <f>E30/'Lookup Tables'!$C$48</f>
        <v>158.20957403764373</v>
      </c>
      <c r="H30" s="70">
        <f t="shared" si="1"/>
        <v>0.20361220762689611</v>
      </c>
      <c r="I30" s="71">
        <f t="shared" si="9"/>
        <v>0.22782178661420699</v>
      </c>
      <c r="J30" s="35">
        <f t="shared" si="6"/>
        <v>2012</v>
      </c>
      <c r="K30" s="75">
        <f>$G231</f>
        <v>872.34377294182138</v>
      </c>
      <c r="L30" s="75">
        <f>Calcs2!K25</f>
        <v>286.10543060543728</v>
      </c>
      <c r="M30" s="75">
        <f>Calcs3!K25</f>
        <v>795.25734606565572</v>
      </c>
      <c r="N30" s="75">
        <f>Calcs4!K25</f>
        <v>27.286109476044771</v>
      </c>
      <c r="O30" s="74"/>
      <c r="P30" s="74"/>
      <c r="Q30" s="74"/>
      <c r="R30" s="74"/>
      <c r="S30" s="74"/>
      <c r="T30" s="74"/>
      <c r="U30" s="74"/>
      <c r="V30" s="74"/>
      <c r="W30" s="74"/>
      <c r="X30" s="74"/>
      <c r="Y30" s="74"/>
    </row>
    <row r="31" spans="1:25" x14ac:dyDescent="0.3">
      <c r="A31" s="66">
        <f t="shared" si="7"/>
        <v>1992.3999999999978</v>
      </c>
      <c r="B31" s="67">
        <f>LOOKUP(A31+0.01,Amounts!$A$4:$A$103,Amounts!$B$4:$B$103)*0.1*$A$2</f>
        <v>8720.7974858340021</v>
      </c>
      <c r="C31" s="68">
        <f t="shared" si="3"/>
        <v>212920.12591352995</v>
      </c>
      <c r="D31" s="67">
        <f t="array" ref="D31">SUM($B$7:$B26*$F$1009*EXP(-$F$1009*($A31-$A$7:$A26)))*$F$1010</f>
        <v>43411229.257764496</v>
      </c>
      <c r="E31" s="67">
        <f t="shared" si="0"/>
        <v>82.759676233966147</v>
      </c>
      <c r="F31" s="70">
        <f t="shared" si="8"/>
        <v>5.0251675409264251</v>
      </c>
      <c r="G31" s="67">
        <f>E31/'Lookup Tables'!$C$48</f>
        <v>165.51935246793229</v>
      </c>
      <c r="H31" s="70">
        <f t="shared" si="1"/>
        <v>0.20429485302031988</v>
      </c>
      <c r="I31" s="71">
        <f t="shared" si="9"/>
        <v>0.23834786755382253</v>
      </c>
      <c r="J31" s="35">
        <f t="shared" si="6"/>
        <v>2013</v>
      </c>
      <c r="K31" s="75">
        <f>$G241</f>
        <v>899.80482760153063</v>
      </c>
      <c r="L31" s="75">
        <f>Calcs2!K26</f>
        <v>297.14925981880981</v>
      </c>
      <c r="M31" s="75">
        <f>Calcs3!K26</f>
        <v>834.06555911112639</v>
      </c>
      <c r="N31" s="75">
        <f>Calcs4!K26</f>
        <v>28.747990744678422</v>
      </c>
      <c r="O31" s="74"/>
      <c r="P31" s="74"/>
      <c r="Q31" s="74"/>
      <c r="R31" s="74"/>
      <c r="S31" s="74"/>
      <c r="T31" s="74"/>
      <c r="U31" s="74"/>
      <c r="V31" s="74"/>
      <c r="W31" s="74"/>
      <c r="X31" s="74"/>
      <c r="Y31" s="74"/>
    </row>
    <row r="32" spans="1:25" x14ac:dyDescent="0.3">
      <c r="A32" s="66">
        <f t="shared" si="7"/>
        <v>1992.4999999999977</v>
      </c>
      <c r="B32" s="67">
        <f>LOOKUP(A32+0.01,Amounts!$A$4:$A$103,Amounts!$B$4:$B$103)*0.1*$A$2</f>
        <v>8720.7974858340021</v>
      </c>
      <c r="C32" s="68">
        <f t="shared" si="3"/>
        <v>221640.92339936394</v>
      </c>
      <c r="D32" s="67">
        <f t="array" ref="D32">SUM($B$7:$B27*$F$1009*EXP(-$F$1009*($A32-$A$7:$A27)))*$F$1010</f>
        <v>45351642.704085596</v>
      </c>
      <c r="E32" s="67">
        <f t="shared" si="0"/>
        <v>86.458903169560145</v>
      </c>
      <c r="F32" s="70">
        <f t="shared" si="8"/>
        <v>5.2497846004556923</v>
      </c>
      <c r="G32" s="67">
        <f>E32/'Lookup Tables'!$C$48</f>
        <v>172.91780633912029</v>
      </c>
      <c r="H32" s="70">
        <f t="shared" si="1"/>
        <v>0.20502892159513181</v>
      </c>
      <c r="I32" s="71">
        <f t="shared" si="9"/>
        <v>0.2490016411283332</v>
      </c>
      <c r="J32" s="35">
        <f t="shared" si="6"/>
        <v>2014</v>
      </c>
      <c r="K32" s="75">
        <f>$G251</f>
        <v>926.50683331260109</v>
      </c>
      <c r="L32" s="75">
        <f>Calcs2!K27</f>
        <v>308.05418441507101</v>
      </c>
      <c r="M32" s="75">
        <f>Calcs3!K27</f>
        <v>873.01754535655834</v>
      </c>
      <c r="N32" s="75">
        <f>Calcs4!K27</f>
        <v>30.226372777639252</v>
      </c>
      <c r="O32" s="74"/>
      <c r="P32" s="74"/>
      <c r="Q32" s="74"/>
      <c r="R32" s="74"/>
      <c r="S32" s="74"/>
      <c r="T32" s="74"/>
      <c r="U32" s="74"/>
      <c r="V32" s="74"/>
      <c r="W32" s="74"/>
      <c r="X32" s="74"/>
      <c r="Y32" s="74"/>
    </row>
    <row r="33" spans="1:25" x14ac:dyDescent="0.3">
      <c r="A33" s="66">
        <f t="shared" si="7"/>
        <v>1992.5999999999976</v>
      </c>
      <c r="B33" s="67">
        <f>LOOKUP(A33+0.01,Amounts!$A$4:$A$103,Amounts!$B$4:$B$103)*0.1*$A$2</f>
        <v>8720.7974858340021</v>
      </c>
      <c r="C33" s="68">
        <f t="shared" si="3"/>
        <v>230361.72088519792</v>
      </c>
      <c r="D33" s="67">
        <f t="array" ref="D33">SUM($B$7:$B28*$F$1009*EXP(-$F$1009*($A33-$A$7:$A28)))*$F$1010</f>
        <v>47265079.638357475</v>
      </c>
      <c r="E33" s="67">
        <f t="shared" si="0"/>
        <v>90.106701766420429</v>
      </c>
      <c r="F33" s="70">
        <f t="shared" si="8"/>
        <v>5.4712789312570482</v>
      </c>
      <c r="G33" s="67">
        <f>E33/'Lookup Tables'!$C$48</f>
        <v>180.21340353284086</v>
      </c>
      <c r="H33" s="70">
        <f t="shared" si="1"/>
        <v>0.20559007054836484</v>
      </c>
      <c r="I33" s="71">
        <f t="shared" si="9"/>
        <v>0.25950730108729081</v>
      </c>
      <c r="J33" s="35">
        <f t="shared" si="6"/>
        <v>2015</v>
      </c>
      <c r="K33" s="75">
        <f>$G261</f>
        <v>952.60552380289892</v>
      </c>
      <c r="L33" s="75">
        <f>Calcs2!K28</f>
        <v>318.84174973457311</v>
      </c>
      <c r="M33" s="75">
        <f>Calcs3!K28</f>
        <v>912.1336416159661</v>
      </c>
      <c r="N33" s="75">
        <f>Calcs4!K28</f>
        <v>31.721762663860659</v>
      </c>
      <c r="O33" s="74"/>
      <c r="P33" s="74"/>
      <c r="Q33" s="74"/>
      <c r="R33" s="74"/>
      <c r="S33" s="74"/>
      <c r="T33" s="74"/>
      <c r="U33" s="74"/>
      <c r="V33" s="74"/>
      <c r="W33" s="74"/>
      <c r="X33" s="74"/>
      <c r="Y33" s="74"/>
    </row>
    <row r="34" spans="1:25" x14ac:dyDescent="0.3">
      <c r="A34" s="66">
        <f t="shared" si="7"/>
        <v>1992.6999999999975</v>
      </c>
      <c r="B34" s="67">
        <f>LOOKUP(A34+0.01,Amounts!$A$4:$A$103,Amounts!$B$4:$B$103)*0.1*$A$2</f>
        <v>8720.7974858340021</v>
      </c>
      <c r="C34" s="68">
        <f t="shared" si="3"/>
        <v>239082.51837103191</v>
      </c>
      <c r="D34" s="67">
        <f t="array" ref="D34">SUM($B$7:$B29*$F$1009*EXP(-$F$1009*($A34-$A$7:$A29)))*$F$1010</f>
        <v>49151915.100344859</v>
      </c>
      <c r="E34" s="67">
        <f t="shared" si="0"/>
        <v>93.703787004749913</v>
      </c>
      <c r="F34" s="70">
        <f t="shared" si="8"/>
        <v>5.6896939469284149</v>
      </c>
      <c r="G34" s="67">
        <f>E34/'Lookup Tables'!$C$48</f>
        <v>187.40757400949983</v>
      </c>
      <c r="H34" s="70">
        <f t="shared" si="1"/>
        <v>0.20599879399490192</v>
      </c>
      <c r="I34" s="71">
        <f t="shared" si="9"/>
        <v>0.26986690657367979</v>
      </c>
      <c r="J34" s="35">
        <f t="shared" si="6"/>
        <v>2016</v>
      </c>
      <c r="K34" s="75">
        <f>$G271</f>
        <v>978.23628747127452</v>
      </c>
      <c r="L34" s="75">
        <f>Calcs2!K29</f>
        <v>329.53204451950899</v>
      </c>
      <c r="M34" s="75">
        <f>Calcs3!K29</f>
        <v>951.43362317071308</v>
      </c>
      <c r="N34" s="75">
        <f>Calcs4!K29</f>
        <v>33.234660442494658</v>
      </c>
      <c r="O34" s="74"/>
      <c r="P34" s="74"/>
      <c r="Q34" s="74"/>
      <c r="R34" s="74"/>
      <c r="S34" s="74"/>
      <c r="T34" s="74"/>
      <c r="U34" s="74"/>
      <c r="V34" s="74"/>
      <c r="W34" s="74"/>
      <c r="X34" s="74"/>
      <c r="Y34" s="74"/>
    </row>
    <row r="35" spans="1:25" x14ac:dyDescent="0.3">
      <c r="A35" s="66">
        <f t="shared" si="7"/>
        <v>1992.7999999999975</v>
      </c>
      <c r="B35" s="67">
        <f>LOOKUP(A35+0.01,Amounts!$A$4:$A$103,Amounts!$B$4:$B$103)*0.1*$A$2</f>
        <v>8720.7974858340021</v>
      </c>
      <c r="C35" s="68">
        <f t="shared" si="3"/>
        <v>247803.3158568659</v>
      </c>
      <c r="D35" s="67">
        <f t="array" ref="D35">SUM($B$7:$B30*$F$1009*EXP(-$F$1009*($A35-$A$7:$A30)))*$F$1010</f>
        <v>51012518.915838733</v>
      </c>
      <c r="E35" s="67">
        <f t="shared" si="0"/>
        <v>97.250863924770883</v>
      </c>
      <c r="F35" s="70">
        <f t="shared" si="8"/>
        <v>5.9050724575120883</v>
      </c>
      <c r="G35" s="67">
        <f>E35/'Lookup Tables'!$C$48</f>
        <v>194.50172784954177</v>
      </c>
      <c r="H35" s="70">
        <f t="shared" si="1"/>
        <v>0.2062726800168575</v>
      </c>
      <c r="I35" s="71">
        <f t="shared" si="9"/>
        <v>0.28008248810334013</v>
      </c>
      <c r="J35" s="35">
        <f t="shared" si="6"/>
        <v>2017</v>
      </c>
      <c r="K35" s="75">
        <f>$G281</f>
        <v>1003.5199681280144</v>
      </c>
      <c r="L35" s="75">
        <f>Calcs2!K30</f>
        <v>340.1444746406039</v>
      </c>
      <c r="M35" s="75">
        <f>Calcs3!K30</f>
        <v>990.93806964250541</v>
      </c>
      <c r="N35" s="75">
        <f>Calcs4!K30</f>
        <v>34.765600117036641</v>
      </c>
      <c r="O35" s="74"/>
      <c r="P35" s="74"/>
      <c r="Q35" s="74"/>
      <c r="R35" s="74"/>
      <c r="S35" s="74"/>
      <c r="T35" s="74"/>
      <c r="U35" s="74"/>
      <c r="V35" s="74"/>
      <c r="W35" s="74"/>
      <c r="X35" s="74"/>
      <c r="Y35" s="74"/>
    </row>
    <row r="36" spans="1:25" x14ac:dyDescent="0.3">
      <c r="A36" s="66">
        <f t="shared" si="7"/>
        <v>1992.8999999999974</v>
      </c>
      <c r="B36" s="67">
        <f>LOOKUP(A36+0.01,Amounts!$A$4:$A$103,Amounts!$B$4:$B$103)*0.1*$A$2</f>
        <v>8720.7974858340021</v>
      </c>
      <c r="C36" s="68">
        <f t="shared" si="3"/>
        <v>256524.11334269989</v>
      </c>
      <c r="D36" s="67">
        <f t="array" ref="D36">SUM($B$7:$B31*$F$1009*EXP(-$F$1009*($A36-$A$7:$A31)))*$F$1010</f>
        <v>52847255.76914338</v>
      </c>
      <c r="E36" s="67">
        <f t="shared" si="0"/>
        <v>100.74862776491507</v>
      </c>
      <c r="F36" s="70">
        <f t="shared" si="8"/>
        <v>6.1174566778856434</v>
      </c>
      <c r="G36" s="67">
        <f>E36/'Lookup Tables'!$C$48</f>
        <v>201.49725552983014</v>
      </c>
      <c r="H36" s="70">
        <f t="shared" si="1"/>
        <v>0.20642690491438084</v>
      </c>
      <c r="I36" s="71">
        <f t="shared" si="9"/>
        <v>0.29015604796295541</v>
      </c>
      <c r="J36" s="35">
        <f t="shared" si="6"/>
        <v>2018</v>
      </c>
      <c r="K36" s="75">
        <f>$G291</f>
        <v>872.41834867934767</v>
      </c>
      <c r="L36" s="75">
        <f>Calcs2!K31</f>
        <v>317.14860603007457</v>
      </c>
      <c r="M36" s="75">
        <f>Calcs3!K31</f>
        <v>963.57665114088104</v>
      </c>
      <c r="N36" s="75">
        <f>Calcs4!K31</f>
        <v>34.282272900234929</v>
      </c>
      <c r="O36" s="74"/>
      <c r="P36" s="74"/>
      <c r="Q36" s="74"/>
      <c r="R36" s="74"/>
      <c r="S36" s="74"/>
      <c r="T36" s="74"/>
      <c r="U36" s="74"/>
      <c r="V36" s="74"/>
      <c r="W36" s="74"/>
      <c r="X36" s="74"/>
      <c r="Y36" s="74"/>
    </row>
    <row r="37" spans="1:25" x14ac:dyDescent="0.3">
      <c r="A37" s="66">
        <f t="shared" si="7"/>
        <v>1992.9999999999973</v>
      </c>
      <c r="B37" s="67">
        <f>LOOKUP(A37+0.01,Amounts!$A$4:$A$103,Amounts!$B$4:$B$103)*0.1*$A$2</f>
        <v>8895.2014076940013</v>
      </c>
      <c r="C37" s="68">
        <f t="shared" si="3"/>
        <v>265419.31475039391</v>
      </c>
      <c r="D37" s="67">
        <f t="array" ref="D37">SUM($B$7:$B32*$F$1009*EXP(-$F$1009*($A37-$A$7:$A32)))*$F$1010</f>
        <v>54656485.274555683</v>
      </c>
      <c r="E37" s="67">
        <f t="shared" si="0"/>
        <v>104.19776409809273</v>
      </c>
      <c r="F37" s="70">
        <f t="shared" si="8"/>
        <v>6.3268882360361909</v>
      </c>
      <c r="G37" s="67">
        <f>E37/'Lookup Tables'!$C$48</f>
        <v>208.39552819618547</v>
      </c>
      <c r="H37" s="70">
        <f t="shared" si="1"/>
        <v>0.20633895789182111</v>
      </c>
      <c r="I37" s="71">
        <f t="shared" si="9"/>
        <v>0.30008956060250708</v>
      </c>
      <c r="J37" s="35">
        <f t="shared" si="6"/>
        <v>2019</v>
      </c>
      <c r="K37" s="75">
        <f>$G301</f>
        <v>758.44407613751446</v>
      </c>
      <c r="L37" s="75">
        <f>Calcs2!K32</f>
        <v>295.70740025424675</v>
      </c>
      <c r="M37" s="75">
        <f>Calcs3!K32</f>
        <v>936.97072609071995</v>
      </c>
      <c r="N37" s="75">
        <f>Calcs4!K32</f>
        <v>33.805665118671371</v>
      </c>
      <c r="O37" s="74"/>
      <c r="P37" s="74"/>
      <c r="Q37" s="74"/>
      <c r="R37" s="74"/>
      <c r="S37" s="74"/>
      <c r="T37" s="74"/>
      <c r="U37" s="74"/>
      <c r="V37" s="74"/>
      <c r="W37" s="74"/>
      <c r="X37" s="74"/>
      <c r="Y37" s="74"/>
    </row>
    <row r="38" spans="1:25" x14ac:dyDescent="0.3">
      <c r="A38" s="66">
        <f t="shared" si="7"/>
        <v>1993.0999999999972</v>
      </c>
      <c r="B38" s="67">
        <f>LOOKUP(A38+0.01,Amounts!$A$4:$A$103,Amounts!$B$4:$B$103)*0.1*$A$2</f>
        <v>8895.2014076940013</v>
      </c>
      <c r="C38" s="68">
        <f t="shared" si="3"/>
        <v>274314.51615808794</v>
      </c>
      <c r="D38" s="67">
        <f t="array" ref="D38">SUM($B$7:$B33*$F$1009*EXP(-$F$1009*($A38-$A$7:$A33)))*$F$1010</f>
        <v>56440562.046850689</v>
      </c>
      <c r="E38" s="67">
        <f t="shared" si="0"/>
        <v>107.5989489660671</v>
      </c>
      <c r="F38" s="70">
        <f t="shared" si="8"/>
        <v>6.5334081812195937</v>
      </c>
      <c r="G38" s="67">
        <f>E38/'Lookup Tables'!$C$48</f>
        <v>215.1978979321342</v>
      </c>
      <c r="H38" s="70">
        <f t="shared" si="1"/>
        <v>0.20616483724095991</v>
      </c>
      <c r="I38" s="71">
        <f t="shared" si="9"/>
        <v>0.30988497302227319</v>
      </c>
      <c r="J38" s="35">
        <f t="shared" si="6"/>
        <v>2020</v>
      </c>
      <c r="K38" s="75">
        <f>$G311</f>
        <v>659.35960367967084</v>
      </c>
      <c r="L38" s="75">
        <f>Calcs2!K33</f>
        <v>275.71575249753192</v>
      </c>
      <c r="M38" s="75">
        <f>Calcs3!K33</f>
        <v>911.09943408395657</v>
      </c>
      <c r="N38" s="75">
        <f>Calcs4!K33</f>
        <v>33.335683355694918</v>
      </c>
      <c r="O38" s="74"/>
      <c r="P38" s="74"/>
      <c r="Q38" s="74"/>
      <c r="R38" s="74"/>
      <c r="S38" s="74"/>
      <c r="T38" s="74"/>
      <c r="U38" s="74"/>
      <c r="V38" s="74"/>
      <c r="W38" s="74"/>
      <c r="X38" s="74"/>
      <c r="Y38" s="74"/>
    </row>
    <row r="39" spans="1:25" x14ac:dyDescent="0.3">
      <c r="A39" s="66">
        <f t="shared" si="7"/>
        <v>1993.1999999999971</v>
      </c>
      <c r="B39" s="67">
        <f>LOOKUP(A39+0.01,Amounts!$A$4:$A$103,Amounts!$B$4:$B$103)*0.1*$A$2</f>
        <v>8895.2014076940013</v>
      </c>
      <c r="C39" s="68">
        <f t="shared" si="3"/>
        <v>283209.71756578196</v>
      </c>
      <c r="D39" s="67">
        <f t="array" ref="D39">SUM($B$7:$B34*$F$1009*EXP(-$F$1009*($A39-$A$7:$A34)))*$F$1010</f>
        <v>58199835.770787232</v>
      </c>
      <c r="E39" s="67">
        <f t="shared" si="0"/>
        <v>110.95284901196065</v>
      </c>
      <c r="F39" s="70">
        <f t="shared" si="8"/>
        <v>6.7370569920062513</v>
      </c>
      <c r="G39" s="67">
        <f>E39/'Lookup Tables'!$C$48</f>
        <v>221.9056980239213</v>
      </c>
      <c r="H39" s="70">
        <f t="shared" si="1"/>
        <v>0.20591389992520687</v>
      </c>
      <c r="I39" s="71">
        <f t="shared" si="9"/>
        <v>0.3195442051544467</v>
      </c>
      <c r="J39" s="35">
        <f t="shared" si="6"/>
        <v>2021</v>
      </c>
      <c r="K39" s="75">
        <f>$G321</f>
        <v>573.21970154828762</v>
      </c>
      <c r="L39" s="75">
        <f>Calcs2!K34</f>
        <v>257.07566367943309</v>
      </c>
      <c r="M39" s="75">
        <f>Calcs3!K34</f>
        <v>885.94249070246144</v>
      </c>
      <c r="N39" s="75">
        <f>Calcs4!K34</f>
        <v>32.872235493375548</v>
      </c>
      <c r="O39" s="74"/>
      <c r="P39" s="74"/>
      <c r="Q39" s="74"/>
      <c r="R39" s="74"/>
      <c r="S39" s="74"/>
      <c r="T39" s="74"/>
      <c r="U39" s="74"/>
      <c r="V39" s="74"/>
      <c r="W39" s="74"/>
      <c r="X39" s="74"/>
      <c r="Y39" s="74"/>
    </row>
    <row r="40" spans="1:25" x14ac:dyDescent="0.3">
      <c r="A40" s="66">
        <f t="shared" si="7"/>
        <v>1993.299999999997</v>
      </c>
      <c r="B40" s="67">
        <f>LOOKUP(A40+0.01,Amounts!$A$4:$A$103,Amounts!$B$4:$B$103)*0.1*$A$2</f>
        <v>8895.2014076940013</v>
      </c>
      <c r="C40" s="68">
        <f t="shared" si="3"/>
        <v>292104.91897347599</v>
      </c>
      <c r="D40" s="67">
        <f t="array" ref="D40">SUM($B$7:$B35*$F$1009*EXP(-$F$1009*($A40-$A$7:$A35)))*$F$1010</f>
        <v>59934651.269647263</v>
      </c>
      <c r="E40" s="67">
        <f t="shared" si="0"/>
        <v>114.26012161091944</v>
      </c>
      <c r="F40" s="70">
        <f t="shared" si="8"/>
        <v>6.9378745842150282</v>
      </c>
      <c r="G40" s="67">
        <f>E40/'Lookup Tables'!$C$48</f>
        <v>228.52024322183888</v>
      </c>
      <c r="H40" s="70">
        <f t="shared" si="1"/>
        <v>0.2055943464757348</v>
      </c>
      <c r="I40" s="71">
        <f t="shared" si="9"/>
        <v>0.32906915023944799</v>
      </c>
      <c r="J40" s="35">
        <f t="shared" si="6"/>
        <v>2022</v>
      </c>
      <c r="K40" s="75">
        <f>$G331</f>
        <v>498.33326823391263</v>
      </c>
      <c r="L40" s="75">
        <f>Calcs2!K35</f>
        <v>239.69576006293872</v>
      </c>
      <c r="M40" s="75">
        <f>Calcs3!K35</f>
        <v>861.48017161401776</v>
      </c>
      <c r="N40" s="75">
        <f>Calcs4!K35</f>
        <v>32.415230694448546</v>
      </c>
      <c r="O40" s="74"/>
      <c r="P40" s="74"/>
      <c r="Q40" s="74"/>
      <c r="R40" s="74"/>
      <c r="S40" s="74"/>
      <c r="T40" s="74"/>
      <c r="U40" s="74"/>
      <c r="V40" s="74"/>
      <c r="W40" s="74"/>
      <c r="X40" s="74"/>
      <c r="Y40" s="74"/>
    </row>
    <row r="41" spans="1:25" x14ac:dyDescent="0.3">
      <c r="A41" s="66">
        <f t="shared" si="7"/>
        <v>1993.3999999999969</v>
      </c>
      <c r="B41" s="67">
        <f>LOOKUP(A41+0.01,Amounts!$A$4:$A$103,Amounts!$B$4:$B$103)*0.1*$A$2</f>
        <v>8895.2014076940013</v>
      </c>
      <c r="C41" s="68">
        <f t="shared" si="3"/>
        <v>301000.12038117001</v>
      </c>
      <c r="D41" s="67">
        <f t="array" ref="D41">SUM($B$7:$B36*$F$1009*EXP(-$F$1009*($A41-$A$7:$A36)))*$F$1010</f>
        <v>61645348.572822303</v>
      </c>
      <c r="E41" s="67">
        <f t="shared" si="0"/>
        <v>117.52141499896058</v>
      </c>
      <c r="F41" s="70">
        <f t="shared" si="8"/>
        <v>7.135900318736887</v>
      </c>
      <c r="G41" s="67">
        <f>E41/'Lookup Tables'!$C$48</f>
        <v>235.04282999792116</v>
      </c>
      <c r="H41" s="70">
        <f t="shared" si="1"/>
        <v>0.20521339209177883</v>
      </c>
      <c r="I41" s="71">
        <f t="shared" si="9"/>
        <v>0.33846167519700643</v>
      </c>
      <c r="J41" s="35">
        <f t="shared" si="6"/>
        <v>2023</v>
      </c>
      <c r="K41" s="75">
        <f>$G341</f>
        <v>433.23013071240928</v>
      </c>
      <c r="L41" s="75">
        <f>Calcs2!K36</f>
        <v>223.4908453403574</v>
      </c>
      <c r="M41" s="75">
        <f>Calcs3!K36</f>
        <v>837.69329710743364</v>
      </c>
      <c r="N41" s="75">
        <f>Calcs4!K36</f>
        <v>31.964579384510273</v>
      </c>
      <c r="O41" s="74">
        <f t="shared" ref="O41:O104" si="10">SUM(K41:N41)</f>
        <v>1526.3788525447105</v>
      </c>
      <c r="P41" s="74"/>
      <c r="Q41" s="74"/>
      <c r="R41" s="74"/>
      <c r="S41" s="74"/>
      <c r="T41" s="74"/>
      <c r="U41" s="74"/>
      <c r="V41" s="74"/>
      <c r="W41" s="74"/>
      <c r="X41" s="74"/>
      <c r="Y41" s="74"/>
    </row>
    <row r="42" spans="1:25" x14ac:dyDescent="0.3">
      <c r="A42" s="66">
        <f t="shared" si="7"/>
        <v>1993.4999999999968</v>
      </c>
      <c r="B42" s="67">
        <f>LOOKUP(A42+0.01,Amounts!$A$4:$A$103,Amounts!$B$4:$B$103)*0.1*$A$2</f>
        <v>8895.2014076940013</v>
      </c>
      <c r="C42" s="68">
        <f t="shared" si="3"/>
        <v>309895.32178886404</v>
      </c>
      <c r="D42" s="67">
        <f t="array" ref="D42">SUM($B$7:$B37*$F$1009*EXP(-$F$1009*($A42-$A$7:$A37)))*$F$1010</f>
        <v>63383138.196616299</v>
      </c>
      <c r="E42" s="67">
        <f t="shared" si="0"/>
        <v>120.83435750455004</v>
      </c>
      <c r="F42" s="70">
        <f t="shared" si="8"/>
        <v>7.3370621876762776</v>
      </c>
      <c r="G42" s="67">
        <f>E42/'Lookup Tables'!$C$48</f>
        <v>241.66871500910008</v>
      </c>
      <c r="H42" s="70">
        <f t="shared" si="1"/>
        <v>0.20494190727945907</v>
      </c>
      <c r="I42" s="71">
        <f t="shared" si="9"/>
        <v>0.34800294961310413</v>
      </c>
      <c r="J42" s="35">
        <f t="shared" si="6"/>
        <v>2024</v>
      </c>
      <c r="K42" s="75">
        <f>$G351</f>
        <v>376.63218195778222</v>
      </c>
      <c r="L42" s="75">
        <f>Calcs2!K37</f>
        <v>208.38148300091845</v>
      </c>
      <c r="M42" s="75">
        <f>Calcs3!K37</f>
        <v>814.56321705466974</v>
      </c>
      <c r="N42" s="75">
        <f>Calcs4!K37</f>
        <v>31.520193234461246</v>
      </c>
      <c r="O42" s="74">
        <f t="shared" si="10"/>
        <v>1431.0970752478315</v>
      </c>
      <c r="P42" s="74"/>
      <c r="Q42" s="74"/>
      <c r="R42" s="74"/>
      <c r="S42" s="74"/>
      <c r="T42" s="74"/>
      <c r="U42" s="74"/>
      <c r="V42" s="74"/>
      <c r="W42" s="74"/>
      <c r="X42" s="74"/>
      <c r="Y42" s="74"/>
    </row>
    <row r="43" spans="1:25" x14ac:dyDescent="0.3">
      <c r="A43" s="66">
        <f t="shared" si="7"/>
        <v>1993.5999999999967</v>
      </c>
      <c r="B43" s="67">
        <f>LOOKUP(A43+0.01,Amounts!$A$4:$A$103,Amounts!$B$4:$B$103)*0.1*$A$2</f>
        <v>8895.2014076940013</v>
      </c>
      <c r="C43" s="68">
        <f t="shared" si="3"/>
        <v>318790.52319655806</v>
      </c>
      <c r="D43" s="67">
        <f t="array" ref="D43">SUM($B$7:$B38*$F$1009*EXP(-$F$1009*($A43-$A$7:$A38)))*$F$1010</f>
        <v>65096768.277085066</v>
      </c>
      <c r="E43" s="67">
        <f t="shared" si="0"/>
        <v>124.1012419735959</v>
      </c>
      <c r="F43" s="70">
        <f t="shared" si="8"/>
        <v>7.5354274126367429</v>
      </c>
      <c r="G43" s="67">
        <f>E43/'Lookup Tables'!$C$48</f>
        <v>248.20248394719181</v>
      </c>
      <c r="H43" s="70">
        <f t="shared" si="1"/>
        <v>0.20460963559165884</v>
      </c>
      <c r="I43" s="71">
        <f t="shared" si="9"/>
        <v>0.35741157688395619</v>
      </c>
      <c r="J43" s="35">
        <f t="shared" si="6"/>
        <v>2025</v>
      </c>
      <c r="K43" s="75">
        <f>$G361</f>
        <v>327.42828910126116</v>
      </c>
      <c r="L43" s="75">
        <f>Calcs2!K38</f>
        <v>194.29360693290519</v>
      </c>
      <c r="M43" s="75">
        <f>Calcs3!K38</f>
        <v>792.07179628818039</v>
      </c>
      <c r="N43" s="75">
        <f>Calcs4!K38</f>
        <v>31.081985143193506</v>
      </c>
      <c r="O43" s="74">
        <f t="shared" si="10"/>
        <v>1344.8756774655403</v>
      </c>
      <c r="P43" s="74"/>
      <c r="Q43" s="74"/>
      <c r="R43" s="74"/>
      <c r="S43" s="74"/>
      <c r="T43" s="74"/>
      <c r="U43" s="74"/>
      <c r="V43" s="74"/>
      <c r="W43" s="74"/>
      <c r="X43" s="74"/>
      <c r="Y43" s="74"/>
    </row>
    <row r="44" spans="1:25" x14ac:dyDescent="0.3">
      <c r="A44" s="66">
        <f t="shared" si="7"/>
        <v>1993.6999999999966</v>
      </c>
      <c r="B44" s="67">
        <f>LOOKUP(A44+0.01,Amounts!$A$4:$A$103,Amounts!$B$4:$B$103)*0.1*$A$2</f>
        <v>8895.2014076940013</v>
      </c>
      <c r="C44" s="68">
        <f t="shared" si="3"/>
        <v>327685.72460425209</v>
      </c>
      <c r="D44" s="67">
        <f t="array" ref="D44">SUM($B$7:$B39*$F$1009*EXP(-$F$1009*($A44-$A$7:$A39)))*$F$1010</f>
        <v>66786574.691210315</v>
      </c>
      <c r="E44" s="67">
        <f t="shared" si="0"/>
        <v>127.32270872591258</v>
      </c>
      <c r="F44" s="70">
        <f t="shared" si="8"/>
        <v>7.7310348738374115</v>
      </c>
      <c r="G44" s="67">
        <f>E44/'Lookup Tables'!$C$48</f>
        <v>254.64541745182515</v>
      </c>
      <c r="H44" s="70">
        <f t="shared" si="1"/>
        <v>0.20422255436107353</v>
      </c>
      <c r="I44" s="71">
        <f t="shared" si="9"/>
        <v>0.3666894011306282</v>
      </c>
      <c r="J44" s="35">
        <f t="shared" si="6"/>
        <v>2026</v>
      </c>
      <c r="K44" s="75">
        <f>$G371</f>
        <v>284.65247963275868</v>
      </c>
      <c r="L44" s="75">
        <f>Calcs2!K39</f>
        <v>181.15815835148783</v>
      </c>
      <c r="M44" s="75">
        <f>Calcs3!K39</f>
        <v>770.20140038201282</v>
      </c>
      <c r="N44" s="75">
        <f>Calcs4!K39</f>
        <v>30.649869220518241</v>
      </c>
      <c r="O44" s="74">
        <f>SUM(K44:N44)</f>
        <v>1266.6619075867775</v>
      </c>
      <c r="P44" s="74"/>
      <c r="Q44" s="74"/>
      <c r="R44" s="74"/>
      <c r="S44" s="74"/>
      <c r="T44" s="74"/>
      <c r="U44" s="74"/>
      <c r="V44" s="74"/>
      <c r="W44" s="74"/>
      <c r="X44" s="74"/>
      <c r="Y44" s="74"/>
    </row>
    <row r="45" spans="1:25" x14ac:dyDescent="0.3">
      <c r="A45" s="66">
        <f t="shared" si="7"/>
        <v>1993.7999999999965</v>
      </c>
      <c r="B45" s="67">
        <f>LOOKUP(A45+0.01,Amounts!$A$4:$A$103,Amounts!$B$4:$B$103)*0.1*$A$2</f>
        <v>8895.2014076940013</v>
      </c>
      <c r="C45" s="68">
        <f t="shared" si="3"/>
        <v>336580.92601194611</v>
      </c>
      <c r="D45" s="67">
        <f t="array" ref="D45">SUM($B$7:$B40*$F$1009*EXP(-$F$1009*($A45-$A$7:$A40)))*$F$1010</f>
        <v>68452888.646458879</v>
      </c>
      <c r="E45" s="67">
        <f t="shared" si="0"/>
        <v>130.49938917929657</v>
      </c>
      <c r="F45" s="70">
        <f t="shared" si="8"/>
        <v>7.9239229109668878</v>
      </c>
      <c r="G45" s="67">
        <f>E45/'Lookup Tables'!$C$48</f>
        <v>260.99877835859314</v>
      </c>
      <c r="H45" s="70">
        <f t="shared" si="1"/>
        <v>0.20378599514044901</v>
      </c>
      <c r="I45" s="71">
        <f t="shared" si="9"/>
        <v>0.37583824083637413</v>
      </c>
      <c r="J45" s="35">
        <f t="shared" si="6"/>
        <v>2027</v>
      </c>
      <c r="K45" s="75">
        <f>$G381</f>
        <v>247.46497739546112</v>
      </c>
      <c r="L45" s="75">
        <f>Calcs2!K40</f>
        <v>168.91074727248119</v>
      </c>
      <c r="M45" s="75">
        <f>Calcs3!K40</f>
        <v>748.93488182551812</v>
      </c>
      <c r="N45" s="75">
        <f>Calcs4!K40</f>
        <v>30.223760770331346</v>
      </c>
      <c r="O45" s="74">
        <f t="shared" si="10"/>
        <v>1195.5343672637919</v>
      </c>
      <c r="P45" s="74"/>
      <c r="Q45" s="74"/>
      <c r="R45" s="74"/>
      <c r="S45" s="74"/>
      <c r="T45" s="74"/>
      <c r="U45" s="74"/>
      <c r="V45" s="74"/>
      <c r="W45" s="74"/>
      <c r="X45" s="74"/>
      <c r="Y45" s="74"/>
    </row>
    <row r="46" spans="1:25" x14ac:dyDescent="0.3">
      <c r="A46" s="66">
        <f t="shared" si="7"/>
        <v>1993.8999999999965</v>
      </c>
      <c r="B46" s="67">
        <f>LOOKUP(A46+0.01,Amounts!$A$4:$A$103,Amounts!$B$4:$B$103)*0.1*$A$2</f>
        <v>8895.2014076940013</v>
      </c>
      <c r="C46" s="68">
        <f t="shared" si="3"/>
        <v>345476.12741964014</v>
      </c>
      <c r="D46" s="67">
        <f t="array" ref="D46">SUM($B$7:$B41*$F$1009*EXP(-$F$1009*($A46-$A$7:$A41)))*$F$1010</f>
        <v>70096036.745700434</v>
      </c>
      <c r="E46" s="67">
        <f t="shared" si="0"/>
        <v>133.63190597328634</v>
      </c>
      <c r="F46" s="70">
        <f t="shared" si="8"/>
        <v>8.1141293306979456</v>
      </c>
      <c r="G46" s="67">
        <f>E46/'Lookup Tables'!$C$48</f>
        <v>267.26381194657267</v>
      </c>
      <c r="H46" s="70">
        <f t="shared" si="1"/>
        <v>0.20330472702747551</v>
      </c>
      <c r="I46" s="71">
        <f t="shared" si="9"/>
        <v>0.38485988920306463</v>
      </c>
      <c r="J46" s="35">
        <f t="shared" si="6"/>
        <v>2028</v>
      </c>
      <c r="K46" s="75">
        <f>$G391</f>
        <v>215.13571607155083</v>
      </c>
      <c r="L46" s="75">
        <f>Calcs2!K41</f>
        <v>157.49133687256699</v>
      </c>
      <c r="M46" s="75">
        <f>Calcs3!K41</f>
        <v>728.25556657881884</v>
      </c>
      <c r="N46" s="75">
        <f>Calcs4!K41</f>
        <v>29.803576274012347</v>
      </c>
      <c r="O46" s="74">
        <f t="shared" si="10"/>
        <v>1130.6861957969491</v>
      </c>
      <c r="P46" s="74"/>
      <c r="Q46" s="74"/>
      <c r="R46" s="74"/>
      <c r="S46" s="74"/>
      <c r="T46" s="74"/>
      <c r="U46" s="74"/>
      <c r="V46" s="74"/>
      <c r="W46" s="74"/>
      <c r="X46" s="74"/>
      <c r="Y46" s="74"/>
    </row>
    <row r="47" spans="1:25" x14ac:dyDescent="0.3">
      <c r="A47" s="66">
        <f t="shared" si="7"/>
        <v>1993.9999999999964</v>
      </c>
      <c r="B47" s="67">
        <f>LOOKUP(A47+0.01,Amounts!$A$4:$A$103,Amounts!$B$4:$B$103)*0.1*$A$2</f>
        <v>9073.2136865580032</v>
      </c>
      <c r="C47" s="68">
        <f t="shared" si="3"/>
        <v>354549.34110619815</v>
      </c>
      <c r="D47" s="67">
        <f t="array" ref="D47">SUM($B$7:$B42*$F$1009*EXP(-$F$1009*($A47-$A$7:$A42)))*$F$1010</f>
        <v>71716341.051222757</v>
      </c>
      <c r="E47" s="67">
        <f t="shared" si="0"/>
        <v>136.7208730912019</v>
      </c>
      <c r="F47" s="70">
        <f t="shared" si="8"/>
        <v>8.3016914140977782</v>
      </c>
      <c r="G47" s="67">
        <f>E47/'Lookup Tables'!$C$48</f>
        <v>273.44174618240379</v>
      </c>
      <c r="H47" s="70">
        <f t="shared" si="1"/>
        <v>0.2026812140519853</v>
      </c>
      <c r="I47" s="71">
        <f t="shared" si="9"/>
        <v>0.3937561145026614</v>
      </c>
      <c r="J47" s="35">
        <f t="shared" si="6"/>
        <v>2029</v>
      </c>
      <c r="K47" s="75">
        <f>$G401</f>
        <v>187.0300064952458</v>
      </c>
      <c r="L47" s="75">
        <f>Calcs2!K42</f>
        <v>146.84394918871658</v>
      </c>
      <c r="M47" s="75">
        <f>Calcs3!K42</f>
        <v>708.14724099951218</v>
      </c>
      <c r="N47" s="75">
        <f>Calcs4!K42</f>
        <v>29.389233374054822</v>
      </c>
      <c r="O47" s="74">
        <f t="shared" si="10"/>
        <v>1071.4104300575293</v>
      </c>
      <c r="P47" s="74"/>
      <c r="Q47" s="74"/>
      <c r="R47" s="74"/>
      <c r="S47" s="74"/>
      <c r="T47" s="74"/>
      <c r="U47" s="74"/>
      <c r="V47" s="74"/>
      <c r="W47" s="74"/>
      <c r="X47" s="74"/>
      <c r="Y47" s="74"/>
    </row>
    <row r="48" spans="1:25" x14ac:dyDescent="0.3">
      <c r="A48" s="66">
        <f t="shared" si="7"/>
        <v>1994.0999999999963</v>
      </c>
      <c r="B48" s="67">
        <f>LOOKUP(A48+0.01,Amounts!$A$4:$A$103,Amounts!$B$4:$B$103)*0.1*$A$2</f>
        <v>9073.2136865580032</v>
      </c>
      <c r="C48" s="68">
        <f t="shared" si="3"/>
        <v>363622.55479275616</v>
      </c>
      <c r="D48" s="67">
        <f t="array" ref="D48">SUM($B$7:$B43*$F$1009*EXP(-$F$1009*($A48-$A$7:$A43)))*$F$1010</f>
        <v>73314119.147856846</v>
      </c>
      <c r="E48" s="67">
        <f t="shared" si="0"/>
        <v>139.76689598048713</v>
      </c>
      <c r="F48" s="70">
        <f t="shared" si="8"/>
        <v>8.4866459239351784</v>
      </c>
      <c r="G48" s="67">
        <f>E48/'Lookup Tables'!$C$48</f>
        <v>279.53379196097427</v>
      </c>
      <c r="H48" s="70">
        <f t="shared" si="1"/>
        <v>0.20202674327837786</v>
      </c>
      <c r="I48" s="71">
        <f t="shared" si="9"/>
        <v>0.40252866042380292</v>
      </c>
      <c r="J48" s="35">
        <f t="shared" si="6"/>
        <v>2030</v>
      </c>
      <c r="K48" s="75">
        <f>$G411</f>
        <v>162.59607641335475</v>
      </c>
      <c r="L48" s="75">
        <f>Calcs2!K43</f>
        <v>136.91639071415116</v>
      </c>
      <c r="M48" s="75">
        <f>Calcs3!K43</f>
        <v>688.59413913034155</v>
      </c>
      <c r="N48" s="75">
        <f>Calcs4!K43</f>
        <v>28.980650857923983</v>
      </c>
      <c r="O48" s="74">
        <f t="shared" si="10"/>
        <v>1017.0872571157714</v>
      </c>
      <c r="P48" s="74"/>
      <c r="Q48" s="74"/>
      <c r="R48" s="74"/>
      <c r="S48" s="74"/>
      <c r="T48" s="74"/>
      <c r="U48" s="74"/>
      <c r="V48" s="74"/>
      <c r="W48" s="74"/>
      <c r="X48" s="74"/>
      <c r="Y48" s="74"/>
    </row>
    <row r="49" spans="1:25" x14ac:dyDescent="0.3">
      <c r="A49" s="66">
        <f t="shared" si="7"/>
        <v>1994.1999999999962</v>
      </c>
      <c r="B49" s="67">
        <f>LOOKUP(A49+0.01,Amounts!$A$4:$A$103,Amounts!$B$4:$B$103)*0.1*$A$2</f>
        <v>9073.2136865580032</v>
      </c>
      <c r="C49" s="68">
        <f t="shared" si="3"/>
        <v>372695.76847931417</v>
      </c>
      <c r="D49" s="67">
        <f t="array" ref="D49">SUM($B$7:$B44*$F$1009*EXP(-$F$1009*($A49-$A$7:$A44)))*$F$1010</f>
        <v>74889684.205224767</v>
      </c>
      <c r="E49" s="67">
        <f t="shared" si="0"/>
        <v>142.77057167137988</v>
      </c>
      <c r="F49" s="70">
        <f t="shared" si="8"/>
        <v>8.6690291118861857</v>
      </c>
      <c r="G49" s="67">
        <f>E49/'Lookup Tables'!$C$48</f>
        <v>285.54114334275977</v>
      </c>
      <c r="H49" s="70">
        <f t="shared" si="1"/>
        <v>0.20134441766446362</v>
      </c>
      <c r="I49" s="71">
        <f t="shared" si="9"/>
        <v>0.41117924641357406</v>
      </c>
      <c r="J49" s="35">
        <f t="shared" si="6"/>
        <v>2031</v>
      </c>
      <c r="K49" s="75">
        <f>$G421</f>
        <v>141.35423807350145</v>
      </c>
      <c r="L49" s="75">
        <f>Calcs2!K44</f>
        <v>127.65999654571077</v>
      </c>
      <c r="M49" s="75">
        <f>Calcs3!K44</f>
        <v>669.58093033788111</v>
      </c>
      <c r="N49" s="75">
        <f>Calcs4!K44</f>
        <v>28.577748642138587</v>
      </c>
      <c r="O49" s="74">
        <f t="shared" si="10"/>
        <v>967.17291359923195</v>
      </c>
      <c r="P49" s="74"/>
      <c r="Q49" s="74"/>
      <c r="R49" s="74"/>
      <c r="S49" s="74"/>
      <c r="T49" s="74"/>
      <c r="U49" s="74"/>
      <c r="V49" s="74"/>
      <c r="W49" s="74"/>
      <c r="X49" s="74"/>
      <c r="Y49" s="74"/>
    </row>
    <row r="50" spans="1:25" x14ac:dyDescent="0.3">
      <c r="A50" s="66">
        <f t="shared" si="7"/>
        <v>1994.2999999999961</v>
      </c>
      <c r="B50" s="67">
        <f>LOOKUP(A50+0.01,Amounts!$A$4:$A$103,Amounts!$B$4:$B$103)*0.1*$A$2</f>
        <v>9073.2136865580032</v>
      </c>
      <c r="C50" s="68">
        <f t="shared" si="3"/>
        <v>381768.98216587218</v>
      </c>
      <c r="D50" s="67">
        <f t="array" ref="D50">SUM($B$7:$B45*$F$1009*EXP(-$F$1009*($A50-$A$7:$A45)))*$F$1010</f>
        <v>76443345.039121658</v>
      </c>
      <c r="E50" s="67">
        <f t="shared" si="0"/>
        <v>145.7324888939313</v>
      </c>
      <c r="F50" s="70">
        <f t="shared" si="8"/>
        <v>8.8488767256395082</v>
      </c>
      <c r="G50" s="67">
        <f>E50/'Lookup Tables'!$C$48</f>
        <v>291.46497778786261</v>
      </c>
      <c r="H50" s="70">
        <f t="shared" si="1"/>
        <v>0.20063703375820668</v>
      </c>
      <c r="I50" s="71">
        <f t="shared" si="9"/>
        <v>0.41970956801452219</v>
      </c>
      <c r="J50" s="35">
        <f t="shared" si="6"/>
        <v>2032</v>
      </c>
      <c r="K50" s="75">
        <f>$G431</f>
        <v>122.88747097773759</v>
      </c>
      <c r="L50" s="75">
        <f>Calcs2!K45</f>
        <v>119.02939182844297</v>
      </c>
      <c r="M50" s="75">
        <f>Calcs3!K45</f>
        <v>651.09270729252796</v>
      </c>
      <c r="N50" s="75">
        <f>Calcs4!K45</f>
        <v>28.180447756574569</v>
      </c>
      <c r="O50" s="74">
        <f t="shared" si="10"/>
        <v>921.19001785528314</v>
      </c>
      <c r="P50" s="74"/>
      <c r="Q50" s="74"/>
      <c r="R50" s="74"/>
      <c r="S50" s="74"/>
      <c r="T50" s="74"/>
      <c r="U50" s="74"/>
      <c r="V50" s="74"/>
      <c r="W50" s="74"/>
      <c r="X50" s="74"/>
      <c r="Y50" s="74"/>
    </row>
    <row r="51" spans="1:25" x14ac:dyDescent="0.3">
      <c r="A51" s="66">
        <f t="shared" si="7"/>
        <v>1994.399999999996</v>
      </c>
      <c r="B51" s="67">
        <f>LOOKUP(A51+0.01,Amounts!$A$4:$A$103,Amounts!$B$4:$B$103)*0.1*$A$2</f>
        <v>9073.2136865580032</v>
      </c>
      <c r="C51" s="68">
        <f t="shared" si="3"/>
        <v>390842.19585243019</v>
      </c>
      <c r="D51" s="67">
        <f t="array" ref="D51">SUM($B$7:$B46*$F$1009*EXP(-$F$1009*($A51-$A$7:$A46)))*$F$1010</f>
        <v>77975406.172044799</v>
      </c>
      <c r="E51" s="67">
        <f t="shared" si="0"/>
        <v>148.6532281933992</v>
      </c>
      <c r="F51" s="70">
        <f t="shared" si="8"/>
        <v>9.0262240159031997</v>
      </c>
      <c r="G51" s="67">
        <f>E51/'Lookup Tables'!$C$48</f>
        <v>297.3064563867984</v>
      </c>
      <c r="H51" s="70">
        <f t="shared" si="1"/>
        <v>0.19990711741869058</v>
      </c>
      <c r="I51" s="71">
        <f t="shared" si="9"/>
        <v>0.42812129719698971</v>
      </c>
      <c r="J51" s="35">
        <f t="shared" si="6"/>
        <v>2033</v>
      </c>
      <c r="K51" s="75">
        <f>$G441</f>
        <v>106.83323492184152</v>
      </c>
      <c r="L51" s="75">
        <f>Calcs2!K46</f>
        <v>110.9822693280109</v>
      </c>
      <c r="M51" s="75">
        <f>Calcs3!K46</f>
        <v>633.11497428040025</v>
      </c>
      <c r="N51" s="75">
        <f>Calcs4!K46</f>
        <v>27.788670328986424</v>
      </c>
      <c r="O51" s="74">
        <f t="shared" si="10"/>
        <v>878.71914885923911</v>
      </c>
      <c r="P51" s="74"/>
      <c r="Q51" s="74"/>
      <c r="R51" s="74"/>
      <c r="S51" s="74"/>
      <c r="T51" s="74"/>
      <c r="U51" s="74"/>
      <c r="V51" s="74"/>
      <c r="W51" s="74"/>
      <c r="X51" s="74"/>
      <c r="Y51" s="74"/>
    </row>
    <row r="52" spans="1:25" x14ac:dyDescent="0.3">
      <c r="A52" s="66">
        <f t="shared" si="7"/>
        <v>1994.4999999999959</v>
      </c>
      <c r="B52" s="67">
        <f>LOOKUP(A52+0.01,Amounts!$A$4:$A$103,Amounts!$B$4:$B$103)*0.1*$A$2</f>
        <v>9073.2136865580032</v>
      </c>
      <c r="C52" s="68">
        <f t="shared" si="3"/>
        <v>399915.4095389882</v>
      </c>
      <c r="D52" s="67">
        <f t="array" ref="D52">SUM($B$7:$B47*$F$1009*EXP(-$F$1009*($A52-$A$7:$A47)))*$F$1010</f>
        <v>79538095.697674587</v>
      </c>
      <c r="E52" s="67">
        <f t="shared" si="0"/>
        <v>151.63235781968592</v>
      </c>
      <c r="F52" s="70">
        <f t="shared" si="8"/>
        <v>9.2071167668113283</v>
      </c>
      <c r="G52" s="67">
        <f>E52/'Lookup Tables'!$C$48</f>
        <v>303.26471563937184</v>
      </c>
      <c r="H52" s="70">
        <f t="shared" si="1"/>
        <v>0.19928706263632251</v>
      </c>
      <c r="I52" s="71">
        <f t="shared" si="9"/>
        <v>0.43670119052069539</v>
      </c>
      <c r="J52" s="35">
        <f t="shared" si="6"/>
        <v>2034</v>
      </c>
      <c r="K52" s="75">
        <f>$G451</f>
        <v>92.876352593610036</v>
      </c>
      <c r="L52" s="75">
        <f>Calcs2!K47</f>
        <v>103.47918204058145</v>
      </c>
      <c r="M52" s="75">
        <f>Calcs3!K47</f>
        <v>615.63363583794762</v>
      </c>
      <c r="N52" s="75">
        <f>Calcs4!K47</f>
        <v>27.402339569744086</v>
      </c>
      <c r="O52" s="74">
        <f t="shared" si="10"/>
        <v>839.39151004188318</v>
      </c>
      <c r="P52" s="74"/>
      <c r="Q52" s="74"/>
      <c r="R52" s="74"/>
      <c r="S52" s="74"/>
      <c r="T52" s="74"/>
      <c r="U52" s="74"/>
      <c r="V52" s="74"/>
      <c r="W52" s="74"/>
      <c r="X52" s="74"/>
      <c r="Y52" s="74"/>
    </row>
    <row r="53" spans="1:25" x14ac:dyDescent="0.3">
      <c r="A53" s="66">
        <f t="shared" si="7"/>
        <v>1994.5999999999958</v>
      </c>
      <c r="B53" s="67">
        <f>LOOKUP(A53+0.01,Amounts!$A$4:$A$103,Amounts!$B$4:$B$103)*0.1*$A$2</f>
        <v>9073.2136865580032</v>
      </c>
      <c r="C53" s="68">
        <f t="shared" si="3"/>
        <v>408988.62322554621</v>
      </c>
      <c r="D53" s="67">
        <f t="array" ref="D53">SUM($B$7:$B48*$F$1009*EXP(-$F$1009*($A53-$A$7:$A48)))*$F$1010</f>
        <v>81079060.001343429</v>
      </c>
      <c r="E53" s="67">
        <f t="shared" si="0"/>
        <v>154.57007022820801</v>
      </c>
      <c r="F53" s="70">
        <f t="shared" si="8"/>
        <v>9.3854946642567914</v>
      </c>
      <c r="G53" s="67">
        <f>E53/'Lookup Tables'!$C$48</f>
        <v>309.14014045641602</v>
      </c>
      <c r="H53" s="70">
        <f t="shared" si="1"/>
        <v>0.19864129293186561</v>
      </c>
      <c r="I53" s="71">
        <f t="shared" si="9"/>
        <v>0.44516180225723911</v>
      </c>
      <c r="J53" s="35">
        <f t="shared" si="6"/>
        <v>2035</v>
      </c>
      <c r="K53" s="75">
        <f>$G461</f>
        <v>80.742822001068404</v>
      </c>
      <c r="L53" s="75">
        <f>Calcs2!K48</f>
        <v>96.483349823566826</v>
      </c>
      <c r="M53" s="75">
        <f>Calcs3!K48</f>
        <v>598.63498570039053</v>
      </c>
      <c r="N53" s="75">
        <f>Calcs4!K48</f>
        <v>27.021379756782061</v>
      </c>
      <c r="O53" s="74">
        <f t="shared" si="10"/>
        <v>802.8825372818078</v>
      </c>
      <c r="P53" s="74"/>
      <c r="Q53" s="74"/>
      <c r="R53" s="74"/>
      <c r="S53" s="74"/>
      <c r="T53" s="74"/>
      <c r="U53" s="74"/>
      <c r="V53" s="74"/>
      <c r="W53" s="74"/>
      <c r="X53" s="74"/>
      <c r="Y53" s="74"/>
    </row>
    <row r="54" spans="1:25" x14ac:dyDescent="0.3">
      <c r="A54" s="66">
        <f t="shared" si="7"/>
        <v>1994.6999999999957</v>
      </c>
      <c r="B54" s="67">
        <f>LOOKUP(A54+0.01,Amounts!$A$4:$A$103,Amounts!$B$4:$B$103)*0.1*$A$2</f>
        <v>9073.2136865580032</v>
      </c>
      <c r="C54" s="68">
        <f t="shared" si="3"/>
        <v>418061.83691210422</v>
      </c>
      <c r="D54" s="67">
        <f t="array" ref="D54">SUM($B$7:$B49*$F$1009*EXP(-$F$1009*($A54-$A$7:$A49)))*$F$1010</f>
        <v>82598601.116988018</v>
      </c>
      <c r="E54" s="67">
        <f t="shared" si="0"/>
        <v>157.46694122000221</v>
      </c>
      <c r="F54" s="70">
        <f t="shared" si="8"/>
        <v>9.5613926708785328</v>
      </c>
      <c r="G54" s="67">
        <f>E54/'Lookup Tables'!$C$48</f>
        <v>314.93388244000442</v>
      </c>
      <c r="H54" s="70">
        <f t="shared" si="1"/>
        <v>0.19797220649593536</v>
      </c>
      <c r="I54" s="71">
        <f t="shared" si="9"/>
        <v>0.45350479071360633</v>
      </c>
      <c r="J54" s="35">
        <f t="shared" si="6"/>
        <v>2036</v>
      </c>
      <c r="K54" s="75">
        <f>$G471</f>
        <v>70.194437255977633</v>
      </c>
      <c r="L54" s="75">
        <f>Calcs2!K49</f>
        <v>89.960479099323081</v>
      </c>
      <c r="M54" s="75">
        <f>Calcs3!K49</f>
        <v>582.10569605530486</v>
      </c>
      <c r="N54" s="75">
        <f>Calcs4!K49</f>
        <v>26.645716220757336</v>
      </c>
      <c r="O54" s="74">
        <f t="shared" si="10"/>
        <v>768.90632863136284</v>
      </c>
      <c r="P54" s="74"/>
      <c r="Q54" s="74"/>
      <c r="R54" s="74"/>
      <c r="S54" s="74"/>
      <c r="T54" s="74"/>
      <c r="U54" s="74"/>
      <c r="V54" s="74"/>
      <c r="W54" s="74"/>
      <c r="X54" s="74"/>
      <c r="Y54" s="74"/>
    </row>
    <row r="55" spans="1:25" x14ac:dyDescent="0.3">
      <c r="A55" s="66">
        <f t="shared" si="7"/>
        <v>1994.7999999999956</v>
      </c>
      <c r="B55" s="67">
        <f>LOOKUP(A55+0.01,Amounts!$A$4:$A$103,Amounts!$B$4:$B$103)*0.1*$A$2</f>
        <v>9073.2136865580032</v>
      </c>
      <c r="C55" s="68">
        <f t="shared" si="3"/>
        <v>427135.05059866223</v>
      </c>
      <c r="D55" s="67">
        <f t="array" ref="D55">SUM($B$7:$B50*$F$1009*EXP(-$F$1009*($A55-$A$7:$A50)))*$F$1010</f>
        <v>84097016.879531622</v>
      </c>
      <c r="E55" s="67">
        <f t="shared" si="0"/>
        <v>160.32353859105686</v>
      </c>
      <c r="F55" s="70">
        <f t="shared" si="8"/>
        <v>9.7348452632489728</v>
      </c>
      <c r="G55" s="67">
        <f>E55/'Lookup Tables'!$C$48</f>
        <v>320.64707718211372</v>
      </c>
      <c r="H55" s="70">
        <f t="shared" si="1"/>
        <v>0.19728198789903614</v>
      </c>
      <c r="I55" s="71">
        <f t="shared" si="9"/>
        <v>0.46173179114224372</v>
      </c>
      <c r="J55" s="35">
        <f t="shared" si="6"/>
        <v>2037</v>
      </c>
      <c r="K55" s="75">
        <f>$G481</f>
        <v>61.024112107676679</v>
      </c>
      <c r="L55" s="75">
        <f>Calcs2!K50</f>
        <v>83.878594747992452</v>
      </c>
      <c r="M55" s="75">
        <f>Calcs3!K50</f>
        <v>566.03280709293608</v>
      </c>
      <c r="N55" s="75">
        <f>Calcs4!K50</f>
        <v>26.275275330414264</v>
      </c>
      <c r="O55" s="74">
        <f t="shared" si="10"/>
        <v>737.21078927901942</v>
      </c>
      <c r="P55" s="74"/>
      <c r="Q55" s="74"/>
      <c r="R55" s="74"/>
      <c r="S55" s="74"/>
      <c r="T55" s="74"/>
      <c r="U55" s="74"/>
      <c r="V55" s="74"/>
      <c r="W55" s="74"/>
      <c r="X55" s="74"/>
      <c r="Y55" s="74"/>
    </row>
    <row r="56" spans="1:25" x14ac:dyDescent="0.3">
      <c r="A56" s="66">
        <f t="shared" si="7"/>
        <v>1994.8999999999955</v>
      </c>
      <c r="B56" s="67">
        <f>LOOKUP(A56+0.01,Amounts!$A$4:$A$103,Amounts!$B$4:$B$103)*0.1*$A$2</f>
        <v>9073.2136865580032</v>
      </c>
      <c r="C56" s="68">
        <f t="shared" si="3"/>
        <v>436208.26428522024</v>
      </c>
      <c r="D56" s="67">
        <f t="array" ref="D56">SUM($B$7:$B51*$F$1009*EXP(-$F$1009*($A56-$A$7:$A51)))*$F$1010</f>
        <v>85574600.983260661</v>
      </c>
      <c r="E56" s="67">
        <f t="shared" si="0"/>
        <v>163.14042224360165</v>
      </c>
      <c r="F56" s="70">
        <f t="shared" si="8"/>
        <v>9.9058864386314909</v>
      </c>
      <c r="G56" s="67">
        <f>E56/'Lookup Tables'!$C$48</f>
        <v>326.2808444872033</v>
      </c>
      <c r="H56" s="70">
        <f t="shared" si="1"/>
        <v>0.19657263044234882</v>
      </c>
      <c r="I56" s="71">
        <f t="shared" si="9"/>
        <v>0.46984441606157273</v>
      </c>
      <c r="J56" s="35">
        <f t="shared" si="6"/>
        <v>2038</v>
      </c>
      <c r="K56" s="75">
        <f>$G491</f>
        <v>53.051814418715459</v>
      </c>
      <c r="L56" s="75">
        <f>Calcs2!K51</f>
        <v>78.207883365428657</v>
      </c>
      <c r="M56" s="75">
        <f>Calcs3!K51</f>
        <v>550.40371684503896</v>
      </c>
      <c r="N56" s="75">
        <f>Calcs4!K51</f>
        <v>25.909984478152378</v>
      </c>
      <c r="O56" s="74">
        <f t="shared" si="10"/>
        <v>707.57339910733549</v>
      </c>
      <c r="P56" s="74"/>
      <c r="Q56" s="74"/>
      <c r="R56" s="74"/>
      <c r="S56" s="74"/>
      <c r="T56" s="74"/>
      <c r="U56" s="74"/>
      <c r="V56" s="74"/>
      <c r="W56" s="74"/>
      <c r="X56" s="74"/>
      <c r="Y56" s="74"/>
    </row>
    <row r="57" spans="1:25" x14ac:dyDescent="0.3">
      <c r="A57" s="66">
        <f t="shared" si="7"/>
        <v>1994.9999999999955</v>
      </c>
      <c r="B57" s="67">
        <f>LOOKUP(A57+0.01,Amounts!$A$4:$A$103,Amounts!$B$4:$B$103)*0.1*$A$2</f>
        <v>9254.5336260090025</v>
      </c>
      <c r="C57" s="68">
        <f t="shared" si="3"/>
        <v>445462.79791122925</v>
      </c>
      <c r="D57" s="67">
        <f t="array" ref="D57">SUM($B$7:$B52*$F$1009*EXP(-$F$1009*($A57-$A$7:$A52)))*$F$1010</f>
        <v>87031643.039389729</v>
      </c>
      <c r="E57" s="67">
        <f t="shared" si="0"/>
        <v>165.91814429585028</v>
      </c>
      <c r="F57" s="70">
        <f t="shared" si="8"/>
        <v>10.074549721644029</v>
      </c>
      <c r="G57" s="67">
        <f>E57/'Lookup Tables'!$C$48</f>
        <v>331.83628859170057</v>
      </c>
      <c r="H57" s="70">
        <f t="shared" si="1"/>
        <v>0.19576623918048761</v>
      </c>
      <c r="I57" s="71">
        <f t="shared" si="9"/>
        <v>0.47784425557204885</v>
      </c>
      <c r="J57" s="35">
        <f t="shared" si="6"/>
        <v>2039</v>
      </c>
      <c r="K57" s="75">
        <f>$G501</f>
        <v>46.121031767765274</v>
      </c>
      <c r="L57" s="75">
        <f>Calcs2!K52</f>
        <v>72.920547117855548</v>
      </c>
      <c r="M57" s="75">
        <f>Calcs3!K52</f>
        <v>535.20617130429719</v>
      </c>
      <c r="N57" s="75">
        <f>Calcs4!K52</f>
        <v>25.549772065795253</v>
      </c>
      <c r="O57" s="74">
        <f t="shared" si="10"/>
        <v>679.79752225571315</v>
      </c>
      <c r="P57" s="74"/>
      <c r="Q57" s="74"/>
      <c r="R57" s="74"/>
      <c r="S57" s="74"/>
      <c r="T57" s="74"/>
      <c r="U57" s="74"/>
      <c r="V57" s="74"/>
      <c r="W57" s="74"/>
      <c r="X57" s="74"/>
      <c r="Y57" s="74"/>
    </row>
    <row r="58" spans="1:25" x14ac:dyDescent="0.3">
      <c r="A58" s="66">
        <f t="shared" si="7"/>
        <v>1995.0999999999954</v>
      </c>
      <c r="B58" s="67">
        <f>LOOKUP(A58+0.01,Amounts!$A$4:$A$103,Amounts!$B$4:$B$103)*0.1*$A$2</f>
        <v>9254.5336260090025</v>
      </c>
      <c r="C58" s="68">
        <f t="shared" si="3"/>
        <v>454717.33153723826</v>
      </c>
      <c r="D58" s="67">
        <f t="array" ref="D58">SUM($B$7:$B53*$F$1009*EXP(-$F$1009*($A58-$A$7:$A53)))*$F$1010</f>
        <v>88468428.632826313</v>
      </c>
      <c r="E58" s="67">
        <f t="shared" si="0"/>
        <v>168.65724919021747</v>
      </c>
      <c r="F58" s="70">
        <f t="shared" si="8"/>
        <v>10.240868170830003</v>
      </c>
      <c r="G58" s="67">
        <f>E58/'Lookup Tables'!$C$48</f>
        <v>337.31449838043494</v>
      </c>
      <c r="H58" s="70">
        <f t="shared" si="1"/>
        <v>0.19494803480372461</v>
      </c>
      <c r="I58" s="71">
        <f t="shared" si="9"/>
        <v>0.4857328776678263</v>
      </c>
      <c r="J58" s="35">
        <f t="shared" si="6"/>
        <v>2040</v>
      </c>
      <c r="K58" s="76">
        <f>$G511</f>
        <v>40.095698792401784</v>
      </c>
      <c r="L58" s="75">
        <f>Calcs2!K53</f>
        <v>67.990667476853361</v>
      </c>
      <c r="M58" s="75">
        <f>Calcs3!K53</f>
        <v>520.428254816547</v>
      </c>
      <c r="N58" s="75">
        <f>Calcs4!K53</f>
        <v>25.194567490556892</v>
      </c>
      <c r="O58" s="74">
        <f t="shared" si="10"/>
        <v>653.709188576359</v>
      </c>
      <c r="P58" s="74"/>
      <c r="Q58" s="74"/>
      <c r="R58" s="74"/>
      <c r="S58" s="74"/>
      <c r="T58" s="74"/>
      <c r="U58" s="74"/>
      <c r="V58" s="74"/>
      <c r="W58" s="74"/>
      <c r="X58" s="74"/>
      <c r="Y58" s="74"/>
    </row>
    <row r="59" spans="1:25" x14ac:dyDescent="0.3">
      <c r="A59" s="66">
        <f t="shared" si="7"/>
        <v>1995.1999999999953</v>
      </c>
      <c r="B59" s="67">
        <f>LOOKUP(A59+0.01,Amounts!$A$4:$A$103,Amounts!$B$4:$B$103)*0.1*$A$2</f>
        <v>9254.5336260090025</v>
      </c>
      <c r="C59" s="68">
        <f t="shared" si="3"/>
        <v>463971.86516324728</v>
      </c>
      <c r="D59" s="67">
        <f t="array" ref="D59">SUM($B$7:$B54*$F$1009*EXP(-$F$1009*($A59-$A$7:$A54)))*$F$1010</f>
        <v>89885239.378146395</v>
      </c>
      <c r="E59" s="67">
        <f t="shared" si="0"/>
        <v>171.35827380003133</v>
      </c>
      <c r="F59" s="70">
        <f t="shared" si="8"/>
        <v>10.404874385137903</v>
      </c>
      <c r="G59" s="67">
        <f>E59/'Lookup Tables'!$C$48</f>
        <v>342.71654760006265</v>
      </c>
      <c r="H59" s="70">
        <f t="shared" si="1"/>
        <v>0.1941193323815163</v>
      </c>
      <c r="I59" s="71">
        <f t="shared" si="9"/>
        <v>0.4935118285440902</v>
      </c>
      <c r="J59" s="35">
        <f t="shared" si="6"/>
        <v>2041</v>
      </c>
      <c r="K59" s="77">
        <f>$G521</f>
        <v>34.857525949248874</v>
      </c>
      <c r="L59" s="75">
        <f>Calcs2!K54</f>
        <v>63.394078166702464</v>
      </c>
      <c r="M59" s="75">
        <f>Calcs3!K54</f>
        <v>506.05838073829813</v>
      </c>
      <c r="N59" s="75">
        <f>Calcs4!K54</f>
        <v>24.844301131203387</v>
      </c>
      <c r="O59" s="74">
        <f t="shared" si="10"/>
        <v>629.15428598545282</v>
      </c>
      <c r="P59" s="74"/>
      <c r="Q59" s="74"/>
      <c r="R59" s="74"/>
      <c r="S59" s="74"/>
      <c r="T59" s="74"/>
      <c r="U59" s="74"/>
      <c r="V59" s="74"/>
      <c r="W59" s="74"/>
      <c r="X59" s="74"/>
      <c r="Y59" s="74"/>
    </row>
    <row r="60" spans="1:25" x14ac:dyDescent="0.3">
      <c r="A60" s="66">
        <f t="shared" si="7"/>
        <v>1995.2999999999952</v>
      </c>
      <c r="B60" s="67">
        <f>LOOKUP(A60+0.01,Amounts!$A$4:$A$103,Amounts!$B$4:$B$103)*0.1*$A$2</f>
        <v>9254.5336260090025</v>
      </c>
      <c r="C60" s="68">
        <f t="shared" si="3"/>
        <v>473226.39878925629</v>
      </c>
      <c r="D60" s="67">
        <f t="array" ref="D60">SUM($B$7:$B55*$F$1009*EXP(-$F$1009*($A60-$A$7:$A55)))*$F$1010</f>
        <v>91282352.97479181</v>
      </c>
      <c r="E60" s="67">
        <f t="shared" si="0"/>
        <v>174.02174753476245</v>
      </c>
      <c r="F60" s="70">
        <f t="shared" si="8"/>
        <v>10.566600510310774</v>
      </c>
      <c r="G60" s="67">
        <f>E60/'Lookup Tables'!$C$48</f>
        <v>348.04349506952491</v>
      </c>
      <c r="H60" s="70">
        <f t="shared" si="1"/>
        <v>0.19328133582210397</v>
      </c>
      <c r="I60" s="71">
        <f t="shared" si="9"/>
        <v>0.50118263290011578</v>
      </c>
      <c r="J60" s="35">
        <f t="shared" si="6"/>
        <v>2042</v>
      </c>
      <c r="K60" s="75">
        <f>$G531</f>
        <v>30.303677249610949</v>
      </c>
      <c r="L60" s="75">
        <f>Calcs2!K55</f>
        <v>59.108246701271746</v>
      </c>
      <c r="M60" s="75">
        <f>Calcs3!K55</f>
        <v>492.08528235220962</v>
      </c>
      <c r="N60" s="75">
        <f>Calcs4!K55</f>
        <v>24.498904334407037</v>
      </c>
      <c r="O60" s="74">
        <f t="shared" si="10"/>
        <v>605.99611063749933</v>
      </c>
      <c r="P60" s="74"/>
      <c r="Q60" s="74"/>
      <c r="R60" s="74"/>
      <c r="S60" s="74"/>
      <c r="T60" s="74"/>
      <c r="U60" s="74"/>
      <c r="V60" s="74"/>
      <c r="W60" s="74"/>
      <c r="X60" s="74"/>
      <c r="Y60" s="74"/>
    </row>
    <row r="61" spans="1:25" x14ac:dyDescent="0.3">
      <c r="A61" s="66">
        <f t="shared" si="7"/>
        <v>1995.3999999999951</v>
      </c>
      <c r="B61" s="67">
        <f>LOOKUP(A61+0.01,Amounts!$A$4:$A$103,Amounts!$B$4:$B$103)*0.1*$A$2</f>
        <v>9254.5336260090025</v>
      </c>
      <c r="C61" s="68">
        <f t="shared" si="3"/>
        <v>482480.9324152653</v>
      </c>
      <c r="D61" s="67">
        <f t="array" ref="D61">SUM($B$7:$B56*$F$1009*EXP(-$F$1009*($A61-$A$7:$A56)))*$F$1010</f>
        <v>92660043.261500135</v>
      </c>
      <c r="E61" s="67">
        <f t="shared" si="0"/>
        <v>176.64819244378947</v>
      </c>
      <c r="F61" s="70">
        <f t="shared" si="8"/>
        <v>10.726078245186898</v>
      </c>
      <c r="G61" s="67">
        <f>E61/'Lookup Tables'!$C$48</f>
        <v>353.29638488757894</v>
      </c>
      <c r="H61" s="70">
        <f t="shared" si="1"/>
        <v>0.19243514864654612</v>
      </c>
      <c r="I61" s="71">
        <f t="shared" si="9"/>
        <v>0.50874679423811364</v>
      </c>
      <c r="J61" s="35">
        <f t="shared" si="6"/>
        <v>2043</v>
      </c>
      <c r="K61" s="75">
        <f>$G541</f>
        <v>26.344751379820053</v>
      </c>
      <c r="L61" s="75">
        <f>Calcs2!K56</f>
        <v>55.112163929745435</v>
      </c>
      <c r="M61" s="75">
        <f>Calcs3!K56</f>
        <v>478.49800403340805</v>
      </c>
      <c r="N61" s="75">
        <f>Calcs4!K56</f>
        <v>24.158309401289845</v>
      </c>
      <c r="O61" s="74">
        <f t="shared" si="10"/>
        <v>584.11322874426344</v>
      </c>
      <c r="P61" s="74"/>
      <c r="Q61" s="74"/>
      <c r="R61" s="74"/>
      <c r="S61" s="74"/>
      <c r="T61" s="74"/>
      <c r="U61" s="74"/>
      <c r="V61" s="74"/>
      <c r="W61" s="74"/>
      <c r="X61" s="74"/>
      <c r="Y61" s="74"/>
    </row>
    <row r="62" spans="1:25" x14ac:dyDescent="0.3">
      <c r="A62" s="66">
        <f t="shared" si="7"/>
        <v>1995.499999999995</v>
      </c>
      <c r="B62" s="67">
        <f>LOOKUP(A62+0.01,Amounts!$A$4:$A$103,Amounts!$B$4:$B$103)*0.1*$A$2</f>
        <v>9254.5336260090025</v>
      </c>
      <c r="C62" s="68">
        <f t="shared" si="3"/>
        <v>491735.46604127431</v>
      </c>
      <c r="D62" s="67">
        <f t="array" ref="D62">SUM($B$7:$B57*$F$1009*EXP(-$F$1009*($A62-$A$7:$A57)))*$F$1010</f>
        <v>94071472.949522898</v>
      </c>
      <c r="E62" s="67">
        <f t="shared" si="0"/>
        <v>179.33895854290611</v>
      </c>
      <c r="F62" s="70">
        <f t="shared" si="8"/>
        <v>10.889461562725259</v>
      </c>
      <c r="G62" s="67">
        <f>E62/'Lookup Tables'!$C$48</f>
        <v>358.67791708581223</v>
      </c>
      <c r="H62" s="70">
        <f t="shared" si="1"/>
        <v>0.19168956302663673</v>
      </c>
      <c r="I62" s="71">
        <f t="shared" si="9"/>
        <v>0.5164962006035696</v>
      </c>
      <c r="J62" s="35">
        <f t="shared" si="6"/>
        <v>2044</v>
      </c>
      <c r="K62" s="75">
        <f>$G551</f>
        <v>22.903026571583538</v>
      </c>
      <c r="L62" s="75">
        <f>Calcs2!K57</f>
        <v>51.386241049741407</v>
      </c>
      <c r="M62" s="75">
        <f>Calcs3!K57</f>
        <v>465.28589265971397</v>
      </c>
      <c r="N62" s="75">
        <f>Calcs4!K57</f>
        <v>23.822449574154636</v>
      </c>
      <c r="O62" s="74">
        <f t="shared" si="10"/>
        <v>563.39760985519365</v>
      </c>
      <c r="P62" s="74"/>
      <c r="Q62" s="74"/>
      <c r="R62" s="74"/>
      <c r="S62" s="74"/>
      <c r="T62" s="74"/>
      <c r="U62" s="74"/>
      <c r="V62" s="74"/>
      <c r="W62" s="74"/>
      <c r="X62" s="74"/>
      <c r="Y62" s="74"/>
    </row>
    <row r="63" spans="1:25" x14ac:dyDescent="0.3">
      <c r="A63" s="66">
        <f t="shared" si="7"/>
        <v>1995.5999999999949</v>
      </c>
      <c r="B63" s="67">
        <f>LOOKUP(A63+0.01,Amounts!$A$4:$A$103,Amounts!$B$4:$B$103)*0.1*$A$2</f>
        <v>9254.5336260090025</v>
      </c>
      <c r="C63" s="68">
        <f t="shared" si="3"/>
        <v>500989.99966728332</v>
      </c>
      <c r="D63" s="67">
        <f t="array" ref="D63">SUM($B$7:$B58*$F$1009*EXP(-$F$1009*($A63-$A$7:$A58)))*$F$1010</f>
        <v>95463280.298781902</v>
      </c>
      <c r="E63" s="67">
        <f t="shared" si="0"/>
        <v>181.99231638543085</v>
      </c>
      <c r="F63" s="70">
        <f t="shared" si="8"/>
        <v>11.050573450923361</v>
      </c>
      <c r="G63" s="67">
        <f>E63/'Lookup Tables'!$C$48</f>
        <v>363.98463277086171</v>
      </c>
      <c r="H63" s="70">
        <f t="shared" si="1"/>
        <v>0.19093227720255654</v>
      </c>
      <c r="I63" s="71">
        <f t="shared" si="9"/>
        <v>0.52413787119004085</v>
      </c>
      <c r="J63" s="35">
        <f t="shared" si="6"/>
        <v>2045</v>
      </c>
      <c r="K63" s="75">
        <f>$G561</f>
        <v>19.910934765566349</v>
      </c>
      <c r="L63" s="75">
        <f>Calcs2!K58</f>
        <v>47.912213582979284</v>
      </c>
      <c r="M63" s="75">
        <f>Calcs3!K58</f>
        <v>452.43858925905079</v>
      </c>
      <c r="N63" s="75">
        <f>Calcs4!K58</f>
        <v>23.491259023400055</v>
      </c>
      <c r="O63" s="74">
        <f t="shared" si="10"/>
        <v>543.75299663099645</v>
      </c>
      <c r="P63" s="74"/>
      <c r="Q63" s="74"/>
      <c r="R63" s="74"/>
      <c r="S63" s="74"/>
      <c r="T63" s="74"/>
      <c r="U63" s="74"/>
      <c r="V63" s="74"/>
      <c r="W63" s="74"/>
      <c r="X63" s="74"/>
      <c r="Y63" s="74"/>
    </row>
    <row r="64" spans="1:25" x14ac:dyDescent="0.3">
      <c r="A64" s="66">
        <f t="shared" si="7"/>
        <v>1995.6999999999948</v>
      </c>
      <c r="B64" s="67">
        <f>LOOKUP(A64+0.01,Amounts!$A$4:$A$103,Amounts!$B$4:$B$103)*0.1*$A$2</f>
        <v>9254.5336260090025</v>
      </c>
      <c r="C64" s="68">
        <f t="shared" si="3"/>
        <v>510244.53329329233</v>
      </c>
      <c r="D64" s="67">
        <f t="array" ref="D64">SUM($B$7:$B59*$F$1009*EXP(-$F$1009*($A64-$A$7:$A59)))*$F$1010</f>
        <v>96835738.107973218</v>
      </c>
      <c r="E64" s="67">
        <f t="shared" si="0"/>
        <v>184.60878603799515</v>
      </c>
      <c r="F64" s="70">
        <f t="shared" si="8"/>
        <v>11.209445488227065</v>
      </c>
      <c r="G64" s="67">
        <f>E64/'Lookup Tables'!$C$48</f>
        <v>369.21757207599029</v>
      </c>
      <c r="H64" s="70">
        <f t="shared" si="1"/>
        <v>0.19016446352752289</v>
      </c>
      <c r="I64" s="71">
        <f t="shared" si="9"/>
        <v>0.53167330378942601</v>
      </c>
      <c r="J64" s="35">
        <f t="shared" si="6"/>
        <v>2046</v>
      </c>
      <c r="K64" s="75">
        <f>$G571</f>
        <v>17.309735112935719</v>
      </c>
      <c r="L64" s="75">
        <f>Calcs2!K59</f>
        <v>44.673051842786577</v>
      </c>
      <c r="M64" s="75">
        <f>Calcs3!K59</f>
        <v>439.94602088748002</v>
      </c>
      <c r="N64" s="75">
        <f>Calcs4!K59</f>
        <v>23.164672834617889</v>
      </c>
      <c r="O64" s="74">
        <f t="shared" si="10"/>
        <v>525.09348067782025</v>
      </c>
      <c r="P64" s="74"/>
      <c r="Q64" s="74"/>
      <c r="R64" s="74"/>
      <c r="S64" s="74"/>
      <c r="T64" s="74"/>
      <c r="U64" s="74"/>
      <c r="V64" s="74"/>
      <c r="W64" s="74"/>
      <c r="X64" s="74"/>
      <c r="Y64" s="74"/>
    </row>
    <row r="65" spans="1:25" x14ac:dyDescent="0.3">
      <c r="A65" s="66">
        <f t="shared" si="7"/>
        <v>1995.7999999999947</v>
      </c>
      <c r="B65" s="67">
        <f>LOOKUP(A65+0.01,Amounts!$A$4:$A$103,Amounts!$B$4:$B$103)*0.1*$A$2</f>
        <v>9254.5336260090025</v>
      </c>
      <c r="C65" s="68">
        <f t="shared" si="3"/>
        <v>519499.06691930135</v>
      </c>
      <c r="D65" s="67">
        <f t="array" ref="D65">SUM($B$7:$B60*$F$1009*EXP(-$F$1009*($A65-$A$7:$A60)))*$F$1010</f>
        <v>98189115.383221194</v>
      </c>
      <c r="E65" s="67">
        <f t="shared" si="0"/>
        <v>187.18888033702714</v>
      </c>
      <c r="F65" s="70">
        <f t="shared" si="8"/>
        <v>11.366108814064289</v>
      </c>
      <c r="G65" s="67">
        <f>E65/'Lookup Tables'!$C$48</f>
        <v>374.37776067405429</v>
      </c>
      <c r="H65" s="70">
        <f t="shared" si="1"/>
        <v>0.18938720350083854</v>
      </c>
      <c r="I65" s="71">
        <f t="shared" si="9"/>
        <v>0.53910397537063814</v>
      </c>
      <c r="J65" s="35">
        <f t="shared" si="6"/>
        <v>2047</v>
      </c>
      <c r="K65" s="75">
        <f>$G581</f>
        <v>15.048360773004452</v>
      </c>
      <c r="L65" s="75">
        <f>Calcs2!K60</f>
        <v>41.652877454554876</v>
      </c>
      <c r="M65" s="75">
        <f>Calcs3!K60</f>
        <v>427.79839273149457</v>
      </c>
      <c r="N65" s="75">
        <f>Calcs4!K60</f>
        <v>22.842626995869619</v>
      </c>
      <c r="O65" s="74">
        <f t="shared" si="10"/>
        <v>507.34225795492353</v>
      </c>
      <c r="P65" s="74"/>
      <c r="Q65" s="74"/>
      <c r="R65" s="74"/>
      <c r="S65" s="74"/>
      <c r="T65" s="74"/>
      <c r="U65" s="74"/>
      <c r="V65" s="74"/>
      <c r="W65" s="74"/>
      <c r="X65" s="74"/>
      <c r="Y65" s="74"/>
    </row>
    <row r="66" spans="1:25" x14ac:dyDescent="0.3">
      <c r="A66" s="66">
        <f t="shared" si="7"/>
        <v>1995.8999999999946</v>
      </c>
      <c r="B66" s="67">
        <f>LOOKUP(A66+0.01,Amounts!$A$4:$A$103,Amounts!$B$4:$B$103)*0.1*$A$2</f>
        <v>9254.5336260090025</v>
      </c>
      <c r="C66" s="68">
        <f t="shared" si="3"/>
        <v>528753.6005453103</v>
      </c>
      <c r="D66" s="67">
        <f t="array" ref="D66">SUM($B$7:$B61*$F$1009*EXP(-$F$1009*($A66-$A$7:$A61)))*$F$1010</f>
        <v>99523677.390804365</v>
      </c>
      <c r="E66" s="67">
        <f t="shared" si="0"/>
        <v>189.73310498926921</v>
      </c>
      <c r="F66" s="70">
        <f t="shared" si="8"/>
        <v>11.520594134948427</v>
      </c>
      <c r="G66" s="67">
        <f>E66/'Lookup Tables'!$C$48</f>
        <v>379.46620997853842</v>
      </c>
      <c r="H66" s="70">
        <f t="shared" si="1"/>
        <v>0.18860149581868293</v>
      </c>
      <c r="I66" s="71">
        <f t="shared" si="9"/>
        <v>0.5464313423690953</v>
      </c>
      <c r="J66" s="35">
        <f t="shared" si="6"/>
        <v>2048</v>
      </c>
      <c r="K66" s="75">
        <f>$G591</f>
        <v>13.082416367265425</v>
      </c>
      <c r="L66" s="75">
        <f>Calcs2!K61</f>
        <v>38.836885519929247</v>
      </c>
      <c r="M66" s="75">
        <f>Calcs3!K61</f>
        <v>415.98618042838717</v>
      </c>
      <c r="N66" s="75">
        <f>Calcs4!K61</f>
        <v>22.525058385139872</v>
      </c>
      <c r="O66" s="74">
        <f t="shared" si="10"/>
        <v>490.43054070072168</v>
      </c>
      <c r="P66" s="74"/>
      <c r="Q66" s="74"/>
      <c r="R66" s="74"/>
      <c r="S66" s="74"/>
      <c r="T66" s="74"/>
      <c r="U66" s="74"/>
      <c r="V66" s="74"/>
      <c r="W66" s="74"/>
      <c r="X66" s="74"/>
      <c r="Y66" s="74"/>
    </row>
    <row r="67" spans="1:25" x14ac:dyDescent="0.3">
      <c r="A67" s="66">
        <f t="shared" si="7"/>
        <v>1995.9999999999945</v>
      </c>
      <c r="B67" s="67">
        <f>LOOKUP(A67+0.01,Amounts!$A$4:$A$103,Amounts!$B$4:$B$103)*0.1*$A$2</f>
        <v>9439.7626188810027</v>
      </c>
      <c r="C67" s="68">
        <f t="shared" si="3"/>
        <v>538193.36316419125</v>
      </c>
      <c r="D67" s="67">
        <f t="array" ref="D67">SUM($B$7:$B62*$F$1009*EXP(-$F$1009*($A67-$A$7:$A62)))*$F$1010</f>
        <v>100839685.70914866</v>
      </c>
      <c r="E67" s="67">
        <f t="shared" si="0"/>
        <v>192.24195867089813</v>
      </c>
      <c r="F67" s="70">
        <f t="shared" si="8"/>
        <v>11.672931730496936</v>
      </c>
      <c r="G67" s="67">
        <f>E67/'Lookup Tables'!$C$48</f>
        <v>384.48391734179626</v>
      </c>
      <c r="H67" s="70">
        <f t="shared" si="1"/>
        <v>0.18774362597741326</v>
      </c>
      <c r="I67" s="71">
        <f t="shared" si="9"/>
        <v>0.5536568409721867</v>
      </c>
      <c r="J67" s="35">
        <f t="shared" si="6"/>
        <v>2049</v>
      </c>
      <c r="K67" s="75">
        <f>$G601</f>
        <v>11.373306407799777</v>
      </c>
      <c r="L67" s="75">
        <f>Calcs2!K62</f>
        <v>36.211272043179129</v>
      </c>
      <c r="M67" s="75">
        <f>Calcs3!K62</f>
        <v>404.50012259865844</v>
      </c>
      <c r="N67" s="75">
        <f>Calcs4!K62</f>
        <v>22.211904757964277</v>
      </c>
      <c r="O67" s="74">
        <f t="shared" si="10"/>
        <v>474.29660580760162</v>
      </c>
      <c r="P67" s="74"/>
      <c r="Q67" s="74"/>
      <c r="R67" s="74"/>
      <c r="S67" s="74"/>
      <c r="T67" s="74"/>
      <c r="U67" s="74"/>
      <c r="V67" s="74"/>
      <c r="W67" s="74"/>
      <c r="X67" s="74"/>
      <c r="Y67" s="74"/>
    </row>
    <row r="68" spans="1:25" x14ac:dyDescent="0.3">
      <c r="A68" s="66">
        <f t="shared" si="7"/>
        <v>1996.0999999999945</v>
      </c>
      <c r="B68" s="67">
        <f>LOOKUP(A68+0.01,Amounts!$A$4:$A$103,Amounts!$B$4:$B$103)*0.1*$A$2</f>
        <v>9439.7626188810027</v>
      </c>
      <c r="C68" s="68">
        <f t="shared" si="3"/>
        <v>547633.1257830722</v>
      </c>
      <c r="D68" s="67">
        <f t="array" ref="D68">SUM($B$7:$B63*$F$1009*EXP(-$F$1009*($A68-$A$7:$A63)))*$F$1010</f>
        <v>102137398.2800975</v>
      </c>
      <c r="E68" s="67">
        <f t="shared" si="0"/>
        <v>194.71593312526733</v>
      </c>
      <c r="F68" s="70">
        <f t="shared" si="8"/>
        <v>11.823151459366231</v>
      </c>
      <c r="G68" s="67">
        <f>E68/'Lookup Tables'!$C$48</f>
        <v>389.43186625053465</v>
      </c>
      <c r="H68" s="70">
        <f t="shared" si="1"/>
        <v>0.18688185508190089</v>
      </c>
      <c r="I68" s="71">
        <f t="shared" si="9"/>
        <v>0.56078188740076984</v>
      </c>
      <c r="J68" s="35">
        <f t="shared" si="6"/>
        <v>2050</v>
      </c>
      <c r="K68" s="75">
        <f>$G611</f>
        <v>9.8874775893359992</v>
      </c>
      <c r="L68" s="75">
        <f>Calcs2!K63</f>
        <v>33.763166263995423</v>
      </c>
      <c r="M68" s="75">
        <f>Calcs3!K63</f>
        <v>393.33121358462381</v>
      </c>
      <c r="N68" s="75">
        <f>Calcs4!K63</f>
        <v>21.90310473522943</v>
      </c>
      <c r="O68" s="74">
        <f t="shared" si="10"/>
        <v>458.88496217318465</v>
      </c>
      <c r="P68" s="74"/>
      <c r="Q68" s="74"/>
      <c r="R68" s="74"/>
      <c r="S68" s="74"/>
      <c r="T68" s="74"/>
      <c r="U68" s="74"/>
      <c r="V68" s="74"/>
      <c r="W68" s="74"/>
      <c r="X68" s="74"/>
      <c r="Y68" s="74"/>
    </row>
    <row r="69" spans="1:25" x14ac:dyDescent="0.3">
      <c r="A69" s="66">
        <f t="shared" si="7"/>
        <v>1996.1999999999944</v>
      </c>
      <c r="B69" s="67">
        <f>LOOKUP(A69+0.01,Amounts!$A$4:$A$103,Amounts!$B$4:$B$103)*0.1*$A$2</f>
        <v>9439.7626188810027</v>
      </c>
      <c r="C69" s="68">
        <f t="shared" si="3"/>
        <v>557072.88840195315</v>
      </c>
      <c r="D69" s="67">
        <f t="array" ref="D69">SUM($B$7:$B64*$F$1009*EXP(-$F$1009*($A69-$A$7:$A64)))*$F$1010</f>
        <v>103417069.45946921</v>
      </c>
      <c r="E69" s="67">
        <f t="shared" si="0"/>
        <v>197.15551325928988</v>
      </c>
      <c r="F69" s="70">
        <f t="shared" si="8"/>
        <v>11.971282765104082</v>
      </c>
      <c r="G69" s="67">
        <f>E69/'Lookup Tables'!$C$48</f>
        <v>394.31102651857975</v>
      </c>
      <c r="H69" s="70">
        <f t="shared" si="1"/>
        <v>0.18601683895683094</v>
      </c>
      <c r="I69" s="71">
        <f t="shared" si="9"/>
        <v>0.56780787818675493</v>
      </c>
      <c r="J69" s="35">
        <f t="shared" si="6"/>
        <v>2051</v>
      </c>
      <c r="K69" s="75">
        <f>$G621</f>
        <v>8.5957600696114795</v>
      </c>
      <c r="L69" s="75">
        <f>Calcs2!K64</f>
        <v>31.480567565008325</v>
      </c>
      <c r="M69" s="75">
        <f>Calcs3!K64</f>
        <v>382.47069638951439</v>
      </c>
      <c r="N69" s="75">
        <f>Calcs4!K64</f>
        <v>21.598597791142296</v>
      </c>
      <c r="O69" s="74">
        <f t="shared" si="10"/>
        <v>444.14562181527651</v>
      </c>
      <c r="P69" s="74"/>
      <c r="Q69" s="74"/>
      <c r="R69" s="74"/>
      <c r="S69" s="74"/>
      <c r="T69" s="74"/>
      <c r="U69" s="74"/>
      <c r="V69" s="74"/>
      <c r="W69" s="74"/>
      <c r="X69" s="74"/>
      <c r="Y69" s="74"/>
    </row>
    <row r="70" spans="1:25" x14ac:dyDescent="0.3">
      <c r="A70" s="66">
        <f t="shared" si="7"/>
        <v>1996.2999999999943</v>
      </c>
      <c r="B70" s="67">
        <f>LOOKUP(A70+0.01,Amounts!$A$4:$A$103,Amounts!$B$4:$B$103)*0.1*$A$2</f>
        <v>9439.7626188810027</v>
      </c>
      <c r="C70" s="68">
        <f t="shared" si="3"/>
        <v>566512.65102083411</v>
      </c>
      <c r="D70" s="67">
        <f t="array" ref="D70">SUM($B$7:$B65*$F$1009*EXP(-$F$1009*($A70-$A$7:$A65)))*$F$1010</f>
        <v>104678950.06691159</v>
      </c>
      <c r="E70" s="67">
        <f t="shared" si="0"/>
        <v>199.56117723848192</v>
      </c>
      <c r="F70" s="70">
        <f t="shared" si="8"/>
        <v>12.117354681920622</v>
      </c>
      <c r="G70" s="67">
        <f>E70/'Lookup Tables'!$C$48</f>
        <v>399.12235447696384</v>
      </c>
      <c r="H70" s="70">
        <f t="shared" si="1"/>
        <v>0.185149183460492</v>
      </c>
      <c r="I70" s="71">
        <f t="shared" si="9"/>
        <v>0.57473619044682789</v>
      </c>
      <c r="J70" s="35">
        <f t="shared" si="6"/>
        <v>2052</v>
      </c>
      <c r="K70" s="75">
        <f>$G631</f>
        <v>7.4727948060299045</v>
      </c>
      <c r="L70" s="75">
        <f>Calcs2!K65</f>
        <v>29.352286644747284</v>
      </c>
      <c r="M70" s="75">
        <f>Calcs3!K65</f>
        <v>371.91005581154508</v>
      </c>
      <c r="N70" s="75">
        <f>Calcs4!K65</f>
        <v>21.298324241366959</v>
      </c>
      <c r="O70" s="74">
        <f t="shared" si="10"/>
        <v>430.03346150368924</v>
      </c>
      <c r="P70" s="74"/>
      <c r="Q70" s="74"/>
      <c r="R70" s="74"/>
      <c r="S70" s="74"/>
      <c r="T70" s="74"/>
      <c r="U70" s="74"/>
      <c r="V70" s="74"/>
      <c r="W70" s="74"/>
      <c r="X70" s="74"/>
      <c r="Y70" s="74"/>
    </row>
    <row r="71" spans="1:25" x14ac:dyDescent="0.3">
      <c r="A71" s="66">
        <f t="shared" si="7"/>
        <v>1996.3999999999942</v>
      </c>
      <c r="B71" s="67">
        <f>LOOKUP(A71+0.01,Amounts!$A$4:$A$103,Amounts!$B$4:$B$103)*0.1*$A$2</f>
        <v>9439.7626188810027</v>
      </c>
      <c r="C71" s="68">
        <f t="shared" si="3"/>
        <v>575952.41363971506</v>
      </c>
      <c r="D71" s="67">
        <f t="array" ref="D71">SUM($B$7:$B66*$F$1009*EXP(-$F$1009*($A71-$A$7:$A66)))*$F$1010</f>
        <v>105923287.43506351</v>
      </c>
      <c r="E71" s="67">
        <f t="shared" ref="E71:E134" si="11">D71/(365*24*60)*1.00201</f>
        <v>201.9333965806849</v>
      </c>
      <c r="F71" s="70">
        <f t="shared" si="8"/>
        <v>12.261395840379185</v>
      </c>
      <c r="G71" s="67">
        <f>E71/'Lookup Tables'!$C$48</f>
        <v>403.8667931613698</v>
      </c>
      <c r="H71" s="70">
        <f t="shared" ref="H71:H134" si="12">G71*60*24*365/(C71*2000)</f>
        <v>0.18427944866500914</v>
      </c>
      <c r="I71" s="71">
        <f t="shared" si="9"/>
        <v>0.5815681821523726</v>
      </c>
      <c r="J71" s="35">
        <f t="shared" si="6"/>
        <v>2053</v>
      </c>
      <c r="K71" s="75">
        <f>$G641</f>
        <v>6.4965357060683431</v>
      </c>
      <c r="L71" s="75">
        <f>Calcs2!K66</f>
        <v>27.367890667671997</v>
      </c>
      <c r="M71" s="75">
        <f>Calcs3!K66</f>
        <v>361.64101176755798</v>
      </c>
      <c r="N71" s="75">
        <f>Calcs4!K66</f>
        <v>21.002225231326406</v>
      </c>
      <c r="O71" s="74">
        <f t="shared" si="10"/>
        <v>416.50766337262473</v>
      </c>
      <c r="P71" s="74"/>
      <c r="Q71" s="74"/>
      <c r="R71" s="74"/>
      <c r="S71" s="74"/>
      <c r="T71" s="74"/>
      <c r="U71" s="74"/>
      <c r="V71" s="74"/>
      <c r="W71" s="74"/>
      <c r="X71" s="74"/>
      <c r="Y71" s="74"/>
    </row>
    <row r="72" spans="1:25" x14ac:dyDescent="0.3">
      <c r="A72" s="66">
        <f t="shared" si="7"/>
        <v>1996.4999999999941</v>
      </c>
      <c r="B72" s="67">
        <f>LOOKUP(A72+0.01,Amounts!$A$4:$A$103,Amounts!$B$4:$B$103)*0.1*$A$2</f>
        <v>9439.7626188810027</v>
      </c>
      <c r="C72" s="68">
        <f t="shared" si="3"/>
        <v>585392.17625859601</v>
      </c>
      <c r="D72" s="67">
        <f t="array" ref="D72">SUM($B$7:$B67*$F$1009*EXP(-$F$1009*($A72-$A$7:$A67)))*$F$1010</f>
        <v>107204358.44410175</v>
      </c>
      <c r="E72" s="67">
        <f t="shared" si="11"/>
        <v>204.37564536638968</v>
      </c>
      <c r="F72" s="70">
        <f t="shared" si="8"/>
        <v>12.409689186647181</v>
      </c>
      <c r="G72" s="67">
        <f>E72/'Lookup Tables'!$C$48</f>
        <v>408.75129073277935</v>
      </c>
      <c r="H72" s="70">
        <f t="shared" si="12"/>
        <v>0.18350064035895464</v>
      </c>
      <c r="I72" s="71">
        <f t="shared" si="9"/>
        <v>0.58860185865520231</v>
      </c>
      <c r="J72" s="35">
        <f t="shared" si="6"/>
        <v>2054</v>
      </c>
      <c r="K72" s="75">
        <f>$G651</f>
        <v>5.6478168176336325</v>
      </c>
      <c r="L72" s="75">
        <f>Calcs2!K67</f>
        <v>25.51765212240069</v>
      </c>
      <c r="M72" s="75">
        <f>Calcs3!K67</f>
        <v>351.65551280101511</v>
      </c>
      <c r="N72" s="75">
        <f>Calcs4!K67</f>
        <v>20.71024272466676</v>
      </c>
      <c r="O72" s="74">
        <f t="shared" si="10"/>
        <v>403.53122446571621</v>
      </c>
      <c r="P72" s="74"/>
      <c r="Q72" s="74"/>
      <c r="R72" s="74"/>
      <c r="S72" s="74"/>
      <c r="T72" s="74"/>
      <c r="U72" s="74"/>
      <c r="V72" s="74"/>
      <c r="W72" s="74"/>
      <c r="X72" s="74"/>
      <c r="Y72" s="74"/>
    </row>
    <row r="73" spans="1:25" x14ac:dyDescent="0.3">
      <c r="A73" s="66">
        <f t="shared" si="7"/>
        <v>1996.599999999994</v>
      </c>
      <c r="B73" s="67">
        <f>LOOKUP(A73+0.01,Amounts!$A$4:$A$103,Amounts!$B$4:$B$103)*0.1*$A$2</f>
        <v>9439.7626188810027</v>
      </c>
      <c r="C73" s="68">
        <f t="shared" ref="C73:C136" si="13">C72+B73</f>
        <v>594831.93887747696</v>
      </c>
      <c r="D73" s="67">
        <f t="array" ref="D73">SUM($B$7:$B68*$F$1009*EXP(-$F$1009*($A73-$A$7:$A68)))*$F$1010</f>
        <v>108467619.42014071</v>
      </c>
      <c r="E73" s="67">
        <f t="shared" si="11"/>
        <v>206.78394089645207</v>
      </c>
      <c r="F73" s="70">
        <f t="shared" si="8"/>
        <v>12.555920891232571</v>
      </c>
      <c r="G73" s="67">
        <f>E73/'Lookup Tables'!$C$48</f>
        <v>413.56788179290413</v>
      </c>
      <c r="H73" s="70">
        <f t="shared" si="12"/>
        <v>0.18271654938414833</v>
      </c>
      <c r="I73" s="71">
        <f t="shared" si="9"/>
        <v>0.59553774978178209</v>
      </c>
      <c r="J73" s="35">
        <f t="shared" si="6"/>
        <v>2055</v>
      </c>
      <c r="K73" s="75">
        <f>$G661</f>
        <v>4.909976062434299</v>
      </c>
      <c r="L73" s="75">
        <f>Calcs2!K68</f>
        <v>23.79250113743781</v>
      </c>
      <c r="M73" s="75">
        <f>Calcs3!K68</f>
        <v>341.94572976924286</v>
      </c>
      <c r="N73" s="75">
        <f>Calcs4!K68</f>
        <v>20.422319491881947</v>
      </c>
      <c r="O73" s="74">
        <f t="shared" si="10"/>
        <v>391.07052646099692</v>
      </c>
      <c r="P73" s="74"/>
      <c r="Q73" s="74"/>
      <c r="R73" s="74"/>
      <c r="S73" s="74"/>
      <c r="T73" s="74"/>
      <c r="U73" s="74"/>
      <c r="V73" s="74"/>
      <c r="W73" s="74"/>
      <c r="X73" s="74"/>
      <c r="Y73" s="74"/>
    </row>
    <row r="74" spans="1:25" x14ac:dyDescent="0.3">
      <c r="A74" s="66">
        <f t="shared" si="7"/>
        <v>1996.6999999999939</v>
      </c>
      <c r="B74" s="67">
        <f>LOOKUP(A74+0.01,Amounts!$A$4:$A$103,Amounts!$B$4:$B$103)*0.1*$A$2</f>
        <v>9439.7626188810027</v>
      </c>
      <c r="C74" s="68">
        <f t="shared" si="13"/>
        <v>604271.70149635791</v>
      </c>
      <c r="D74" s="67">
        <f t="array" ref="D74">SUM($B$7:$B69*$F$1009*EXP(-$F$1009*($A74-$A$7:$A69)))*$F$1010</f>
        <v>109713317.96637584</v>
      </c>
      <c r="E74" s="67">
        <f t="shared" si="11"/>
        <v>209.15875520450584</v>
      </c>
      <c r="F74" s="70">
        <f t="shared" si="8"/>
        <v>12.700119616017595</v>
      </c>
      <c r="G74" s="67">
        <f>E74/'Lookup Tables'!$C$48</f>
        <v>418.31751040901167</v>
      </c>
      <c r="H74" s="70">
        <f t="shared" si="12"/>
        <v>0.18192783389203748</v>
      </c>
      <c r="I74" s="71">
        <f t="shared" si="9"/>
        <v>0.60237721498897678</v>
      </c>
      <c r="J74" s="35">
        <f t="shared" ref="J74:J107" si="14">J73+1</f>
        <v>2056</v>
      </c>
      <c r="K74" s="75">
        <f>$G$671</f>
        <v>4.2685281254888032</v>
      </c>
      <c r="L74" s="75">
        <f>Calcs2!K69</f>
        <v>22.183981020653665</v>
      </c>
      <c r="M74" s="75">
        <f>Calcs3!K69</f>
        <v>332.50404970498295</v>
      </c>
      <c r="N74" s="75">
        <f>Calcs4!K69</f>
        <v>20.138399099096617</v>
      </c>
      <c r="O74" s="74">
        <f t="shared" si="10"/>
        <v>379.09495795022201</v>
      </c>
      <c r="P74" s="74"/>
      <c r="Q74" s="74"/>
      <c r="R74" s="74"/>
      <c r="S74" s="74"/>
      <c r="T74" s="74"/>
      <c r="U74" s="74"/>
      <c r="V74" s="74"/>
      <c r="W74" s="74"/>
      <c r="X74" s="74"/>
      <c r="Y74" s="74"/>
    </row>
    <row r="75" spans="1:25" x14ac:dyDescent="0.3">
      <c r="A75" s="66">
        <f t="shared" si="7"/>
        <v>1996.7999999999938</v>
      </c>
      <c r="B75" s="67">
        <f>LOOKUP(A75+0.01,Amounts!$A$4:$A$103,Amounts!$B$4:$B$103)*0.1*$A$2</f>
        <v>9439.7626188810027</v>
      </c>
      <c r="C75" s="68">
        <f t="shared" si="13"/>
        <v>613711.46411523886</v>
      </c>
      <c r="D75" s="67">
        <f t="array" ref="D75">SUM($B$7:$B70*$F$1009*EXP(-$F$1009*($A75-$A$7:$A70)))*$F$1010</f>
        <v>110941698.24371018</v>
      </c>
      <c r="E75" s="67">
        <f t="shared" si="11"/>
        <v>211.50055376175806</v>
      </c>
      <c r="F75" s="70">
        <f t="shared" si="8"/>
        <v>12.842313624413949</v>
      </c>
      <c r="G75" s="67">
        <f>E75/'Lookup Tables'!$C$48</f>
        <v>423.00110752351611</v>
      </c>
      <c r="H75" s="70">
        <f t="shared" si="12"/>
        <v>0.18113510592056697</v>
      </c>
      <c r="I75" s="71">
        <f t="shared" si="9"/>
        <v>0.60912159483386319</v>
      </c>
      <c r="J75" s="35">
        <f t="shared" si="14"/>
        <v>2057</v>
      </c>
      <c r="K75" s="75">
        <f>$G$681</f>
        <v>3.7108800789255918</v>
      </c>
      <c r="L75" s="75">
        <f>Calcs2!K70</f>
        <v>20.684206804569648</v>
      </c>
      <c r="M75" s="75">
        <f>Calcs3!K70</f>
        <v>323.3230698474373</v>
      </c>
      <c r="N75" s="75">
        <f>Calcs4!K70</f>
        <v>19.85842589700486</v>
      </c>
      <c r="O75" s="74">
        <f t="shared" si="10"/>
        <v>367.5765826279374</v>
      </c>
      <c r="P75" s="74"/>
      <c r="Q75" s="74"/>
      <c r="R75" s="74"/>
      <c r="S75" s="74"/>
      <c r="T75" s="74"/>
      <c r="U75" s="74"/>
      <c r="V75" s="74"/>
      <c r="W75" s="74"/>
      <c r="X75" s="74"/>
      <c r="Y75" s="74"/>
    </row>
    <row r="76" spans="1:25" x14ac:dyDescent="0.3">
      <c r="A76" s="66">
        <f t="shared" si="7"/>
        <v>1996.8999999999937</v>
      </c>
      <c r="B76" s="67">
        <f>LOOKUP(A76+0.01,Amounts!$A$4:$A$103,Amounts!$B$4:$B$103)*0.1*$A$2</f>
        <v>9439.7626188810027</v>
      </c>
      <c r="C76" s="68">
        <f t="shared" si="13"/>
        <v>623151.22673411982</v>
      </c>
      <c r="D76" s="67">
        <f t="array" ref="D76">SUM($B$7:$B71*$F$1009*EXP(-$F$1009*($A76-$A$7:$A71)))*$F$1010</f>
        <v>112153001.01861049</v>
      </c>
      <c r="E76" s="67">
        <f t="shared" si="11"/>
        <v>213.80979556822282</v>
      </c>
      <c r="F76" s="70">
        <f t="shared" si="8"/>
        <v>12.982530786902489</v>
      </c>
      <c r="G76" s="67">
        <f>E76/'Lookup Tables'!$C$48</f>
        <v>427.61959113644565</v>
      </c>
      <c r="H76" s="70">
        <f t="shared" si="12"/>
        <v>0.1803389349638663</v>
      </c>
      <c r="I76" s="71">
        <f t="shared" si="9"/>
        <v>0.61577221123648174</v>
      </c>
      <c r="J76" s="35">
        <f t="shared" si="14"/>
        <v>2058</v>
      </c>
      <c r="K76" s="75">
        <f>$G$691</f>
        <v>3.2260841571917438</v>
      </c>
      <c r="L76" s="75">
        <f>Calcs2!K71</f>
        <v>19.285826594238536</v>
      </c>
      <c r="M76" s="75">
        <f>Calcs3!K71</f>
        <v>314.3955918381231</v>
      </c>
      <c r="N76" s="75">
        <f>Calcs4!K71</f>
        <v>19.582345009962754</v>
      </c>
      <c r="O76" s="74">
        <f t="shared" si="10"/>
        <v>356.48984759951611</v>
      </c>
      <c r="P76" s="74"/>
      <c r="Q76" s="74"/>
      <c r="R76" s="74"/>
      <c r="S76" s="74"/>
      <c r="T76" s="74"/>
      <c r="U76" s="74"/>
      <c r="V76" s="74"/>
      <c r="W76" s="74"/>
      <c r="X76" s="74"/>
      <c r="Y76" s="74"/>
    </row>
    <row r="77" spans="1:25" x14ac:dyDescent="0.3">
      <c r="A77" s="66">
        <f t="shared" si="7"/>
        <v>1996.9999999999936</v>
      </c>
      <c r="B77" s="67">
        <f>LOOKUP(A77+0.01,Amounts!$A$4:$A$103,Amounts!$B$4:$B$103)*0.1*$A$2</f>
        <v>9628.5999687570002</v>
      </c>
      <c r="C77" s="68">
        <f t="shared" si="13"/>
        <v>632779.82670287683</v>
      </c>
      <c r="D77" s="67">
        <f t="array" ref="D77">SUM($B$7:$B72*$F$1009*EXP(-$F$1009*($A77-$A$7:$A72)))*$F$1010</f>
        <v>113347463.71029846</v>
      </c>
      <c r="E77" s="67">
        <f t="shared" si="11"/>
        <v>216.08693324268677</v>
      </c>
      <c r="F77" s="70">
        <f t="shared" si="8"/>
        <v>13.12079858649594</v>
      </c>
      <c r="G77" s="67">
        <f>E77/'Lookup Tables'!$C$48</f>
        <v>432.17386648537354</v>
      </c>
      <c r="H77" s="70">
        <f t="shared" si="12"/>
        <v>0.17948627203263495</v>
      </c>
      <c r="I77" s="71">
        <f t="shared" si="9"/>
        <v>0.6223303677389378</v>
      </c>
      <c r="J77" s="35">
        <f t="shared" si="14"/>
        <v>2059</v>
      </c>
      <c r="K77" s="75">
        <f>$G$701</f>
        <v>2.8046228301446141</v>
      </c>
      <c r="L77" s="75">
        <f>Calcs2!K72</f>
        <v>17.98198552824692</v>
      </c>
      <c r="M77" s="75">
        <f>Calcs3!K72</f>
        <v>305.71461607699138</v>
      </c>
      <c r="N77" s="75">
        <f>Calcs4!K72</f>
        <v>19.310102325232624</v>
      </c>
      <c r="O77" s="74">
        <f t="shared" si="10"/>
        <v>345.81132676061554</v>
      </c>
      <c r="P77" s="74"/>
      <c r="Q77" s="74"/>
      <c r="R77" s="74"/>
      <c r="S77" s="74"/>
      <c r="T77" s="74"/>
      <c r="U77" s="74"/>
      <c r="V77" s="74"/>
      <c r="W77" s="74"/>
      <c r="X77" s="74"/>
      <c r="Y77" s="74"/>
    </row>
    <row r="78" spans="1:25" x14ac:dyDescent="0.3">
      <c r="A78" s="66">
        <f t="shared" si="7"/>
        <v>1997.0999999999935</v>
      </c>
      <c r="B78" s="67">
        <f>LOOKUP(A78+0.01,Amounts!$A$4:$A$103,Amounts!$B$4:$B$103)*0.1*$A$2</f>
        <v>9628.5999687570002</v>
      </c>
      <c r="C78" s="68">
        <f t="shared" si="13"/>
        <v>642408.42667163385</v>
      </c>
      <c r="D78" s="67">
        <f t="array" ref="D78">SUM($B$7:$B73*$F$1009*EXP(-$F$1009*($A78-$A$7:$A73)))*$F$1010</f>
        <v>114525320.43728563</v>
      </c>
      <c r="E78" s="67">
        <f t="shared" si="11"/>
        <v>218.33241311142424</v>
      </c>
      <c r="F78" s="70">
        <f t="shared" si="8"/>
        <v>13.257144124125681</v>
      </c>
      <c r="G78" s="67">
        <f>E78/'Lookup Tables'!$C$48</f>
        <v>436.66482622284849</v>
      </c>
      <c r="H78" s="70">
        <f t="shared" si="12"/>
        <v>0.17863326750852493</v>
      </c>
      <c r="I78" s="71">
        <f t="shared" si="9"/>
        <v>0.62879734976090185</v>
      </c>
      <c r="J78" s="35">
        <f t="shared" si="14"/>
        <v>2060</v>
      </c>
      <c r="K78" s="75">
        <f>$G$711</f>
        <v>2.4382219545740376</v>
      </c>
      <c r="L78" s="75">
        <f>Calcs2!K73</f>
        <v>16.766292176176702</v>
      </c>
      <c r="M78" s="75">
        <f>Calcs3!K73</f>
        <v>297.27333623438363</v>
      </c>
      <c r="N78" s="75">
        <f>Calcs4!K73</f>
        <v>19.041644482376721</v>
      </c>
      <c r="O78" s="74">
        <f t="shared" si="10"/>
        <v>335.51949484751111</v>
      </c>
      <c r="P78" s="74"/>
      <c r="Q78" s="74"/>
      <c r="R78" s="74"/>
      <c r="S78" s="74"/>
      <c r="T78" s="74"/>
      <c r="U78" s="74"/>
      <c r="V78" s="74"/>
      <c r="W78" s="74"/>
      <c r="X78" s="74"/>
      <c r="Y78" s="74"/>
    </row>
    <row r="79" spans="1:25" x14ac:dyDescent="0.3">
      <c r="A79" s="66">
        <f t="shared" si="7"/>
        <v>1997.1999999999935</v>
      </c>
      <c r="B79" s="67">
        <f>LOOKUP(A79+0.01,Amounts!$A$4:$A$103,Amounts!$B$4:$B$103)*0.1*$A$2</f>
        <v>9628.5999687570002</v>
      </c>
      <c r="C79" s="68">
        <f t="shared" si="13"/>
        <v>652037.02664039086</v>
      </c>
      <c r="D79" s="67">
        <f t="array" ref="D79">SUM($B$7:$B74*$F$1009*EXP(-$F$1009*($A79-$A$7:$A74)))*$F$1010</f>
        <v>115686802.06326118</v>
      </c>
      <c r="E79" s="67">
        <f t="shared" si="11"/>
        <v>220.54667529567797</v>
      </c>
      <c r="F79" s="70">
        <f t="shared" si="8"/>
        <v>13.391594123953565</v>
      </c>
      <c r="G79" s="67">
        <f>E79/'Lookup Tables'!$C$48</f>
        <v>441.09335059135594</v>
      </c>
      <c r="H79" s="70">
        <f t="shared" si="12"/>
        <v>0.17778029130137077</v>
      </c>
      <c r="I79" s="71">
        <f t="shared" si="9"/>
        <v>0.63517442485155262</v>
      </c>
      <c r="J79" s="35">
        <f t="shared" si="14"/>
        <v>2061</v>
      </c>
      <c r="K79" s="75">
        <f>$G$721</f>
        <v>2.1196883359393826</v>
      </c>
      <c r="L79" s="75">
        <f>Calcs2!K74</f>
        <v>15.632787207805606</v>
      </c>
      <c r="M79" s="75">
        <f>Calcs3!K74</f>
        <v>289.06513391451767</v>
      </c>
      <c r="N79" s="75">
        <f>Calcs4!K74</f>
        <v>18.776918862798393</v>
      </c>
      <c r="O79" s="74">
        <f t="shared" si="10"/>
        <v>325.59452832106103</v>
      </c>
      <c r="P79" s="74"/>
      <c r="Q79" s="74"/>
      <c r="R79" s="74"/>
      <c r="S79" s="74"/>
      <c r="T79" s="74"/>
      <c r="U79" s="74"/>
      <c r="V79" s="74"/>
      <c r="W79" s="74"/>
      <c r="X79" s="74"/>
      <c r="Y79" s="74"/>
    </row>
    <row r="80" spans="1:25" x14ac:dyDescent="0.3">
      <c r="A80" s="66">
        <f t="shared" si="7"/>
        <v>1997.2999999999934</v>
      </c>
      <c r="B80" s="67">
        <f>LOOKUP(A80+0.01,Amounts!$A$4:$A$103,Amounts!$B$4:$B$103)*0.1*$A$2</f>
        <v>9628.5999687570002</v>
      </c>
      <c r="C80" s="68">
        <f t="shared" si="13"/>
        <v>661665.62660914788</v>
      </c>
      <c r="D80" s="67">
        <f t="array" ref="D80">SUM($B$7:$B75*$F$1009*EXP(-$F$1009*($A80-$A$7:$A75)))*$F$1010</f>
        <v>116832136.24234213</v>
      </c>
      <c r="E80" s="67">
        <f t="shared" si="11"/>
        <v>222.73015379792474</v>
      </c>
      <c r="F80" s="70">
        <f t="shared" si="8"/>
        <v>13.524174938609992</v>
      </c>
      <c r="G80" s="67">
        <f>E80/'Lookup Tables'!$C$48</f>
        <v>445.46030759584949</v>
      </c>
      <c r="H80" s="70">
        <f t="shared" si="12"/>
        <v>0.17692768692870575</v>
      </c>
      <c r="I80" s="71">
        <f t="shared" si="9"/>
        <v>0.64146284293802325</v>
      </c>
      <c r="J80" s="35">
        <f t="shared" si="14"/>
        <v>2062</v>
      </c>
      <c r="K80" s="75">
        <f>$G$731</f>
        <v>1.8427685113279264</v>
      </c>
      <c r="L80" s="75">
        <f>Calcs2!K75</f>
        <v>14.57591418046364</v>
      </c>
      <c r="M80" s="75">
        <f>Calcs3!K75</f>
        <v>281.08357346632869</v>
      </c>
      <c r="N80" s="75">
        <f>Calcs4!K75</f>
        <v>18.515873579428728</v>
      </c>
      <c r="O80" s="74">
        <f t="shared" si="10"/>
        <v>316.01812973754897</v>
      </c>
      <c r="P80" s="74"/>
      <c r="Q80" s="74"/>
      <c r="R80" s="74"/>
      <c r="S80" s="74"/>
      <c r="T80" s="74"/>
      <c r="U80" s="74"/>
      <c r="V80" s="74"/>
      <c r="W80" s="74"/>
      <c r="X80" s="74"/>
      <c r="Y80" s="74"/>
    </row>
    <row r="81" spans="1:25" x14ac:dyDescent="0.3">
      <c r="A81" s="66">
        <f t="shared" si="7"/>
        <v>1997.3999999999933</v>
      </c>
      <c r="B81" s="67">
        <f>LOOKUP(A81+0.01,Amounts!$A$4:$A$103,Amounts!$B$4:$B$103)*0.1*$A$2</f>
        <v>9628.5999687570002</v>
      </c>
      <c r="C81" s="68">
        <f t="shared" si="13"/>
        <v>671294.22657790489</v>
      </c>
      <c r="D81" s="67">
        <f t="array" ref="D81">SUM($B$7:$B76*$F$1009*EXP(-$F$1009*($A81-$A$7:$A76)))*$F$1010</f>
        <v>117961547.46369416</v>
      </c>
      <c r="E81" s="67">
        <f t="shared" si="11"/>
        <v>224.88327658694101</v>
      </c>
      <c r="F81" s="70">
        <f t="shared" si="8"/>
        <v>13.654912554359058</v>
      </c>
      <c r="G81" s="67">
        <f>E81/'Lookup Tables'!$C$48</f>
        <v>449.76655317388202</v>
      </c>
      <c r="H81" s="70">
        <f t="shared" si="12"/>
        <v>0.17607577347513356</v>
      </c>
      <c r="I81" s="71">
        <f t="shared" si="9"/>
        <v>0.64766383657039006</v>
      </c>
      <c r="J81" s="35">
        <f t="shared" si="14"/>
        <v>2063</v>
      </c>
      <c r="K81" s="75">
        <f>$G$741</f>
        <v>1.6020259812567343</v>
      </c>
      <c r="L81" s="75">
        <f>Calcs2!K76</f>
        <v>13.590492301344639</v>
      </c>
      <c r="M81" s="75">
        <f>Calcs3!K76</f>
        <v>273.32239693758856</v>
      </c>
      <c r="N81" s="75">
        <f>Calcs4!K76</f>
        <v>18.258457466556528</v>
      </c>
      <c r="O81" s="74">
        <f t="shared" si="10"/>
        <v>306.77337268674648</v>
      </c>
      <c r="P81" s="74"/>
      <c r="Q81" s="74"/>
      <c r="R81" s="74"/>
      <c r="S81" s="74"/>
      <c r="T81" s="74"/>
      <c r="U81" s="74"/>
      <c r="V81" s="74"/>
      <c r="W81" s="74"/>
      <c r="X81" s="74"/>
      <c r="Y81" s="74"/>
    </row>
    <row r="82" spans="1:25" x14ac:dyDescent="0.3">
      <c r="A82" s="66">
        <f t="shared" si="7"/>
        <v>1997.4999999999932</v>
      </c>
      <c r="B82" s="67">
        <f>LOOKUP(A82+0.01,Amounts!$A$4:$A$103,Amounts!$B$4:$B$103)*0.1*$A$2</f>
        <v>9628.5999687570002</v>
      </c>
      <c r="C82" s="68">
        <f t="shared" si="13"/>
        <v>680922.82654666191</v>
      </c>
      <c r="D82" s="67">
        <f t="array" ref="D82">SUM($B$7:$B77*$F$1009*EXP(-$F$1009*($A82-$A$7:$A77)))*$F$1010</f>
        <v>119130342.67223915</v>
      </c>
      <c r="E82" s="67">
        <f t="shared" si="11"/>
        <v>227.11148147071987</v>
      </c>
      <c r="F82" s="70">
        <f t="shared" si="8"/>
        <v>13.79020915490211</v>
      </c>
      <c r="G82" s="67">
        <f>E82/'Lookup Tables'!$C$48</f>
        <v>454.22296294143973</v>
      </c>
      <c r="H82" s="70">
        <f t="shared" si="12"/>
        <v>0.17530590840433552</v>
      </c>
      <c r="I82" s="71">
        <f t="shared" si="9"/>
        <v>0.65408106663567311</v>
      </c>
      <c r="J82" s="35">
        <f t="shared" si="14"/>
        <v>2064</v>
      </c>
      <c r="K82" s="75">
        <f>$G$751</f>
        <v>1.3927344801285721</v>
      </c>
      <c r="L82" s="75">
        <f>Calcs2!K77</f>
        <v>12.671691031253912</v>
      </c>
      <c r="M82" s="75">
        <f>Calcs3!K77</f>
        <v>265.77551916835063</v>
      </c>
      <c r="N82" s="75">
        <f>Calcs4!K77</f>
        <v>18.004620069799529</v>
      </c>
      <c r="O82" s="74">
        <f t="shared" si="10"/>
        <v>297.84456474953265</v>
      </c>
      <c r="P82" s="74"/>
      <c r="Q82" s="74"/>
      <c r="R82" s="74"/>
      <c r="S82" s="74"/>
      <c r="T82" s="74"/>
      <c r="U82" s="74"/>
      <c r="V82" s="74"/>
      <c r="W82" s="74"/>
      <c r="X82" s="74"/>
      <c r="Y82" s="74"/>
    </row>
    <row r="83" spans="1:25" x14ac:dyDescent="0.3">
      <c r="A83" s="66">
        <f t="shared" ref="A83:A146" si="15">A82+0.1</f>
        <v>1997.5999999999931</v>
      </c>
      <c r="B83" s="67">
        <f>LOOKUP(A83+0.01,Amounts!$A$4:$A$103,Amounts!$B$4:$B$103)*0.1*$A$2</f>
        <v>9628.5999687570002</v>
      </c>
      <c r="C83" s="68">
        <f t="shared" si="13"/>
        <v>690551.42651541892</v>
      </c>
      <c r="D83" s="67">
        <f t="array" ref="D83">SUM($B$7:$B78*$F$1009*EXP(-$F$1009*($A83-$A$7:$A78)))*$F$1010</f>
        <v>120282888.75713156</v>
      </c>
      <c r="E83" s="67">
        <f t="shared" si="11"/>
        <v>229.30870883472869</v>
      </c>
      <c r="F83" s="70">
        <f t="shared" ref="F83:F146" si="16">E83*60*1012/1000000</f>
        <v>13.923624800444726</v>
      </c>
      <c r="G83" s="67">
        <f>E83/'Lookup Tables'!$C$48</f>
        <v>458.61741766945738</v>
      </c>
      <c r="H83" s="70">
        <f t="shared" si="12"/>
        <v>0.17453393438300613</v>
      </c>
      <c r="I83" s="71">
        <f t="shared" ref="I83:I146" si="17">G83*60*24/1000000</f>
        <v>0.66040908144401866</v>
      </c>
      <c r="J83" s="35">
        <f t="shared" si="14"/>
        <v>2065</v>
      </c>
      <c r="K83" s="75">
        <f>$G$761</f>
        <v>1.2107851900238031</v>
      </c>
      <c r="L83" s="75">
        <f>Calcs2!K78</f>
        <v>11.815006405299533</v>
      </c>
      <c r="M83" s="75">
        <f>Calcs3!K78</f>
        <v>258.4370230198727</v>
      </c>
      <c r="N83" s="75">
        <f>Calcs4!K78</f>
        <v>17.754311636215387</v>
      </c>
      <c r="O83" s="74">
        <f t="shared" si="10"/>
        <v>289.2171262514114</v>
      </c>
      <c r="P83" s="74"/>
      <c r="Q83" s="74"/>
      <c r="R83" s="74"/>
      <c r="S83" s="74"/>
      <c r="T83" s="74"/>
      <c r="U83" s="74"/>
      <c r="V83" s="74"/>
      <c r="W83" s="74"/>
      <c r="X83" s="74"/>
      <c r="Y83" s="74"/>
    </row>
    <row r="84" spans="1:25" x14ac:dyDescent="0.3">
      <c r="A84" s="66">
        <f t="shared" si="15"/>
        <v>1997.699999999993</v>
      </c>
      <c r="B84" s="67">
        <f>LOOKUP(A84+0.01,Amounts!$A$4:$A$103,Amounts!$B$4:$B$103)*0.1*$A$2</f>
        <v>9628.5999687570002</v>
      </c>
      <c r="C84" s="68">
        <f t="shared" si="13"/>
        <v>700180.02648417593</v>
      </c>
      <c r="D84" s="67">
        <f t="array" ref="D84">SUM($B$7:$B79*$F$1009*EXP(-$F$1009*($A84-$A$7:$A79)))*$F$1010</f>
        <v>121419411.62109379</v>
      </c>
      <c r="E84" s="67">
        <f t="shared" si="11"/>
        <v>231.47538934256505</v>
      </c>
      <c r="F84" s="70">
        <f t="shared" si="16"/>
        <v>14.055185640880548</v>
      </c>
      <c r="G84" s="67">
        <f>E84/'Lookup Tables'!$C$48</f>
        <v>462.9507786851301</v>
      </c>
      <c r="H84" s="70">
        <f t="shared" si="12"/>
        <v>0.17376026169921285</v>
      </c>
      <c r="I84" s="71">
        <f t="shared" si="17"/>
        <v>0.66664912130658738</v>
      </c>
      <c r="J84" s="35">
        <f t="shared" si="14"/>
        <v>2066</v>
      </c>
      <c r="K84" s="75">
        <f>$G$771</f>
        <v>1.0526060762462357</v>
      </c>
      <c r="L84" s="75">
        <f>Calcs2!K79</f>
        <v>11.016238954451181</v>
      </c>
      <c r="M84" s="75">
        <f>Calcs3!K79</f>
        <v>251.3011547352765</v>
      </c>
      <c r="N84" s="75">
        <f>Calcs4!K79</f>
        <v>17.50748310454977</v>
      </c>
      <c r="O84" s="74">
        <f t="shared" si="10"/>
        <v>280.87748287052364</v>
      </c>
      <c r="P84" s="74"/>
      <c r="Q84" s="74"/>
      <c r="R84" s="74"/>
      <c r="S84" s="74"/>
      <c r="T84" s="74"/>
      <c r="U84" s="74"/>
      <c r="V84" s="74"/>
      <c r="W84" s="74"/>
      <c r="X84" s="74"/>
      <c r="Y84" s="74"/>
    </row>
    <row r="85" spans="1:25" x14ac:dyDescent="0.3">
      <c r="A85" s="66">
        <f t="shared" si="15"/>
        <v>1997.7999999999929</v>
      </c>
      <c r="B85" s="67">
        <f>LOOKUP(A85+0.01,Amounts!$A$4:$A$103,Amounts!$B$4:$B$103)*0.1*$A$2</f>
        <v>9628.5999687570002</v>
      </c>
      <c r="C85" s="68">
        <f t="shared" si="13"/>
        <v>709808.62645293295</v>
      </c>
      <c r="D85" s="67">
        <f t="array" ref="D85">SUM($B$7:$B80*$F$1009*EXP(-$F$1009*($A85-$A$7:$A80)))*$F$1010</f>
        <v>122540134.02624553</v>
      </c>
      <c r="E85" s="67">
        <f t="shared" si="11"/>
        <v>233.61194767054471</v>
      </c>
      <c r="F85" s="70">
        <f t="shared" si="16"/>
        <v>14.184917462555473</v>
      </c>
      <c r="G85" s="67">
        <f>E85/'Lookup Tables'!$C$48</f>
        <v>467.22389534108942</v>
      </c>
      <c r="H85" s="70">
        <f t="shared" si="12"/>
        <v>0.17298527394521626</v>
      </c>
      <c r="I85" s="71">
        <f t="shared" si="17"/>
        <v>0.67280240929116863</v>
      </c>
      <c r="J85" s="35">
        <f t="shared" si="14"/>
        <v>2067</v>
      </c>
      <c r="K85" s="75">
        <f>$G$781</f>
        <v>0.91509176101560463</v>
      </c>
      <c r="L85" s="75">
        <f>Calcs2!K80</f>
        <v>10.271473119738095</v>
      </c>
      <c r="M85" s="75">
        <f>Calcs3!K80</f>
        <v>244.36231942830909</v>
      </c>
      <c r="N85" s="75">
        <f>Calcs4!K80</f>
        <v>17.264086095620289</v>
      </c>
      <c r="O85" s="74">
        <f t="shared" si="10"/>
        <v>272.81297040468309</v>
      </c>
      <c r="P85" s="74"/>
      <c r="Q85" s="74"/>
      <c r="R85" s="74"/>
      <c r="S85" s="74"/>
      <c r="T85" s="74"/>
      <c r="U85" s="74"/>
      <c r="V85" s="74"/>
      <c r="W85" s="74"/>
      <c r="X85" s="74"/>
      <c r="Y85" s="74"/>
    </row>
    <row r="86" spans="1:25" x14ac:dyDescent="0.3">
      <c r="A86" s="66">
        <f t="shared" si="15"/>
        <v>1997.8999999999928</v>
      </c>
      <c r="B86" s="67">
        <f>LOOKUP(A86+0.01,Amounts!$A$4:$A$103,Amounts!$B$4:$B$103)*0.1*$A$2</f>
        <v>9628.5999687570002</v>
      </c>
      <c r="C86" s="68">
        <f t="shared" si="13"/>
        <v>719437.22642168996</v>
      </c>
      <c r="D86" s="67">
        <f t="array" ref="D86">SUM($B$7:$B81*$F$1009*EXP(-$F$1009*($A86-$A$7:$A81)))*$F$1010</f>
        <v>123645275.63776606</v>
      </c>
      <c r="E86" s="67">
        <f t="shared" si="11"/>
        <v>235.71880259093984</v>
      </c>
      <c r="F86" s="70">
        <f t="shared" si="16"/>
        <v>14.312845693321867</v>
      </c>
      <c r="G86" s="67">
        <f>E86/'Lookup Tables'!$C$48</f>
        <v>471.43760518187969</v>
      </c>
      <c r="H86" s="70">
        <f t="shared" si="12"/>
        <v>0.17220932986470042</v>
      </c>
      <c r="I86" s="71">
        <f t="shared" si="17"/>
        <v>0.67887015146190677</v>
      </c>
      <c r="J86" s="35">
        <f t="shared" si="14"/>
        <v>2068</v>
      </c>
      <c r="K86" s="75">
        <f>$G$791</f>
        <v>0.79554255858461265</v>
      </c>
      <c r="L86" s="75">
        <f>Calcs2!K81</f>
        <v>9.5770580581744795</v>
      </c>
      <c r="M86" s="75">
        <f>Calcs3!K81</f>
        <v>237.61507669666429</v>
      </c>
      <c r="N86" s="75">
        <f>Calcs4!K81</f>
        <v>17.024072902834007</v>
      </c>
      <c r="O86" s="74">
        <f t="shared" si="10"/>
        <v>265.01175021625738</v>
      </c>
      <c r="P86" s="74"/>
      <c r="Q86" s="74"/>
      <c r="R86" s="74"/>
      <c r="S86" s="74"/>
      <c r="T86" s="74"/>
      <c r="U86" s="74"/>
      <c r="V86" s="74"/>
      <c r="W86" s="74"/>
      <c r="X86" s="74"/>
      <c r="Y86" s="74"/>
    </row>
    <row r="87" spans="1:25" x14ac:dyDescent="0.3">
      <c r="A87" s="66">
        <f t="shared" si="15"/>
        <v>1997.9999999999927</v>
      </c>
      <c r="B87" s="67">
        <f>LOOKUP(A87+0.01,Amounts!$A$4:$A$103,Amounts!$B$4:$B$103)*0.1*$A$2</f>
        <v>9821.045675637004</v>
      </c>
      <c r="C87" s="68">
        <f t="shared" si="13"/>
        <v>729258.27209732693</v>
      </c>
      <c r="D87" s="67">
        <f t="array" ref="D87">SUM($B$7:$B82*$F$1009*EXP(-$F$1009*($A87-$A$7:$A82)))*$F$1010</f>
        <v>124735053.06694916</v>
      </c>
      <c r="E87" s="67">
        <f t="shared" si="11"/>
        <v>237.79636705405963</v>
      </c>
      <c r="F87" s="70">
        <f t="shared" si="16"/>
        <v>14.4389954075225</v>
      </c>
      <c r="G87" s="67">
        <f>E87/'Lookup Tables'!$C$48</f>
        <v>475.59273410811926</v>
      </c>
      <c r="H87" s="70">
        <f t="shared" si="12"/>
        <v>0.17138752525104456</v>
      </c>
      <c r="I87" s="71">
        <f t="shared" si="17"/>
        <v>0.68485353711569175</v>
      </c>
      <c r="J87" s="35">
        <f t="shared" si="14"/>
        <v>2069</v>
      </c>
      <c r="K87" s="75">
        <f>$G$801</f>
        <v>0.69161147491585817</v>
      </c>
      <c r="L87" s="75">
        <f>Calcs2!K82</f>
        <v>8.9295897463229128</v>
      </c>
      <c r="M87" s="75">
        <f>Calcs3!K82</f>
        <v>231.05413635642842</v>
      </c>
      <c r="N87" s="75">
        <f>Calcs4!K82</f>
        <v>16.787396482836762</v>
      </c>
      <c r="O87" s="74">
        <f t="shared" si="10"/>
        <v>257.46273406050398</v>
      </c>
      <c r="P87" s="74"/>
      <c r="Q87" s="74"/>
      <c r="R87" s="74"/>
      <c r="S87" s="74"/>
      <c r="T87" s="74"/>
      <c r="U87" s="74"/>
      <c r="V87" s="74"/>
      <c r="W87" s="74"/>
      <c r="X87" s="74"/>
      <c r="Y87" s="74"/>
    </row>
    <row r="88" spans="1:25" x14ac:dyDescent="0.3">
      <c r="A88" s="66">
        <f t="shared" si="15"/>
        <v>1998.0999999999926</v>
      </c>
      <c r="B88" s="67">
        <f>LOOKUP(A88+0.01,Amounts!$A$4:$A$103,Amounts!$B$4:$B$103)*0.1*$A$2</f>
        <v>9821.045675637004</v>
      </c>
      <c r="C88" s="68">
        <f t="shared" si="13"/>
        <v>739079.3177729639</v>
      </c>
      <c r="D88" s="67">
        <f t="array" ref="D88">SUM($B$7:$B83*$F$1009*EXP(-$F$1009*($A88-$A$7:$A83)))*$F$1010</f>
        <v>125809679.91365972</v>
      </c>
      <c r="E88" s="67">
        <f t="shared" si="11"/>
        <v>239.84504826918985</v>
      </c>
      <c r="F88" s="70">
        <f t="shared" si="16"/>
        <v>14.563391330905208</v>
      </c>
      <c r="G88" s="67">
        <f>E88/'Lookup Tables'!$C$48</f>
        <v>479.69009653837969</v>
      </c>
      <c r="H88" s="70">
        <f t="shared" si="12"/>
        <v>0.17056702080386324</v>
      </c>
      <c r="I88" s="71">
        <f t="shared" si="17"/>
        <v>0.69075373901526671</v>
      </c>
      <c r="J88" s="35">
        <f t="shared" si="14"/>
        <v>2070</v>
      </c>
      <c r="K88" s="75">
        <f>$G$811</f>
        <v>0.60125813141449236</v>
      </c>
      <c r="L88" s="75">
        <f>Calcs2!K83</f>
        <v>8.3258942937675418</v>
      </c>
      <c r="M88" s="75">
        <f>Calcs3!K83</f>
        <v>224.67435429430566</v>
      </c>
      <c r="N88" s="75">
        <f>Calcs4!K83</f>
        <v>16.554010446292555</v>
      </c>
      <c r="O88" s="74">
        <f t="shared" si="10"/>
        <v>250.15551716578025</v>
      </c>
      <c r="P88" s="74"/>
      <c r="Q88" s="74"/>
      <c r="R88" s="74"/>
      <c r="S88" s="74"/>
      <c r="T88" s="74"/>
      <c r="U88" s="74"/>
      <c r="V88" s="74"/>
      <c r="W88" s="74"/>
      <c r="X88" s="74"/>
      <c r="Y88" s="74"/>
    </row>
    <row r="89" spans="1:25" x14ac:dyDescent="0.3">
      <c r="A89" s="66">
        <f t="shared" si="15"/>
        <v>1998.1999999999925</v>
      </c>
      <c r="B89" s="67">
        <f>LOOKUP(A89+0.01,Amounts!$A$4:$A$103,Amounts!$B$4:$B$103)*0.1*$A$2</f>
        <v>9821.045675637004</v>
      </c>
      <c r="C89" s="68">
        <f t="shared" si="13"/>
        <v>748900.36344860087</v>
      </c>
      <c r="D89" s="67">
        <f t="array" ref="D89">SUM($B$7:$B84*$F$1009*EXP(-$F$1009*($A89-$A$7:$A84)))*$F$1010</f>
        <v>126869366.80819996</v>
      </c>
      <c r="E89" s="67">
        <f t="shared" si="11"/>
        <v>241.86524778440725</v>
      </c>
      <c r="F89" s="70">
        <f t="shared" si="16"/>
        <v>14.686057845469209</v>
      </c>
      <c r="G89" s="67">
        <f>E89/'Lookup Tables'!$C$48</f>
        <v>483.73049556881449</v>
      </c>
      <c r="H89" s="70">
        <f t="shared" si="12"/>
        <v>0.16974804719027134</v>
      </c>
      <c r="I89" s="71">
        <f t="shared" si="17"/>
        <v>0.69657191361909288</v>
      </c>
      <c r="J89" s="35">
        <f t="shared" si="14"/>
        <v>2071</v>
      </c>
      <c r="K89" s="75">
        <f>$G$821</f>
        <v>0.5227087081457531</v>
      </c>
      <c r="L89" s="75">
        <f>Calcs2!K84</f>
        <v>7.7630123846995485</v>
      </c>
      <c r="M89" s="75">
        <f>Calcs3!K84</f>
        <v>218.47072843437019</v>
      </c>
      <c r="N89" s="75">
        <f>Calcs4!K84</f>
        <v>16.323869048791046</v>
      </c>
      <c r="O89" s="74">
        <f t="shared" si="10"/>
        <v>243.08031857600653</v>
      </c>
      <c r="P89" s="74"/>
      <c r="Q89" s="74"/>
      <c r="R89" s="74"/>
      <c r="S89" s="74"/>
      <c r="T89" s="74"/>
      <c r="U89" s="74"/>
      <c r="V89" s="74"/>
      <c r="W89" s="74"/>
      <c r="X89" s="74"/>
      <c r="Y89" s="74"/>
    </row>
    <row r="90" spans="1:25" x14ac:dyDescent="0.3">
      <c r="A90" s="66">
        <f t="shared" si="15"/>
        <v>1998.2999999999925</v>
      </c>
      <c r="B90" s="67">
        <f>LOOKUP(A90+0.01,Amounts!$A$4:$A$103,Amounts!$B$4:$B$103)*0.1*$A$2</f>
        <v>9821.045675637004</v>
      </c>
      <c r="C90" s="68">
        <f t="shared" si="13"/>
        <v>758721.40912423783</v>
      </c>
      <c r="D90" s="67">
        <f t="array" ref="D90">SUM($B$7:$B85*$F$1009*EXP(-$F$1009*($A90-$A$7:$A85)))*$F$1010</f>
        <v>127914321.45259367</v>
      </c>
      <c r="E90" s="67">
        <f t="shared" si="11"/>
        <v>243.85736156528424</v>
      </c>
      <c r="F90" s="70">
        <f t="shared" si="16"/>
        <v>14.807018994244059</v>
      </c>
      <c r="G90" s="67">
        <f>E90/'Lookup Tables'!$C$48</f>
        <v>487.71472313056847</v>
      </c>
      <c r="H90" s="70">
        <f t="shared" si="12"/>
        <v>0.16893081926692516</v>
      </c>
      <c r="I90" s="71">
        <f t="shared" si="17"/>
        <v>0.70230920130801866</v>
      </c>
      <c r="J90" s="35">
        <f t="shared" si="14"/>
        <v>2072</v>
      </c>
      <c r="K90" s="75">
        <f>$G$831</f>
        <v>0.45442112014123925</v>
      </c>
      <c r="L90" s="75">
        <f>Calcs2!K85</f>
        <v>7.2381847713476528</v>
      </c>
      <c r="M90" s="75">
        <f>Calcs3!K85</f>
        <v>212.43839481618119</v>
      </c>
      <c r="N90" s="75">
        <f>Calcs4!K85</f>
        <v>16.096927181881593</v>
      </c>
      <c r="O90" s="74">
        <f t="shared" si="10"/>
        <v>236.22792788955167</v>
      </c>
      <c r="P90" s="74"/>
      <c r="Q90" s="74"/>
      <c r="R90" s="74"/>
      <c r="S90" s="74"/>
      <c r="T90" s="74"/>
      <c r="U90" s="74"/>
      <c r="V90" s="74"/>
      <c r="W90" s="74"/>
      <c r="X90" s="74"/>
      <c r="Y90" s="74"/>
    </row>
    <row r="91" spans="1:25" x14ac:dyDescent="0.3">
      <c r="A91" s="66">
        <f t="shared" si="15"/>
        <v>1998.3999999999924</v>
      </c>
      <c r="B91" s="67">
        <f>LOOKUP(A91+0.01,Amounts!$A$4:$A$103,Amounts!$B$4:$B$103)*0.1*$A$2</f>
        <v>9821.045675637004</v>
      </c>
      <c r="C91" s="68">
        <f t="shared" si="13"/>
        <v>768542.4547998748</v>
      </c>
      <c r="D91" s="67">
        <f t="array" ref="D91">SUM($B$7:$B86*$F$1009*EXP(-$F$1009*($A91-$A$7:$A86)))*$F$1010</f>
        <v>128944748.66129637</v>
      </c>
      <c r="E91" s="67">
        <f t="shared" si="11"/>
        <v>245.82178007249922</v>
      </c>
      <c r="F91" s="70">
        <f t="shared" si="16"/>
        <v>14.926298486002153</v>
      </c>
      <c r="G91" s="67">
        <f>E91/'Lookup Tables'!$C$48</f>
        <v>491.64356014499845</v>
      </c>
      <c r="H91" s="70">
        <f t="shared" si="12"/>
        <v>0.16811553714329255</v>
      </c>
      <c r="I91" s="71">
        <f t="shared" si="17"/>
        <v>0.70796672660879778</v>
      </c>
      <c r="J91" s="35">
        <f t="shared" si="14"/>
        <v>2073</v>
      </c>
      <c r="K91" s="75">
        <f>$G$841</f>
        <v>0.39505474313398659</v>
      </c>
      <c r="L91" s="75">
        <f>Calcs2!K86</f>
        <v>6.7488387481423349</v>
      </c>
      <c r="M91" s="75">
        <f>Calcs3!K86</f>
        <v>206.57262378119034</v>
      </c>
      <c r="N91" s="75">
        <f>Calcs4!K86</f>
        <v>15.873140364231766</v>
      </c>
      <c r="O91" s="74">
        <f t="shared" si="10"/>
        <v>229.58965763669843</v>
      </c>
      <c r="P91" s="74"/>
      <c r="Q91" s="74"/>
      <c r="R91" s="74"/>
      <c r="S91" s="74"/>
      <c r="T91" s="74"/>
      <c r="U91" s="74"/>
      <c r="V91" s="74"/>
      <c r="W91" s="74"/>
      <c r="X91" s="74"/>
      <c r="Y91" s="74"/>
    </row>
    <row r="92" spans="1:25" x14ac:dyDescent="0.3">
      <c r="A92" s="66">
        <f t="shared" si="15"/>
        <v>1998.4999999999923</v>
      </c>
      <c r="B92" s="67">
        <f>LOOKUP(A92+0.01,Amounts!$A$4:$A$103,Amounts!$B$4:$B$103)*0.1*$A$2</f>
        <v>9821.045675637004</v>
      </c>
      <c r="C92" s="68">
        <f t="shared" si="13"/>
        <v>778363.50047551177</v>
      </c>
      <c r="D92" s="67">
        <f t="array" ref="D92">SUM($B$7:$B87*$F$1009*EXP(-$F$1009*($A92-$A$7:$A87)))*$F$1010</f>
        <v>130016988.56868431</v>
      </c>
      <c r="E92" s="67">
        <f t="shared" si="11"/>
        <v>247.86591079853</v>
      </c>
      <c r="F92" s="70">
        <f t="shared" si="16"/>
        <v>15.050418103686741</v>
      </c>
      <c r="G92" s="67">
        <f>E92/'Lookup Tables'!$C$48</f>
        <v>495.73182159705999</v>
      </c>
      <c r="H92" s="70">
        <f t="shared" si="12"/>
        <v>0.16737465546125779</v>
      </c>
      <c r="I92" s="71">
        <f t="shared" si="17"/>
        <v>0.71385382309976642</v>
      </c>
      <c r="J92" s="35">
        <f t="shared" si="14"/>
        <v>2074</v>
      </c>
      <c r="K92" s="75">
        <f>$G$851</f>
        <v>0.34344409437693518</v>
      </c>
      <c r="L92" s="75">
        <f>Calcs2!K87</f>
        <v>6.2925755403101089</v>
      </c>
      <c r="M92" s="75">
        <f>Calcs3!K87</f>
        <v>200.86881626444517</v>
      </c>
      <c r="N92" s="75">
        <f>Calcs4!K87</f>
        <v>15.652464732908829</v>
      </c>
      <c r="O92" s="74">
        <f t="shared" si="10"/>
        <v>223.15730063204106</v>
      </c>
      <c r="P92" s="74"/>
      <c r="Q92" s="74"/>
      <c r="R92" s="74"/>
      <c r="S92" s="74"/>
      <c r="T92" s="74"/>
      <c r="U92" s="74"/>
      <c r="V92" s="74"/>
      <c r="W92" s="74"/>
      <c r="X92" s="74"/>
      <c r="Y92" s="74"/>
    </row>
    <row r="93" spans="1:25" x14ac:dyDescent="0.3">
      <c r="A93" s="66">
        <f t="shared" si="15"/>
        <v>1998.5999999999922</v>
      </c>
      <c r="B93" s="67">
        <f>LOOKUP(A93+0.01,Amounts!$A$4:$A$103,Amounts!$B$4:$B$103)*0.1*$A$2</f>
        <v>9821.045675637004</v>
      </c>
      <c r="C93" s="68">
        <f t="shared" si="13"/>
        <v>788184.54615114874</v>
      </c>
      <c r="D93" s="67">
        <f t="array" ref="D93">SUM($B$7:$B88*$F$1009*EXP(-$F$1009*($A93-$A$7:$A88)))*$F$1010</f>
        <v>131074321.70822018</v>
      </c>
      <c r="E93" s="67">
        <f t="shared" si="11"/>
        <v>249.88162308762122</v>
      </c>
      <c r="F93" s="70">
        <f t="shared" si="16"/>
        <v>15.17281215388036</v>
      </c>
      <c r="G93" s="67">
        <f>E93/'Lookup Tables'!$C$48</f>
        <v>499.76324617524244</v>
      </c>
      <c r="H93" s="70">
        <f t="shared" si="12"/>
        <v>0.16663328624774543</v>
      </c>
      <c r="I93" s="71">
        <f t="shared" si="17"/>
        <v>0.719659074492349</v>
      </c>
      <c r="J93" s="35">
        <f t="shared" si="14"/>
        <v>2075</v>
      </c>
      <c r="K93" s="75">
        <f>$G$861</f>
        <v>0.29857595184571112</v>
      </c>
      <c r="L93" s="75">
        <f>Calcs2!K88</f>
        <v>5.8671585450768502</v>
      </c>
      <c r="M93" s="75">
        <f>Calcs3!K88</f>
        <v>195.32250018868854</v>
      </c>
      <c r="N93" s="75">
        <f>Calcs4!K88</f>
        <v>15.434857034782663</v>
      </c>
      <c r="O93" s="74">
        <f t="shared" si="10"/>
        <v>216.92309172039376</v>
      </c>
      <c r="P93" s="74"/>
      <c r="Q93" s="74"/>
      <c r="R93" s="74"/>
      <c r="S93" s="74"/>
      <c r="T93" s="74"/>
      <c r="U93" s="74"/>
      <c r="V93" s="74"/>
      <c r="W93" s="74"/>
      <c r="X93" s="74"/>
      <c r="Y93" s="74"/>
    </row>
    <row r="94" spans="1:25" x14ac:dyDescent="0.3">
      <c r="A94" s="66">
        <f t="shared" si="15"/>
        <v>1998.6999999999921</v>
      </c>
      <c r="B94" s="67">
        <f>LOOKUP(A94+0.01,Amounts!$A$4:$A$103,Amounts!$B$4:$B$103)*0.1*$A$2</f>
        <v>9821.045675637004</v>
      </c>
      <c r="C94" s="68">
        <f t="shared" si="13"/>
        <v>798005.59182678571</v>
      </c>
      <c r="D94" s="67">
        <f t="array" ref="D94">SUM($B$7:$B89*$F$1009*EXP(-$F$1009*($A94-$A$7:$A89)))*$F$1010</f>
        <v>132116955.32058424</v>
      </c>
      <c r="E94" s="67">
        <f t="shared" si="11"/>
        <v>251.86931202583452</v>
      </c>
      <c r="F94" s="70">
        <f t="shared" si="16"/>
        <v>15.293504626208673</v>
      </c>
      <c r="G94" s="67">
        <f>E94/'Lookup Tables'!$C$48</f>
        <v>503.73862405166903</v>
      </c>
      <c r="H94" s="70">
        <f t="shared" si="12"/>
        <v>0.16589170772316275</v>
      </c>
      <c r="I94" s="71">
        <f t="shared" si="17"/>
        <v>0.72538361863440348</v>
      </c>
      <c r="J94" s="35">
        <f t="shared" si="14"/>
        <v>2076</v>
      </c>
      <c r="K94" s="75">
        <f>$G$871</f>
        <v>0.25956946262913916</v>
      </c>
      <c r="L94" s="75">
        <f>Calcs2!K89</f>
        <v>5.4705023678383808</v>
      </c>
      <c r="M94" s="75">
        <f>Calcs3!K89</f>
        <v>189.92932695802</v>
      </c>
      <c r="N94" s="75">
        <f>Calcs4!K89</f>
        <v>15.220274618047734</v>
      </c>
      <c r="O94" s="74">
        <f t="shared" si="10"/>
        <v>210.87967340653526</v>
      </c>
      <c r="P94" s="74"/>
      <c r="Q94" s="74"/>
      <c r="R94" s="74"/>
      <c r="S94" s="74"/>
      <c r="T94" s="74"/>
      <c r="U94" s="74"/>
      <c r="V94" s="74"/>
      <c r="W94" s="74"/>
      <c r="X94" s="74"/>
      <c r="Y94" s="74"/>
    </row>
    <row r="95" spans="1:25" x14ac:dyDescent="0.3">
      <c r="A95" s="66">
        <f t="shared" si="15"/>
        <v>1998.799999999992</v>
      </c>
      <c r="B95" s="67">
        <f>LOOKUP(A95+0.01,Amounts!$A$4:$A$103,Amounts!$B$4:$B$103)*0.1*$A$2</f>
        <v>9821.045675637004</v>
      </c>
      <c r="C95" s="68">
        <f t="shared" si="13"/>
        <v>807826.63750242267</v>
      </c>
      <c r="D95" s="67">
        <f t="array" ref="D95">SUM($B$7:$B90*$F$1009*EXP(-$F$1009*($A95-$A$7:$A90)))*$F$1010</f>
        <v>133145093.76530237</v>
      </c>
      <c r="E95" s="67">
        <f t="shared" si="11"/>
        <v>253.82936720656517</v>
      </c>
      <c r="F95" s="70">
        <f t="shared" si="16"/>
        <v>15.412519176782636</v>
      </c>
      <c r="G95" s="67">
        <f>E95/'Lookup Tables'!$C$48</f>
        <v>507.65873441313033</v>
      </c>
      <c r="H95" s="70">
        <f t="shared" si="12"/>
        <v>0.16515018100448628</v>
      </c>
      <c r="I95" s="71">
        <f t="shared" si="17"/>
        <v>0.73102857755490769</v>
      </c>
      <c r="J95" s="35">
        <f t="shared" si="14"/>
        <v>2077</v>
      </c>
      <c r="K95" s="75">
        <f>$G$881</f>
        <v>0.22565884999471342</v>
      </c>
      <c r="L95" s="75">
        <f>Calcs2!K90</f>
        <v>5.1006625995536865</v>
      </c>
      <c r="M95" s="75">
        <f>Calcs3!K90</f>
        <v>184.68506804837367</v>
      </c>
      <c r="N95" s="75">
        <f>Calcs4!K90</f>
        <v>15.008675423863433</v>
      </c>
      <c r="O95" s="74">
        <f t="shared" si="10"/>
        <v>205.02006492178549</v>
      </c>
      <c r="P95" s="74"/>
      <c r="Q95" s="74"/>
      <c r="R95" s="74"/>
      <c r="S95" s="74"/>
      <c r="T95" s="74"/>
      <c r="U95" s="74"/>
      <c r="V95" s="74"/>
      <c r="W95" s="74"/>
      <c r="X95" s="74"/>
      <c r="Y95" s="74"/>
    </row>
    <row r="96" spans="1:25" x14ac:dyDescent="0.3">
      <c r="A96" s="66">
        <f t="shared" si="15"/>
        <v>1998.8999999999919</v>
      </c>
      <c r="B96" s="67">
        <f>LOOKUP(A96+0.01,Amounts!$A$4:$A$103,Amounts!$B$4:$B$103)*0.1*$A$2</f>
        <v>9821.045675637004</v>
      </c>
      <c r="C96" s="68">
        <f t="shared" si="13"/>
        <v>817647.68317805964</v>
      </c>
      <c r="D96" s="67">
        <f t="array" ref="D96">SUM($B$7:$B91*$F$1009*EXP(-$F$1009*($A96-$A$7:$A91)))*$F$1010</f>
        <v>134158938.56080118</v>
      </c>
      <c r="E96" s="67">
        <f t="shared" si="11"/>
        <v>255.76217280690335</v>
      </c>
      <c r="F96" s="70">
        <f t="shared" si="16"/>
        <v>15.52987913283517</v>
      </c>
      <c r="G96" s="67">
        <f>E96/'Lookup Tables'!$C$48</f>
        <v>511.5243456138067</v>
      </c>
      <c r="H96" s="70">
        <f t="shared" si="12"/>
        <v>0.16440895118152471</v>
      </c>
      <c r="I96" s="71">
        <f t="shared" si="17"/>
        <v>0.73659505768388156</v>
      </c>
      <c r="J96" s="35">
        <f t="shared" si="14"/>
        <v>2078</v>
      </c>
      <c r="K96" s="75">
        <f>$G$891</f>
        <v>0.19617837963355292</v>
      </c>
      <c r="L96" s="75">
        <f>Calcs2!K91</f>
        <v>4.7558262852495661</v>
      </c>
      <c r="M96" s="75">
        <f>Calcs3!K91</f>
        <v>179.58561169213991</v>
      </c>
      <c r="N96" s="75">
        <f>Calcs4!K91</f>
        <v>14.800017978110271</v>
      </c>
      <c r="O96" s="74">
        <f t="shared" si="10"/>
        <v>199.33763433513329</v>
      </c>
      <c r="P96" s="74"/>
      <c r="Q96" s="74"/>
      <c r="R96" s="74"/>
      <c r="S96" s="74"/>
      <c r="T96" s="74"/>
      <c r="U96" s="74"/>
      <c r="V96" s="74"/>
      <c r="W96" s="74"/>
      <c r="X96" s="74"/>
      <c r="Y96" s="74"/>
    </row>
    <row r="97" spans="1:25" x14ac:dyDescent="0.3">
      <c r="A97" s="66">
        <f t="shared" si="15"/>
        <v>1998.9999999999918</v>
      </c>
      <c r="B97" s="67">
        <f>LOOKUP(A97+0.01,Amounts!$A$4:$A$103,Amounts!$B$4:$B$103)*0.1*$A$2</f>
        <v>10017.400435938001</v>
      </c>
      <c r="C97" s="68">
        <f t="shared" si="13"/>
        <v>827665.08361399767</v>
      </c>
      <c r="D97" s="67">
        <f t="array" ref="D97">SUM($B$7:$B92*$F$1009*EXP(-$F$1009*($A97-$A$7:$A92)))*$F$1010</f>
        <v>135158688.42390624</v>
      </c>
      <c r="E97" s="67">
        <f t="shared" si="11"/>
        <v>257.66810766293435</v>
      </c>
      <c r="F97" s="70">
        <f t="shared" si="16"/>
        <v>15.645607497293373</v>
      </c>
      <c r="G97" s="67">
        <f>E97/'Lookup Tables'!$C$48</f>
        <v>515.33621532586869</v>
      </c>
      <c r="H97" s="70">
        <f t="shared" si="12"/>
        <v>0.16362941976032377</v>
      </c>
      <c r="I97" s="71">
        <f t="shared" si="17"/>
        <v>0.74208415006925099</v>
      </c>
      <c r="J97" s="35">
        <f t="shared" si="14"/>
        <v>2079</v>
      </c>
      <c r="K97" s="75">
        <f>$G$901</f>
        <v>0.17054928994164437</v>
      </c>
      <c r="L97" s="75">
        <f>Calcs2!K92</f>
        <v>4.434303036913243</v>
      </c>
      <c r="M97" s="75">
        <f>Calcs3!K92</f>
        <v>174.62695965432707</v>
      </c>
      <c r="N97" s="75">
        <f>Calcs4!K92</f>
        <v>14.594261383260939</v>
      </c>
      <c r="O97" s="74">
        <f t="shared" si="10"/>
        <v>193.82607336444289</v>
      </c>
      <c r="P97" s="74"/>
      <c r="Q97" s="74"/>
      <c r="R97" s="74"/>
      <c r="S97" s="74"/>
      <c r="T97" s="74"/>
      <c r="U97" s="74"/>
      <c r="V97" s="74"/>
      <c r="W97" s="74"/>
      <c r="X97" s="74"/>
      <c r="Y97" s="74"/>
    </row>
    <row r="98" spans="1:25" x14ac:dyDescent="0.3">
      <c r="A98" s="66">
        <f t="shared" si="15"/>
        <v>1999.0999999999917</v>
      </c>
      <c r="B98" s="67">
        <f>LOOKUP(A98+0.01,Amounts!$A$4:$A$103,Amounts!$B$4:$B$103)*0.1*$A$2</f>
        <v>10017.400435938001</v>
      </c>
      <c r="C98" s="68">
        <f t="shared" si="13"/>
        <v>837682.48404993571</v>
      </c>
      <c r="D98" s="67">
        <f t="array" ref="D98">SUM($B$7:$B93*$F$1009*EXP(-$F$1009*($A98-$A$7:$A93)))*$F$1010</f>
        <v>136144539.30879128</v>
      </c>
      <c r="E98" s="67">
        <f t="shared" si="11"/>
        <v>259.54754534399154</v>
      </c>
      <c r="F98" s="70">
        <f t="shared" si="16"/>
        <v>15.759726953287165</v>
      </c>
      <c r="G98" s="67">
        <f>E98/'Lookup Tables'!$C$48</f>
        <v>519.09509068798309</v>
      </c>
      <c r="H98" s="70">
        <f t="shared" si="12"/>
        <v>0.1628519068146945</v>
      </c>
      <c r="I98" s="71">
        <f t="shared" si="17"/>
        <v>0.74749693059069555</v>
      </c>
      <c r="J98" s="35">
        <f t="shared" si="14"/>
        <v>2080</v>
      </c>
      <c r="K98" s="75">
        <f>$G$911</f>
        <v>0.14826842975220605</v>
      </c>
      <c r="L98" s="75">
        <f>Calcs2!K93</f>
        <v>4.1345167472083499</v>
      </c>
      <c r="M98" s="75">
        <f>Calcs3!K93</f>
        <v>169.80522409774272</v>
      </c>
      <c r="N98" s="75">
        <f>Calcs4!K93</f>
        <v>14.391365310364115</v>
      </c>
      <c r="O98" s="74">
        <f t="shared" si="10"/>
        <v>188.47937458506738</v>
      </c>
      <c r="P98" s="74"/>
      <c r="Q98" s="74"/>
      <c r="R98" s="74"/>
      <c r="S98" s="74"/>
      <c r="T98" s="74"/>
      <c r="U98" s="74"/>
      <c r="V98" s="74"/>
      <c r="W98" s="74"/>
      <c r="X98" s="74"/>
      <c r="Y98" s="74"/>
    </row>
    <row r="99" spans="1:25" x14ac:dyDescent="0.3">
      <c r="A99" s="66">
        <f t="shared" si="15"/>
        <v>1999.1999999999916</v>
      </c>
      <c r="B99" s="67">
        <f>LOOKUP(A99+0.01,Amounts!$A$4:$A$103,Amounts!$B$4:$B$103)*0.1*$A$2</f>
        <v>10017.400435938001</v>
      </c>
      <c r="C99" s="68">
        <f t="shared" si="13"/>
        <v>847699.88448587374</v>
      </c>
      <c r="D99" s="67">
        <f t="array" ref="D99">SUM($B$7:$B94*$F$1009*EXP(-$F$1009*($A99-$A$7:$A94)))*$F$1010</f>
        <v>137116684.44538584</v>
      </c>
      <c r="E99" s="67">
        <f t="shared" si="11"/>
        <v>261.40085422587725</v>
      </c>
      <c r="F99" s="70">
        <f t="shared" si="16"/>
        <v>15.872259868595266</v>
      </c>
      <c r="G99" s="67">
        <f>E99/'Lookup Tables'!$C$48</f>
        <v>522.80170845175451</v>
      </c>
      <c r="H99" s="70">
        <f t="shared" si="12"/>
        <v>0.16207656919105151</v>
      </c>
      <c r="I99" s="71">
        <f t="shared" si="17"/>
        <v>0.75283446017052658</v>
      </c>
      <c r="J99" s="35">
        <f t="shared" si="14"/>
        <v>2081</v>
      </c>
      <c r="K99" s="75">
        <f>$G$921</f>
        <v>0.12889838045474608</v>
      </c>
      <c r="L99" s="75">
        <f>Calcs2!K94</f>
        <v>3.8549978633949529</v>
      </c>
      <c r="M99" s="75">
        <f>Calcs3!K94</f>
        <v>165.11662453472812</v>
      </c>
      <c r="N99" s="75">
        <f>Calcs4!K94</f>
        <v>14.191289991139973</v>
      </c>
      <c r="O99" s="74">
        <f t="shared" si="10"/>
        <v>183.29181076971778</v>
      </c>
      <c r="P99" s="74"/>
      <c r="Q99" s="74"/>
      <c r="R99" s="74"/>
      <c r="S99" s="74"/>
      <c r="T99" s="74"/>
      <c r="U99" s="74"/>
      <c r="V99" s="74"/>
      <c r="W99" s="74"/>
      <c r="X99" s="74"/>
      <c r="Y99" s="74"/>
    </row>
    <row r="100" spans="1:25" x14ac:dyDescent="0.3">
      <c r="A100" s="66">
        <f t="shared" si="15"/>
        <v>1999.2999999999915</v>
      </c>
      <c r="B100" s="67">
        <f>LOOKUP(A100+0.01,Amounts!$A$4:$A$103,Amounts!$B$4:$B$103)*0.1*$A$2</f>
        <v>10017.400435938001</v>
      </c>
      <c r="C100" s="68">
        <f t="shared" si="13"/>
        <v>857717.28492181178</v>
      </c>
      <c r="D100" s="67">
        <f t="array" ref="D100">SUM($B$7:$B95*$F$1009*EXP(-$F$1009*($A100-$A$7:$A95)))*$F$1010</f>
        <v>138075314.37724882</v>
      </c>
      <c r="E100" s="67">
        <f t="shared" si="11"/>
        <v>263.22839756306524</v>
      </c>
      <c r="F100" s="70">
        <f t="shared" si="16"/>
        <v>15.983228300029321</v>
      </c>
      <c r="G100" s="67">
        <f>E100/'Lookup Tables'!$C$48</f>
        <v>526.45679512613049</v>
      </c>
      <c r="H100" s="70">
        <f t="shared" si="12"/>
        <v>0.16130355327018872</v>
      </c>
      <c r="I100" s="71">
        <f t="shared" si="17"/>
        <v>0.75809778498162794</v>
      </c>
      <c r="J100" s="35">
        <f t="shared" si="14"/>
        <v>2082</v>
      </c>
      <c r="K100" s="75">
        <f>$G$931</f>
        <v>0.11205886857791629</v>
      </c>
      <c r="L100" s="75">
        <f>Calcs2!K95</f>
        <v>3.5943761835803203</v>
      </c>
      <c r="M100" s="75">
        <f>Calcs3!K95</f>
        <v>160.557484863063</v>
      </c>
      <c r="N100" s="75">
        <f>Calcs4!K95</f>
        <v>13.993996210185436</v>
      </c>
      <c r="O100" s="74">
        <f t="shared" si="10"/>
        <v>178.25791612540667</v>
      </c>
      <c r="P100" s="74"/>
      <c r="Q100" s="74"/>
      <c r="R100" s="74"/>
      <c r="S100" s="74"/>
      <c r="T100" s="74"/>
      <c r="U100" s="74"/>
      <c r="V100" s="74"/>
      <c r="W100" s="74"/>
      <c r="X100" s="74"/>
      <c r="Y100" s="74"/>
    </row>
    <row r="101" spans="1:25" x14ac:dyDescent="0.3">
      <c r="A101" s="66">
        <f t="shared" si="15"/>
        <v>1999.3999999999915</v>
      </c>
      <c r="B101" s="67">
        <f>LOOKUP(A101+0.01,Amounts!$A$4:$A$103,Amounts!$B$4:$B$103)*0.1*$A$2</f>
        <v>10017.400435938001</v>
      </c>
      <c r="C101" s="68">
        <f t="shared" si="13"/>
        <v>867734.68535774981</v>
      </c>
      <c r="D101" s="67">
        <f t="array" ref="D101">SUM($B$7:$B96*$F$1009*EXP(-$F$1009*($A101-$A$7:$A96)))*$F$1010</f>
        <v>139020616.99891576</v>
      </c>
      <c r="E101" s="67">
        <f t="shared" si="11"/>
        <v>265.03053355990028</v>
      </c>
      <c r="F101" s="70">
        <f t="shared" si="16"/>
        <v>16.092653997757143</v>
      </c>
      <c r="G101" s="67">
        <f>E101/'Lookup Tables'!$C$48</f>
        <v>530.06106711980055</v>
      </c>
      <c r="H101" s="70">
        <f t="shared" si="12"/>
        <v>0.16053299561449813</v>
      </c>
      <c r="I101" s="71">
        <f t="shared" si="17"/>
        <v>0.76328793665251271</v>
      </c>
      <c r="J101" s="35">
        <f t="shared" si="14"/>
        <v>2083</v>
      </c>
      <c r="K101" s="75">
        <f>$G$941</f>
        <v>9.741930024769635E-2</v>
      </c>
      <c r="L101" s="75">
        <f>Calcs2!K96</f>
        <v>3.3513741399876329</v>
      </c>
      <c r="M101" s="75">
        <f>Calcs3!K96</f>
        <v>156.12423048371366</v>
      </c>
      <c r="N101" s="75">
        <f>Calcs4!K96</f>
        <v>13.799445297287821</v>
      </c>
      <c r="O101" s="74">
        <f t="shared" si="10"/>
        <v>173.37246922123683</v>
      </c>
      <c r="P101" s="74"/>
      <c r="Q101" s="74"/>
      <c r="R101" s="74"/>
      <c r="S101" s="74"/>
      <c r="T101" s="74"/>
      <c r="U101" s="74"/>
      <c r="V101" s="74"/>
      <c r="W101" s="74"/>
      <c r="X101" s="74"/>
      <c r="Y101" s="74"/>
    </row>
    <row r="102" spans="1:25" x14ac:dyDescent="0.3">
      <c r="A102" s="66">
        <f t="shared" si="15"/>
        <v>1999.4999999999914</v>
      </c>
      <c r="B102" s="67">
        <f>LOOKUP(A102+0.01,Amounts!$A$4:$A$103,Amounts!$B$4:$B$103)*0.1*$A$2</f>
        <v>10017.400435938001</v>
      </c>
      <c r="C102" s="68">
        <f t="shared" si="13"/>
        <v>877752.08579368785</v>
      </c>
      <c r="D102" s="67">
        <f t="array" ref="D102">SUM($B$7:$B97*$F$1009*EXP(-$F$1009*($A102-$A$7:$A97)))*$F$1010</f>
        <v>140010056.06659555</v>
      </c>
      <c r="E102" s="67">
        <f t="shared" si="11"/>
        <v>266.91681179469066</v>
      </c>
      <c r="F102" s="70">
        <f t="shared" si="16"/>
        <v>16.207188812173616</v>
      </c>
      <c r="G102" s="67">
        <f>E102/'Lookup Tables'!$C$48</f>
        <v>533.83362358938132</v>
      </c>
      <c r="H102" s="70">
        <f t="shared" si="12"/>
        <v>0.1598304106021394</v>
      </c>
      <c r="I102" s="71">
        <f t="shared" si="17"/>
        <v>0.76872041796870916</v>
      </c>
      <c r="J102" s="35">
        <f t="shared" si="14"/>
        <v>2084</v>
      </c>
      <c r="K102" s="75">
        <f>$G$951</f>
        <v>8.4692270957134511E-2</v>
      </c>
      <c r="L102" s="75">
        <f>Calcs2!K97</f>
        <v>3.1248005363172786</v>
      </c>
      <c r="M102" s="75">
        <f>Calcs3!K97</f>
        <v>151.81338549816374</v>
      </c>
      <c r="N102" s="75">
        <f>Calcs4!K97</f>
        <v>13.607599119845407</v>
      </c>
      <c r="O102" s="74">
        <f t="shared" si="10"/>
        <v>168.63047742528357</v>
      </c>
      <c r="P102" s="74"/>
      <c r="Q102" s="74"/>
      <c r="R102" s="74"/>
      <c r="S102" s="74"/>
      <c r="T102" s="74"/>
      <c r="U102" s="74"/>
      <c r="V102" s="74"/>
      <c r="W102" s="74"/>
      <c r="X102" s="74"/>
      <c r="Y102" s="74"/>
    </row>
    <row r="103" spans="1:25" x14ac:dyDescent="0.3">
      <c r="A103" s="66">
        <f t="shared" si="15"/>
        <v>1999.5999999999913</v>
      </c>
      <c r="B103" s="67">
        <f>LOOKUP(A103+0.01,Amounts!$A$4:$A$103,Amounts!$B$4:$B$103)*0.1*$A$2</f>
        <v>10017.400435938001</v>
      </c>
      <c r="C103" s="68">
        <f t="shared" si="13"/>
        <v>887769.48622962588</v>
      </c>
      <c r="D103" s="67">
        <f t="array" ref="D103">SUM($B$7:$B98*$F$1009*EXP(-$F$1009*($A103-$A$7:$A98)))*$F$1010</f>
        <v>140985739.50143227</v>
      </c>
      <c r="E103" s="67">
        <f t="shared" si="11"/>
        <v>268.77686612981387</v>
      </c>
      <c r="F103" s="70">
        <f t="shared" si="16"/>
        <v>16.320131311402299</v>
      </c>
      <c r="G103" s="67">
        <f>E103/'Lookup Tables'!$C$48</f>
        <v>537.55373225962774</v>
      </c>
      <c r="H103" s="70">
        <f t="shared" si="12"/>
        <v>0.15912815548302167</v>
      </c>
      <c r="I103" s="71">
        <f t="shared" si="17"/>
        <v>0.77407737445386393</v>
      </c>
      <c r="J103" s="35">
        <f t="shared" si="14"/>
        <v>2085</v>
      </c>
      <c r="K103" s="75">
        <f>$G$961</f>
        <v>7.3627923231221401E-2</v>
      </c>
      <c r="L103" s="75">
        <f>Calcs2!K98</f>
        <v>2.9135447085012083</v>
      </c>
      <c r="M103" s="75">
        <f>Calcs3!K98</f>
        <v>147.62156998313125</v>
      </c>
      <c r="N103" s="75">
        <f>Calcs4!K98</f>
        <v>13.418420075393206</v>
      </c>
      <c r="O103" s="74">
        <f t="shared" si="10"/>
        <v>164.02716269025689</v>
      </c>
      <c r="P103" s="74"/>
      <c r="Q103" s="74"/>
      <c r="R103" s="74"/>
      <c r="S103" s="74"/>
      <c r="T103" s="74"/>
      <c r="U103" s="74"/>
      <c r="V103" s="74"/>
      <c r="W103" s="74"/>
      <c r="X103" s="74"/>
      <c r="Y103" s="74"/>
    </row>
    <row r="104" spans="1:25" x14ac:dyDescent="0.3">
      <c r="A104" s="66">
        <f t="shared" si="15"/>
        <v>1999.6999999999912</v>
      </c>
      <c r="B104" s="67">
        <f>LOOKUP(A104+0.01,Amounts!$A$4:$A$103,Amounts!$B$4:$B$103)*0.1*$A$2</f>
        <v>10017.400435938001</v>
      </c>
      <c r="C104" s="68">
        <f t="shared" si="13"/>
        <v>897786.88666556391</v>
      </c>
      <c r="D104" s="67">
        <f t="array" ref="D104">SUM($B$7:$B99*$F$1009*EXP(-$F$1009*($A104-$A$7:$A99)))*$F$1010</f>
        <v>141947858.54050273</v>
      </c>
      <c r="E104" s="67">
        <f t="shared" si="11"/>
        <v>270.61106114187436</v>
      </c>
      <c r="F104" s="70">
        <f t="shared" si="16"/>
        <v>16.431503632534611</v>
      </c>
      <c r="G104" s="67">
        <f>E104/'Lookup Tables'!$C$48</f>
        <v>541.22212228374872</v>
      </c>
      <c r="H104" s="70">
        <f t="shared" si="12"/>
        <v>0.15842643265199827</v>
      </c>
      <c r="I104" s="71">
        <f t="shared" si="17"/>
        <v>0.77935985608859815</v>
      </c>
      <c r="J104" s="35">
        <f t="shared" si="14"/>
        <v>2086</v>
      </c>
      <c r="K104" s="75">
        <f>$G$971</f>
        <v>6.4009041416381515E-2</v>
      </c>
      <c r="L104" s="75">
        <f>Calcs2!K99</f>
        <v>2.7165710802263749</v>
      </c>
      <c r="M104" s="75">
        <f>Calcs3!K99</f>
        <v>143.54549734053654</v>
      </c>
      <c r="N104" s="75">
        <f>Calcs4!K99</f>
        <v>13.231871084232896</v>
      </c>
      <c r="O104" s="74">
        <f t="shared" si="10"/>
        <v>159.55794854641218</v>
      </c>
      <c r="P104" s="74"/>
      <c r="Q104" s="74"/>
      <c r="R104" s="74"/>
      <c r="S104" s="74"/>
      <c r="T104" s="74"/>
      <c r="U104" s="74"/>
      <c r="V104" s="74"/>
      <c r="W104" s="74"/>
      <c r="X104" s="74"/>
      <c r="Y104" s="74"/>
    </row>
    <row r="105" spans="1:25" x14ac:dyDescent="0.3">
      <c r="A105" s="66">
        <f t="shared" si="15"/>
        <v>1999.7999999999911</v>
      </c>
      <c r="B105" s="67">
        <f>LOOKUP(A105+0.01,Amounts!$A$4:$A$103,Amounts!$B$4:$B$103)*0.1*$A$2</f>
        <v>10017.400435938001</v>
      </c>
      <c r="C105" s="68">
        <f t="shared" si="13"/>
        <v>907804.28710150195</v>
      </c>
      <c r="D105" s="67">
        <f t="array" ref="D105">SUM($B$7:$B100*$F$1009*EXP(-$F$1009*($A105-$A$7:$A100)))*$F$1010</f>
        <v>142896601.76221868</v>
      </c>
      <c r="E105" s="67">
        <f t="shared" si="11"/>
        <v>272.41975633896641</v>
      </c>
      <c r="F105" s="70">
        <f t="shared" si="16"/>
        <v>16.54132760490204</v>
      </c>
      <c r="G105" s="67">
        <f>E105/'Lookup Tables'!$C$48</f>
        <v>544.83951267793282</v>
      </c>
      <c r="H105" s="70">
        <f t="shared" si="12"/>
        <v>0.15772543263584668</v>
      </c>
      <c r="I105" s="71">
        <f t="shared" si="17"/>
        <v>0.78456889825622333</v>
      </c>
      <c r="J105" s="35">
        <f t="shared" si="14"/>
        <v>2087</v>
      </c>
      <c r="K105" s="75">
        <f>$G$981</f>
        <v>5.564678729532159E-2</v>
      </c>
      <c r="L105" s="75">
        <f>Calcs2!K100</f>
        <v>2.5329140865384621</v>
      </c>
      <c r="M105" s="75">
        <f>Calcs3!K100</f>
        <v>139.58197172064072</v>
      </c>
      <c r="N105" s="75">
        <f>Calcs4!K100</f>
        <v>13.04791558216499</v>
      </c>
      <c r="O105" s="74">
        <f t="shared" ref="O105:O107" si="18">SUM(K105:N105)</f>
        <v>155.2184481766395</v>
      </c>
      <c r="P105" s="74"/>
      <c r="Q105" s="74"/>
      <c r="R105" s="74"/>
      <c r="S105" s="74"/>
      <c r="T105" s="74"/>
      <c r="U105" s="74"/>
      <c r="V105" s="74"/>
      <c r="W105" s="74"/>
      <c r="X105" s="74"/>
      <c r="Y105" s="74"/>
    </row>
    <row r="106" spans="1:25" x14ac:dyDescent="0.3">
      <c r="A106" s="66">
        <f t="shared" si="15"/>
        <v>1999.899999999991</v>
      </c>
      <c r="B106" s="67">
        <f>LOOKUP(A106+0.01,Amounts!$A$4:$A$103,Amounts!$B$4:$B$103)*0.1*$A$2</f>
        <v>10017.400435938001</v>
      </c>
      <c r="C106" s="68">
        <f t="shared" si="13"/>
        <v>917821.68753743998</v>
      </c>
      <c r="D106" s="67">
        <f t="array" ref="D106">SUM($B$7:$B101*$F$1009*EXP(-$F$1009*($A106-$A$7:$A101)))*$F$1010</f>
        <v>143832155.12328884</v>
      </c>
      <c r="E106" s="67">
        <f t="shared" si="11"/>
        <v>274.20330623113904</v>
      </c>
      <c r="F106" s="70">
        <f t="shared" si="16"/>
        <v>16.649624754354761</v>
      </c>
      <c r="G106" s="67">
        <f>E106/'Lookup Tables'!$C$48</f>
        <v>548.40661246227808</v>
      </c>
      <c r="H106" s="70">
        <f t="shared" si="12"/>
        <v>0.15702533478128086</v>
      </c>
      <c r="I106" s="71">
        <f t="shared" si="17"/>
        <v>0.78970552194568033</v>
      </c>
      <c r="J106" s="35">
        <f t="shared" si="14"/>
        <v>2088</v>
      </c>
      <c r="K106" s="75">
        <f>$G$991</f>
        <v>4.8376992808679631E-2</v>
      </c>
      <c r="L106" s="75">
        <f>Calcs2!K101</f>
        <v>2.3616734406413342</v>
      </c>
      <c r="M106" s="75">
        <f>Calcs3!K101</f>
        <v>135.72788551633514</v>
      </c>
      <c r="N106" s="75">
        <f>Calcs4!K101</f>
        <v>12.866517513322194</v>
      </c>
      <c r="O106" s="74">
        <f t="shared" si="18"/>
        <v>151.00445346310732</v>
      </c>
      <c r="P106" s="74"/>
      <c r="Q106" s="74"/>
      <c r="R106" s="74"/>
      <c r="S106" s="74"/>
      <c r="T106" s="74"/>
      <c r="U106" s="74"/>
      <c r="V106" s="74"/>
      <c r="W106" s="74"/>
      <c r="X106" s="74"/>
      <c r="Y106" s="74"/>
    </row>
    <row r="107" spans="1:25" x14ac:dyDescent="0.3">
      <c r="A107" s="66">
        <f t="shared" si="15"/>
        <v>1999.9999999999909</v>
      </c>
      <c r="B107" s="67">
        <f>LOOKUP(A107+0.01,Amounts!$A$4:$A$103,Amounts!$B$4:$B$103)*0.1*$A$2</f>
        <v>10217.664249660002</v>
      </c>
      <c r="C107" s="68">
        <f t="shared" si="13"/>
        <v>928039.35178709996</v>
      </c>
      <c r="D107" s="67">
        <f t="array" ref="D107">SUM($B$7:$B102*$F$1009*EXP(-$F$1009*($A107-$A$7:$A102)))*$F$1010</f>
        <v>144754701.99516702</v>
      </c>
      <c r="E107" s="67">
        <f t="shared" si="11"/>
        <v>275.96206039988078</v>
      </c>
      <c r="F107" s="70">
        <f t="shared" si="16"/>
        <v>16.756416307480759</v>
      </c>
      <c r="G107" s="67">
        <f>E107/'Lookup Tables'!$C$48</f>
        <v>551.92412079976157</v>
      </c>
      <c r="H107" s="70">
        <f t="shared" si="12"/>
        <v>0.15629257387293641</v>
      </c>
      <c r="I107" s="71">
        <f t="shared" si="17"/>
        <v>0.79477073395165665</v>
      </c>
      <c r="J107" s="35">
        <f t="shared" si="14"/>
        <v>2089</v>
      </c>
      <c r="K107" s="75">
        <f>$G$1001</f>
        <v>4.2056937102059808E-2</v>
      </c>
      <c r="L107" s="75">
        <f>Calcs2!K102</f>
        <v>2.202009720690135</v>
      </c>
      <c r="M107" s="75">
        <f>Calcs3!K102</f>
        <v>131.98021692661908</v>
      </c>
      <c r="N107" s="75">
        <f>Calcs4!K102</f>
        <v>12.687641323102278</v>
      </c>
      <c r="O107" s="74">
        <f t="shared" si="18"/>
        <v>146.91192490751354</v>
      </c>
      <c r="P107" s="74"/>
      <c r="Q107" s="74"/>
      <c r="R107" s="74"/>
      <c r="S107" s="74"/>
      <c r="T107" s="74"/>
      <c r="U107" s="74"/>
      <c r="V107" s="74"/>
      <c r="W107" s="74"/>
      <c r="X107" s="74"/>
      <c r="Y107" s="74"/>
    </row>
    <row r="108" spans="1:25" x14ac:dyDescent="0.3">
      <c r="A108" s="66">
        <f t="shared" si="15"/>
        <v>2000.0999999999908</v>
      </c>
      <c r="B108" s="67">
        <f>LOOKUP(A108+0.01,Amounts!$A$4:$A$103,Amounts!$B$4:$B$103)*0.1*$A$2</f>
        <v>10217.664249660002</v>
      </c>
      <c r="C108" s="68">
        <f t="shared" si="13"/>
        <v>938257.01603675995</v>
      </c>
      <c r="D108" s="67">
        <f t="array" ref="D108">SUM($B$7:$B103*$F$1009*EXP(-$F$1009*($A108-$A$7:$A103)))*$F$1010</f>
        <v>145664423.19999346</v>
      </c>
      <c r="E108" s="67">
        <f t="shared" si="11"/>
        <v>277.69636356663898</v>
      </c>
      <c r="F108" s="70">
        <f t="shared" si="16"/>
        <v>16.86172319576632</v>
      </c>
      <c r="G108" s="67">
        <f>E108/'Lookup Tables'!$C$48</f>
        <v>555.39272713327796</v>
      </c>
      <c r="H108" s="70">
        <f t="shared" si="12"/>
        <v>0.15556207541847678</v>
      </c>
      <c r="I108" s="71">
        <f t="shared" si="17"/>
        <v>0.79976552707192017</v>
      </c>
      <c r="L108" s="74"/>
      <c r="M108" s="74"/>
      <c r="N108" s="74"/>
      <c r="O108" s="74"/>
      <c r="P108" s="74"/>
      <c r="Q108" s="74"/>
      <c r="R108" s="74"/>
      <c r="S108" s="74"/>
      <c r="T108" s="74"/>
      <c r="U108" s="74"/>
      <c r="V108" s="74"/>
      <c r="W108" s="74"/>
      <c r="X108" s="74"/>
      <c r="Y108" s="74"/>
    </row>
    <row r="109" spans="1:25" x14ac:dyDescent="0.3">
      <c r="A109" s="66">
        <f t="shared" si="15"/>
        <v>2000.1999999999907</v>
      </c>
      <c r="B109" s="67">
        <f>LOOKUP(A109+0.01,Amounts!$A$4:$A$103,Amounts!$B$4:$B$103)*0.1*$A$2</f>
        <v>10217.664249660002</v>
      </c>
      <c r="C109" s="68">
        <f t="shared" si="13"/>
        <v>948474.68028641993</v>
      </c>
      <c r="D109" s="67">
        <f t="array" ref="D109">SUM($B$7:$B104*$F$1009*EXP(-$F$1009*($A109-$A$7:$A104)))*$F$1010</f>
        <v>146561497.04603663</v>
      </c>
      <c r="E109" s="67">
        <f t="shared" si="11"/>
        <v>279.40655566038657</v>
      </c>
      <c r="F109" s="70">
        <f t="shared" si="16"/>
        <v>16.965566059698673</v>
      </c>
      <c r="G109" s="67">
        <f>E109/'Lookup Tables'!$C$48</f>
        <v>558.81311132077315</v>
      </c>
      <c r="H109" s="70">
        <f t="shared" si="12"/>
        <v>0.15483395467209696</v>
      </c>
      <c r="I109" s="71">
        <f t="shared" si="17"/>
        <v>0.80469088030191338</v>
      </c>
      <c r="L109" s="74"/>
      <c r="M109" s="74"/>
      <c r="N109" s="74"/>
      <c r="O109" s="74"/>
      <c r="P109" s="74"/>
      <c r="Q109" s="74"/>
      <c r="R109" s="74"/>
      <c r="S109" s="74"/>
      <c r="T109" s="74"/>
      <c r="U109" s="74"/>
      <c r="V109" s="74"/>
      <c r="W109" s="74"/>
      <c r="X109" s="74"/>
      <c r="Y109" s="74"/>
    </row>
    <row r="110" spans="1:25" x14ac:dyDescent="0.3">
      <c r="A110" s="66">
        <f t="shared" si="15"/>
        <v>2000.2999999999906</v>
      </c>
      <c r="B110" s="67">
        <f>LOOKUP(A110+0.01,Amounts!$A$4:$A$103,Amounts!$B$4:$B$103)*0.1*$A$2</f>
        <v>10217.664249660002</v>
      </c>
      <c r="C110" s="68">
        <f t="shared" si="13"/>
        <v>958692.34453607991</v>
      </c>
      <c r="D110" s="67">
        <f t="array" ref="D110">SUM($B$7:$B105*$F$1009*EXP(-$F$1009*($A110-$A$7:$A105)))*$F$1010</f>
        <v>147446099.36264229</v>
      </c>
      <c r="E110" s="67">
        <f t="shared" si="11"/>
        <v>281.09297188424893</v>
      </c>
      <c r="F110" s="70">
        <f t="shared" si="16"/>
        <v>17.067965252811597</v>
      </c>
      <c r="G110" s="67">
        <f>E110/'Lookup Tables'!$C$48</f>
        <v>562.18594376849785</v>
      </c>
      <c r="H110" s="70">
        <f t="shared" si="12"/>
        <v>0.15410831938358199</v>
      </c>
      <c r="I110" s="71">
        <f t="shared" si="17"/>
        <v>0.80954775902663678</v>
      </c>
      <c r="L110" s="74"/>
      <c r="M110" s="74"/>
      <c r="N110" s="74"/>
      <c r="O110" s="74"/>
      <c r="P110" s="74"/>
      <c r="Q110" s="74"/>
      <c r="R110" s="74"/>
      <c r="S110" s="74"/>
      <c r="T110" s="74"/>
      <c r="U110" s="74"/>
      <c r="V110" s="74"/>
      <c r="W110" s="74"/>
      <c r="X110" s="74"/>
      <c r="Y110" s="74"/>
    </row>
    <row r="111" spans="1:25" x14ac:dyDescent="0.3">
      <c r="A111" s="66">
        <f t="shared" si="15"/>
        <v>2000.3999999999905</v>
      </c>
      <c r="B111" s="67">
        <f>LOOKUP(A111+0.01,Amounts!$A$4:$A$103,Amounts!$B$4:$B$103)*0.1*$A$2</f>
        <v>10217.664249660002</v>
      </c>
      <c r="C111" s="68">
        <f t="shared" si="13"/>
        <v>968910.00878573989</v>
      </c>
      <c r="D111" s="67">
        <f t="array" ref="D111">SUM($B$7:$B106*$F$1009*EXP(-$F$1009*($A111-$A$7:$A106)))*$F$1010</f>
        <v>148318403.53469637</v>
      </c>
      <c r="E111" s="67">
        <f t="shared" si="11"/>
        <v>282.75594278120457</v>
      </c>
      <c r="F111" s="70">
        <f t="shared" si="16"/>
        <v>17.168940845674744</v>
      </c>
      <c r="G111" s="67">
        <f>E111/'Lookup Tables'!$C$48</f>
        <v>565.51188556240913</v>
      </c>
      <c r="H111" s="70">
        <f t="shared" si="12"/>
        <v>0.15338527022963747</v>
      </c>
      <c r="I111" s="71">
        <f t="shared" si="17"/>
        <v>0.81433711520986907</v>
      </c>
      <c r="L111" s="74"/>
      <c r="M111" s="74"/>
      <c r="N111" s="74"/>
      <c r="O111" s="74"/>
      <c r="P111" s="74"/>
      <c r="Q111" s="74"/>
      <c r="R111" s="74"/>
      <c r="S111" s="74"/>
      <c r="T111" s="74"/>
      <c r="U111" s="74"/>
      <c r="V111" s="74"/>
      <c r="W111" s="74"/>
      <c r="X111" s="74"/>
      <c r="Y111" s="74"/>
    </row>
    <row r="112" spans="1:25" x14ac:dyDescent="0.3">
      <c r="A112" s="66">
        <f t="shared" si="15"/>
        <v>2000.4999999999905</v>
      </c>
      <c r="B112" s="67">
        <f>LOOKUP(A112+0.01,Amounts!$A$4:$A$103,Amounts!$B$4:$B$103)*0.1*$A$2</f>
        <v>10217.664249660002</v>
      </c>
      <c r="C112" s="68">
        <f t="shared" si="13"/>
        <v>979127.67303539987</v>
      </c>
      <c r="D112" s="67">
        <f t="array" ref="D112">SUM($B$7:$B107*$F$1009*EXP(-$F$1009*($A112-$A$7:$A107)))*$F$1010</f>
        <v>149236999.31700206</v>
      </c>
      <c r="E112" s="67">
        <f t="shared" si="11"/>
        <v>284.5071645464788</v>
      </c>
      <c r="F112" s="70">
        <f t="shared" si="16"/>
        <v>17.275275031262193</v>
      </c>
      <c r="G112" s="67">
        <f>E112/'Lookup Tables'!$C$48</f>
        <v>569.01432909295761</v>
      </c>
      <c r="H112" s="70">
        <f t="shared" si="12"/>
        <v>0.15272468525176985</v>
      </c>
      <c r="I112" s="71">
        <f t="shared" si="17"/>
        <v>0.81938063389385896</v>
      </c>
      <c r="L112" s="74"/>
      <c r="M112" s="74"/>
      <c r="N112" s="74"/>
      <c r="O112" s="74"/>
      <c r="P112" s="74"/>
      <c r="Q112" s="74"/>
      <c r="R112" s="74"/>
      <c r="S112" s="74"/>
      <c r="T112" s="74"/>
      <c r="U112" s="74"/>
      <c r="V112" s="74"/>
      <c r="W112" s="74"/>
      <c r="X112" s="74"/>
      <c r="Y112" s="74"/>
    </row>
    <row r="113" spans="1:25" x14ac:dyDescent="0.3">
      <c r="A113" s="66">
        <f t="shared" si="15"/>
        <v>2000.5999999999904</v>
      </c>
      <c r="B113" s="67">
        <f>LOOKUP(A113+0.01,Amounts!$A$4:$A$103,Amounts!$B$4:$B$103)*0.1*$A$2</f>
        <v>10217.664249660002</v>
      </c>
      <c r="C113" s="68">
        <f t="shared" si="13"/>
        <v>989345.33728505985</v>
      </c>
      <c r="D113" s="67">
        <f t="array" ref="D113">SUM($B$7:$B108*$F$1009*EXP(-$F$1009*($A113-$A$7:$A108)))*$F$1010</f>
        <v>150142824.36210397</v>
      </c>
      <c r="E113" s="67">
        <f t="shared" si="11"/>
        <v>286.23404002867545</v>
      </c>
      <c r="F113" s="70">
        <f t="shared" si="16"/>
        <v>17.380130910541173</v>
      </c>
      <c r="G113" s="67">
        <f>E113/'Lookup Tables'!$C$48</f>
        <v>572.4680800573509</v>
      </c>
      <c r="H113" s="70">
        <f t="shared" si="12"/>
        <v>0.15206481070797653</v>
      </c>
      <c r="I113" s="71">
        <f t="shared" si="17"/>
        <v>0.82435403528258533</v>
      </c>
      <c r="L113" s="74"/>
      <c r="M113" s="74"/>
      <c r="N113" s="74"/>
      <c r="O113" s="74"/>
      <c r="P113" s="74"/>
      <c r="Q113" s="74"/>
      <c r="R113" s="74"/>
      <c r="S113" s="74"/>
      <c r="T113" s="74"/>
      <c r="U113" s="74"/>
      <c r="V113" s="74"/>
      <c r="W113" s="74"/>
      <c r="X113" s="74"/>
      <c r="Y113" s="74"/>
    </row>
    <row r="114" spans="1:25" x14ac:dyDescent="0.3">
      <c r="A114" s="66">
        <f t="shared" si="15"/>
        <v>2000.6999999999903</v>
      </c>
      <c r="B114" s="67">
        <f>LOOKUP(A114+0.01,Amounts!$A$4:$A$103,Amounts!$B$4:$B$103)*0.1*$A$2</f>
        <v>10217.664249660002</v>
      </c>
      <c r="C114" s="68">
        <f t="shared" si="13"/>
        <v>999563.00153471984</v>
      </c>
      <c r="D114" s="67">
        <f t="array" ref="D114">SUM($B$7:$B109*$F$1009*EXP(-$F$1009*($A114-$A$7:$A109)))*$F$1010</f>
        <v>151036056.21461076</v>
      </c>
      <c r="E114" s="67">
        <f t="shared" si="11"/>
        <v>287.93690770091729</v>
      </c>
      <c r="F114" s="70">
        <f t="shared" si="16"/>
        <v>17.483529035599702</v>
      </c>
      <c r="G114" s="67">
        <f>E114/'Lookup Tables'!$C$48</f>
        <v>575.87381540183458</v>
      </c>
      <c r="H114" s="70">
        <f t="shared" si="12"/>
        <v>0.15140580279105634</v>
      </c>
      <c r="I114" s="71">
        <f t="shared" si="17"/>
        <v>0.82925829417864183</v>
      </c>
      <c r="L114" s="74"/>
      <c r="M114" s="74"/>
      <c r="N114" s="74"/>
      <c r="O114" s="74"/>
      <c r="P114" s="74"/>
      <c r="Q114" s="74"/>
      <c r="R114" s="74"/>
      <c r="S114" s="74"/>
      <c r="T114" s="74"/>
      <c r="U114" s="74"/>
      <c r="V114" s="74"/>
      <c r="W114" s="74"/>
      <c r="X114" s="74"/>
      <c r="Y114" s="74"/>
    </row>
    <row r="115" spans="1:25" x14ac:dyDescent="0.3">
      <c r="A115" s="66">
        <f t="shared" si="15"/>
        <v>2000.7999999999902</v>
      </c>
      <c r="B115" s="67">
        <f>LOOKUP(A115+0.01,Amounts!$A$4:$A$103,Amounts!$B$4:$B$103)*0.1*$A$2</f>
        <v>10217.664249660002</v>
      </c>
      <c r="C115" s="68">
        <f t="shared" si="13"/>
        <v>1009780.6657843798</v>
      </c>
      <c r="D115" s="67">
        <f t="array" ref="D115">SUM($B$7:$B110*$F$1009*EXP(-$F$1009*($A115-$A$7:$A110)))*$F$1010</f>
        <v>151916869.95082507</v>
      </c>
      <c r="E115" s="67">
        <f t="shared" si="11"/>
        <v>289.61610133071963</v>
      </c>
      <c r="F115" s="70">
        <f t="shared" si="16"/>
        <v>17.585489672801298</v>
      </c>
      <c r="G115" s="67">
        <f>E115/'Lookup Tables'!$C$48</f>
        <v>579.23220266143926</v>
      </c>
      <c r="H115" s="70">
        <f t="shared" si="12"/>
        <v>0.15074780892262649</v>
      </c>
      <c r="I115" s="71">
        <f t="shared" si="17"/>
        <v>0.83409437183247259</v>
      </c>
      <c r="L115" s="74"/>
      <c r="M115" s="74"/>
      <c r="N115" s="74"/>
      <c r="O115" s="74"/>
      <c r="P115" s="74"/>
      <c r="Q115" s="74"/>
      <c r="R115" s="74"/>
      <c r="S115" s="74"/>
      <c r="T115" s="74"/>
      <c r="U115" s="74"/>
      <c r="V115" s="74"/>
      <c r="W115" s="74"/>
      <c r="X115" s="74"/>
      <c r="Y115" s="74"/>
    </row>
    <row r="116" spans="1:25" x14ac:dyDescent="0.3">
      <c r="A116" s="66">
        <f t="shared" si="15"/>
        <v>2000.8999999999901</v>
      </c>
      <c r="B116" s="67">
        <f>LOOKUP(A116+0.01,Amounts!$A$4:$A$103,Amounts!$B$4:$B$103)*0.1*$A$2</f>
        <v>10217.664249660002</v>
      </c>
      <c r="C116" s="68">
        <f t="shared" si="13"/>
        <v>1019998.3300340398</v>
      </c>
      <c r="D116" s="67">
        <f t="array" ref="D116">SUM($B$7:$B111*$F$1009*EXP(-$F$1009*($A116-$A$7:$A111)))*$F$1010</f>
        <v>152785438.21305904</v>
      </c>
      <c r="E116" s="67">
        <f t="shared" si="11"/>
        <v>291.2719500454096</v>
      </c>
      <c r="F116" s="70">
        <f t="shared" si="16"/>
        <v>17.686032806757272</v>
      </c>
      <c r="G116" s="67">
        <f>E116/'Lookup Tables'!$C$48</f>
        <v>582.54390009081919</v>
      </c>
      <c r="H116" s="70">
        <f t="shared" si="12"/>
        <v>0.15009096822615209</v>
      </c>
      <c r="I116" s="71">
        <f t="shared" si="17"/>
        <v>0.83886321613077963</v>
      </c>
      <c r="L116" s="74"/>
      <c r="M116" s="74"/>
      <c r="N116" s="74"/>
      <c r="O116" s="74"/>
      <c r="P116" s="74"/>
      <c r="Q116" s="74"/>
      <c r="R116" s="74"/>
      <c r="S116" s="74"/>
      <c r="T116" s="74"/>
      <c r="U116" s="74"/>
      <c r="V116" s="74"/>
      <c r="W116" s="74"/>
      <c r="X116" s="74"/>
      <c r="Y116" s="74"/>
    </row>
    <row r="117" spans="1:25" x14ac:dyDescent="0.3">
      <c r="A117" s="66">
        <f t="shared" si="15"/>
        <v>2000.99999999999</v>
      </c>
      <c r="B117" s="67">
        <f>LOOKUP(A117+0.01,Amounts!$A$4:$A$103,Amounts!$B$4:$B$103)*0.1*$A$2</f>
        <v>10422.137813220001</v>
      </c>
      <c r="C117" s="68">
        <f t="shared" si="13"/>
        <v>1030420.4678472598</v>
      </c>
      <c r="D117" s="67">
        <f t="array" ref="D117">SUM($B$7:$B112*$F$1009*EXP(-$F$1009*($A117-$A$7:$A112)))*$F$1010</f>
        <v>153641931.24347255</v>
      </c>
      <c r="E117" s="67">
        <f t="shared" si="11"/>
        <v>292.90477839663612</v>
      </c>
      <c r="F117" s="70">
        <f t="shared" si="16"/>
        <v>17.785178144243744</v>
      </c>
      <c r="G117" s="67">
        <f>E117/'Lookup Tables'!$C$48</f>
        <v>585.80955679327224</v>
      </c>
      <c r="H117" s="70">
        <f t="shared" si="12"/>
        <v>0.14940575845402579</v>
      </c>
      <c r="I117" s="71">
        <f t="shared" si="17"/>
        <v>0.84356576178231202</v>
      </c>
      <c r="L117" s="74"/>
      <c r="M117" s="74"/>
      <c r="N117" s="74"/>
      <c r="O117" s="74"/>
      <c r="P117" s="74"/>
      <c r="Q117" s="74"/>
      <c r="R117" s="74"/>
      <c r="S117" s="74"/>
      <c r="T117" s="74"/>
      <c r="U117" s="74"/>
      <c r="V117" s="74"/>
      <c r="W117" s="74"/>
      <c r="X117" s="74"/>
      <c r="Y117" s="74"/>
    </row>
    <row r="118" spans="1:25" x14ac:dyDescent="0.3">
      <c r="A118" s="66">
        <f t="shared" si="15"/>
        <v>2001.0999999999899</v>
      </c>
      <c r="B118" s="67">
        <f>LOOKUP(A118+0.01,Amounts!$A$4:$A$103,Amounts!$B$4:$B$103)*0.1*$A$2</f>
        <v>10422.137813220001</v>
      </c>
      <c r="C118" s="68">
        <f t="shared" si="13"/>
        <v>1040842.6056604799</v>
      </c>
      <c r="D118" s="67">
        <f t="array" ref="D118">SUM($B$7:$B113*$F$1009*EXP(-$F$1009*($A118-$A$7:$A113)))*$F$1010</f>
        <v>154486516.91744164</v>
      </c>
      <c r="E118" s="67">
        <f t="shared" si="11"/>
        <v>294.51490642398346</v>
      </c>
      <c r="F118" s="70">
        <f t="shared" si="16"/>
        <v>17.882945118064278</v>
      </c>
      <c r="G118" s="67">
        <f>E118/'Lookup Tables'!$C$48</f>
        <v>589.02981284796692</v>
      </c>
      <c r="H118" s="70">
        <f t="shared" si="12"/>
        <v>0.14872280782377972</v>
      </c>
      <c r="I118" s="71">
        <f t="shared" si="17"/>
        <v>0.84820293050107243</v>
      </c>
      <c r="L118" s="74"/>
      <c r="M118" s="74"/>
      <c r="N118" s="74"/>
      <c r="O118" s="74"/>
      <c r="P118" s="74"/>
      <c r="Q118" s="74"/>
      <c r="R118" s="74"/>
      <c r="S118" s="74"/>
      <c r="T118" s="74"/>
      <c r="U118" s="74"/>
      <c r="V118" s="74"/>
      <c r="W118" s="74"/>
      <c r="X118" s="74"/>
      <c r="Y118" s="74"/>
    </row>
    <row r="119" spans="1:25" x14ac:dyDescent="0.3">
      <c r="A119" s="66">
        <f t="shared" si="15"/>
        <v>2001.1999999999898</v>
      </c>
      <c r="B119" s="67">
        <f>LOOKUP(A119+0.01,Amounts!$A$4:$A$103,Amounts!$B$4:$B$103)*0.1*$A$2</f>
        <v>10422.137813220001</v>
      </c>
      <c r="C119" s="68">
        <f t="shared" si="13"/>
        <v>1051264.7434736998</v>
      </c>
      <c r="D119" s="67">
        <f t="array" ref="D119">SUM($B$7:$B114*$F$1009*EXP(-$F$1009*($A119-$A$7:$A114)))*$F$1010</f>
        <v>155319360.77646217</v>
      </c>
      <c r="E119" s="67">
        <f t="shared" si="11"/>
        <v>296.10264971769953</v>
      </c>
      <c r="F119" s="70">
        <f t="shared" si="16"/>
        <v>17.979352890858713</v>
      </c>
      <c r="G119" s="67">
        <f>E119/'Lookup Tables'!$C$48</f>
        <v>592.20529943539907</v>
      </c>
      <c r="H119" s="70">
        <f t="shared" si="12"/>
        <v>0.14804220693007231</v>
      </c>
      <c r="I119" s="71">
        <f t="shared" si="17"/>
        <v>0.85277563118697464</v>
      </c>
      <c r="L119" s="74"/>
      <c r="M119" s="74"/>
      <c r="N119" s="74"/>
      <c r="O119" s="74"/>
      <c r="P119" s="74"/>
      <c r="Q119" s="74"/>
      <c r="R119" s="74"/>
      <c r="S119" s="74"/>
      <c r="T119" s="74"/>
      <c r="U119" s="74"/>
      <c r="V119" s="74"/>
      <c r="W119" s="74"/>
      <c r="X119" s="74"/>
      <c r="Y119" s="74"/>
    </row>
    <row r="120" spans="1:25" x14ac:dyDescent="0.3">
      <c r="A120" s="66">
        <f t="shared" si="15"/>
        <v>2001.2999999999897</v>
      </c>
      <c r="B120" s="67">
        <f>LOOKUP(A120+0.01,Amounts!$A$4:$A$103,Amounts!$B$4:$B$103)*0.1*$A$2</f>
        <v>10422.137813220001</v>
      </c>
      <c r="C120" s="68">
        <f t="shared" si="13"/>
        <v>1061686.8812869198</v>
      </c>
      <c r="D120" s="67">
        <f t="array" ref="D120">SUM($B$7:$B115*$F$1009*EXP(-$F$1009*($A120-$A$7:$A115)))*$F$1010</f>
        <v>156140626.06059667</v>
      </c>
      <c r="E120" s="67">
        <f t="shared" si="11"/>
        <v>297.66831948055267</v>
      </c>
      <c r="F120" s="70">
        <f t="shared" si="16"/>
        <v>18.074420358859157</v>
      </c>
      <c r="G120" s="67">
        <f>E120/'Lookup Tables'!$C$48</f>
        <v>595.33663896110534</v>
      </c>
      <c r="H120" s="70">
        <f t="shared" si="12"/>
        <v>0.14736404063817082</v>
      </c>
      <c r="I120" s="71">
        <f t="shared" si="17"/>
        <v>0.85728476010399168</v>
      </c>
      <c r="L120" s="74"/>
      <c r="M120" s="74"/>
      <c r="N120" s="74"/>
      <c r="O120" s="74"/>
      <c r="P120" s="74"/>
      <c r="Q120" s="74"/>
      <c r="R120" s="74"/>
      <c r="S120" s="74"/>
      <c r="T120" s="74"/>
      <c r="U120" s="74"/>
      <c r="V120" s="74"/>
      <c r="W120" s="74"/>
      <c r="X120" s="74"/>
      <c r="Y120" s="74"/>
    </row>
    <row r="121" spans="1:25" x14ac:dyDescent="0.3">
      <c r="A121" s="66">
        <f t="shared" si="15"/>
        <v>2001.3999999999896</v>
      </c>
      <c r="B121" s="67">
        <f>LOOKUP(A121+0.01,Amounts!$A$4:$A$103,Amounts!$B$4:$B$103)*0.1*$A$2</f>
        <v>10422.137813220001</v>
      </c>
      <c r="C121" s="68">
        <f t="shared" si="13"/>
        <v>1072109.0191001398</v>
      </c>
      <c r="D121" s="67">
        <f t="array" ref="D121">SUM($B$7:$B116*$F$1009*EXP(-$F$1009*($A121-$A$7:$A116)))*$F$1010</f>
        <v>156950473.74047011</v>
      </c>
      <c r="E121" s="67">
        <f t="shared" si="11"/>
        <v>299.21222258882892</v>
      </c>
      <c r="F121" s="70">
        <f t="shared" si="16"/>
        <v>18.168166155593692</v>
      </c>
      <c r="G121" s="67">
        <f>E121/'Lookup Tables'!$C$48</f>
        <v>598.42444517765784</v>
      </c>
      <c r="H121" s="70">
        <f t="shared" si="12"/>
        <v>0.14668838839233675</v>
      </c>
      <c r="I121" s="71">
        <f t="shared" si="17"/>
        <v>0.86173120105582734</v>
      </c>
      <c r="L121" s="74"/>
      <c r="M121" s="74"/>
      <c r="N121" s="74"/>
      <c r="O121" s="74"/>
      <c r="P121" s="74"/>
      <c r="Q121" s="74"/>
      <c r="R121" s="74"/>
      <c r="S121" s="74"/>
      <c r="T121" s="74"/>
      <c r="U121" s="74"/>
      <c r="V121" s="74"/>
      <c r="W121" s="74"/>
      <c r="X121" s="74"/>
      <c r="Y121" s="74"/>
    </row>
    <row r="122" spans="1:25" x14ac:dyDescent="0.3">
      <c r="A122" s="66">
        <f t="shared" si="15"/>
        <v>2001.4999999999895</v>
      </c>
      <c r="B122" s="67">
        <f>LOOKUP(A122+0.01,Amounts!$A$4:$A$103,Amounts!$B$4:$B$103)*0.1*$A$2</f>
        <v>10422.137813220001</v>
      </c>
      <c r="C122" s="68">
        <f t="shared" si="13"/>
        <v>1082531.1569133599</v>
      </c>
      <c r="D122" s="67">
        <f t="array" ref="D122">SUM($B$7:$B117*$F$1009*EXP(-$F$1009*($A122-$A$7:$A117)))*$F$1010</f>
        <v>157808709.35162383</v>
      </c>
      <c r="E122" s="67">
        <f t="shared" si="11"/>
        <v>300.84837301640147</v>
      </c>
      <c r="F122" s="70">
        <f t="shared" si="16"/>
        <v>18.267513209555897</v>
      </c>
      <c r="G122" s="67">
        <f>E122/'Lookup Tables'!$C$48</f>
        <v>601.69674603280293</v>
      </c>
      <c r="H122" s="70">
        <f t="shared" si="12"/>
        <v>0.146070534642428</v>
      </c>
      <c r="I122" s="71">
        <f t="shared" si="17"/>
        <v>0.8664433142872362</v>
      </c>
      <c r="L122" s="74"/>
      <c r="M122" s="74"/>
      <c r="N122" s="74"/>
      <c r="O122" s="74"/>
      <c r="P122" s="74"/>
      <c r="Q122" s="74"/>
      <c r="R122" s="74"/>
      <c r="S122" s="74"/>
      <c r="T122" s="74"/>
      <c r="U122" s="74"/>
      <c r="V122" s="74"/>
      <c r="W122" s="74"/>
      <c r="X122" s="74"/>
      <c r="Y122" s="74"/>
    </row>
    <row r="123" spans="1:25" x14ac:dyDescent="0.3">
      <c r="A123" s="66">
        <f t="shared" si="15"/>
        <v>2001.5999999999894</v>
      </c>
      <c r="B123" s="67">
        <f>LOOKUP(A123+0.01,Amounts!$A$4:$A$103,Amounts!$B$4:$B$103)*0.1*$A$2</f>
        <v>10422.137813220001</v>
      </c>
      <c r="C123" s="68">
        <f t="shared" si="13"/>
        <v>1092953.2947265799</v>
      </c>
      <c r="D123" s="67">
        <f t="array" ref="D123">SUM($B$7:$B118*$F$1009*EXP(-$F$1009*($A123-$A$7:$A118)))*$F$1010</f>
        <v>158655013.38018146</v>
      </c>
      <c r="E123" s="67">
        <f t="shared" si="11"/>
        <v>302.46177693507542</v>
      </c>
      <c r="F123" s="70">
        <f t="shared" si="16"/>
        <v>18.365479095497779</v>
      </c>
      <c r="G123" s="67">
        <f>E123/'Lookup Tables'!$C$48</f>
        <v>604.92355387015084</v>
      </c>
      <c r="H123" s="70">
        <f t="shared" si="12"/>
        <v>0.14545352552951091</v>
      </c>
      <c r="I123" s="71">
        <f t="shared" si="17"/>
        <v>0.87108991757301735</v>
      </c>
      <c r="L123" s="74"/>
      <c r="M123" s="74"/>
      <c r="N123" s="74"/>
      <c r="O123" s="74"/>
      <c r="P123" s="74"/>
      <c r="Q123" s="74"/>
      <c r="R123" s="74"/>
      <c r="S123" s="74"/>
      <c r="T123" s="74"/>
      <c r="U123" s="74"/>
      <c r="V123" s="74"/>
      <c r="W123" s="74"/>
      <c r="X123" s="74"/>
      <c r="Y123" s="74"/>
    </row>
    <row r="124" spans="1:25" x14ac:dyDescent="0.3">
      <c r="A124" s="66">
        <f t="shared" si="15"/>
        <v>2001.6999999999894</v>
      </c>
      <c r="B124" s="67">
        <f>LOOKUP(A124+0.01,Amounts!$A$4:$A$103,Amounts!$B$4:$B$103)*0.1*$A$2</f>
        <v>10422.137813220001</v>
      </c>
      <c r="C124" s="68">
        <f t="shared" si="13"/>
        <v>1103375.4325397999</v>
      </c>
      <c r="D124" s="67">
        <f t="array" ref="D124">SUM($B$7:$B119*$F$1009*EXP(-$F$1009*($A124-$A$7:$A119)))*$F$1010</f>
        <v>159489551.70444188</v>
      </c>
      <c r="E124" s="67">
        <f t="shared" si="11"/>
        <v>304.05275057718382</v>
      </c>
      <c r="F124" s="70">
        <f t="shared" si="16"/>
        <v>18.462083015046602</v>
      </c>
      <c r="G124" s="67">
        <f>E124/'Lookup Tables'!$C$48</f>
        <v>608.10550115436763</v>
      </c>
      <c r="H124" s="70">
        <f t="shared" si="12"/>
        <v>0.14483748775836849</v>
      </c>
      <c r="I124" s="71">
        <f t="shared" si="17"/>
        <v>0.87567192166228935</v>
      </c>
      <c r="L124" s="74"/>
      <c r="M124" s="74"/>
      <c r="N124" s="74"/>
      <c r="O124" s="74"/>
      <c r="P124" s="74"/>
      <c r="Q124" s="74"/>
      <c r="R124" s="74"/>
      <c r="S124" s="74"/>
      <c r="T124" s="74"/>
      <c r="U124" s="74"/>
      <c r="V124" s="74"/>
      <c r="W124" s="74"/>
      <c r="X124" s="74"/>
      <c r="Y124" s="74"/>
    </row>
    <row r="125" spans="1:25" x14ac:dyDescent="0.3">
      <c r="A125" s="66">
        <f t="shared" si="15"/>
        <v>2001.7999999999893</v>
      </c>
      <c r="B125" s="67">
        <f>LOOKUP(A125+0.01,Amounts!$A$4:$A$103,Amounts!$B$4:$B$103)*0.1*$A$2</f>
        <v>10422.137813220001</v>
      </c>
      <c r="C125" s="68">
        <f t="shared" si="13"/>
        <v>1113797.57035302</v>
      </c>
      <c r="D125" s="67">
        <f t="array" ref="D125">SUM($B$7:$B120*$F$1009*EXP(-$F$1009*($A125-$A$7:$A120)))*$F$1010</f>
        <v>160312487.89658836</v>
      </c>
      <c r="E125" s="67">
        <f t="shared" si="11"/>
        <v>305.62160577865399</v>
      </c>
      <c r="F125" s="70">
        <f t="shared" si="16"/>
        <v>18.557343902879868</v>
      </c>
      <c r="G125" s="67">
        <f>E125/'Lookup Tables'!$C$48</f>
        <v>611.24321155730797</v>
      </c>
      <c r="H125" s="70">
        <f t="shared" si="12"/>
        <v>0.1442225412166657</v>
      </c>
      <c r="I125" s="71">
        <f t="shared" si="17"/>
        <v>0.8801902246425235</v>
      </c>
      <c r="L125" s="74"/>
      <c r="M125" s="74"/>
      <c r="N125" s="74"/>
      <c r="O125" s="74"/>
      <c r="P125" s="74"/>
      <c r="Q125" s="74"/>
      <c r="R125" s="74"/>
      <c r="S125" s="74"/>
      <c r="T125" s="74"/>
      <c r="U125" s="74"/>
      <c r="V125" s="74"/>
      <c r="W125" s="74"/>
      <c r="X125" s="74"/>
      <c r="Y125" s="74"/>
    </row>
    <row r="126" spans="1:25" x14ac:dyDescent="0.3">
      <c r="A126" s="66">
        <f t="shared" si="15"/>
        <v>2001.8999999999892</v>
      </c>
      <c r="B126" s="67">
        <f>LOOKUP(A126+0.01,Amounts!$A$4:$A$103,Amounts!$B$4:$B$103)*0.1*$A$2</f>
        <v>10422.137813220001</v>
      </c>
      <c r="C126" s="68">
        <f t="shared" si="13"/>
        <v>1124219.70816624</v>
      </c>
      <c r="D126" s="67">
        <f t="array" ref="D126">SUM($B$7:$B121*$F$1009*EXP(-$F$1009*($A126-$A$7:$A121)))*$F$1010</f>
        <v>161123983.25474903</v>
      </c>
      <c r="E126" s="67">
        <f t="shared" si="11"/>
        <v>307.16865004012766</v>
      </c>
      <c r="F126" s="70">
        <f t="shared" si="16"/>
        <v>18.65128043043655</v>
      </c>
      <c r="G126" s="67">
        <f>E126/'Lookup Tables'!$C$48</f>
        <v>614.33730008025532</v>
      </c>
      <c r="H126" s="70">
        <f t="shared" si="12"/>
        <v>0.14360879931951662</v>
      </c>
      <c r="I126" s="71">
        <f t="shared" si="17"/>
        <v>0.88464571211556764</v>
      </c>
      <c r="L126" s="74"/>
      <c r="M126" s="74"/>
      <c r="N126" s="74"/>
      <c r="O126" s="74"/>
      <c r="P126" s="74"/>
      <c r="Q126" s="74"/>
      <c r="R126" s="74"/>
      <c r="S126" s="74"/>
      <c r="T126" s="74"/>
      <c r="U126" s="74"/>
      <c r="V126" s="74"/>
      <c r="W126" s="74"/>
      <c r="X126" s="74"/>
      <c r="Y126" s="74"/>
    </row>
    <row r="127" spans="1:25" x14ac:dyDescent="0.3">
      <c r="A127" s="66">
        <f t="shared" si="15"/>
        <v>2001.9999999999891</v>
      </c>
      <c r="B127" s="67">
        <f>LOOKUP(A127+0.01,Amounts!$A$4:$A$103,Amounts!$B$4:$B$103)*0.1*$A$2</f>
        <v>10630.520430201002</v>
      </c>
      <c r="C127" s="68">
        <f t="shared" si="13"/>
        <v>1134850.228596441</v>
      </c>
      <c r="D127" s="67">
        <f t="array" ref="D127">SUM($B$7:$B122*$F$1009*EXP(-$F$1009*($A127-$A$7:$A122)))*$F$1010</f>
        <v>161924196.83461201</v>
      </c>
      <c r="E127" s="67">
        <f t="shared" si="11"/>
        <v>308.69418658723288</v>
      </c>
      <c r="F127" s="70">
        <f t="shared" si="16"/>
        <v>18.743911009576777</v>
      </c>
      <c r="G127" s="67">
        <f>E127/'Lookup Tables'!$C$48</f>
        <v>617.38837317446576</v>
      </c>
      <c r="H127" s="70">
        <f t="shared" si="12"/>
        <v>0.14297011216265654</v>
      </c>
      <c r="I127" s="71">
        <f t="shared" si="17"/>
        <v>0.88903925737123068</v>
      </c>
      <c r="L127" s="74"/>
      <c r="M127" s="74"/>
      <c r="N127" s="74"/>
      <c r="O127" s="74"/>
      <c r="P127" s="74"/>
      <c r="Q127" s="74"/>
      <c r="R127" s="74"/>
      <c r="S127" s="74"/>
      <c r="T127" s="74"/>
      <c r="U127" s="74"/>
      <c r="V127" s="74"/>
      <c r="W127" s="74"/>
      <c r="X127" s="74"/>
      <c r="Y127" s="74"/>
    </row>
    <row r="128" spans="1:25" x14ac:dyDescent="0.3">
      <c r="A128" s="66">
        <f t="shared" si="15"/>
        <v>2002.099999999989</v>
      </c>
      <c r="B128" s="67">
        <f>LOOKUP(A128+0.01,Amounts!$A$4:$A$103,Amounts!$B$4:$B$103)*0.1*$A$2</f>
        <v>10630.520430201002</v>
      </c>
      <c r="C128" s="68">
        <f t="shared" si="13"/>
        <v>1145480.7490266419</v>
      </c>
      <c r="D128" s="67">
        <f t="array" ref="D128">SUM($B$7:$B123*$F$1009*EXP(-$F$1009*($A128-$A$7:$A123)))*$F$1010</f>
        <v>162713285.48060071</v>
      </c>
      <c r="E128" s="67">
        <f t="shared" si="11"/>
        <v>310.19851443001659</v>
      </c>
      <c r="F128" s="70">
        <f t="shared" si="16"/>
        <v>18.835253796190603</v>
      </c>
      <c r="G128" s="67">
        <f>E128/'Lookup Tables'!$C$48</f>
        <v>620.39702886003317</v>
      </c>
      <c r="H128" s="70">
        <f t="shared" si="12"/>
        <v>0.14233354800851802</v>
      </c>
      <c r="I128" s="71">
        <f t="shared" si="17"/>
        <v>0.89337172155844768</v>
      </c>
      <c r="L128" s="74"/>
      <c r="M128" s="74"/>
      <c r="N128" s="74"/>
      <c r="O128" s="74"/>
      <c r="P128" s="74"/>
      <c r="Q128" s="74"/>
      <c r="R128" s="74"/>
      <c r="S128" s="74"/>
      <c r="T128" s="74"/>
      <c r="U128" s="74"/>
      <c r="V128" s="74"/>
      <c r="W128" s="74"/>
      <c r="X128" s="74"/>
      <c r="Y128" s="74"/>
    </row>
    <row r="129" spans="1:25" x14ac:dyDescent="0.3">
      <c r="A129" s="66">
        <f t="shared" si="15"/>
        <v>2002.1999999999889</v>
      </c>
      <c r="B129" s="67">
        <f>LOOKUP(A129+0.01,Amounts!$A$4:$A$103,Amounts!$B$4:$B$103)*0.1*$A$2</f>
        <v>10630.520430201002</v>
      </c>
      <c r="C129" s="68">
        <f t="shared" si="13"/>
        <v>1156111.2694568429</v>
      </c>
      <c r="D129" s="67">
        <f t="array" ref="D129">SUM($B$7:$B124*$F$1009*EXP(-$F$1009*($A129-$A$7:$A124)))*$F$1010</f>
        <v>163491403.85661584</v>
      </c>
      <c r="E129" s="67">
        <f t="shared" si="11"/>
        <v>311.68192842155185</v>
      </c>
      <c r="F129" s="70">
        <f t="shared" si="16"/>
        <v>18.925326693756627</v>
      </c>
      <c r="G129" s="67">
        <f>E129/'Lookup Tables'!$C$48</f>
        <v>623.36385684310369</v>
      </c>
      <c r="H129" s="70">
        <f t="shared" si="12"/>
        <v>0.1416991823419666</v>
      </c>
      <c r="I129" s="71">
        <f t="shared" si="17"/>
        <v>0.89764395385406937</v>
      </c>
      <c r="L129" s="74"/>
      <c r="M129" s="74"/>
      <c r="N129" s="74"/>
      <c r="O129" s="74"/>
      <c r="P129" s="74"/>
      <c r="Q129" s="74"/>
      <c r="R129" s="74"/>
      <c r="S129" s="74"/>
      <c r="T129" s="74"/>
      <c r="U129" s="74"/>
      <c r="V129" s="74"/>
      <c r="W129" s="74"/>
      <c r="X129" s="74"/>
      <c r="Y129" s="74"/>
    </row>
    <row r="130" spans="1:25" x14ac:dyDescent="0.3">
      <c r="A130" s="66">
        <f t="shared" si="15"/>
        <v>2002.2999999999888</v>
      </c>
      <c r="B130" s="67">
        <f>LOOKUP(A130+0.01,Amounts!$A$4:$A$103,Amounts!$B$4:$B$103)*0.1*$A$2</f>
        <v>10630.520430201002</v>
      </c>
      <c r="C130" s="68">
        <f t="shared" si="13"/>
        <v>1166741.7898870439</v>
      </c>
      <c r="D130" s="67">
        <f t="array" ref="D130">SUM($B$7:$B125*$F$1009*EXP(-$F$1009*($A130-$A$7:$A125)))*$F$1010</f>
        <v>164258704.47635025</v>
      </c>
      <c r="E130" s="67">
        <f t="shared" si="11"/>
        <v>313.14471931573007</v>
      </c>
      <c r="F130" s="70">
        <f t="shared" si="16"/>
        <v>19.014147356851129</v>
      </c>
      <c r="G130" s="67">
        <f>E130/'Lookup Tables'!$C$48</f>
        <v>626.28943863146014</v>
      </c>
      <c r="H130" s="70">
        <f t="shared" si="12"/>
        <v>0.14106708605018947</v>
      </c>
      <c r="I130" s="71">
        <f t="shared" si="17"/>
        <v>0.90185679162930255</v>
      </c>
      <c r="L130" s="74"/>
      <c r="M130" s="74"/>
      <c r="N130" s="74"/>
      <c r="O130" s="74"/>
      <c r="P130" s="74"/>
      <c r="Q130" s="74"/>
      <c r="R130" s="74"/>
      <c r="S130" s="74"/>
      <c r="T130" s="74"/>
      <c r="U130" s="74"/>
      <c r="V130" s="74"/>
      <c r="W130" s="74"/>
      <c r="X130" s="74"/>
      <c r="Y130" s="74"/>
    </row>
    <row r="131" spans="1:25" x14ac:dyDescent="0.3">
      <c r="A131" s="66">
        <f t="shared" si="15"/>
        <v>2002.3999999999887</v>
      </c>
      <c r="B131" s="67">
        <f>LOOKUP(A131+0.01,Amounts!$A$4:$A$103,Amounts!$B$4:$B$103)*0.1*$A$2</f>
        <v>10630.520430201002</v>
      </c>
      <c r="C131" s="68">
        <f t="shared" si="13"/>
        <v>1177372.3103172448</v>
      </c>
      <c r="D131" s="67">
        <f t="array" ref="D131">SUM($B$7:$B126*$F$1009*EXP(-$F$1009*($A131-$A$7:$A126)))*$F$1010</f>
        <v>165015337.73318169</v>
      </c>
      <c r="E131" s="67">
        <f t="shared" si="11"/>
        <v>314.58717382424925</v>
      </c>
      <c r="F131" s="70">
        <f t="shared" si="16"/>
        <v>19.101733194608414</v>
      </c>
      <c r="G131" s="67">
        <f>E131/'Lookup Tables'!$C$48</f>
        <v>629.1743476484985</v>
      </c>
      <c r="H131" s="70">
        <f t="shared" si="12"/>
        <v>0.14043732565569883</v>
      </c>
      <c r="I131" s="71">
        <f t="shared" si="17"/>
        <v>0.90601106061383774</v>
      </c>
      <c r="L131" s="74"/>
      <c r="M131" s="74"/>
      <c r="N131" s="74"/>
      <c r="O131" s="74"/>
      <c r="P131" s="74"/>
      <c r="Q131" s="74"/>
      <c r="R131" s="74"/>
      <c r="S131" s="74"/>
      <c r="T131" s="74"/>
      <c r="U131" s="74"/>
      <c r="V131" s="74"/>
      <c r="W131" s="74"/>
      <c r="X131" s="74"/>
      <c r="Y131" s="74"/>
    </row>
    <row r="132" spans="1:25" x14ac:dyDescent="0.3">
      <c r="A132" s="66">
        <f t="shared" si="15"/>
        <v>2002.4999999999886</v>
      </c>
      <c r="B132" s="67">
        <f>LOOKUP(A132+0.01,Amounts!$A$4:$A$103,Amounts!$B$4:$B$103)*0.1*$A$2</f>
        <v>10630.520430201002</v>
      </c>
      <c r="C132" s="68">
        <f t="shared" si="13"/>
        <v>1188002.8307474458</v>
      </c>
      <c r="D132" s="67">
        <f t="array" ref="D132">SUM($B$7:$B127*$F$1009*EXP(-$F$1009*($A132-$A$7:$A127)))*$F$1010</f>
        <v>165822239.03897855</v>
      </c>
      <c r="E132" s="67">
        <f t="shared" si="11"/>
        <v>316.1254599304545</v>
      </c>
      <c r="F132" s="70">
        <f t="shared" si="16"/>
        <v>19.195137926977196</v>
      </c>
      <c r="G132" s="67">
        <f>E132/'Lookup Tables'!$C$48</f>
        <v>632.25091986090899</v>
      </c>
      <c r="H132" s="70">
        <f t="shared" si="12"/>
        <v>0.13986123386162994</v>
      </c>
      <c r="I132" s="71">
        <f t="shared" si="17"/>
        <v>0.91044132459970895</v>
      </c>
      <c r="L132" s="74"/>
      <c r="M132" s="74"/>
      <c r="N132" s="74"/>
      <c r="O132" s="74"/>
      <c r="P132" s="74"/>
      <c r="Q132" s="74"/>
      <c r="R132" s="74"/>
      <c r="S132" s="74"/>
      <c r="T132" s="74"/>
      <c r="U132" s="74"/>
      <c r="V132" s="74"/>
      <c r="W132" s="74"/>
      <c r="X132" s="74"/>
      <c r="Y132" s="74"/>
    </row>
    <row r="133" spans="1:25" x14ac:dyDescent="0.3">
      <c r="A133" s="66">
        <f t="shared" si="15"/>
        <v>2002.5999999999885</v>
      </c>
      <c r="B133" s="67">
        <f>LOOKUP(A133+0.01,Amounts!$A$4:$A$103,Amounts!$B$4:$B$103)*0.1*$A$2</f>
        <v>10630.520430201002</v>
      </c>
      <c r="C133" s="68">
        <f t="shared" si="13"/>
        <v>1198633.3511776468</v>
      </c>
      <c r="D133" s="67">
        <f t="array" ref="D133">SUM($B$7:$B128*$F$1009*EXP(-$F$1009*($A133-$A$7:$A128)))*$F$1010</f>
        <v>166617922.43508735</v>
      </c>
      <c r="E133" s="67">
        <f t="shared" si="11"/>
        <v>317.64236008215732</v>
      </c>
      <c r="F133" s="70">
        <f t="shared" si="16"/>
        <v>19.287244104188595</v>
      </c>
      <c r="G133" s="67">
        <f>E133/'Lookup Tables'!$C$48</f>
        <v>635.28472016431465</v>
      </c>
      <c r="H133" s="70">
        <f t="shared" si="12"/>
        <v>0.1392859829030722</v>
      </c>
      <c r="I133" s="71">
        <f t="shared" si="17"/>
        <v>0.91480999703661303</v>
      </c>
      <c r="L133" s="74"/>
      <c r="M133" s="74"/>
      <c r="N133" s="74"/>
      <c r="O133" s="74"/>
      <c r="P133" s="74"/>
      <c r="Q133" s="74"/>
      <c r="R133" s="74"/>
      <c r="S133" s="74"/>
      <c r="T133" s="74"/>
      <c r="U133" s="74"/>
      <c r="V133" s="74"/>
      <c r="W133" s="74"/>
      <c r="X133" s="74"/>
      <c r="Y133" s="74"/>
    </row>
    <row r="134" spans="1:25" x14ac:dyDescent="0.3">
      <c r="A134" s="66">
        <f t="shared" si="15"/>
        <v>2002.6999999999884</v>
      </c>
      <c r="B134" s="67">
        <f>LOOKUP(A134+0.01,Amounts!$A$4:$A$103,Amounts!$B$4:$B$103)*0.1*$A$2</f>
        <v>10630.520430201002</v>
      </c>
      <c r="C134" s="68">
        <f t="shared" si="13"/>
        <v>1209263.8716078477</v>
      </c>
      <c r="D134" s="67">
        <f t="array" ref="D134">SUM($B$7:$B129*$F$1009*EXP(-$F$1009*($A134-$A$7:$A129)))*$F$1010</f>
        <v>167402543.87800094</v>
      </c>
      <c r="E134" s="67">
        <f t="shared" si="11"/>
        <v>319.1381715966433</v>
      </c>
      <c r="F134" s="70">
        <f t="shared" si="16"/>
        <v>19.378069779348181</v>
      </c>
      <c r="G134" s="67">
        <f>E134/'Lookup Tables'!$C$48</f>
        <v>638.27634319328661</v>
      </c>
      <c r="H134" s="70">
        <f t="shared" si="12"/>
        <v>0.13871167983226726</v>
      </c>
      <c r="I134" s="71">
        <f t="shared" si="17"/>
        <v>0.91911793419833276</v>
      </c>
      <c r="L134" s="74"/>
      <c r="M134" s="74"/>
      <c r="N134" s="74"/>
      <c r="O134" s="74"/>
      <c r="P134" s="74"/>
      <c r="Q134" s="74"/>
      <c r="R134" s="74"/>
      <c r="S134" s="74"/>
      <c r="T134" s="74"/>
      <c r="U134" s="74"/>
      <c r="V134" s="74"/>
      <c r="W134" s="74"/>
      <c r="X134" s="74"/>
      <c r="Y134" s="74"/>
    </row>
    <row r="135" spans="1:25" x14ac:dyDescent="0.3">
      <c r="A135" s="66">
        <f t="shared" si="15"/>
        <v>2002.7999999999884</v>
      </c>
      <c r="B135" s="67">
        <f>LOOKUP(A135+0.01,Amounts!$A$4:$A$103,Amounts!$B$4:$B$103)*0.1*$A$2</f>
        <v>10630.520430201002</v>
      </c>
      <c r="C135" s="68">
        <f t="shared" si="13"/>
        <v>1219894.3920380487</v>
      </c>
      <c r="D135" s="67">
        <f t="array" ref="D135">SUM($B$7:$B130*$F$1009*EXP(-$F$1009*($A135-$A$7:$A130)))*$F$1010</f>
        <v>168176257.15603408</v>
      </c>
      <c r="E135" s="67">
        <f t="shared" ref="E135:E198" si="19">D135/(365*24*60)*1.00201</f>
        <v>320.6131876577582</v>
      </c>
      <c r="F135" s="70">
        <f t="shared" si="16"/>
        <v>19.467632754579078</v>
      </c>
      <c r="G135" s="67">
        <f>E135/'Lookup Tables'!$C$48</f>
        <v>641.22637531551641</v>
      </c>
      <c r="H135" s="70">
        <f t="shared" ref="H135:H198" si="20">G135*60*24*365/(C135*2000)</f>
        <v>0.13813842618899563</v>
      </c>
      <c r="I135" s="71">
        <f t="shared" si="17"/>
        <v>0.92336598045434359</v>
      </c>
      <c r="L135" s="74"/>
      <c r="M135" s="74"/>
      <c r="N135" s="74"/>
      <c r="O135" s="74"/>
      <c r="P135" s="74"/>
      <c r="Q135" s="74"/>
      <c r="R135" s="74"/>
      <c r="S135" s="74"/>
      <c r="T135" s="74"/>
      <c r="U135" s="74"/>
      <c r="V135" s="74"/>
      <c r="W135" s="74"/>
      <c r="X135" s="74"/>
      <c r="Y135" s="74"/>
    </row>
    <row r="136" spans="1:25" x14ac:dyDescent="0.3">
      <c r="A136" s="66">
        <f t="shared" si="15"/>
        <v>2002.8999999999883</v>
      </c>
      <c r="B136" s="67">
        <f>LOOKUP(A136+0.01,Amounts!$A$4:$A$103,Amounts!$B$4:$B$103)*0.1*$A$2</f>
        <v>10630.520430201002</v>
      </c>
      <c r="C136" s="68">
        <f t="shared" si="13"/>
        <v>1230524.9124682497</v>
      </c>
      <c r="D136" s="67">
        <f t="array" ref="D136">SUM($B$7:$B131*$F$1009*EXP(-$F$1009*($A136-$A$7:$A131)))*$F$1010</f>
        <v>168939213.91946611</v>
      </c>
      <c r="E136" s="67">
        <f t="shared" si="19"/>
        <v>322.06769737337186</v>
      </c>
      <c r="F136" s="70">
        <f t="shared" si="16"/>
        <v>19.555950584511137</v>
      </c>
      <c r="G136" s="67">
        <f>E136/'Lookup Tables'!$C$48</f>
        <v>644.13539474674371</v>
      </c>
      <c r="H136" s="70">
        <f t="shared" si="20"/>
        <v>0.13756631826323309</v>
      </c>
      <c r="I136" s="71">
        <f t="shared" si="17"/>
        <v>0.92755496843531104</v>
      </c>
      <c r="L136" s="74"/>
      <c r="M136" s="74"/>
      <c r="N136" s="74"/>
      <c r="O136" s="74"/>
      <c r="P136" s="74"/>
      <c r="Q136" s="74"/>
      <c r="R136" s="74"/>
      <c r="S136" s="74"/>
      <c r="T136" s="74"/>
      <c r="U136" s="74"/>
      <c r="V136" s="74"/>
      <c r="W136" s="74"/>
      <c r="X136" s="74"/>
      <c r="Y136" s="74"/>
    </row>
    <row r="137" spans="1:25" x14ac:dyDescent="0.3">
      <c r="A137" s="66">
        <f t="shared" si="15"/>
        <v>2002.9999999999882</v>
      </c>
      <c r="B137" s="67">
        <f>LOOKUP(A137+0.01,Amounts!$A$4:$A$103,Amounts!$B$4:$B$103)*0.1*$A$2</f>
        <v>10843.112797020001</v>
      </c>
      <c r="C137" s="68">
        <f t="shared" ref="C137:C200" si="21">C136+B137</f>
        <v>1241368.0252652697</v>
      </c>
      <c r="D137" s="67">
        <f t="array" ref="D137">SUM($B$7:$B132*$F$1009*EXP(-$F$1009*($A137-$A$7:$A132)))*$F$1010</f>
        <v>169691563.71026513</v>
      </c>
      <c r="E137" s="67">
        <f t="shared" si="19"/>
        <v>323.50198583204485</v>
      </c>
      <c r="F137" s="70">
        <f t="shared" si="16"/>
        <v>19.643040579721763</v>
      </c>
      <c r="G137" s="67">
        <f>E137/'Lookup Tables'!$C$48</f>
        <v>647.0039716640897</v>
      </c>
      <c r="H137" s="70">
        <f t="shared" si="20"/>
        <v>0.13697198598053809</v>
      </c>
      <c r="I137" s="71">
        <f t="shared" si="17"/>
        <v>0.93168571919628917</v>
      </c>
      <c r="L137" s="74"/>
      <c r="M137" s="74"/>
      <c r="N137" s="74"/>
      <c r="O137" s="74"/>
      <c r="P137" s="74"/>
      <c r="Q137" s="74"/>
      <c r="R137" s="74"/>
      <c r="S137" s="74"/>
      <c r="T137" s="74"/>
      <c r="U137" s="74"/>
      <c r="V137" s="74"/>
      <c r="W137" s="74"/>
      <c r="X137" s="74"/>
      <c r="Y137" s="74"/>
    </row>
    <row r="138" spans="1:25" x14ac:dyDescent="0.3">
      <c r="A138" s="66">
        <f t="shared" si="15"/>
        <v>2003.0999999999881</v>
      </c>
      <c r="B138" s="67">
        <f>LOOKUP(A138+0.01,Amounts!$A$4:$A$103,Amounts!$B$4:$B$103)*0.1*$A$2</f>
        <v>10843.112797020001</v>
      </c>
      <c r="C138" s="68">
        <f t="shared" si="21"/>
        <v>1252211.1380622897</v>
      </c>
      <c r="D138" s="67">
        <f t="array" ref="D138">SUM($B$7:$B133*$F$1009*EXP(-$F$1009*($A138-$A$7:$A133)))*$F$1010</f>
        <v>170433453.99139878</v>
      </c>
      <c r="E138" s="67">
        <f t="shared" si="19"/>
        <v>324.91633415890698</v>
      </c>
      <c r="F138" s="70">
        <f t="shared" si="16"/>
        <v>19.728919810128829</v>
      </c>
      <c r="G138" s="67">
        <f>E138/'Lookup Tables'!$C$48</f>
        <v>649.83266831781395</v>
      </c>
      <c r="H138" s="70">
        <f t="shared" si="20"/>
        <v>0.13637957692836497</v>
      </c>
      <c r="I138" s="71">
        <f t="shared" si="17"/>
        <v>0.93575904237765206</v>
      </c>
      <c r="L138" s="74"/>
      <c r="M138" s="74"/>
      <c r="N138" s="74"/>
      <c r="O138" s="74"/>
      <c r="P138" s="74"/>
      <c r="Q138" s="74"/>
      <c r="R138" s="74"/>
      <c r="S138" s="74"/>
      <c r="T138" s="74"/>
      <c r="U138" s="74"/>
      <c r="V138" s="74"/>
      <c r="W138" s="74"/>
      <c r="X138" s="74"/>
      <c r="Y138" s="74"/>
    </row>
    <row r="139" spans="1:25" x14ac:dyDescent="0.3">
      <c r="A139" s="66">
        <f t="shared" si="15"/>
        <v>2003.199999999988</v>
      </c>
      <c r="B139" s="67">
        <f>LOOKUP(A139+0.01,Amounts!$A$4:$A$103,Amounts!$B$4:$B$103)*0.1*$A$2</f>
        <v>10843.112797020001</v>
      </c>
      <c r="C139" s="68">
        <f t="shared" si="21"/>
        <v>1263054.2508593097</v>
      </c>
      <c r="D139" s="67">
        <f t="array" ref="D139">SUM($B$7:$B134*$F$1009*EXP(-$F$1009*($A139-$A$7:$A134)))*$F$1010</f>
        <v>171165030.1757372</v>
      </c>
      <c r="E139" s="67">
        <f t="shared" si="19"/>
        <v>326.31101957075811</v>
      </c>
      <c r="F139" s="70">
        <f t="shared" si="16"/>
        <v>19.813605108336432</v>
      </c>
      <c r="G139" s="67">
        <f>E139/'Lookup Tables'!$C$48</f>
        <v>652.62203914151621</v>
      </c>
      <c r="H139" s="70">
        <f t="shared" si="20"/>
        <v>0.13578915693423743</v>
      </c>
      <c r="I139" s="71">
        <f t="shared" si="17"/>
        <v>0.93977573636378353</v>
      </c>
      <c r="L139" s="74"/>
      <c r="M139" s="74"/>
      <c r="N139" s="74"/>
      <c r="O139" s="74"/>
      <c r="P139" s="74"/>
      <c r="Q139" s="74"/>
      <c r="R139" s="74"/>
      <c r="S139" s="74"/>
      <c r="T139" s="74"/>
      <c r="U139" s="74"/>
      <c r="V139" s="74"/>
      <c r="W139" s="74"/>
      <c r="X139" s="74"/>
      <c r="Y139" s="74"/>
    </row>
    <row r="140" spans="1:25" x14ac:dyDescent="0.3">
      <c r="A140" s="66">
        <f t="shared" si="15"/>
        <v>2003.2999999999879</v>
      </c>
      <c r="B140" s="67">
        <f>LOOKUP(A140+0.01,Amounts!$A$4:$A$103,Amounts!$B$4:$B$103)*0.1*$A$2</f>
        <v>10843.112797020001</v>
      </c>
      <c r="C140" s="68">
        <f t="shared" si="21"/>
        <v>1273897.3636563297</v>
      </c>
      <c r="D140" s="67">
        <f t="array" ref="D140">SUM($B$7:$B135*$F$1009*EXP(-$F$1009*($A140-$A$7:$A135)))*$F$1010</f>
        <v>171886435.65455449</v>
      </c>
      <c r="E140" s="67">
        <f t="shared" si="19"/>
        <v>327.68631543040362</v>
      </c>
      <c r="F140" s="70">
        <f t="shared" si="16"/>
        <v>19.897113072934108</v>
      </c>
      <c r="G140" s="67">
        <f>E140/'Lookup Tables'!$C$48</f>
        <v>655.37263086080725</v>
      </c>
      <c r="H140" s="70">
        <f t="shared" si="20"/>
        <v>0.13520078799431806</v>
      </c>
      <c r="I140" s="71">
        <f t="shared" si="17"/>
        <v>0.94373658843956232</v>
      </c>
      <c r="L140" s="74"/>
      <c r="M140" s="74"/>
      <c r="N140" s="74"/>
      <c r="O140" s="74"/>
      <c r="P140" s="74"/>
      <c r="Q140" s="74"/>
      <c r="R140" s="74"/>
      <c r="S140" s="74"/>
      <c r="T140" s="74"/>
      <c r="U140" s="74"/>
      <c r="V140" s="74"/>
      <c r="W140" s="74"/>
      <c r="X140" s="74"/>
      <c r="Y140" s="74"/>
    </row>
    <row r="141" spans="1:25" x14ac:dyDescent="0.3">
      <c r="A141" s="66">
        <f t="shared" si="15"/>
        <v>2003.3999999999878</v>
      </c>
      <c r="B141" s="67">
        <f>LOOKUP(A141+0.01,Amounts!$A$4:$A$103,Amounts!$B$4:$B$103)*0.1*$A$2</f>
        <v>10843.112797020001</v>
      </c>
      <c r="C141" s="68">
        <f t="shared" si="21"/>
        <v>1284740.4764533497</v>
      </c>
      <c r="D141" s="67">
        <f t="array" ref="D141">SUM($B$7:$B136*$F$1009*EXP(-$F$1009*($A141-$A$7:$A136)))*$F$1010</f>
        <v>172597811.82563397</v>
      </c>
      <c r="E141" s="67">
        <f t="shared" si="19"/>
        <v>329.04249130023499</v>
      </c>
      <c r="F141" s="70">
        <f t="shared" si="16"/>
        <v>19.979460071750268</v>
      </c>
      <c r="G141" s="67">
        <f>E141/'Lookup Tables'!$C$48</f>
        <v>658.08498260046997</v>
      </c>
      <c r="H141" s="70">
        <f t="shared" si="20"/>
        <v>0.13461452845701113</v>
      </c>
      <c r="I141" s="71">
        <f t="shared" si="17"/>
        <v>0.94764237494467662</v>
      </c>
      <c r="L141" s="74"/>
      <c r="M141" s="74"/>
      <c r="N141" s="74"/>
      <c r="O141" s="74"/>
      <c r="P141" s="74"/>
      <c r="Q141" s="74"/>
      <c r="R141" s="74"/>
      <c r="S141" s="74"/>
      <c r="T141" s="74"/>
      <c r="U141" s="74"/>
      <c r="V141" s="74"/>
      <c r="W141" s="74"/>
      <c r="X141" s="74"/>
      <c r="Y141" s="74"/>
    </row>
    <row r="142" spans="1:25" x14ac:dyDescent="0.3">
      <c r="A142" s="66">
        <f t="shared" si="15"/>
        <v>2003.4999999999877</v>
      </c>
      <c r="B142" s="67">
        <f>LOOKUP(A142+0.01,Amounts!$A$4:$A$103,Amounts!$B$4:$B$103)*0.1*$A$2</f>
        <v>10843.112797020001</v>
      </c>
      <c r="C142" s="68">
        <f t="shared" si="21"/>
        <v>1295583.5892503697</v>
      </c>
      <c r="D142" s="67">
        <f t="array" ref="D142">SUM($B$7:$B137*$F$1009*EXP(-$F$1009*($A142-$A$7:$A137)))*$F$1010</f>
        <v>173361313.25272101</v>
      </c>
      <c r="E142" s="67">
        <f t="shared" si="19"/>
        <v>330.49803936902396</v>
      </c>
      <c r="F142" s="70">
        <f t="shared" si="16"/>
        <v>20.067840950487135</v>
      </c>
      <c r="G142" s="67">
        <f>E142/'Lookup Tables'!$C$48</f>
        <v>660.99607873804791</v>
      </c>
      <c r="H142" s="70">
        <f t="shared" si="20"/>
        <v>0.134078395970474</v>
      </c>
      <c r="I142" s="71">
        <f t="shared" si="17"/>
        <v>0.9518343533827891</v>
      </c>
      <c r="L142" s="74"/>
      <c r="M142" s="74"/>
      <c r="N142" s="74"/>
      <c r="O142" s="74"/>
      <c r="P142" s="74"/>
      <c r="Q142" s="74"/>
      <c r="R142" s="74"/>
      <c r="S142" s="74"/>
      <c r="T142" s="74"/>
      <c r="U142" s="74"/>
      <c r="V142" s="74"/>
      <c r="W142" s="74"/>
      <c r="X142" s="74"/>
      <c r="Y142" s="74"/>
    </row>
    <row r="143" spans="1:25" x14ac:dyDescent="0.3">
      <c r="A143" s="66">
        <f t="shared" si="15"/>
        <v>2003.5999999999876</v>
      </c>
      <c r="B143" s="67">
        <f>LOOKUP(A143+0.01,Amounts!$A$4:$A$103,Amounts!$B$4:$B$103)*0.1*$A$2</f>
        <v>10843.112797020001</v>
      </c>
      <c r="C143" s="68">
        <f t="shared" si="21"/>
        <v>1306426.7020473897</v>
      </c>
      <c r="D143" s="67">
        <f t="array" ref="D143">SUM($B$7:$B138*$F$1009*EXP(-$F$1009*($A143-$A$7:$A138)))*$F$1010</f>
        <v>174114200.13501275</v>
      </c>
      <c r="E143" s="67">
        <f t="shared" si="19"/>
        <v>331.93335174521332</v>
      </c>
      <c r="F143" s="70">
        <f t="shared" si="16"/>
        <v>20.154993117969354</v>
      </c>
      <c r="G143" s="67">
        <f>E143/'Lookup Tables'!$C$48</f>
        <v>663.86670349042663</v>
      </c>
      <c r="H143" s="70">
        <f t="shared" si="20"/>
        <v>0.13354302189619174</v>
      </c>
      <c r="I143" s="71">
        <f t="shared" si="17"/>
        <v>0.95596805302621435</v>
      </c>
      <c r="L143" s="74"/>
      <c r="M143" s="74"/>
      <c r="N143" s="74"/>
      <c r="O143" s="74"/>
      <c r="P143" s="74"/>
      <c r="Q143" s="74"/>
      <c r="R143" s="74"/>
      <c r="S143" s="74"/>
      <c r="T143" s="74"/>
      <c r="U143" s="74"/>
      <c r="V143" s="74"/>
      <c r="W143" s="74"/>
      <c r="X143" s="74"/>
      <c r="Y143" s="74"/>
    </row>
    <row r="144" spans="1:25" x14ac:dyDescent="0.3">
      <c r="A144" s="66">
        <f t="shared" si="15"/>
        <v>2003.6999999999875</v>
      </c>
      <c r="B144" s="67">
        <f>LOOKUP(A144+0.01,Amounts!$A$4:$A$103,Amounts!$B$4:$B$103)*0.1*$A$2</f>
        <v>10843.112797020001</v>
      </c>
      <c r="C144" s="68">
        <f t="shared" si="21"/>
        <v>1317269.8148444097</v>
      </c>
      <c r="D144" s="67">
        <f t="array" ref="D144">SUM($B$7:$B139*$F$1009*EXP(-$F$1009*($A144-$A$7:$A139)))*$F$1010</f>
        <v>174856620.04074833</v>
      </c>
      <c r="E144" s="67">
        <f t="shared" si="19"/>
        <v>333.34870975462377</v>
      </c>
      <c r="F144" s="70">
        <f t="shared" si="16"/>
        <v>20.240933656300754</v>
      </c>
      <c r="G144" s="67">
        <f>E144/'Lookup Tables'!$C$48</f>
        <v>666.69741950924754</v>
      </c>
      <c r="H144" s="70">
        <f t="shared" si="20"/>
        <v>0.13300849975654008</v>
      </c>
      <c r="I144" s="71">
        <f t="shared" si="17"/>
        <v>0.96004428409331644</v>
      </c>
      <c r="L144" s="74"/>
      <c r="M144" s="74"/>
      <c r="N144" s="74"/>
      <c r="O144" s="74"/>
      <c r="P144" s="74"/>
      <c r="Q144" s="74"/>
      <c r="R144" s="74"/>
      <c r="S144" s="74"/>
      <c r="T144" s="74"/>
      <c r="U144" s="74"/>
      <c r="V144" s="74"/>
      <c r="W144" s="74"/>
      <c r="X144" s="74"/>
      <c r="Y144" s="74"/>
    </row>
    <row r="145" spans="1:25" x14ac:dyDescent="0.3">
      <c r="A145" s="66">
        <f t="shared" si="15"/>
        <v>2003.7999999999874</v>
      </c>
      <c r="B145" s="67">
        <f>LOOKUP(A145+0.01,Amounts!$A$4:$A$103,Amounts!$B$4:$B$103)*0.1*$A$2</f>
        <v>10843.112797020001</v>
      </c>
      <c r="C145" s="68">
        <f t="shared" si="21"/>
        <v>1328112.9276414297</v>
      </c>
      <c r="D145" s="67">
        <f t="array" ref="D145">SUM($B$7:$B140*$F$1009*EXP(-$F$1009*($A145-$A$7:$A140)))*$F$1010</f>
        <v>175588718.48660609</v>
      </c>
      <c r="E145" s="67">
        <f t="shared" si="19"/>
        <v>334.74439081195618</v>
      </c>
      <c r="F145" s="70">
        <f t="shared" si="16"/>
        <v>20.32567941010198</v>
      </c>
      <c r="G145" s="67">
        <f>E145/'Lookup Tables'!$C$48</f>
        <v>669.48878162391236</v>
      </c>
      <c r="H145" s="70">
        <f t="shared" si="20"/>
        <v>0.13247491847189199</v>
      </c>
      <c r="I145" s="71">
        <f t="shared" si="17"/>
        <v>0.96406384553843383</v>
      </c>
      <c r="L145" s="74"/>
      <c r="M145" s="74"/>
      <c r="N145" s="74"/>
      <c r="O145" s="74"/>
      <c r="P145" s="74"/>
      <c r="Q145" s="74"/>
      <c r="R145" s="74"/>
      <c r="S145" s="74"/>
      <c r="T145" s="74"/>
      <c r="U145" s="74"/>
      <c r="V145" s="74"/>
      <c r="W145" s="74"/>
      <c r="X145" s="74"/>
      <c r="Y145" s="74"/>
    </row>
    <row r="146" spans="1:25" x14ac:dyDescent="0.3">
      <c r="A146" s="66">
        <f t="shared" si="15"/>
        <v>2003.8999999999874</v>
      </c>
      <c r="B146" s="67">
        <f>LOOKUP(A146+0.01,Amounts!$A$4:$A$103,Amounts!$B$4:$B$103)*0.1*$A$2</f>
        <v>10843.112797020001</v>
      </c>
      <c r="C146" s="68">
        <f t="shared" si="21"/>
        <v>1338956.0404384497</v>
      </c>
      <c r="D146" s="67">
        <f t="array" ref="D146">SUM($B$7:$B141*$F$1009*EXP(-$F$1009*($A146-$A$7:$A141)))*$F$1010</f>
        <v>176310638.96622503</v>
      </c>
      <c r="E146" s="67">
        <f t="shared" si="19"/>
        <v>336.12066847516581</v>
      </c>
      <c r="F146" s="70">
        <f t="shared" si="16"/>
        <v>20.409246989812068</v>
      </c>
      <c r="G146" s="67">
        <f>E146/'Lookup Tables'!$C$48</f>
        <v>672.24133695033163</v>
      </c>
      <c r="H146" s="70">
        <f t="shared" si="20"/>
        <v>0.13194236256830139</v>
      </c>
      <c r="I146" s="71">
        <f t="shared" si="17"/>
        <v>0.96802752520847757</v>
      </c>
      <c r="L146" s="74"/>
      <c r="M146" s="74"/>
      <c r="N146" s="74"/>
      <c r="O146" s="74"/>
      <c r="P146" s="74"/>
      <c r="Q146" s="74"/>
      <c r="R146" s="74"/>
      <c r="S146" s="74"/>
      <c r="T146" s="74"/>
      <c r="U146" s="74"/>
      <c r="V146" s="74"/>
      <c r="W146" s="74"/>
      <c r="X146" s="74"/>
      <c r="Y146" s="74"/>
    </row>
    <row r="147" spans="1:25" x14ac:dyDescent="0.3">
      <c r="A147" s="66">
        <f t="shared" ref="A147:A210" si="22">A146+0.1</f>
        <v>2003.9999999999873</v>
      </c>
      <c r="B147" s="67">
        <f>LOOKUP(A147+0.01,Amounts!$A$4:$A$103,Amounts!$B$4:$B$103)*0.1*$A$2</f>
        <v>11059.914913677005</v>
      </c>
      <c r="C147" s="68">
        <f t="shared" si="21"/>
        <v>1350015.9553521266</v>
      </c>
      <c r="D147" s="67">
        <f t="array" ref="D147">SUM($B$7:$B142*$F$1009*EXP(-$F$1009*($A147-$A$7:$A142)))*$F$1010</f>
        <v>177022522.9783304</v>
      </c>
      <c r="E147" s="67">
        <f t="shared" si="19"/>
        <v>337.47781249908081</v>
      </c>
      <c r="F147" s="70">
        <f t="shared" ref="F147:F210" si="23">E147*60*1012/1000000</f>
        <v>20.491652774944185</v>
      </c>
      <c r="G147" s="67">
        <f>E147/'Lookup Tables'!$C$48</f>
        <v>674.95562499816162</v>
      </c>
      <c r="H147" s="70">
        <f t="shared" si="20"/>
        <v>0.13138980879914935</v>
      </c>
      <c r="I147" s="71">
        <f t="shared" ref="I147:I210" si="24">G147*60*24/1000000</f>
        <v>0.97193609999735275</v>
      </c>
      <c r="L147" s="74"/>
      <c r="M147" s="74"/>
      <c r="N147" s="74"/>
      <c r="O147" s="74"/>
      <c r="P147" s="74"/>
      <c r="Q147" s="74"/>
      <c r="R147" s="74"/>
      <c r="S147" s="74"/>
      <c r="T147" s="74"/>
      <c r="U147" s="74"/>
      <c r="V147" s="74"/>
      <c r="W147" s="74"/>
      <c r="X147" s="74"/>
      <c r="Y147" s="74"/>
    </row>
    <row r="148" spans="1:25" x14ac:dyDescent="0.3">
      <c r="A148" s="66">
        <f t="shared" si="22"/>
        <v>2004.0999999999872</v>
      </c>
      <c r="B148" s="67">
        <f>LOOKUP(A148+0.01,Amounts!$A$4:$A$103,Amounts!$B$4:$B$103)*0.1*$A$2</f>
        <v>11059.914913677005</v>
      </c>
      <c r="C148" s="68">
        <f t="shared" si="21"/>
        <v>1361075.8702658035</v>
      </c>
      <c r="D148" s="67">
        <f t="array" ref="D148">SUM($B$7:$B143*$F$1009*EXP(-$F$1009*($A148-$A$7:$A143)))*$F$1010</f>
        <v>177724510.05446753</v>
      </c>
      <c r="E148" s="67">
        <f t="shared" si="19"/>
        <v>338.81608888827441</v>
      </c>
      <c r="F148" s="70">
        <f t="shared" si="23"/>
        <v>20.572912917296023</v>
      </c>
      <c r="G148" s="67">
        <f>E148/'Lookup Tables'!$C$48</f>
        <v>677.63217777654882</v>
      </c>
      <c r="H148" s="70">
        <f t="shared" si="20"/>
        <v>0.13083894895947248</v>
      </c>
      <c r="I148" s="71">
        <f t="shared" si="24"/>
        <v>0.9757903359982304</v>
      </c>
      <c r="L148" s="74"/>
      <c r="M148" s="74"/>
      <c r="N148" s="74"/>
      <c r="O148" s="74"/>
      <c r="P148" s="74"/>
      <c r="Q148" s="74"/>
      <c r="R148" s="74"/>
      <c r="S148" s="74"/>
      <c r="T148" s="74"/>
      <c r="U148" s="74"/>
      <c r="V148" s="74"/>
      <c r="W148" s="74"/>
      <c r="X148" s="74"/>
      <c r="Y148" s="74"/>
    </row>
    <row r="149" spans="1:25" x14ac:dyDescent="0.3">
      <c r="A149" s="66">
        <f t="shared" si="22"/>
        <v>2004.1999999999871</v>
      </c>
      <c r="B149" s="67">
        <f>LOOKUP(A149+0.01,Amounts!$A$4:$A$103,Amounts!$B$4:$B$103)*0.1*$A$2</f>
        <v>11059.914913677005</v>
      </c>
      <c r="C149" s="68">
        <f t="shared" si="21"/>
        <v>1372135.7851794804</v>
      </c>
      <c r="D149" s="67">
        <f t="array" ref="D149">SUM($B$7:$B144*$F$1009*EXP(-$F$1009*($A149-$A$7:$A144)))*$F$1010</f>
        <v>178416737.78635055</v>
      </c>
      <c r="E149" s="67">
        <f t="shared" si="19"/>
        <v>340.13575994920308</v>
      </c>
      <c r="F149" s="70">
        <f t="shared" si="23"/>
        <v>20.653043344115613</v>
      </c>
      <c r="G149" s="67">
        <f>E149/'Lookup Tables'!$C$48</f>
        <v>680.27151989840615</v>
      </c>
      <c r="H149" s="70">
        <f t="shared" si="20"/>
        <v>0.13028984256533813</v>
      </c>
      <c r="I149" s="71">
        <f t="shared" si="24"/>
        <v>0.97959098865370486</v>
      </c>
      <c r="L149" s="74"/>
      <c r="M149" s="74"/>
      <c r="N149" s="74"/>
      <c r="O149" s="74"/>
      <c r="P149" s="74"/>
      <c r="Q149" s="74"/>
      <c r="R149" s="74"/>
      <c r="S149" s="74"/>
      <c r="T149" s="74"/>
      <c r="U149" s="74"/>
      <c r="V149" s="74"/>
      <c r="W149" s="74"/>
      <c r="X149" s="74"/>
      <c r="Y149" s="74"/>
    </row>
    <row r="150" spans="1:25" x14ac:dyDescent="0.3">
      <c r="A150" s="66">
        <f t="shared" si="22"/>
        <v>2004.299999999987</v>
      </c>
      <c r="B150" s="67">
        <f>LOOKUP(A150+0.01,Amounts!$A$4:$A$103,Amounts!$B$4:$B$103)*0.1*$A$2</f>
        <v>11059.914913677005</v>
      </c>
      <c r="C150" s="68">
        <f t="shared" si="21"/>
        <v>1383195.7000931574</v>
      </c>
      <c r="D150" s="67">
        <f t="array" ref="D150">SUM($B$7:$B145*$F$1009*EXP(-$F$1009*($A150-$A$7:$A145)))*$F$1010</f>
        <v>179099341.85283113</v>
      </c>
      <c r="E150" s="67">
        <f t="shared" si="19"/>
        <v>341.43708434161971</v>
      </c>
      <c r="F150" s="70">
        <f t="shared" si="23"/>
        <v>20.732059761223148</v>
      </c>
      <c r="G150" s="67">
        <f>E150/'Lookup Tables'!$C$48</f>
        <v>682.87416868323942</v>
      </c>
      <c r="H150" s="70">
        <f t="shared" si="20"/>
        <v>0.12974254584356273</v>
      </c>
      <c r="I150" s="71">
        <f t="shared" si="24"/>
        <v>0.98333880290386477</v>
      </c>
      <c r="L150" s="74"/>
      <c r="M150" s="74"/>
      <c r="N150" s="74"/>
      <c r="O150" s="74"/>
      <c r="P150" s="74"/>
      <c r="Q150" s="74"/>
      <c r="R150" s="74"/>
      <c r="S150" s="74"/>
      <c r="T150" s="74"/>
      <c r="U150" s="74"/>
      <c r="V150" s="74"/>
      <c r="W150" s="74"/>
      <c r="X150" s="74"/>
      <c r="Y150" s="74"/>
    </row>
    <row r="151" spans="1:25" x14ac:dyDescent="0.3">
      <c r="A151" s="66">
        <f t="shared" si="22"/>
        <v>2004.3999999999869</v>
      </c>
      <c r="B151" s="67">
        <f>LOOKUP(A151+0.01,Amounts!$A$4:$A$103,Amounts!$B$4:$B$103)*0.1*$A$2</f>
        <v>11059.914913677005</v>
      </c>
      <c r="C151" s="68">
        <f t="shared" si="21"/>
        <v>1394255.6150068343</v>
      </c>
      <c r="D151" s="67">
        <f t="array" ref="D151">SUM($B$7:$B146*$F$1009*EXP(-$F$1009*($A151-$A$7:$A146)))*$F$1010</f>
        <v>179772456.04649144</v>
      </c>
      <c r="E151" s="67">
        <f t="shared" si="19"/>
        <v>342.72031712927111</v>
      </c>
      <c r="F151" s="70">
        <f t="shared" si="23"/>
        <v>20.809977656089341</v>
      </c>
      <c r="G151" s="67">
        <f>E151/'Lookup Tables'!$C$48</f>
        <v>685.44063425854222</v>
      </c>
      <c r="H151" s="70">
        <f t="shared" si="20"/>
        <v>0.12919711188128291</v>
      </c>
      <c r="I151" s="71">
        <f t="shared" si="24"/>
        <v>0.98703451333230086</v>
      </c>
      <c r="L151" s="74"/>
      <c r="M151" s="74"/>
      <c r="N151" s="74"/>
      <c r="O151" s="74"/>
      <c r="P151" s="74"/>
      <c r="Q151" s="74"/>
      <c r="R151" s="74"/>
      <c r="S151" s="74"/>
      <c r="T151" s="74"/>
      <c r="U151" s="74"/>
      <c r="V151" s="74"/>
      <c r="W151" s="74"/>
      <c r="X151" s="74"/>
      <c r="Y151" s="74"/>
    </row>
    <row r="152" spans="1:25" x14ac:dyDescent="0.3">
      <c r="A152" s="66">
        <f t="shared" si="22"/>
        <v>2004.4999999999868</v>
      </c>
      <c r="B152" s="67">
        <f>LOOKUP(A152+0.01,Amounts!$A$4:$A$103,Amounts!$B$4:$B$103)*0.1*$A$2</f>
        <v>11059.914913677005</v>
      </c>
      <c r="C152" s="68">
        <f t="shared" si="21"/>
        <v>1405315.5299205112</v>
      </c>
      <c r="D152" s="67">
        <f t="array" ref="D152">SUM($B$7:$B147*$F$1009*EXP(-$F$1009*($A152-$A$7:$A147)))*$F$1010</f>
        <v>180499455.4540174</v>
      </c>
      <c r="E152" s="67">
        <f t="shared" si="19"/>
        <v>344.10627732016741</v>
      </c>
      <c r="F152" s="70">
        <f t="shared" si="23"/>
        <v>20.894133158880564</v>
      </c>
      <c r="G152" s="67">
        <f>E152/'Lookup Tables'!$C$48</f>
        <v>688.21255464033482</v>
      </c>
      <c r="H152" s="70">
        <f t="shared" si="20"/>
        <v>0.12869868403838822</v>
      </c>
      <c r="I152" s="71">
        <f t="shared" si="24"/>
        <v>0.99102607868208215</v>
      </c>
      <c r="L152" s="74"/>
      <c r="M152" s="74"/>
      <c r="N152" s="74"/>
      <c r="O152" s="74"/>
      <c r="P152" s="74"/>
      <c r="Q152" s="74"/>
      <c r="R152" s="74"/>
      <c r="S152" s="74"/>
      <c r="T152" s="74"/>
      <c r="U152" s="74"/>
      <c r="V152" s="74"/>
      <c r="W152" s="74"/>
      <c r="X152" s="74"/>
      <c r="Y152" s="74"/>
    </row>
    <row r="153" spans="1:25" x14ac:dyDescent="0.3">
      <c r="A153" s="66">
        <f t="shared" si="22"/>
        <v>2004.5999999999867</v>
      </c>
      <c r="B153" s="67">
        <f>LOOKUP(A153+0.01,Amounts!$A$4:$A$103,Amounts!$B$4:$B$103)*0.1*$A$2</f>
        <v>11059.914913677005</v>
      </c>
      <c r="C153" s="68">
        <f t="shared" si="21"/>
        <v>1416375.4448341881</v>
      </c>
      <c r="D153" s="67">
        <f t="array" ref="D153">SUM($B$7:$B148*$F$1009*EXP(-$F$1009*($A153-$A$7:$A148)))*$F$1010</f>
        <v>181216347.78445929</v>
      </c>
      <c r="E153" s="67">
        <f t="shared" si="19"/>
        <v>345.4729692608563</v>
      </c>
      <c r="F153" s="70">
        <f t="shared" si="23"/>
        <v>20.977118693519195</v>
      </c>
      <c r="G153" s="67">
        <f>E153/'Lookup Tables'!$C$48</f>
        <v>690.94593852171261</v>
      </c>
      <c r="H153" s="70">
        <f t="shared" si="20"/>
        <v>0.12820089002938295</v>
      </c>
      <c r="I153" s="71">
        <f t="shared" si="24"/>
        <v>0.99496215147126621</v>
      </c>
      <c r="L153" s="74"/>
      <c r="M153" s="74"/>
      <c r="N153" s="74"/>
      <c r="O153" s="74"/>
      <c r="P153" s="74"/>
      <c r="Q153" s="74"/>
      <c r="R153" s="74"/>
      <c r="S153" s="74"/>
      <c r="T153" s="74"/>
      <c r="U153" s="74"/>
      <c r="V153" s="74"/>
      <c r="W153" s="74"/>
      <c r="X153" s="74"/>
      <c r="Y153" s="74"/>
    </row>
    <row r="154" spans="1:25" x14ac:dyDescent="0.3">
      <c r="A154" s="66">
        <f t="shared" si="22"/>
        <v>2004.6999999999866</v>
      </c>
      <c r="B154" s="67">
        <f>LOOKUP(A154+0.01,Amounts!$A$4:$A$103,Amounts!$B$4:$B$103)*0.1*$A$2</f>
        <v>11059.914913677005</v>
      </c>
      <c r="C154" s="68">
        <f t="shared" si="21"/>
        <v>1427435.359747865</v>
      </c>
      <c r="D154" s="67">
        <f t="array" ref="D154">SUM($B$7:$B149*$F$1009*EXP(-$F$1009*($A154-$A$7:$A149)))*$F$1010</f>
        <v>181923273.551009</v>
      </c>
      <c r="E154" s="67">
        <f t="shared" si="19"/>
        <v>346.8206608273336</v>
      </c>
      <c r="F154" s="70">
        <f t="shared" si="23"/>
        <v>21.058950525435694</v>
      </c>
      <c r="G154" s="67">
        <f>E154/'Lookup Tables'!$C$48</f>
        <v>693.64132165466719</v>
      </c>
      <c r="H154" s="70">
        <f t="shared" si="20"/>
        <v>0.12770381375661391</v>
      </c>
      <c r="I154" s="71">
        <f t="shared" si="24"/>
        <v>0.99884350318272064</v>
      </c>
      <c r="L154" s="74"/>
      <c r="M154" s="74"/>
      <c r="N154" s="74"/>
      <c r="O154" s="74"/>
      <c r="P154" s="74"/>
      <c r="Q154" s="74"/>
      <c r="R154" s="74"/>
      <c r="S154" s="74"/>
      <c r="T154" s="74"/>
      <c r="U154" s="74"/>
      <c r="V154" s="74"/>
      <c r="W154" s="74"/>
      <c r="X154" s="74"/>
      <c r="Y154" s="74"/>
    </row>
    <row r="155" spans="1:25" x14ac:dyDescent="0.3">
      <c r="A155" s="66">
        <f t="shared" si="22"/>
        <v>2004.7999999999865</v>
      </c>
      <c r="B155" s="67">
        <f>LOOKUP(A155+0.01,Amounts!$A$4:$A$103,Amounts!$B$4:$B$103)*0.1*$A$2</f>
        <v>11059.914913677005</v>
      </c>
      <c r="C155" s="68">
        <f t="shared" si="21"/>
        <v>1438495.2746615419</v>
      </c>
      <c r="D155" s="67">
        <f t="array" ref="D155">SUM($B$7:$B150*$F$1009*EXP(-$F$1009*($A155-$A$7:$A150)))*$F$1010</f>
        <v>182620371.31337982</v>
      </c>
      <c r="E155" s="67">
        <f t="shared" si="19"/>
        <v>348.14961617146065</v>
      </c>
      <c r="F155" s="70">
        <f t="shared" si="23"/>
        <v>21.139644693931093</v>
      </c>
      <c r="G155" s="67">
        <f>E155/'Lookup Tables'!$C$48</f>
        <v>696.2992323429213</v>
      </c>
      <c r="H155" s="70">
        <f t="shared" si="20"/>
        <v>0.12720753518135411</v>
      </c>
      <c r="I155" s="71">
        <f t="shared" si="24"/>
        <v>1.0026708945738068</v>
      </c>
      <c r="L155" s="74"/>
      <c r="M155" s="74"/>
      <c r="N155" s="74"/>
      <c r="O155" s="74"/>
      <c r="P155" s="74"/>
      <c r="Q155" s="74"/>
      <c r="R155" s="74"/>
      <c r="S155" s="74"/>
      <c r="T155" s="74"/>
      <c r="U155" s="74"/>
      <c r="V155" s="74"/>
      <c r="W155" s="74"/>
      <c r="X155" s="74"/>
      <c r="Y155" s="74"/>
    </row>
    <row r="156" spans="1:25" x14ac:dyDescent="0.3">
      <c r="A156" s="66">
        <f t="shared" si="22"/>
        <v>2004.8999999999864</v>
      </c>
      <c r="B156" s="67">
        <f>LOOKUP(A156+0.01,Amounts!$A$4:$A$103,Amounts!$B$4:$B$103)*0.1*$A$2</f>
        <v>11059.914913677005</v>
      </c>
      <c r="C156" s="68">
        <f t="shared" si="21"/>
        <v>1449555.1895752188</v>
      </c>
      <c r="D156" s="67">
        <f t="array" ref="D156">SUM($B$7:$B151*$F$1009*EXP(-$F$1009*($A156-$A$7:$A151)))*$F$1010</f>
        <v>183307777.70496482</v>
      </c>
      <c r="E156" s="67">
        <f t="shared" si="19"/>
        <v>349.46009577273935</v>
      </c>
      <c r="F156" s="70">
        <f t="shared" si="23"/>
        <v>21.219217015320734</v>
      </c>
      <c r="G156" s="67">
        <f>E156/'Lookup Tables'!$C$48</f>
        <v>698.9201915454787</v>
      </c>
      <c r="H156" s="70">
        <f t="shared" si="20"/>
        <v>0.12671213049292501</v>
      </c>
      <c r="I156" s="71">
        <f t="shared" si="24"/>
        <v>1.0064450758254893</v>
      </c>
      <c r="L156" s="74"/>
      <c r="M156" s="74"/>
      <c r="N156" s="74"/>
      <c r="O156" s="74"/>
      <c r="P156" s="74"/>
      <c r="Q156" s="74"/>
      <c r="R156" s="74"/>
      <c r="S156" s="74"/>
      <c r="T156" s="74"/>
      <c r="U156" s="74"/>
      <c r="V156" s="74"/>
      <c r="W156" s="74"/>
      <c r="X156" s="74"/>
      <c r="Y156" s="74"/>
    </row>
    <row r="157" spans="1:25" x14ac:dyDescent="0.3">
      <c r="A157" s="66">
        <f t="shared" si="22"/>
        <v>2004.9999999999864</v>
      </c>
      <c r="B157" s="67">
        <f>LOOKUP(A157+0.01,Amounts!$A$4:$A$103,Amounts!$B$4:$B$103)*0.1*$A$2</f>
        <v>11281.227476589003</v>
      </c>
      <c r="C157" s="68">
        <f t="shared" si="21"/>
        <v>1460836.4170518077</v>
      </c>
      <c r="D157" s="67">
        <f t="array" ref="D157">SUM($B$7:$B152*$F$1009*EXP(-$F$1009*($A157-$A$7:$A152)))*$F$1010</f>
        <v>183985627.45961735</v>
      </c>
      <c r="E157" s="67">
        <f t="shared" si="19"/>
        <v>350.75235648936683</v>
      </c>
      <c r="F157" s="70">
        <f t="shared" si="23"/>
        <v>21.297683086034354</v>
      </c>
      <c r="G157" s="67">
        <f>E157/'Lookup Tables'!$C$48</f>
        <v>701.50471297873366</v>
      </c>
      <c r="H157" s="70">
        <f t="shared" si="20"/>
        <v>0.12619855065146091</v>
      </c>
      <c r="I157" s="71">
        <f t="shared" si="24"/>
        <v>1.0101667866893764</v>
      </c>
      <c r="L157" s="74"/>
      <c r="M157" s="74"/>
      <c r="N157" s="74"/>
      <c r="O157" s="74"/>
      <c r="P157" s="74"/>
      <c r="Q157" s="74"/>
      <c r="R157" s="74"/>
      <c r="S157" s="74"/>
      <c r="T157" s="74"/>
      <c r="U157" s="74"/>
      <c r="V157" s="74"/>
      <c r="W157" s="74"/>
      <c r="X157" s="74"/>
      <c r="Y157" s="74"/>
    </row>
    <row r="158" spans="1:25" x14ac:dyDescent="0.3">
      <c r="A158" s="66">
        <f t="shared" si="22"/>
        <v>2005.0999999999863</v>
      </c>
      <c r="B158" s="67">
        <f>LOOKUP(A158+0.01,Amounts!$A$4:$A$103,Amounts!$B$4:$B$103)*0.1*$A$2</f>
        <v>11281.227476589003</v>
      </c>
      <c r="C158" s="68">
        <f t="shared" si="21"/>
        <v>1472117.6445283967</v>
      </c>
      <c r="D158" s="67">
        <f t="array" ref="D158">SUM($B$7:$B153*$F$1009*EXP(-$F$1009*($A158-$A$7:$A153)))*$F$1010</f>
        <v>184654053.43805942</v>
      </c>
      <c r="E158" s="67">
        <f t="shared" si="19"/>
        <v>352.02665160858055</v>
      </c>
      <c r="F158" s="70">
        <f t="shared" si="23"/>
        <v>21.37505828567301</v>
      </c>
      <c r="G158" s="67">
        <f>E158/'Lookup Tables'!$C$48</f>
        <v>704.0533032171611</v>
      </c>
      <c r="H158" s="70">
        <f t="shared" si="20"/>
        <v>0.12568642782944434</v>
      </c>
      <c r="I158" s="71">
        <f t="shared" si="24"/>
        <v>1.013836756632712</v>
      </c>
      <c r="L158" s="74"/>
      <c r="M158" s="74"/>
      <c r="N158" s="74"/>
      <c r="O158" s="74"/>
      <c r="P158" s="74"/>
      <c r="Q158" s="74"/>
      <c r="R158" s="74"/>
      <c r="S158" s="74"/>
      <c r="T158" s="74"/>
      <c r="U158" s="74"/>
      <c r="V158" s="74"/>
      <c r="W158" s="74"/>
      <c r="X158" s="74"/>
      <c r="Y158" s="74"/>
    </row>
    <row r="159" spans="1:25" x14ac:dyDescent="0.3">
      <c r="A159" s="66">
        <f t="shared" si="22"/>
        <v>2005.1999999999862</v>
      </c>
      <c r="B159" s="67">
        <f>LOOKUP(A159+0.01,Amounts!$A$4:$A$103,Amounts!$B$4:$B$103)*0.1*$A$2</f>
        <v>11281.227476589003</v>
      </c>
      <c r="C159" s="68">
        <f t="shared" si="21"/>
        <v>1483398.8720049856</v>
      </c>
      <c r="D159" s="67">
        <f t="array" ref="D159">SUM($B$7:$B154*$F$1009*EXP(-$F$1009*($A159-$A$7:$A154)))*$F$1010</f>
        <v>185313186.65392265</v>
      </c>
      <c r="E159" s="67">
        <f t="shared" si="19"/>
        <v>353.28323089630334</v>
      </c>
      <c r="F159" s="70">
        <f t="shared" si="23"/>
        <v>21.451357780023539</v>
      </c>
      <c r="G159" s="67">
        <f>E159/'Lookup Tables'!$C$48</f>
        <v>706.56646179260667</v>
      </c>
      <c r="H159" s="70">
        <f t="shared" si="20"/>
        <v>0.12517581728245575</v>
      </c>
      <c r="I159" s="71">
        <f t="shared" si="24"/>
        <v>1.0174557049813535</v>
      </c>
      <c r="L159" s="74"/>
      <c r="M159" s="74"/>
      <c r="N159" s="74"/>
      <c r="O159" s="74"/>
      <c r="P159" s="74"/>
      <c r="Q159" s="74"/>
      <c r="R159" s="74"/>
      <c r="S159" s="74"/>
      <c r="T159" s="74"/>
      <c r="U159" s="74"/>
      <c r="V159" s="74"/>
      <c r="W159" s="74"/>
      <c r="X159" s="74"/>
      <c r="Y159" s="74"/>
    </row>
    <row r="160" spans="1:25" x14ac:dyDescent="0.3">
      <c r="A160" s="66">
        <f t="shared" si="22"/>
        <v>2005.2999999999861</v>
      </c>
      <c r="B160" s="67">
        <f>LOOKUP(A160+0.01,Amounts!$A$4:$A$103,Amounts!$B$4:$B$103)*0.1*$A$2</f>
        <v>11281.227476589003</v>
      </c>
      <c r="C160" s="68">
        <f t="shared" si="21"/>
        <v>1494680.0994815745</v>
      </c>
      <c r="D160" s="67">
        <f t="array" ref="D160">SUM($B$7:$B155*$F$1009*EXP(-$F$1009*($A160-$A$7:$A155)))*$F$1010</f>
        <v>185963156.29942748</v>
      </c>
      <c r="E160" s="67">
        <f t="shared" si="19"/>
        <v>354.52234064609848</v>
      </c>
      <c r="F160" s="70">
        <f t="shared" si="23"/>
        <v>21.526596524031103</v>
      </c>
      <c r="G160" s="67">
        <f>E160/'Lookup Tables'!$C$48</f>
        <v>709.04468129219697</v>
      </c>
      <c r="H160" s="70">
        <f t="shared" si="20"/>
        <v>0.12466677137684498</v>
      </c>
      <c r="I160" s="71">
        <f t="shared" si="24"/>
        <v>1.0210243410607638</v>
      </c>
      <c r="L160" s="74"/>
      <c r="M160" s="74"/>
      <c r="N160" s="74"/>
      <c r="O160" s="74"/>
      <c r="P160" s="74"/>
      <c r="Q160" s="74"/>
      <c r="R160" s="74"/>
      <c r="S160" s="74"/>
      <c r="T160" s="74"/>
      <c r="U160" s="74"/>
      <c r="V160" s="74"/>
      <c r="W160" s="74"/>
      <c r="X160" s="74"/>
      <c r="Y160" s="74"/>
    </row>
    <row r="161" spans="1:25" x14ac:dyDescent="0.3">
      <c r="A161" s="66">
        <f t="shared" si="22"/>
        <v>2005.399999999986</v>
      </c>
      <c r="B161" s="67">
        <f>LOOKUP(A161+0.01,Amounts!$A$4:$A$103,Amounts!$B$4:$B$103)*0.1*$A$2</f>
        <v>11281.227476589003</v>
      </c>
      <c r="C161" s="68">
        <f t="shared" si="21"/>
        <v>1505961.3269581634</v>
      </c>
      <c r="D161" s="67">
        <f t="array" ref="D161">SUM($B$7:$B156*$F$1009*EXP(-$F$1009*($A161-$A$7:$A156)))*$F$1010</f>
        <v>186604089.77070519</v>
      </c>
      <c r="E161" s="67">
        <f t="shared" si="19"/>
        <v>355.74422372744351</v>
      </c>
      <c r="F161" s="70">
        <f t="shared" si="23"/>
        <v>21.60078926473037</v>
      </c>
      <c r="G161" s="67">
        <f>E161/'Lookup Tables'!$C$48</f>
        <v>711.48844745488702</v>
      </c>
      <c r="H161" s="70">
        <f t="shared" si="20"/>
        <v>0.12415933971479647</v>
      </c>
      <c r="I161" s="71">
        <f t="shared" si="24"/>
        <v>1.0245433643350372</v>
      </c>
      <c r="L161" s="74"/>
      <c r="M161" s="74"/>
      <c r="N161" s="74"/>
      <c r="O161" s="74"/>
      <c r="P161" s="74"/>
      <c r="Q161" s="74"/>
      <c r="R161" s="74"/>
      <c r="S161" s="74"/>
      <c r="T161" s="74"/>
      <c r="U161" s="74"/>
      <c r="V161" s="74"/>
      <c r="W161" s="74"/>
      <c r="X161" s="74"/>
      <c r="Y161" s="74"/>
    </row>
    <row r="162" spans="1:25" x14ac:dyDescent="0.3">
      <c r="A162" s="66">
        <f t="shared" si="22"/>
        <v>2005.4999999999859</v>
      </c>
      <c r="B162" s="67">
        <f>LOOKUP(A162+0.01,Amounts!$A$4:$A$103,Amounts!$B$4:$B$103)*0.1*$A$2</f>
        <v>11281.227476589003</v>
      </c>
      <c r="C162" s="68">
        <f t="shared" si="21"/>
        <v>1517242.5544347523</v>
      </c>
      <c r="D162" s="67">
        <f t="array" ref="D162">SUM($B$7:$B157*$F$1009*EXP(-$F$1009*($A162-$A$7:$A157)))*$F$1010</f>
        <v>187300671.58521426</v>
      </c>
      <c r="E162" s="67">
        <f t="shared" si="19"/>
        <v>357.07219546252009</v>
      </c>
      <c r="F162" s="70">
        <f t="shared" si="23"/>
        <v>21.681423708484218</v>
      </c>
      <c r="G162" s="67">
        <f>E162/'Lookup Tables'!$C$48</f>
        <v>714.14439092504017</v>
      </c>
      <c r="H162" s="70">
        <f t="shared" si="20"/>
        <v>0.12369620492553318</v>
      </c>
      <c r="I162" s="71">
        <f t="shared" si="24"/>
        <v>1.0283679229320577</v>
      </c>
      <c r="L162" s="74"/>
      <c r="M162" s="74"/>
      <c r="N162" s="74"/>
      <c r="O162" s="74"/>
      <c r="P162" s="74"/>
      <c r="Q162" s="74"/>
      <c r="R162" s="74"/>
      <c r="S162" s="74"/>
      <c r="T162" s="74"/>
      <c r="U162" s="74"/>
      <c r="V162" s="74"/>
      <c r="W162" s="74"/>
      <c r="X162" s="74"/>
      <c r="Y162" s="74"/>
    </row>
    <row r="163" spans="1:25" x14ac:dyDescent="0.3">
      <c r="A163" s="66">
        <f t="shared" si="22"/>
        <v>2005.5999999999858</v>
      </c>
      <c r="B163" s="67">
        <f>LOOKUP(A163+0.01,Amounts!$A$4:$A$103,Amounts!$B$4:$B$103)*0.1*$A$2</f>
        <v>11281.227476589003</v>
      </c>
      <c r="C163" s="68">
        <f t="shared" si="21"/>
        <v>1528523.7819113412</v>
      </c>
      <c r="D163" s="67">
        <f t="array" ref="D163">SUM($B$7:$B158*$F$1009*EXP(-$F$1009*($A163-$A$7:$A158)))*$F$1010</f>
        <v>187987569.20187983</v>
      </c>
      <c r="E163" s="67">
        <f t="shared" si="19"/>
        <v>358.38170512932959</v>
      </c>
      <c r="F163" s="70">
        <f t="shared" si="23"/>
        <v>21.760937135452892</v>
      </c>
      <c r="G163" s="67">
        <f>E163/'Lookup Tables'!$C$48</f>
        <v>716.76341025865918</v>
      </c>
      <c r="H163" s="70">
        <f t="shared" si="20"/>
        <v>0.12323355805457881</v>
      </c>
      <c r="I163" s="71">
        <f t="shared" si="24"/>
        <v>1.0321393107724692</v>
      </c>
      <c r="L163" s="74"/>
      <c r="M163" s="74"/>
      <c r="N163" s="74"/>
      <c r="O163" s="74"/>
      <c r="P163" s="74"/>
      <c r="Q163" s="74"/>
      <c r="R163" s="74"/>
      <c r="S163" s="74"/>
      <c r="T163" s="74"/>
      <c r="U163" s="74"/>
      <c r="V163" s="74"/>
      <c r="W163" s="74"/>
      <c r="X163" s="74"/>
      <c r="Y163" s="74"/>
    </row>
    <row r="164" spans="1:25" x14ac:dyDescent="0.3">
      <c r="A164" s="66">
        <f t="shared" si="22"/>
        <v>2005.6999999999857</v>
      </c>
      <c r="B164" s="67">
        <f>LOOKUP(A164+0.01,Amounts!$A$4:$A$103,Amounts!$B$4:$B$103)*0.1*$A$2</f>
        <v>11281.227476589003</v>
      </c>
      <c r="C164" s="68">
        <f t="shared" si="21"/>
        <v>1539805.0093879302</v>
      </c>
      <c r="D164" s="67">
        <f t="array" ref="D164">SUM($B$7:$B159*$F$1009*EXP(-$F$1009*($A164-$A$7:$A159)))*$F$1010</f>
        <v>188664917.2548337</v>
      </c>
      <c r="E164" s="67">
        <f t="shared" si="19"/>
        <v>359.67300939595873</v>
      </c>
      <c r="F164" s="70">
        <f t="shared" si="23"/>
        <v>21.839345130522617</v>
      </c>
      <c r="G164" s="67">
        <f>E164/'Lookup Tables'!$C$48</f>
        <v>719.34601879191746</v>
      </c>
      <c r="H164" s="70">
        <f t="shared" si="20"/>
        <v>0.12277147598945702</v>
      </c>
      <c r="I164" s="71">
        <f t="shared" si="24"/>
        <v>1.0358582670603611</v>
      </c>
      <c r="L164" s="74"/>
      <c r="M164" s="74"/>
      <c r="N164" s="74"/>
      <c r="O164" s="74"/>
      <c r="P164" s="74"/>
      <c r="Q164" s="74"/>
      <c r="R164" s="74"/>
      <c r="S164" s="74"/>
      <c r="T164" s="74"/>
      <c r="U164" s="74"/>
      <c r="V164" s="74"/>
      <c r="W164" s="74"/>
      <c r="X164" s="74"/>
      <c r="Y164" s="74"/>
    </row>
    <row r="165" spans="1:25" x14ac:dyDescent="0.3">
      <c r="A165" s="66">
        <f t="shared" si="22"/>
        <v>2005.7999999999856</v>
      </c>
      <c r="B165" s="67">
        <f>LOOKUP(A165+0.01,Amounts!$A$4:$A$103,Amounts!$B$4:$B$103)*0.1*$A$2</f>
        <v>11281.227476589003</v>
      </c>
      <c r="C165" s="68">
        <f t="shared" si="21"/>
        <v>1551086.2368645191</v>
      </c>
      <c r="D165" s="67">
        <f t="array" ref="D165">SUM($B$7:$B160*$F$1009*EXP(-$F$1009*($A165-$A$7:$A160)))*$F$1010</f>
        <v>189332848.50646278</v>
      </c>
      <c r="E165" s="67">
        <f t="shared" si="19"/>
        <v>360.94636136217804</v>
      </c>
      <c r="F165" s="70">
        <f t="shared" si="23"/>
        <v>21.91666306191145</v>
      </c>
      <c r="G165" s="67">
        <f>E165/'Lookup Tables'!$C$48</f>
        <v>721.89272272435608</v>
      </c>
      <c r="H165" s="70">
        <f t="shared" si="20"/>
        <v>0.12231003217168732</v>
      </c>
      <c r="I165" s="71">
        <f t="shared" si="24"/>
        <v>1.0395255207230727</v>
      </c>
      <c r="L165" s="74"/>
      <c r="M165" s="74"/>
      <c r="N165" s="74"/>
      <c r="O165" s="74"/>
      <c r="P165" s="74"/>
      <c r="Q165" s="74"/>
      <c r="R165" s="74"/>
      <c r="S165" s="74"/>
      <c r="T165" s="74"/>
      <c r="U165" s="74"/>
      <c r="V165" s="74"/>
      <c r="W165" s="74"/>
      <c r="X165" s="74"/>
      <c r="Y165" s="74"/>
    </row>
    <row r="166" spans="1:25" x14ac:dyDescent="0.3">
      <c r="A166" s="66">
        <f t="shared" si="22"/>
        <v>2005.8999999999855</v>
      </c>
      <c r="B166" s="67">
        <f>LOOKUP(A166+0.01,Amounts!$A$4:$A$103,Amounts!$B$4:$B$103)*0.1*$A$2</f>
        <v>11281.227476589003</v>
      </c>
      <c r="C166" s="68">
        <f t="shared" si="21"/>
        <v>1562367.464341108</v>
      </c>
      <c r="D166" s="67">
        <f t="array" ref="D166">SUM($B$7:$B161*$F$1009*EXP(-$F$1009*($A166-$A$7:$A161)))*$F$1010</f>
        <v>189991493.8734307</v>
      </c>
      <c r="E166" s="67">
        <f t="shared" si="19"/>
        <v>362.2020106090493</v>
      </c>
      <c r="F166" s="70">
        <f t="shared" si="23"/>
        <v>21.992906084181474</v>
      </c>
      <c r="G166" s="67">
        <f>E166/'Lookup Tables'!$C$48</f>
        <v>724.40402121809859</v>
      </c>
      <c r="H166" s="70">
        <f t="shared" si="20"/>
        <v>0.12184929673788479</v>
      </c>
      <c r="I166" s="71">
        <f t="shared" si="24"/>
        <v>1.0431417905540621</v>
      </c>
      <c r="L166" s="74"/>
      <c r="M166" s="74"/>
      <c r="N166" s="74"/>
      <c r="O166" s="74"/>
      <c r="P166" s="74"/>
      <c r="Q166" s="74"/>
      <c r="R166" s="74"/>
      <c r="S166" s="74"/>
      <c r="T166" s="74"/>
      <c r="U166" s="74"/>
      <c r="V166" s="74"/>
      <c r="W166" s="74"/>
      <c r="X166" s="74"/>
      <c r="Y166" s="74"/>
    </row>
    <row r="167" spans="1:25" x14ac:dyDescent="0.3">
      <c r="A167" s="66">
        <f t="shared" si="22"/>
        <v>2005.9999999999854</v>
      </c>
      <c r="B167" s="67">
        <f>LOOKUP(A167+0.01,Amounts!$A$4:$A$103,Amounts!$B$4:$B$103)*0.1*$A$2</f>
        <v>11506.749789339003</v>
      </c>
      <c r="C167" s="68">
        <f t="shared" si="21"/>
        <v>1573874.214130447</v>
      </c>
      <c r="D167" s="67">
        <f t="array" ref="D167">SUM($B$7:$B162*$F$1009*EXP(-$F$1009*($A167-$A$7:$A162)))*$F$1010</f>
        <v>190640982.4523378</v>
      </c>
      <c r="E167" s="67">
        <f t="shared" si="19"/>
        <v>363.44020324784441</v>
      </c>
      <c r="F167" s="70">
        <f t="shared" si="23"/>
        <v>22.068089141209111</v>
      </c>
      <c r="G167" s="67">
        <f>E167/'Lookup Tables'!$C$48</f>
        <v>726.88040649568882</v>
      </c>
      <c r="H167" s="70">
        <f t="shared" si="20"/>
        <v>0.12137194263177274</v>
      </c>
      <c r="I167" s="71">
        <f t="shared" si="24"/>
        <v>1.0467077853537918</v>
      </c>
      <c r="L167" s="74"/>
      <c r="M167" s="74"/>
      <c r="N167" s="74"/>
      <c r="O167" s="74"/>
      <c r="P167" s="74"/>
      <c r="Q167" s="74"/>
      <c r="R167" s="74"/>
      <c r="S167" s="74"/>
      <c r="T167" s="74"/>
      <c r="U167" s="74"/>
      <c r="V167" s="74"/>
      <c r="W167" s="74"/>
      <c r="X167" s="74"/>
      <c r="Y167" s="74"/>
    </row>
    <row r="168" spans="1:25" x14ac:dyDescent="0.3">
      <c r="A168" s="66">
        <f t="shared" si="22"/>
        <v>2006.0999999999854</v>
      </c>
      <c r="B168" s="67">
        <f>LOOKUP(A168+0.01,Amounts!$A$4:$A$103,Amounts!$B$4:$B$103)*0.1*$A$2</f>
        <v>11506.749789339003</v>
      </c>
      <c r="C168" s="68">
        <f t="shared" si="21"/>
        <v>1585380.963919786</v>
      </c>
      <c r="D168" s="67">
        <f t="array" ref="D168">SUM($B$7:$B163*$F$1009*EXP(-$F$1009*($A168-$A$7:$A163)))*$F$1010</f>
        <v>191281441.54502496</v>
      </c>
      <c r="E168" s="67">
        <f t="shared" si="19"/>
        <v>364.66118196828478</v>
      </c>
      <c r="F168" s="70">
        <f t="shared" si="23"/>
        <v>22.142226969114251</v>
      </c>
      <c r="G168" s="67">
        <f>E168/'Lookup Tables'!$C$48</f>
        <v>729.32236393656956</v>
      </c>
      <c r="H168" s="70">
        <f t="shared" si="20"/>
        <v>0.12089581091515367</v>
      </c>
      <c r="I168" s="71">
        <f t="shared" si="24"/>
        <v>1.0502242040686602</v>
      </c>
      <c r="L168" s="74"/>
      <c r="M168" s="74"/>
      <c r="N168" s="74"/>
      <c r="O168" s="74"/>
      <c r="P168" s="74"/>
      <c r="Q168" s="74"/>
      <c r="R168" s="74"/>
      <c r="S168" s="74"/>
      <c r="T168" s="74"/>
      <c r="U168" s="74"/>
      <c r="V168" s="74"/>
      <c r="W168" s="74"/>
      <c r="X168" s="74"/>
      <c r="Y168" s="74"/>
    </row>
    <row r="169" spans="1:25" x14ac:dyDescent="0.3">
      <c r="A169" s="66">
        <f t="shared" si="22"/>
        <v>2006.1999999999853</v>
      </c>
      <c r="B169" s="67">
        <f>LOOKUP(A169+0.01,Amounts!$A$4:$A$103,Amounts!$B$4:$B$103)*0.1*$A$2</f>
        <v>11506.749789339003</v>
      </c>
      <c r="C169" s="68">
        <f t="shared" si="21"/>
        <v>1596887.7137091251</v>
      </c>
      <c r="D169" s="67">
        <f t="array" ref="D169">SUM($B$7:$B164*$F$1009*EXP(-$F$1009*($A169-$A$7:$A164)))*$F$1010</f>
        <v>191912996.68352455</v>
      </c>
      <c r="E169" s="67">
        <f t="shared" si="19"/>
        <v>365.86518608610817</v>
      </c>
      <c r="F169" s="70">
        <f t="shared" si="23"/>
        <v>22.215334099148489</v>
      </c>
      <c r="G169" s="67">
        <f>E169/'Lookup Tables'!$C$48</f>
        <v>731.73037217221633</v>
      </c>
      <c r="H169" s="70">
        <f t="shared" si="20"/>
        <v>0.12042095393182159</v>
      </c>
      <c r="I169" s="71">
        <f t="shared" si="24"/>
        <v>1.0536917359279916</v>
      </c>
      <c r="L169" s="74"/>
      <c r="M169" s="74"/>
      <c r="N169" s="74"/>
      <c r="O169" s="74"/>
      <c r="P169" s="74"/>
      <c r="Q169" s="74"/>
      <c r="R169" s="74"/>
      <c r="S169" s="74"/>
      <c r="T169" s="74"/>
      <c r="U169" s="74"/>
      <c r="V169" s="74"/>
      <c r="W169" s="74"/>
      <c r="X169" s="74"/>
      <c r="Y169" s="74"/>
    </row>
    <row r="170" spans="1:25" x14ac:dyDescent="0.3">
      <c r="A170" s="66">
        <f t="shared" si="22"/>
        <v>2006.2999999999852</v>
      </c>
      <c r="B170" s="67">
        <f>LOOKUP(A170+0.01,Amounts!$A$4:$A$103,Amounts!$B$4:$B$103)*0.1*$A$2</f>
        <v>11506.749789339003</v>
      </c>
      <c r="C170" s="68">
        <f t="shared" si="21"/>
        <v>1608394.4634984641</v>
      </c>
      <c r="D170" s="67">
        <f t="array" ref="D170">SUM($B$7:$B165*$F$1009*EXP(-$F$1009*($A170-$A$7:$A165)))*$F$1010</f>
        <v>192535771.65466565</v>
      </c>
      <c r="E170" s="67">
        <f t="shared" si="19"/>
        <v>367.05245158997633</v>
      </c>
      <c r="F170" s="70">
        <f t="shared" si="23"/>
        <v>22.287424860543364</v>
      </c>
      <c r="G170" s="67">
        <f>E170/'Lookup Tables'!$C$48</f>
        <v>734.10490317995266</v>
      </c>
      <c r="H170" s="70">
        <f t="shared" si="20"/>
        <v>0.11994742144042191</v>
      </c>
      <c r="I170" s="71">
        <f t="shared" si="24"/>
        <v>1.0571110605791318</v>
      </c>
      <c r="L170" s="74"/>
      <c r="M170" s="74"/>
      <c r="N170" s="74"/>
      <c r="O170" s="74"/>
      <c r="P170" s="74"/>
      <c r="Q170" s="74"/>
      <c r="R170" s="74"/>
      <c r="S170" s="74"/>
      <c r="T170" s="74"/>
      <c r="U170" s="74"/>
      <c r="V170" s="74"/>
      <c r="W170" s="74"/>
      <c r="X170" s="74"/>
      <c r="Y170" s="74"/>
    </row>
    <row r="171" spans="1:25" x14ac:dyDescent="0.3">
      <c r="A171" s="66">
        <f t="shared" si="22"/>
        <v>2006.3999999999851</v>
      </c>
      <c r="B171" s="67">
        <f>LOOKUP(A171+0.01,Amounts!$A$4:$A$103,Amounts!$B$4:$B$103)*0.1*$A$2</f>
        <v>11506.749789339003</v>
      </c>
      <c r="C171" s="68">
        <f t="shared" si="21"/>
        <v>1619901.2132878031</v>
      </c>
      <c r="D171" s="67">
        <f t="array" ref="D171">SUM($B$7:$B166*$F$1009*EXP(-$F$1009*($A171-$A$7:$A166)))*$F$1010</f>
        <v>193149888.52433622</v>
      </c>
      <c r="E171" s="67">
        <f t="shared" si="19"/>
        <v>368.22321118772857</v>
      </c>
      <c r="F171" s="70">
        <f t="shared" si="23"/>
        <v>22.358513383318879</v>
      </c>
      <c r="G171" s="67">
        <f>E171/'Lookup Tables'!$C$48</f>
        <v>736.44642237545713</v>
      </c>
      <c r="H171" s="70">
        <f t="shared" si="20"/>
        <v>0.11947526072127509</v>
      </c>
      <c r="I171" s="71">
        <f t="shared" si="24"/>
        <v>1.0604828482206583</v>
      </c>
      <c r="L171" s="74"/>
      <c r="M171" s="74"/>
      <c r="N171" s="74"/>
      <c r="O171" s="74"/>
      <c r="P171" s="74"/>
      <c r="Q171" s="74"/>
      <c r="R171" s="74"/>
      <c r="S171" s="74"/>
      <c r="T171" s="74"/>
      <c r="U171" s="74"/>
      <c r="V171" s="74"/>
      <c r="W171" s="74"/>
      <c r="X171" s="74"/>
      <c r="Y171" s="74"/>
    </row>
    <row r="172" spans="1:25" x14ac:dyDescent="0.3">
      <c r="A172" s="66">
        <f t="shared" si="22"/>
        <v>2006.499999999985</v>
      </c>
      <c r="B172" s="67">
        <f>LOOKUP(A172+0.01,Amounts!$A$4:$A$103,Amounts!$B$4:$B$103)*0.1*$A$2</f>
        <v>11506.749789339003</v>
      </c>
      <c r="C172" s="68">
        <f t="shared" si="21"/>
        <v>1631407.9630771421</v>
      </c>
      <c r="D172" s="67">
        <f t="array" ref="D172">SUM($B$7:$B167*$F$1009*EXP(-$F$1009*($A172-$A$7:$A167)))*$F$1010</f>
        <v>193821254.5762656</v>
      </c>
      <c r="E172" s="67">
        <f t="shared" si="19"/>
        <v>369.50311129749599</v>
      </c>
      <c r="F172" s="70">
        <f t="shared" si="23"/>
        <v>22.436228917983957</v>
      </c>
      <c r="G172" s="67">
        <f>E172/'Lookup Tables'!$C$48</f>
        <v>739.00622259499198</v>
      </c>
      <c r="H172" s="70">
        <f t="shared" si="20"/>
        <v>0.11904492297049092</v>
      </c>
      <c r="I172" s="71">
        <f t="shared" si="24"/>
        <v>1.0641689605367886</v>
      </c>
      <c r="L172" s="74"/>
      <c r="M172" s="74"/>
      <c r="N172" s="74"/>
      <c r="O172" s="74"/>
      <c r="P172" s="74"/>
      <c r="Q172" s="74"/>
      <c r="R172" s="74"/>
      <c r="S172" s="74"/>
      <c r="T172" s="74"/>
      <c r="U172" s="74"/>
      <c r="V172" s="74"/>
      <c r="W172" s="74"/>
      <c r="X172" s="74"/>
      <c r="Y172" s="74"/>
    </row>
    <row r="173" spans="1:25" x14ac:dyDescent="0.3">
      <c r="A173" s="66">
        <f t="shared" si="22"/>
        <v>2006.5999999999849</v>
      </c>
      <c r="B173" s="67">
        <f>LOOKUP(A173+0.01,Amounts!$A$4:$A$103,Amounts!$B$4:$B$103)*0.1*$A$2</f>
        <v>11506.749789339003</v>
      </c>
      <c r="C173" s="68">
        <f t="shared" si="21"/>
        <v>1642914.7128664812</v>
      </c>
      <c r="D173" s="67">
        <f t="array" ref="D173">SUM($B$7:$B168*$F$1009*EXP(-$F$1009*($A173-$A$7:$A168)))*$F$1010</f>
        <v>194483286.99137461</v>
      </c>
      <c r="E173" s="67">
        <f t="shared" si="19"/>
        <v>370.76521765263942</v>
      </c>
      <c r="F173" s="70">
        <f t="shared" si="23"/>
        <v>22.512864015868267</v>
      </c>
      <c r="G173" s="67">
        <f>E173/'Lookup Tables'!$C$48</f>
        <v>741.53043530527884</v>
      </c>
      <c r="H173" s="70">
        <f t="shared" si="20"/>
        <v>0.1186149207089514</v>
      </c>
      <c r="I173" s="71">
        <f t="shared" si="24"/>
        <v>1.0678038268396015</v>
      </c>
      <c r="L173" s="74"/>
      <c r="M173" s="74"/>
      <c r="N173" s="74"/>
      <c r="O173" s="74"/>
      <c r="P173" s="74"/>
      <c r="Q173" s="74"/>
      <c r="R173" s="74"/>
      <c r="S173" s="74"/>
      <c r="T173" s="74"/>
      <c r="U173" s="74"/>
      <c r="V173" s="74"/>
      <c r="W173" s="74"/>
      <c r="X173" s="74"/>
      <c r="Y173" s="74"/>
    </row>
    <row r="174" spans="1:25" x14ac:dyDescent="0.3">
      <c r="A174" s="66">
        <f t="shared" si="22"/>
        <v>2006.6999999999848</v>
      </c>
      <c r="B174" s="67">
        <f>LOOKUP(A174+0.01,Amounts!$A$4:$A$103,Amounts!$B$4:$B$103)*0.1*$A$2</f>
        <v>11506.749789339003</v>
      </c>
      <c r="C174" s="68">
        <f t="shared" si="21"/>
        <v>1654421.4626558202</v>
      </c>
      <c r="D174" s="67">
        <f t="array" ref="D174">SUM($B$7:$B169*$F$1009*EXP(-$F$1009*($A174-$A$7:$A169)))*$F$1010</f>
        <v>195136115.53013611</v>
      </c>
      <c r="E174" s="67">
        <f t="shared" si="19"/>
        <v>372.00977763004505</v>
      </c>
      <c r="F174" s="70">
        <f t="shared" si="23"/>
        <v>22.588433697696335</v>
      </c>
      <c r="G174" s="67">
        <f>E174/'Lookup Tables'!$C$48</f>
        <v>744.0195552600901</v>
      </c>
      <c r="H174" s="70">
        <f t="shared" si="20"/>
        <v>0.1181853255267087</v>
      </c>
      <c r="I174" s="71">
        <f t="shared" si="24"/>
        <v>1.0713881595745296</v>
      </c>
      <c r="L174" s="74"/>
      <c r="M174" s="74"/>
      <c r="N174" s="74"/>
      <c r="O174" s="74"/>
      <c r="P174" s="74"/>
      <c r="Q174" s="74"/>
      <c r="R174" s="74"/>
      <c r="S174" s="74"/>
      <c r="T174" s="74"/>
      <c r="U174" s="74"/>
      <c r="V174" s="74"/>
      <c r="W174" s="74"/>
      <c r="X174" s="74"/>
      <c r="Y174" s="74"/>
    </row>
    <row r="175" spans="1:25" x14ac:dyDescent="0.3">
      <c r="A175" s="66">
        <f t="shared" si="22"/>
        <v>2006.7999999999847</v>
      </c>
      <c r="B175" s="67">
        <f>LOOKUP(A175+0.01,Amounts!$A$4:$A$103,Amounts!$B$4:$B$103)*0.1*$A$2</f>
        <v>11506.749789339003</v>
      </c>
      <c r="C175" s="68">
        <f t="shared" si="21"/>
        <v>1665928.2124451592</v>
      </c>
      <c r="D175" s="67">
        <f t="array" ref="D175">SUM($B$7:$B170*$F$1009*EXP(-$F$1009*($A175-$A$7:$A170)))*$F$1010</f>
        <v>195779868.14903349</v>
      </c>
      <c r="E175" s="67">
        <f t="shared" si="19"/>
        <v>373.23703516745252</v>
      </c>
      <c r="F175" s="70">
        <f t="shared" si="23"/>
        <v>22.662952775367717</v>
      </c>
      <c r="G175" s="67">
        <f>E175/'Lookup Tables'!$C$48</f>
        <v>746.47407033490504</v>
      </c>
      <c r="H175" s="70">
        <f t="shared" si="20"/>
        <v>0.11775620595084368</v>
      </c>
      <c r="I175" s="71">
        <f t="shared" si="24"/>
        <v>1.0749226612822633</v>
      </c>
      <c r="L175" s="74"/>
      <c r="M175" s="74"/>
      <c r="N175" s="74"/>
      <c r="O175" s="74"/>
      <c r="P175" s="74"/>
      <c r="Q175" s="74"/>
      <c r="R175" s="74"/>
      <c r="S175" s="74"/>
      <c r="T175" s="74"/>
      <c r="U175" s="74"/>
      <c r="V175" s="74"/>
      <c r="W175" s="74"/>
      <c r="X175" s="74"/>
      <c r="Y175" s="74"/>
    </row>
    <row r="176" spans="1:25" x14ac:dyDescent="0.3">
      <c r="A176" s="66">
        <f t="shared" si="22"/>
        <v>2006.8999999999846</v>
      </c>
      <c r="B176" s="67">
        <f>LOOKUP(A176+0.01,Amounts!$A$4:$A$103,Amounts!$B$4:$B$103)*0.1*$A$2</f>
        <v>11506.749789339003</v>
      </c>
      <c r="C176" s="68">
        <f t="shared" si="21"/>
        <v>1677434.9622344982</v>
      </c>
      <c r="D176" s="67">
        <f t="array" ref="D176">SUM($B$7:$B171*$F$1009*EXP(-$F$1009*($A176-$A$7:$A171)))*$F$1010</f>
        <v>196414671.02564099</v>
      </c>
      <c r="E176" s="67">
        <f t="shared" si="19"/>
        <v>374.44723081126813</v>
      </c>
      <c r="F176" s="70">
        <f t="shared" si="23"/>
        <v>22.736435854860201</v>
      </c>
      <c r="G176" s="67">
        <f>E176/'Lookup Tables'!$C$48</f>
        <v>748.89446162253626</v>
      </c>
      <c r="H176" s="70">
        <f t="shared" si="20"/>
        <v>0.11732762756550283</v>
      </c>
      <c r="I176" s="71">
        <f t="shared" si="24"/>
        <v>1.0784080247364523</v>
      </c>
      <c r="L176" s="74"/>
      <c r="M176" s="74"/>
      <c r="N176" s="74"/>
      <c r="O176" s="74"/>
      <c r="P176" s="74"/>
      <c r="Q176" s="74"/>
      <c r="R176" s="74"/>
      <c r="S176" s="74"/>
      <c r="T176" s="74"/>
      <c r="U176" s="74"/>
      <c r="V176" s="74"/>
      <c r="W176" s="74"/>
      <c r="X176" s="74"/>
      <c r="Y176" s="74"/>
    </row>
    <row r="177" spans="1:25" x14ac:dyDescent="0.3">
      <c r="A177" s="66">
        <f t="shared" si="22"/>
        <v>2006.9999999999845</v>
      </c>
      <c r="B177" s="67">
        <f>LOOKUP(A177+0.01,Amounts!$A$4:$A$103,Amounts!$B$4:$B$103)*0.1*$A$2</f>
        <v>11736.782548344003</v>
      </c>
      <c r="C177" s="68">
        <f t="shared" si="21"/>
        <v>1689171.7447828422</v>
      </c>
      <c r="D177" s="67">
        <f t="array" ref="D177">SUM($B$7:$B172*$F$1009*EXP(-$F$1009*($A177-$A$7:$A172)))*$F$1010</f>
        <v>197040648.58335471</v>
      </c>
      <c r="E177" s="67">
        <f t="shared" si="19"/>
        <v>375.64060176371248</v>
      </c>
      <c r="F177" s="70">
        <f t="shared" si="23"/>
        <v>22.808897339092621</v>
      </c>
      <c r="G177" s="67">
        <f>E177/'Lookup Tables'!$C$48</f>
        <v>751.28120352742496</v>
      </c>
      <c r="H177" s="70">
        <f t="shared" si="20"/>
        <v>0.11688373363857651</v>
      </c>
      <c r="I177" s="71">
        <f t="shared" si="24"/>
        <v>1.0818449330794919</v>
      </c>
      <c r="L177" s="74"/>
      <c r="M177" s="74"/>
      <c r="N177" s="74"/>
      <c r="O177" s="74"/>
      <c r="P177" s="74"/>
      <c r="Q177" s="74"/>
      <c r="R177" s="74"/>
      <c r="S177" s="74"/>
      <c r="T177" s="74"/>
      <c r="U177" s="74"/>
      <c r="V177" s="74"/>
      <c r="W177" s="74"/>
      <c r="X177" s="74"/>
      <c r="Y177" s="74"/>
    </row>
    <row r="178" spans="1:25" x14ac:dyDescent="0.3">
      <c r="A178" s="66">
        <f t="shared" si="22"/>
        <v>2007.0999999999844</v>
      </c>
      <c r="B178" s="67">
        <f>LOOKUP(A178+0.01,Amounts!$A$4:$A$103,Amounts!$B$4:$B$103)*0.1*$A$2</f>
        <v>11736.782548344003</v>
      </c>
      <c r="C178" s="68">
        <f t="shared" si="21"/>
        <v>1700908.5273311862</v>
      </c>
      <c r="D178" s="67">
        <f t="array" ref="D178">SUM($B$7:$B173*$F$1009*EXP(-$F$1009*($A178-$A$7:$A173)))*$F$1010</f>
        <v>197657923.51577982</v>
      </c>
      <c r="E178" s="67">
        <f t="shared" si="19"/>
        <v>376.81738192931232</v>
      </c>
      <c r="F178" s="70">
        <f t="shared" si="23"/>
        <v>22.880351430747844</v>
      </c>
      <c r="G178" s="67">
        <f>E178/'Lookup Tables'!$C$48</f>
        <v>753.63476385862464</v>
      </c>
      <c r="H178" s="70">
        <f t="shared" si="20"/>
        <v>0.11644083897492445</v>
      </c>
      <c r="I178" s="71">
        <f t="shared" si="24"/>
        <v>1.0852340599564194</v>
      </c>
      <c r="L178" s="74"/>
      <c r="M178" s="74"/>
      <c r="N178" s="74"/>
      <c r="O178" s="74"/>
      <c r="P178" s="74"/>
      <c r="Q178" s="74"/>
      <c r="R178" s="74"/>
      <c r="S178" s="74"/>
      <c r="T178" s="74"/>
      <c r="U178" s="74"/>
      <c r="V178" s="74"/>
      <c r="W178" s="74"/>
      <c r="X178" s="74"/>
      <c r="Y178" s="74"/>
    </row>
    <row r="179" spans="1:25" x14ac:dyDescent="0.3">
      <c r="A179" s="66">
        <f t="shared" si="22"/>
        <v>2007.1999999999844</v>
      </c>
      <c r="B179" s="67">
        <f>LOOKUP(A179+0.01,Amounts!$A$4:$A$103,Amounts!$B$4:$B$103)*0.1*$A$2</f>
        <v>11736.782548344003</v>
      </c>
      <c r="C179" s="68">
        <f t="shared" si="21"/>
        <v>1712645.3098795302</v>
      </c>
      <c r="D179" s="67">
        <f t="array" ref="D179">SUM($B$7:$B174*$F$1009*EXP(-$F$1009*($A179-$A$7:$A174)))*$F$1010</f>
        <v>198266616.81077933</v>
      </c>
      <c r="E179" s="67">
        <f t="shared" si="19"/>
        <v>377.97780196074774</v>
      </c>
      <c r="F179" s="70">
        <f t="shared" si="23"/>
        <v>22.950812135056605</v>
      </c>
      <c r="G179" s="67">
        <f>E179/'Lookup Tables'!$C$48</f>
        <v>755.95560392149548</v>
      </c>
      <c r="H179" s="70">
        <f t="shared" si="20"/>
        <v>0.11599899381649748</v>
      </c>
      <c r="I179" s="71">
        <f t="shared" si="24"/>
        <v>1.0885760696469535</v>
      </c>
      <c r="L179" s="74"/>
      <c r="M179" s="74"/>
      <c r="N179" s="74"/>
      <c r="O179" s="74"/>
      <c r="P179" s="74"/>
      <c r="Q179" s="74"/>
      <c r="R179" s="74"/>
      <c r="S179" s="74"/>
      <c r="T179" s="74"/>
      <c r="U179" s="74"/>
      <c r="V179" s="74"/>
      <c r="W179" s="74"/>
      <c r="X179" s="74"/>
      <c r="Y179" s="74"/>
    </row>
    <row r="180" spans="1:25" x14ac:dyDescent="0.3">
      <c r="A180" s="66">
        <f t="shared" si="22"/>
        <v>2007.2999999999843</v>
      </c>
      <c r="B180" s="67">
        <f>LOOKUP(A180+0.01,Amounts!$A$4:$A$103,Amounts!$B$4:$B$103)*0.1*$A$2</f>
        <v>11736.782548344003</v>
      </c>
      <c r="C180" s="68">
        <f t="shared" si="21"/>
        <v>1724382.0924278742</v>
      </c>
      <c r="D180" s="67">
        <f t="array" ref="D180">SUM($B$7:$B175*$F$1009*EXP(-$F$1009*($A180-$A$7:$A175)))*$F$1010</f>
        <v>198866847.77418759</v>
      </c>
      <c r="E180" s="67">
        <f t="shared" si="19"/>
        <v>379.12208930405961</v>
      </c>
      <c r="F180" s="70">
        <f t="shared" si="23"/>
        <v>23.020293262542499</v>
      </c>
      <c r="G180" s="67">
        <f>E180/'Lookup Tables'!$C$48</f>
        <v>758.24417860811923</v>
      </c>
      <c r="H180" s="70">
        <f t="shared" si="20"/>
        <v>0.11555824605998594</v>
      </c>
      <c r="I180" s="71">
        <f t="shared" si="24"/>
        <v>1.0918716171956917</v>
      </c>
      <c r="L180" s="74"/>
      <c r="M180" s="74"/>
      <c r="N180" s="74"/>
      <c r="O180" s="74"/>
      <c r="P180" s="74"/>
      <c r="Q180" s="74"/>
      <c r="R180" s="74"/>
      <c r="S180" s="74"/>
      <c r="T180" s="74"/>
      <c r="U180" s="74"/>
      <c r="V180" s="74"/>
      <c r="W180" s="74"/>
      <c r="X180" s="74"/>
      <c r="Y180" s="74"/>
    </row>
    <row r="181" spans="1:25" x14ac:dyDescent="0.3">
      <c r="A181" s="66">
        <f t="shared" si="22"/>
        <v>2007.3999999999842</v>
      </c>
      <c r="B181" s="67">
        <f>LOOKUP(A181+0.01,Amounts!$A$4:$A$103,Amounts!$B$4:$B$103)*0.1*$A$2</f>
        <v>11736.782548344003</v>
      </c>
      <c r="C181" s="68">
        <f t="shared" si="21"/>
        <v>1736118.8749762182</v>
      </c>
      <c r="D181" s="67">
        <f t="array" ref="D181">SUM($B$7:$B176*$F$1009*EXP(-$F$1009*($A181-$A$7:$A176)))*$F$1010</f>
        <v>199458734.053195</v>
      </c>
      <c r="E181" s="67">
        <f t="shared" si="19"/>
        <v>380.2504682432305</v>
      </c>
      <c r="F181" s="70">
        <f t="shared" si="23"/>
        <v>23.088808431728957</v>
      </c>
      <c r="G181" s="67">
        <f>E181/'Lookup Tables'!$C$48</f>
        <v>760.500936486461</v>
      </c>
      <c r="H181" s="70">
        <f t="shared" si="20"/>
        <v>0.11511864134959056</v>
      </c>
      <c r="I181" s="71">
        <f t="shared" si="24"/>
        <v>1.0951213485405038</v>
      </c>
      <c r="L181" s="74"/>
      <c r="M181" s="74"/>
      <c r="N181" s="74"/>
      <c r="O181" s="74"/>
      <c r="P181" s="74"/>
      <c r="Q181" s="74"/>
      <c r="R181" s="74"/>
      <c r="S181" s="74"/>
      <c r="T181" s="74"/>
      <c r="U181" s="74"/>
      <c r="V181" s="74"/>
      <c r="W181" s="74"/>
      <c r="X181" s="74"/>
      <c r="Y181" s="74"/>
    </row>
    <row r="182" spans="1:25" x14ac:dyDescent="0.3">
      <c r="A182" s="66">
        <f t="shared" si="22"/>
        <v>2007.4999999999841</v>
      </c>
      <c r="B182" s="67">
        <f>LOOKUP(A182+0.01,Amounts!$A$4:$A$103,Amounts!$B$4:$B$103)*0.1*$A$2</f>
        <v>11736.782548344003</v>
      </c>
      <c r="C182" s="68">
        <f t="shared" si="21"/>
        <v>1747855.6575245622</v>
      </c>
      <c r="D182" s="67">
        <f t="array" ref="D182">SUM($B$7:$B177*$F$1009*EXP(-$F$1009*($A182-$A$7:$A177)))*$F$1010</f>
        <v>200109494.31256106</v>
      </c>
      <c r="E182" s="67">
        <f t="shared" si="19"/>
        <v>381.49108522855659</v>
      </c>
      <c r="F182" s="70">
        <f t="shared" si="23"/>
        <v>23.164138695077956</v>
      </c>
      <c r="G182" s="67">
        <f>E182/'Lookup Tables'!$C$48</f>
        <v>762.98217045711317</v>
      </c>
      <c r="H182" s="70">
        <f t="shared" si="20"/>
        <v>0.11471869174832683</v>
      </c>
      <c r="I182" s="71">
        <f t="shared" si="24"/>
        <v>1.0986943254582431</v>
      </c>
      <c r="L182" s="74"/>
      <c r="M182" s="74"/>
      <c r="N182" s="74"/>
      <c r="O182" s="74"/>
      <c r="P182" s="74"/>
      <c r="Q182" s="74"/>
      <c r="R182" s="74"/>
      <c r="S182" s="74"/>
      <c r="T182" s="74"/>
      <c r="U182" s="74"/>
      <c r="V182" s="74"/>
      <c r="W182" s="74"/>
      <c r="X182" s="74"/>
      <c r="Y182" s="74"/>
    </row>
    <row r="183" spans="1:25" x14ac:dyDescent="0.3">
      <c r="A183" s="66">
        <f t="shared" si="22"/>
        <v>2007.599999999984</v>
      </c>
      <c r="B183" s="67">
        <f>LOOKUP(A183+0.01,Amounts!$A$4:$A$103,Amounts!$B$4:$B$103)*0.1*$A$2</f>
        <v>11736.782548344003</v>
      </c>
      <c r="C183" s="68">
        <f t="shared" si="21"/>
        <v>1759592.4400729062</v>
      </c>
      <c r="D183" s="67">
        <f t="array" ref="D183">SUM($B$7:$B178*$F$1009*EXP(-$F$1009*($A183-$A$7:$A178)))*$F$1010</f>
        <v>200751207.40622586</v>
      </c>
      <c r="E183" s="67">
        <f t="shared" si="19"/>
        <v>382.71445459115751</v>
      </c>
      <c r="F183" s="70">
        <f t="shared" si="23"/>
        <v>23.238421682775083</v>
      </c>
      <c r="G183" s="67">
        <f>E183/'Lookup Tables'!$C$48</f>
        <v>765.42890918231501</v>
      </c>
      <c r="H183" s="70">
        <f t="shared" si="20"/>
        <v>0.1143189256512024</v>
      </c>
      <c r="I183" s="71">
        <f t="shared" si="24"/>
        <v>1.1022176292225336</v>
      </c>
      <c r="L183" s="74"/>
      <c r="M183" s="74"/>
      <c r="N183" s="74"/>
      <c r="O183" s="74"/>
      <c r="P183" s="74"/>
      <c r="Q183" s="74"/>
      <c r="R183" s="74"/>
      <c r="S183" s="74"/>
      <c r="T183" s="74"/>
      <c r="U183" s="74"/>
      <c r="V183" s="74"/>
      <c r="W183" s="74"/>
      <c r="X183" s="74"/>
      <c r="Y183" s="74"/>
    </row>
    <row r="184" spans="1:25" x14ac:dyDescent="0.3">
      <c r="A184" s="66">
        <f t="shared" si="22"/>
        <v>2007.6999999999839</v>
      </c>
      <c r="B184" s="67">
        <f>LOOKUP(A184+0.01,Amounts!$A$4:$A$103,Amounts!$B$4:$B$103)*0.1*$A$2</f>
        <v>11736.782548344003</v>
      </c>
      <c r="C184" s="68">
        <f t="shared" si="21"/>
        <v>1771329.2226212502</v>
      </c>
      <c r="D184" s="67">
        <f t="array" ref="D184">SUM($B$7:$B179*$F$1009*EXP(-$F$1009*($A184-$A$7:$A179)))*$F$1010</f>
        <v>201383999.11201003</v>
      </c>
      <c r="E184" s="67">
        <f t="shared" si="19"/>
        <v>383.92081611534473</v>
      </c>
      <c r="F184" s="70">
        <f t="shared" si="23"/>
        <v>23.311671954523732</v>
      </c>
      <c r="G184" s="67">
        <f>E184/'Lookup Tables'!$C$48</f>
        <v>767.84163223068947</v>
      </c>
      <c r="H184" s="70">
        <f t="shared" si="20"/>
        <v>0.11391941056085211</v>
      </c>
      <c r="I184" s="71">
        <f t="shared" si="24"/>
        <v>1.1056919504121929</v>
      </c>
      <c r="L184" s="74"/>
      <c r="M184" s="74"/>
      <c r="N184" s="74"/>
      <c r="O184" s="74"/>
      <c r="P184" s="74"/>
      <c r="Q184" s="74"/>
      <c r="R184" s="74"/>
      <c r="S184" s="74"/>
      <c r="T184" s="74"/>
      <c r="U184" s="74"/>
      <c r="V184" s="74"/>
      <c r="W184" s="74"/>
      <c r="X184" s="74"/>
      <c r="Y184" s="74"/>
    </row>
    <row r="185" spans="1:25" x14ac:dyDescent="0.3">
      <c r="A185" s="66">
        <f t="shared" si="22"/>
        <v>2007.7999999999838</v>
      </c>
      <c r="B185" s="67">
        <f>LOOKUP(A185+0.01,Amounts!$A$4:$A$103,Amounts!$B$4:$B$103)*0.1*$A$2</f>
        <v>11736.782548344003</v>
      </c>
      <c r="C185" s="68">
        <f t="shared" si="21"/>
        <v>1783066.0051695942</v>
      </c>
      <c r="D185" s="67">
        <f t="array" ref="D185">SUM($B$7:$B180*$F$1009*EXP(-$F$1009*($A185-$A$7:$A180)))*$F$1010</f>
        <v>202007993.45911369</v>
      </c>
      <c r="E185" s="67">
        <f t="shared" si="19"/>
        <v>385.11040625183892</v>
      </c>
      <c r="F185" s="70">
        <f t="shared" si="23"/>
        <v>23.383903867611661</v>
      </c>
      <c r="G185" s="67">
        <f>E185/'Lookup Tables'!$C$48</f>
        <v>770.22081250367785</v>
      </c>
      <c r="H185" s="70">
        <f t="shared" si="20"/>
        <v>0.11352021121995098</v>
      </c>
      <c r="I185" s="71">
        <f t="shared" si="24"/>
        <v>1.1091179700052962</v>
      </c>
      <c r="L185" s="74"/>
      <c r="M185" s="74"/>
      <c r="N185" s="74"/>
      <c r="O185" s="74"/>
      <c r="P185" s="74"/>
      <c r="Q185" s="74"/>
      <c r="R185" s="74"/>
      <c r="S185" s="74"/>
      <c r="T185" s="74"/>
      <c r="U185" s="74"/>
      <c r="V185" s="74"/>
      <c r="W185" s="74"/>
      <c r="X185" s="74"/>
      <c r="Y185" s="74"/>
    </row>
    <row r="186" spans="1:25" x14ac:dyDescent="0.3">
      <c r="A186" s="66">
        <f t="shared" si="22"/>
        <v>2007.8999999999837</v>
      </c>
      <c r="B186" s="67">
        <f>LOOKUP(A186+0.01,Amounts!$A$4:$A$103,Amounts!$B$4:$B$103)*0.1*$A$2</f>
        <v>11736.782548344003</v>
      </c>
      <c r="C186" s="68">
        <f t="shared" si="21"/>
        <v>1794802.7877179382</v>
      </c>
      <c r="D186" s="67">
        <f t="array" ref="D186">SUM($B$7:$B181*$F$1009*EXP(-$F$1009*($A186-$A$7:$A181)))*$F$1010</f>
        <v>202623312.75242656</v>
      </c>
      <c r="E186" s="67">
        <f t="shared" si="19"/>
        <v>386.28345816411519</v>
      </c>
      <c r="F186" s="70">
        <f t="shared" si="23"/>
        <v>23.455131579725073</v>
      </c>
      <c r="G186" s="67">
        <f>E186/'Lookup Tables'!$C$48</f>
        <v>772.56691632823038</v>
      </c>
      <c r="H186" s="70">
        <f t="shared" si="20"/>
        <v>0.11312138971502766</v>
      </c>
      <c r="I186" s="71">
        <f t="shared" si="24"/>
        <v>1.1124963595126518</v>
      </c>
      <c r="L186" s="74"/>
      <c r="M186" s="74"/>
      <c r="N186" s="74"/>
      <c r="O186" s="74"/>
      <c r="P186" s="74"/>
      <c r="Q186" s="74"/>
      <c r="R186" s="74"/>
      <c r="S186" s="74"/>
      <c r="T186" s="74"/>
      <c r="U186" s="74"/>
      <c r="V186" s="74"/>
      <c r="W186" s="74"/>
      <c r="X186" s="74"/>
      <c r="Y186" s="74"/>
    </row>
    <row r="187" spans="1:25" x14ac:dyDescent="0.3">
      <c r="A187" s="66">
        <f t="shared" si="22"/>
        <v>2007.9999999999836</v>
      </c>
      <c r="B187" s="67">
        <f>LOOKUP(A187+0.01,Amounts!$A$4:$A$103,Amounts!$B$4:$B$103)*0.1*$A$2</f>
        <v>11971.626450021004</v>
      </c>
      <c r="C187" s="68">
        <f t="shared" si="21"/>
        <v>1806774.4141679592</v>
      </c>
      <c r="D187" s="67">
        <f t="array" ref="D187">SUM($B$7:$B182*$F$1009*EXP(-$F$1009*($A187-$A$7:$A182)))*$F$1010</f>
        <v>203230077.59649992</v>
      </c>
      <c r="E187" s="67">
        <f t="shared" si="19"/>
        <v>387.44020177410368</v>
      </c>
      <c r="F187" s="70">
        <f t="shared" si="23"/>
        <v>23.525369051723573</v>
      </c>
      <c r="G187" s="67">
        <f>E187/'Lookup Tables'!$C$48</f>
        <v>774.88040354820737</v>
      </c>
      <c r="H187" s="70">
        <f t="shared" si="20"/>
        <v>0.11270835387950012</v>
      </c>
      <c r="I187" s="71">
        <f t="shared" si="24"/>
        <v>1.1158277811094184</v>
      </c>
      <c r="L187" s="74"/>
      <c r="M187" s="74"/>
      <c r="N187" s="74"/>
      <c r="O187" s="74"/>
      <c r="P187" s="74"/>
      <c r="Q187" s="74"/>
      <c r="R187" s="74"/>
      <c r="S187" s="74"/>
      <c r="T187" s="74"/>
      <c r="U187" s="74"/>
      <c r="V187" s="74"/>
      <c r="W187" s="74"/>
      <c r="X187" s="74"/>
      <c r="Y187" s="74"/>
    </row>
    <row r="188" spans="1:25" x14ac:dyDescent="0.3">
      <c r="A188" s="66">
        <f t="shared" si="22"/>
        <v>2008.0999999999835</v>
      </c>
      <c r="B188" s="67">
        <f>LOOKUP(A188+0.01,Amounts!$A$4:$A$103,Amounts!$B$4:$B$103)*0.1*$A$2</f>
        <v>11971.626450021004</v>
      </c>
      <c r="C188" s="68">
        <f t="shared" si="21"/>
        <v>1818746.0406179803</v>
      </c>
      <c r="D188" s="67">
        <f t="array" ref="D188">SUM($B$7:$B183*$F$1009*EXP(-$F$1009*($A188-$A$7:$A183)))*$F$1010</f>
        <v>203828406.91918573</v>
      </c>
      <c r="E188" s="67">
        <f t="shared" si="19"/>
        <v>388.58086380725513</v>
      </c>
      <c r="F188" s="70">
        <f t="shared" si="23"/>
        <v>23.59463005037653</v>
      </c>
      <c r="G188" s="67">
        <f>E188/'Lookup Tables'!$C$48</f>
        <v>777.16172761451026</v>
      </c>
      <c r="H188" s="70">
        <f t="shared" si="20"/>
        <v>0.11229610811836958</v>
      </c>
      <c r="I188" s="71">
        <f t="shared" si="24"/>
        <v>1.1191128877648948</v>
      </c>
      <c r="L188" s="74"/>
      <c r="M188" s="74"/>
      <c r="N188" s="74"/>
      <c r="O188" s="74"/>
      <c r="P188" s="74"/>
      <c r="Q188" s="74"/>
      <c r="R188" s="74"/>
      <c r="S188" s="74"/>
      <c r="T188" s="74"/>
      <c r="U188" s="74"/>
      <c r="V188" s="74"/>
      <c r="W188" s="74"/>
      <c r="X188" s="74"/>
      <c r="Y188" s="74"/>
    </row>
    <row r="189" spans="1:25" x14ac:dyDescent="0.3">
      <c r="A189" s="66">
        <f t="shared" si="22"/>
        <v>2008.1999999999834</v>
      </c>
      <c r="B189" s="67">
        <f>LOOKUP(A189+0.01,Amounts!$A$4:$A$103,Amounts!$B$4:$B$103)*0.1*$A$2</f>
        <v>11971.626450021004</v>
      </c>
      <c r="C189" s="68">
        <f t="shared" si="21"/>
        <v>1830717.6670680013</v>
      </c>
      <c r="D189" s="67">
        <f t="array" ref="D189">SUM($B$7:$B184*$F$1009*EXP(-$F$1009*($A189-$A$7:$A184)))*$F$1010</f>
        <v>204418417.9949466</v>
      </c>
      <c r="E189" s="67">
        <f t="shared" si="19"/>
        <v>389.70566783697956</v>
      </c>
      <c r="F189" s="70">
        <f t="shared" si="23"/>
        <v>23.662928151061397</v>
      </c>
      <c r="G189" s="67">
        <f>E189/'Lookup Tables'!$C$48</f>
        <v>779.41133567395912</v>
      </c>
      <c r="H189" s="70">
        <f t="shared" si="20"/>
        <v>0.11188470112005977</v>
      </c>
      <c r="I189" s="71">
        <f t="shared" si="24"/>
        <v>1.1223523233705008</v>
      </c>
      <c r="L189" s="74"/>
      <c r="M189" s="74"/>
      <c r="N189" s="74"/>
      <c r="O189" s="74"/>
      <c r="P189" s="74"/>
      <c r="Q189" s="74"/>
      <c r="R189" s="74"/>
      <c r="S189" s="74"/>
      <c r="T189" s="74"/>
      <c r="U189" s="74"/>
      <c r="V189" s="74"/>
      <c r="W189" s="74"/>
      <c r="X189" s="74"/>
      <c r="Y189" s="74"/>
    </row>
    <row r="190" spans="1:25" x14ac:dyDescent="0.3">
      <c r="A190" s="66">
        <f t="shared" si="22"/>
        <v>2008.2999999999834</v>
      </c>
      <c r="B190" s="67">
        <f>LOOKUP(A190+0.01,Amounts!$A$4:$A$103,Amounts!$B$4:$B$103)*0.1*$A$2</f>
        <v>11971.626450021004</v>
      </c>
      <c r="C190" s="68">
        <f t="shared" si="21"/>
        <v>1842689.2935180224</v>
      </c>
      <c r="D190" s="67">
        <f t="array" ref="D190">SUM($B$7:$B185*$F$1009*EXP(-$F$1009*($A190-$A$7:$A185)))*$F$1010</f>
        <v>205000226.46784231</v>
      </c>
      <c r="E190" s="67">
        <f t="shared" si="19"/>
        <v>390.81483432846784</v>
      </c>
      <c r="F190" s="70">
        <f t="shared" si="23"/>
        <v>23.730276740424571</v>
      </c>
      <c r="G190" s="67">
        <f>E190/'Lookup Tables'!$C$48</f>
        <v>781.62966865693568</v>
      </c>
      <c r="H190" s="70">
        <f t="shared" si="20"/>
        <v>0.11147417942114055</v>
      </c>
      <c r="I190" s="71">
        <f t="shared" si="24"/>
        <v>1.1255467228659877</v>
      </c>
      <c r="L190" s="74"/>
      <c r="M190" s="74"/>
      <c r="N190" s="74"/>
      <c r="O190" s="74"/>
      <c r="P190" s="74"/>
      <c r="Q190" s="74"/>
      <c r="R190" s="74"/>
      <c r="S190" s="74"/>
      <c r="T190" s="74"/>
      <c r="U190" s="74"/>
      <c r="V190" s="74"/>
      <c r="W190" s="74"/>
      <c r="X190" s="74"/>
      <c r="Y190" s="74"/>
    </row>
    <row r="191" spans="1:25" x14ac:dyDescent="0.3">
      <c r="A191" s="66">
        <f t="shared" si="22"/>
        <v>2008.3999999999833</v>
      </c>
      <c r="B191" s="67">
        <f>LOOKUP(A191+0.01,Amounts!$A$4:$A$103,Amounts!$B$4:$B$103)*0.1*$A$2</f>
        <v>11971.626450021004</v>
      </c>
      <c r="C191" s="68">
        <f t="shared" si="21"/>
        <v>1854660.9199680435</v>
      </c>
      <c r="D191" s="67">
        <f t="array" ref="D191">SUM($B$7:$B186*$F$1009*EXP(-$F$1009*($A191-$A$7:$A186)))*$F$1010</f>
        <v>205573946.37419611</v>
      </c>
      <c r="E191" s="67">
        <f t="shared" si="19"/>
        <v>391.90858068190312</v>
      </c>
      <c r="F191" s="70">
        <f t="shared" si="23"/>
        <v>23.796689019005157</v>
      </c>
      <c r="G191" s="67">
        <f>E191/'Lookup Tables'!$C$48</f>
        <v>783.81716136380624</v>
      </c>
      <c r="H191" s="70">
        <f t="shared" si="20"/>
        <v>0.11106458748802317</v>
      </c>
      <c r="I191" s="71">
        <f t="shared" si="24"/>
        <v>1.1286967123638811</v>
      </c>
      <c r="L191" s="74"/>
      <c r="M191" s="74"/>
      <c r="N191" s="74"/>
      <c r="O191" s="74"/>
      <c r="P191" s="74"/>
      <c r="Q191" s="74"/>
      <c r="R191" s="74"/>
      <c r="S191" s="74"/>
      <c r="T191" s="74"/>
      <c r="U191" s="74"/>
      <c r="V191" s="74"/>
      <c r="W191" s="74"/>
      <c r="X191" s="74"/>
      <c r="Y191" s="74"/>
    </row>
    <row r="192" spans="1:25" x14ac:dyDescent="0.3">
      <c r="A192" s="66">
        <f t="shared" si="22"/>
        <v>2008.4999999999832</v>
      </c>
      <c r="B192" s="67">
        <f>LOOKUP(A192+0.01,Amounts!$A$4:$A$103,Amounts!$B$4:$B$103)*0.1*$A$2</f>
        <v>11971.626450021004</v>
      </c>
      <c r="C192" s="68">
        <f t="shared" si="21"/>
        <v>1866632.5464180645</v>
      </c>
      <c r="D192" s="67">
        <f t="array" ref="D192">SUM($B$7:$B187*$F$1009*EXP(-$F$1009*($A192-$A$7:$A187)))*$F$1010</f>
        <v>206208196.272284</v>
      </c>
      <c r="E192" s="67">
        <f t="shared" si="19"/>
        <v>393.11772212098805</v>
      </c>
      <c r="F192" s="70">
        <f t="shared" si="23"/>
        <v>23.870108087186392</v>
      </c>
      <c r="G192" s="67">
        <f>E192/'Lookup Tables'!$C$48</f>
        <v>786.2354442419761</v>
      </c>
      <c r="H192" s="70">
        <f t="shared" si="20"/>
        <v>0.11069274193428458</v>
      </c>
      <c r="I192" s="71">
        <f t="shared" si="24"/>
        <v>1.1321790397084455</v>
      </c>
      <c r="L192" s="74"/>
      <c r="M192" s="74"/>
      <c r="N192" s="74"/>
      <c r="O192" s="74"/>
      <c r="P192" s="74"/>
      <c r="Q192" s="74"/>
      <c r="R192" s="74"/>
      <c r="S192" s="74"/>
      <c r="T192" s="74"/>
      <c r="U192" s="74"/>
      <c r="V192" s="74"/>
      <c r="W192" s="74"/>
      <c r="X192" s="74"/>
      <c r="Y192" s="74"/>
    </row>
    <row r="193" spans="1:25" x14ac:dyDescent="0.3">
      <c r="A193" s="66">
        <f t="shared" si="22"/>
        <v>2008.5999999999831</v>
      </c>
      <c r="B193" s="67">
        <f>LOOKUP(A193+0.01,Amounts!$A$4:$A$103,Amounts!$B$4:$B$103)*0.1*$A$2</f>
        <v>11971.626450021004</v>
      </c>
      <c r="C193" s="68">
        <f t="shared" si="21"/>
        <v>1878604.1728680856</v>
      </c>
      <c r="D193" s="67">
        <f t="array" ref="D193">SUM($B$7:$B188*$F$1009*EXP(-$F$1009*($A193-$A$7:$A188)))*$F$1010</f>
        <v>206833628.53923741</v>
      </c>
      <c r="E193" s="67">
        <f t="shared" si="19"/>
        <v>394.31005352473608</v>
      </c>
      <c r="F193" s="70">
        <f t="shared" si="23"/>
        <v>23.942506450021973</v>
      </c>
      <c r="G193" s="67">
        <f>E193/'Lookup Tables'!$C$48</f>
        <v>788.62010704947215</v>
      </c>
      <c r="H193" s="70">
        <f t="shared" si="20"/>
        <v>0.11032093249116519</v>
      </c>
      <c r="I193" s="71">
        <f t="shared" si="24"/>
        <v>1.1356129541512399</v>
      </c>
      <c r="L193" s="74"/>
      <c r="M193" s="74"/>
      <c r="N193" s="74"/>
      <c r="O193" s="74"/>
      <c r="P193" s="74"/>
      <c r="Q193" s="74"/>
      <c r="R193" s="74"/>
      <c r="S193" s="74"/>
      <c r="T193" s="74"/>
      <c r="U193" s="74"/>
      <c r="V193" s="74"/>
      <c r="W193" s="74"/>
      <c r="X193" s="74"/>
      <c r="Y193" s="74"/>
    </row>
    <row r="194" spans="1:25" x14ac:dyDescent="0.3">
      <c r="A194" s="66">
        <f t="shared" si="22"/>
        <v>2008.699999999983</v>
      </c>
      <c r="B194" s="67">
        <f>LOOKUP(A194+0.01,Amounts!$A$4:$A$103,Amounts!$B$4:$B$103)*0.1*$A$2</f>
        <v>11971.626450021004</v>
      </c>
      <c r="C194" s="68">
        <f t="shared" si="21"/>
        <v>1890575.7993181066</v>
      </c>
      <c r="D194" s="67">
        <f t="array" ref="D194">SUM($B$7:$B189*$F$1009*EXP(-$F$1009*($A194-$A$7:$A189)))*$F$1010</f>
        <v>207450365.76178285</v>
      </c>
      <c r="E194" s="67">
        <f t="shared" si="19"/>
        <v>395.48580859391944</v>
      </c>
      <c r="F194" s="70">
        <f t="shared" si="23"/>
        <v>24.013898297822788</v>
      </c>
      <c r="G194" s="67">
        <f>E194/'Lookup Tables'!$C$48</f>
        <v>790.97161718783889</v>
      </c>
      <c r="H194" s="70">
        <f t="shared" si="20"/>
        <v>0.10994922344395695</v>
      </c>
      <c r="I194" s="71">
        <f t="shared" si="24"/>
        <v>1.1389991287504879</v>
      </c>
      <c r="L194" s="74"/>
      <c r="M194" s="74"/>
      <c r="N194" s="74"/>
      <c r="O194" s="74"/>
      <c r="P194" s="74"/>
      <c r="Q194" s="74"/>
      <c r="R194" s="74"/>
      <c r="S194" s="74"/>
      <c r="T194" s="74"/>
      <c r="U194" s="74"/>
      <c r="V194" s="74"/>
      <c r="W194" s="74"/>
      <c r="X194" s="74"/>
      <c r="Y194" s="74"/>
    </row>
    <row r="195" spans="1:25" x14ac:dyDescent="0.3">
      <c r="A195" s="66">
        <f t="shared" si="22"/>
        <v>2008.7999999999829</v>
      </c>
      <c r="B195" s="67">
        <f>LOOKUP(A195+0.01,Amounts!$A$4:$A$103,Amounts!$B$4:$B$103)*0.1*$A$2</f>
        <v>11971.626450021004</v>
      </c>
      <c r="C195" s="68">
        <f t="shared" si="21"/>
        <v>1902547.4257681277</v>
      </c>
      <c r="D195" s="67">
        <f t="array" ref="D195">SUM($B$7:$B190*$F$1009*EXP(-$F$1009*($A195-$A$7:$A190)))*$F$1010</f>
        <v>208058528.8223905</v>
      </c>
      <c r="E195" s="67">
        <f t="shared" si="19"/>
        <v>396.64521778029587</v>
      </c>
      <c r="F195" s="70">
        <f t="shared" si="23"/>
        <v>24.084297623619563</v>
      </c>
      <c r="G195" s="67">
        <f>E195/'Lookup Tables'!$C$48</f>
        <v>793.29043556059173</v>
      </c>
      <c r="H195" s="70">
        <f t="shared" si="20"/>
        <v>0.10957767656233529</v>
      </c>
      <c r="I195" s="71">
        <f t="shared" si="24"/>
        <v>1.142338227207252</v>
      </c>
      <c r="L195" s="74"/>
      <c r="M195" s="74"/>
      <c r="N195" s="74"/>
      <c r="O195" s="74"/>
      <c r="P195" s="74"/>
      <c r="Q195" s="74"/>
      <c r="R195" s="74"/>
      <c r="S195" s="74"/>
      <c r="T195" s="74"/>
      <c r="U195" s="74"/>
      <c r="V195" s="74"/>
      <c r="W195" s="74"/>
      <c r="X195" s="74"/>
      <c r="Y195" s="74"/>
    </row>
    <row r="196" spans="1:25" x14ac:dyDescent="0.3">
      <c r="A196" s="66">
        <f t="shared" si="22"/>
        <v>2008.8999999999828</v>
      </c>
      <c r="B196" s="67">
        <f>LOOKUP(A196+0.01,Amounts!$A$4:$A$103,Amounts!$B$4:$B$103)*0.1*$A$2</f>
        <v>11971.626450021004</v>
      </c>
      <c r="C196" s="68">
        <f t="shared" si="21"/>
        <v>1914519.0522181487</v>
      </c>
      <c r="D196" s="67">
        <f t="array" ref="D196">SUM($B$7:$B191*$F$1009*EXP(-$F$1009*($A196-$A$7:$A191)))*$F$1010</f>
        <v>208658236.92296708</v>
      </c>
      <c r="E196" s="67">
        <f t="shared" si="19"/>
        <v>397.78850833177751</v>
      </c>
      <c r="F196" s="70">
        <f t="shared" si="23"/>
        <v>24.153718225905529</v>
      </c>
      <c r="G196" s="67">
        <f>E196/'Lookup Tables'!$C$48</f>
        <v>795.57701666355501</v>
      </c>
      <c r="H196" s="70">
        <f t="shared" si="20"/>
        <v>0.10920635119141085</v>
      </c>
      <c r="I196" s="71">
        <f t="shared" si="24"/>
        <v>1.145630903995519</v>
      </c>
      <c r="L196" s="74"/>
      <c r="M196" s="74"/>
      <c r="N196" s="74"/>
      <c r="O196" s="74"/>
      <c r="P196" s="74"/>
      <c r="Q196" s="74"/>
      <c r="R196" s="74"/>
      <c r="S196" s="74"/>
      <c r="T196" s="74"/>
      <c r="U196" s="74"/>
      <c r="V196" s="74"/>
      <c r="W196" s="74"/>
      <c r="X196" s="74"/>
      <c r="Y196" s="74"/>
    </row>
    <row r="197" spans="1:25" x14ac:dyDescent="0.3">
      <c r="A197" s="66">
        <f t="shared" si="22"/>
        <v>2008.9999999999827</v>
      </c>
      <c r="B197" s="67">
        <f>LOOKUP(A197+0.01,Amounts!$A$4:$A$103,Amounts!$B$4:$B$103)*0.1*$A$2</f>
        <v>12210.980797953003</v>
      </c>
      <c r="C197" s="68">
        <f t="shared" si="21"/>
        <v>1926730.0330161017</v>
      </c>
      <c r="D197" s="67">
        <f t="array" ref="D197">SUM($B$7:$B192*$F$1009*EXP(-$F$1009*($A197-$A$7:$A192)))*$F$1010</f>
        <v>209249607.60822019</v>
      </c>
      <c r="E197" s="67">
        <f t="shared" si="19"/>
        <v>398.91590433697246</v>
      </c>
      <c r="F197" s="70">
        <f t="shared" si="23"/>
        <v>24.222173711340968</v>
      </c>
      <c r="G197" s="67">
        <f>E197/'Lookup Tables'!$C$48</f>
        <v>797.83180867394492</v>
      </c>
      <c r="H197" s="70">
        <f t="shared" si="20"/>
        <v>0.10882178391712467</v>
      </c>
      <c r="I197" s="71">
        <f t="shared" si="24"/>
        <v>1.1488778044904806</v>
      </c>
      <c r="L197" s="74"/>
      <c r="M197" s="74"/>
      <c r="N197" s="74"/>
      <c r="O197" s="74"/>
      <c r="P197" s="74"/>
      <c r="Q197" s="74"/>
      <c r="R197" s="74"/>
      <c r="S197" s="74"/>
      <c r="T197" s="74"/>
      <c r="U197" s="74"/>
      <c r="V197" s="74"/>
      <c r="W197" s="74"/>
      <c r="X197" s="74"/>
      <c r="Y197" s="74"/>
    </row>
    <row r="198" spans="1:25" x14ac:dyDescent="0.3">
      <c r="A198" s="66">
        <f t="shared" si="22"/>
        <v>2009.0999999999826</v>
      </c>
      <c r="B198" s="67">
        <f>LOOKUP(A198+0.01,Amounts!$A$4:$A$103,Amounts!$B$4:$B$103)*0.1*$A$2</f>
        <v>12210.980797953003</v>
      </c>
      <c r="C198" s="68">
        <f t="shared" si="21"/>
        <v>1938941.0138140547</v>
      </c>
      <c r="D198" s="67">
        <f t="array" ref="D198">SUM($B$7:$B193*$F$1009*EXP(-$F$1009*($A198-$A$7:$A193)))*$F$1010</f>
        <v>209832756.78869736</v>
      </c>
      <c r="E198" s="67">
        <f t="shared" si="19"/>
        <v>400.02762676910703</v>
      </c>
      <c r="F198" s="70">
        <f t="shared" si="23"/>
        <v>24.289677497420179</v>
      </c>
      <c r="G198" s="67">
        <f>E198/'Lookup Tables'!$C$48</f>
        <v>800.05525353821406</v>
      </c>
      <c r="H198" s="70">
        <f t="shared" si="20"/>
        <v>0.10843781173943756</v>
      </c>
      <c r="I198" s="71">
        <f t="shared" si="24"/>
        <v>1.1520795650950284</v>
      </c>
      <c r="L198" s="74"/>
      <c r="M198" s="74"/>
      <c r="N198" s="74"/>
      <c r="O198" s="74"/>
      <c r="P198" s="74"/>
      <c r="Q198" s="74"/>
      <c r="R198" s="74"/>
      <c r="S198" s="74"/>
      <c r="T198" s="74"/>
      <c r="U198" s="74"/>
      <c r="V198" s="74"/>
      <c r="W198" s="74"/>
      <c r="X198" s="74"/>
      <c r="Y198" s="74"/>
    </row>
    <row r="199" spans="1:25" x14ac:dyDescent="0.3">
      <c r="A199" s="66">
        <f t="shared" si="22"/>
        <v>2009.1999999999825</v>
      </c>
      <c r="B199" s="67">
        <f>LOOKUP(A199+0.01,Amounts!$A$4:$A$103,Amounts!$B$4:$B$103)*0.1*$A$2</f>
        <v>12210.980797953003</v>
      </c>
      <c r="C199" s="68">
        <f t="shared" si="21"/>
        <v>1951151.9946120076</v>
      </c>
      <c r="D199" s="67">
        <f t="array" ref="D199">SUM($B$7:$B194*$F$1009*EXP(-$F$1009*($A199-$A$7:$A194)))*$F$1010</f>
        <v>210407798.7635048</v>
      </c>
      <c r="E199" s="67">
        <f t="shared" ref="E199:E262" si="25">D199/(365*24*60)*1.00201</f>
        <v>401.1238935293369</v>
      </c>
      <c r="F199" s="70">
        <f t="shared" si="23"/>
        <v>24.356242815101336</v>
      </c>
      <c r="G199" s="67">
        <f>E199/'Lookup Tables'!$C$48</f>
        <v>802.24778705867379</v>
      </c>
      <c r="H199" s="70">
        <f t="shared" ref="H199:H262" si="26">G199*60*24*365/(C199*2000)</f>
        <v>0.10805448218345687</v>
      </c>
      <c r="I199" s="71">
        <f t="shared" si="24"/>
        <v>1.1552368133644904</v>
      </c>
      <c r="L199" s="74"/>
      <c r="M199" s="74"/>
      <c r="N199" s="74"/>
      <c r="O199" s="74"/>
      <c r="P199" s="74"/>
      <c r="Q199" s="74"/>
      <c r="R199" s="74"/>
      <c r="S199" s="74"/>
      <c r="T199" s="74"/>
      <c r="U199" s="74"/>
      <c r="V199" s="74"/>
      <c r="W199" s="74"/>
      <c r="X199" s="74"/>
      <c r="Y199" s="74"/>
    </row>
    <row r="200" spans="1:25" x14ac:dyDescent="0.3">
      <c r="A200" s="66">
        <f t="shared" si="22"/>
        <v>2009.2999999999824</v>
      </c>
      <c r="B200" s="67">
        <f>LOOKUP(A200+0.01,Amounts!$A$4:$A$103,Amounts!$B$4:$B$103)*0.1*$A$2</f>
        <v>12210.980797953003</v>
      </c>
      <c r="C200" s="68">
        <f t="shared" si="21"/>
        <v>1963362.9754099606</v>
      </c>
      <c r="D200" s="67">
        <f t="array" ref="D200">SUM($B$7:$B195*$F$1009*EXP(-$F$1009*($A200-$A$7:$A195)))*$F$1010</f>
        <v>210974846.24271047</v>
      </c>
      <c r="E200" s="67">
        <f t="shared" si="25"/>
        <v>402.20491948945647</v>
      </c>
      <c r="F200" s="70">
        <f t="shared" si="23"/>
        <v>24.421882711399796</v>
      </c>
      <c r="G200" s="67">
        <f>E200/'Lookup Tables'!$C$48</f>
        <v>804.40983897891294</v>
      </c>
      <c r="H200" s="70">
        <f t="shared" si="26"/>
        <v>0.10767184078100336</v>
      </c>
      <c r="I200" s="71">
        <f t="shared" si="24"/>
        <v>1.1583501681296346</v>
      </c>
      <c r="L200" s="74"/>
      <c r="M200" s="74"/>
      <c r="N200" s="74"/>
      <c r="O200" s="74"/>
      <c r="P200" s="74"/>
      <c r="Q200" s="74"/>
      <c r="R200" s="74"/>
      <c r="S200" s="74"/>
      <c r="T200" s="74"/>
      <c r="U200" s="74"/>
      <c r="V200" s="74"/>
      <c r="W200" s="74"/>
      <c r="X200" s="74"/>
      <c r="Y200" s="74"/>
    </row>
    <row r="201" spans="1:25" x14ac:dyDescent="0.3">
      <c r="A201" s="66">
        <f t="shared" si="22"/>
        <v>2009.3999999999824</v>
      </c>
      <c r="B201" s="67">
        <f>LOOKUP(A201+0.01,Amounts!$A$4:$A$103,Amounts!$B$4:$B$103)*0.1*$A$2</f>
        <v>12210.980797953003</v>
      </c>
      <c r="C201" s="68">
        <f t="shared" ref="C201:C264" si="27">C200+B201</f>
        <v>1975573.9562079136</v>
      </c>
      <c r="D201" s="67">
        <f t="array" ref="D201">SUM($B$7:$B196*$F$1009*EXP(-$F$1009*($A201-$A$7:$A196)))*$F$1010</f>
        <v>211534010.36943567</v>
      </c>
      <c r="E201" s="67">
        <f t="shared" si="25"/>
        <v>403.27091653401493</v>
      </c>
      <c r="F201" s="70">
        <f t="shared" si="23"/>
        <v>24.486610051945387</v>
      </c>
      <c r="G201" s="67">
        <f>E201/'Lookup Tables'!$C$48</f>
        <v>806.54183306802986</v>
      </c>
      <c r="H201" s="70">
        <f t="shared" si="26"/>
        <v>0.10728993114341867</v>
      </c>
      <c r="I201" s="71">
        <f t="shared" si="24"/>
        <v>1.1614202396179631</v>
      </c>
      <c r="L201" s="74"/>
      <c r="M201" s="74"/>
      <c r="N201" s="74"/>
      <c r="O201" s="74"/>
      <c r="P201" s="74"/>
      <c r="Q201" s="74"/>
      <c r="R201" s="74"/>
      <c r="S201" s="74"/>
      <c r="T201" s="74"/>
      <c r="U201" s="74"/>
      <c r="V201" s="74"/>
      <c r="W201" s="74"/>
      <c r="X201" s="74"/>
      <c r="Y201" s="74"/>
    </row>
    <row r="202" spans="1:25" x14ac:dyDescent="0.3">
      <c r="A202" s="66">
        <f t="shared" si="22"/>
        <v>2009.4999999999823</v>
      </c>
      <c r="B202" s="67">
        <f>LOOKUP(A202+0.01,Amounts!$A$4:$A$103,Amounts!$B$4:$B$103)*0.1*$A$2</f>
        <v>12210.980797953003</v>
      </c>
      <c r="C202" s="68">
        <f t="shared" si="27"/>
        <v>1987784.9370058666</v>
      </c>
      <c r="D202" s="67">
        <f t="array" ref="D202">SUM($B$7:$B197*$F$1009*EXP(-$F$1009*($A202-$A$7:$A197)))*$F$1010</f>
        <v>212155222.58727401</v>
      </c>
      <c r="E202" s="67">
        <f t="shared" si="25"/>
        <v>404.45520278667135</v>
      </c>
      <c r="F202" s="70">
        <f t="shared" si="23"/>
        <v>24.558519913206684</v>
      </c>
      <c r="G202" s="67">
        <f>E202/'Lookup Tables'!$C$48</f>
        <v>808.9104055733427</v>
      </c>
      <c r="H202" s="70">
        <f t="shared" si="26"/>
        <v>0.10694399108631894</v>
      </c>
      <c r="I202" s="71">
        <f t="shared" si="24"/>
        <v>1.1648309840256135</v>
      </c>
      <c r="L202" s="74"/>
      <c r="M202" s="74"/>
      <c r="N202" s="74"/>
      <c r="O202" s="74"/>
      <c r="P202" s="74"/>
      <c r="Q202" s="74"/>
      <c r="R202" s="74"/>
      <c r="S202" s="74"/>
      <c r="T202" s="74"/>
      <c r="U202" s="74"/>
      <c r="V202" s="74"/>
      <c r="W202" s="74"/>
      <c r="X202" s="74"/>
      <c r="Y202" s="74"/>
    </row>
    <row r="203" spans="1:25" x14ac:dyDescent="0.3">
      <c r="A203" s="66">
        <f t="shared" si="22"/>
        <v>2009.5999999999822</v>
      </c>
      <c r="B203" s="67">
        <f>LOOKUP(A203+0.01,Amounts!$A$4:$A$103,Amounts!$B$4:$B$103)*0.1*$A$2</f>
        <v>12210.980797953003</v>
      </c>
      <c r="C203" s="68">
        <f t="shared" si="27"/>
        <v>1999995.9178038195</v>
      </c>
      <c r="D203" s="67">
        <f t="array" ref="D203">SUM($B$7:$B198*$F$1009*EXP(-$F$1009*($A203-$A$7:$A198)))*$F$1010</f>
        <v>212767798.4297505</v>
      </c>
      <c r="E203" s="67">
        <f t="shared" si="25"/>
        <v>405.62302455212011</v>
      </c>
      <c r="F203" s="70">
        <f t="shared" si="23"/>
        <v>24.629430050804736</v>
      </c>
      <c r="G203" s="67">
        <f>E203/'Lookup Tables'!$C$48</f>
        <v>811.24604910424023</v>
      </c>
      <c r="H203" s="70">
        <f t="shared" si="26"/>
        <v>0.10659794842916614</v>
      </c>
      <c r="I203" s="71">
        <f t="shared" si="24"/>
        <v>1.168194310710106</v>
      </c>
      <c r="L203" s="74"/>
      <c r="M203" s="74"/>
      <c r="N203" s="74"/>
      <c r="O203" s="74"/>
      <c r="P203" s="74"/>
      <c r="Q203" s="74"/>
      <c r="R203" s="74"/>
      <c r="S203" s="74"/>
      <c r="T203" s="74"/>
      <c r="U203" s="74"/>
      <c r="V203" s="74"/>
      <c r="W203" s="74"/>
      <c r="X203" s="74"/>
      <c r="Y203" s="74"/>
    </row>
    <row r="204" spans="1:25" x14ac:dyDescent="0.3">
      <c r="A204" s="66">
        <f t="shared" si="22"/>
        <v>2009.6999999999821</v>
      </c>
      <c r="B204" s="67">
        <f>LOOKUP(A204+0.01,Amounts!$A$4:$A$103,Amounts!$B$4:$B$103)*0.1*$A$2</f>
        <v>12210.980797953003</v>
      </c>
      <c r="C204" s="68">
        <f t="shared" si="27"/>
        <v>2012206.8986017725</v>
      </c>
      <c r="D204" s="67">
        <f t="array" ref="D204">SUM($B$7:$B199*$F$1009*EXP(-$F$1009*($A204-$A$7:$A199)))*$F$1010</f>
        <v>213371857.96369135</v>
      </c>
      <c r="E204" s="67">
        <f t="shared" si="25"/>
        <v>406.77461072716585</v>
      </c>
      <c r="F204" s="70">
        <f t="shared" si="23"/>
        <v>24.69935436335351</v>
      </c>
      <c r="G204" s="67">
        <f>E204/'Lookup Tables'!$C$48</f>
        <v>813.5492214543317</v>
      </c>
      <c r="H204" s="70">
        <f t="shared" si="26"/>
        <v>0.10625186482899082</v>
      </c>
      <c r="I204" s="71">
        <f t="shared" si="24"/>
        <v>1.1715108788942377</v>
      </c>
      <c r="L204" s="74"/>
      <c r="M204" s="74"/>
      <c r="N204" s="74"/>
      <c r="O204" s="74"/>
      <c r="P204" s="74"/>
      <c r="Q204" s="74"/>
      <c r="R204" s="74"/>
      <c r="S204" s="74"/>
      <c r="T204" s="74"/>
      <c r="U204" s="74"/>
      <c r="V204" s="74"/>
      <c r="W204" s="74"/>
      <c r="X204" s="74"/>
      <c r="Y204" s="74"/>
    </row>
    <row r="205" spans="1:25" x14ac:dyDescent="0.3">
      <c r="A205" s="66">
        <f t="shared" si="22"/>
        <v>2009.799999999982</v>
      </c>
      <c r="B205" s="67">
        <f>LOOKUP(A205+0.01,Amounts!$A$4:$A$103,Amounts!$B$4:$B$103)*0.1*$A$2</f>
        <v>12210.980797953003</v>
      </c>
      <c r="C205" s="68">
        <f t="shared" si="27"/>
        <v>2024417.8793997255</v>
      </c>
      <c r="D205" s="67">
        <f t="array" ref="D205">SUM($B$7:$B200*$F$1009*EXP(-$F$1009*($A205-$A$7:$A200)))*$F$1010</f>
        <v>213967519.58669898</v>
      </c>
      <c r="E205" s="67">
        <f t="shared" si="25"/>
        <v>407.91018702638559</v>
      </c>
      <c r="F205" s="70">
        <f t="shared" si="23"/>
        <v>24.768306556242131</v>
      </c>
      <c r="G205" s="67">
        <f>E205/'Lookup Tables'!$C$48</f>
        <v>815.82037405277117</v>
      </c>
      <c r="H205" s="70">
        <f t="shared" si="26"/>
        <v>0.10590579962899795</v>
      </c>
      <c r="I205" s="71">
        <f t="shared" si="24"/>
        <v>1.1747813386359904</v>
      </c>
      <c r="L205" s="74"/>
      <c r="M205" s="74"/>
      <c r="N205" s="74"/>
      <c r="O205" s="74"/>
      <c r="P205" s="74"/>
      <c r="Q205" s="74"/>
      <c r="R205" s="74"/>
      <c r="S205" s="74"/>
      <c r="T205" s="74"/>
      <c r="U205" s="74"/>
      <c r="V205" s="74"/>
      <c r="W205" s="74"/>
      <c r="X205" s="74"/>
      <c r="Y205" s="74"/>
    </row>
    <row r="206" spans="1:25" x14ac:dyDescent="0.3">
      <c r="A206" s="66">
        <f t="shared" si="22"/>
        <v>2009.8999999999819</v>
      </c>
      <c r="B206" s="67">
        <f>LOOKUP(A206+0.01,Amounts!$A$4:$A$103,Amounts!$B$4:$B$103)*0.1*$A$2</f>
        <v>12210.980797953003</v>
      </c>
      <c r="C206" s="68">
        <f t="shared" si="27"/>
        <v>2036628.8601976784</v>
      </c>
      <c r="D206" s="67">
        <f t="array" ref="D206">SUM($B$7:$B201*$F$1009*EXP(-$F$1009*($A206-$A$7:$A201)))*$F$1010</f>
        <v>214554900.05035841</v>
      </c>
      <c r="E206" s="67">
        <f t="shared" si="25"/>
        <v>409.02997602636924</v>
      </c>
      <c r="F206" s="70">
        <f t="shared" si="23"/>
        <v>24.83630014432114</v>
      </c>
      <c r="G206" s="67">
        <f>E206/'Lookup Tables'!$C$48</f>
        <v>818.05995205273848</v>
      </c>
      <c r="H206" s="70">
        <f t="shared" si="26"/>
        <v>0.10555980993934888</v>
      </c>
      <c r="I206" s="71">
        <f t="shared" si="24"/>
        <v>1.1780063309559434</v>
      </c>
      <c r="L206" s="74"/>
      <c r="M206" s="74"/>
      <c r="N206" s="74"/>
      <c r="O206" s="74"/>
      <c r="P206" s="74"/>
      <c r="Q206" s="74"/>
      <c r="R206" s="74"/>
      <c r="S206" s="74"/>
      <c r="T206" s="74"/>
      <c r="U206" s="74"/>
      <c r="V206" s="74"/>
      <c r="W206" s="74"/>
      <c r="X206" s="74"/>
      <c r="Y206" s="74"/>
    </row>
    <row r="207" spans="1:25" x14ac:dyDescent="0.3">
      <c r="A207" s="66">
        <f t="shared" si="22"/>
        <v>2009.9999999999818</v>
      </c>
      <c r="B207" s="67">
        <f>LOOKUP(A207+0.01,Amounts!$A$4:$A$103,Amounts!$B$4:$B$103)*0.1*$A$2</f>
        <v>12455.146288557002</v>
      </c>
      <c r="C207" s="68">
        <f t="shared" si="27"/>
        <v>2049084.0064862354</v>
      </c>
      <c r="D207" s="67">
        <f t="array" ref="D207">SUM($B$7:$B202*$F$1009*EXP(-$F$1009*($A207-$A$7:$A202)))*$F$1010</f>
        <v>215134114.48312101</v>
      </c>
      <c r="E207" s="67">
        <f t="shared" si="25"/>
        <v>410.1341972093457</v>
      </c>
      <c r="F207" s="70">
        <f t="shared" si="23"/>
        <v>24.90334845455147</v>
      </c>
      <c r="G207" s="67">
        <f>E207/'Lookup Tables'!$C$48</f>
        <v>820.2683944186914</v>
      </c>
      <c r="H207" s="70">
        <f t="shared" si="26"/>
        <v>0.10520141359303521</v>
      </c>
      <c r="I207" s="71">
        <f t="shared" si="24"/>
        <v>1.1811864879629155</v>
      </c>
      <c r="L207" s="74"/>
      <c r="M207" s="74"/>
      <c r="N207" s="74"/>
      <c r="O207" s="74"/>
      <c r="P207" s="74"/>
      <c r="Q207" s="74"/>
      <c r="R207" s="74"/>
      <c r="S207" s="74"/>
      <c r="T207" s="74"/>
      <c r="U207" s="74"/>
      <c r="V207" s="74"/>
      <c r="W207" s="74"/>
      <c r="X207" s="74"/>
      <c r="Y207" s="74"/>
    </row>
    <row r="208" spans="1:25" x14ac:dyDescent="0.3">
      <c r="A208" s="66">
        <f t="shared" si="22"/>
        <v>2010.0999999999817</v>
      </c>
      <c r="B208" s="67">
        <f>LOOKUP(A208+0.01,Amounts!$A$4:$A$103,Amounts!$B$4:$B$103)*0.1*$A$2</f>
        <v>12455.146288557002</v>
      </c>
      <c r="C208" s="68">
        <f t="shared" si="27"/>
        <v>2061539.1527747924</v>
      </c>
      <c r="D208" s="67">
        <f t="array" ref="D208">SUM($B$7:$B203*$F$1009*EXP(-$F$1009*($A208-$A$7:$A203)))*$F$1010</f>
        <v>215705276.41286975</v>
      </c>
      <c r="E208" s="67">
        <f t="shared" si="25"/>
        <v>411.22306700620175</v>
      </c>
      <c r="F208" s="70">
        <f t="shared" si="23"/>
        <v>24.969464628616571</v>
      </c>
      <c r="G208" s="67">
        <f>E208/'Lookup Tables'!$C$48</f>
        <v>822.44613401240349</v>
      </c>
      <c r="H208" s="70">
        <f t="shared" si="26"/>
        <v>0.10484343395930215</v>
      </c>
      <c r="I208" s="71">
        <f t="shared" si="24"/>
        <v>1.184322432977861</v>
      </c>
      <c r="L208" s="74"/>
      <c r="M208" s="74"/>
      <c r="N208" s="74"/>
      <c r="O208" s="74"/>
      <c r="P208" s="74"/>
      <c r="Q208" s="74"/>
      <c r="R208" s="74"/>
      <c r="S208" s="74"/>
      <c r="T208" s="74"/>
      <c r="U208" s="74"/>
      <c r="V208" s="74"/>
      <c r="W208" s="74"/>
      <c r="X208" s="74"/>
      <c r="Y208" s="74"/>
    </row>
    <row r="209" spans="1:25" x14ac:dyDescent="0.3">
      <c r="A209" s="66">
        <f t="shared" si="22"/>
        <v>2010.1999999999816</v>
      </c>
      <c r="B209" s="67">
        <f>LOOKUP(A209+0.01,Amounts!$A$4:$A$103,Amounts!$B$4:$B$103)*0.1*$A$2</f>
        <v>12455.146288557002</v>
      </c>
      <c r="C209" s="68">
        <f t="shared" si="27"/>
        <v>2073994.2990633494</v>
      </c>
      <c r="D209" s="67">
        <f t="array" ref="D209">SUM($B$7:$B204*$F$1009*EXP(-$F$1009*($A209-$A$7:$A204)))*$F$1010</f>
        <v>216268497.78917146</v>
      </c>
      <c r="E209" s="67">
        <f t="shared" si="25"/>
        <v>412.29679883890356</v>
      </c>
      <c r="F209" s="70">
        <f t="shared" si="23"/>
        <v>25.034661625498224</v>
      </c>
      <c r="G209" s="67">
        <f>E209/'Lookup Tables'!$C$48</f>
        <v>824.59359767780711</v>
      </c>
      <c r="H209" s="70">
        <f t="shared" si="26"/>
        <v>0.10448591761683941</v>
      </c>
      <c r="I209" s="71">
        <f t="shared" si="24"/>
        <v>1.1874147806560422</v>
      </c>
      <c r="L209" s="74"/>
      <c r="M209" s="74"/>
      <c r="N209" s="74"/>
      <c r="O209" s="74"/>
      <c r="P209" s="74"/>
      <c r="Q209" s="74"/>
      <c r="R209" s="74"/>
      <c r="S209" s="74"/>
      <c r="T209" s="74"/>
      <c r="U209" s="74"/>
      <c r="V209" s="74"/>
      <c r="W209" s="74"/>
      <c r="X209" s="74"/>
      <c r="Y209" s="74"/>
    </row>
    <row r="210" spans="1:25" x14ac:dyDescent="0.3">
      <c r="A210" s="66">
        <f t="shared" si="22"/>
        <v>2010.2999999999815</v>
      </c>
      <c r="B210" s="67">
        <f>LOOKUP(A210+0.01,Amounts!$A$4:$A$103,Amounts!$B$4:$B$103)*0.1*$A$2</f>
        <v>12455.146288557002</v>
      </c>
      <c r="C210" s="68">
        <f t="shared" si="27"/>
        <v>2086449.4453519064</v>
      </c>
      <c r="D210" s="67">
        <f t="array" ref="D210">SUM($B$7:$B205*$F$1009*EXP(-$F$1009*($A210-$A$7:$A205)))*$F$1010</f>
        <v>216823889.00521898</v>
      </c>
      <c r="E210" s="67">
        <f t="shared" si="25"/>
        <v>413.35560316232778</v>
      </c>
      <c r="F210" s="70">
        <f t="shared" si="23"/>
        <v>25.098952224016543</v>
      </c>
      <c r="G210" s="67">
        <f>E210/'Lookup Tables'!$C$48</f>
        <v>826.71120632465556</v>
      </c>
      <c r="H210" s="70">
        <f t="shared" si="26"/>
        <v>0.10412890928467997</v>
      </c>
      <c r="I210" s="71">
        <f t="shared" si="24"/>
        <v>1.190464137107504</v>
      </c>
      <c r="L210" s="74"/>
      <c r="M210" s="74"/>
      <c r="N210" s="74"/>
      <c r="O210" s="74"/>
      <c r="P210" s="74"/>
      <c r="Q210" s="74"/>
      <c r="R210" s="74"/>
      <c r="S210" s="74"/>
      <c r="T210" s="74"/>
      <c r="U210" s="74"/>
      <c r="V210" s="74"/>
      <c r="W210" s="74"/>
      <c r="X210" s="74"/>
      <c r="Y210" s="74"/>
    </row>
    <row r="211" spans="1:25" x14ac:dyDescent="0.3">
      <c r="A211" s="66">
        <f t="shared" ref="A211:A274" si="28">A210+0.1</f>
        <v>2010.3999999999814</v>
      </c>
      <c r="B211" s="67">
        <f>LOOKUP(A211+0.01,Amounts!$A$4:$A$103,Amounts!$B$4:$B$103)*0.1*$A$2</f>
        <v>12455.146288557002</v>
      </c>
      <c r="C211" s="68">
        <f t="shared" si="27"/>
        <v>2098904.5916404636</v>
      </c>
      <c r="D211" s="67">
        <f t="array" ref="D211">SUM($B$7:$B206*$F$1009*EXP(-$F$1009*($A211-$A$7:$A206)))*$F$1010</f>
        <v>217371558.91946855</v>
      </c>
      <c r="E211" s="67">
        <f t="shared" si="25"/>
        <v>414.39968750551122</v>
      </c>
      <c r="F211" s="70">
        <f t="shared" ref="F211:F274" si="29">E211*60*1012/1000000</f>
        <v>25.162349025334642</v>
      </c>
      <c r="G211" s="67">
        <f>E211/'Lookup Tables'!$C$48</f>
        <v>828.79937501102245</v>
      </c>
      <c r="H211" s="70">
        <f t="shared" si="26"/>
        <v>0.10377245188770672</v>
      </c>
      <c r="I211" s="71">
        <f t="shared" ref="I211:I274" si="30">G211*60*24/1000000</f>
        <v>1.1934711000158724</v>
      </c>
      <c r="L211" s="74"/>
      <c r="M211" s="74"/>
      <c r="N211" s="74"/>
      <c r="O211" s="74"/>
      <c r="P211" s="74"/>
      <c r="Q211" s="74"/>
      <c r="R211" s="74"/>
      <c r="S211" s="74"/>
      <c r="T211" s="74"/>
      <c r="U211" s="74"/>
      <c r="V211" s="74"/>
      <c r="W211" s="74"/>
      <c r="X211" s="74"/>
      <c r="Y211" s="74"/>
    </row>
    <row r="212" spans="1:25" x14ac:dyDescent="0.3">
      <c r="A212" s="66">
        <f t="shared" si="28"/>
        <v>2010.4999999999814</v>
      </c>
      <c r="B212" s="67">
        <f>LOOKUP(A212+0.01,Amounts!$A$4:$A$103,Amounts!$B$4:$B$103)*0.1*$A$2</f>
        <v>12455.146288557002</v>
      </c>
      <c r="C212" s="68">
        <f t="shared" si="27"/>
        <v>2111359.7379290205</v>
      </c>
      <c r="D212" s="67">
        <f t="array" ref="D212">SUM($B$7:$B207*$F$1009*EXP(-$F$1009*($A212-$A$7:$A207)))*$F$1010</f>
        <v>217982840.17679513</v>
      </c>
      <c r="E212" s="67">
        <f t="shared" si="25"/>
        <v>415.56504125865769</v>
      </c>
      <c r="F212" s="70">
        <f t="shared" si="29"/>
        <v>25.233109305225696</v>
      </c>
      <c r="G212" s="67">
        <f>E212/'Lookup Tables'!$C$48</f>
        <v>831.13008251731537</v>
      </c>
      <c r="H212" s="70">
        <f t="shared" si="26"/>
        <v>0.10345038875269741</v>
      </c>
      <c r="I212" s="71">
        <f t="shared" si="30"/>
        <v>1.1968273188249343</v>
      </c>
      <c r="L212" s="74"/>
      <c r="M212" s="74"/>
      <c r="N212" s="74"/>
      <c r="O212" s="74"/>
      <c r="P212" s="74"/>
      <c r="Q212" s="74"/>
      <c r="R212" s="74"/>
      <c r="S212" s="74"/>
      <c r="T212" s="74"/>
      <c r="U212" s="74"/>
      <c r="V212" s="74"/>
      <c r="W212" s="74"/>
      <c r="X212" s="74"/>
      <c r="Y212" s="74"/>
    </row>
    <row r="213" spans="1:25" x14ac:dyDescent="0.3">
      <c r="A213" s="66">
        <f t="shared" si="28"/>
        <v>2010.5999999999813</v>
      </c>
      <c r="B213" s="67">
        <f>LOOKUP(A213+0.01,Amounts!$A$4:$A$103,Amounts!$B$4:$B$103)*0.1*$A$2</f>
        <v>12455.146288557002</v>
      </c>
      <c r="C213" s="68">
        <f t="shared" si="27"/>
        <v>2123814.8842175775</v>
      </c>
      <c r="D213" s="67">
        <f t="array" ref="D213">SUM($B$7:$B208*$F$1009*EXP(-$F$1009*($A213-$A$7:$A208)))*$F$1010</f>
        <v>218585623.12349874</v>
      </c>
      <c r="E213" s="67">
        <f t="shared" si="25"/>
        <v>416.71419373283294</v>
      </c>
      <c r="F213" s="70">
        <f t="shared" si="29"/>
        <v>25.302885843457613</v>
      </c>
      <c r="G213" s="67">
        <f>E213/'Lookup Tables'!$C$48</f>
        <v>833.42838746566588</v>
      </c>
      <c r="H213" s="70">
        <f t="shared" si="26"/>
        <v>0.10312809362698612</v>
      </c>
      <c r="I213" s="71">
        <f t="shared" si="30"/>
        <v>1.200136877950559</v>
      </c>
      <c r="L213" s="74"/>
      <c r="M213" s="74"/>
      <c r="N213" s="74"/>
      <c r="O213" s="74"/>
      <c r="P213" s="74"/>
      <c r="Q213" s="74"/>
      <c r="R213" s="74"/>
      <c r="S213" s="74"/>
      <c r="T213" s="74"/>
      <c r="U213" s="74"/>
      <c r="V213" s="74"/>
      <c r="W213" s="74"/>
      <c r="X213" s="74"/>
      <c r="Y213" s="74"/>
    </row>
    <row r="214" spans="1:25" x14ac:dyDescent="0.3">
      <c r="A214" s="66">
        <f t="shared" si="28"/>
        <v>2010.6999999999812</v>
      </c>
      <c r="B214" s="67">
        <f>LOOKUP(A214+0.01,Amounts!$A$4:$A$103,Amounts!$B$4:$B$103)*0.1*$A$2</f>
        <v>12455.146288557002</v>
      </c>
      <c r="C214" s="68">
        <f t="shared" si="27"/>
        <v>2136270.0305061345</v>
      </c>
      <c r="D214" s="67">
        <f t="array" ref="D214">SUM($B$7:$B209*$F$1009*EXP(-$F$1009*($A214-$A$7:$A209)))*$F$1010</f>
        <v>219180025.90696669</v>
      </c>
      <c r="E214" s="67">
        <f t="shared" si="25"/>
        <v>417.84737016560064</v>
      </c>
      <c r="F214" s="70">
        <f t="shared" si="29"/>
        <v>25.37169231645527</v>
      </c>
      <c r="G214" s="67">
        <f>E214/'Lookup Tables'!$C$48</f>
        <v>835.69474033120127</v>
      </c>
      <c r="H214" s="70">
        <f t="shared" si="26"/>
        <v>0.10280562598493517</v>
      </c>
      <c r="I214" s="71">
        <f t="shared" si="30"/>
        <v>1.20340042607693</v>
      </c>
      <c r="L214" s="74"/>
      <c r="M214" s="74"/>
      <c r="N214" s="74"/>
      <c r="O214" s="74"/>
      <c r="P214" s="74"/>
      <c r="Q214" s="74"/>
      <c r="R214" s="74"/>
      <c r="S214" s="74"/>
      <c r="T214" s="74"/>
      <c r="U214" s="74"/>
      <c r="V214" s="74"/>
      <c r="W214" s="74"/>
      <c r="X214" s="74"/>
      <c r="Y214" s="74"/>
    </row>
    <row r="215" spans="1:25" x14ac:dyDescent="0.3">
      <c r="A215" s="66">
        <f t="shared" si="28"/>
        <v>2010.7999999999811</v>
      </c>
      <c r="B215" s="67">
        <f>LOOKUP(A215+0.01,Amounts!$A$4:$A$103,Amounts!$B$4:$B$103)*0.1*$A$2</f>
        <v>12455.146288557002</v>
      </c>
      <c r="C215" s="68">
        <f t="shared" si="27"/>
        <v>2148725.1767946915</v>
      </c>
      <c r="D215" s="67">
        <f t="array" ref="D215">SUM($B$7:$B210*$F$1009*EXP(-$F$1009*($A215-$A$7:$A210)))*$F$1010</f>
        <v>219766165.03204745</v>
      </c>
      <c r="E215" s="67">
        <f t="shared" si="25"/>
        <v>418.96479266316953</v>
      </c>
      <c r="F215" s="70">
        <f t="shared" si="29"/>
        <v>25.439542210507653</v>
      </c>
      <c r="G215" s="67">
        <f>E215/'Lookup Tables'!$C$48</f>
        <v>837.92958532633907</v>
      </c>
      <c r="H215" s="70">
        <f t="shared" si="26"/>
        <v>0.10248304315596642</v>
      </c>
      <c r="I215" s="71">
        <f t="shared" si="30"/>
        <v>1.2066186028699284</v>
      </c>
      <c r="L215" s="74"/>
      <c r="M215" s="74"/>
      <c r="N215" s="74"/>
      <c r="O215" s="74"/>
      <c r="P215" s="74"/>
      <c r="Q215" s="74"/>
      <c r="R215" s="74"/>
      <c r="S215" s="74"/>
      <c r="T215" s="74"/>
      <c r="U215" s="74"/>
      <c r="V215" s="74"/>
      <c r="W215" s="74"/>
      <c r="X215" s="74"/>
      <c r="Y215" s="74"/>
    </row>
    <row r="216" spans="1:25" x14ac:dyDescent="0.3">
      <c r="A216" s="66">
        <f t="shared" si="28"/>
        <v>2010.899999999981</v>
      </c>
      <c r="B216" s="67">
        <f>LOOKUP(A216+0.01,Amounts!$A$4:$A$103,Amounts!$B$4:$B$103)*0.1*$A$2</f>
        <v>12455.146288557002</v>
      </c>
      <c r="C216" s="68">
        <f t="shared" si="27"/>
        <v>2161180.3230832485</v>
      </c>
      <c r="D216" s="67">
        <f t="array" ref="D216">SUM($B$7:$B211*$F$1009*EXP(-$F$1009*($A216-$A$7:$A211)))*$F$1010</f>
        <v>220344155.38388598</v>
      </c>
      <c r="E216" s="67">
        <f t="shared" si="25"/>
        <v>420.06668024392621</v>
      </c>
      <c r="F216" s="70">
        <f t="shared" si="29"/>
        <v>25.506448824411198</v>
      </c>
      <c r="G216" s="67">
        <f>E216/'Lookup Tables'!$C$48</f>
        <v>840.13336048785243</v>
      </c>
      <c r="H216" s="70">
        <f t="shared" si="26"/>
        <v>0.10216040039695609</v>
      </c>
      <c r="I216" s="71">
        <f t="shared" si="30"/>
        <v>1.2097920391025074</v>
      </c>
      <c r="L216" s="74"/>
      <c r="M216" s="74"/>
      <c r="N216" s="74"/>
      <c r="O216" s="74"/>
      <c r="P216" s="74"/>
      <c r="Q216" s="74"/>
      <c r="R216" s="74"/>
      <c r="S216" s="74"/>
      <c r="T216" s="74"/>
      <c r="U216" s="74"/>
      <c r="V216" s="74"/>
      <c r="W216" s="74"/>
      <c r="X216" s="74"/>
      <c r="Y216" s="74"/>
    </row>
    <row r="217" spans="1:25" x14ac:dyDescent="0.3">
      <c r="A217" s="66">
        <f t="shared" si="28"/>
        <v>2010.9999999999809</v>
      </c>
      <c r="B217" s="67">
        <f>LOOKUP(A217+0.01,Amounts!$A$4:$A$103,Amounts!$B$4:$B$103)*0.1*$A$2</f>
        <v>12704.122921833003</v>
      </c>
      <c r="C217" s="68">
        <f t="shared" si="27"/>
        <v>2173884.4460050813</v>
      </c>
      <c r="D217" s="67">
        <f t="array" ref="D217">SUM($B$7:$B212*$F$1009*EXP(-$F$1009*($A217-$A$7:$A212)))*$F$1010</f>
        <v>220914110.25044167</v>
      </c>
      <c r="E217" s="67">
        <f t="shared" si="25"/>
        <v>421.15324888136428</v>
      </c>
      <c r="F217" s="70">
        <f t="shared" si="29"/>
        <v>25.57242527207644</v>
      </c>
      <c r="G217" s="67">
        <f>E217/'Lookup Tables'!$C$48</f>
        <v>842.30649776272855</v>
      </c>
      <c r="H217" s="70">
        <f t="shared" si="26"/>
        <v>0.10182608740719039</v>
      </c>
      <c r="I217" s="71">
        <f t="shared" si="30"/>
        <v>1.212921356778329</v>
      </c>
      <c r="L217" s="74"/>
      <c r="M217" s="74"/>
      <c r="N217" s="74"/>
      <c r="O217" s="74"/>
      <c r="P217" s="74"/>
      <c r="Q217" s="74"/>
      <c r="R217" s="74"/>
      <c r="S217" s="74"/>
      <c r="T217" s="74"/>
      <c r="U217" s="74"/>
      <c r="V217" s="74"/>
      <c r="W217" s="74"/>
      <c r="X217" s="74"/>
      <c r="Y217" s="74"/>
    </row>
    <row r="218" spans="1:25" x14ac:dyDescent="0.3">
      <c r="A218" s="66">
        <f t="shared" si="28"/>
        <v>2011.0999999999808</v>
      </c>
      <c r="B218" s="67">
        <f>LOOKUP(A218+0.01,Amounts!$A$4:$A$103,Amounts!$B$4:$B$103)*0.1*$A$2</f>
        <v>12704.122921833003</v>
      </c>
      <c r="C218" s="68">
        <f t="shared" si="27"/>
        <v>2186588.5689269141</v>
      </c>
      <c r="D218" s="67">
        <f t="array" ref="D218">SUM($B$7:$B213*$F$1009*EXP(-$F$1009*($A218-$A$7:$A213)))*$F$1010</f>
        <v>221476141.34469283</v>
      </c>
      <c r="E218" s="67">
        <f t="shared" si="25"/>
        <v>422.22471154641488</v>
      </c>
      <c r="F218" s="70">
        <f t="shared" si="29"/>
        <v>25.637484485098309</v>
      </c>
      <c r="G218" s="67">
        <f>E218/'Lookup Tables'!$C$48</f>
        <v>844.44942309282976</v>
      </c>
      <c r="H218" s="70">
        <f t="shared" si="26"/>
        <v>0.10149202805798317</v>
      </c>
      <c r="I218" s="71">
        <f t="shared" si="30"/>
        <v>1.2160071692536747</v>
      </c>
      <c r="L218" s="74"/>
      <c r="M218" s="74"/>
      <c r="N218" s="74"/>
      <c r="O218" s="74"/>
      <c r="P218" s="74"/>
      <c r="Q218" s="74"/>
      <c r="R218" s="74"/>
      <c r="S218" s="74"/>
      <c r="T218" s="74"/>
      <c r="U218" s="74"/>
      <c r="V218" s="74"/>
      <c r="W218" s="74"/>
      <c r="X218" s="74"/>
      <c r="Y218" s="74"/>
    </row>
    <row r="219" spans="1:25" x14ac:dyDescent="0.3">
      <c r="A219" s="66">
        <f t="shared" si="28"/>
        <v>2011.1999999999807</v>
      </c>
      <c r="B219" s="67">
        <f>LOOKUP(A219+0.01,Amounts!$A$4:$A$103,Amounts!$B$4:$B$103)*0.1*$A$2</f>
        <v>12704.122921833003</v>
      </c>
      <c r="C219" s="68">
        <f t="shared" si="27"/>
        <v>2199292.691848747</v>
      </c>
      <c r="D219" s="67">
        <f t="array" ref="D219">SUM($B$7:$B214*$F$1009*EXP(-$F$1009*($A219-$A$7:$A214)))*$F$1010</f>
        <v>222030358.82653329</v>
      </c>
      <c r="E219" s="67">
        <f t="shared" si="25"/>
        <v>423.28127824919068</v>
      </c>
      <c r="F219" s="70">
        <f t="shared" si="29"/>
        <v>25.701639215290857</v>
      </c>
      <c r="G219" s="67">
        <f>E219/'Lookup Tables'!$C$48</f>
        <v>846.56255649838135</v>
      </c>
      <c r="H219" s="70">
        <f t="shared" si="26"/>
        <v>0.10115826814336321</v>
      </c>
      <c r="I219" s="71">
        <f t="shared" si="30"/>
        <v>1.219050081357669</v>
      </c>
      <c r="L219" s="74"/>
      <c r="M219" s="74"/>
      <c r="N219" s="74"/>
      <c r="O219" s="74"/>
      <c r="P219" s="74"/>
      <c r="Q219" s="74"/>
      <c r="R219" s="74"/>
      <c r="S219" s="74"/>
      <c r="T219" s="74"/>
      <c r="U219" s="74"/>
      <c r="V219" s="74"/>
      <c r="W219" s="74"/>
      <c r="X219" s="74"/>
      <c r="Y219" s="74"/>
    </row>
    <row r="220" spans="1:25" x14ac:dyDescent="0.3">
      <c r="A220" s="66">
        <f t="shared" si="28"/>
        <v>2011.2999999999806</v>
      </c>
      <c r="B220" s="67">
        <f>LOOKUP(A220+0.01,Amounts!$A$4:$A$103,Amounts!$B$4:$B$103)*0.1*$A$2</f>
        <v>12704.122921833003</v>
      </c>
      <c r="C220" s="68">
        <f t="shared" si="27"/>
        <v>2211996.8147705798</v>
      </c>
      <c r="D220" s="67">
        <f t="array" ref="D220">SUM($B$7:$B215*$F$1009*EXP(-$F$1009*($A220-$A$7:$A215)))*$F$1010</f>
        <v>222576871.32436374</v>
      </c>
      <c r="E220" s="67">
        <f t="shared" si="25"/>
        <v>424.32315608014784</v>
      </c>
      <c r="F220" s="70">
        <f t="shared" si="29"/>
        <v>25.764902037186577</v>
      </c>
      <c r="G220" s="67">
        <f>E220/'Lookup Tables'!$C$48</f>
        <v>848.64631216029568</v>
      </c>
      <c r="H220" s="70">
        <f t="shared" si="26"/>
        <v>0.1008248517115776</v>
      </c>
      <c r="I220" s="71">
        <f t="shared" si="30"/>
        <v>1.2220506895108258</v>
      </c>
      <c r="L220" s="74"/>
      <c r="M220" s="74"/>
      <c r="N220" s="74"/>
      <c r="O220" s="74"/>
      <c r="P220" s="74"/>
      <c r="Q220" s="74"/>
      <c r="R220" s="74"/>
      <c r="S220" s="74"/>
      <c r="T220" s="74"/>
      <c r="U220" s="74"/>
      <c r="V220" s="74"/>
      <c r="W220" s="74"/>
      <c r="X220" s="74"/>
      <c r="Y220" s="74"/>
    </row>
    <row r="221" spans="1:25" x14ac:dyDescent="0.3">
      <c r="A221" s="66">
        <f t="shared" si="28"/>
        <v>2011.3999999999805</v>
      </c>
      <c r="B221" s="67">
        <f>LOOKUP(A221+0.01,Amounts!$A$4:$A$103,Amounts!$B$4:$B$103)*0.1*$A$2</f>
        <v>12704.122921833003</v>
      </c>
      <c r="C221" s="68">
        <f t="shared" si="27"/>
        <v>2224700.9376924126</v>
      </c>
      <c r="D221" s="67">
        <f t="array" ref="D221">SUM($B$7:$B216*$F$1009*EXP(-$F$1009*($A221-$A$7:$A216)))*$F$1010</f>
        <v>223115785.95638329</v>
      </c>
      <c r="E221" s="67">
        <f t="shared" si="25"/>
        <v>425.35054925067664</v>
      </c>
      <c r="F221" s="70">
        <f t="shared" si="29"/>
        <v>25.827285350501086</v>
      </c>
      <c r="G221" s="67">
        <f>E221/'Lookup Tables'!$C$48</f>
        <v>850.70109850135327</v>
      </c>
      <c r="H221" s="70">
        <f t="shared" si="26"/>
        <v>0.10049182112452799</v>
      </c>
      <c r="I221" s="71">
        <f t="shared" si="30"/>
        <v>1.2250095818419486</v>
      </c>
      <c r="L221" s="74"/>
      <c r="M221" s="74"/>
      <c r="N221" s="74"/>
      <c r="O221" s="74"/>
      <c r="P221" s="74"/>
      <c r="Q221" s="74"/>
      <c r="R221" s="74"/>
      <c r="S221" s="74"/>
      <c r="T221" s="74"/>
      <c r="U221" s="74"/>
      <c r="V221" s="74"/>
      <c r="W221" s="74"/>
      <c r="X221" s="74"/>
      <c r="Y221" s="74"/>
    </row>
    <row r="222" spans="1:25" x14ac:dyDescent="0.3">
      <c r="A222" s="66">
        <f t="shared" si="28"/>
        <v>2011.4999999999804</v>
      </c>
      <c r="B222" s="67">
        <f>LOOKUP(A222+0.01,Amounts!$A$4:$A$103,Amounts!$B$4:$B$103)*0.1*$A$2</f>
        <v>12704.122921833003</v>
      </c>
      <c r="C222" s="68">
        <f t="shared" si="27"/>
        <v>2237405.0606142455</v>
      </c>
      <c r="D222" s="67">
        <f t="array" ref="D222">SUM($B$7:$B217*$F$1009*EXP(-$F$1009*($A222-$A$7:$A217)))*$F$1010</f>
        <v>223719837.10558707</v>
      </c>
      <c r="E222" s="67">
        <f t="shared" si="25"/>
        <v>426.50211944096139</v>
      </c>
      <c r="F222" s="70">
        <f t="shared" si="29"/>
        <v>25.897208692455177</v>
      </c>
      <c r="G222" s="67">
        <f>E222/'Lookup Tables'!$C$48</f>
        <v>853.00423888192279</v>
      </c>
      <c r="H222" s="70">
        <f t="shared" si="26"/>
        <v>0.10019174351765658</v>
      </c>
      <c r="I222" s="71">
        <f t="shared" si="30"/>
        <v>1.2283261039899691</v>
      </c>
      <c r="L222" s="74"/>
      <c r="M222" s="74"/>
      <c r="N222" s="74"/>
      <c r="O222" s="74"/>
      <c r="P222" s="74"/>
      <c r="Q222" s="74"/>
      <c r="R222" s="74"/>
      <c r="S222" s="74"/>
      <c r="T222" s="74"/>
      <c r="U222" s="74"/>
      <c r="V222" s="74"/>
      <c r="W222" s="74"/>
      <c r="X222" s="74"/>
      <c r="Y222" s="74"/>
    </row>
    <row r="223" spans="1:25" x14ac:dyDescent="0.3">
      <c r="A223" s="66">
        <f t="shared" si="28"/>
        <v>2011.5999999999804</v>
      </c>
      <c r="B223" s="67">
        <f>LOOKUP(A223+0.01,Amounts!$A$4:$A$103,Amounts!$B$4:$B$103)*0.1*$A$2</f>
        <v>12704.122921833003</v>
      </c>
      <c r="C223" s="68">
        <f t="shared" si="27"/>
        <v>2250109.1835360783</v>
      </c>
      <c r="D223" s="67">
        <f t="array" ref="D223">SUM($B$7:$B218*$F$1009*EXP(-$F$1009*($A223-$A$7:$A218)))*$F$1010</f>
        <v>224315490.46042615</v>
      </c>
      <c r="E223" s="67">
        <f t="shared" si="25"/>
        <v>427.63767997764768</v>
      </c>
      <c r="F223" s="70">
        <f t="shared" si="29"/>
        <v>25.966159928242764</v>
      </c>
      <c r="G223" s="67">
        <f>E223/'Lookup Tables'!$C$48</f>
        <v>855.27535995529536</v>
      </c>
      <c r="H223" s="70">
        <f t="shared" si="26"/>
        <v>9.9891314715238877E-2</v>
      </c>
      <c r="I223" s="71">
        <f t="shared" si="30"/>
        <v>1.2315965183356252</v>
      </c>
      <c r="L223" s="74"/>
      <c r="M223" s="74"/>
      <c r="N223" s="74"/>
      <c r="O223" s="74"/>
      <c r="P223" s="74"/>
      <c r="Q223" s="74"/>
      <c r="R223" s="74"/>
      <c r="S223" s="74"/>
      <c r="T223" s="74"/>
      <c r="U223" s="74"/>
      <c r="V223" s="74"/>
      <c r="W223" s="74"/>
      <c r="X223" s="74"/>
      <c r="Y223" s="74"/>
    </row>
    <row r="224" spans="1:25" x14ac:dyDescent="0.3">
      <c r="A224" s="66">
        <f t="shared" si="28"/>
        <v>2011.6999999999803</v>
      </c>
      <c r="B224" s="67">
        <f>LOOKUP(A224+0.01,Amounts!$A$4:$A$103,Amounts!$B$4:$B$103)*0.1*$A$2</f>
        <v>12704.122921833003</v>
      </c>
      <c r="C224" s="68">
        <f t="shared" si="27"/>
        <v>2262813.3064579112</v>
      </c>
      <c r="D224" s="67">
        <f t="array" ref="D224">SUM($B$7:$B219*$F$1009*EXP(-$F$1009*($A224-$A$7:$A219)))*$F$1010</f>
        <v>224902862.77086481</v>
      </c>
      <c r="E224" s="67">
        <f t="shared" si="25"/>
        <v>428.75745343423569</v>
      </c>
      <c r="F224" s="70">
        <f t="shared" si="29"/>
        <v>26.034152572526789</v>
      </c>
      <c r="G224" s="67">
        <f>E224/'Lookup Tables'!$C$48</f>
        <v>857.51490686847137</v>
      </c>
      <c r="H224" s="70">
        <f t="shared" si="26"/>
        <v>9.9590592331186625E-2</v>
      </c>
      <c r="I224" s="71">
        <f t="shared" si="30"/>
        <v>1.2348214658905987</v>
      </c>
      <c r="L224" s="74"/>
      <c r="M224" s="74"/>
      <c r="N224" s="74"/>
      <c r="O224" s="74"/>
      <c r="P224" s="74"/>
      <c r="Q224" s="74"/>
      <c r="R224" s="74"/>
      <c r="S224" s="74"/>
      <c r="T224" s="74"/>
      <c r="U224" s="74"/>
      <c r="V224" s="74"/>
      <c r="W224" s="74"/>
      <c r="X224" s="74"/>
      <c r="Y224" s="74"/>
    </row>
    <row r="225" spans="1:25" x14ac:dyDescent="0.3">
      <c r="A225" s="66">
        <f t="shared" si="28"/>
        <v>2011.7999999999802</v>
      </c>
      <c r="B225" s="67">
        <f>LOOKUP(A225+0.01,Amounts!$A$4:$A$103,Amounts!$B$4:$B$103)*0.1*$A$2</f>
        <v>12704.122921833003</v>
      </c>
      <c r="C225" s="68">
        <f t="shared" si="27"/>
        <v>2275517.429379744</v>
      </c>
      <c r="D225" s="67">
        <f t="array" ref="D225">SUM($B$7:$B220*$F$1009*EXP(-$F$1009*($A225-$A$7:$A220)))*$F$1010</f>
        <v>225482069.16375649</v>
      </c>
      <c r="E225" s="67">
        <f t="shared" si="25"/>
        <v>429.861659289908</v>
      </c>
      <c r="F225" s="70">
        <f t="shared" si="29"/>
        <v>26.101199952083213</v>
      </c>
      <c r="G225" s="67">
        <f>E225/'Lookup Tables'!$C$48</f>
        <v>859.72331857981601</v>
      </c>
      <c r="H225" s="70">
        <f t="shared" si="26"/>
        <v>9.9289631978059859E-2</v>
      </c>
      <c r="I225" s="71">
        <f t="shared" si="30"/>
        <v>1.238001578754935</v>
      </c>
      <c r="L225" s="74"/>
      <c r="M225" s="74"/>
      <c r="N225" s="74"/>
      <c r="O225" s="74"/>
      <c r="P225" s="74"/>
      <c r="Q225" s="74"/>
      <c r="R225" s="74"/>
      <c r="S225" s="74"/>
      <c r="T225" s="74"/>
      <c r="U225" s="74"/>
      <c r="V225" s="74"/>
      <c r="W225" s="74"/>
      <c r="X225" s="74"/>
      <c r="Y225" s="74"/>
    </row>
    <row r="226" spans="1:25" x14ac:dyDescent="0.3">
      <c r="A226" s="66">
        <f t="shared" si="28"/>
        <v>2011.8999999999801</v>
      </c>
      <c r="B226" s="67">
        <f>LOOKUP(A226+0.01,Amounts!$A$4:$A$103,Amounts!$B$4:$B$103)*0.1*$A$2</f>
        <v>12704.122921833003</v>
      </c>
      <c r="C226" s="68">
        <f t="shared" si="27"/>
        <v>2288221.5523015768</v>
      </c>
      <c r="D226" s="67">
        <f t="array" ref="D226">SUM($B$7:$B221*$F$1009*EXP(-$F$1009*($A226-$A$7:$A221)))*$F$1010</f>
        <v>226053223.16540828</v>
      </c>
      <c r="E226" s="67">
        <f t="shared" si="25"/>
        <v>430.95051397254707</v>
      </c>
      <c r="F226" s="70">
        <f t="shared" si="29"/>
        <v>26.167315208413058</v>
      </c>
      <c r="G226" s="67">
        <f>E226/'Lookup Tables'!$C$48</f>
        <v>861.90102794509414</v>
      </c>
      <c r="H226" s="70">
        <f t="shared" si="26"/>
        <v>9.8988487332505523E-2</v>
      </c>
      <c r="I226" s="71">
        <f t="shared" si="30"/>
        <v>1.2411374802409354</v>
      </c>
      <c r="L226" s="74"/>
      <c r="M226" s="74"/>
      <c r="N226" s="74"/>
      <c r="O226" s="74"/>
      <c r="P226" s="74"/>
      <c r="Q226" s="74"/>
      <c r="R226" s="74"/>
      <c r="S226" s="74"/>
      <c r="T226" s="74"/>
      <c r="U226" s="74"/>
      <c r="V226" s="74"/>
      <c r="W226" s="74"/>
      <c r="X226" s="74"/>
      <c r="Y226" s="74"/>
    </row>
    <row r="227" spans="1:25" x14ac:dyDescent="0.3">
      <c r="A227" s="66">
        <f t="shared" si="28"/>
        <v>2011.99999999998</v>
      </c>
      <c r="B227" s="67">
        <f>LOOKUP(A227+0.01,Amounts!$A$4:$A$103,Amounts!$B$4:$B$103)*0.1*$A$2</f>
        <v>13531.338765000002</v>
      </c>
      <c r="C227" s="68">
        <f t="shared" si="27"/>
        <v>2301752.8910665768</v>
      </c>
      <c r="D227" s="67">
        <f t="array" ref="D227">SUM($B$7:$B222*$F$1009*EXP(-$F$1009*($A227-$A$7:$A222)))*$F$1010</f>
        <v>226616436.72383299</v>
      </c>
      <c r="E227" s="67">
        <f t="shared" si="25"/>
        <v>432.02423090115661</v>
      </c>
      <c r="F227" s="70">
        <f t="shared" si="29"/>
        <v>26.23251130031823</v>
      </c>
      <c r="G227" s="67">
        <f>E227/'Lookup Tables'!$C$48</f>
        <v>864.04846180231323</v>
      </c>
      <c r="H227" s="70">
        <f t="shared" si="26"/>
        <v>9.8651743479044027E-2</v>
      </c>
      <c r="I227" s="71">
        <f t="shared" si="30"/>
        <v>1.244229784995331</v>
      </c>
      <c r="L227" s="74"/>
      <c r="M227" s="74"/>
      <c r="N227" s="74"/>
      <c r="O227" s="74"/>
      <c r="P227" s="74"/>
      <c r="Q227" s="74"/>
      <c r="R227" s="74"/>
      <c r="S227" s="74"/>
      <c r="T227" s="74"/>
      <c r="U227" s="74"/>
      <c r="V227" s="74"/>
      <c r="W227" s="74"/>
      <c r="X227" s="74"/>
      <c r="Y227" s="74"/>
    </row>
    <row r="228" spans="1:25" x14ac:dyDescent="0.3">
      <c r="A228" s="66">
        <f t="shared" si="28"/>
        <v>2012.0999999999799</v>
      </c>
      <c r="B228" s="67">
        <f>LOOKUP(A228+0.01,Amounts!$A$4:$A$103,Amounts!$B$4:$B$103)*0.1*$A$2</f>
        <v>13531.338765000002</v>
      </c>
      <c r="C228" s="68">
        <f t="shared" si="27"/>
        <v>2315284.2298315768</v>
      </c>
      <c r="D228" s="67">
        <f t="array" ref="D228">SUM($B$7:$B223*$F$1009*EXP(-$F$1009*($A228-$A$7:$A223)))*$F$1010</f>
        <v>227171820.23069116</v>
      </c>
      <c r="E228" s="67">
        <f t="shared" si="25"/>
        <v>433.08302052769193</v>
      </c>
      <c r="F228" s="70">
        <f t="shared" si="29"/>
        <v>26.296801006441456</v>
      </c>
      <c r="G228" s="67">
        <f>E228/'Lookup Tables'!$C$48</f>
        <v>866.16604105538386</v>
      </c>
      <c r="H228" s="70">
        <f t="shared" si="26"/>
        <v>9.8315547031525161E-2</v>
      </c>
      <c r="I228" s="71">
        <f t="shared" si="30"/>
        <v>1.2472790991197529</v>
      </c>
      <c r="L228" s="74"/>
      <c r="M228" s="74"/>
      <c r="N228" s="74"/>
      <c r="O228" s="74"/>
      <c r="P228" s="74"/>
      <c r="Q228" s="74"/>
      <c r="R228" s="74"/>
      <c r="S228" s="74"/>
      <c r="T228" s="74"/>
      <c r="U228" s="74"/>
      <c r="V228" s="74"/>
      <c r="W228" s="74"/>
      <c r="X228" s="74"/>
      <c r="Y228" s="74"/>
    </row>
    <row r="229" spans="1:25" x14ac:dyDescent="0.3">
      <c r="A229" s="66">
        <f t="shared" si="28"/>
        <v>2012.1999999999798</v>
      </c>
      <c r="B229" s="67">
        <f>LOOKUP(A229+0.01,Amounts!$A$4:$A$103,Amounts!$B$4:$B$103)*0.1*$A$2</f>
        <v>13531.338765000002</v>
      </c>
      <c r="C229" s="68">
        <f t="shared" si="27"/>
        <v>2328815.5685965768</v>
      </c>
      <c r="D229" s="67">
        <f t="array" ref="D229">SUM($B$7:$B224*$F$1009*EXP(-$F$1009*($A229-$A$7:$A224)))*$F$1010</f>
        <v>227719482.54292819</v>
      </c>
      <c r="E229" s="67">
        <f t="shared" si="25"/>
        <v>434.1270903783095</v>
      </c>
      <c r="F229" s="70">
        <f t="shared" si="29"/>
        <v>26.360196927770954</v>
      </c>
      <c r="G229" s="67">
        <f>E229/'Lookup Tables'!$C$48</f>
        <v>868.25418075661901</v>
      </c>
      <c r="H229" s="70">
        <f t="shared" si="26"/>
        <v>9.7979935285449335E-2</v>
      </c>
      <c r="I229" s="71">
        <f t="shared" si="30"/>
        <v>1.2502860202895314</v>
      </c>
      <c r="L229" s="74"/>
      <c r="M229" s="74"/>
      <c r="N229" s="74"/>
      <c r="O229" s="74"/>
      <c r="P229" s="74"/>
      <c r="Q229" s="74"/>
      <c r="R229" s="74"/>
      <c r="S229" s="74"/>
      <c r="T229" s="74"/>
      <c r="U229" s="74"/>
      <c r="V229" s="74"/>
      <c r="W229" s="74"/>
      <c r="X229" s="74"/>
      <c r="Y229" s="74"/>
    </row>
    <row r="230" spans="1:25" x14ac:dyDescent="0.3">
      <c r="A230" s="66">
        <f t="shared" si="28"/>
        <v>2012.2999999999797</v>
      </c>
      <c r="B230" s="67">
        <f>LOOKUP(A230+0.01,Amounts!$A$4:$A$103,Amounts!$B$4:$B$103)*0.1*$A$2</f>
        <v>13531.338765000002</v>
      </c>
      <c r="C230" s="68">
        <f t="shared" si="27"/>
        <v>2342346.9073615768</v>
      </c>
      <c r="D230" s="67">
        <f t="array" ref="D230">SUM($B$7:$B225*$F$1009*EXP(-$F$1009*($A230-$A$7:$A225)))*$F$1010</f>
        <v>228259531.00411037</v>
      </c>
      <c r="E230" s="67">
        <f t="shared" si="25"/>
        <v>435.15664509404235</v>
      </c>
      <c r="F230" s="70">
        <f t="shared" si="29"/>
        <v>26.422711490110249</v>
      </c>
      <c r="G230" s="67">
        <f>E230/'Lookup Tables'!$C$48</f>
        <v>870.31329018808469</v>
      </c>
      <c r="H230" s="70">
        <f t="shared" si="26"/>
        <v>9.7644944027124203E-2</v>
      </c>
      <c r="I230" s="71">
        <f t="shared" si="30"/>
        <v>1.253251137870842</v>
      </c>
      <c r="L230" s="74"/>
      <c r="M230" s="74"/>
      <c r="N230" s="74"/>
      <c r="O230" s="74"/>
      <c r="P230" s="74"/>
      <c r="Q230" s="74"/>
      <c r="R230" s="74"/>
      <c r="S230" s="74"/>
      <c r="T230" s="74"/>
      <c r="U230" s="74"/>
      <c r="V230" s="74"/>
      <c r="W230" s="74"/>
      <c r="X230" s="74"/>
      <c r="Y230" s="74"/>
    </row>
    <row r="231" spans="1:25" x14ac:dyDescent="0.3">
      <c r="A231" s="66">
        <f t="shared" si="28"/>
        <v>2012.3999999999796</v>
      </c>
      <c r="B231" s="67">
        <f>LOOKUP(A231+0.01,Amounts!$A$4:$A$103,Amounts!$B$4:$B$103)*0.1*$A$2</f>
        <v>13531.338765000002</v>
      </c>
      <c r="C231" s="68">
        <f t="shared" si="27"/>
        <v>2355878.2461265768</v>
      </c>
      <c r="D231" s="67">
        <f t="array" ref="D231">SUM($B$7:$B226*$F$1009*EXP(-$F$1009*($A231-$A$7:$A226)))*$F$1010</f>
        <v>228792071.46546507</v>
      </c>
      <c r="E231" s="67">
        <f t="shared" si="25"/>
        <v>436.17188647091069</v>
      </c>
      <c r="F231" s="70">
        <f t="shared" si="29"/>
        <v>26.484356946513696</v>
      </c>
      <c r="G231" s="67">
        <f>E231/'Lookup Tables'!$C$48</f>
        <v>872.34377294182138</v>
      </c>
      <c r="H231" s="70">
        <f t="shared" si="26"/>
        <v>9.731060758595475E-2</v>
      </c>
      <c r="I231" s="71">
        <f t="shared" si="30"/>
        <v>1.2561750330362227</v>
      </c>
      <c r="L231" s="74"/>
      <c r="M231" s="74"/>
      <c r="N231" s="74"/>
      <c r="O231" s="74"/>
      <c r="P231" s="74"/>
      <c r="Q231" s="74"/>
      <c r="R231" s="74"/>
      <c r="S231" s="74"/>
      <c r="T231" s="74"/>
      <c r="U231" s="74"/>
      <c r="V231" s="74"/>
      <c r="W231" s="74"/>
      <c r="X231" s="74"/>
      <c r="Y231" s="74"/>
    </row>
    <row r="232" spans="1:25" x14ac:dyDescent="0.3">
      <c r="A232" s="66">
        <f t="shared" si="28"/>
        <v>2012.4999999999795</v>
      </c>
      <c r="B232" s="67">
        <f>LOOKUP(A232+0.01,Amounts!$A$4:$A$103,Amounts!$B$4:$B$103)*0.1*$A$2</f>
        <v>13531.338765000002</v>
      </c>
      <c r="C232" s="68">
        <f t="shared" si="27"/>
        <v>2369409.5848915768</v>
      </c>
      <c r="D232" s="67">
        <f t="array" ref="D232">SUM($B$7:$B227*$F$1009*EXP(-$F$1009*($A232-$A$7:$A227)))*$F$1010</f>
        <v>229558514.71032259</v>
      </c>
      <c r="E232" s="67">
        <f t="shared" si="25"/>
        <v>437.63304285557524</v>
      </c>
      <c r="F232" s="70">
        <f t="shared" si="29"/>
        <v>26.573078362190525</v>
      </c>
      <c r="G232" s="67">
        <f>E232/'Lookup Tables'!$C$48</f>
        <v>875.26608571115048</v>
      </c>
      <c r="H232" s="70">
        <f t="shared" si="26"/>
        <v>9.7079006007066496E-2</v>
      </c>
      <c r="I232" s="71">
        <f t="shared" si="30"/>
        <v>1.2603831634240565</v>
      </c>
      <c r="L232" s="74"/>
      <c r="M232" s="74"/>
      <c r="N232" s="74"/>
      <c r="O232" s="74"/>
      <c r="P232" s="74"/>
      <c r="Q232" s="74"/>
      <c r="R232" s="74"/>
      <c r="S232" s="74"/>
      <c r="T232" s="74"/>
      <c r="U232" s="74"/>
      <c r="V232" s="74"/>
      <c r="W232" s="74"/>
      <c r="X232" s="74"/>
      <c r="Y232" s="74"/>
    </row>
    <row r="233" spans="1:25" x14ac:dyDescent="0.3">
      <c r="A233" s="66">
        <f t="shared" si="28"/>
        <v>2012.5999999999794</v>
      </c>
      <c r="B233" s="67">
        <f>LOOKUP(A233+0.01,Amounts!$A$4:$A$103,Amounts!$B$4:$B$103)*0.1*$A$2</f>
        <v>13531.338765000002</v>
      </c>
      <c r="C233" s="68">
        <f t="shared" si="27"/>
        <v>2382940.9236565768</v>
      </c>
      <c r="D233" s="67">
        <f t="array" ref="D233">SUM($B$7:$B228*$F$1009*EXP(-$F$1009*($A233-$A$7:$A228)))*$F$1010</f>
        <v>230314302.51189336</v>
      </c>
      <c r="E233" s="67">
        <f t="shared" si="25"/>
        <v>439.07388557827676</v>
      </c>
      <c r="F233" s="70">
        <f t="shared" si="29"/>
        <v>26.660566332312964</v>
      </c>
      <c r="G233" s="67">
        <f>E233/'Lookup Tables'!$C$48</f>
        <v>878.14777115655352</v>
      </c>
      <c r="H233" s="70">
        <f t="shared" si="26"/>
        <v>9.684555415071687E-2</v>
      </c>
      <c r="I233" s="71">
        <f t="shared" si="30"/>
        <v>1.2645327904654371</v>
      </c>
      <c r="L233" s="74"/>
      <c r="M233" s="74"/>
      <c r="N233" s="74"/>
      <c r="O233" s="74"/>
      <c r="P233" s="74"/>
      <c r="Q233" s="74"/>
      <c r="R233" s="74"/>
      <c r="S233" s="74"/>
      <c r="T233" s="74"/>
      <c r="U233" s="74"/>
      <c r="V233" s="74"/>
      <c r="W233" s="74"/>
      <c r="X233" s="74"/>
      <c r="Y233" s="74"/>
    </row>
    <row r="234" spans="1:25" x14ac:dyDescent="0.3">
      <c r="A234" s="66">
        <f t="shared" si="28"/>
        <v>2012.6999999999794</v>
      </c>
      <c r="B234" s="67">
        <f>LOOKUP(A234+0.01,Amounts!$A$4:$A$103,Amounts!$B$4:$B$103)*0.1*$A$2</f>
        <v>13531.338765000002</v>
      </c>
      <c r="C234" s="68">
        <f t="shared" si="27"/>
        <v>2396472.2624215768</v>
      </c>
      <c r="D234" s="67">
        <f t="array" ref="D234">SUM($B$7:$B229*$F$1009*EXP(-$F$1009*($A234-$A$7:$A229)))*$F$1010</f>
        <v>231059583.00700614</v>
      </c>
      <c r="E234" s="67">
        <f t="shared" si="25"/>
        <v>440.49469704880181</v>
      </c>
      <c r="F234" s="70">
        <f t="shared" si="29"/>
        <v>26.746838004803248</v>
      </c>
      <c r="G234" s="67">
        <f>E234/'Lookup Tables'!$C$48</f>
        <v>880.98939409760362</v>
      </c>
      <c r="H234" s="70">
        <f t="shared" si="26"/>
        <v>9.6610345297675523E-2</v>
      </c>
      <c r="I234" s="71">
        <f t="shared" si="30"/>
        <v>1.2686247275005493</v>
      </c>
      <c r="L234" s="74"/>
      <c r="M234" s="74"/>
      <c r="N234" s="74"/>
      <c r="O234" s="74"/>
      <c r="P234" s="74"/>
      <c r="Q234" s="74"/>
      <c r="R234" s="74"/>
      <c r="S234" s="74"/>
      <c r="T234" s="74"/>
      <c r="U234" s="74"/>
      <c r="V234" s="74"/>
      <c r="W234" s="74"/>
      <c r="X234" s="74"/>
      <c r="Y234" s="74"/>
    </row>
    <row r="235" spans="1:25" x14ac:dyDescent="0.3">
      <c r="A235" s="66">
        <f t="shared" si="28"/>
        <v>2012.7999999999793</v>
      </c>
      <c r="B235" s="67">
        <f>LOOKUP(A235+0.01,Amounts!$A$4:$A$103,Amounts!$B$4:$B$103)*0.1*$A$2</f>
        <v>13531.338765000002</v>
      </c>
      <c r="C235" s="68">
        <f t="shared" si="27"/>
        <v>2410003.6011865768</v>
      </c>
      <c r="D235" s="67">
        <f t="array" ref="D235">SUM($B$7:$B230*$F$1009*EXP(-$F$1009*($A235-$A$7:$A230)))*$F$1010</f>
        <v>231794502.27302387</v>
      </c>
      <c r="E235" s="67">
        <f t="shared" si="25"/>
        <v>441.89575575074713</v>
      </c>
      <c r="F235" s="70">
        <f t="shared" si="29"/>
        <v>26.831910289185362</v>
      </c>
      <c r="G235" s="67">
        <f>E235/'Lookup Tables'!$C$48</f>
        <v>883.79151150149426</v>
      </c>
      <c r="H235" s="70">
        <f t="shared" si="26"/>
        <v>9.6373469777488369E-2</v>
      </c>
      <c r="I235" s="71">
        <f t="shared" si="30"/>
        <v>1.2726597765621517</v>
      </c>
      <c r="L235" s="74"/>
      <c r="M235" s="74"/>
      <c r="N235" s="74"/>
      <c r="O235" s="74"/>
      <c r="P235" s="74"/>
      <c r="Q235" s="74"/>
      <c r="R235" s="74"/>
      <c r="S235" s="74"/>
      <c r="T235" s="74"/>
      <c r="U235" s="74"/>
      <c r="V235" s="74"/>
      <c r="W235" s="74"/>
      <c r="X235" s="74"/>
      <c r="Y235" s="74"/>
    </row>
    <row r="236" spans="1:25" x14ac:dyDescent="0.3">
      <c r="A236" s="66">
        <f t="shared" si="28"/>
        <v>2012.8999999999792</v>
      </c>
      <c r="B236" s="67">
        <f>LOOKUP(A236+0.01,Amounts!$A$4:$A$103,Amounts!$B$4:$B$103)*0.1*$A$2</f>
        <v>13531.338765000002</v>
      </c>
      <c r="C236" s="68">
        <f t="shared" si="27"/>
        <v>2423534.9399515768</v>
      </c>
      <c r="D236" s="67">
        <f t="array" ref="D236">SUM($B$7:$B231*$F$1009*EXP(-$F$1009*($A236-$A$7:$A231)))*$F$1010</f>
        <v>232519204.35647538</v>
      </c>
      <c r="E236" s="67">
        <f t="shared" si="25"/>
        <v>443.27733629610333</v>
      </c>
      <c r="F236" s="70">
        <f t="shared" si="29"/>
        <v>26.915799859899394</v>
      </c>
      <c r="G236" s="67">
        <f>E236/'Lookup Tables'!$C$48</f>
        <v>886.55467259220666</v>
      </c>
      <c r="H236" s="70">
        <f t="shared" si="26"/>
        <v>9.6135015062703028E-2</v>
      </c>
      <c r="I236" s="71">
        <f t="shared" si="30"/>
        <v>1.2766387285327776</v>
      </c>
      <c r="L236" s="74"/>
      <c r="M236" s="74"/>
      <c r="N236" s="74"/>
      <c r="O236" s="74"/>
      <c r="P236" s="74"/>
      <c r="Q236" s="74"/>
      <c r="R236" s="74"/>
      <c r="S236" s="74"/>
      <c r="T236" s="74"/>
      <c r="U236" s="74"/>
      <c r="V236" s="74"/>
      <c r="W236" s="74"/>
      <c r="X236" s="74"/>
      <c r="Y236" s="74"/>
    </row>
    <row r="237" spans="1:25" x14ac:dyDescent="0.3">
      <c r="A237" s="66">
        <f t="shared" si="28"/>
        <v>2012.9999999999791</v>
      </c>
      <c r="B237" s="67">
        <f>LOOKUP(A237+0.01,Amounts!$A$4:$A$103,Amounts!$B$4:$B$103)*0.1*$A$2</f>
        <v>13801.965540300003</v>
      </c>
      <c r="C237" s="68">
        <f t="shared" si="27"/>
        <v>2437336.9054918769</v>
      </c>
      <c r="D237" s="67">
        <f t="array" ref="D237">SUM($B$7:$B232*$F$1009*EXP(-$F$1009*($A237-$A$7:$A232)))*$F$1010</f>
        <v>233233831.30128923</v>
      </c>
      <c r="E237" s="67">
        <f t="shared" si="25"/>
        <v>444.63970947908075</v>
      </c>
      <c r="F237" s="70">
        <f t="shared" si="29"/>
        <v>26.998523159569782</v>
      </c>
      <c r="G237" s="67">
        <f>E237/'Lookup Tables'!$C$48</f>
        <v>889.2794189581615</v>
      </c>
      <c r="H237" s="70">
        <f t="shared" si="26"/>
        <v>9.5884418266354313E-2</v>
      </c>
      <c r="I237" s="71">
        <f t="shared" si="30"/>
        <v>1.2805623632997525</v>
      </c>
      <c r="L237" s="74"/>
      <c r="M237" s="74"/>
      <c r="N237" s="74"/>
      <c r="O237" s="74"/>
      <c r="P237" s="74"/>
      <c r="Q237" s="74"/>
      <c r="R237" s="74"/>
      <c r="S237" s="74"/>
      <c r="T237" s="74"/>
      <c r="U237" s="74"/>
      <c r="V237" s="74"/>
      <c r="W237" s="74"/>
      <c r="X237" s="74"/>
      <c r="Y237" s="74"/>
    </row>
    <row r="238" spans="1:25" x14ac:dyDescent="0.3">
      <c r="A238" s="66">
        <f t="shared" si="28"/>
        <v>2013.099999999979</v>
      </c>
      <c r="B238" s="67">
        <f>LOOKUP(A238+0.01,Amounts!$A$4:$A$103,Amounts!$B$4:$B$103)*0.1*$A$2</f>
        <v>13801.965540300003</v>
      </c>
      <c r="C238" s="68">
        <f t="shared" si="27"/>
        <v>2451138.871032177</v>
      </c>
      <c r="D238" s="67">
        <f t="array" ref="D238">SUM($B$7:$B233*$F$1009*EXP(-$F$1009*($A238-$A$7:$A233)))*$F$1010</f>
        <v>233938523.17663422</v>
      </c>
      <c r="E238" s="67">
        <f t="shared" si="25"/>
        <v>445.98314232918432</v>
      </c>
      <c r="F238" s="70">
        <f t="shared" si="29"/>
        <v>27.080096402228072</v>
      </c>
      <c r="G238" s="67">
        <f>E238/'Lookup Tables'!$C$48</f>
        <v>891.96628465836864</v>
      </c>
      <c r="H238" s="70">
        <f t="shared" si="26"/>
        <v>9.5632582216571643E-2</v>
      </c>
      <c r="I238" s="71">
        <f t="shared" si="30"/>
        <v>1.2844314499080507</v>
      </c>
      <c r="L238" s="74"/>
      <c r="M238" s="74"/>
      <c r="N238" s="74"/>
      <c r="O238" s="74"/>
      <c r="P238" s="74"/>
      <c r="Q238" s="74"/>
      <c r="R238" s="74"/>
      <c r="S238" s="74"/>
      <c r="T238" s="74"/>
      <c r="U238" s="74"/>
      <c r="V238" s="74"/>
      <c r="W238" s="74"/>
      <c r="X238" s="74"/>
      <c r="Y238" s="74"/>
    </row>
    <row r="239" spans="1:25" x14ac:dyDescent="0.3">
      <c r="A239" s="66">
        <f t="shared" si="28"/>
        <v>2013.1999999999789</v>
      </c>
      <c r="B239" s="67">
        <f>LOOKUP(A239+0.01,Amounts!$A$4:$A$103,Amounts!$B$4:$B$103)*0.1*$A$2</f>
        <v>13801.965540300003</v>
      </c>
      <c r="C239" s="68">
        <f t="shared" si="27"/>
        <v>2464940.8365724771</v>
      </c>
      <c r="D239" s="67">
        <f t="array" ref="D239">SUM($B$7:$B234*$F$1009*EXP(-$F$1009*($A239-$A$7:$A234)))*$F$1010</f>
        <v>234633418.10437393</v>
      </c>
      <c r="E239" s="67">
        <f t="shared" si="25"/>
        <v>447.30789816355355</v>
      </c>
      <c r="F239" s="70">
        <f t="shared" si="29"/>
        <v>27.160535576490972</v>
      </c>
      <c r="G239" s="67">
        <f>E239/'Lookup Tables'!$C$48</f>
        <v>894.61579632710709</v>
      </c>
      <c r="H239" s="70">
        <f t="shared" si="26"/>
        <v>9.5379583877428661E-2</v>
      </c>
      <c r="I239" s="71">
        <f t="shared" si="30"/>
        <v>1.2882467467110343</v>
      </c>
      <c r="L239" s="74"/>
      <c r="M239" s="74"/>
      <c r="N239" s="74"/>
      <c r="O239" s="74"/>
      <c r="P239" s="74"/>
      <c r="Q239" s="74"/>
      <c r="R239" s="74"/>
      <c r="S239" s="74"/>
      <c r="T239" s="74"/>
      <c r="U239" s="74"/>
      <c r="V239" s="74"/>
      <c r="W239" s="74"/>
      <c r="X239" s="74"/>
      <c r="Y239" s="74"/>
    </row>
    <row r="240" spans="1:25" x14ac:dyDescent="0.3">
      <c r="A240" s="66">
        <f t="shared" si="28"/>
        <v>2013.2999999999788</v>
      </c>
      <c r="B240" s="67">
        <f>LOOKUP(A240+0.01,Amounts!$A$4:$A$103,Amounts!$B$4:$B$103)*0.1*$A$2</f>
        <v>13801.965540300003</v>
      </c>
      <c r="C240" s="68">
        <f t="shared" si="27"/>
        <v>2478742.8021127773</v>
      </c>
      <c r="D240" s="67">
        <f t="array" ref="D240">SUM($B$7:$B235*$F$1009*EXP(-$F$1009*($A240-$A$7:$A235)))*$F$1010</f>
        <v>235318652.28613871</v>
      </c>
      <c r="E240" s="67">
        <f t="shared" si="25"/>
        <v>448.61423663857283</v>
      </c>
      <c r="F240" s="70">
        <f t="shared" si="29"/>
        <v>27.239856448694145</v>
      </c>
      <c r="G240" s="67">
        <f>E240/'Lookup Tables'!$C$48</f>
        <v>897.22847327714567</v>
      </c>
      <c r="H240" s="70">
        <f t="shared" si="26"/>
        <v>9.5125497722577307E-2</v>
      </c>
      <c r="I240" s="71">
        <f t="shared" si="30"/>
        <v>1.2920090015190897</v>
      </c>
      <c r="L240" s="74"/>
      <c r="M240" s="74"/>
      <c r="N240" s="74"/>
      <c r="O240" s="74"/>
      <c r="P240" s="74"/>
      <c r="Q240" s="74"/>
      <c r="R240" s="74"/>
      <c r="S240" s="74"/>
      <c r="T240" s="74"/>
      <c r="U240" s="74"/>
      <c r="V240" s="74"/>
      <c r="W240" s="74"/>
      <c r="X240" s="74"/>
      <c r="Y240" s="74"/>
    </row>
    <row r="241" spans="1:25" x14ac:dyDescent="0.3">
      <c r="A241" s="66">
        <f t="shared" si="28"/>
        <v>2013.3999999999787</v>
      </c>
      <c r="B241" s="67">
        <f>LOOKUP(A241+0.01,Amounts!$A$4:$A$103,Amounts!$B$4:$B$103)*0.1*$A$2</f>
        <v>13801.965540300003</v>
      </c>
      <c r="C241" s="68">
        <f t="shared" si="27"/>
        <v>2492544.7676530774</v>
      </c>
      <c r="D241" s="67">
        <f t="array" ref="D241">SUM($B$7:$B236*$F$1009*EXP(-$F$1009*($A241-$A$7:$A236)))*$F$1010</f>
        <v>235994360.03002191</v>
      </c>
      <c r="E241" s="67">
        <f t="shared" si="25"/>
        <v>449.90241380076532</v>
      </c>
      <c r="F241" s="70">
        <f t="shared" si="29"/>
        <v>27.318074565982467</v>
      </c>
      <c r="G241" s="67">
        <f>E241/'Lookup Tables'!$C$48</f>
        <v>899.80482760153063</v>
      </c>
      <c r="H241" s="70">
        <f t="shared" si="26"/>
        <v>9.4870395814930827E-2</v>
      </c>
      <c r="I241" s="71">
        <f t="shared" si="30"/>
        <v>1.2957189517462042</v>
      </c>
      <c r="L241" s="74"/>
      <c r="M241" s="74"/>
      <c r="N241" s="74"/>
      <c r="O241" s="74"/>
      <c r="P241" s="74"/>
      <c r="Q241" s="74"/>
      <c r="R241" s="74"/>
      <c r="S241" s="74"/>
      <c r="T241" s="74"/>
      <c r="U241" s="74"/>
      <c r="V241" s="74"/>
      <c r="W241" s="74"/>
      <c r="X241" s="74"/>
      <c r="Y241" s="74"/>
    </row>
    <row r="242" spans="1:25" x14ac:dyDescent="0.3">
      <c r="A242" s="66">
        <f t="shared" si="28"/>
        <v>2013.4999999999786</v>
      </c>
      <c r="B242" s="67">
        <f>LOOKUP(A242+0.01,Amounts!$A$4:$A$103,Amounts!$B$4:$B$103)*0.1*$A$2</f>
        <v>13801.965540300003</v>
      </c>
      <c r="C242" s="68">
        <f t="shared" si="27"/>
        <v>2506346.7331933775</v>
      </c>
      <c r="D242" s="67">
        <f t="array" ref="D242">SUM($B$7:$B237*$F$1009*EXP(-$F$1009*($A242-$A$7:$A237)))*$F$1010</f>
        <v>236739618.0747329</v>
      </c>
      <c r="E242" s="67">
        <f t="shared" si="25"/>
        <v>451.32318247158128</v>
      </c>
      <c r="F242" s="70">
        <f t="shared" si="29"/>
        <v>27.404343639674416</v>
      </c>
      <c r="G242" s="67">
        <f>E242/'Lookup Tables'!$C$48</f>
        <v>902.64636494316255</v>
      </c>
      <c r="H242" s="70">
        <f t="shared" si="26"/>
        <v>9.4645908950044988E-2</v>
      </c>
      <c r="I242" s="71">
        <f t="shared" si="30"/>
        <v>1.2998107655181541</v>
      </c>
      <c r="L242" s="74"/>
      <c r="M242" s="74"/>
      <c r="N242" s="74"/>
      <c r="O242" s="74"/>
      <c r="P242" s="74"/>
      <c r="Q242" s="74"/>
      <c r="R242" s="74"/>
      <c r="S242" s="74"/>
      <c r="T242" s="74"/>
      <c r="U242" s="74"/>
      <c r="V242" s="74"/>
      <c r="W242" s="74"/>
      <c r="X242" s="74"/>
      <c r="Y242" s="74"/>
    </row>
    <row r="243" spans="1:25" x14ac:dyDescent="0.3">
      <c r="A243" s="66">
        <f t="shared" si="28"/>
        <v>2013.5999999999785</v>
      </c>
      <c r="B243" s="67">
        <f>LOOKUP(A243+0.01,Amounts!$A$4:$A$103,Amounts!$B$4:$B$103)*0.1*$A$2</f>
        <v>13801.965540300003</v>
      </c>
      <c r="C243" s="68">
        <f t="shared" si="27"/>
        <v>2520148.6987336776</v>
      </c>
      <c r="D243" s="67">
        <f t="array" ref="D243">SUM($B$7:$B238*$F$1009*EXP(-$F$1009*($A243-$A$7:$A238)))*$F$1010</f>
        <v>237474515.20246443</v>
      </c>
      <c r="E243" s="67">
        <f t="shared" si="25"/>
        <v>452.72419896883827</v>
      </c>
      <c r="F243" s="70">
        <f t="shared" si="29"/>
        <v>27.489413361387861</v>
      </c>
      <c r="G243" s="67">
        <f>E243/'Lookup Tables'!$C$48</f>
        <v>905.44839793767653</v>
      </c>
      <c r="H243" s="70">
        <f t="shared" si="26"/>
        <v>9.4419761459943713E-2</v>
      </c>
      <c r="I243" s="71">
        <f t="shared" si="30"/>
        <v>1.3038456930302542</v>
      </c>
      <c r="L243" s="74"/>
      <c r="M243" s="74"/>
      <c r="N243" s="74"/>
      <c r="O243" s="74"/>
      <c r="P243" s="74"/>
      <c r="Q243" s="74"/>
      <c r="R243" s="74"/>
      <c r="S243" s="74"/>
      <c r="T243" s="74"/>
      <c r="U243" s="74"/>
      <c r="V243" s="74"/>
      <c r="W243" s="74"/>
      <c r="X243" s="74"/>
      <c r="Y243" s="74"/>
    </row>
    <row r="244" spans="1:25" x14ac:dyDescent="0.3">
      <c r="A244" s="66">
        <f t="shared" si="28"/>
        <v>2013.6999999999784</v>
      </c>
      <c r="B244" s="67">
        <f>LOOKUP(A244+0.01,Amounts!$A$4:$A$103,Amounts!$B$4:$B$103)*0.1*$A$2</f>
        <v>13801.965540300003</v>
      </c>
      <c r="C244" s="68">
        <f t="shared" si="27"/>
        <v>2533950.6642739777</v>
      </c>
      <c r="D244" s="67">
        <f t="array" ref="D244">SUM($B$7:$B239*$F$1009*EXP(-$F$1009*($A244-$A$7:$A239)))*$F$1010</f>
        <v>238199195.45540646</v>
      </c>
      <c r="E244" s="67">
        <f t="shared" si="25"/>
        <v>454.10573789625539</v>
      </c>
      <c r="F244" s="70">
        <f t="shared" si="29"/>
        <v>27.573300405060632</v>
      </c>
      <c r="G244" s="67">
        <f>E244/'Lookup Tables'!$C$48</f>
        <v>908.21147579251078</v>
      </c>
      <c r="H244" s="70">
        <f t="shared" si="26"/>
        <v>9.4192037439157231E-2</v>
      </c>
      <c r="I244" s="71">
        <f t="shared" si="30"/>
        <v>1.3078245251412157</v>
      </c>
      <c r="L244" s="74"/>
      <c r="M244" s="74"/>
      <c r="N244" s="74"/>
      <c r="O244" s="74"/>
      <c r="P244" s="74"/>
      <c r="Q244" s="74"/>
      <c r="R244" s="74"/>
      <c r="S244" s="74"/>
      <c r="T244" s="74"/>
      <c r="U244" s="74"/>
      <c r="V244" s="74"/>
      <c r="W244" s="74"/>
      <c r="X244" s="74"/>
      <c r="Y244" s="74"/>
    </row>
    <row r="245" spans="1:25" x14ac:dyDescent="0.3">
      <c r="A245" s="66">
        <f t="shared" si="28"/>
        <v>2013.7999999999784</v>
      </c>
      <c r="B245" s="67">
        <f>LOOKUP(A245+0.01,Amounts!$A$4:$A$103,Amounts!$B$4:$B$103)*0.1*$A$2</f>
        <v>13801.965540300003</v>
      </c>
      <c r="C245" s="68">
        <f t="shared" si="27"/>
        <v>2547752.6298142779</v>
      </c>
      <c r="D245" s="67">
        <f t="array" ref="D245">SUM($B$7:$B240*$F$1009*EXP(-$F$1009*($A245-$A$7:$A240)))*$F$1010</f>
        <v>238913800.87320834</v>
      </c>
      <c r="E245" s="67">
        <f t="shared" si="25"/>
        <v>455.46807003988488</v>
      </c>
      <c r="F245" s="70">
        <f t="shared" si="29"/>
        <v>27.656021212821813</v>
      </c>
      <c r="G245" s="67">
        <f>E245/'Lookup Tables'!$C$48</f>
        <v>910.93614007976976</v>
      </c>
      <c r="H245" s="70">
        <f t="shared" si="26"/>
        <v>9.3962818372368626E-2</v>
      </c>
      <c r="I245" s="71">
        <f t="shared" si="30"/>
        <v>1.3117480417148686</v>
      </c>
      <c r="L245" s="74"/>
      <c r="M245" s="74"/>
      <c r="N245" s="74"/>
      <c r="O245" s="74"/>
      <c r="P245" s="74"/>
      <c r="Q245" s="74"/>
      <c r="R245" s="74"/>
      <c r="S245" s="74"/>
      <c r="T245" s="74"/>
      <c r="U245" s="74"/>
      <c r="V245" s="74"/>
      <c r="W245" s="74"/>
      <c r="X245" s="74"/>
      <c r="Y245" s="74"/>
    </row>
    <row r="246" spans="1:25" x14ac:dyDescent="0.3">
      <c r="A246" s="66">
        <f t="shared" si="28"/>
        <v>2013.8999999999783</v>
      </c>
      <c r="B246" s="67">
        <f>LOOKUP(A246+0.01,Amounts!$A$4:$A$103,Amounts!$B$4:$B$103)*0.1*$A$2</f>
        <v>13801.965540300003</v>
      </c>
      <c r="C246" s="68">
        <f t="shared" si="27"/>
        <v>2561554.595354578</v>
      </c>
      <c r="D246" s="67">
        <f t="array" ref="D246">SUM($B$7:$B241*$F$1009*EXP(-$F$1009*($A246-$A$7:$A241)))*$F$1010</f>
        <v>239618471.52081972</v>
      </c>
      <c r="E246" s="67">
        <f t="shared" si="25"/>
        <v>456.81146242118837</v>
      </c>
      <c r="F246" s="70">
        <f t="shared" si="29"/>
        <v>27.737591998214558</v>
      </c>
      <c r="G246" s="67">
        <f>E246/'Lookup Tables'!$C$48</f>
        <v>913.62292484237673</v>
      </c>
      <c r="H246" s="70">
        <f t="shared" si="26"/>
        <v>9.3732183215615286E-2</v>
      </c>
      <c r="I246" s="71">
        <f t="shared" si="30"/>
        <v>1.3156170117730224</v>
      </c>
      <c r="L246" s="74"/>
      <c r="M246" s="74"/>
      <c r="N246" s="74"/>
      <c r="O246" s="74"/>
      <c r="P246" s="74"/>
      <c r="Q246" s="74"/>
      <c r="R246" s="74"/>
      <c r="S246" s="74"/>
      <c r="T246" s="74"/>
      <c r="U246" s="74"/>
      <c r="V246" s="74"/>
      <c r="W246" s="74"/>
      <c r="X246" s="74"/>
      <c r="Y246" s="74"/>
    </row>
    <row r="247" spans="1:25" x14ac:dyDescent="0.3">
      <c r="A247" s="66">
        <f t="shared" si="28"/>
        <v>2013.9999999999782</v>
      </c>
      <c r="B247" s="67">
        <f>LOOKUP(A247+0.01,Amounts!$A$4:$A$103,Amounts!$B$4:$B$103)*0.1*$A$2</f>
        <v>14078.004851106003</v>
      </c>
      <c r="C247" s="68">
        <f t="shared" si="27"/>
        <v>2575632.6002056841</v>
      </c>
      <c r="D247" s="67">
        <f t="array" ref="D247">SUM($B$7:$B242*$F$1009*EXP(-$F$1009*($A247-$A$7:$A242)))*$F$1010</f>
        <v>240313345.51594341</v>
      </c>
      <c r="E247" s="67">
        <f t="shared" si="25"/>
        <v>458.13617834937304</v>
      </c>
      <c r="F247" s="70">
        <f t="shared" si="29"/>
        <v>27.81802874937393</v>
      </c>
      <c r="G247" s="67">
        <f>E247/'Lookup Tables'!$C$48</f>
        <v>916.27235669874608</v>
      </c>
      <c r="H247" s="70">
        <f t="shared" si="26"/>
        <v>9.3490187739198913E-2</v>
      </c>
      <c r="I247" s="71">
        <f t="shared" si="30"/>
        <v>1.3194321936461944</v>
      </c>
      <c r="L247" s="74"/>
      <c r="M247" s="74"/>
      <c r="N247" s="74"/>
      <c r="O247" s="74"/>
      <c r="P247" s="74"/>
      <c r="Q247" s="74"/>
      <c r="R247" s="74"/>
      <c r="S247" s="74"/>
      <c r="T247" s="74"/>
      <c r="U247" s="74"/>
      <c r="V247" s="74"/>
      <c r="W247" s="74"/>
      <c r="X247" s="74"/>
      <c r="Y247" s="74"/>
    </row>
    <row r="248" spans="1:25" x14ac:dyDescent="0.3">
      <c r="A248" s="66">
        <f t="shared" si="28"/>
        <v>2014.0999999999781</v>
      </c>
      <c r="B248" s="67">
        <f>LOOKUP(A248+0.01,Amounts!$A$4:$A$103,Amounts!$B$4:$B$103)*0.1*$A$2</f>
        <v>14078.004851106003</v>
      </c>
      <c r="C248" s="68">
        <f t="shared" si="27"/>
        <v>2589710.6050567902</v>
      </c>
      <c r="D248" s="67">
        <f t="array" ref="D248">SUM($B$7:$B243*$F$1009*EXP(-$F$1009*($A248-$A$7:$A243)))*$F$1010</f>
        <v>240998559.05610704</v>
      </c>
      <c r="E248" s="67">
        <f t="shared" si="25"/>
        <v>459.44247747300193</v>
      </c>
      <c r="F248" s="70">
        <f t="shared" si="29"/>
        <v>27.897347232160676</v>
      </c>
      <c r="G248" s="67">
        <f>E248/'Lookup Tables'!$C$48</f>
        <v>918.88495494600386</v>
      </c>
      <c r="H248" s="70">
        <f t="shared" si="26"/>
        <v>9.3247085480624284E-2</v>
      </c>
      <c r="I248" s="71">
        <f t="shared" si="30"/>
        <v>1.3231943351222453</v>
      </c>
      <c r="L248" s="74"/>
      <c r="M248" s="74"/>
      <c r="N248" s="74"/>
      <c r="O248" s="74"/>
      <c r="P248" s="74"/>
      <c r="Q248" s="74"/>
      <c r="R248" s="74"/>
      <c r="S248" s="74"/>
      <c r="T248" s="74"/>
      <c r="U248" s="74"/>
      <c r="V248" s="74"/>
      <c r="W248" s="74"/>
      <c r="X248" s="74"/>
      <c r="Y248" s="74"/>
    </row>
    <row r="249" spans="1:25" x14ac:dyDescent="0.3">
      <c r="A249" s="66">
        <f t="shared" si="28"/>
        <v>2014.199999999978</v>
      </c>
      <c r="B249" s="67">
        <f>LOOKUP(A249+0.01,Amounts!$A$4:$A$103,Amounts!$B$4:$B$103)*0.1*$A$2</f>
        <v>14078.004851106003</v>
      </c>
      <c r="C249" s="68">
        <f t="shared" si="27"/>
        <v>2603788.6099078963</v>
      </c>
      <c r="D249" s="67">
        <f t="array" ref="D249">SUM($B$7:$B244*$F$1009*EXP(-$F$1009*($A249-$A$7:$A244)))*$F$1010</f>
        <v>241674246.44535801</v>
      </c>
      <c r="E249" s="67">
        <f t="shared" si="25"/>
        <v>460.73061583088509</v>
      </c>
      <c r="F249" s="70">
        <f t="shared" si="29"/>
        <v>27.975562993251341</v>
      </c>
      <c r="G249" s="67">
        <f>E249/'Lookup Tables'!$C$48</f>
        <v>921.46123166177017</v>
      </c>
      <c r="H249" s="70">
        <f t="shared" si="26"/>
        <v>9.3002946076056137E-2</v>
      </c>
      <c r="I249" s="71">
        <f t="shared" si="30"/>
        <v>1.326904173592949</v>
      </c>
      <c r="L249" s="74"/>
      <c r="M249" s="74"/>
      <c r="N249" s="74"/>
      <c r="O249" s="74"/>
      <c r="P249" s="74"/>
      <c r="Q249" s="74"/>
      <c r="R249" s="74"/>
      <c r="S249" s="74"/>
      <c r="T249" s="74"/>
      <c r="U249" s="74"/>
      <c r="V249" s="74"/>
      <c r="W249" s="74"/>
      <c r="X249" s="74"/>
      <c r="Y249" s="74"/>
    </row>
    <row r="250" spans="1:25" x14ac:dyDescent="0.3">
      <c r="A250" s="66">
        <f t="shared" si="28"/>
        <v>2014.2999999999779</v>
      </c>
      <c r="B250" s="67">
        <f>LOOKUP(A250+0.01,Amounts!$A$4:$A$103,Amounts!$B$4:$B$103)*0.1*$A$2</f>
        <v>14078.004851106003</v>
      </c>
      <c r="C250" s="68">
        <f t="shared" si="27"/>
        <v>2617866.6147590023</v>
      </c>
      <c r="D250" s="67">
        <f t="array" ref="D250">SUM($B$7:$B245*$F$1009*EXP(-$F$1009*($A250-$A$7:$A245)))*$F$1010</f>
        <v>242340540.1205878</v>
      </c>
      <c r="E250" s="67">
        <f t="shared" si="25"/>
        <v>462.00084590226447</v>
      </c>
      <c r="F250" s="70">
        <f t="shared" si="29"/>
        <v>28.052691363185499</v>
      </c>
      <c r="G250" s="67">
        <f>E250/'Lookup Tables'!$C$48</f>
        <v>924.00169180452895</v>
      </c>
      <c r="H250" s="70">
        <f t="shared" si="26"/>
        <v>9.2757836949070319E-2</v>
      </c>
      <c r="I250" s="71">
        <f t="shared" si="30"/>
        <v>1.3305624361985215</v>
      </c>
      <c r="L250" s="74"/>
      <c r="M250" s="74"/>
      <c r="N250" s="74"/>
      <c r="O250" s="74"/>
      <c r="P250" s="74"/>
      <c r="Q250" s="74"/>
      <c r="R250" s="74"/>
      <c r="S250" s="74"/>
      <c r="T250" s="74"/>
      <c r="U250" s="74"/>
      <c r="V250" s="74"/>
      <c r="W250" s="74"/>
      <c r="X250" s="74"/>
      <c r="Y250" s="74"/>
    </row>
    <row r="251" spans="1:25" x14ac:dyDescent="0.3">
      <c r="A251" s="66">
        <f t="shared" si="28"/>
        <v>2014.3999999999778</v>
      </c>
      <c r="B251" s="67">
        <f>LOOKUP(A251+0.01,Amounts!$A$4:$A$103,Amounts!$B$4:$B$103)*0.1*$A$2</f>
        <v>14078.004851106003</v>
      </c>
      <c r="C251" s="68">
        <f t="shared" si="27"/>
        <v>2631944.6196101084</v>
      </c>
      <c r="D251" s="67">
        <f t="array" ref="D251">SUM($B$7:$B246*$F$1009*EXP(-$F$1009*($A251-$A$7:$A246)))*$F$1010</f>
        <v>242997570.67748979</v>
      </c>
      <c r="E251" s="67">
        <f t="shared" si="25"/>
        <v>463.25341665630054</v>
      </c>
      <c r="F251" s="70">
        <f t="shared" si="29"/>
        <v>28.128747459370569</v>
      </c>
      <c r="G251" s="67">
        <f>E251/'Lookup Tables'!$C$48</f>
        <v>926.50683331260109</v>
      </c>
      <c r="H251" s="70">
        <f t="shared" si="26"/>
        <v>9.25118233797112E-2</v>
      </c>
      <c r="I251" s="71">
        <f t="shared" si="30"/>
        <v>1.3341698399701454</v>
      </c>
      <c r="L251" s="74"/>
      <c r="M251" s="74"/>
      <c r="N251" s="74"/>
      <c r="O251" s="74"/>
      <c r="P251" s="74"/>
      <c r="Q251" s="74"/>
      <c r="R251" s="74"/>
      <c r="S251" s="74"/>
      <c r="T251" s="74"/>
      <c r="U251" s="74"/>
      <c r="V251" s="74"/>
      <c r="W251" s="74"/>
      <c r="X251" s="74"/>
      <c r="Y251" s="74"/>
    </row>
    <row r="252" spans="1:25" x14ac:dyDescent="0.3">
      <c r="A252" s="66">
        <f t="shared" si="28"/>
        <v>2014.4999999999777</v>
      </c>
      <c r="B252" s="67">
        <f>LOOKUP(A252+0.01,Amounts!$A$4:$A$103,Amounts!$B$4:$B$103)*0.1*$A$2</f>
        <v>14078.004851106003</v>
      </c>
      <c r="C252" s="68">
        <f t="shared" si="27"/>
        <v>2646022.6244612145</v>
      </c>
      <c r="D252" s="67">
        <f t="array" ref="D252">SUM($B$7:$B247*$F$1009*EXP(-$F$1009*($A252-$A$7:$A247)))*$F$1010</f>
        <v>243725990.0799413</v>
      </c>
      <c r="E252" s="67">
        <f t="shared" si="25"/>
        <v>464.64208394216513</v>
      </c>
      <c r="F252" s="70">
        <f t="shared" si="29"/>
        <v>28.213067336968265</v>
      </c>
      <c r="G252" s="67">
        <f>E252/'Lookup Tables'!$C$48</f>
        <v>929.28416788433026</v>
      </c>
      <c r="H252" s="70">
        <f t="shared" si="26"/>
        <v>9.2295461521130967E-2</v>
      </c>
      <c r="I252" s="71">
        <f t="shared" si="30"/>
        <v>1.3381692017534357</v>
      </c>
      <c r="L252" s="74"/>
      <c r="M252" s="74"/>
      <c r="N252" s="74"/>
      <c r="O252" s="74"/>
      <c r="P252" s="74"/>
      <c r="Q252" s="74"/>
      <c r="R252" s="74"/>
      <c r="S252" s="74"/>
      <c r="T252" s="74"/>
      <c r="U252" s="74"/>
      <c r="V252" s="74"/>
      <c r="W252" s="74"/>
      <c r="X252" s="74"/>
      <c r="Y252" s="74"/>
    </row>
    <row r="253" spans="1:25" x14ac:dyDescent="0.3">
      <c r="A253" s="66">
        <f t="shared" si="28"/>
        <v>2014.5999999999776</v>
      </c>
      <c r="B253" s="67">
        <f>LOOKUP(A253+0.01,Amounts!$A$4:$A$103,Amounts!$B$4:$B$103)*0.1*$A$2</f>
        <v>14078.004851106003</v>
      </c>
      <c r="C253" s="68">
        <f t="shared" si="27"/>
        <v>2660100.6293123206</v>
      </c>
      <c r="D253" s="67">
        <f t="array" ref="D253">SUM($B$7:$B248*$F$1009*EXP(-$F$1009*($A253-$A$7:$A248)))*$F$1010</f>
        <v>244444282.66389218</v>
      </c>
      <c r="E253" s="67">
        <f t="shared" si="25"/>
        <v>466.01144534255445</v>
      </c>
      <c r="F253" s="70">
        <f t="shared" si="29"/>
        <v>28.296214961199908</v>
      </c>
      <c r="G253" s="67">
        <f>E253/'Lookup Tables'!$C$48</f>
        <v>932.02289068510891</v>
      </c>
      <c r="H253" s="70">
        <f t="shared" si="26"/>
        <v>9.2077575176306964E-2</v>
      </c>
      <c r="I253" s="71">
        <f t="shared" si="30"/>
        <v>1.3421129625865571</v>
      </c>
      <c r="L253" s="74"/>
      <c r="M253" s="74"/>
      <c r="N253" s="74"/>
      <c r="O253" s="74"/>
      <c r="P253" s="74"/>
      <c r="Q253" s="74"/>
      <c r="R253" s="74"/>
      <c r="S253" s="74"/>
      <c r="T253" s="74"/>
      <c r="U253" s="74"/>
      <c r="V253" s="74"/>
      <c r="W253" s="74"/>
      <c r="X253" s="74"/>
      <c r="Y253" s="74"/>
    </row>
    <row r="254" spans="1:25" x14ac:dyDescent="0.3">
      <c r="A254" s="66">
        <f t="shared" si="28"/>
        <v>2014.6999999999775</v>
      </c>
      <c r="B254" s="67">
        <f>LOOKUP(A254+0.01,Amounts!$A$4:$A$103,Amounts!$B$4:$B$103)*0.1*$A$2</f>
        <v>14078.004851106003</v>
      </c>
      <c r="C254" s="68">
        <f t="shared" si="27"/>
        <v>2674178.6341634267</v>
      </c>
      <c r="D254" s="67">
        <f t="array" ref="D254">SUM($B$7:$B249*$F$1009*EXP(-$F$1009*($A254-$A$7:$A249)))*$F$1010</f>
        <v>245152589.21698835</v>
      </c>
      <c r="E254" s="67">
        <f t="shared" si="25"/>
        <v>467.36176925668667</v>
      </c>
      <c r="F254" s="70">
        <f t="shared" si="29"/>
        <v>28.378206629266014</v>
      </c>
      <c r="G254" s="67">
        <f>E254/'Lookup Tables'!$C$48</f>
        <v>934.72353851337334</v>
      </c>
      <c r="H254" s="70">
        <f t="shared" si="26"/>
        <v>9.185824117473762E-2</v>
      </c>
      <c r="I254" s="71">
        <f t="shared" si="30"/>
        <v>1.3460018954592576</v>
      </c>
      <c r="L254" s="74"/>
      <c r="M254" s="74"/>
      <c r="N254" s="74"/>
      <c r="O254" s="74"/>
      <c r="P254" s="74"/>
      <c r="Q254" s="74"/>
      <c r="R254" s="74"/>
      <c r="S254" s="74"/>
      <c r="T254" s="74"/>
      <c r="U254" s="74"/>
      <c r="V254" s="74"/>
      <c r="W254" s="74"/>
      <c r="X254" s="74"/>
      <c r="Y254" s="74"/>
    </row>
    <row r="255" spans="1:25" x14ac:dyDescent="0.3">
      <c r="A255" s="66">
        <f t="shared" si="28"/>
        <v>2014.7999999999774</v>
      </c>
      <c r="B255" s="67">
        <f>LOOKUP(A255+0.01,Amounts!$A$4:$A$103,Amounts!$B$4:$B$103)*0.1*$A$2</f>
        <v>14078.004851106003</v>
      </c>
      <c r="C255" s="68">
        <f t="shared" si="27"/>
        <v>2688256.6390145328</v>
      </c>
      <c r="D255" s="67">
        <f t="array" ref="D255">SUM($B$7:$B250*$F$1009*EXP(-$F$1009*($A255-$A$7:$A250)))*$F$1010</f>
        <v>245851048.56958184</v>
      </c>
      <c r="E255" s="67">
        <f t="shared" si="25"/>
        <v>468.69332035237198</v>
      </c>
      <c r="F255" s="70">
        <f t="shared" si="29"/>
        <v>28.459058411796025</v>
      </c>
      <c r="G255" s="67">
        <f>E255/'Lookup Tables'!$C$48</f>
        <v>937.38664070474397</v>
      </c>
      <c r="H255" s="70">
        <f t="shared" si="26"/>
        <v>9.1637534006988458E-2</v>
      </c>
      <c r="I255" s="71">
        <f t="shared" si="30"/>
        <v>1.3498367626148313</v>
      </c>
      <c r="L255" s="74"/>
      <c r="M255" s="74"/>
      <c r="N255" s="74"/>
      <c r="O255" s="74"/>
      <c r="P255" s="74"/>
      <c r="Q255" s="74"/>
      <c r="R255" s="74"/>
      <c r="S255" s="74"/>
      <c r="T255" s="74"/>
      <c r="U255" s="74"/>
      <c r="V255" s="74"/>
      <c r="W255" s="74"/>
      <c r="X255" s="74"/>
      <c r="Y255" s="74"/>
    </row>
    <row r="256" spans="1:25" x14ac:dyDescent="0.3">
      <c r="A256" s="66">
        <f t="shared" si="28"/>
        <v>2014.8999999999774</v>
      </c>
      <c r="B256" s="67">
        <f>LOOKUP(A256+0.01,Amounts!$A$4:$A$103,Amounts!$B$4:$B$103)*0.1*$A$2</f>
        <v>14078.004851106003</v>
      </c>
      <c r="C256" s="68">
        <f t="shared" si="27"/>
        <v>2702334.6438656389</v>
      </c>
      <c r="D256" s="67">
        <f t="array" ref="D256">SUM($B$7:$B251*$F$1009*EXP(-$F$1009*($A256-$A$7:$A251)))*$F$1010</f>
        <v>246539797.62194166</v>
      </c>
      <c r="E256" s="67">
        <f t="shared" si="25"/>
        <v>470.00635961788771</v>
      </c>
      <c r="F256" s="70">
        <f t="shared" si="29"/>
        <v>28.538786155998139</v>
      </c>
      <c r="G256" s="67">
        <f>E256/'Lookup Tables'!$C$48</f>
        <v>940.01271923577542</v>
      </c>
      <c r="H256" s="70">
        <f t="shared" si="26"/>
        <v>9.1415525895705646E-2</v>
      </c>
      <c r="I256" s="71">
        <f t="shared" si="30"/>
        <v>1.3536183156995165</v>
      </c>
      <c r="L256" s="74"/>
      <c r="M256" s="74"/>
      <c r="N256" s="74"/>
      <c r="O256" s="74"/>
      <c r="P256" s="74"/>
      <c r="Q256" s="74"/>
      <c r="R256" s="74"/>
      <c r="S256" s="74"/>
      <c r="T256" s="74"/>
      <c r="U256" s="74"/>
      <c r="V256" s="74"/>
      <c r="W256" s="74"/>
      <c r="X256" s="74"/>
      <c r="Y256" s="74"/>
    </row>
    <row r="257" spans="1:25" x14ac:dyDescent="0.3">
      <c r="A257" s="66">
        <f t="shared" si="28"/>
        <v>2014.9999999999773</v>
      </c>
      <c r="B257" s="67">
        <f>LOOKUP(A257+0.01,Amounts!$A$4:$A$103,Amounts!$B$4:$B$103)*0.1*$A$2</f>
        <v>14359.456697418003</v>
      </c>
      <c r="C257" s="68">
        <f t="shared" si="27"/>
        <v>2716694.1005630568</v>
      </c>
      <c r="D257" s="67">
        <f t="array" ref="D257">SUM($B$7:$B252*$F$1009*EXP(-$F$1009*($A257-$A$7:$A252)))*$F$1010</f>
        <v>247218971.37108704</v>
      </c>
      <c r="E257" s="67">
        <f t="shared" si="25"/>
        <v>471.30114441313344</v>
      </c>
      <c r="F257" s="70">
        <f t="shared" si="29"/>
        <v>28.617405488765463</v>
      </c>
      <c r="G257" s="67">
        <f>E257/'Lookup Tables'!$C$48</f>
        <v>942.60228882626689</v>
      </c>
      <c r="H257" s="70">
        <f t="shared" si="26"/>
        <v>9.1182839264899868E-2</v>
      </c>
      <c r="I257" s="71">
        <f t="shared" si="30"/>
        <v>1.3573472959098243</v>
      </c>
      <c r="L257" s="74"/>
      <c r="M257" s="74"/>
      <c r="N257" s="74"/>
      <c r="O257" s="74"/>
      <c r="P257" s="74"/>
      <c r="Q257" s="74"/>
      <c r="R257" s="74"/>
      <c r="S257" s="74"/>
      <c r="T257" s="74"/>
      <c r="U257" s="74"/>
      <c r="V257" s="74"/>
      <c r="W257" s="74"/>
      <c r="X257" s="74"/>
      <c r="Y257" s="74"/>
    </row>
    <row r="258" spans="1:25" x14ac:dyDescent="0.3">
      <c r="A258" s="66">
        <f t="shared" si="28"/>
        <v>2015.0999999999772</v>
      </c>
      <c r="B258" s="67">
        <f>LOOKUP(A258+0.01,Amounts!$A$4:$A$103,Amounts!$B$4:$B$103)*0.1*$A$2</f>
        <v>14359.456697418003</v>
      </c>
      <c r="C258" s="68">
        <f t="shared" si="27"/>
        <v>2731053.5572604747</v>
      </c>
      <c r="D258" s="67">
        <f t="array" ref="D258">SUM($B$7:$B253*$F$1009*EXP(-$F$1009*($A258-$A$7:$A253)))*$F$1010</f>
        <v>247888702.93724719</v>
      </c>
      <c r="E258" s="67">
        <f t="shared" si="25"/>
        <v>472.57792852007435</v>
      </c>
      <c r="F258" s="70">
        <f t="shared" si="29"/>
        <v>28.694931819738912</v>
      </c>
      <c r="G258" s="67">
        <f>E258/'Lookup Tables'!$C$48</f>
        <v>945.1558570401487</v>
      </c>
      <c r="H258" s="70">
        <f t="shared" si="26"/>
        <v>9.0949135204550349E-2</v>
      </c>
      <c r="I258" s="71">
        <f t="shared" si="30"/>
        <v>1.3610244341378142</v>
      </c>
      <c r="L258" s="74"/>
      <c r="M258" s="74"/>
      <c r="N258" s="74"/>
      <c r="O258" s="74"/>
      <c r="P258" s="74"/>
      <c r="Q258" s="74"/>
      <c r="R258" s="74"/>
      <c r="S258" s="74"/>
      <c r="T258" s="74"/>
      <c r="U258" s="74"/>
      <c r="V258" s="74"/>
      <c r="W258" s="74"/>
      <c r="X258" s="74"/>
      <c r="Y258" s="74"/>
    </row>
    <row r="259" spans="1:25" x14ac:dyDescent="0.3">
      <c r="A259" s="66">
        <f t="shared" si="28"/>
        <v>2015.1999999999771</v>
      </c>
      <c r="B259" s="67">
        <f>LOOKUP(A259+0.01,Amounts!$A$4:$A$103,Amounts!$B$4:$B$103)*0.1*$A$2</f>
        <v>14359.456697418003</v>
      </c>
      <c r="C259" s="68">
        <f t="shared" si="27"/>
        <v>2745413.0139578925</v>
      </c>
      <c r="D259" s="67">
        <f t="array" ref="D259">SUM($B$7:$B254*$F$1009*EXP(-$F$1009*($A259-$A$7:$A254)))*$F$1010</f>
        <v>248549123.58995301</v>
      </c>
      <c r="E259" s="67">
        <f t="shared" si="25"/>
        <v>473.83696219248253</v>
      </c>
      <c r="F259" s="70">
        <f t="shared" si="29"/>
        <v>28.77138034432754</v>
      </c>
      <c r="G259" s="67">
        <f>E259/'Lookup Tables'!$C$48</f>
        <v>947.67392438496506</v>
      </c>
      <c r="H259" s="70">
        <f t="shared" si="26"/>
        <v>9.0714477589414019E-2</v>
      </c>
      <c r="I259" s="71">
        <f t="shared" si="30"/>
        <v>1.3646504511143498</v>
      </c>
      <c r="L259" s="74"/>
      <c r="M259" s="74"/>
      <c r="N259" s="74"/>
      <c r="O259" s="74"/>
      <c r="P259" s="74"/>
      <c r="Q259" s="74"/>
      <c r="R259" s="74"/>
      <c r="S259" s="74"/>
      <c r="T259" s="74"/>
      <c r="U259" s="74"/>
      <c r="V259" s="74"/>
      <c r="W259" s="74"/>
      <c r="X259" s="74"/>
      <c r="Y259" s="74"/>
    </row>
    <row r="260" spans="1:25" x14ac:dyDescent="0.3">
      <c r="A260" s="66">
        <f t="shared" si="28"/>
        <v>2015.299999999977</v>
      </c>
      <c r="B260" s="67">
        <f>LOOKUP(A260+0.01,Amounts!$A$4:$A$103,Amounts!$B$4:$B$103)*0.1*$A$2</f>
        <v>14359.456697418003</v>
      </c>
      <c r="C260" s="68">
        <f t="shared" si="27"/>
        <v>2759772.4706553104</v>
      </c>
      <c r="D260" s="67">
        <f t="array" ref="D260">SUM($B$7:$B255*$F$1009*EXP(-$F$1009*($A260-$A$7:$A255)))*$F$1010</f>
        <v>249200362.77376673</v>
      </c>
      <c r="E260" s="67">
        <f t="shared" si="25"/>
        <v>475.07849220498861</v>
      </c>
      <c r="F260" s="70">
        <f t="shared" si="29"/>
        <v>28.846766046686906</v>
      </c>
      <c r="G260" s="67">
        <f>E260/'Lookup Tables'!$C$48</f>
        <v>950.15698440997721</v>
      </c>
      <c r="H260" s="70">
        <f t="shared" si="26"/>
        <v>9.0478928302248851E-2</v>
      </c>
      <c r="I260" s="71">
        <f t="shared" si="30"/>
        <v>1.3682260575503673</v>
      </c>
      <c r="L260" s="74"/>
      <c r="M260" s="74"/>
      <c r="N260" s="74"/>
      <c r="O260" s="74"/>
      <c r="P260" s="74"/>
      <c r="Q260" s="74"/>
      <c r="R260" s="74"/>
      <c r="S260" s="74"/>
      <c r="T260" s="74"/>
      <c r="U260" s="74"/>
      <c r="V260" s="74"/>
      <c r="W260" s="74"/>
      <c r="X260" s="74"/>
      <c r="Y260" s="74"/>
    </row>
    <row r="261" spans="1:25" x14ac:dyDescent="0.3">
      <c r="A261" s="66">
        <f t="shared" si="28"/>
        <v>2015.3999999999769</v>
      </c>
      <c r="B261" s="67">
        <f>LOOKUP(A261+0.01,Amounts!$A$4:$A$103,Amounts!$B$4:$B$103)*0.1*$A$2</f>
        <v>14359.456697418003</v>
      </c>
      <c r="C261" s="68">
        <f t="shared" si="27"/>
        <v>2774131.9273527283</v>
      </c>
      <c r="D261" s="67">
        <f t="array" ref="D261">SUM($B$7:$B256*$F$1009*EXP(-$F$1009*($A261-$A$7:$A256)))*$F$1010</f>
        <v>249842548.13365319</v>
      </c>
      <c r="E261" s="67">
        <f t="shared" si="25"/>
        <v>476.30276190144946</v>
      </c>
      <c r="F261" s="70">
        <f t="shared" si="29"/>
        <v>28.921103702656012</v>
      </c>
      <c r="G261" s="67">
        <f>E261/'Lookup Tables'!$C$48</f>
        <v>952.60552380289892</v>
      </c>
      <c r="H261" s="70">
        <f t="shared" si="26"/>
        <v>9.0242547294532738E-2</v>
      </c>
      <c r="I261" s="71">
        <f t="shared" si="30"/>
        <v>1.3717519542761745</v>
      </c>
      <c r="L261" s="74"/>
      <c r="M261" s="74"/>
      <c r="N261" s="74"/>
      <c r="O261" s="74"/>
      <c r="P261" s="74"/>
      <c r="Q261" s="74"/>
      <c r="R261" s="74"/>
      <c r="S261" s="74"/>
      <c r="T261" s="74"/>
      <c r="U261" s="74"/>
      <c r="V261" s="74"/>
      <c r="W261" s="74"/>
      <c r="X261" s="74"/>
      <c r="Y261" s="74"/>
    </row>
    <row r="262" spans="1:25" x14ac:dyDescent="0.3">
      <c r="A262" s="66">
        <f t="shared" si="28"/>
        <v>2015.4999999999768</v>
      </c>
      <c r="B262" s="67">
        <f>LOOKUP(A262+0.01,Amounts!$A$4:$A$103,Amounts!$B$4:$B$103)*0.1*$A$2</f>
        <v>14359.456697418003</v>
      </c>
      <c r="C262" s="68">
        <f t="shared" si="27"/>
        <v>2788491.3840501462</v>
      </c>
      <c r="D262" s="67">
        <f t="array" ref="D262">SUM($B$7:$B257*$F$1009*EXP(-$F$1009*($A262-$A$7:$A257)))*$F$1010</f>
        <v>250557907.60974017</v>
      </c>
      <c r="E262" s="67">
        <f t="shared" si="25"/>
        <v>477.66653159063122</v>
      </c>
      <c r="F262" s="70">
        <f t="shared" si="29"/>
        <v>29.003911798183129</v>
      </c>
      <c r="G262" s="67">
        <f>E262/'Lookup Tables'!$C$48</f>
        <v>955.33306318126245</v>
      </c>
      <c r="H262" s="70">
        <f t="shared" si="26"/>
        <v>9.0034895011718227E-2</v>
      </c>
      <c r="I262" s="71">
        <f t="shared" si="30"/>
        <v>1.3756796109810179</v>
      </c>
      <c r="L262" s="74"/>
      <c r="M262" s="74"/>
      <c r="N262" s="74"/>
      <c r="O262" s="74"/>
      <c r="P262" s="74"/>
      <c r="Q262" s="74"/>
      <c r="R262" s="74"/>
      <c r="S262" s="74"/>
      <c r="T262" s="74"/>
      <c r="U262" s="74"/>
      <c r="V262" s="74"/>
      <c r="W262" s="74"/>
      <c r="X262" s="74"/>
      <c r="Y262" s="74"/>
    </row>
    <row r="263" spans="1:25" x14ac:dyDescent="0.3">
      <c r="A263" s="66">
        <f t="shared" si="28"/>
        <v>2015.5999999999767</v>
      </c>
      <c r="B263" s="67">
        <f>LOOKUP(A263+0.01,Amounts!$A$4:$A$103,Amounts!$B$4:$B$103)*0.1*$A$2</f>
        <v>14359.456697418003</v>
      </c>
      <c r="C263" s="68">
        <f t="shared" si="27"/>
        <v>2802850.8407475641</v>
      </c>
      <c r="D263" s="67">
        <f t="array" ref="D263">SUM($B$7:$B258*$F$1009*EXP(-$F$1009*($A263-$A$7:$A258)))*$F$1010</f>
        <v>251263321.83237463</v>
      </c>
      <c r="E263" s="67">
        <f t="shared" ref="E263:E326" si="31">D263/(365*24*60)*1.00201</f>
        <v>479.01134153207329</v>
      </c>
      <c r="F263" s="70">
        <f t="shared" si="29"/>
        <v>29.085568657827494</v>
      </c>
      <c r="G263" s="67">
        <f>E263/'Lookup Tables'!$C$48</f>
        <v>958.02268306414658</v>
      </c>
      <c r="H263" s="70">
        <f t="shared" ref="H263:H326" si="32">G263*60*24*365/(C263*2000)</f>
        <v>8.9825815005591642E-2</v>
      </c>
      <c r="I263" s="71">
        <f t="shared" si="30"/>
        <v>1.3795526636123712</v>
      </c>
      <c r="L263" s="74"/>
      <c r="M263" s="74"/>
      <c r="N263" s="74"/>
      <c r="O263" s="74"/>
      <c r="P263" s="74"/>
      <c r="Q263" s="74"/>
      <c r="R263" s="74"/>
      <c r="S263" s="74"/>
      <c r="T263" s="74"/>
      <c r="U263" s="74"/>
      <c r="V263" s="74"/>
      <c r="W263" s="74"/>
      <c r="X263" s="74"/>
      <c r="Y263" s="74"/>
    </row>
    <row r="264" spans="1:25" x14ac:dyDescent="0.3">
      <c r="A264" s="66">
        <f t="shared" si="28"/>
        <v>2015.6999999999766</v>
      </c>
      <c r="B264" s="67">
        <f>LOOKUP(A264+0.01,Amounts!$A$4:$A$103,Amounts!$B$4:$B$103)*0.1*$A$2</f>
        <v>14359.456697418003</v>
      </c>
      <c r="C264" s="68">
        <f t="shared" si="27"/>
        <v>2817210.297444982</v>
      </c>
      <c r="D264" s="67">
        <f t="array" ref="D264">SUM($B$7:$B259*$F$1009*EXP(-$F$1009*($A264-$A$7:$A259)))*$F$1010</f>
        <v>251958929.06500262</v>
      </c>
      <c r="E264" s="67">
        <f t="shared" si="31"/>
        <v>480.33745531282972</v>
      </c>
      <c r="F264" s="70">
        <f t="shared" si="29"/>
        <v>29.166090286595022</v>
      </c>
      <c r="G264" s="67">
        <f>E264/'Lookup Tables'!$C$48</f>
        <v>960.67491062565944</v>
      </c>
      <c r="H264" s="70">
        <f t="shared" si="32"/>
        <v>8.9615378284465391E-2</v>
      </c>
      <c r="I264" s="71">
        <f t="shared" si="30"/>
        <v>1.3833718713009497</v>
      </c>
      <c r="L264" s="74"/>
      <c r="M264" s="74"/>
      <c r="N264" s="74"/>
      <c r="O264" s="74"/>
      <c r="P264" s="74"/>
      <c r="Q264" s="74"/>
      <c r="R264" s="74"/>
      <c r="S264" s="74"/>
      <c r="T264" s="74"/>
      <c r="U264" s="74"/>
      <c r="V264" s="74"/>
      <c r="W264" s="74"/>
      <c r="X264" s="74"/>
      <c r="Y264" s="74"/>
    </row>
    <row r="265" spans="1:25" x14ac:dyDescent="0.3">
      <c r="A265" s="66">
        <f t="shared" si="28"/>
        <v>2015.7999999999765</v>
      </c>
      <c r="B265" s="67">
        <f>LOOKUP(A265+0.01,Amounts!$A$4:$A$103,Amounts!$B$4:$B$103)*0.1*$A$2</f>
        <v>14359.456697418003</v>
      </c>
      <c r="C265" s="68">
        <f t="shared" ref="C265:C328" si="33">C264+B265</f>
        <v>2831569.7541423999</v>
      </c>
      <c r="D265" s="67">
        <f t="array" ref="D265">SUM($B$7:$B260*$F$1009*EXP(-$F$1009*($A265-$A$7:$A260)))*$F$1010</f>
        <v>252644865.64886856</v>
      </c>
      <c r="E265" s="67">
        <f t="shared" si="31"/>
        <v>481.64513285544678</v>
      </c>
      <c r="F265" s="70">
        <f t="shared" si="29"/>
        <v>29.245492466982729</v>
      </c>
      <c r="G265" s="67">
        <f>E265/'Lookup Tables'!$C$48</f>
        <v>963.29026571089355</v>
      </c>
      <c r="H265" s="70">
        <f t="shared" si="32"/>
        <v>8.9403653736051233E-2</v>
      </c>
      <c r="I265" s="71">
        <f t="shared" si="30"/>
        <v>1.3871379826236867</v>
      </c>
      <c r="L265" s="74"/>
      <c r="M265" s="74"/>
      <c r="N265" s="74"/>
      <c r="O265" s="74"/>
      <c r="P265" s="74"/>
      <c r="Q265" s="74"/>
      <c r="R265" s="74"/>
      <c r="S265" s="74"/>
      <c r="T265" s="74"/>
      <c r="U265" s="74"/>
      <c r="V265" s="74"/>
      <c r="W265" s="74"/>
      <c r="X265" s="74"/>
      <c r="Y265" s="74"/>
    </row>
    <row r="266" spans="1:25" x14ac:dyDescent="0.3">
      <c r="A266" s="66">
        <f t="shared" si="28"/>
        <v>2015.8999999999764</v>
      </c>
      <c r="B266" s="67">
        <f>LOOKUP(A266+0.01,Amounts!$A$4:$A$103,Amounts!$B$4:$B$103)*0.1*$A$2</f>
        <v>14359.456697418003</v>
      </c>
      <c r="C266" s="68">
        <f t="shared" si="33"/>
        <v>2845929.2108398178</v>
      </c>
      <c r="D266" s="67">
        <f t="array" ref="D266">SUM($B$7:$B261*$F$1009*EXP(-$F$1009*($A266-$A$7:$A261)))*$F$1010</f>
        <v>253321266.02973887</v>
      </c>
      <c r="E266" s="67">
        <f t="shared" si="31"/>
        <v>482.93463046890918</v>
      </c>
      <c r="F266" s="70">
        <f t="shared" si="29"/>
        <v>29.323790762072168</v>
      </c>
      <c r="G266" s="67">
        <f>E266/'Lookup Tables'!$C$48</f>
        <v>965.86926093781835</v>
      </c>
      <c r="H266" s="70">
        <f t="shared" si="32"/>
        <v>8.9190708190368062E-2</v>
      </c>
      <c r="I266" s="71">
        <f t="shared" si="30"/>
        <v>1.3908517357504584</v>
      </c>
      <c r="L266" s="74"/>
      <c r="M266" s="74"/>
      <c r="N266" s="74"/>
      <c r="O266" s="74"/>
      <c r="P266" s="74"/>
      <c r="Q266" s="74"/>
      <c r="R266" s="74"/>
      <c r="S266" s="74"/>
      <c r="T266" s="74"/>
      <c r="U266" s="74"/>
      <c r="V266" s="74"/>
      <c r="W266" s="74"/>
      <c r="X266" s="74"/>
      <c r="Y266" s="74"/>
    </row>
    <row r="267" spans="1:25" x14ac:dyDescent="0.3">
      <c r="A267" s="66">
        <f t="shared" si="28"/>
        <v>2015.9999999999764</v>
      </c>
      <c r="B267" s="67">
        <f>LOOKUP(A267+0.01,Amounts!$A$4:$A$103,Amounts!$B$4:$B$103)*0.1*$A$2</f>
        <v>14646.621775653002</v>
      </c>
      <c r="C267" s="68">
        <f t="shared" si="33"/>
        <v>2860575.832615471</v>
      </c>
      <c r="D267" s="67">
        <f t="array" ref="D267">SUM($B$7:$B262*$F$1009*EXP(-$F$1009*($A267-$A$7:$A262)))*$F$1010</f>
        <v>253988262.78425354</v>
      </c>
      <c r="E267" s="67">
        <f t="shared" si="31"/>
        <v>484.20620089887734</v>
      </c>
      <c r="F267" s="70">
        <f t="shared" si="29"/>
        <v>29.401000518579828</v>
      </c>
      <c r="G267" s="67">
        <f>E267/'Lookup Tables'!$C$48</f>
        <v>968.41240179775468</v>
      </c>
      <c r="H267" s="70">
        <f t="shared" si="32"/>
        <v>8.8967674371966413E-2</v>
      </c>
      <c r="I267" s="71">
        <f t="shared" si="30"/>
        <v>1.3945138585887669</v>
      </c>
      <c r="L267" s="74"/>
      <c r="M267" s="74"/>
      <c r="N267" s="74"/>
      <c r="O267" s="74"/>
      <c r="P267" s="74"/>
      <c r="Q267" s="74"/>
      <c r="R267" s="74"/>
      <c r="S267" s="74"/>
      <c r="T267" s="74"/>
      <c r="U267" s="74"/>
      <c r="V267" s="74"/>
      <c r="W267" s="74"/>
      <c r="X267" s="74"/>
      <c r="Y267" s="74"/>
    </row>
    <row r="268" spans="1:25" x14ac:dyDescent="0.3">
      <c r="A268" s="66">
        <f t="shared" si="28"/>
        <v>2016.0999999999763</v>
      </c>
      <c r="B268" s="67">
        <f>LOOKUP(A268+0.01,Amounts!$A$4:$A$103,Amounts!$B$4:$B$103)*0.1*$A$2</f>
        <v>14646.621775653002</v>
      </c>
      <c r="C268" s="68">
        <f t="shared" si="33"/>
        <v>2875222.4543911242</v>
      </c>
      <c r="D268" s="67">
        <f t="array" ref="D268">SUM($B$7:$B263*$F$1009*EXP(-$F$1009*($A268-$A$7:$A263)))*$F$1010</f>
        <v>254645986.64591172</v>
      </c>
      <c r="E268" s="67">
        <f t="shared" si="31"/>
        <v>485.46009337722609</v>
      </c>
      <c r="F268" s="70">
        <f t="shared" si="29"/>
        <v>29.477136869865166</v>
      </c>
      <c r="G268" s="67">
        <f>E268/'Lookup Tables'!$C$48</f>
        <v>970.92018675445217</v>
      </c>
      <c r="H268" s="70">
        <f t="shared" si="32"/>
        <v>8.8743681272169236E-2</v>
      </c>
      <c r="I268" s="71">
        <f t="shared" si="30"/>
        <v>1.3981250689264113</v>
      </c>
      <c r="L268" s="74"/>
      <c r="M268" s="74"/>
      <c r="N268" s="74"/>
      <c r="O268" s="74"/>
      <c r="P268" s="74"/>
      <c r="Q268" s="74"/>
      <c r="R268" s="74"/>
      <c r="S268" s="74"/>
      <c r="T268" s="74"/>
      <c r="U268" s="74"/>
      <c r="V268" s="74"/>
      <c r="W268" s="74"/>
      <c r="X268" s="74"/>
      <c r="Y268" s="74"/>
    </row>
    <row r="269" spans="1:25" x14ac:dyDescent="0.3">
      <c r="A269" s="66">
        <f t="shared" si="28"/>
        <v>2016.1999999999762</v>
      </c>
      <c r="B269" s="67">
        <f>LOOKUP(A269+0.01,Amounts!$A$4:$A$103,Amounts!$B$4:$B$103)*0.1*$A$2</f>
        <v>14646.621775653002</v>
      </c>
      <c r="C269" s="68">
        <f t="shared" si="33"/>
        <v>2889869.0761667774</v>
      </c>
      <c r="D269" s="67">
        <f t="array" ref="D269">SUM($B$7:$B264*$F$1009*EXP(-$F$1009*($A269-$A$7:$A264)))*$F$1010</f>
        <v>255294566.53069592</v>
      </c>
      <c r="E269" s="67">
        <f t="shared" si="31"/>
        <v>486.69655367089541</v>
      </c>
      <c r="F269" s="70">
        <f t="shared" si="29"/>
        <v>29.552214738896769</v>
      </c>
      <c r="G269" s="67">
        <f>E269/'Lookup Tables'!$C$48</f>
        <v>973.39310734179082</v>
      </c>
      <c r="H269" s="70">
        <f t="shared" si="32"/>
        <v>8.8518788175945606E-2</v>
      </c>
      <c r="I269" s="71">
        <f t="shared" si="30"/>
        <v>1.4016860745721789</v>
      </c>
      <c r="L269" s="74"/>
      <c r="M269" s="74"/>
      <c r="N269" s="74"/>
      <c r="O269" s="74"/>
      <c r="P269" s="74"/>
      <c r="Q269" s="74"/>
      <c r="R269" s="74"/>
      <c r="S269" s="74"/>
      <c r="T269" s="74"/>
      <c r="U269" s="74"/>
      <c r="V269" s="74"/>
      <c r="W269" s="74"/>
      <c r="X269" s="74"/>
      <c r="Y269" s="74"/>
    </row>
    <row r="270" spans="1:25" x14ac:dyDescent="0.3">
      <c r="A270" s="66">
        <f t="shared" si="28"/>
        <v>2016.2999999999761</v>
      </c>
      <c r="B270" s="67">
        <f>LOOKUP(A270+0.01,Amounts!$A$4:$A$103,Amounts!$B$4:$B$103)*0.1*$A$2</f>
        <v>14646.621775653002</v>
      </c>
      <c r="C270" s="68">
        <f t="shared" si="33"/>
        <v>2904515.6979424306</v>
      </c>
      <c r="D270" s="67">
        <f t="array" ref="D270">SUM($B$7:$B265*$F$1009*EXP(-$F$1009*($A270-$A$7:$A265)))*$F$1010</f>
        <v>255934129.56233999</v>
      </c>
      <c r="E270" s="67">
        <f t="shared" si="31"/>
        <v>487.91582413006148</v>
      </c>
      <c r="F270" s="70">
        <f t="shared" si="29"/>
        <v>29.626248841177333</v>
      </c>
      <c r="G270" s="67">
        <f>E270/'Lookup Tables'!$C$48</f>
        <v>975.83164826012296</v>
      </c>
      <c r="H270" s="70">
        <f t="shared" si="32"/>
        <v>8.8293052554141604E-2</v>
      </c>
      <c r="I270" s="71">
        <f t="shared" si="30"/>
        <v>1.4051975734945772</v>
      </c>
      <c r="L270" s="74"/>
      <c r="M270" s="74"/>
      <c r="N270" s="74"/>
      <c r="O270" s="74"/>
      <c r="P270" s="74"/>
      <c r="Q270" s="74"/>
      <c r="R270" s="74"/>
      <c r="S270" s="74"/>
      <c r="T270" s="74"/>
      <c r="U270" s="74"/>
      <c r="V270" s="74"/>
      <c r="W270" s="74"/>
      <c r="X270" s="74"/>
      <c r="Y270" s="74"/>
    </row>
    <row r="271" spans="1:25" x14ac:dyDescent="0.3">
      <c r="A271" s="66">
        <f t="shared" si="28"/>
        <v>2016.399999999976</v>
      </c>
      <c r="B271" s="67">
        <f>LOOKUP(A271+0.01,Amounts!$A$4:$A$103,Amounts!$B$4:$B$103)*0.1*$A$2</f>
        <v>14646.621775653002</v>
      </c>
      <c r="C271" s="68">
        <f t="shared" si="33"/>
        <v>2919162.3197180838</v>
      </c>
      <c r="D271" s="67">
        <f t="array" ref="D271">SUM($B$7:$B266*$F$1009*EXP(-$F$1009*($A271-$A$7:$A266)))*$F$1010</f>
        <v>256564801.09724545</v>
      </c>
      <c r="E271" s="67">
        <f t="shared" si="31"/>
        <v>489.11814373563726</v>
      </c>
      <c r="F271" s="70">
        <f t="shared" si="29"/>
        <v>29.699253687627891</v>
      </c>
      <c r="G271" s="67">
        <f>E271/'Lookup Tables'!$C$48</f>
        <v>978.23628747127452</v>
      </c>
      <c r="H271" s="70">
        <f t="shared" si="32"/>
        <v>8.8066530117543562E-2</v>
      </c>
      <c r="I271" s="71">
        <f t="shared" si="30"/>
        <v>1.4086602539586353</v>
      </c>
      <c r="L271" s="74"/>
      <c r="M271" s="74"/>
      <c r="N271" s="74"/>
      <c r="O271" s="74"/>
      <c r="P271" s="74"/>
      <c r="Q271" s="74"/>
      <c r="R271" s="74"/>
      <c r="S271" s="74"/>
      <c r="T271" s="74"/>
      <c r="U271" s="74"/>
      <c r="V271" s="74"/>
      <c r="W271" s="74"/>
      <c r="X271" s="74"/>
      <c r="Y271" s="74"/>
    </row>
    <row r="272" spans="1:25" x14ac:dyDescent="0.3">
      <c r="A272" s="66">
        <f t="shared" si="28"/>
        <v>2016.4999999999759</v>
      </c>
      <c r="B272" s="67">
        <f>LOOKUP(A272+0.01,Amounts!$A$4:$A$103,Amounts!$B$4:$B$103)*0.1*$A$2</f>
        <v>14646.621775653002</v>
      </c>
      <c r="C272" s="68">
        <f t="shared" si="33"/>
        <v>2933808.941493737</v>
      </c>
      <c r="D272" s="67">
        <f t="array" ref="D272">SUM($B$7:$B267*$F$1009*EXP(-$F$1009*($A272-$A$7:$A267)))*$F$1010</f>
        <v>257270473.42063668</v>
      </c>
      <c r="E272" s="67">
        <f t="shared" si="31"/>
        <v>490.46344572338694</v>
      </c>
      <c r="F272" s="70">
        <f t="shared" si="29"/>
        <v>29.780940424324054</v>
      </c>
      <c r="G272" s="67">
        <f>E272/'Lookup Tables'!$C$48</f>
        <v>980.92689144677388</v>
      </c>
      <c r="H272" s="70">
        <f t="shared" si="32"/>
        <v>8.7867885132615578E-2</v>
      </c>
      <c r="I272" s="71">
        <f t="shared" si="30"/>
        <v>1.4125347236833545</v>
      </c>
      <c r="L272" s="74"/>
      <c r="M272" s="74"/>
      <c r="N272" s="74"/>
      <c r="O272" s="74"/>
      <c r="P272" s="74"/>
      <c r="Q272" s="74"/>
      <c r="R272" s="74"/>
      <c r="S272" s="74"/>
      <c r="T272" s="74"/>
      <c r="U272" s="74"/>
      <c r="V272" s="74"/>
      <c r="W272" s="74"/>
      <c r="X272" s="74"/>
      <c r="Y272" s="74"/>
    </row>
    <row r="273" spans="1:25" x14ac:dyDescent="0.3">
      <c r="A273" s="66">
        <f t="shared" si="28"/>
        <v>2016.5999999999758</v>
      </c>
      <c r="B273" s="67">
        <f>LOOKUP(A273+0.01,Amounts!$A$4:$A$103,Amounts!$B$4:$B$103)*0.1*$A$2</f>
        <v>14646.621775653002</v>
      </c>
      <c r="C273" s="68">
        <f t="shared" si="33"/>
        <v>2948455.5632693903</v>
      </c>
      <c r="D273" s="67">
        <f t="array" ref="D273">SUM($B$7:$B268*$F$1009*EXP(-$F$1009*($A273-$A$7:$A268)))*$F$1010</f>
        <v>257966335.1657871</v>
      </c>
      <c r="E273" s="67">
        <f t="shared" si="31"/>
        <v>491.79004470979902</v>
      </c>
      <c r="F273" s="70">
        <f t="shared" si="29"/>
        <v>29.861491514778997</v>
      </c>
      <c r="G273" s="67">
        <f>E273/'Lookup Tables'!$C$48</f>
        <v>983.58008941959804</v>
      </c>
      <c r="H273" s="70">
        <f t="shared" si="32"/>
        <v>8.7667879658613487E-2</v>
      </c>
      <c r="I273" s="71">
        <f t="shared" si="30"/>
        <v>1.4163553287642212</v>
      </c>
      <c r="L273" s="74"/>
      <c r="M273" s="74"/>
      <c r="N273" s="74"/>
      <c r="O273" s="74"/>
      <c r="P273" s="74"/>
      <c r="Q273" s="74"/>
      <c r="R273" s="74"/>
      <c r="S273" s="74"/>
      <c r="T273" s="74"/>
      <c r="U273" s="74"/>
      <c r="V273" s="74"/>
      <c r="W273" s="74"/>
      <c r="X273" s="74"/>
      <c r="Y273" s="74"/>
    </row>
    <row r="274" spans="1:25" x14ac:dyDescent="0.3">
      <c r="A274" s="66">
        <f t="shared" si="28"/>
        <v>2016.6999999999757</v>
      </c>
      <c r="B274" s="67">
        <f>LOOKUP(A274+0.01,Amounts!$A$4:$A$103,Amounts!$B$4:$B$103)*0.1*$A$2</f>
        <v>14646.621775653002</v>
      </c>
      <c r="C274" s="68">
        <f t="shared" si="33"/>
        <v>2963102.1850450435</v>
      </c>
      <c r="D274" s="67">
        <f t="array" ref="D274">SUM($B$7:$B269*$F$1009*EXP(-$F$1009*($A274-$A$7:$A269)))*$F$1010</f>
        <v>258652522.72382641</v>
      </c>
      <c r="E274" s="67">
        <f t="shared" si="31"/>
        <v>493.09820071252153</v>
      </c>
      <c r="F274" s="70">
        <f t="shared" si="29"/>
        <v>29.940922747264306</v>
      </c>
      <c r="G274" s="67">
        <f>E274/'Lookup Tables'!$C$48</f>
        <v>986.19640142504306</v>
      </c>
      <c r="H274" s="70">
        <f t="shared" si="32"/>
        <v>8.746657999260378E-2</v>
      </c>
      <c r="I274" s="71">
        <f t="shared" si="30"/>
        <v>1.420122818052062</v>
      </c>
      <c r="L274" s="74"/>
      <c r="M274" s="74"/>
      <c r="N274" s="74"/>
      <c r="O274" s="74"/>
      <c r="P274" s="74"/>
      <c r="Q274" s="74"/>
      <c r="R274" s="74"/>
      <c r="S274" s="74"/>
      <c r="T274" s="74"/>
      <c r="U274" s="74"/>
      <c r="V274" s="74"/>
      <c r="W274" s="74"/>
      <c r="X274" s="74"/>
      <c r="Y274" s="74"/>
    </row>
    <row r="275" spans="1:25" x14ac:dyDescent="0.3">
      <c r="A275" s="66">
        <f t="shared" ref="A275:A338" si="34">A274+0.1</f>
        <v>2016.7999999999756</v>
      </c>
      <c r="B275" s="67">
        <f>LOOKUP(A275+0.01,Amounts!$A$4:$A$103,Amounts!$B$4:$B$103)*0.1*$A$2</f>
        <v>14646.621775653002</v>
      </c>
      <c r="C275" s="68">
        <f t="shared" si="33"/>
        <v>2977748.8068206967</v>
      </c>
      <c r="D275" s="67">
        <f t="array" ref="D275">SUM($B$7:$B270*$F$1009*EXP(-$F$1009*($A275-$A$7:$A270)))*$F$1010</f>
        <v>259329170.58971268</v>
      </c>
      <c r="E275" s="67">
        <f t="shared" si="31"/>
        <v>494.3881701343189</v>
      </c>
      <c r="F275" s="70">
        <f t="shared" ref="F275:F338" si="35">E275*60*1012/1000000</f>
        <v>30.019249690555846</v>
      </c>
      <c r="G275" s="67">
        <f>E275/'Lookup Tables'!$C$48</f>
        <v>988.7763402686378</v>
      </c>
      <c r="H275" s="70">
        <f t="shared" si="32"/>
        <v>8.7264050489213998E-2</v>
      </c>
      <c r="I275" s="71">
        <f t="shared" ref="I275:I338" si="36">G275*60*24/1000000</f>
        <v>1.4238379299868384</v>
      </c>
      <c r="L275" s="74"/>
      <c r="M275" s="74"/>
      <c r="N275" s="74"/>
      <c r="O275" s="74"/>
      <c r="P275" s="74"/>
      <c r="Q275" s="74"/>
      <c r="R275" s="74"/>
      <c r="S275" s="74"/>
      <c r="T275" s="74"/>
      <c r="U275" s="74"/>
      <c r="V275" s="74"/>
      <c r="W275" s="74"/>
      <c r="X275" s="74"/>
      <c r="Y275" s="74"/>
    </row>
    <row r="276" spans="1:25" x14ac:dyDescent="0.3">
      <c r="A276" s="66">
        <f t="shared" si="34"/>
        <v>2016.8999999999755</v>
      </c>
      <c r="B276" s="67">
        <f>LOOKUP(A276+0.01,Amounts!$A$4:$A$103,Amounts!$B$4:$B$103)*0.1*$A$2</f>
        <v>14646.621775653002</v>
      </c>
      <c r="C276" s="68">
        <f t="shared" si="33"/>
        <v>2992395.4285963499</v>
      </c>
      <c r="D276" s="67">
        <f t="array" ref="D276">SUM($B$7:$B271*$F$1009*EXP(-$F$1009*($A276-$A$7:$A271)))*$F$1010</f>
        <v>259996411.38859379</v>
      </c>
      <c r="E276" s="67">
        <f t="shared" si="31"/>
        <v>495.66020581332742</v>
      </c>
      <c r="F276" s="70">
        <f t="shared" si="35"/>
        <v>30.096487696985243</v>
      </c>
      <c r="G276" s="67">
        <f>E276/'Lookup Tables'!$C$48</f>
        <v>991.32041162665485</v>
      </c>
      <c r="H276" s="70">
        <f t="shared" si="32"/>
        <v>8.706035361699746E-2</v>
      </c>
      <c r="I276" s="71">
        <f t="shared" si="36"/>
        <v>1.4275013927423827</v>
      </c>
      <c r="L276" s="74"/>
      <c r="M276" s="74"/>
      <c r="N276" s="74"/>
      <c r="O276" s="74"/>
      <c r="P276" s="74"/>
      <c r="Q276" s="74"/>
      <c r="R276" s="74"/>
      <c r="S276" s="74"/>
      <c r="T276" s="74"/>
      <c r="U276" s="74"/>
      <c r="V276" s="74"/>
      <c r="W276" s="74"/>
      <c r="X276" s="74"/>
      <c r="Y276" s="74"/>
    </row>
    <row r="277" spans="1:25" x14ac:dyDescent="0.3">
      <c r="A277" s="66">
        <f t="shared" si="34"/>
        <v>2016.9999999999754</v>
      </c>
      <c r="B277" s="67">
        <f>LOOKUP(A277+0.01,Amounts!$A$4:$A$103,Amounts!$B$4:$B$103)*0.1*$A$2</f>
        <v>0</v>
      </c>
      <c r="C277" s="68">
        <f t="shared" si="33"/>
        <v>2992395.4285963499</v>
      </c>
      <c r="D277" s="67">
        <f t="array" ref="D277">SUM($B$7:$B272*$F$1009*EXP(-$F$1009*($A277-$A$7:$A272)))*$F$1010</f>
        <v>260654375.90180248</v>
      </c>
      <c r="E277" s="67">
        <f t="shared" si="31"/>
        <v>496.91455707261247</v>
      </c>
      <c r="F277" s="70">
        <f t="shared" si="35"/>
        <v>30.17265190544903</v>
      </c>
      <c r="G277" s="67">
        <f>E277/'Lookup Tables'!$C$48</f>
        <v>993.82911414522493</v>
      </c>
      <c r="H277" s="70">
        <f t="shared" si="32"/>
        <v>8.7280674439432854E-2</v>
      </c>
      <c r="I277" s="71">
        <f t="shared" si="36"/>
        <v>1.431113924369124</v>
      </c>
      <c r="L277" s="74"/>
      <c r="M277" s="74"/>
      <c r="N277" s="74"/>
      <c r="O277" s="74"/>
      <c r="P277" s="74"/>
      <c r="Q277" s="74"/>
      <c r="R277" s="74"/>
      <c r="S277" s="74"/>
      <c r="T277" s="74"/>
      <c r="U277" s="74"/>
      <c r="V277" s="74"/>
      <c r="W277" s="74"/>
      <c r="X277" s="74"/>
      <c r="Y277" s="74"/>
    </row>
    <row r="278" spans="1:25" x14ac:dyDescent="0.3">
      <c r="A278" s="66">
        <f t="shared" si="34"/>
        <v>2017.0999999999754</v>
      </c>
      <c r="B278" s="67">
        <f>LOOKUP(A278+0.01,Amounts!$A$4:$A$103,Amounts!$B$4:$B$103)*0.1*$A$2</f>
        <v>0</v>
      </c>
      <c r="C278" s="68">
        <f t="shared" si="33"/>
        <v>2992395.4285963499</v>
      </c>
      <c r="D278" s="67">
        <f t="array" ref="D278">SUM($B$7:$B273*$F$1009*EXP(-$F$1009*($A278-$A$7:$A273)))*$F$1010</f>
        <v>261303193.09248969</v>
      </c>
      <c r="E278" s="67">
        <f t="shared" si="31"/>
        <v>498.15146976903657</v>
      </c>
      <c r="F278" s="70">
        <f t="shared" si="35"/>
        <v>30.247757244375901</v>
      </c>
      <c r="G278" s="67">
        <f>E278/'Lookup Tables'!$C$48</f>
        <v>996.30293953807313</v>
      </c>
      <c r="H278" s="70">
        <f t="shared" si="32"/>
        <v>8.7497932261386371E-2</v>
      </c>
      <c r="I278" s="71">
        <f t="shared" si="36"/>
        <v>1.4346762329348253</v>
      </c>
      <c r="L278" s="74"/>
      <c r="M278" s="74"/>
      <c r="N278" s="74"/>
      <c r="O278" s="74"/>
      <c r="P278" s="74"/>
      <c r="Q278" s="74"/>
      <c r="R278" s="74"/>
      <c r="S278" s="74"/>
      <c r="T278" s="74"/>
      <c r="U278" s="74"/>
      <c r="V278" s="74"/>
      <c r="W278" s="74"/>
      <c r="X278" s="74"/>
      <c r="Y278" s="74"/>
    </row>
    <row r="279" spans="1:25" x14ac:dyDescent="0.3">
      <c r="A279" s="66">
        <f t="shared" si="34"/>
        <v>2017.1999999999753</v>
      </c>
      <c r="B279" s="67">
        <f>LOOKUP(A279+0.01,Amounts!$A$4:$A$103,Amounts!$B$4:$B$103)*0.1*$A$2</f>
        <v>0</v>
      </c>
      <c r="C279" s="68">
        <f t="shared" si="33"/>
        <v>2992395.4285963499</v>
      </c>
      <c r="D279" s="67">
        <f t="array" ref="D279">SUM($B$7:$B274*$F$1009*EXP(-$F$1009*($A279-$A$7:$A274)))*$F$1010</f>
        <v>261942990.13090193</v>
      </c>
      <c r="E279" s="67">
        <f t="shared" si="31"/>
        <v>499.37118634144798</v>
      </c>
      <c r="F279" s="70">
        <f t="shared" si="35"/>
        <v>30.32181843465272</v>
      </c>
      <c r="G279" s="67">
        <f>E279/'Lookup Tables'!$C$48</f>
        <v>998.74237268289596</v>
      </c>
      <c r="H279" s="70">
        <f t="shared" si="32"/>
        <v>8.7712169666086637E-2</v>
      </c>
      <c r="I279" s="71">
        <f t="shared" si="36"/>
        <v>1.4381890166633702</v>
      </c>
      <c r="L279" s="74"/>
      <c r="M279" s="74"/>
      <c r="N279" s="74"/>
      <c r="O279" s="74"/>
      <c r="P279" s="74"/>
      <c r="Q279" s="74"/>
      <c r="R279" s="74"/>
      <c r="S279" s="74"/>
      <c r="T279" s="74"/>
      <c r="U279" s="74"/>
      <c r="V279" s="74"/>
      <c r="W279" s="74"/>
      <c r="X279" s="74"/>
      <c r="Y279" s="74"/>
    </row>
    <row r="280" spans="1:25" x14ac:dyDescent="0.3">
      <c r="A280" s="66">
        <f t="shared" si="34"/>
        <v>2017.2999999999752</v>
      </c>
      <c r="B280" s="67">
        <f>LOOKUP(A280+0.01,Amounts!$A$4:$A$103,Amounts!$B$4:$B$103)*0.1*$A$2</f>
        <v>0</v>
      </c>
      <c r="C280" s="68">
        <f t="shared" si="33"/>
        <v>2992395.4285963499</v>
      </c>
      <c r="D280" s="67">
        <f t="array" ref="D280">SUM($B$7:$B275*$F$1009*EXP(-$F$1009*($A280-$A$7:$A275)))*$F$1010</f>
        <v>262573892.41930687</v>
      </c>
      <c r="E280" s="67">
        <f t="shared" si="31"/>
        <v>500.57394585819958</v>
      </c>
      <c r="F280" s="70">
        <f t="shared" si="35"/>
        <v>30.394849992509879</v>
      </c>
      <c r="G280" s="67">
        <f>E280/'Lookup Tables'!$C$48</f>
        <v>1001.1478917163992</v>
      </c>
      <c r="H280" s="70">
        <f t="shared" si="32"/>
        <v>8.7923428644750834E-2</v>
      </c>
      <c r="I280" s="71">
        <f t="shared" si="36"/>
        <v>1.4416529640716149</v>
      </c>
      <c r="L280" s="74"/>
      <c r="M280" s="74"/>
      <c r="N280" s="74"/>
      <c r="O280" s="74"/>
      <c r="P280" s="74"/>
      <c r="Q280" s="74"/>
      <c r="R280" s="74"/>
      <c r="S280" s="74"/>
      <c r="T280" s="74"/>
      <c r="U280" s="74"/>
      <c r="V280" s="74"/>
      <c r="W280" s="74"/>
      <c r="X280" s="74"/>
      <c r="Y280" s="74"/>
    </row>
    <row r="281" spans="1:25" x14ac:dyDescent="0.3">
      <c r="A281" s="66">
        <f t="shared" si="34"/>
        <v>2017.3999999999751</v>
      </c>
      <c r="B281" s="67">
        <f>LOOKUP(A281+0.01,Amounts!$A$4:$A$103,Amounts!$B$4:$B$103)*0.1*$A$2</f>
        <v>0</v>
      </c>
      <c r="C281" s="68">
        <f t="shared" si="33"/>
        <v>2992395.4285963499</v>
      </c>
      <c r="D281" s="67">
        <f t="array" ref="D281">SUM($B$7:$B276*$F$1009*EXP(-$F$1009*($A281-$A$7:$A276)))*$F$1010</f>
        <v>263196023.61657283</v>
      </c>
      <c r="E281" s="67">
        <f t="shared" si="31"/>
        <v>501.7599840640072</v>
      </c>
      <c r="F281" s="70">
        <f t="shared" si="35"/>
        <v>30.466866232366517</v>
      </c>
      <c r="G281" s="67">
        <f>E281/'Lookup Tables'!$C$48</f>
        <v>1003.5199681280144</v>
      </c>
      <c r="H281" s="70">
        <f t="shared" si="32"/>
        <v>8.8131750604815082E-2</v>
      </c>
      <c r="I281" s="71">
        <f t="shared" si="36"/>
        <v>1.445068754104341</v>
      </c>
      <c r="L281" s="74"/>
      <c r="M281" s="74"/>
      <c r="N281" s="74"/>
      <c r="O281" s="74"/>
      <c r="P281" s="74"/>
      <c r="Q281" s="74"/>
      <c r="R281" s="74"/>
      <c r="S281" s="74"/>
      <c r="T281" s="74"/>
      <c r="U281" s="74"/>
      <c r="V281" s="74"/>
      <c r="W281" s="74"/>
      <c r="X281" s="74"/>
      <c r="Y281" s="74"/>
    </row>
    <row r="282" spans="1:25" x14ac:dyDescent="0.3">
      <c r="A282" s="66">
        <f t="shared" si="34"/>
        <v>2017.499999999975</v>
      </c>
      <c r="B282" s="67">
        <f>LOOKUP(A282+0.01,Amounts!$A$4:$A$103,Amounts!$B$4:$B$103)*0.1*$A$2</f>
        <v>0</v>
      </c>
      <c r="C282" s="68">
        <f t="shared" si="33"/>
        <v>2992395.4285963499</v>
      </c>
      <c r="D282" s="67">
        <f t="array" ref="D282">SUM($B$7:$B277*$F$1009*EXP(-$F$1009*($A282-$A$7:$A277)))*$F$1010</f>
        <v>259536952.54805598</v>
      </c>
      <c r="E282" s="67">
        <f t="shared" si="31"/>
        <v>494.78428809489651</v>
      </c>
      <c r="F282" s="70">
        <f t="shared" si="35"/>
        <v>30.043301973122116</v>
      </c>
      <c r="G282" s="67">
        <f>E282/'Lookup Tables'!$C$48</f>
        <v>989.56857618979302</v>
      </c>
      <c r="H282" s="70">
        <f t="shared" si="32"/>
        <v>8.6906502842996225E-2</v>
      </c>
      <c r="I282" s="71">
        <f t="shared" si="36"/>
        <v>1.424978749713302</v>
      </c>
      <c r="L282" s="74"/>
      <c r="M282" s="74"/>
      <c r="N282" s="74"/>
      <c r="O282" s="74"/>
      <c r="P282" s="74"/>
      <c r="Q282" s="74"/>
      <c r="R282" s="74"/>
      <c r="S282" s="74"/>
      <c r="T282" s="74"/>
      <c r="U282" s="74"/>
      <c r="V282" s="74"/>
      <c r="W282" s="74"/>
      <c r="X282" s="74"/>
      <c r="Y282" s="74"/>
    </row>
    <row r="283" spans="1:25" x14ac:dyDescent="0.3">
      <c r="A283" s="66">
        <f t="shared" si="34"/>
        <v>2017.5999999999749</v>
      </c>
      <c r="B283" s="67">
        <f>LOOKUP(A283+0.01,Amounts!$A$4:$A$103,Amounts!$B$4:$B$103)*0.1*$A$2</f>
        <v>0</v>
      </c>
      <c r="C283" s="68">
        <f t="shared" si="33"/>
        <v>2992395.4285963499</v>
      </c>
      <c r="D283" s="67">
        <f t="array" ref="D283">SUM($B$7:$B278*$F$1009*EXP(-$F$1009*($A283-$A$7:$A278)))*$F$1010</f>
        <v>255928751.55310816</v>
      </c>
      <c r="E283" s="67">
        <f t="shared" si="31"/>
        <v>487.90557143023193</v>
      </c>
      <c r="F283" s="70">
        <f t="shared" si="35"/>
        <v>29.625626297243681</v>
      </c>
      <c r="G283" s="67">
        <f>E283/'Lookup Tables'!$C$48</f>
        <v>975.81114286046386</v>
      </c>
      <c r="H283" s="70">
        <f t="shared" si="32"/>
        <v>8.5698289033953087E-2</v>
      </c>
      <c r="I283" s="71">
        <f t="shared" si="36"/>
        <v>1.4051680457190681</v>
      </c>
      <c r="L283" s="74"/>
      <c r="M283" s="74"/>
      <c r="N283" s="74"/>
      <c r="O283" s="74"/>
      <c r="P283" s="74"/>
      <c r="Q283" s="74"/>
      <c r="R283" s="74"/>
      <c r="S283" s="74"/>
      <c r="T283" s="74"/>
      <c r="U283" s="74"/>
      <c r="V283" s="74"/>
      <c r="W283" s="74"/>
      <c r="X283" s="74"/>
      <c r="Y283" s="74"/>
    </row>
    <row r="284" spans="1:25" x14ac:dyDescent="0.3">
      <c r="A284" s="66">
        <f t="shared" si="34"/>
        <v>2017.6999999999748</v>
      </c>
      <c r="B284" s="67">
        <f>LOOKUP(A284+0.01,Amounts!$A$4:$A$103,Amounts!$B$4:$B$103)*0.1*$A$2</f>
        <v>0</v>
      </c>
      <c r="C284" s="68">
        <f t="shared" si="33"/>
        <v>2992395.4285963499</v>
      </c>
      <c r="D284" s="67">
        <f t="array" ref="D284">SUM($B$7:$B279*$F$1009*EXP(-$F$1009*($A284-$A$7:$A279)))*$F$1010</f>
        <v>252370713.41278324</v>
      </c>
      <c r="E284" s="67">
        <f t="shared" si="31"/>
        <v>481.12248581952616</v>
      </c>
      <c r="F284" s="70">
        <f t="shared" si="35"/>
        <v>29.213757338961628</v>
      </c>
      <c r="G284" s="67">
        <f>E284/'Lookup Tables'!$C$48</f>
        <v>962.24497163905232</v>
      </c>
      <c r="H284" s="70">
        <f t="shared" si="32"/>
        <v>8.4506872363911162E-2</v>
      </c>
      <c r="I284" s="71">
        <f t="shared" si="36"/>
        <v>1.3856327591602353</v>
      </c>
      <c r="L284" s="74"/>
      <c r="M284" s="74"/>
      <c r="N284" s="74"/>
      <c r="O284" s="74"/>
      <c r="P284" s="74"/>
      <c r="Q284" s="74"/>
      <c r="R284" s="74"/>
      <c r="S284" s="74"/>
      <c r="T284" s="74"/>
      <c r="U284" s="74"/>
      <c r="V284" s="74"/>
      <c r="W284" s="74"/>
      <c r="X284" s="74"/>
      <c r="Y284" s="74"/>
    </row>
    <row r="285" spans="1:25" x14ac:dyDescent="0.3">
      <c r="A285" s="66">
        <f t="shared" si="34"/>
        <v>2017.7999999999747</v>
      </c>
      <c r="B285" s="67">
        <f>LOOKUP(A285+0.01,Amounts!$A$4:$A$103,Amounts!$B$4:$B$103)*0.1*$A$2</f>
        <v>0</v>
      </c>
      <c r="C285" s="68">
        <f t="shared" si="33"/>
        <v>2992395.4285963499</v>
      </c>
      <c r="D285" s="67">
        <f t="array" ref="D285">SUM($B$7:$B280*$F$1009*EXP(-$F$1009*($A285-$A$7:$A280)))*$F$1010</f>
        <v>248862140.74021518</v>
      </c>
      <c r="E285" s="67">
        <f t="shared" si="31"/>
        <v>474.43370175628428</v>
      </c>
      <c r="F285" s="70">
        <f t="shared" si="35"/>
        <v>28.807614370641581</v>
      </c>
      <c r="G285" s="67">
        <f>E285/'Lookup Tables'!$C$48</f>
        <v>948.86740351256856</v>
      </c>
      <c r="H285" s="70">
        <f t="shared" si="32"/>
        <v>8.3332019311388963E-2</v>
      </c>
      <c r="I285" s="71">
        <f t="shared" si="36"/>
        <v>1.366369061058099</v>
      </c>
      <c r="L285" s="74"/>
      <c r="M285" s="74"/>
      <c r="N285" s="74"/>
      <c r="O285" s="74"/>
      <c r="P285" s="74"/>
      <c r="Q285" s="74"/>
      <c r="R285" s="74"/>
      <c r="S285" s="74"/>
      <c r="T285" s="74"/>
      <c r="U285" s="74"/>
      <c r="V285" s="74"/>
      <c r="W285" s="74"/>
      <c r="X285" s="74"/>
      <c r="Y285" s="74"/>
    </row>
    <row r="286" spans="1:25" x14ac:dyDescent="0.3">
      <c r="A286" s="66">
        <f t="shared" si="34"/>
        <v>2017.8999999999746</v>
      </c>
      <c r="B286" s="67">
        <f>LOOKUP(A286+0.01,Amounts!$A$4:$A$103,Amounts!$B$4:$B$103)*0.1*$A$2</f>
        <v>0</v>
      </c>
      <c r="C286" s="68">
        <f t="shared" si="33"/>
        <v>2992395.4285963499</v>
      </c>
      <c r="D286" s="67">
        <f t="array" ref="D286">SUM($B$7:$B281*$F$1009*EXP(-$F$1009*($A286-$A$7:$A281)))*$F$1010</f>
        <v>245402345.8439281</v>
      </c>
      <c r="E286" s="67">
        <f t="shared" si="31"/>
        <v>467.83790821741707</v>
      </c>
      <c r="F286" s="70">
        <f t="shared" si="35"/>
        <v>28.407117786961564</v>
      </c>
      <c r="G286" s="67">
        <f>E286/'Lookup Tables'!$C$48</f>
        <v>935.67581643483413</v>
      </c>
      <c r="H286" s="70">
        <f t="shared" si="32"/>
        <v>8.21734996014271E-2</v>
      </c>
      <c r="I286" s="71">
        <f t="shared" si="36"/>
        <v>1.3473731756661611</v>
      </c>
      <c r="L286" s="74"/>
      <c r="M286" s="74"/>
      <c r="N286" s="74"/>
      <c r="O286" s="74"/>
      <c r="P286" s="74"/>
      <c r="Q286" s="74"/>
      <c r="R286" s="74"/>
      <c r="S286" s="74"/>
      <c r="T286" s="74"/>
      <c r="U286" s="74"/>
      <c r="V286" s="74"/>
      <c r="W286" s="74"/>
      <c r="X286" s="74"/>
      <c r="Y286" s="74"/>
    </row>
    <row r="287" spans="1:25" x14ac:dyDescent="0.3">
      <c r="A287" s="66">
        <f t="shared" si="34"/>
        <v>2017.9999999999745</v>
      </c>
      <c r="B287" s="67">
        <f>LOOKUP(A287+0.01,Amounts!$A$4:$A$103,Amounts!$B$4:$B$103)*0.1*$A$2</f>
        <v>0</v>
      </c>
      <c r="C287" s="68">
        <f t="shared" si="33"/>
        <v>2992395.4285963499</v>
      </c>
      <c r="D287" s="67">
        <f t="array" ref="D287">SUM($B$7:$B282*$F$1009*EXP(-$F$1009*($A287-$A$7:$A282)))*$F$1010</f>
        <v>241990650.5930461</v>
      </c>
      <c r="E287" s="67">
        <f t="shared" si="31"/>
        <v>461.333812406275</v>
      </c>
      <c r="F287" s="70">
        <f t="shared" si="35"/>
        <v>28.012189089309018</v>
      </c>
      <c r="G287" s="67">
        <f>E287/'Lookup Tables'!$C$48</f>
        <v>922.66762481255</v>
      </c>
      <c r="H287" s="70">
        <f t="shared" si="32"/>
        <v>8.1031086160453555E-2</v>
      </c>
      <c r="I287" s="71">
        <f t="shared" si="36"/>
        <v>1.328641379730072</v>
      </c>
      <c r="L287" s="74"/>
      <c r="M287" s="74"/>
      <c r="N287" s="74"/>
      <c r="O287" s="74"/>
      <c r="P287" s="74"/>
      <c r="Q287" s="74"/>
      <c r="R287" s="74"/>
      <c r="S287" s="74"/>
      <c r="T287" s="74"/>
      <c r="U287" s="74"/>
      <c r="V287" s="74"/>
      <c r="W287" s="74"/>
      <c r="X287" s="74"/>
      <c r="Y287" s="74"/>
    </row>
    <row r="288" spans="1:25" x14ac:dyDescent="0.3">
      <c r="A288" s="66">
        <f t="shared" si="34"/>
        <v>2018.0999999999744</v>
      </c>
      <c r="B288" s="67">
        <f>LOOKUP(A288+0.01,Amounts!$A$4:$A$103,Amounts!$B$4:$B$103)*0.1*$A$2</f>
        <v>0</v>
      </c>
      <c r="C288" s="68">
        <f t="shared" si="33"/>
        <v>2992395.4285963499</v>
      </c>
      <c r="D288" s="67">
        <f t="array" ref="D288">SUM($B$7:$B283*$F$1009*EXP(-$F$1009*($A288-$A$7:$A283)))*$F$1010</f>
        <v>238626386.28437811</v>
      </c>
      <c r="E288" s="67">
        <f t="shared" si="31"/>
        <v>454.92013949925746</v>
      </c>
      <c r="F288" s="70">
        <f t="shared" si="35"/>
        <v>27.622750870394913</v>
      </c>
      <c r="G288" s="67">
        <f>E288/'Lookup Tables'!$C$48</f>
        <v>909.84027899851492</v>
      </c>
      <c r="H288" s="70">
        <f t="shared" si="32"/>
        <v>7.9904555071776642E-2</v>
      </c>
      <c r="I288" s="71">
        <f t="shared" si="36"/>
        <v>1.3101700017578612</v>
      </c>
      <c r="L288" s="74"/>
      <c r="M288" s="74"/>
      <c r="N288" s="74"/>
      <c r="O288" s="74"/>
      <c r="P288" s="74"/>
      <c r="Q288" s="74"/>
      <c r="R288" s="74"/>
      <c r="S288" s="74"/>
      <c r="T288" s="74"/>
      <c r="U288" s="74"/>
      <c r="V288" s="74"/>
      <c r="W288" s="74"/>
      <c r="X288" s="74"/>
      <c r="Y288" s="74"/>
    </row>
    <row r="289" spans="1:25" x14ac:dyDescent="0.3">
      <c r="A289" s="66">
        <f t="shared" si="34"/>
        <v>2018.1999999999744</v>
      </c>
      <c r="B289" s="67">
        <f>LOOKUP(A289+0.01,Amounts!$A$4:$A$103,Amounts!$B$4:$B$103)*0.1*$A$2</f>
        <v>0</v>
      </c>
      <c r="C289" s="68">
        <f t="shared" si="33"/>
        <v>2992395.4285963499</v>
      </c>
      <c r="D289" s="67">
        <f t="array" ref="D289">SUM($B$7:$B284*$F$1009*EXP(-$F$1009*($A289-$A$7:$A284)))*$F$1010</f>
        <v>235308893.51134935</v>
      </c>
      <c r="E289" s="67">
        <f t="shared" si="31"/>
        <v>448.59563239594212</v>
      </c>
      <c r="F289" s="70">
        <f t="shared" si="35"/>
        <v>27.238726799081608</v>
      </c>
      <c r="G289" s="67">
        <f>E289/'Lookup Tables'!$C$48</f>
        <v>897.19126479188424</v>
      </c>
      <c r="H289" s="70">
        <f t="shared" si="32"/>
        <v>7.8793685531696578E-2</v>
      </c>
      <c r="I289" s="71">
        <f t="shared" si="36"/>
        <v>1.2919554213003135</v>
      </c>
      <c r="L289" s="74"/>
      <c r="M289" s="74"/>
      <c r="N289" s="74"/>
      <c r="O289" s="74"/>
      <c r="P289" s="74"/>
      <c r="Q289" s="74"/>
      <c r="R289" s="74"/>
      <c r="S289" s="74"/>
      <c r="T289" s="74"/>
      <c r="U289" s="74"/>
      <c r="V289" s="74"/>
      <c r="W289" s="74"/>
      <c r="X289" s="74"/>
      <c r="Y289" s="74"/>
    </row>
    <row r="290" spans="1:25" x14ac:dyDescent="0.3">
      <c r="A290" s="66">
        <f t="shared" si="34"/>
        <v>2018.2999999999743</v>
      </c>
      <c r="B290" s="67">
        <f>LOOKUP(A290+0.01,Amounts!$A$4:$A$103,Amounts!$B$4:$B$103)*0.1*$A$2</f>
        <v>0</v>
      </c>
      <c r="C290" s="68">
        <f t="shared" si="33"/>
        <v>2992395.4285963499</v>
      </c>
      <c r="D290" s="67">
        <f t="array" ref="D290">SUM($B$7:$B285*$F$1009*EXP(-$F$1009*($A290-$A$7:$A285)))*$F$1010</f>
        <v>232037522.0347558</v>
      </c>
      <c r="E290" s="67">
        <f t="shared" si="31"/>
        <v>442.35905147268966</v>
      </c>
      <c r="F290" s="70">
        <f t="shared" si="35"/>
        <v>26.860041605421717</v>
      </c>
      <c r="G290" s="67">
        <f>E290/'Lookup Tables'!$C$48</f>
        <v>884.71810294537931</v>
      </c>
      <c r="H290" s="70">
        <f t="shared" si="32"/>
        <v>7.7698259806227174E-2</v>
      </c>
      <c r="I290" s="71">
        <f t="shared" si="36"/>
        <v>1.2739940682413462</v>
      </c>
      <c r="L290" s="74"/>
      <c r="M290" s="74"/>
      <c r="N290" s="74"/>
      <c r="O290" s="74"/>
      <c r="P290" s="74"/>
      <c r="Q290" s="74"/>
      <c r="R290" s="74"/>
      <c r="S290" s="74"/>
      <c r="T290" s="74"/>
      <c r="U290" s="74"/>
      <c r="V290" s="74"/>
      <c r="W290" s="74"/>
      <c r="X290" s="74"/>
      <c r="Y290" s="74"/>
    </row>
    <row r="291" spans="1:25" x14ac:dyDescent="0.3">
      <c r="A291" s="66">
        <f t="shared" si="34"/>
        <v>2018.3999999999742</v>
      </c>
      <c r="B291" s="67">
        <f>LOOKUP(A291+0.01,Amounts!$A$4:$A$103,Amounts!$B$4:$B$103)*0.1*$A$2</f>
        <v>0</v>
      </c>
      <c r="C291" s="68">
        <f t="shared" si="33"/>
        <v>2992395.4285963499</v>
      </c>
      <c r="D291" s="67">
        <f t="array" ref="D291">SUM($B$7:$B286*$F$1009*EXP(-$F$1009*($A291-$A$7:$A286)))*$F$1010</f>
        <v>228811630.65531537</v>
      </c>
      <c r="E291" s="67">
        <f t="shared" si="31"/>
        <v>436.20917433967384</v>
      </c>
      <c r="F291" s="70">
        <f t="shared" si="35"/>
        <v>26.486621065904995</v>
      </c>
      <c r="G291" s="67">
        <f>E291/'Lookup Tables'!$C$48</f>
        <v>872.41834867934767</v>
      </c>
      <c r="H291" s="70">
        <f t="shared" si="32"/>
        <v>7.6618063188419419E-2</v>
      </c>
      <c r="I291" s="71">
        <f t="shared" si="36"/>
        <v>1.2562824220982607</v>
      </c>
      <c r="L291" s="74"/>
      <c r="M291" s="74"/>
      <c r="N291" s="74"/>
      <c r="O291" s="74"/>
      <c r="P291" s="74"/>
      <c r="Q291" s="74"/>
      <c r="R291" s="74"/>
      <c r="S291" s="74"/>
      <c r="T291" s="74"/>
      <c r="U291" s="74"/>
      <c r="V291" s="74"/>
      <c r="W291" s="74"/>
      <c r="X291" s="74"/>
      <c r="Y291" s="74"/>
    </row>
    <row r="292" spans="1:25" x14ac:dyDescent="0.3">
      <c r="A292" s="66">
        <f t="shared" si="34"/>
        <v>2018.4999999999741</v>
      </c>
      <c r="B292" s="67">
        <f>LOOKUP(A292+0.01,Amounts!$A$4:$A$103,Amounts!$B$4:$B$103)*0.1*$A$2</f>
        <v>0</v>
      </c>
      <c r="C292" s="68">
        <f t="shared" si="33"/>
        <v>2992395.4285963499</v>
      </c>
      <c r="D292" s="67">
        <f t="array" ref="D292">SUM($B$7:$B287*$F$1009*EXP(-$F$1009*($A292-$A$7:$A287)))*$F$1010</f>
        <v>225630587.08799031</v>
      </c>
      <c r="E292" s="67">
        <f t="shared" si="31"/>
        <v>430.14479560128837</v>
      </c>
      <c r="F292" s="70">
        <f t="shared" si="35"/>
        <v>26.118391988910233</v>
      </c>
      <c r="G292" s="67">
        <f>E292/'Lookup Tables'!$C$48</f>
        <v>860.28959120257673</v>
      </c>
      <c r="H292" s="70">
        <f t="shared" si="32"/>
        <v>7.5552883956278127E-2</v>
      </c>
      <c r="I292" s="71">
        <f t="shared" si="36"/>
        <v>1.2388170113317105</v>
      </c>
      <c r="L292" s="74"/>
      <c r="M292" s="74"/>
      <c r="N292" s="74"/>
      <c r="O292" s="74"/>
      <c r="P292" s="74"/>
      <c r="Q292" s="74"/>
      <c r="R292" s="74"/>
      <c r="S292" s="74"/>
      <c r="T292" s="74"/>
      <c r="U292" s="74"/>
      <c r="V292" s="74"/>
      <c r="W292" s="74"/>
      <c r="X292" s="74"/>
      <c r="Y292" s="74"/>
    </row>
    <row r="293" spans="1:25" x14ac:dyDescent="0.3">
      <c r="A293" s="66">
        <f t="shared" si="34"/>
        <v>2018.599999999974</v>
      </c>
      <c r="B293" s="67">
        <f>LOOKUP(A293+0.01,Amounts!$A$4:$A$103,Amounts!$B$4:$B$103)*0.1*$A$2</f>
        <v>0</v>
      </c>
      <c r="C293" s="68">
        <f t="shared" si="33"/>
        <v>2992395.4285963499</v>
      </c>
      <c r="D293" s="67">
        <f t="array" ref="D293">SUM($B$7:$B288*$F$1009*EXP(-$F$1009*($A293-$A$7:$A288)))*$F$1010</f>
        <v>222493767.83805794</v>
      </c>
      <c r="E293" s="67">
        <f t="shared" si="31"/>
        <v>424.16472661988666</v>
      </c>
      <c r="F293" s="70">
        <f t="shared" si="35"/>
        <v>25.755282200359517</v>
      </c>
      <c r="G293" s="67">
        <f>E293/'Lookup Tables'!$C$48</f>
        <v>848.32945323977333</v>
      </c>
      <c r="H293" s="70">
        <f t="shared" si="32"/>
        <v>7.4502513331263814E-2</v>
      </c>
      <c r="I293" s="71">
        <f t="shared" si="36"/>
        <v>1.2215944126652736</v>
      </c>
      <c r="L293" s="74"/>
      <c r="M293" s="74"/>
      <c r="N293" s="74"/>
      <c r="O293" s="74"/>
      <c r="P293" s="74"/>
      <c r="Q293" s="74"/>
      <c r="R293" s="74"/>
      <c r="S293" s="74"/>
      <c r="T293" s="74"/>
      <c r="U293" s="74"/>
      <c r="V293" s="74"/>
      <c r="W293" s="74"/>
      <c r="X293" s="74"/>
      <c r="Y293" s="74"/>
    </row>
    <row r="294" spans="1:25" x14ac:dyDescent="0.3">
      <c r="A294" s="66">
        <f t="shared" si="34"/>
        <v>2018.6999999999739</v>
      </c>
      <c r="B294" s="67">
        <f>LOOKUP(A294+0.01,Amounts!$A$4:$A$103,Amounts!$B$4:$B$103)*0.1*$A$2</f>
        <v>0</v>
      </c>
      <c r="C294" s="68">
        <f t="shared" si="33"/>
        <v>2992395.4285963499</v>
      </c>
      <c r="D294" s="67">
        <f t="array" ref="D294">SUM($B$7:$B289*$F$1009*EXP(-$F$1009*($A294-$A$7:$A289)))*$F$1010</f>
        <v>219400558.07890308</v>
      </c>
      <c r="E294" s="67">
        <f t="shared" si="31"/>
        <v>418.26779528280383</v>
      </c>
      <c r="F294" s="70">
        <f t="shared" si="35"/>
        <v>25.39722052957185</v>
      </c>
      <c r="G294" s="67">
        <f>E294/'Lookup Tables'!$C$48</f>
        <v>836.53559056560766</v>
      </c>
      <c r="H294" s="70">
        <f t="shared" si="32"/>
        <v>7.3466745437371334E-2</v>
      </c>
      <c r="I294" s="71">
        <f t="shared" si="36"/>
        <v>1.204611250414475</v>
      </c>
      <c r="L294" s="74"/>
      <c r="M294" s="74"/>
      <c r="N294" s="74"/>
      <c r="O294" s="74"/>
      <c r="P294" s="74"/>
      <c r="Q294" s="74"/>
      <c r="R294" s="74"/>
      <c r="S294" s="74"/>
      <c r="T294" s="74"/>
      <c r="U294" s="74"/>
      <c r="V294" s="74"/>
      <c r="W294" s="74"/>
      <c r="X294" s="74"/>
      <c r="Y294" s="74"/>
    </row>
    <row r="295" spans="1:25" x14ac:dyDescent="0.3">
      <c r="A295" s="66">
        <f t="shared" si="34"/>
        <v>2018.7999999999738</v>
      </c>
      <c r="B295" s="67">
        <f>LOOKUP(A295+0.01,Amounts!$A$4:$A$103,Amounts!$B$4:$B$103)*0.1*$A$2</f>
        <v>0</v>
      </c>
      <c r="C295" s="68">
        <f t="shared" si="33"/>
        <v>2992395.4285963499</v>
      </c>
      <c r="D295" s="67">
        <f t="array" ref="D295">SUM($B$7:$B290*$F$1009*EXP(-$F$1009*($A295-$A$7:$A290)))*$F$1010</f>
        <v>216350351.5315105</v>
      </c>
      <c r="E295" s="67">
        <f t="shared" si="31"/>
        <v>412.45284577261958</v>
      </c>
      <c r="F295" s="70">
        <f t="shared" si="35"/>
        <v>25.044136795313463</v>
      </c>
      <c r="G295" s="67">
        <f>E295/'Lookup Tables'!$C$48</f>
        <v>824.90569154523916</v>
      </c>
      <c r="H295" s="70">
        <f t="shared" si="32"/>
        <v>7.2445377260777599E-2</v>
      </c>
      <c r="I295" s="71">
        <f t="shared" si="36"/>
        <v>1.1878641958251444</v>
      </c>
      <c r="L295" s="74"/>
      <c r="M295" s="74"/>
      <c r="N295" s="74"/>
      <c r="O295" s="74"/>
      <c r="P295" s="74"/>
      <c r="Q295" s="74"/>
      <c r="R295" s="74"/>
      <c r="S295" s="74"/>
      <c r="T295" s="74"/>
      <c r="U295" s="74"/>
      <c r="V295" s="74"/>
      <c r="W295" s="74"/>
      <c r="X295" s="74"/>
      <c r="Y295" s="74"/>
    </row>
    <row r="296" spans="1:25" x14ac:dyDescent="0.3">
      <c r="A296" s="66">
        <f t="shared" si="34"/>
        <v>2018.8999999999737</v>
      </c>
      <c r="B296" s="67">
        <f>LOOKUP(A296+0.01,Amounts!$A$4:$A$103,Amounts!$B$4:$B$103)*0.1*$A$2</f>
        <v>0</v>
      </c>
      <c r="C296" s="68">
        <f t="shared" si="33"/>
        <v>2992395.4285963499</v>
      </c>
      <c r="D296" s="67">
        <f t="array" ref="D296">SUM($B$7:$B291*$F$1009*EXP(-$F$1009*($A296-$A$7:$A291)))*$F$1010</f>
        <v>213342550.34563202</v>
      </c>
      <c r="E296" s="67">
        <f t="shared" si="31"/>
        <v>406.7187383406141</v>
      </c>
      <c r="F296" s="70">
        <f t="shared" si="35"/>
        <v>24.695961792042088</v>
      </c>
      <c r="G296" s="67">
        <f>E296/'Lookup Tables'!$C$48</f>
        <v>813.43747668122819</v>
      </c>
      <c r="H296" s="70">
        <f t="shared" si="32"/>
        <v>7.1438208610050249E-2</v>
      </c>
      <c r="I296" s="71">
        <f t="shared" si="36"/>
        <v>1.1713499664209686</v>
      </c>
      <c r="L296" s="74"/>
      <c r="M296" s="74"/>
      <c r="N296" s="74"/>
      <c r="O296" s="74"/>
      <c r="P296" s="74"/>
      <c r="Q296" s="74"/>
      <c r="R296" s="74"/>
      <c r="S296" s="74"/>
      <c r="T296" s="74"/>
      <c r="U296" s="74"/>
      <c r="V296" s="74"/>
      <c r="W296" s="74"/>
      <c r="X296" s="74"/>
      <c r="Y296" s="74"/>
    </row>
    <row r="297" spans="1:25" x14ac:dyDescent="0.3">
      <c r="A297" s="66">
        <f t="shared" si="34"/>
        <v>2018.9999999999736</v>
      </c>
      <c r="B297" s="67">
        <f>LOOKUP(A297+0.01,Amounts!$A$4:$A$103,Amounts!$B$4:$B$103)*0.1*$A$2</f>
        <v>0</v>
      </c>
      <c r="C297" s="68">
        <f t="shared" si="33"/>
        <v>2992395.4285963499</v>
      </c>
      <c r="D297" s="67">
        <f t="array" ref="D297">SUM($B$7:$B292*$F$1009*EXP(-$F$1009*($A297-$A$7:$A292)))*$F$1010</f>
        <v>210376564.98260644</v>
      </c>
      <c r="E297" s="67">
        <f t="shared" si="31"/>
        <v>401.06434908337422</v>
      </c>
      <c r="F297" s="70">
        <f t="shared" si="35"/>
        <v>24.352627276342481</v>
      </c>
      <c r="G297" s="67">
        <f>E297/'Lookup Tables'!$C$48</f>
        <v>802.12869816674845</v>
      </c>
      <c r="H297" s="70">
        <f t="shared" si="32"/>
        <v>7.0445042076909492E-2</v>
      </c>
      <c r="I297" s="71">
        <f t="shared" si="36"/>
        <v>1.1550653253601177</v>
      </c>
      <c r="L297" s="74"/>
      <c r="M297" s="74"/>
      <c r="N297" s="74"/>
      <c r="O297" s="74"/>
      <c r="P297" s="74"/>
      <c r="Q297" s="74"/>
      <c r="R297" s="74"/>
      <c r="S297" s="74"/>
      <c r="T297" s="74"/>
      <c r="U297" s="74"/>
      <c r="V297" s="74"/>
      <c r="W297" s="74"/>
      <c r="X297" s="74"/>
      <c r="Y297" s="74"/>
    </row>
    <row r="298" spans="1:25" x14ac:dyDescent="0.3">
      <c r="A298" s="66">
        <f t="shared" si="34"/>
        <v>2019.0999999999735</v>
      </c>
      <c r="B298" s="67">
        <f>LOOKUP(A298+0.01,Amounts!$A$4:$A$103,Amounts!$B$4:$B$103)*0.1*$A$2</f>
        <v>0</v>
      </c>
      <c r="C298" s="68">
        <f t="shared" si="33"/>
        <v>2992395.4285963499</v>
      </c>
      <c r="D298" s="67">
        <f t="array" ref="D298">SUM($B$7:$B293*$F$1009*EXP(-$F$1009*($A298-$A$7:$A293)))*$F$1010</f>
        <v>207451814.09980726</v>
      </c>
      <c r="E298" s="67">
        <f t="shared" si="31"/>
        <v>395.4885697225036</v>
      </c>
      <c r="F298" s="70">
        <f t="shared" si="35"/>
        <v>24.014065953550418</v>
      </c>
      <c r="G298" s="67">
        <f>E298/'Lookup Tables'!$C$48</f>
        <v>790.9771394450072</v>
      </c>
      <c r="H298" s="70">
        <f t="shared" si="32"/>
        <v>6.9465682997535333E-2</v>
      </c>
      <c r="I298" s="71">
        <f t="shared" si="36"/>
        <v>1.1390070808008104</v>
      </c>
      <c r="L298" s="74"/>
      <c r="M298" s="74"/>
      <c r="N298" s="74"/>
      <c r="O298" s="74"/>
      <c r="P298" s="74"/>
      <c r="Q298" s="74"/>
      <c r="R298" s="74"/>
      <c r="S298" s="74"/>
      <c r="T298" s="74"/>
      <c r="U298" s="74"/>
      <c r="V298" s="74"/>
      <c r="W298" s="74"/>
      <c r="X298" s="74"/>
      <c r="Y298" s="74"/>
    </row>
    <row r="299" spans="1:25" x14ac:dyDescent="0.3">
      <c r="A299" s="66">
        <f t="shared" si="34"/>
        <v>2019.1999999999734</v>
      </c>
      <c r="B299" s="67">
        <f>LOOKUP(A299+0.01,Amounts!$A$4:$A$103,Amounts!$B$4:$B$103)*0.1*$A$2</f>
        <v>0</v>
      </c>
      <c r="C299" s="68">
        <f t="shared" si="33"/>
        <v>2992395.4285963499</v>
      </c>
      <c r="D299" s="67">
        <f t="array" ref="D299">SUM($B$7:$B294*$F$1009*EXP(-$F$1009*($A299-$A$7:$A294)))*$F$1010</f>
        <v>204567724.43669829</v>
      </c>
      <c r="E299" s="67">
        <f t="shared" si="31"/>
        <v>389.99030738739737</v>
      </c>
      <c r="F299" s="70">
        <f t="shared" si="35"/>
        <v>23.680211464562767</v>
      </c>
      <c r="G299" s="67">
        <f>E299/'Lookup Tables'!$C$48</f>
        <v>779.98061477479473</v>
      </c>
      <c r="H299" s="70">
        <f t="shared" si="32"/>
        <v>6.8499939414412903E-2</v>
      </c>
      <c r="I299" s="71">
        <f t="shared" si="36"/>
        <v>1.1231720852757046</v>
      </c>
      <c r="L299" s="74"/>
      <c r="M299" s="74"/>
      <c r="N299" s="74"/>
      <c r="O299" s="74"/>
      <c r="P299" s="74"/>
      <c r="Q299" s="74"/>
      <c r="R299" s="74"/>
      <c r="S299" s="74"/>
      <c r="T299" s="74"/>
      <c r="U299" s="74"/>
      <c r="V299" s="74"/>
      <c r="W299" s="74"/>
      <c r="X299" s="74"/>
      <c r="Y299" s="74"/>
    </row>
    <row r="300" spans="1:25" x14ac:dyDescent="0.3">
      <c r="A300" s="66">
        <f t="shared" si="34"/>
        <v>2019.2999999999734</v>
      </c>
      <c r="B300" s="67">
        <f>LOOKUP(A300+0.01,Amounts!$A$4:$A$103,Amounts!$B$4:$B$103)*0.1*$A$2</f>
        <v>0</v>
      </c>
      <c r="C300" s="68">
        <f t="shared" si="33"/>
        <v>2992395.4285963499</v>
      </c>
      <c r="D300" s="67">
        <f t="array" ref="D300">SUM($B$7:$B295*$F$1009*EXP(-$F$1009*($A300-$A$7:$A295)))*$F$1010</f>
        <v>201723730.70247254</v>
      </c>
      <c r="E300" s="67">
        <f t="shared" si="31"/>
        <v>384.56848440103602</v>
      </c>
      <c r="F300" s="70">
        <f t="shared" si="35"/>
        <v>23.350998372830908</v>
      </c>
      <c r="G300" s="67">
        <f>E300/'Lookup Tables'!$C$48</f>
        <v>769.13696880207203</v>
      </c>
      <c r="H300" s="70">
        <f t="shared" si="32"/>
        <v>6.7547622038708233E-2</v>
      </c>
      <c r="I300" s="71">
        <f t="shared" si="36"/>
        <v>1.1075572350749838</v>
      </c>
      <c r="L300" s="74"/>
      <c r="M300" s="74"/>
      <c r="N300" s="74"/>
      <c r="O300" s="74"/>
      <c r="P300" s="74"/>
      <c r="Q300" s="74"/>
      <c r="R300" s="74"/>
      <c r="S300" s="74"/>
      <c r="T300" s="74"/>
      <c r="U300" s="74"/>
      <c r="V300" s="74"/>
      <c r="W300" s="74"/>
      <c r="X300" s="74"/>
      <c r="Y300" s="74"/>
    </row>
    <row r="301" spans="1:25" x14ac:dyDescent="0.3">
      <c r="A301" s="66">
        <f t="shared" si="34"/>
        <v>2019.3999999999733</v>
      </c>
      <c r="B301" s="67">
        <f>LOOKUP(A301+0.01,Amounts!$A$4:$A$103,Amounts!$B$4:$B$103)*0.1*$A$2</f>
        <v>0</v>
      </c>
      <c r="C301" s="68">
        <f t="shared" si="33"/>
        <v>2992395.4285963499</v>
      </c>
      <c r="D301" s="67">
        <f t="array" ref="D301">SUM($B$7:$B296*$F$1009*EXP(-$F$1009*($A301-$A$7:$A296)))*$F$1010</f>
        <v>198919275.46525362</v>
      </c>
      <c r="E301" s="67">
        <f t="shared" si="31"/>
        <v>379.22203806875723</v>
      </c>
      <c r="F301" s="70">
        <f t="shared" si="35"/>
        <v>23.026362151534936</v>
      </c>
      <c r="G301" s="67">
        <f>E301/'Lookup Tables'!$C$48</f>
        <v>758.44407613751446</v>
      </c>
      <c r="H301" s="70">
        <f t="shared" si="32"/>
        <v>6.6608544213167004E-2</v>
      </c>
      <c r="I301" s="71">
        <f t="shared" si="36"/>
        <v>1.0921594696380208</v>
      </c>
      <c r="L301" s="74"/>
      <c r="M301" s="74"/>
      <c r="N301" s="74"/>
      <c r="O301" s="74"/>
      <c r="P301" s="74"/>
      <c r="Q301" s="74"/>
      <c r="R301" s="74"/>
      <c r="S301" s="74"/>
      <c r="T301" s="74"/>
      <c r="U301" s="74"/>
      <c r="V301" s="74"/>
      <c r="W301" s="74"/>
      <c r="X301" s="74"/>
      <c r="Y301" s="74"/>
    </row>
    <row r="302" spans="1:25" x14ac:dyDescent="0.3">
      <c r="A302" s="66">
        <f t="shared" si="34"/>
        <v>2019.4999999999732</v>
      </c>
      <c r="B302" s="67">
        <f>LOOKUP(A302+0.01,Amounts!$A$4:$A$103,Amounts!$B$4:$B$103)*0.1*$A$2</f>
        <v>0</v>
      </c>
      <c r="C302" s="68">
        <f t="shared" si="33"/>
        <v>2992395.4285963499</v>
      </c>
      <c r="D302" s="67">
        <f t="array" ref="D302">SUM($B$7:$B297*$F$1009*EXP(-$F$1009*($A302-$A$7:$A297)))*$F$1010</f>
        <v>196153809.04283682</v>
      </c>
      <c r="E302" s="67">
        <f t="shared" si="31"/>
        <v>373.94992046996373</v>
      </c>
      <c r="F302" s="70">
        <f t="shared" si="35"/>
        <v>22.706239170936197</v>
      </c>
      <c r="G302" s="67">
        <f>E302/'Lookup Tables'!$C$48</f>
        <v>747.89984093992746</v>
      </c>
      <c r="H302" s="70">
        <f t="shared" si="32"/>
        <v>6.5682521875529074E-2</v>
      </c>
      <c r="I302" s="71">
        <f t="shared" si="36"/>
        <v>1.0769757709534955</v>
      </c>
      <c r="L302" s="74"/>
      <c r="M302" s="74"/>
      <c r="N302" s="74"/>
      <c r="O302" s="74"/>
      <c r="P302" s="74"/>
      <c r="Q302" s="74"/>
      <c r="R302" s="74"/>
      <c r="S302" s="74"/>
      <c r="T302" s="74"/>
      <c r="U302" s="74"/>
      <c r="V302" s="74"/>
      <c r="W302" s="74"/>
      <c r="X302" s="74"/>
      <c r="Y302" s="74"/>
    </row>
    <row r="303" spans="1:25" x14ac:dyDescent="0.3">
      <c r="A303" s="66">
        <f t="shared" si="34"/>
        <v>2019.5999999999731</v>
      </c>
      <c r="B303" s="67">
        <f>LOOKUP(A303+0.01,Amounts!$A$4:$A$103,Amounts!$B$4:$B$103)*0.1*$A$2</f>
        <v>0</v>
      </c>
      <c r="C303" s="68">
        <f t="shared" si="33"/>
        <v>2992395.4285963499</v>
      </c>
      <c r="D303" s="67">
        <f t="array" ref="D303">SUM($B$7:$B298*$F$1009*EXP(-$F$1009*($A303-$A$7:$A298)))*$F$1010</f>
        <v>193426789.39495018</v>
      </c>
      <c r="E303" s="67">
        <f t="shared" si="31"/>
        <v>368.75109825272841</v>
      </c>
      <c r="F303" s="70">
        <f t="shared" si="35"/>
        <v>22.390566685905668</v>
      </c>
      <c r="G303" s="67">
        <f>E303/'Lookup Tables'!$C$48</f>
        <v>737.50219650545682</v>
      </c>
      <c r="H303" s="70">
        <f t="shared" si="32"/>
        <v>6.4769373522451754E-2</v>
      </c>
      <c r="I303" s="71">
        <f t="shared" si="36"/>
        <v>1.0620031629678579</v>
      </c>
      <c r="L303" s="74"/>
      <c r="M303" s="74"/>
      <c r="N303" s="74"/>
      <c r="O303" s="74"/>
      <c r="P303" s="74"/>
      <c r="Q303" s="74"/>
      <c r="R303" s="74"/>
      <c r="S303" s="74"/>
      <c r="T303" s="74"/>
      <c r="U303" s="74"/>
      <c r="V303" s="74"/>
      <c r="W303" s="74"/>
      <c r="X303" s="74"/>
      <c r="Y303" s="74"/>
    </row>
    <row r="304" spans="1:25" x14ac:dyDescent="0.3">
      <c r="A304" s="66">
        <f t="shared" si="34"/>
        <v>2019.699999999973</v>
      </c>
      <c r="B304" s="67">
        <f>LOOKUP(A304+0.01,Amounts!$A$4:$A$103,Amounts!$B$4:$B$103)*0.1*$A$2</f>
        <v>0</v>
      </c>
      <c r="C304" s="68">
        <f t="shared" si="33"/>
        <v>2992395.4285963499</v>
      </c>
      <c r="D304" s="67">
        <f t="array" ref="D304">SUM($B$7:$B299*$F$1009*EXP(-$F$1009*($A304-$A$7:$A299)))*$F$1010</f>
        <v>190737682.01701257</v>
      </c>
      <c r="E304" s="67">
        <f t="shared" si="31"/>
        <v>363.62455243125333</v>
      </c>
      <c r="F304" s="70">
        <f t="shared" si="35"/>
        <v>22.079282823625704</v>
      </c>
      <c r="G304" s="67">
        <f>E304/'Lookup Tables'!$C$48</f>
        <v>727.24910486250667</v>
      </c>
      <c r="H304" s="70">
        <f t="shared" si="32"/>
        <v>6.3868920173934488E-2</v>
      </c>
      <c r="I304" s="71">
        <f t="shared" si="36"/>
        <v>1.0472387110020096</v>
      </c>
      <c r="L304" s="74"/>
      <c r="M304" s="74"/>
      <c r="N304" s="74"/>
      <c r="O304" s="74"/>
      <c r="P304" s="74"/>
      <c r="Q304" s="74"/>
      <c r="R304" s="74"/>
      <c r="S304" s="74"/>
      <c r="T304" s="74"/>
      <c r="U304" s="74"/>
      <c r="V304" s="74"/>
      <c r="W304" s="74"/>
      <c r="X304" s="74"/>
      <c r="Y304" s="74"/>
    </row>
    <row r="305" spans="1:25" x14ac:dyDescent="0.3">
      <c r="A305" s="66">
        <f t="shared" si="34"/>
        <v>2019.7999999999729</v>
      </c>
      <c r="B305" s="67">
        <f>LOOKUP(A305+0.01,Amounts!$A$4:$A$103,Amounts!$B$4:$B$103)*0.1*$A$2</f>
        <v>0</v>
      </c>
      <c r="C305" s="68">
        <f t="shared" si="33"/>
        <v>2992395.4285963499</v>
      </c>
      <c r="D305" s="67">
        <f t="array" ref="D305">SUM($B$7:$B300*$F$1009*EXP(-$F$1009*($A305-$A$7:$A300)))*$F$1010</f>
        <v>188085959.83536914</v>
      </c>
      <c r="E305" s="67">
        <f t="shared" si="31"/>
        <v>358.56927818614582</v>
      </c>
      <c r="F305" s="70">
        <f t="shared" si="35"/>
        <v>21.772326571462774</v>
      </c>
      <c r="G305" s="67">
        <f>E305/'Lookup Tables'!$C$48</f>
        <v>717.13855637229165</v>
      </c>
      <c r="H305" s="70">
        <f t="shared" si="32"/>
        <v>6.2980985338238371E-2</v>
      </c>
      <c r="I305" s="71">
        <f t="shared" si="36"/>
        <v>1.0326795211761</v>
      </c>
      <c r="L305" s="74"/>
      <c r="M305" s="74"/>
      <c r="N305" s="74"/>
      <c r="O305" s="74"/>
      <c r="P305" s="74"/>
      <c r="Q305" s="74"/>
      <c r="R305" s="74"/>
      <c r="S305" s="74"/>
      <c r="T305" s="74"/>
      <c r="U305" s="74"/>
      <c r="V305" s="74"/>
      <c r="W305" s="74"/>
      <c r="X305" s="74"/>
      <c r="Y305" s="74"/>
    </row>
    <row r="306" spans="1:25" x14ac:dyDescent="0.3">
      <c r="A306" s="66">
        <f t="shared" si="34"/>
        <v>2019.8999999999728</v>
      </c>
      <c r="B306" s="67">
        <f>LOOKUP(A306+0.01,Amounts!$A$4:$A$103,Amounts!$B$4:$B$103)*0.1*$A$2</f>
        <v>0</v>
      </c>
      <c r="C306" s="68">
        <f t="shared" si="33"/>
        <v>2992395.4285963499</v>
      </c>
      <c r="D306" s="67">
        <f t="array" ref="D306">SUM($B$7:$B301*$F$1009*EXP(-$F$1009*($A306-$A$7:$A301)))*$F$1010</f>
        <v>185471103.10398313</v>
      </c>
      <c r="E306" s="67">
        <f t="shared" si="31"/>
        <v>353.58428466746983</v>
      </c>
      <c r="F306" s="70">
        <f t="shared" si="35"/>
        <v>21.46963776500877</v>
      </c>
      <c r="G306" s="67">
        <f>E306/'Lookup Tables'!$C$48</f>
        <v>707.16856933493966</v>
      </c>
      <c r="H306" s="70">
        <f t="shared" si="32"/>
        <v>6.2105394977292956E-2</v>
      </c>
      <c r="I306" s="71">
        <f t="shared" si="36"/>
        <v>1.0183227398423131</v>
      </c>
      <c r="L306" s="74"/>
      <c r="M306" s="74"/>
      <c r="N306" s="74"/>
      <c r="O306" s="74"/>
      <c r="P306" s="74"/>
      <c r="Q306" s="74"/>
      <c r="R306" s="74"/>
      <c r="S306" s="74"/>
      <c r="T306" s="74"/>
      <c r="U306" s="74"/>
      <c r="V306" s="74"/>
      <c r="W306" s="74"/>
      <c r="X306" s="74"/>
      <c r="Y306" s="74"/>
    </row>
    <row r="307" spans="1:25" x14ac:dyDescent="0.3">
      <c r="A307" s="66">
        <f t="shared" si="34"/>
        <v>2019.9999999999727</v>
      </c>
      <c r="B307" s="67">
        <f>LOOKUP(A307+0.01,Amounts!$A$4:$A$103,Amounts!$B$4:$B$103)*0.1*$A$2</f>
        <v>0</v>
      </c>
      <c r="C307" s="68">
        <f t="shared" si="33"/>
        <v>2992395.4285963499</v>
      </c>
      <c r="D307" s="67">
        <f t="array" ref="D307">SUM($B$7:$B302*$F$1009*EXP(-$F$1009*($A307-$A$7:$A302)))*$F$1010</f>
        <v>182892599.30256417</v>
      </c>
      <c r="E307" s="67">
        <f t="shared" si="31"/>
        <v>348.66859480053716</v>
      </c>
      <c r="F307" s="70">
        <f t="shared" si="35"/>
        <v>21.171157076288619</v>
      </c>
      <c r="G307" s="67">
        <f>E307/'Lookup Tables'!$C$48</f>
        <v>697.33718960107433</v>
      </c>
      <c r="H307" s="70">
        <f t="shared" si="32"/>
        <v>6.1241977472584454E-2</v>
      </c>
      <c r="I307" s="71">
        <f t="shared" si="36"/>
        <v>1.0041655530255471</v>
      </c>
      <c r="L307" s="74"/>
      <c r="M307" s="74"/>
      <c r="N307" s="74"/>
      <c r="O307" s="74"/>
      <c r="P307" s="74"/>
      <c r="Q307" s="74"/>
      <c r="R307" s="74"/>
      <c r="S307" s="74"/>
      <c r="T307" s="74"/>
      <c r="U307" s="74"/>
      <c r="V307" s="74"/>
      <c r="W307" s="74"/>
      <c r="X307" s="74"/>
      <c r="Y307" s="74"/>
    </row>
    <row r="308" spans="1:25" x14ac:dyDescent="0.3">
      <c r="A308" s="66">
        <f t="shared" si="34"/>
        <v>2020.0999999999726</v>
      </c>
      <c r="B308" s="67">
        <f>LOOKUP(A308+0.01,Amounts!$A$4:$A$103,Amounts!$B$4:$B$103)*0.1*$A$2</f>
        <v>0</v>
      </c>
      <c r="C308" s="68">
        <f t="shared" si="33"/>
        <v>2992395.4285963499</v>
      </c>
      <c r="D308" s="67">
        <f t="array" ref="D308">SUM($B$7:$B303*$F$1009*EXP(-$F$1009*($A308-$A$7:$A303)))*$F$1010</f>
        <v>180349943.03611243</v>
      </c>
      <c r="E308" s="67">
        <f t="shared" si="31"/>
        <v>343.82124509439694</v>
      </c>
      <c r="F308" s="70">
        <f t="shared" si="35"/>
        <v>20.876826002131782</v>
      </c>
      <c r="G308" s="67">
        <f>E308/'Lookup Tables'!$C$48</f>
        <v>687.64249018879389</v>
      </c>
      <c r="H308" s="70">
        <f t="shared" si="32"/>
        <v>6.0390563591517808E-2</v>
      </c>
      <c r="I308" s="71">
        <f t="shared" si="36"/>
        <v>0.99020518587186324</v>
      </c>
      <c r="L308" s="74"/>
      <c r="M308" s="74"/>
      <c r="N308" s="74"/>
      <c r="O308" s="74"/>
      <c r="P308" s="74"/>
      <c r="Q308" s="74"/>
      <c r="R308" s="74"/>
      <c r="S308" s="74"/>
      <c r="T308" s="74"/>
      <c r="U308" s="74"/>
      <c r="V308" s="74"/>
      <c r="W308" s="74"/>
      <c r="X308" s="74"/>
      <c r="Y308" s="74"/>
    </row>
    <row r="309" spans="1:25" x14ac:dyDescent="0.3">
      <c r="A309" s="66">
        <f t="shared" si="34"/>
        <v>2020.1999999999725</v>
      </c>
      <c r="B309" s="67">
        <f>LOOKUP(A309+0.01,Amounts!$A$4:$A$103,Amounts!$B$4:$B$103)*0.1*$A$2</f>
        <v>0</v>
      </c>
      <c r="C309" s="68">
        <f t="shared" si="33"/>
        <v>2992395.4285963499</v>
      </c>
      <c r="D309" s="67">
        <f t="array" ref="D309">SUM($B$7:$B304*$F$1009*EXP(-$F$1009*($A309-$A$7:$A304)))*$F$1010</f>
        <v>177842635.9358598</v>
      </c>
      <c r="E309" s="67">
        <f t="shared" si="31"/>
        <v>339.04128545298875</v>
      </c>
      <c r="F309" s="70">
        <f t="shared" si="35"/>
        <v>20.58658685270548</v>
      </c>
      <c r="G309" s="67">
        <f>E309/'Lookup Tables'!$C$48</f>
        <v>678.08257090597749</v>
      </c>
      <c r="H309" s="70">
        <f t="shared" si="32"/>
        <v>5.9550986454246668E-2</v>
      </c>
      <c r="I309" s="71">
        <f t="shared" si="36"/>
        <v>0.9764389021046076</v>
      </c>
      <c r="L309" s="74"/>
      <c r="M309" s="74"/>
      <c r="N309" s="74"/>
      <c r="O309" s="74"/>
      <c r="P309" s="74"/>
      <c r="Q309" s="74"/>
      <c r="R309" s="74"/>
      <c r="S309" s="74"/>
      <c r="T309" s="74"/>
      <c r="U309" s="74"/>
      <c r="V309" s="74"/>
      <c r="W309" s="74"/>
      <c r="X309" s="74"/>
      <c r="Y309" s="74"/>
    </row>
    <row r="310" spans="1:25" x14ac:dyDescent="0.3">
      <c r="A310" s="66">
        <f t="shared" si="34"/>
        <v>2020.2999999999724</v>
      </c>
      <c r="B310" s="67">
        <f>LOOKUP(A310+0.01,Amounts!$A$4:$A$103,Amounts!$B$4:$B$103)*0.1*$A$2</f>
        <v>0</v>
      </c>
      <c r="C310" s="68">
        <f t="shared" si="33"/>
        <v>2992395.4285963499</v>
      </c>
      <c r="D310" s="67">
        <f t="array" ref="D310">SUM($B$7:$B305*$F$1009*EXP(-$F$1009*($A310-$A$7:$A305)))*$F$1010</f>
        <v>175370186.56158775</v>
      </c>
      <c r="E310" s="67">
        <f t="shared" si="31"/>
        <v>334.32777898892039</v>
      </c>
      <c r="F310" s="70">
        <f t="shared" si="35"/>
        <v>20.300382740207244</v>
      </c>
      <c r="G310" s="67">
        <f>E310/'Lookup Tables'!$C$48</f>
        <v>668.65555797784077</v>
      </c>
      <c r="H310" s="70">
        <f t="shared" si="32"/>
        <v>5.8723081500964329E-2</v>
      </c>
      <c r="I310" s="71">
        <f t="shared" si="36"/>
        <v>0.96286400348809054</v>
      </c>
      <c r="L310" s="74"/>
      <c r="M310" s="74"/>
      <c r="N310" s="74"/>
      <c r="O310" s="74"/>
      <c r="P310" s="74"/>
      <c r="Q310" s="74"/>
      <c r="R310" s="74"/>
      <c r="S310" s="74"/>
      <c r="T310" s="74"/>
      <c r="U310" s="74"/>
      <c r="V310" s="74"/>
      <c r="W310" s="74"/>
      <c r="X310" s="74"/>
      <c r="Y310" s="74"/>
    </row>
    <row r="311" spans="1:25" x14ac:dyDescent="0.3">
      <c r="A311" s="66">
        <f t="shared" si="34"/>
        <v>2020.3999999999724</v>
      </c>
      <c r="B311" s="67">
        <f>LOOKUP(A311+0.01,Amounts!$A$4:$A$103,Amounts!$B$4:$B$103)*0.1*$A$2</f>
        <v>0</v>
      </c>
      <c r="C311" s="68">
        <f t="shared" si="33"/>
        <v>2992395.4285963499</v>
      </c>
      <c r="D311" s="67">
        <f t="array" ref="D311">SUM($B$7:$B306*$F$1009*EXP(-$F$1009*($A311-$A$7:$A306)))*$F$1010</f>
        <v>172932110.30530381</v>
      </c>
      <c r="E311" s="67">
        <f t="shared" si="31"/>
        <v>329.67980183983542</v>
      </c>
      <c r="F311" s="70">
        <f t="shared" si="35"/>
        <v>20.018157567714805</v>
      </c>
      <c r="G311" s="67">
        <f>E311/'Lookup Tables'!$C$48</f>
        <v>659.35960367967084</v>
      </c>
      <c r="H311" s="70">
        <f t="shared" si="32"/>
        <v>5.790668645964956E-2</v>
      </c>
      <c r="I311" s="71">
        <f t="shared" si="36"/>
        <v>0.94947782929872593</v>
      </c>
      <c r="L311" s="74"/>
      <c r="M311" s="74"/>
      <c r="N311" s="74"/>
      <c r="O311" s="74"/>
      <c r="P311" s="74"/>
      <c r="Q311" s="74"/>
      <c r="R311" s="74"/>
      <c r="S311" s="74"/>
      <c r="T311" s="74"/>
      <c r="U311" s="74"/>
      <c r="V311" s="74"/>
      <c r="W311" s="74"/>
      <c r="X311" s="74"/>
      <c r="Y311" s="74"/>
    </row>
    <row r="312" spans="1:25" x14ac:dyDescent="0.3">
      <c r="A312" s="66">
        <f t="shared" si="34"/>
        <v>2020.4999999999723</v>
      </c>
      <c r="B312" s="67">
        <f>LOOKUP(A312+0.01,Amounts!$A$4:$A$103,Amounts!$B$4:$B$103)*0.1*$A$2</f>
        <v>0</v>
      </c>
      <c r="C312" s="68">
        <f t="shared" si="33"/>
        <v>2992395.4285963499</v>
      </c>
      <c r="D312" s="67">
        <f t="array" ref="D312">SUM($B$7:$B307*$F$1009*EXP(-$F$1009*($A312-$A$7:$A307)))*$F$1010</f>
        <v>170527929.2962566</v>
      </c>
      <c r="E312" s="67">
        <f t="shared" si="31"/>
        <v>325.09644298733275</v>
      </c>
      <c r="F312" s="70">
        <f t="shared" si="35"/>
        <v>19.739856018190842</v>
      </c>
      <c r="G312" s="67">
        <f>E312/'Lookup Tables'!$C$48</f>
        <v>650.1928859746655</v>
      </c>
      <c r="H312" s="70">
        <f t="shared" si="32"/>
        <v>5.7101641314260668E-2</v>
      </c>
      <c r="I312" s="71">
        <f t="shared" si="36"/>
        <v>0.93627775580351824</v>
      </c>
      <c r="L312" s="74"/>
      <c r="M312" s="74"/>
      <c r="N312" s="74"/>
      <c r="O312" s="74"/>
      <c r="P312" s="74"/>
      <c r="Q312" s="74"/>
      <c r="R312" s="74"/>
      <c r="S312" s="74"/>
      <c r="T312" s="74"/>
      <c r="U312" s="74"/>
      <c r="V312" s="74"/>
      <c r="W312" s="74"/>
      <c r="X312" s="74"/>
      <c r="Y312" s="74"/>
    </row>
    <row r="313" spans="1:25" x14ac:dyDescent="0.3">
      <c r="A313" s="66">
        <f t="shared" si="34"/>
        <v>2020.5999999999722</v>
      </c>
      <c r="B313" s="67">
        <f>LOOKUP(A313+0.01,Amounts!$A$4:$A$103,Amounts!$B$4:$B$103)*0.1*$A$2</f>
        <v>0</v>
      </c>
      <c r="C313" s="68">
        <f t="shared" si="33"/>
        <v>2992395.4285963499</v>
      </c>
      <c r="D313" s="67">
        <f t="array" ref="D313">SUM($B$7:$B308*$F$1009*EXP(-$F$1009*($A313-$A$7:$A308)))*$F$1010</f>
        <v>168157172.30727175</v>
      </c>
      <c r="E313" s="67">
        <f t="shared" si="31"/>
        <v>320.57680407840445</v>
      </c>
      <c r="F313" s="70">
        <f t="shared" si="35"/>
        <v>19.465423543640718</v>
      </c>
      <c r="G313" s="67">
        <f>E313/'Lookup Tables'!$C$48</f>
        <v>641.1536081568089</v>
      </c>
      <c r="H313" s="70">
        <f t="shared" si="32"/>
        <v>5.6307788273371955E-2</v>
      </c>
      <c r="I313" s="71">
        <f t="shared" si="36"/>
        <v>0.92326119574580479</v>
      </c>
      <c r="L313" s="74"/>
      <c r="M313" s="74"/>
      <c r="N313" s="74"/>
      <c r="O313" s="74"/>
      <c r="P313" s="74"/>
      <c r="Q313" s="74"/>
      <c r="R313" s="74"/>
      <c r="S313" s="74"/>
      <c r="T313" s="74"/>
      <c r="U313" s="74"/>
      <c r="V313" s="74"/>
      <c r="W313" s="74"/>
      <c r="X313" s="74"/>
      <c r="Y313" s="74"/>
    </row>
    <row r="314" spans="1:25" x14ac:dyDescent="0.3">
      <c r="A314" s="66">
        <f t="shared" si="34"/>
        <v>2020.6999999999721</v>
      </c>
      <c r="B314" s="67">
        <f>LOOKUP(A314+0.01,Amounts!$A$4:$A$103,Amounts!$B$4:$B$103)*0.1*$A$2</f>
        <v>0</v>
      </c>
      <c r="C314" s="68">
        <f t="shared" si="33"/>
        <v>2992395.4285963499</v>
      </c>
      <c r="D314" s="67">
        <f t="array" ref="D314">SUM($B$7:$B309*$F$1009*EXP(-$F$1009*($A314-$A$7:$A309)))*$F$1010</f>
        <v>165819374.66238973</v>
      </c>
      <c r="E314" s="67">
        <f t="shared" si="31"/>
        <v>316.11999924935526</v>
      </c>
      <c r="F314" s="70">
        <f t="shared" si="35"/>
        <v>19.194806354420852</v>
      </c>
      <c r="G314" s="67">
        <f>E314/'Lookup Tables'!$C$48</f>
        <v>632.23999849871052</v>
      </c>
      <c r="H314" s="70">
        <f t="shared" si="32"/>
        <v>5.5524971739245969E-2</v>
      </c>
      <c r="I314" s="71">
        <f t="shared" si="36"/>
        <v>0.91042559783814325</v>
      </c>
      <c r="L314" s="74"/>
      <c r="M314" s="74"/>
      <c r="N314" s="74"/>
      <c r="O314" s="74"/>
      <c r="P314" s="74"/>
      <c r="Q314" s="74"/>
      <c r="R314" s="74"/>
      <c r="S314" s="74"/>
      <c r="T314" s="74"/>
      <c r="U314" s="74"/>
      <c r="V314" s="74"/>
      <c r="W314" s="74"/>
      <c r="X314" s="74"/>
      <c r="Y314" s="74"/>
    </row>
    <row r="315" spans="1:25" x14ac:dyDescent="0.3">
      <c r="A315" s="66">
        <f t="shared" si="34"/>
        <v>2020.799999999972</v>
      </c>
      <c r="B315" s="67">
        <f>LOOKUP(A315+0.01,Amounts!$A$4:$A$103,Amounts!$B$4:$B$103)*0.1*$A$2</f>
        <v>0</v>
      </c>
      <c r="C315" s="68">
        <f t="shared" si="33"/>
        <v>2992395.4285963499</v>
      </c>
      <c r="D315" s="67">
        <f t="array" ref="D315">SUM($B$7:$B310*$F$1009*EXP(-$F$1009*($A315-$A$7:$A310)))*$F$1010</f>
        <v>163514078.14578798</v>
      </c>
      <c r="E315" s="67">
        <f t="shared" si="31"/>
        <v>311.7251549521709</v>
      </c>
      <c r="F315" s="70">
        <f t="shared" si="35"/>
        <v>18.927951408695819</v>
      </c>
      <c r="G315" s="67">
        <f>E315/'Lookup Tables'!$C$48</f>
        <v>623.45030990434179</v>
      </c>
      <c r="H315" s="70">
        <f t="shared" si="32"/>
        <v>5.475303827733595E-2</v>
      </c>
      <c r="I315" s="71">
        <f t="shared" si="36"/>
        <v>0.89776844626225227</v>
      </c>
      <c r="L315" s="74"/>
      <c r="M315" s="74"/>
      <c r="N315" s="74"/>
      <c r="O315" s="74"/>
      <c r="P315" s="74"/>
      <c r="Q315" s="74"/>
      <c r="R315" s="74"/>
      <c r="S315" s="74"/>
      <c r="T315" s="74"/>
      <c r="U315" s="74"/>
      <c r="V315" s="74"/>
      <c r="W315" s="74"/>
      <c r="X315" s="74"/>
      <c r="Y315" s="74"/>
    </row>
    <row r="316" spans="1:25" x14ac:dyDescent="0.3">
      <c r="A316" s="66">
        <f t="shared" si="34"/>
        <v>2020.8999999999719</v>
      </c>
      <c r="B316" s="67">
        <f>LOOKUP(A316+0.01,Amounts!$A$4:$A$103,Amounts!$B$4:$B$103)*0.1*$A$2</f>
        <v>0</v>
      </c>
      <c r="C316" s="68">
        <f t="shared" si="33"/>
        <v>2992395.4285963499</v>
      </c>
      <c r="D316" s="67">
        <f t="array" ref="D316">SUM($B$7:$B311*$F$1009*EXP(-$F$1009*($A316-$A$7:$A311)))*$F$1010</f>
        <v>161240830.9119693</v>
      </c>
      <c r="E316" s="67">
        <f t="shared" si="31"/>
        <v>307.39140978329976</v>
      </c>
      <c r="F316" s="70">
        <f t="shared" si="35"/>
        <v>18.664806402041965</v>
      </c>
      <c r="G316" s="67">
        <f>E316/'Lookup Tables'!$C$48</f>
        <v>614.78281956659953</v>
      </c>
      <c r="H316" s="70">
        <f t="shared" si="32"/>
        <v>5.3991836586212143E-2</v>
      </c>
      <c r="I316" s="71">
        <f t="shared" si="36"/>
        <v>0.88528726017590331</v>
      </c>
      <c r="L316" s="74"/>
      <c r="M316" s="74"/>
      <c r="N316" s="74"/>
      <c r="O316" s="74"/>
      <c r="P316" s="74"/>
      <c r="Q316" s="74"/>
      <c r="R316" s="74"/>
      <c r="S316" s="74"/>
      <c r="T316" s="74"/>
      <c r="U316" s="74"/>
      <c r="V316" s="74"/>
      <c r="W316" s="74"/>
      <c r="X316" s="74"/>
      <c r="Y316" s="74"/>
    </row>
    <row r="317" spans="1:25" x14ac:dyDescent="0.3">
      <c r="A317" s="66">
        <f t="shared" si="34"/>
        <v>2020.9999999999718</v>
      </c>
      <c r="B317" s="67">
        <f>LOOKUP(A317+0.01,Amounts!$A$4:$A$103,Amounts!$B$4:$B$103)*0.1*$A$2</f>
        <v>0</v>
      </c>
      <c r="C317" s="68">
        <f t="shared" si="33"/>
        <v>2992395.4285963499</v>
      </c>
      <c r="D317" s="67">
        <f t="array" ref="D317">SUM($B$7:$B312*$F$1009*EXP(-$F$1009*($A317-$A$7:$A312)))*$F$1010</f>
        <v>158999187.39719832</v>
      </c>
      <c r="E317" s="67">
        <f t="shared" si="31"/>
        <v>303.11791431481487</v>
      </c>
      <c r="F317" s="70">
        <f t="shared" si="35"/>
        <v>18.40531975719556</v>
      </c>
      <c r="G317" s="67">
        <f>E317/'Lookup Tables'!$C$48</f>
        <v>606.23582862962974</v>
      </c>
      <c r="H317" s="70">
        <f t="shared" si="32"/>
        <v>5.3241217467906221E-2</v>
      </c>
      <c r="I317" s="71">
        <f t="shared" si="36"/>
        <v>0.87297959322666685</v>
      </c>
      <c r="L317" s="74"/>
      <c r="M317" s="74"/>
      <c r="N317" s="74"/>
      <c r="O317" s="74"/>
      <c r="P317" s="74"/>
      <c r="Q317" s="74"/>
      <c r="R317" s="74"/>
      <c r="S317" s="74"/>
      <c r="T317" s="74"/>
      <c r="U317" s="74"/>
      <c r="V317" s="74"/>
      <c r="W317" s="74"/>
      <c r="X317" s="74"/>
      <c r="Y317" s="74"/>
    </row>
    <row r="318" spans="1:25" x14ac:dyDescent="0.3">
      <c r="A318" s="66">
        <f t="shared" si="34"/>
        <v>2021.0999999999717</v>
      </c>
      <c r="B318" s="67">
        <f>LOOKUP(A318+0.01,Amounts!$A$4:$A$103,Amounts!$B$4:$B$103)*0.1*$A$2</f>
        <v>0</v>
      </c>
      <c r="C318" s="68">
        <f t="shared" si="33"/>
        <v>2992395.4285963499</v>
      </c>
      <c r="D318" s="67">
        <f t="array" ref="D318">SUM($B$7:$B313*$F$1009*EXP(-$F$1009*($A318-$A$7:$A313)))*$F$1010</f>
        <v>156788708.23216981</v>
      </c>
      <c r="E318" s="67">
        <f t="shared" si="31"/>
        <v>298.90383092792331</v>
      </c>
      <c r="F318" s="70">
        <f t="shared" si="35"/>
        <v>18.149440613943504</v>
      </c>
      <c r="G318" s="67">
        <f>E318/'Lookup Tables'!$C$48</f>
        <v>597.80766185584662</v>
      </c>
      <c r="H318" s="70">
        <f t="shared" si="32"/>
        <v>5.2501033798667975E-2</v>
      </c>
      <c r="I318" s="71">
        <f t="shared" si="36"/>
        <v>0.86084303307241927</v>
      </c>
      <c r="L318" s="74"/>
      <c r="M318" s="74"/>
      <c r="N318" s="74"/>
      <c r="O318" s="74"/>
      <c r="P318" s="74"/>
      <c r="Q318" s="74"/>
      <c r="R318" s="74"/>
      <c r="S318" s="74"/>
      <c r="T318" s="74"/>
      <c r="U318" s="74"/>
      <c r="V318" s="74"/>
      <c r="W318" s="74"/>
      <c r="X318" s="74"/>
      <c r="Y318" s="74"/>
    </row>
    <row r="319" spans="1:25" x14ac:dyDescent="0.3">
      <c r="A319" s="66">
        <f t="shared" si="34"/>
        <v>2021.1999999999716</v>
      </c>
      <c r="B319" s="67">
        <f>LOOKUP(A319+0.01,Amounts!$A$4:$A$103,Amounts!$B$4:$B$103)*0.1*$A$2</f>
        <v>0</v>
      </c>
      <c r="C319" s="68">
        <f t="shared" si="33"/>
        <v>2992395.4285963499</v>
      </c>
      <c r="D319" s="67">
        <f t="array" ref="D319">SUM($B$7:$B314*$F$1009*EXP(-$F$1009*($A319-$A$7:$A314)))*$F$1010</f>
        <v>154608960.15589097</v>
      </c>
      <c r="E319" s="67">
        <f t="shared" si="31"/>
        <v>294.74833364879055</v>
      </c>
      <c r="F319" s="70">
        <f t="shared" si="35"/>
        <v>17.897118819154564</v>
      </c>
      <c r="G319" s="67">
        <f>E319/'Lookup Tables'!$C$48</f>
        <v>589.4966672975811</v>
      </c>
      <c r="H319" s="70">
        <f t="shared" si="32"/>
        <v>5.1771140500128647E-2</v>
      </c>
      <c r="I319" s="71">
        <f t="shared" si="36"/>
        <v>0.84887520090851676</v>
      </c>
      <c r="L319" s="74"/>
      <c r="M319" s="74"/>
      <c r="N319" s="74"/>
      <c r="O319" s="74"/>
      <c r="P319" s="74"/>
      <c r="Q319" s="74"/>
      <c r="R319" s="74"/>
      <c r="S319" s="74"/>
      <c r="T319" s="74"/>
      <c r="U319" s="74"/>
      <c r="V319" s="74"/>
      <c r="W319" s="74"/>
      <c r="X319" s="74"/>
      <c r="Y319" s="74"/>
    </row>
    <row r="320" spans="1:25" x14ac:dyDescent="0.3">
      <c r="A320" s="66">
        <f t="shared" si="34"/>
        <v>2021.2999999999715</v>
      </c>
      <c r="B320" s="67">
        <f>LOOKUP(A320+0.01,Amounts!$A$4:$A$103,Amounts!$B$4:$B$103)*0.1*$A$2</f>
        <v>0</v>
      </c>
      <c r="C320" s="68">
        <f t="shared" si="33"/>
        <v>2992395.4285963499</v>
      </c>
      <c r="D320" s="67">
        <f t="array" ref="D320">SUM($B$7:$B315*$F$1009*EXP(-$F$1009*($A320-$A$7:$A315)))*$F$1010</f>
        <v>152459515.93076068</v>
      </c>
      <c r="E320" s="67">
        <f t="shared" si="31"/>
        <v>290.65060798664672</v>
      </c>
      <c r="F320" s="70">
        <f t="shared" si="35"/>
        <v>17.64830491694919</v>
      </c>
      <c r="G320" s="67">
        <f>E320/'Lookup Tables'!$C$48</f>
        <v>581.30121597329344</v>
      </c>
      <c r="H320" s="70">
        <f t="shared" si="32"/>
        <v>5.1051394510865107E-2</v>
      </c>
      <c r="I320" s="71">
        <f t="shared" si="36"/>
        <v>0.83707375100154258</v>
      </c>
      <c r="L320" s="74"/>
      <c r="M320" s="74"/>
      <c r="N320" s="74"/>
      <c r="O320" s="74"/>
      <c r="P320" s="74"/>
      <c r="Q320" s="74"/>
      <c r="R320" s="74"/>
      <c r="S320" s="74"/>
      <c r="T320" s="74"/>
      <c r="U320" s="74"/>
      <c r="V320" s="74"/>
      <c r="W320" s="74"/>
      <c r="X320" s="74"/>
      <c r="Y320" s="74"/>
    </row>
    <row r="321" spans="1:25" x14ac:dyDescent="0.3">
      <c r="A321" s="66">
        <f t="shared" si="34"/>
        <v>2021.3999999999714</v>
      </c>
      <c r="B321" s="67">
        <f>LOOKUP(A321+0.01,Amounts!$A$4:$A$103,Amounts!$B$4:$B$103)*0.1*$A$2</f>
        <v>0</v>
      </c>
      <c r="C321" s="68">
        <f t="shared" si="33"/>
        <v>2992395.4285963499</v>
      </c>
      <c r="D321" s="67">
        <f t="array" ref="D321">SUM($B$7:$B316*$F$1009*EXP(-$F$1009*($A321-$A$7:$A316)))*$F$1010</f>
        <v>150339954.25882974</v>
      </c>
      <c r="E321" s="67">
        <f t="shared" si="31"/>
        <v>286.60985077414381</v>
      </c>
      <c r="F321" s="70">
        <f t="shared" si="35"/>
        <v>17.402950139006016</v>
      </c>
      <c r="G321" s="67">
        <f>E321/'Lookup Tables'!$C$48</f>
        <v>573.21970154828762</v>
      </c>
      <c r="H321" s="70">
        <f t="shared" si="32"/>
        <v>5.0341654758359285E-2</v>
      </c>
      <c r="I321" s="71">
        <f t="shared" si="36"/>
        <v>0.8254363702295342</v>
      </c>
      <c r="L321" s="74"/>
      <c r="M321" s="74"/>
      <c r="N321" s="74"/>
      <c r="O321" s="74"/>
      <c r="P321" s="74"/>
      <c r="Q321" s="74"/>
      <c r="R321" s="74"/>
      <c r="S321" s="74"/>
      <c r="T321" s="74"/>
      <c r="U321" s="74"/>
      <c r="V321" s="74"/>
      <c r="W321" s="74"/>
      <c r="X321" s="74"/>
      <c r="Y321" s="74"/>
    </row>
    <row r="322" spans="1:25" x14ac:dyDescent="0.3">
      <c r="A322" s="66">
        <f t="shared" si="34"/>
        <v>2021.4999999999714</v>
      </c>
      <c r="B322" s="67">
        <f>LOOKUP(A322+0.01,Amounts!$A$4:$A$103,Amounts!$B$4:$B$103)*0.1*$A$2</f>
        <v>0</v>
      </c>
      <c r="C322" s="68">
        <f t="shared" si="33"/>
        <v>2992395.4285963499</v>
      </c>
      <c r="D322" s="67">
        <f t="array" ref="D322">SUM($B$7:$B317*$F$1009*EXP(-$F$1009*($A322-$A$7:$A317)))*$F$1010</f>
        <v>148249859.69922486</v>
      </c>
      <c r="E322" s="67">
        <f t="shared" si="31"/>
        <v>282.62527000993208</v>
      </c>
      <c r="F322" s="70">
        <f t="shared" si="35"/>
        <v>17.161006395003078</v>
      </c>
      <c r="G322" s="67">
        <f>E322/'Lookup Tables'!$C$48</f>
        <v>565.25054001986416</v>
      </c>
      <c r="H322" s="70">
        <f t="shared" si="32"/>
        <v>4.9641782131347525E-2</v>
      </c>
      <c r="I322" s="71">
        <f t="shared" si="36"/>
        <v>0.8139607776286043</v>
      </c>
      <c r="L322" s="74"/>
      <c r="M322" s="74"/>
      <c r="N322" s="74"/>
      <c r="O322" s="74"/>
      <c r="P322" s="74"/>
      <c r="Q322" s="74"/>
      <c r="R322" s="74"/>
      <c r="S322" s="74"/>
      <c r="T322" s="74"/>
      <c r="U322" s="74"/>
      <c r="V322" s="74"/>
      <c r="W322" s="74"/>
      <c r="X322" s="74"/>
      <c r="Y322" s="74"/>
    </row>
    <row r="323" spans="1:25" x14ac:dyDescent="0.3">
      <c r="A323" s="66">
        <f t="shared" si="34"/>
        <v>2021.5999999999713</v>
      </c>
      <c r="B323" s="67">
        <f>LOOKUP(A323+0.01,Amounts!$A$4:$A$103,Amounts!$B$4:$B$103)*0.1*$A$2</f>
        <v>0</v>
      </c>
      <c r="C323" s="68">
        <f t="shared" si="33"/>
        <v>2992395.4285963499</v>
      </c>
      <c r="D323" s="67">
        <f t="array" ref="D323">SUM($B$7:$B318*$F$1009*EXP(-$F$1009*($A323-$A$7:$A318)))*$F$1010</f>
        <v>146188822.5867213</v>
      </c>
      <c r="E323" s="67">
        <f t="shared" si="31"/>
        <v>278.69608470342581</v>
      </c>
      <c r="F323" s="70">
        <f t="shared" si="35"/>
        <v>16.922426263192012</v>
      </c>
      <c r="G323" s="67">
        <f>E323/'Lookup Tables'!$C$48</f>
        <v>557.39216940685162</v>
      </c>
      <c r="H323" s="70">
        <f t="shared" si="32"/>
        <v>4.8951639452554437E-2</v>
      </c>
      <c r="I323" s="71">
        <f t="shared" si="36"/>
        <v>0.80264472394586639</v>
      </c>
      <c r="L323" s="74"/>
      <c r="M323" s="74"/>
      <c r="N323" s="74"/>
      <c r="O323" s="74"/>
      <c r="P323" s="74"/>
      <c r="Q323" s="74"/>
      <c r="R323" s="74"/>
      <c r="S323" s="74"/>
      <c r="T323" s="74"/>
      <c r="U323" s="74"/>
      <c r="V323" s="74"/>
      <c r="W323" s="74"/>
      <c r="X323" s="74"/>
      <c r="Y323" s="74"/>
    </row>
    <row r="324" spans="1:25" x14ac:dyDescent="0.3">
      <c r="A324" s="66">
        <f t="shared" si="34"/>
        <v>2021.6999999999712</v>
      </c>
      <c r="B324" s="67">
        <f>LOOKUP(A324+0.01,Amounts!$A$4:$A$103,Amounts!$B$4:$B$103)*0.1*$A$2</f>
        <v>0</v>
      </c>
      <c r="C324" s="68">
        <f t="shared" si="33"/>
        <v>2992395.4285963499</v>
      </c>
      <c r="D324" s="67">
        <f t="array" ref="D324">SUM($B$7:$B319*$F$1009*EXP(-$F$1009*($A324-$A$7:$A319)))*$F$1010</f>
        <v>144156438.95144689</v>
      </c>
      <c r="E324" s="67">
        <f t="shared" si="31"/>
        <v>274.82152472172623</v>
      </c>
      <c r="F324" s="70">
        <f t="shared" si="35"/>
        <v>16.687162981103221</v>
      </c>
      <c r="G324" s="67">
        <f>E324/'Lookup Tables'!$C$48</f>
        <v>549.64304944345247</v>
      </c>
      <c r="H324" s="70">
        <f t="shared" si="32"/>
        <v>4.8271091451805567E-2</v>
      </c>
      <c r="I324" s="71">
        <f t="shared" si="36"/>
        <v>0.79148599119857166</v>
      </c>
      <c r="L324" s="74"/>
      <c r="M324" s="74"/>
      <c r="N324" s="74"/>
      <c r="O324" s="74"/>
      <c r="P324" s="74"/>
      <c r="Q324" s="74"/>
      <c r="R324" s="74"/>
      <c r="S324" s="74"/>
      <c r="T324" s="74"/>
      <c r="U324" s="74"/>
      <c r="V324" s="74"/>
      <c r="W324" s="74"/>
      <c r="X324" s="74"/>
      <c r="Y324" s="74"/>
    </row>
    <row r="325" spans="1:25" x14ac:dyDescent="0.3">
      <c r="A325" s="66">
        <f t="shared" si="34"/>
        <v>2021.7999999999711</v>
      </c>
      <c r="B325" s="67">
        <f>LOOKUP(A325+0.01,Amounts!$A$4:$A$103,Amounts!$B$4:$B$103)*0.1*$A$2</f>
        <v>0</v>
      </c>
      <c r="C325" s="68">
        <f t="shared" si="33"/>
        <v>2992395.4285963499</v>
      </c>
      <c r="D325" s="67">
        <f t="array" ref="D325">SUM($B$7:$B320*$F$1009*EXP(-$F$1009*($A325-$A$7:$A320)))*$F$1010</f>
        <v>142152310.43970278</v>
      </c>
      <c r="E325" s="67">
        <f t="shared" si="31"/>
        <v>271.00083063867311</v>
      </c>
      <c r="F325" s="70">
        <f t="shared" si="35"/>
        <v>16.455170436380232</v>
      </c>
      <c r="G325" s="67">
        <f>E325/'Lookup Tables'!$C$48</f>
        <v>542.00166127734622</v>
      </c>
      <c r="H325" s="70">
        <f t="shared" si="32"/>
        <v>4.7600004739514104E-2</v>
      </c>
      <c r="I325" s="71">
        <f t="shared" si="36"/>
        <v>0.78048239223937854</v>
      </c>
      <c r="L325" s="74"/>
      <c r="M325" s="74"/>
      <c r="N325" s="74"/>
      <c r="O325" s="74"/>
      <c r="P325" s="74"/>
      <c r="Q325" s="74"/>
      <c r="R325" s="74"/>
      <c r="S325" s="74"/>
      <c r="T325" s="74"/>
      <c r="U325" s="74"/>
      <c r="V325" s="74"/>
      <c r="W325" s="74"/>
      <c r="X325" s="74"/>
      <c r="Y325" s="74"/>
    </row>
    <row r="326" spans="1:25" x14ac:dyDescent="0.3">
      <c r="A326" s="66">
        <f t="shared" si="34"/>
        <v>2021.899999999971</v>
      </c>
      <c r="B326" s="67">
        <f>LOOKUP(A326+0.01,Amounts!$A$4:$A$103,Amounts!$B$4:$B$103)*0.1*$A$2</f>
        <v>0</v>
      </c>
      <c r="C326" s="68">
        <f t="shared" si="33"/>
        <v>2992395.4285963499</v>
      </c>
      <c r="D326" s="67">
        <f t="array" ref="D326">SUM($B$7:$B321*$F$1009*EXP(-$F$1009*($A326-$A$7:$A321)))*$F$1010</f>
        <v>140176044.23588467</v>
      </c>
      <c r="E326" s="67">
        <f t="shared" si="31"/>
        <v>267.2332535859947</v>
      </c>
      <c r="F326" s="70">
        <f t="shared" si="35"/>
        <v>16.226403157741597</v>
      </c>
      <c r="G326" s="67">
        <f>E326/'Lookup Tables'!$C$48</f>
        <v>534.46650717198941</v>
      </c>
      <c r="H326" s="70">
        <f t="shared" si="32"/>
        <v>4.6938247780536041E-2</v>
      </c>
      <c r="I326" s="71">
        <f t="shared" si="36"/>
        <v>0.76963177032766483</v>
      </c>
      <c r="L326" s="74"/>
      <c r="M326" s="74"/>
      <c r="N326" s="74"/>
      <c r="O326" s="74"/>
      <c r="P326" s="74"/>
      <c r="Q326" s="74"/>
      <c r="R326" s="74"/>
      <c r="S326" s="74"/>
      <c r="T326" s="74"/>
      <c r="U326" s="74"/>
      <c r="V326" s="74"/>
      <c r="W326" s="74"/>
      <c r="X326" s="74"/>
      <c r="Y326" s="74"/>
    </row>
    <row r="327" spans="1:25" x14ac:dyDescent="0.3">
      <c r="A327" s="66">
        <f t="shared" si="34"/>
        <v>2021.9999999999709</v>
      </c>
      <c r="B327" s="67">
        <f>LOOKUP(A327+0.01,Amounts!$A$4:$A$103,Amounts!$B$4:$B$103)*0.1*$A$2</f>
        <v>0</v>
      </c>
      <c r="C327" s="68">
        <f t="shared" si="33"/>
        <v>2992395.4285963499</v>
      </c>
      <c r="D327" s="67">
        <f t="array" ref="D327">SUM($B$7:$B322*$F$1009*EXP(-$F$1009*($A327-$A$7:$A322)))*$F$1010</f>
        <v>138227252.98548993</v>
      </c>
      <c r="E327" s="67">
        <f t="shared" ref="E327:E390" si="37">D327/(365*24*60)*1.00201</f>
        <v>263.51805510652736</v>
      </c>
      <c r="F327" s="70">
        <f t="shared" si="35"/>
        <v>16.000816306068341</v>
      </c>
      <c r="G327" s="67">
        <f>E327/'Lookup Tables'!$C$48</f>
        <v>527.03611021305471</v>
      </c>
      <c r="H327" s="70">
        <f t="shared" ref="H327:H390" si="38">G327*60*24*365/(C327*2000)</f>
        <v>4.6285690868388914E-2</v>
      </c>
      <c r="I327" s="71">
        <f t="shared" si="36"/>
        <v>0.75893199870679873</v>
      </c>
      <c r="L327" s="74"/>
      <c r="M327" s="74"/>
      <c r="N327" s="74"/>
      <c r="O327" s="74"/>
      <c r="P327" s="74"/>
      <c r="Q327" s="74"/>
      <c r="R327" s="74"/>
      <c r="S327" s="74"/>
      <c r="T327" s="74"/>
      <c r="U327" s="74"/>
      <c r="V327" s="74"/>
      <c r="W327" s="74"/>
      <c r="X327" s="74"/>
      <c r="Y327" s="74"/>
    </row>
    <row r="328" spans="1:25" x14ac:dyDescent="0.3">
      <c r="A328" s="66">
        <f t="shared" si="34"/>
        <v>2022.0999999999708</v>
      </c>
      <c r="B328" s="67">
        <f>LOOKUP(A328+0.01,Amounts!$A$4:$A$103,Amounts!$B$4:$B$103)*0.1*$A$2</f>
        <v>0</v>
      </c>
      <c r="C328" s="68">
        <f t="shared" si="33"/>
        <v>2992395.4285963499</v>
      </c>
      <c r="D328" s="67">
        <f t="array" ref="D328">SUM($B$7:$B323*$F$1009*EXP(-$F$1009*($A328-$A$7:$A323)))*$F$1010</f>
        <v>136305554.71919468</v>
      </c>
      <c r="E328" s="67">
        <f t="shared" si="37"/>
        <v>259.85450700947541</v>
      </c>
      <c r="F328" s="70">
        <f t="shared" si="35"/>
        <v>15.778365665615347</v>
      </c>
      <c r="G328" s="67">
        <f>E328/'Lookup Tables'!$C$48</f>
        <v>519.70901401895082</v>
      </c>
      <c r="H328" s="70">
        <f t="shared" si="38"/>
        <v>4.5642206099828851E-2</v>
      </c>
      <c r="I328" s="71">
        <f t="shared" si="36"/>
        <v>0.74838098018728916</v>
      </c>
      <c r="L328" s="74"/>
      <c r="M328" s="74"/>
      <c r="N328" s="74"/>
      <c r="O328" s="74"/>
      <c r="P328" s="74"/>
      <c r="Q328" s="74"/>
      <c r="R328" s="74"/>
      <c r="S328" s="74"/>
      <c r="T328" s="74"/>
      <c r="U328" s="74"/>
      <c r="V328" s="74"/>
      <c r="W328" s="74"/>
      <c r="X328" s="74"/>
      <c r="Y328" s="74"/>
    </row>
    <row r="329" spans="1:25" x14ac:dyDescent="0.3">
      <c r="A329" s="66">
        <f t="shared" si="34"/>
        <v>2022.1999999999707</v>
      </c>
      <c r="B329" s="67">
        <f>LOOKUP(A329+0.01,Amounts!$A$4:$A$103,Amounts!$B$4:$B$103)*0.1*$A$2</f>
        <v>0</v>
      </c>
      <c r="C329" s="68">
        <f t="shared" ref="C329:C392" si="39">C328+B329</f>
        <v>2992395.4285963499</v>
      </c>
      <c r="D329" s="67">
        <f t="array" ref="D329">SUM($B$7:$B324*$F$1009*EXP(-$F$1009*($A329-$A$7:$A324)))*$F$1010</f>
        <v>134410572.77798674</v>
      </c>
      <c r="E329" s="67">
        <f t="shared" si="37"/>
        <v>256.2418912276836</v>
      </c>
      <c r="F329" s="70">
        <f t="shared" si="35"/>
        <v>15.559007635344949</v>
      </c>
      <c r="G329" s="67">
        <f>E329/'Lookup Tables'!$C$48</f>
        <v>512.48378245536719</v>
      </c>
      <c r="H329" s="70">
        <f t="shared" si="38"/>
        <v>4.5007667349781219E-2</v>
      </c>
      <c r="I329" s="71">
        <f t="shared" si="36"/>
        <v>0.73797664673572871</v>
      </c>
      <c r="L329" s="74"/>
      <c r="M329" s="74"/>
      <c r="N329" s="74"/>
      <c r="O329" s="74"/>
      <c r="P329" s="74"/>
      <c r="Q329" s="74"/>
      <c r="R329" s="74"/>
      <c r="S329" s="74"/>
      <c r="T329" s="74"/>
      <c r="U329" s="74"/>
      <c r="V329" s="74"/>
      <c r="W329" s="74"/>
      <c r="X329" s="74"/>
      <c r="Y329" s="74"/>
    </row>
    <row r="330" spans="1:25" x14ac:dyDescent="0.3">
      <c r="A330" s="66">
        <f t="shared" si="34"/>
        <v>2022.2999999999706</v>
      </c>
      <c r="B330" s="67">
        <f>LOOKUP(A330+0.01,Amounts!$A$4:$A$103,Amounts!$B$4:$B$103)*0.1*$A$2</f>
        <v>0</v>
      </c>
      <c r="C330" s="68">
        <f t="shared" si="39"/>
        <v>2992395.4285963499</v>
      </c>
      <c r="D330" s="67">
        <f t="array" ref="D330">SUM($B$7:$B325*$F$1009*EXP(-$F$1009*($A330-$A$7:$A325)))*$F$1010</f>
        <v>132541935.73933908</v>
      </c>
      <c r="E330" s="67">
        <f t="shared" si="37"/>
        <v>252.67949967689339</v>
      </c>
      <c r="F330" s="70">
        <f t="shared" si="35"/>
        <v>15.342699220380966</v>
      </c>
      <c r="G330" s="67">
        <f>E330/'Lookup Tables'!$C$48</f>
        <v>505.35899935378677</v>
      </c>
      <c r="H330" s="70">
        <f t="shared" si="38"/>
        <v>4.438195024661961E-2</v>
      </c>
      <c r="I330" s="71">
        <f t="shared" si="36"/>
        <v>0.727716959069453</v>
      </c>
      <c r="L330" s="74"/>
      <c r="M330" s="74"/>
      <c r="N330" s="74"/>
      <c r="O330" s="74"/>
      <c r="P330" s="74"/>
      <c r="Q330" s="74"/>
      <c r="R330" s="74"/>
      <c r="S330" s="74"/>
      <c r="T330" s="74"/>
      <c r="U330" s="74"/>
      <c r="V330" s="74"/>
      <c r="W330" s="74"/>
      <c r="X330" s="74"/>
      <c r="Y330" s="74"/>
    </row>
    <row r="331" spans="1:25" x14ac:dyDescent="0.3">
      <c r="A331" s="66">
        <f t="shared" si="34"/>
        <v>2022.3999999999705</v>
      </c>
      <c r="B331" s="67">
        <f>LOOKUP(A331+0.01,Amounts!$A$4:$A$103,Amounts!$B$4:$B$103)*0.1*$A$2</f>
        <v>0</v>
      </c>
      <c r="C331" s="68">
        <f t="shared" si="39"/>
        <v>2992395.4285963499</v>
      </c>
      <c r="D331" s="67">
        <f t="array" ref="D331">SUM($B$7:$B326*$F$1009*EXP(-$F$1009*($A331-$A$7:$A326)))*$F$1010</f>
        <v>130699277.34440997</v>
      </c>
      <c r="E331" s="67">
        <f t="shared" si="37"/>
        <v>249.16663411695632</v>
      </c>
      <c r="F331" s="70">
        <f t="shared" si="35"/>
        <v>15.129398023581588</v>
      </c>
      <c r="G331" s="67">
        <f>E331/'Lookup Tables'!$C$48</f>
        <v>498.33326823391263</v>
      </c>
      <c r="H331" s="70">
        <f t="shared" si="38"/>
        <v>4.3764932147788677E-2</v>
      </c>
      <c r="I331" s="71">
        <f t="shared" si="36"/>
        <v>0.71759990625683423</v>
      </c>
      <c r="L331" s="74"/>
      <c r="M331" s="74"/>
      <c r="N331" s="74"/>
      <c r="O331" s="74"/>
      <c r="P331" s="74"/>
      <c r="Q331" s="74"/>
      <c r="R331" s="74"/>
      <c r="S331" s="74"/>
      <c r="T331" s="74"/>
      <c r="U331" s="74"/>
      <c r="V331" s="74"/>
      <c r="W331" s="74"/>
      <c r="X331" s="74"/>
      <c r="Y331" s="74"/>
    </row>
    <row r="332" spans="1:25" x14ac:dyDescent="0.3">
      <c r="A332" s="66">
        <f t="shared" si="34"/>
        <v>2022.4999999999704</v>
      </c>
      <c r="B332" s="67">
        <f>LOOKUP(A332+0.01,Amounts!$A$4:$A$103,Amounts!$B$4:$B$103)*0.1*$A$2</f>
        <v>0</v>
      </c>
      <c r="C332" s="68">
        <f t="shared" si="39"/>
        <v>2992395.4285963499</v>
      </c>
      <c r="D332" s="67">
        <f t="array" ref="D332">SUM($B$7:$B327*$F$1009*EXP(-$F$1009*($A332-$A$7:$A327)))*$F$1010</f>
        <v>128882236.42625503</v>
      </c>
      <c r="E332" s="67">
        <f t="shared" si="37"/>
        <v>245.70260601497682</v>
      </c>
      <c r="F332" s="70">
        <f t="shared" si="35"/>
        <v>14.919062237229392</v>
      </c>
      <c r="G332" s="67">
        <f>E332/'Lookup Tables'!$C$48</f>
        <v>491.40521202995365</v>
      </c>
      <c r="H332" s="70">
        <f t="shared" si="38"/>
        <v>4.3156492115765735E-2</v>
      </c>
      <c r="I332" s="71">
        <f t="shared" si="36"/>
        <v>0.70762350532313323</v>
      </c>
      <c r="L332" s="74"/>
      <c r="M332" s="74"/>
      <c r="N332" s="74"/>
      <c r="O332" s="74"/>
      <c r="P332" s="74"/>
      <c r="Q332" s="74"/>
      <c r="R332" s="74"/>
      <c r="S332" s="74"/>
      <c r="T332" s="74"/>
      <c r="U332" s="74"/>
      <c r="V332" s="74"/>
      <c r="W332" s="74"/>
      <c r="X332" s="74"/>
      <c r="Y332" s="74"/>
    </row>
    <row r="333" spans="1:25" x14ac:dyDescent="0.3">
      <c r="A333" s="66">
        <f t="shared" si="34"/>
        <v>2022.5999999999704</v>
      </c>
      <c r="B333" s="67">
        <f>LOOKUP(A333+0.01,Amounts!$A$4:$A$103,Amounts!$B$4:$B$103)*0.1*$A$2</f>
        <v>0</v>
      </c>
      <c r="C333" s="68">
        <f t="shared" si="39"/>
        <v>2992395.4285963499</v>
      </c>
      <c r="D333" s="67">
        <f t="array" ref="D333">SUM($B$7:$B328*$F$1009*EXP(-$F$1009*($A333-$A$7:$A328)))*$F$1010</f>
        <v>127090456.83903725</v>
      </c>
      <c r="E333" s="67">
        <f t="shared" si="37"/>
        <v>242.28673641035715</v>
      </c>
      <c r="F333" s="70">
        <f t="shared" si="35"/>
        <v>14.711650634836886</v>
      </c>
      <c r="G333" s="67">
        <f>E333/'Lookup Tables'!$C$48</f>
        <v>484.5734728207143</v>
      </c>
      <c r="H333" s="70">
        <f t="shared" si="38"/>
        <v>4.2556510894356692E-2</v>
      </c>
      <c r="I333" s="71">
        <f t="shared" si="36"/>
        <v>0.69778580086182862</v>
      </c>
      <c r="L333" s="74"/>
      <c r="M333" s="74"/>
      <c r="N333" s="74"/>
      <c r="O333" s="74"/>
      <c r="P333" s="74"/>
      <c r="Q333" s="74"/>
      <c r="R333" s="74"/>
      <c r="S333" s="74"/>
      <c r="T333" s="74"/>
      <c r="U333" s="74"/>
      <c r="V333" s="74"/>
      <c r="W333" s="74"/>
      <c r="X333" s="74"/>
      <c r="Y333" s="74"/>
    </row>
    <row r="334" spans="1:25" x14ac:dyDescent="0.3">
      <c r="A334" s="66">
        <f t="shared" si="34"/>
        <v>2022.6999999999703</v>
      </c>
      <c r="B334" s="67">
        <f>LOOKUP(A334+0.01,Amounts!$A$4:$A$103,Amounts!$B$4:$B$103)*0.1*$A$2</f>
        <v>0</v>
      </c>
      <c r="C334" s="68">
        <f t="shared" si="39"/>
        <v>2992395.4285963499</v>
      </c>
      <c r="D334" s="67">
        <f t="array" ref="D334">SUM($B$7:$B329*$F$1009*EXP(-$F$1009*($A334-$A$7:$A329)))*$F$1010</f>
        <v>125323587.38822147</v>
      </c>
      <c r="E334" s="67">
        <f t="shared" si="37"/>
        <v>238.91835578171958</v>
      </c>
      <c r="F334" s="70">
        <f t="shared" si="35"/>
        <v>14.507122563066012</v>
      </c>
      <c r="G334" s="67">
        <f>E334/'Lookup Tables'!$C$48</f>
        <v>477.83671156343917</v>
      </c>
      <c r="H334" s="70">
        <f t="shared" si="38"/>
        <v>4.1964870885321401E-2</v>
      </c>
      <c r="I334" s="71">
        <f t="shared" si="36"/>
        <v>0.68808486465135243</v>
      </c>
      <c r="L334" s="74"/>
      <c r="M334" s="74"/>
      <c r="N334" s="74"/>
      <c r="O334" s="74"/>
      <c r="P334" s="74"/>
      <c r="Q334" s="74"/>
      <c r="R334" s="74"/>
      <c r="S334" s="74"/>
      <c r="T334" s="74"/>
      <c r="U334" s="74"/>
      <c r="V334" s="74"/>
      <c r="W334" s="74"/>
      <c r="X334" s="74"/>
      <c r="Y334" s="74"/>
    </row>
    <row r="335" spans="1:25" x14ac:dyDescent="0.3">
      <c r="A335" s="66">
        <f t="shared" si="34"/>
        <v>2022.7999999999702</v>
      </c>
      <c r="B335" s="67">
        <f>LOOKUP(A335+0.01,Amounts!$A$4:$A$103,Amounts!$B$4:$B$103)*0.1*$A$2</f>
        <v>0</v>
      </c>
      <c r="C335" s="68">
        <f t="shared" si="39"/>
        <v>2992395.4285963499</v>
      </c>
      <c r="D335" s="67">
        <f t="array" ref="D335">SUM($B$7:$B330*$F$1009*EXP(-$F$1009*($A335-$A$7:$A330)))*$F$1010</f>
        <v>123581281.76173894</v>
      </c>
      <c r="E335" s="67">
        <f t="shared" si="37"/>
        <v>235.59680391567741</v>
      </c>
      <c r="F335" s="70">
        <f t="shared" si="35"/>
        <v>14.305437933759933</v>
      </c>
      <c r="G335" s="67">
        <f>E335/'Lookup Tables'!$C$48</f>
        <v>471.19360783135483</v>
      </c>
      <c r="H335" s="70">
        <f t="shared" si="38"/>
        <v>4.1381456125324033E-2</v>
      </c>
      <c r="I335" s="71">
        <f t="shared" si="36"/>
        <v>0.67851879527715098</v>
      </c>
      <c r="L335" s="74"/>
      <c r="M335" s="74"/>
      <c r="N335" s="74"/>
      <c r="O335" s="74"/>
      <c r="P335" s="74"/>
      <c r="Q335" s="74"/>
      <c r="R335" s="74"/>
      <c r="S335" s="74"/>
      <c r="T335" s="74"/>
      <c r="U335" s="74"/>
      <c r="V335" s="74"/>
      <c r="W335" s="74"/>
      <c r="X335" s="74"/>
      <c r="Y335" s="74"/>
    </row>
    <row r="336" spans="1:25" x14ac:dyDescent="0.3">
      <c r="A336" s="66">
        <f t="shared" si="34"/>
        <v>2022.8999999999701</v>
      </c>
      <c r="B336" s="67">
        <f>LOOKUP(A336+0.01,Amounts!$A$4:$A$103,Amounts!$B$4:$B$103)*0.1*$A$2</f>
        <v>0</v>
      </c>
      <c r="C336" s="68">
        <f t="shared" si="39"/>
        <v>2992395.4285963499</v>
      </c>
      <c r="D336" s="67">
        <f t="array" ref="D336">SUM($B$7:$B331*$F$1009*EXP(-$F$1009*($A336-$A$7:$A331)))*$F$1010</f>
        <v>121863198.46210915</v>
      </c>
      <c r="E336" s="67">
        <f t="shared" si="37"/>
        <v>232.32142977743152</v>
      </c>
      <c r="F336" s="70">
        <f t="shared" si="35"/>
        <v>14.106557216085641</v>
      </c>
      <c r="G336" s="67">
        <f>E336/'Lookup Tables'!$C$48</f>
        <v>464.64285955486304</v>
      </c>
      <c r="H336" s="70">
        <f t="shared" si="38"/>
        <v>4.0806152263203922E-2</v>
      </c>
      <c r="I336" s="71">
        <f t="shared" si="36"/>
        <v>0.66908571775900272</v>
      </c>
      <c r="L336" s="74"/>
      <c r="M336" s="74"/>
      <c r="N336" s="74"/>
      <c r="O336" s="74"/>
      <c r="P336" s="74"/>
      <c r="Q336" s="74"/>
      <c r="R336" s="74"/>
      <c r="S336" s="74"/>
      <c r="T336" s="74"/>
      <c r="U336" s="74"/>
      <c r="V336" s="74"/>
      <c r="W336" s="74"/>
      <c r="X336" s="74"/>
      <c r="Y336" s="74"/>
    </row>
    <row r="337" spans="1:25" x14ac:dyDescent="0.3">
      <c r="A337" s="66">
        <f t="shared" si="34"/>
        <v>2022.99999999997</v>
      </c>
      <c r="B337" s="67">
        <f>LOOKUP(A337+0.01,Amounts!$A$4:$A$103,Amounts!$B$4:$B$103)*0.1*$A$2</f>
        <v>0</v>
      </c>
      <c r="C337" s="68">
        <f t="shared" si="39"/>
        <v>2992395.4285963499</v>
      </c>
      <c r="D337" s="67">
        <f t="array" ref="D337">SUM($B$7:$B332*$F$1009*EXP(-$F$1009*($A337-$A$7:$A332)))*$F$1010</f>
        <v>120169000.7395051</v>
      </c>
      <c r="E337" s="67">
        <f t="shared" si="37"/>
        <v>229.09159138316497</v>
      </c>
      <c r="F337" s="70">
        <f t="shared" si="35"/>
        <v>13.910441428785777</v>
      </c>
      <c r="G337" s="67">
        <f>E337/'Lookup Tables'!$C$48</f>
        <v>458.18318276632994</v>
      </c>
      <c r="H337" s="70">
        <f t="shared" si="38"/>
        <v>4.0238846537562309E-2</v>
      </c>
      <c r="I337" s="71">
        <f t="shared" si="36"/>
        <v>0.65978378318351505</v>
      </c>
      <c r="L337" s="74"/>
      <c r="M337" s="74"/>
      <c r="N337" s="74"/>
      <c r="O337" s="74"/>
      <c r="P337" s="74"/>
      <c r="Q337" s="74"/>
      <c r="R337" s="74"/>
      <c r="S337" s="74"/>
      <c r="T337" s="74"/>
      <c r="U337" s="74"/>
      <c r="V337" s="74"/>
      <c r="W337" s="74"/>
      <c r="X337" s="74"/>
      <c r="Y337" s="74"/>
    </row>
    <row r="338" spans="1:25" x14ac:dyDescent="0.3">
      <c r="A338" s="66">
        <f t="shared" si="34"/>
        <v>2023.0999999999699</v>
      </c>
      <c r="B338" s="67">
        <f>LOOKUP(A338+0.01,Amounts!$A$4:$A$103,Amounts!$B$4:$B$103)*0.1*$A$2</f>
        <v>0</v>
      </c>
      <c r="C338" s="68">
        <f t="shared" si="39"/>
        <v>2992395.4285963499</v>
      </c>
      <c r="D338" s="67">
        <f t="array" ref="D338">SUM($B$7:$B333*$F$1009*EXP(-$F$1009*($A338-$A$7:$A333)))*$F$1010</f>
        <v>118498356.52574955</v>
      </c>
      <c r="E338" s="67">
        <f t="shared" si="37"/>
        <v>225.90665567421294</v>
      </c>
      <c r="F338" s="70">
        <f t="shared" si="35"/>
        <v>13.71705213253821</v>
      </c>
      <c r="G338" s="67">
        <f>E338/'Lookup Tables'!$C$48</f>
        <v>451.81331134842588</v>
      </c>
      <c r="H338" s="70">
        <f t="shared" si="38"/>
        <v>3.9679427754660872E-2</v>
      </c>
      <c r="I338" s="71">
        <f t="shared" si="36"/>
        <v>0.65061116834173327</v>
      </c>
      <c r="L338" s="74"/>
      <c r="M338" s="74"/>
      <c r="N338" s="74"/>
      <c r="O338" s="74"/>
      <c r="P338" s="74"/>
      <c r="Q338" s="74"/>
      <c r="R338" s="74"/>
      <c r="S338" s="74"/>
      <c r="T338" s="74"/>
      <c r="U338" s="74"/>
      <c r="V338" s="74"/>
      <c r="W338" s="74"/>
      <c r="X338" s="74"/>
      <c r="Y338" s="74"/>
    </row>
    <row r="339" spans="1:25" x14ac:dyDescent="0.3">
      <c r="A339" s="66">
        <f t="shared" ref="A339:A402" si="40">A338+0.1</f>
        <v>2023.1999999999698</v>
      </c>
      <c r="B339" s="67">
        <f>LOOKUP(A339+0.01,Amounts!$A$4:$A$103,Amounts!$B$4:$B$103)*0.1*$A$2</f>
        <v>0</v>
      </c>
      <c r="C339" s="68">
        <f t="shared" si="39"/>
        <v>2992395.4285963499</v>
      </c>
      <c r="D339" s="67">
        <f t="array" ref="D339">SUM($B$7:$B334*$F$1009*EXP(-$F$1009*($A339-$A$7:$A334)))*$F$1010</f>
        <v>116850938.36922821</v>
      </c>
      <c r="E339" s="67">
        <f t="shared" si="37"/>
        <v>222.76599839298015</v>
      </c>
      <c r="F339" s="70">
        <f t="shared" ref="F339:F402" si="41">E339*60*1012/1000000</f>
        <v>13.526351422421754</v>
      </c>
      <c r="G339" s="67">
        <f>E339/'Lookup Tables'!$C$48</f>
        <v>445.5319967859603</v>
      </c>
      <c r="H339" s="70">
        <f t="shared" si="38"/>
        <v>3.9127786266627225E-2</v>
      </c>
      <c r="I339" s="71">
        <f t="shared" ref="I339:I402" si="42">G339*60*24/1000000</f>
        <v>0.64156607537178278</v>
      </c>
      <c r="L339" s="74"/>
      <c r="M339" s="74"/>
      <c r="N339" s="74"/>
      <c r="O339" s="74"/>
      <c r="P339" s="74"/>
      <c r="Q339" s="74"/>
      <c r="R339" s="74"/>
      <c r="S339" s="74"/>
      <c r="T339" s="74"/>
      <c r="U339" s="74"/>
      <c r="V339" s="74"/>
      <c r="W339" s="74"/>
      <c r="X339" s="74"/>
      <c r="Y339" s="74"/>
    </row>
    <row r="340" spans="1:25" x14ac:dyDescent="0.3">
      <c r="A340" s="66">
        <f t="shared" si="40"/>
        <v>2023.2999999999697</v>
      </c>
      <c r="B340" s="67">
        <f>LOOKUP(A340+0.01,Amounts!$A$4:$A$103,Amounts!$B$4:$B$103)*0.1*$A$2</f>
        <v>0</v>
      </c>
      <c r="C340" s="68">
        <f t="shared" si="39"/>
        <v>2992395.4285963499</v>
      </c>
      <c r="D340" s="67">
        <f t="array" ref="D340">SUM($B$7:$B335*$F$1009*EXP(-$F$1009*($A340-$A$7:$A335)))*$F$1010</f>
        <v>115226423.37070841</v>
      </c>
      <c r="E340" s="67">
        <f t="shared" si="37"/>
        <v>219.66900396058512</v>
      </c>
      <c r="F340" s="70">
        <f t="shared" si="41"/>
        <v>13.338301920486728</v>
      </c>
      <c r="G340" s="67">
        <f>E340/'Lookup Tables'!$C$48</f>
        <v>439.33800792117023</v>
      </c>
      <c r="H340" s="70">
        <f t="shared" si="38"/>
        <v>3.8583813949963734E-2</v>
      </c>
      <c r="I340" s="71">
        <f t="shared" si="42"/>
        <v>0.6326467314064852</v>
      </c>
      <c r="L340" s="74"/>
      <c r="M340" s="74"/>
      <c r="N340" s="74"/>
      <c r="O340" s="74"/>
      <c r="P340" s="74"/>
      <c r="Q340" s="74"/>
      <c r="R340" s="74"/>
      <c r="S340" s="74"/>
      <c r="T340" s="74"/>
      <c r="U340" s="74"/>
      <c r="V340" s="74"/>
      <c r="W340" s="74"/>
      <c r="X340" s="74"/>
      <c r="Y340" s="74"/>
    </row>
    <row r="341" spans="1:25" x14ac:dyDescent="0.3">
      <c r="A341" s="66">
        <f t="shared" si="40"/>
        <v>2023.3999999999696</v>
      </c>
      <c r="B341" s="67">
        <f>LOOKUP(A341+0.01,Amounts!$A$4:$A$103,Amounts!$B$4:$B$103)*0.1*$A$2</f>
        <v>0</v>
      </c>
      <c r="C341" s="68">
        <f t="shared" si="39"/>
        <v>2992395.4285963499</v>
      </c>
      <c r="D341" s="67">
        <f t="array" ref="D341">SUM($B$7:$B336*$F$1009*EXP(-$F$1009*($A341-$A$7:$A336)))*$F$1010</f>
        <v>113624493.12004985</v>
      </c>
      <c r="E341" s="67">
        <f t="shared" si="37"/>
        <v>216.61506535620464</v>
      </c>
      <c r="F341" s="70">
        <f t="shared" si="41"/>
        <v>13.152866768428746</v>
      </c>
      <c r="G341" s="67">
        <f>E341/'Lookup Tables'!$C$48</f>
        <v>433.23013071240928</v>
      </c>
      <c r="H341" s="70">
        <f t="shared" si="38"/>
        <v>3.8047404184354879E-2</v>
      </c>
      <c r="I341" s="71">
        <f t="shared" si="42"/>
        <v>0.62385138822586939</v>
      </c>
      <c r="L341" s="74"/>
      <c r="M341" s="74"/>
      <c r="N341" s="74"/>
      <c r="O341" s="74"/>
      <c r="P341" s="74"/>
      <c r="Q341" s="74"/>
      <c r="R341" s="74"/>
      <c r="S341" s="74"/>
      <c r="T341" s="74"/>
      <c r="U341" s="74"/>
      <c r="V341" s="74"/>
      <c r="W341" s="74"/>
      <c r="X341" s="74"/>
      <c r="Y341" s="74"/>
    </row>
    <row r="342" spans="1:25" x14ac:dyDescent="0.3">
      <c r="A342" s="66">
        <f t="shared" si="40"/>
        <v>2023.4999999999695</v>
      </c>
      <c r="B342" s="67">
        <f>LOOKUP(A342+0.01,Amounts!$A$4:$A$103,Amounts!$B$4:$B$103)*0.1*$A$2</f>
        <v>0</v>
      </c>
      <c r="C342" s="68">
        <f t="shared" si="39"/>
        <v>2992395.4285963499</v>
      </c>
      <c r="D342" s="67">
        <f t="array" ref="D342">SUM($B$7:$B337*$F$1009*EXP(-$F$1009*($A342-$A$7:$A337)))*$F$1010</f>
        <v>112044833.63379504</v>
      </c>
      <c r="E342" s="67">
        <f t="shared" si="37"/>
        <v>213.60358399809547</v>
      </c>
      <c r="F342" s="70">
        <f t="shared" si="41"/>
        <v>12.970009620364356</v>
      </c>
      <c r="G342" s="67">
        <f>E342/'Lookup Tables'!$C$48</f>
        <v>427.20716799619095</v>
      </c>
      <c r="H342" s="70">
        <f t="shared" si="38"/>
        <v>3.7518451831769363E-2</v>
      </c>
      <c r="I342" s="71">
        <f t="shared" si="42"/>
        <v>0.61517832191451505</v>
      </c>
      <c r="L342" s="74"/>
      <c r="M342" s="74"/>
      <c r="N342" s="74"/>
      <c r="O342" s="74"/>
      <c r="P342" s="74"/>
      <c r="Q342" s="74"/>
      <c r="R342" s="74"/>
      <c r="S342" s="74"/>
      <c r="T342" s="74"/>
      <c r="U342" s="74"/>
      <c r="V342" s="74"/>
      <c r="W342" s="74"/>
      <c r="X342" s="74"/>
      <c r="Y342" s="74"/>
    </row>
    <row r="343" spans="1:25" x14ac:dyDescent="0.3">
      <c r="A343" s="66">
        <f t="shared" si="40"/>
        <v>2023.5999999999694</v>
      </c>
      <c r="B343" s="67">
        <f>LOOKUP(A343+0.01,Amounts!$A$4:$A$103,Amounts!$B$4:$B$103)*0.1*$A$2</f>
        <v>0</v>
      </c>
      <c r="C343" s="68">
        <f t="shared" si="39"/>
        <v>2992395.4285963499</v>
      </c>
      <c r="D343" s="67">
        <f t="array" ref="D343">SUM($B$7:$B338*$F$1009*EXP(-$F$1009*($A343-$A$7:$A338)))*$F$1010</f>
        <v>110487135.2936276</v>
      </c>
      <c r="E343" s="67">
        <f t="shared" si="37"/>
        <v>210.63396962627056</v>
      </c>
      <c r="F343" s="70">
        <f t="shared" si="41"/>
        <v>12.789694635707148</v>
      </c>
      <c r="G343" s="67">
        <f>E343/'Lookup Tables'!$C$48</f>
        <v>421.26793925254111</v>
      </c>
      <c r="H343" s="70">
        <f t="shared" si="38"/>
        <v>3.69968532158527E-2</v>
      </c>
      <c r="I343" s="71">
        <f t="shared" si="42"/>
        <v>0.60662583252365909</v>
      </c>
      <c r="L343" s="74"/>
      <c r="M343" s="74"/>
      <c r="N343" s="74"/>
      <c r="O343" s="74"/>
      <c r="P343" s="74"/>
      <c r="Q343" s="74"/>
      <c r="R343" s="74"/>
      <c r="S343" s="74"/>
      <c r="T343" s="74"/>
      <c r="U343" s="74"/>
      <c r="V343" s="74"/>
      <c r="W343" s="74"/>
      <c r="X343" s="74"/>
      <c r="Y343" s="74"/>
    </row>
    <row r="344" spans="1:25" x14ac:dyDescent="0.3">
      <c r="A344" s="66">
        <f t="shared" si="40"/>
        <v>2023.6999999999694</v>
      </c>
      <c r="B344" s="67">
        <f>LOOKUP(A344+0.01,Amounts!$A$4:$A$103,Amounts!$B$4:$B$103)*0.1*$A$2</f>
        <v>0</v>
      </c>
      <c r="C344" s="68">
        <f t="shared" si="39"/>
        <v>2992395.4285963499</v>
      </c>
      <c r="D344" s="67">
        <f t="array" ref="D344">SUM($B$7:$B339*$F$1009*EXP(-$F$1009*($A344-$A$7:$A339)))*$F$1010</f>
        <v>108951092.78568614</v>
      </c>
      <c r="E344" s="67">
        <f t="shared" si="37"/>
        <v>207.70564018680628</v>
      </c>
      <c r="F344" s="70">
        <f t="shared" si="41"/>
        <v>12.611886472142878</v>
      </c>
      <c r="G344" s="67">
        <f>E344/'Lookup Tables'!$C$48</f>
        <v>415.41128037361256</v>
      </c>
      <c r="H344" s="70">
        <f t="shared" si="38"/>
        <v>3.6482506101606388E-2</v>
      </c>
      <c r="I344" s="71">
        <f t="shared" si="42"/>
        <v>0.59819224373800217</v>
      </c>
      <c r="L344" s="74"/>
      <c r="M344" s="74"/>
      <c r="N344" s="74"/>
      <c r="O344" s="74"/>
      <c r="P344" s="74"/>
      <c r="Q344" s="74"/>
      <c r="R344" s="74"/>
      <c r="S344" s="74"/>
      <c r="T344" s="74"/>
      <c r="U344" s="74"/>
      <c r="V344" s="74"/>
      <c r="W344" s="74"/>
      <c r="X344" s="74"/>
      <c r="Y344" s="74"/>
    </row>
    <row r="345" spans="1:25" x14ac:dyDescent="0.3">
      <c r="A345" s="66">
        <f t="shared" si="40"/>
        <v>2023.7999999999693</v>
      </c>
      <c r="B345" s="67">
        <f>LOOKUP(A345+0.01,Amounts!$A$4:$A$103,Amounts!$B$4:$B$103)*0.1*$A$2</f>
        <v>0</v>
      </c>
      <c r="C345" s="68">
        <f t="shared" si="39"/>
        <v>2992395.4285963499</v>
      </c>
      <c r="D345" s="67">
        <f t="array" ref="D345">SUM($B$7:$B340*$F$1009*EXP(-$F$1009*($A345-$A$7:$A340)))*$F$1010</f>
        <v>107436405.04072168</v>
      </c>
      <c r="E345" s="67">
        <f t="shared" si="37"/>
        <v>204.81802171775789</v>
      </c>
      <c r="F345" s="70">
        <f t="shared" si="41"/>
        <v>12.43655027870226</v>
      </c>
      <c r="G345" s="67">
        <f>E345/'Lookup Tables'!$C$48</f>
        <v>409.63604343551577</v>
      </c>
      <c r="H345" s="70">
        <f t="shared" si="38"/>
        <v>3.5975309675349391E-2</v>
      </c>
      <c r="I345" s="71">
        <f t="shared" si="42"/>
        <v>0.58987590254714273</v>
      </c>
      <c r="L345" s="74"/>
      <c r="M345" s="74"/>
      <c r="N345" s="74"/>
      <c r="O345" s="74"/>
      <c r="P345" s="74"/>
      <c r="Q345" s="74"/>
      <c r="R345" s="74"/>
      <c r="S345" s="74"/>
      <c r="T345" s="74"/>
      <c r="U345" s="74"/>
      <c r="V345" s="74"/>
      <c r="W345" s="74"/>
      <c r="X345" s="74"/>
      <c r="Y345" s="74"/>
    </row>
    <row r="346" spans="1:25" x14ac:dyDescent="0.3">
      <c r="A346" s="66">
        <f t="shared" si="40"/>
        <v>2023.8999999999692</v>
      </c>
      <c r="B346" s="67">
        <f>LOOKUP(A346+0.01,Amounts!$A$4:$A$103,Amounts!$B$4:$B$103)*0.1*$A$2</f>
        <v>0</v>
      </c>
      <c r="C346" s="68">
        <f t="shared" si="39"/>
        <v>2992395.4285963499</v>
      </c>
      <c r="D346" s="67">
        <f t="array" ref="D346">SUM($B$7:$B341*$F$1009*EXP(-$F$1009*($A346-$A$7:$A341)))*$F$1010</f>
        <v>105942775.17508721</v>
      </c>
      <c r="E346" s="67">
        <f t="shared" si="37"/>
        <v>201.97054823666122</v>
      </c>
      <c r="F346" s="70">
        <f t="shared" si="41"/>
        <v>12.263651688930068</v>
      </c>
      <c r="G346" s="67">
        <f>E346/'Lookup Tables'!$C$48</f>
        <v>403.94109647332243</v>
      </c>
      <c r="H346" s="70">
        <f t="shared" si="38"/>
        <v>3.5475164524958469E-2</v>
      </c>
      <c r="I346" s="71">
        <f t="shared" si="42"/>
        <v>0.58167517892158427</v>
      </c>
      <c r="L346" s="74"/>
      <c r="M346" s="74"/>
      <c r="N346" s="74"/>
      <c r="O346" s="74"/>
      <c r="P346" s="74"/>
      <c r="Q346" s="74"/>
      <c r="R346" s="74"/>
      <c r="S346" s="74"/>
      <c r="T346" s="74"/>
      <c r="U346" s="74"/>
      <c r="V346" s="74"/>
      <c r="W346" s="74"/>
      <c r="X346" s="74"/>
      <c r="Y346" s="74"/>
    </row>
    <row r="347" spans="1:25" x14ac:dyDescent="0.3">
      <c r="A347" s="66">
        <f t="shared" si="40"/>
        <v>2023.9999999999691</v>
      </c>
      <c r="B347" s="67">
        <f>LOOKUP(A347+0.01,Amounts!$A$4:$A$103,Amounts!$B$4:$B$103)*0.1*$A$2</f>
        <v>0</v>
      </c>
      <c r="C347" s="68">
        <f t="shared" si="39"/>
        <v>2992395.4285963499</v>
      </c>
      <c r="D347" s="67">
        <f t="array" ref="D347">SUM($B$7:$B342*$F$1009*EXP(-$F$1009*($A347-$A$7:$A342)))*$F$1010</f>
        <v>104469910.43254732</v>
      </c>
      <c r="E347" s="67">
        <f t="shared" si="37"/>
        <v>199.16266162959806</v>
      </c>
      <c r="F347" s="70">
        <f t="shared" si="41"/>
        <v>12.093156814149195</v>
      </c>
      <c r="G347" s="67">
        <f>E347/'Lookup Tables'!$C$48</f>
        <v>398.32532325919613</v>
      </c>
      <c r="H347" s="70">
        <f t="shared" si="38"/>
        <v>3.4981972620382995E-2</v>
      </c>
      <c r="I347" s="71">
        <f t="shared" si="42"/>
        <v>0.57358846549324249</v>
      </c>
      <c r="L347" s="74"/>
      <c r="M347" s="74"/>
      <c r="N347" s="74"/>
      <c r="O347" s="74"/>
      <c r="P347" s="74"/>
      <c r="Q347" s="74"/>
      <c r="R347" s="74"/>
      <c r="S347" s="74"/>
      <c r="T347" s="74"/>
      <c r="U347" s="74"/>
      <c r="V347" s="74"/>
      <c r="W347" s="74"/>
      <c r="X347" s="74"/>
      <c r="Y347" s="74"/>
    </row>
    <row r="348" spans="1:25" x14ac:dyDescent="0.3">
      <c r="A348" s="66">
        <f t="shared" si="40"/>
        <v>2024.099999999969</v>
      </c>
      <c r="B348" s="67">
        <f>LOOKUP(A348+0.01,Amounts!$A$4:$A$103,Amounts!$B$4:$B$103)*0.1*$A$2</f>
        <v>0</v>
      </c>
      <c r="C348" s="68">
        <f t="shared" si="39"/>
        <v>2992395.4285963499</v>
      </c>
      <c r="D348" s="67">
        <f t="array" ref="D348">SUM($B$7:$B343*$F$1009*EXP(-$F$1009*($A348-$A$7:$A343)))*$F$1010</f>
        <v>103017522.12689735</v>
      </c>
      <c r="E348" s="67">
        <f t="shared" si="37"/>
        <v>196.39381154180447</v>
      </c>
      <c r="F348" s="70">
        <f t="shared" si="41"/>
        <v>11.925032236818367</v>
      </c>
      <c r="G348" s="67">
        <f>E348/'Lookup Tables'!$C$48</f>
        <v>392.78762308360893</v>
      </c>
      <c r="H348" s="70">
        <f t="shared" si="38"/>
        <v>3.4495637294430781E-2</v>
      </c>
      <c r="I348" s="71">
        <f t="shared" si="42"/>
        <v>0.56561417724039686</v>
      </c>
      <c r="L348" s="74"/>
      <c r="M348" s="74"/>
      <c r="N348" s="74"/>
      <c r="O348" s="74"/>
      <c r="P348" s="74"/>
      <c r="Q348" s="74"/>
      <c r="R348" s="74"/>
      <c r="S348" s="74"/>
      <c r="T348" s="74"/>
      <c r="U348" s="74"/>
      <c r="V348" s="74"/>
      <c r="W348" s="74"/>
      <c r="X348" s="74"/>
      <c r="Y348" s="74"/>
    </row>
    <row r="349" spans="1:25" x14ac:dyDescent="0.3">
      <c r="A349" s="66">
        <f t="shared" si="40"/>
        <v>2024.1999999999689</v>
      </c>
      <c r="B349" s="67">
        <f>LOOKUP(A349+0.01,Amounts!$A$4:$A$103,Amounts!$B$4:$B$103)*0.1*$A$2</f>
        <v>0</v>
      </c>
      <c r="C349" s="68">
        <f t="shared" si="39"/>
        <v>2992395.4285963499</v>
      </c>
      <c r="D349" s="67">
        <f t="array" ref="D349">SUM($B$7:$B344*$F$1009*EXP(-$F$1009*($A349-$A$7:$A344)))*$F$1010</f>
        <v>101585325.58537982</v>
      </c>
      <c r="E349" s="67">
        <f t="shared" si="37"/>
        <v>193.66345526979919</v>
      </c>
      <c r="F349" s="70">
        <f t="shared" si="41"/>
        <v>11.759245003982207</v>
      </c>
      <c r="G349" s="67">
        <f>E349/'Lookup Tables'!$C$48</f>
        <v>387.32691053959837</v>
      </c>
      <c r="H349" s="70">
        <f t="shared" si="38"/>
        <v>3.401606322382103E-2</v>
      </c>
      <c r="I349" s="71">
        <f t="shared" si="42"/>
        <v>0.55775075117702166</v>
      </c>
      <c r="L349" s="74"/>
      <c r="M349" s="74"/>
      <c r="N349" s="74"/>
      <c r="O349" s="74"/>
      <c r="P349" s="74"/>
      <c r="Q349" s="74"/>
      <c r="R349" s="74"/>
      <c r="S349" s="74"/>
      <c r="T349" s="74"/>
      <c r="U349" s="74"/>
      <c r="V349" s="74"/>
      <c r="W349" s="74"/>
      <c r="X349" s="74"/>
      <c r="Y349" s="74"/>
    </row>
    <row r="350" spans="1:25" x14ac:dyDescent="0.3">
      <c r="A350" s="66">
        <f t="shared" si="40"/>
        <v>2024.2999999999688</v>
      </c>
      <c r="B350" s="67">
        <f>LOOKUP(A350+0.01,Amounts!$A$4:$A$103,Amounts!$B$4:$B$103)*0.1*$A$2</f>
        <v>0</v>
      </c>
      <c r="C350" s="68">
        <f t="shared" si="39"/>
        <v>2992395.4285963499</v>
      </c>
      <c r="D350" s="67">
        <f t="array" ref="D350">SUM($B$7:$B345*$F$1009*EXP(-$F$1009*($A350-$A$7:$A345)))*$F$1010</f>
        <v>100173040.09288758</v>
      </c>
      <c r="E350" s="67">
        <f t="shared" si="37"/>
        <v>190.97105765501198</v>
      </c>
      <c r="F350" s="70">
        <f t="shared" si="41"/>
        <v>11.595762620812327</v>
      </c>
      <c r="G350" s="67">
        <f>E350/'Lookup Tables'!$C$48</f>
        <v>381.94211531002395</v>
      </c>
      <c r="H350" s="70">
        <f t="shared" si="38"/>
        <v>3.3543156410500589E-2</v>
      </c>
      <c r="I350" s="71">
        <f t="shared" si="42"/>
        <v>0.5499966460464345</v>
      </c>
      <c r="L350" s="74"/>
      <c r="M350" s="74"/>
      <c r="N350" s="74"/>
      <c r="O350" s="74"/>
      <c r="P350" s="74"/>
      <c r="Q350" s="74"/>
      <c r="R350" s="74"/>
      <c r="S350" s="74"/>
      <c r="T350" s="74"/>
      <c r="U350" s="74"/>
      <c r="V350" s="74"/>
      <c r="W350" s="74"/>
      <c r="X350" s="74"/>
      <c r="Y350" s="74"/>
    </row>
    <row r="351" spans="1:25" x14ac:dyDescent="0.3">
      <c r="A351" s="66">
        <f t="shared" si="40"/>
        <v>2024.3999999999687</v>
      </c>
      <c r="B351" s="67">
        <f>LOOKUP(A351+0.01,Amounts!$A$4:$A$103,Amounts!$B$4:$B$103)*0.1*$A$2</f>
        <v>0</v>
      </c>
      <c r="C351" s="68">
        <f t="shared" si="39"/>
        <v>2992395.4285963499</v>
      </c>
      <c r="D351" s="67">
        <f t="array" ref="D351">SUM($B$7:$B346*$F$1009*EXP(-$F$1009*($A351-$A$7:$A346)))*$F$1010</f>
        <v>98780388.836942911</v>
      </c>
      <c r="E351" s="67">
        <f t="shared" si="37"/>
        <v>188.31609097889111</v>
      </c>
      <c r="F351" s="70">
        <f t="shared" si="41"/>
        <v>11.434553044238267</v>
      </c>
      <c r="G351" s="67">
        <f>E351/'Lookup Tables'!$C$48</f>
        <v>376.63218195778222</v>
      </c>
      <c r="H351" s="70">
        <f t="shared" si="38"/>
        <v>3.3076824163220116E-2</v>
      </c>
      <c r="I351" s="71">
        <f t="shared" si="42"/>
        <v>0.5423503420192064</v>
      </c>
      <c r="L351" s="74"/>
      <c r="M351" s="74"/>
      <c r="N351" s="74"/>
      <c r="O351" s="74"/>
      <c r="P351" s="74"/>
      <c r="Q351" s="74"/>
      <c r="R351" s="74"/>
      <c r="S351" s="74"/>
      <c r="T351" s="74"/>
      <c r="U351" s="74"/>
      <c r="V351" s="74"/>
      <c r="W351" s="74"/>
      <c r="X351" s="74"/>
      <c r="Y351" s="74"/>
    </row>
    <row r="352" spans="1:25" x14ac:dyDescent="0.3">
      <c r="A352" s="66">
        <f t="shared" si="40"/>
        <v>2024.4999999999686</v>
      </c>
      <c r="B352" s="67">
        <f>LOOKUP(A352+0.01,Amounts!$A$4:$A$103,Amounts!$B$4:$B$103)*0.1*$A$2</f>
        <v>0</v>
      </c>
      <c r="C352" s="68">
        <f t="shared" si="39"/>
        <v>2992395.4285963499</v>
      </c>
      <c r="D352" s="67">
        <f t="array" ref="D352">SUM($B$7:$B347*$F$1009*EXP(-$F$1009*($A352-$A$7:$A347)))*$F$1010</f>
        <v>97407098.853441238</v>
      </c>
      <c r="E352" s="67">
        <f t="shared" si="37"/>
        <v>185.69803485946855</v>
      </c>
      <c r="F352" s="70">
        <f t="shared" si="41"/>
        <v>11.275584676666931</v>
      </c>
      <c r="G352" s="67">
        <f>E352/'Lookup Tables'!$C$48</f>
        <v>371.3960697189371</v>
      </c>
      <c r="H352" s="70">
        <f t="shared" si="38"/>
        <v>3.2616975079366263E-2</v>
      </c>
      <c r="I352" s="71">
        <f t="shared" si="42"/>
        <v>0.53481034039526942</v>
      </c>
      <c r="L352" s="74"/>
      <c r="M352" s="74"/>
      <c r="N352" s="74"/>
      <c r="O352" s="74"/>
      <c r="P352" s="74"/>
      <c r="Q352" s="74"/>
      <c r="R352" s="74"/>
      <c r="S352" s="74"/>
      <c r="T352" s="74"/>
      <c r="U352" s="74"/>
      <c r="V352" s="74"/>
      <c r="W352" s="74"/>
      <c r="X352" s="74"/>
      <c r="Y352" s="74"/>
    </row>
    <row r="353" spans="1:25" x14ac:dyDescent="0.3">
      <c r="A353" s="66">
        <f t="shared" si="40"/>
        <v>2024.5999999999685</v>
      </c>
      <c r="B353" s="67">
        <f>LOOKUP(A353+0.01,Amounts!$A$4:$A$103,Amounts!$B$4:$B$103)*0.1*$A$2</f>
        <v>0</v>
      </c>
      <c r="C353" s="68">
        <f t="shared" si="39"/>
        <v>2992395.4285963499</v>
      </c>
      <c r="D353" s="67">
        <f t="array" ref="D353">SUM($B$7:$B348*$F$1009*EXP(-$F$1009*($A353-$A$7:$A348)))*$F$1010</f>
        <v>96052900.973149493</v>
      </c>
      <c r="E353" s="67">
        <f t="shared" si="37"/>
        <v>183.11637614936365</v>
      </c>
      <c r="F353" s="70">
        <f t="shared" si="41"/>
        <v>11.11882635978936</v>
      </c>
      <c r="G353" s="67">
        <f>E353/'Lookup Tables'!$C$48</f>
        <v>366.23275229872729</v>
      </c>
      <c r="H353" s="70">
        <f t="shared" si="38"/>
        <v>3.2163519027046464E-2</v>
      </c>
      <c r="I353" s="71">
        <f t="shared" si="42"/>
        <v>0.52737516331016743</v>
      </c>
      <c r="L353" s="74"/>
      <c r="M353" s="74"/>
      <c r="N353" s="74"/>
      <c r="O353" s="74"/>
      <c r="P353" s="74"/>
      <c r="Q353" s="74"/>
      <c r="R353" s="74"/>
      <c r="S353" s="74"/>
      <c r="T353" s="74"/>
      <c r="U353" s="74"/>
      <c r="V353" s="74"/>
      <c r="W353" s="74"/>
      <c r="X353" s="74"/>
      <c r="Y353" s="74"/>
    </row>
    <row r="354" spans="1:25" x14ac:dyDescent="0.3">
      <c r="A354" s="66">
        <f t="shared" si="40"/>
        <v>2024.6999999999684</v>
      </c>
      <c r="B354" s="67">
        <f>LOOKUP(A354+0.01,Amounts!$A$4:$A$103,Amounts!$B$4:$B$103)*0.1*$A$2</f>
        <v>0</v>
      </c>
      <c r="C354" s="68">
        <f t="shared" si="39"/>
        <v>2992395.4285963499</v>
      </c>
      <c r="D354" s="67">
        <f t="array" ref="D354">SUM($B$7:$B349*$F$1009*EXP(-$F$1009*($A354-$A$7:$A349)))*$F$1010</f>
        <v>94717529.768947765</v>
      </c>
      <c r="E354" s="67">
        <f t="shared" si="37"/>
        <v>180.57060883520427</v>
      </c>
      <c r="F354" s="70">
        <f t="shared" si="41"/>
        <v>10.964247368473602</v>
      </c>
      <c r="G354" s="67">
        <f>E354/'Lookup Tables'!$C$48</f>
        <v>361.14121767040854</v>
      </c>
      <c r="H354" s="70">
        <f t="shared" si="38"/>
        <v>3.1716367127422741E-2</v>
      </c>
      <c r="I354" s="71">
        <f t="shared" si="42"/>
        <v>0.52004335344538821</v>
      </c>
      <c r="L354" s="74"/>
      <c r="M354" s="74"/>
      <c r="N354" s="74"/>
      <c r="O354" s="74"/>
      <c r="P354" s="74"/>
      <c r="Q354" s="74"/>
      <c r="R354" s="74"/>
      <c r="S354" s="74"/>
      <c r="T354" s="74"/>
      <c r="U354" s="74"/>
      <c r="V354" s="74"/>
      <c r="W354" s="74"/>
      <c r="X354" s="74"/>
      <c r="Y354" s="74"/>
    </row>
    <row r="355" spans="1:25" x14ac:dyDescent="0.3">
      <c r="A355" s="66">
        <f t="shared" si="40"/>
        <v>2024.7999999999683</v>
      </c>
      <c r="B355" s="67">
        <f>LOOKUP(A355+0.01,Amounts!$A$4:$A$103,Amounts!$B$4:$B$103)*0.1*$A$2</f>
        <v>0</v>
      </c>
      <c r="C355" s="68">
        <f t="shared" si="39"/>
        <v>2992395.4285963499</v>
      </c>
      <c r="D355" s="67">
        <f t="array" ref="D355">SUM($B$7:$B350*$F$1009*EXP(-$F$1009*($A355-$A$7:$A350)))*$F$1010</f>
        <v>93400723.503805086</v>
      </c>
      <c r="E355" s="67">
        <f t="shared" si="37"/>
        <v>178.060233938447</v>
      </c>
      <c r="F355" s="70">
        <f t="shared" si="41"/>
        <v>10.811817404742502</v>
      </c>
      <c r="G355" s="67">
        <f>E355/'Lookup Tables'!$C$48</f>
        <v>356.120467876894</v>
      </c>
      <c r="H355" s="70">
        <f t="shared" si="38"/>
        <v>3.1275431737291325E-2</v>
      </c>
      <c r="I355" s="71">
        <f t="shared" si="42"/>
        <v>0.51281347374272745</v>
      </c>
      <c r="L355" s="74"/>
      <c r="M355" s="74"/>
      <c r="N355" s="74"/>
      <c r="O355" s="74"/>
      <c r="P355" s="74"/>
      <c r="Q355" s="74"/>
      <c r="R355" s="74"/>
      <c r="S355" s="74"/>
      <c r="T355" s="74"/>
      <c r="U355" s="74"/>
      <c r="V355" s="74"/>
      <c r="W355" s="74"/>
      <c r="X355" s="74"/>
      <c r="Y355" s="74"/>
    </row>
    <row r="356" spans="1:25" x14ac:dyDescent="0.3">
      <c r="A356" s="66">
        <f t="shared" si="40"/>
        <v>2024.8999999999683</v>
      </c>
      <c r="B356" s="67">
        <f>LOOKUP(A356+0.01,Amounts!$A$4:$A$103,Amounts!$B$4:$B$103)*0.1*$A$2</f>
        <v>0</v>
      </c>
      <c r="C356" s="68">
        <f t="shared" si="39"/>
        <v>2992395.4285963499</v>
      </c>
      <c r="D356" s="67">
        <f t="array" ref="D356">SUM($B$7:$B351*$F$1009*EXP(-$F$1009*($A356-$A$7:$A351)))*$F$1010</f>
        <v>92102224.079477921</v>
      </c>
      <c r="E356" s="67">
        <f t="shared" si="37"/>
        <v>175.5847594175755</v>
      </c>
      <c r="F356" s="70">
        <f t="shared" si="41"/>
        <v>10.661506591835185</v>
      </c>
      <c r="G356" s="67">
        <f>E356/'Lookup Tables'!$C$48</f>
        <v>351.169518835151</v>
      </c>
      <c r="H356" s="70">
        <f t="shared" si="38"/>
        <v>3.084062643190413E-2</v>
      </c>
      <c r="I356" s="71">
        <f t="shared" si="42"/>
        <v>0.50568410712261747</v>
      </c>
      <c r="L356" s="74"/>
      <c r="M356" s="74"/>
      <c r="N356" s="74"/>
      <c r="O356" s="74"/>
      <c r="P356" s="74"/>
      <c r="Q356" s="74"/>
      <c r="R356" s="74"/>
      <c r="S356" s="74"/>
      <c r="T356" s="74"/>
      <c r="U356" s="74"/>
      <c r="V356" s="74"/>
      <c r="W356" s="74"/>
      <c r="X356" s="74"/>
      <c r="Y356" s="74"/>
    </row>
    <row r="357" spans="1:25" x14ac:dyDescent="0.3">
      <c r="A357" s="66">
        <f t="shared" si="40"/>
        <v>2024.9999999999682</v>
      </c>
      <c r="B357" s="67">
        <f>LOOKUP(A357+0.01,Amounts!$A$4:$A$103,Amounts!$B$4:$B$103)*0.1*$A$2</f>
        <v>0</v>
      </c>
      <c r="C357" s="68">
        <f t="shared" si="39"/>
        <v>2992395.4285963499</v>
      </c>
      <c r="D357" s="67">
        <f t="array" ref="D357">SUM($B$7:$B352*$F$1009*EXP(-$F$1009*($A357-$A$7:$A352)))*$F$1010</f>
        <v>90821776.985922188</v>
      </c>
      <c r="E357" s="67">
        <f t="shared" si="37"/>
        <v>173.14370007165886</v>
      </c>
      <c r="F357" s="70">
        <f t="shared" si="41"/>
        <v>10.513285468351127</v>
      </c>
      <c r="G357" s="67">
        <f>E357/'Lookup Tables'!$C$48</f>
        <v>346.28740014331771</v>
      </c>
      <c r="H357" s="70">
        <f t="shared" si="38"/>
        <v>3.0411865988029366E-2</v>
      </c>
      <c r="I357" s="71">
        <f t="shared" si="42"/>
        <v>0.49865385620637748</v>
      </c>
      <c r="L357" s="74"/>
      <c r="M357" s="74"/>
      <c r="N357" s="74"/>
      <c r="O357" s="74"/>
      <c r="P357" s="74"/>
      <c r="Q357" s="74"/>
      <c r="R357" s="74"/>
      <c r="S357" s="74"/>
      <c r="T357" s="74"/>
      <c r="U357" s="74"/>
      <c r="V357" s="74"/>
      <c r="W357" s="74"/>
      <c r="X357" s="74"/>
      <c r="Y357" s="74"/>
    </row>
    <row r="358" spans="1:25" x14ac:dyDescent="0.3">
      <c r="A358" s="66">
        <f t="shared" si="40"/>
        <v>2025.0999999999681</v>
      </c>
      <c r="B358" s="67">
        <f>LOOKUP(A358+0.01,Amounts!$A$4:$A$103,Amounts!$B$4:$B$103)*0.1*$A$2</f>
        <v>0</v>
      </c>
      <c r="C358" s="68">
        <f t="shared" si="39"/>
        <v>2992395.4285963499</v>
      </c>
      <c r="D358" s="67">
        <f t="array" ref="D358">SUM($B$7:$B353*$F$1009*EXP(-$F$1009*($A358-$A$7:$A353)))*$F$1010</f>
        <v>89559131.251408309</v>
      </c>
      <c r="E358" s="67">
        <f t="shared" si="37"/>
        <v>170.73657744525048</v>
      </c>
      <c r="F358" s="70">
        <f t="shared" si="41"/>
        <v>10.367124982475609</v>
      </c>
      <c r="G358" s="67">
        <f>E358/'Lookup Tables'!$C$48</f>
        <v>341.47315489050095</v>
      </c>
      <c r="H358" s="70">
        <f t="shared" si="38"/>
        <v>2.9989066367247397E-2</v>
      </c>
      <c r="I358" s="71">
        <f t="shared" si="42"/>
        <v>0.4917213430423214</v>
      </c>
      <c r="L358" s="74"/>
      <c r="M358" s="74"/>
      <c r="N358" s="74"/>
      <c r="O358" s="74"/>
      <c r="P358" s="74"/>
      <c r="Q358" s="74"/>
      <c r="R358" s="74"/>
      <c r="S358" s="74"/>
      <c r="T358" s="74"/>
      <c r="U358" s="74"/>
      <c r="V358" s="74"/>
      <c r="W358" s="74"/>
      <c r="X358" s="74"/>
      <c r="Y358" s="74"/>
    </row>
    <row r="359" spans="1:25" x14ac:dyDescent="0.3">
      <c r="A359" s="66">
        <f t="shared" si="40"/>
        <v>2025.199999999968</v>
      </c>
      <c r="B359" s="67">
        <f>LOOKUP(A359+0.01,Amounts!$A$4:$A$103,Amounts!$B$4:$B$103)*0.1*$A$2</f>
        <v>0</v>
      </c>
      <c r="C359" s="68">
        <f t="shared" si="39"/>
        <v>2992395.4285963499</v>
      </c>
      <c r="D359" s="67">
        <f t="array" ref="D359">SUM($B$7:$B354*$F$1009*EXP(-$F$1009*($A359-$A$7:$A354)))*$F$1010</f>
        <v>88314039.393330202</v>
      </c>
      <c r="E359" s="67">
        <f t="shared" si="37"/>
        <v>168.36291973460959</v>
      </c>
      <c r="F359" s="70">
        <f t="shared" si="41"/>
        <v>10.222996486285494</v>
      </c>
      <c r="G359" s="67">
        <f>E359/'Lookup Tables'!$C$48</f>
        <v>336.72583946921918</v>
      </c>
      <c r="H359" s="70">
        <f t="shared" si="38"/>
        <v>2.9572144699479021E-2</v>
      </c>
      <c r="I359" s="71">
        <f t="shared" si="42"/>
        <v>0.4848852088356756</v>
      </c>
      <c r="L359" s="74"/>
      <c r="M359" s="74"/>
      <c r="N359" s="74"/>
      <c r="O359" s="74"/>
      <c r="P359" s="74"/>
      <c r="Q359" s="74"/>
      <c r="R359" s="74"/>
      <c r="S359" s="74"/>
      <c r="T359" s="74"/>
      <c r="U359" s="74"/>
      <c r="V359" s="74"/>
      <c r="W359" s="74"/>
      <c r="X359" s="74"/>
      <c r="Y359" s="74"/>
    </row>
    <row r="360" spans="1:25" x14ac:dyDescent="0.3">
      <c r="A360" s="66">
        <f t="shared" si="40"/>
        <v>2025.2999999999679</v>
      </c>
      <c r="B360" s="67">
        <f>LOOKUP(A360+0.01,Amounts!$A$4:$A$103,Amounts!$B$4:$B$103)*0.1*$A$2</f>
        <v>0</v>
      </c>
      <c r="C360" s="68">
        <f t="shared" si="39"/>
        <v>2992395.4285963499</v>
      </c>
      <c r="D360" s="67">
        <f t="array" ref="D360">SUM($B$7:$B355*$F$1009*EXP(-$F$1009*($A360-$A$7:$A355)))*$F$1010</f>
        <v>87086257.36969766</v>
      </c>
      <c r="E360" s="67">
        <f t="shared" si="37"/>
        <v>166.02226169522595</v>
      </c>
      <c r="F360" s="70">
        <f t="shared" si="41"/>
        <v>10.08087173013412</v>
      </c>
      <c r="G360" s="67">
        <f>E360/'Lookup Tables'!$C$48</f>
        <v>332.0445233904519</v>
      </c>
      <c r="H360" s="70">
        <f t="shared" si="38"/>
        <v>2.9161019266742638E-2</v>
      </c>
      <c r="I360" s="71">
        <f t="shared" si="42"/>
        <v>0.47814411368225074</v>
      </c>
      <c r="L360" s="74"/>
      <c r="M360" s="74"/>
      <c r="N360" s="74"/>
      <c r="O360" s="74"/>
      <c r="P360" s="74"/>
      <c r="Q360" s="74"/>
      <c r="R360" s="74"/>
      <c r="S360" s="74"/>
      <c r="T360" s="74"/>
      <c r="U360" s="74"/>
      <c r="V360" s="74"/>
      <c r="W360" s="74"/>
      <c r="X360" s="74"/>
      <c r="Y360" s="74"/>
    </row>
    <row r="361" spans="1:25" x14ac:dyDescent="0.3">
      <c r="A361" s="66">
        <f t="shared" si="40"/>
        <v>2025.3999999999678</v>
      </c>
      <c r="B361" s="67">
        <f>LOOKUP(A361+0.01,Amounts!$A$4:$A$103,Amounts!$B$4:$B$103)*0.1*$A$2</f>
        <v>0</v>
      </c>
      <c r="C361" s="68">
        <f t="shared" si="39"/>
        <v>2992395.4285963499</v>
      </c>
      <c r="D361" s="67">
        <f t="array" ref="D361">SUM($B$7:$B356*$F$1009*EXP(-$F$1009*($A361-$A$7:$A356)))*$F$1010</f>
        <v>85875544.53130351</v>
      </c>
      <c r="E361" s="67">
        <f t="shared" si="37"/>
        <v>163.71414455063058</v>
      </c>
      <c r="F361" s="70">
        <f t="shared" si="41"/>
        <v>9.9407228571142898</v>
      </c>
      <c r="G361" s="67">
        <f>E361/'Lookup Tables'!$C$48</f>
        <v>327.42828910126116</v>
      </c>
      <c r="H361" s="70">
        <f t="shared" si="38"/>
        <v>2.8755609487137287E-2</v>
      </c>
      <c r="I361" s="71">
        <f t="shared" si="42"/>
        <v>0.47149673630581612</v>
      </c>
      <c r="L361" s="74"/>
      <c r="M361" s="74"/>
      <c r="N361" s="74"/>
      <c r="O361" s="74"/>
      <c r="P361" s="74"/>
      <c r="Q361" s="74"/>
      <c r="R361" s="74"/>
      <c r="S361" s="74"/>
      <c r="T361" s="74"/>
      <c r="U361" s="74"/>
      <c r="V361" s="74"/>
      <c r="W361" s="74"/>
      <c r="X361" s="74"/>
      <c r="Y361" s="74"/>
    </row>
    <row r="362" spans="1:25" x14ac:dyDescent="0.3">
      <c r="A362" s="66">
        <f t="shared" si="40"/>
        <v>2025.4999999999677</v>
      </c>
      <c r="B362" s="67">
        <f>LOOKUP(A362+0.01,Amounts!$A$4:$A$103,Amounts!$B$4:$B$103)*0.1*$A$2</f>
        <v>0</v>
      </c>
      <c r="C362" s="68">
        <f t="shared" si="39"/>
        <v>2992395.4285963499</v>
      </c>
      <c r="D362" s="67">
        <f t="array" ref="D362">SUM($B$7:$B357*$F$1009*EXP(-$F$1009*($A362-$A$7:$A357)))*$F$1010</f>
        <v>84681663.574555501</v>
      </c>
      <c r="E362" s="67">
        <f t="shared" si="37"/>
        <v>161.43811590247404</v>
      </c>
      <c r="F362" s="70">
        <f t="shared" si="41"/>
        <v>9.8025223975982225</v>
      </c>
      <c r="G362" s="67">
        <f>E362/'Lookup Tables'!$C$48</f>
        <v>322.87623180494808</v>
      </c>
      <c r="H362" s="70">
        <f t="shared" si="38"/>
        <v>2.8355835899048287E-2</v>
      </c>
      <c r="I362" s="71">
        <f t="shared" si="42"/>
        <v>0.46494177379912521</v>
      </c>
      <c r="L362" s="74"/>
      <c r="M362" s="74"/>
      <c r="N362" s="74"/>
      <c r="O362" s="74"/>
      <c r="P362" s="74"/>
      <c r="Q362" s="74"/>
      <c r="R362" s="74"/>
      <c r="S362" s="74"/>
      <c r="T362" s="74"/>
      <c r="U362" s="74"/>
      <c r="V362" s="74"/>
      <c r="W362" s="74"/>
      <c r="X362" s="74"/>
      <c r="Y362" s="74"/>
    </row>
    <row r="363" spans="1:25" x14ac:dyDescent="0.3">
      <c r="A363" s="66">
        <f t="shared" si="40"/>
        <v>2025.5999999999676</v>
      </c>
      <c r="B363" s="67">
        <f>LOOKUP(A363+0.01,Amounts!$A$4:$A$103,Amounts!$B$4:$B$103)*0.1*$A$2</f>
        <v>0</v>
      </c>
      <c r="C363" s="68">
        <f t="shared" si="39"/>
        <v>2992395.4285963499</v>
      </c>
      <c r="D363" s="67">
        <f t="array" ref="D363">SUM($B$7:$B358*$F$1009*EXP(-$F$1009*($A363-$A$7:$A358)))*$F$1010</f>
        <v>83504380.494964078</v>
      </c>
      <c r="E363" s="67">
        <f t="shared" si="37"/>
        <v>159.19372964185496</v>
      </c>
      <c r="F363" s="70">
        <f t="shared" si="41"/>
        <v>9.666243263853433</v>
      </c>
      <c r="G363" s="67">
        <f>E363/'Lookup Tables'!$C$48</f>
        <v>318.38745928370992</v>
      </c>
      <c r="H363" s="70">
        <f t="shared" si="38"/>
        <v>2.7961620145572571E-2</v>
      </c>
      <c r="I363" s="71">
        <f t="shared" si="42"/>
        <v>0.45847794136854225</v>
      </c>
      <c r="L363" s="74"/>
      <c r="M363" s="74"/>
      <c r="N363" s="74"/>
      <c r="O363" s="74"/>
      <c r="P363" s="74"/>
      <c r="Q363" s="74"/>
      <c r="R363" s="74"/>
      <c r="S363" s="74"/>
      <c r="T363" s="74"/>
      <c r="U363" s="74"/>
      <c r="V363" s="74"/>
      <c r="W363" s="74"/>
      <c r="X363" s="74"/>
      <c r="Y363" s="74"/>
    </row>
    <row r="364" spans="1:25" x14ac:dyDescent="0.3">
      <c r="A364" s="66">
        <f t="shared" si="40"/>
        <v>2025.6999999999675</v>
      </c>
      <c r="B364" s="67">
        <f>LOOKUP(A364+0.01,Amounts!$A$4:$A$103,Amounts!$B$4:$B$103)*0.1*$A$2</f>
        <v>0</v>
      </c>
      <c r="C364" s="68">
        <f t="shared" si="39"/>
        <v>2992395.4285963499</v>
      </c>
      <c r="D364" s="67">
        <f t="array" ref="D364">SUM($B$7:$B359*$F$1009*EXP(-$F$1009*($A364-$A$7:$A359)))*$F$1010</f>
        <v>82343464.541276783</v>
      </c>
      <c r="E364" s="67">
        <f t="shared" si="37"/>
        <v>156.98054586188121</v>
      </c>
      <c r="F364" s="70">
        <f t="shared" si="41"/>
        <v>9.5318587447334266</v>
      </c>
      <c r="G364" s="67">
        <f>E364/'Lookup Tables'!$C$48</f>
        <v>313.96109172376242</v>
      </c>
      <c r="H364" s="70">
        <f t="shared" si="38"/>
        <v>2.7572884959160448E-2</v>
      </c>
      <c r="I364" s="71">
        <f t="shared" si="42"/>
        <v>0.45210397208221792</v>
      </c>
      <c r="L364" s="74"/>
      <c r="M364" s="74"/>
      <c r="N364" s="74"/>
      <c r="O364" s="74"/>
      <c r="P364" s="74"/>
      <c r="Q364" s="74"/>
      <c r="R364" s="74"/>
      <c r="S364" s="74"/>
      <c r="T364" s="74"/>
      <c r="U364" s="74"/>
      <c r="V364" s="74"/>
      <c r="W364" s="74"/>
      <c r="X364" s="74"/>
      <c r="Y364" s="74"/>
    </row>
    <row r="365" spans="1:25" x14ac:dyDescent="0.3">
      <c r="A365" s="66">
        <f t="shared" si="40"/>
        <v>2025.7999999999674</v>
      </c>
      <c r="B365" s="67">
        <f>LOOKUP(A365+0.01,Amounts!$A$4:$A$103,Amounts!$B$4:$B$103)*0.1*$A$2</f>
        <v>0</v>
      </c>
      <c r="C365" s="68">
        <f t="shared" si="39"/>
        <v>2992395.4285963499</v>
      </c>
      <c r="D365" s="67">
        <f t="array" ref="D365">SUM($B$7:$B360*$F$1009*EXP(-$F$1009*($A365-$A$7:$A360)))*$F$1010</f>
        <v>81198688.170250088</v>
      </c>
      <c r="E365" s="67">
        <f t="shared" si="37"/>
        <v>154.79813077144655</v>
      </c>
      <c r="F365" s="70">
        <f t="shared" si="41"/>
        <v>9.3993425004422342</v>
      </c>
      <c r="G365" s="67">
        <f>E365/'Lookup Tables'!$C$48</f>
        <v>309.5962615428931</v>
      </c>
      <c r="H365" s="70">
        <f t="shared" si="38"/>
        <v>2.7189554146470851E-2</v>
      </c>
      <c r="I365" s="71">
        <f t="shared" si="42"/>
        <v>0.44581861662176603</v>
      </c>
      <c r="L365" s="74"/>
      <c r="M365" s="74"/>
      <c r="N365" s="74"/>
      <c r="O365" s="74"/>
      <c r="P365" s="74"/>
      <c r="Q365" s="74"/>
      <c r="R365" s="74"/>
      <c r="S365" s="74"/>
      <c r="T365" s="74"/>
      <c r="U365" s="74"/>
      <c r="V365" s="74"/>
      <c r="W365" s="74"/>
      <c r="X365" s="74"/>
      <c r="Y365" s="74"/>
    </row>
    <row r="366" spans="1:25" x14ac:dyDescent="0.3">
      <c r="A366" s="66">
        <f t="shared" si="40"/>
        <v>2025.8999999999673</v>
      </c>
      <c r="B366" s="67">
        <f>LOOKUP(A366+0.01,Amounts!$A$4:$A$103,Amounts!$B$4:$B$103)*0.1*$A$2</f>
        <v>0</v>
      </c>
      <c r="C366" s="68">
        <f t="shared" si="39"/>
        <v>2992395.4285963499</v>
      </c>
      <c r="D366" s="67">
        <f t="array" ref="D366">SUM($B$7:$B361*$F$1009*EXP(-$F$1009*($A366-$A$7:$A361)))*$F$1010</f>
        <v>80069827.002050549</v>
      </c>
      <c r="E366" s="67">
        <f t="shared" si="37"/>
        <v>152.64605661020676</v>
      </c>
      <c r="F366" s="70">
        <f t="shared" si="41"/>
        <v>9.268668557371754</v>
      </c>
      <c r="G366" s="67">
        <f>E366/'Lookup Tables'!$C$48</f>
        <v>305.29211322041351</v>
      </c>
      <c r="H366" s="70">
        <f t="shared" si="38"/>
        <v>2.6811552573437366E-2</v>
      </c>
      <c r="I366" s="71">
        <f t="shared" si="42"/>
        <v>0.43962064303739545</v>
      </c>
      <c r="L366" s="74"/>
      <c r="M366" s="74"/>
      <c r="N366" s="74"/>
      <c r="O366" s="74"/>
      <c r="P366" s="74"/>
      <c r="Q366" s="74"/>
      <c r="R366" s="74"/>
      <c r="S366" s="74"/>
      <c r="T366" s="74"/>
      <c r="U366" s="74"/>
      <c r="V366" s="74"/>
      <c r="W366" s="74"/>
      <c r="X366" s="74"/>
      <c r="Y366" s="74"/>
    </row>
    <row r="367" spans="1:25" x14ac:dyDescent="0.3">
      <c r="A367" s="66">
        <f t="shared" si="40"/>
        <v>2025.9999999999673</v>
      </c>
      <c r="B367" s="67">
        <f>LOOKUP(A367+0.01,Amounts!$A$4:$A$103,Amounts!$B$4:$B$103)*0.1*$A$2</f>
        <v>0</v>
      </c>
      <c r="C367" s="68">
        <f t="shared" si="39"/>
        <v>2992395.4285963499</v>
      </c>
      <c r="D367" s="67">
        <f t="array" ref="D367">SUM($B$7:$B362*$F$1009*EXP(-$F$1009*($A367-$A$7:$A362)))*$F$1010</f>
        <v>78956659.776275218</v>
      </c>
      <c r="E367" s="67">
        <f t="shared" si="37"/>
        <v>150.52390156473655</v>
      </c>
      <c r="F367" s="70">
        <f t="shared" si="41"/>
        <v>9.1398113030108021</v>
      </c>
      <c r="G367" s="67">
        <f>E367/'Lookup Tables'!$C$48</f>
        <v>301.0478031294731</v>
      </c>
      <c r="H367" s="70">
        <f t="shared" si="38"/>
        <v>2.6438806150541526E-2</v>
      </c>
      <c r="I367" s="71">
        <f t="shared" si="42"/>
        <v>0.43350883650644123</v>
      </c>
      <c r="L367" s="74"/>
      <c r="M367" s="74"/>
      <c r="N367" s="74"/>
      <c r="O367" s="74"/>
      <c r="P367" s="74"/>
      <c r="Q367" s="74"/>
      <c r="R367" s="74"/>
      <c r="S367" s="74"/>
      <c r="T367" s="74"/>
      <c r="U367" s="74"/>
      <c r="V367" s="74"/>
      <c r="W367" s="74"/>
      <c r="X367" s="74"/>
      <c r="Y367" s="74"/>
    </row>
    <row r="368" spans="1:25" x14ac:dyDescent="0.3">
      <c r="A368" s="66">
        <f t="shared" si="40"/>
        <v>2026.0999999999672</v>
      </c>
      <c r="B368" s="67">
        <f>LOOKUP(A368+0.01,Amounts!$A$4:$A$103,Amounts!$B$4:$B$103)*0.1*$A$2</f>
        <v>0</v>
      </c>
      <c r="C368" s="68">
        <f t="shared" si="39"/>
        <v>2992395.4285963499</v>
      </c>
      <c r="D368" s="67">
        <f t="array" ref="D368">SUM($B$7:$B363*$F$1009*EXP(-$F$1009*($A368-$A$7:$A363)))*$F$1010</f>
        <v>77858968.308584258</v>
      </c>
      <c r="E368" s="67">
        <f t="shared" si="37"/>
        <v>148.43124968585334</v>
      </c>
      <c r="F368" s="70">
        <f t="shared" si="41"/>
        <v>9.0127454809250143</v>
      </c>
      <c r="G368" s="67">
        <f>E368/'Lookup Tables'!$C$48</f>
        <v>296.86249937170669</v>
      </c>
      <c r="H368" s="70">
        <f t="shared" si="38"/>
        <v>2.607124181829118E-2</v>
      </c>
      <c r="I368" s="71">
        <f t="shared" si="42"/>
        <v>0.42748199909525758</v>
      </c>
      <c r="L368" s="74"/>
      <c r="M368" s="74"/>
      <c r="N368" s="74"/>
      <c r="O368" s="74"/>
      <c r="P368" s="74"/>
      <c r="Q368" s="74"/>
      <c r="R368" s="74"/>
      <c r="S368" s="74"/>
      <c r="T368" s="74"/>
      <c r="U368" s="74"/>
      <c r="V368" s="74"/>
      <c r="W368" s="74"/>
      <c r="X368" s="74"/>
      <c r="Y368" s="74"/>
    </row>
    <row r="369" spans="1:25" x14ac:dyDescent="0.3">
      <c r="A369" s="66">
        <f t="shared" si="40"/>
        <v>2026.1999999999671</v>
      </c>
      <c r="B369" s="67">
        <f>LOOKUP(A369+0.01,Amounts!$A$4:$A$103,Amounts!$B$4:$B$103)*0.1*$A$2</f>
        <v>0</v>
      </c>
      <c r="C369" s="68">
        <f t="shared" si="39"/>
        <v>2992395.4285963499</v>
      </c>
      <c r="D369" s="67">
        <f t="array" ref="D369">SUM($B$7:$B364*$F$1009*EXP(-$F$1009*($A369-$A$7:$A364)))*$F$1010</f>
        <v>76776537.447935894</v>
      </c>
      <c r="E369" s="67">
        <f t="shared" si="37"/>
        <v>146.36769080708953</v>
      </c>
      <c r="F369" s="70">
        <f t="shared" si="41"/>
        <v>8.8874461858064748</v>
      </c>
      <c r="G369" s="67">
        <f>E369/'Lookup Tables'!$C$48</f>
        <v>292.73538161417906</v>
      </c>
      <c r="H369" s="70">
        <f t="shared" si="38"/>
        <v>2.5708787532900488E-2</v>
      </c>
      <c r="I369" s="71">
        <f t="shared" si="42"/>
        <v>0.42153894952441778</v>
      </c>
      <c r="L369" s="74"/>
      <c r="M369" s="74"/>
      <c r="N369" s="74"/>
      <c r="O369" s="74"/>
      <c r="P369" s="74"/>
      <c r="Q369" s="74"/>
      <c r="R369" s="74"/>
      <c r="S369" s="74"/>
      <c r="T369" s="74"/>
      <c r="U369" s="74"/>
      <c r="V369" s="74"/>
      <c r="W369" s="74"/>
      <c r="X369" s="74"/>
      <c r="Y369" s="74"/>
    </row>
    <row r="370" spans="1:25" x14ac:dyDescent="0.3">
      <c r="A370" s="66">
        <f t="shared" si="40"/>
        <v>2026.299999999967</v>
      </c>
      <c r="B370" s="67">
        <f>LOOKUP(A370+0.01,Amounts!$A$4:$A$103,Amounts!$B$4:$B$103)*0.1*$A$2</f>
        <v>0</v>
      </c>
      <c r="C370" s="68">
        <f t="shared" si="39"/>
        <v>2992395.4285963499</v>
      </c>
      <c r="D370" s="67">
        <f t="array" ref="D370">SUM($B$7:$B365*$F$1009*EXP(-$F$1009*($A370-$A$7:$A365)))*$F$1010</f>
        <v>75709155.034416229</v>
      </c>
      <c r="E370" s="67">
        <f t="shared" si="37"/>
        <v>144.33282046429872</v>
      </c>
      <c r="F370" s="70">
        <f t="shared" si="41"/>
        <v>8.7638888585922192</v>
      </c>
      <c r="G370" s="67">
        <f>E370/'Lookup Tables'!$C$48</f>
        <v>288.66564092859744</v>
      </c>
      <c r="H370" s="70">
        <f t="shared" si="38"/>
        <v>2.5351372252169182E-2</v>
      </c>
      <c r="I370" s="71">
        <f t="shared" si="42"/>
        <v>0.41567852293718038</v>
      </c>
      <c r="L370" s="74"/>
      <c r="M370" s="74"/>
      <c r="N370" s="74"/>
      <c r="O370" s="74"/>
      <c r="P370" s="74"/>
      <c r="Q370" s="74"/>
      <c r="R370" s="74"/>
      <c r="S370" s="74"/>
      <c r="T370" s="74"/>
      <c r="U370" s="74"/>
      <c r="V370" s="74"/>
      <c r="W370" s="74"/>
      <c r="X370" s="74"/>
      <c r="Y370" s="74"/>
    </row>
    <row r="371" spans="1:25" x14ac:dyDescent="0.3">
      <c r="A371" s="66">
        <f t="shared" si="40"/>
        <v>2026.3999999999669</v>
      </c>
      <c r="B371" s="67">
        <f>LOOKUP(A371+0.01,Amounts!$A$4:$A$103,Amounts!$B$4:$B$103)*0.1*$A$2</f>
        <v>0</v>
      </c>
      <c r="C371" s="68">
        <f t="shared" si="39"/>
        <v>2992395.4285963499</v>
      </c>
      <c r="D371" s="67">
        <f t="array" ref="D371">SUM($B$7:$B366*$F$1009*EXP(-$F$1009*($A371-$A$7:$A366)))*$F$1010</f>
        <v>74656611.857655093</v>
      </c>
      <c r="E371" s="67">
        <f t="shared" si="37"/>
        <v>142.32623981637934</v>
      </c>
      <c r="F371" s="70">
        <f t="shared" si="41"/>
        <v>8.6420492816505536</v>
      </c>
      <c r="G371" s="67">
        <f>E371/'Lookup Tables'!$C$48</f>
        <v>284.65247963275868</v>
      </c>
      <c r="H371" s="70">
        <f t="shared" si="38"/>
        <v>2.4998925921558012E-2</v>
      </c>
      <c r="I371" s="71">
        <f t="shared" si="42"/>
        <v>0.4098995706711725</v>
      </c>
      <c r="L371" s="74"/>
      <c r="M371" s="74"/>
      <c r="N371" s="74"/>
      <c r="O371" s="74"/>
      <c r="P371" s="74"/>
      <c r="Q371" s="74"/>
      <c r="R371" s="74"/>
      <c r="S371" s="74"/>
      <c r="T371" s="74"/>
      <c r="U371" s="74"/>
      <c r="V371" s="74"/>
      <c r="W371" s="74"/>
      <c r="X371" s="74"/>
      <c r="Y371" s="74"/>
    </row>
    <row r="372" spans="1:25" x14ac:dyDescent="0.3">
      <c r="A372" s="66">
        <f t="shared" si="40"/>
        <v>2026.4999999999668</v>
      </c>
      <c r="B372" s="67">
        <f>LOOKUP(A372+0.01,Amounts!$A$4:$A$103,Amounts!$B$4:$B$103)*0.1*$A$2</f>
        <v>0</v>
      </c>
      <c r="C372" s="68">
        <f t="shared" si="39"/>
        <v>2992395.4285963499</v>
      </c>
      <c r="D372" s="67">
        <f t="array" ref="D372">SUM($B$7:$B367*$F$1009*EXP(-$F$1009*($A372-$A$7:$A367)))*$F$1010</f>
        <v>73618701.615820274</v>
      </c>
      <c r="E372" s="67">
        <f t="shared" si="37"/>
        <v>140.34755556710061</v>
      </c>
      <c r="F372" s="70">
        <f t="shared" si="41"/>
        <v>8.5219035740343489</v>
      </c>
      <c r="G372" s="67">
        <f>E372/'Lookup Tables'!$C$48</f>
        <v>280.69511113420123</v>
      </c>
      <c r="H372" s="70">
        <f t="shared" si="38"/>
        <v>2.4651379460457871E-2</v>
      </c>
      <c r="I372" s="71">
        <f t="shared" si="42"/>
        <v>0.40420096003324973</v>
      </c>
      <c r="L372" s="74"/>
      <c r="M372" s="74"/>
      <c r="N372" s="74"/>
      <c r="O372" s="74"/>
      <c r="P372" s="74"/>
      <c r="Q372" s="74"/>
      <c r="R372" s="74"/>
      <c r="S372" s="74"/>
      <c r="T372" s="74"/>
      <c r="U372" s="74"/>
      <c r="V372" s="74"/>
      <c r="W372" s="74"/>
      <c r="X372" s="74"/>
      <c r="Y372" s="74"/>
    </row>
    <row r="373" spans="1:25" x14ac:dyDescent="0.3">
      <c r="A373" s="66">
        <f t="shared" si="40"/>
        <v>2026.5999999999667</v>
      </c>
      <c r="B373" s="67">
        <f>LOOKUP(A373+0.01,Amounts!$A$4:$A$103,Amounts!$B$4:$B$103)*0.1*$A$2</f>
        <v>0</v>
      </c>
      <c r="C373" s="68">
        <f t="shared" si="39"/>
        <v>2992395.4285963499</v>
      </c>
      <c r="D373" s="67">
        <f t="array" ref="D373">SUM($B$7:$B368*$F$1009*EXP(-$F$1009*($A373-$A$7:$A368)))*$F$1010</f>
        <v>72595220.875181675</v>
      </c>
      <c r="E373" s="67">
        <f t="shared" si="37"/>
        <v>138.39637988801522</v>
      </c>
      <c r="F373" s="70">
        <f t="shared" si="41"/>
        <v>8.4034281868002818</v>
      </c>
      <c r="G373" s="67">
        <f>E373/'Lookup Tables'!$C$48</f>
        <v>276.79275977603044</v>
      </c>
      <c r="H373" s="70">
        <f t="shared" si="38"/>
        <v>2.4308664748649768E-2</v>
      </c>
      <c r="I373" s="71">
        <f t="shared" si="42"/>
        <v>0.39858157407748379</v>
      </c>
      <c r="L373" s="74"/>
      <c r="M373" s="74"/>
      <c r="N373" s="74"/>
      <c r="O373" s="74"/>
      <c r="P373" s="74"/>
      <c r="Q373" s="74"/>
      <c r="R373" s="74"/>
      <c r="S373" s="74"/>
      <c r="T373" s="74"/>
      <c r="U373" s="74"/>
      <c r="V373" s="74"/>
      <c r="W373" s="74"/>
      <c r="X373" s="74"/>
      <c r="Y373" s="74"/>
    </row>
    <row r="374" spans="1:25" x14ac:dyDescent="0.3">
      <c r="A374" s="66">
        <f t="shared" si="40"/>
        <v>2026.6999999999666</v>
      </c>
      <c r="B374" s="67">
        <f>LOOKUP(A374+0.01,Amounts!$A$4:$A$103,Amounts!$B$4:$B$103)*0.1*$A$2</f>
        <v>0</v>
      </c>
      <c r="C374" s="68">
        <f t="shared" si="39"/>
        <v>2992395.4285963499</v>
      </c>
      <c r="D374" s="67">
        <f t="array" ref="D374">SUM($B$7:$B369*$F$1009*EXP(-$F$1009*($A374-$A$7:$A369)))*$F$1010</f>
        <v>71585969.030237615</v>
      </c>
      <c r="E374" s="67">
        <f t="shared" si="37"/>
        <v>136.47233034244368</v>
      </c>
      <c r="F374" s="70">
        <f t="shared" si="41"/>
        <v>8.286599898393181</v>
      </c>
      <c r="G374" s="67">
        <f>E374/'Lookup Tables'!$C$48</f>
        <v>272.94466068488737</v>
      </c>
      <c r="H374" s="70">
        <f t="shared" si="38"/>
        <v>2.3970714612953043E-2</v>
      </c>
      <c r="I374" s="71">
        <f t="shared" si="42"/>
        <v>0.3930403113862378</v>
      </c>
      <c r="L374" s="74"/>
      <c r="M374" s="74"/>
      <c r="N374" s="74"/>
      <c r="O374" s="74"/>
      <c r="P374" s="74"/>
      <c r="Q374" s="74"/>
      <c r="R374" s="74"/>
      <c r="S374" s="74"/>
      <c r="T374" s="74"/>
      <c r="U374" s="74"/>
      <c r="V374" s="74"/>
      <c r="W374" s="74"/>
      <c r="X374" s="74"/>
      <c r="Y374" s="74"/>
    </row>
    <row r="375" spans="1:25" x14ac:dyDescent="0.3">
      <c r="A375" s="66">
        <f t="shared" si="40"/>
        <v>2026.7999999999665</v>
      </c>
      <c r="B375" s="67">
        <f>LOOKUP(A375+0.01,Amounts!$A$4:$A$103,Amounts!$B$4:$B$103)*0.1*$A$2</f>
        <v>0</v>
      </c>
      <c r="C375" s="68">
        <f t="shared" si="39"/>
        <v>2992395.4285963499</v>
      </c>
      <c r="D375" s="67">
        <f t="array" ref="D375">SUM($B$7:$B370*$F$1009*EXP(-$F$1009*($A375-$A$7:$A370)))*$F$1010</f>
        <v>70590748.264395505</v>
      </c>
      <c r="E375" s="67">
        <f t="shared" si="37"/>
        <v>134.5750298105155</v>
      </c>
      <c r="F375" s="70">
        <f t="shared" si="41"/>
        <v>8.1713958100945021</v>
      </c>
      <c r="G375" s="67">
        <f>E375/'Lookup Tables'!$C$48</f>
        <v>269.15005962103101</v>
      </c>
      <c r="H375" s="70">
        <f t="shared" si="38"/>
        <v>2.36374628140592E-2</v>
      </c>
      <c r="I375" s="71">
        <f t="shared" si="42"/>
        <v>0.38757608585428471</v>
      </c>
      <c r="L375" s="74"/>
      <c r="M375" s="74"/>
      <c r="N375" s="74"/>
      <c r="O375" s="74"/>
      <c r="P375" s="74"/>
      <c r="Q375" s="74"/>
      <c r="R375" s="74"/>
      <c r="S375" s="74"/>
      <c r="T375" s="74"/>
      <c r="U375" s="74"/>
      <c r="V375" s="74"/>
      <c r="W375" s="74"/>
      <c r="X375" s="74"/>
      <c r="Y375" s="74"/>
    </row>
    <row r="376" spans="1:25" x14ac:dyDescent="0.3">
      <c r="A376" s="66">
        <f t="shared" si="40"/>
        <v>2026.8999999999664</v>
      </c>
      <c r="B376" s="67">
        <f>LOOKUP(A376+0.01,Amounts!$A$4:$A$103,Amounts!$B$4:$B$103)*0.1*$A$2</f>
        <v>0</v>
      </c>
      <c r="C376" s="68">
        <f t="shared" si="39"/>
        <v>2992395.4285963499</v>
      </c>
      <c r="D376" s="67">
        <f t="array" ref="D376">SUM($B$7:$B371*$F$1009*EXP(-$F$1009*($A376-$A$7:$A371)))*$F$1010</f>
        <v>69609363.511199191</v>
      </c>
      <c r="E376" s="67">
        <f t="shared" si="37"/>
        <v>132.70410641525248</v>
      </c>
      <c r="F376" s="70">
        <f t="shared" si="41"/>
        <v>8.057793341534131</v>
      </c>
      <c r="G376" s="67">
        <f>E376/'Lookup Tables'!$C$48</f>
        <v>265.40821283050497</v>
      </c>
      <c r="H376" s="70">
        <f t="shared" si="38"/>
        <v>2.3308844033548787E-2</v>
      </c>
      <c r="I376" s="71">
        <f t="shared" si="42"/>
        <v>0.38218782647592714</v>
      </c>
      <c r="L376" s="74"/>
      <c r="M376" s="74"/>
      <c r="N376" s="74"/>
      <c r="O376" s="74"/>
      <c r="P376" s="74"/>
      <c r="Q376" s="74"/>
      <c r="R376" s="74"/>
      <c r="S376" s="74"/>
      <c r="T376" s="74"/>
      <c r="U376" s="74"/>
      <c r="V376" s="74"/>
      <c r="W376" s="74"/>
      <c r="X376" s="74"/>
      <c r="Y376" s="74"/>
    </row>
    <row r="377" spans="1:25" x14ac:dyDescent="0.3">
      <c r="A377" s="66">
        <f t="shared" si="40"/>
        <v>2026.9999999999663</v>
      </c>
      <c r="B377" s="67">
        <f>LOOKUP(A377+0.01,Amounts!$A$4:$A$103,Amounts!$B$4:$B$103)*0.1*$A$2</f>
        <v>0</v>
      </c>
      <c r="C377" s="68">
        <f t="shared" si="39"/>
        <v>2992395.4285963499</v>
      </c>
      <c r="D377" s="67">
        <f t="array" ref="D377">SUM($B$7:$B372*$F$1009*EXP(-$F$1009*($A377-$A$7:$A372)))*$F$1010</f>
        <v>68641622.416095242</v>
      </c>
      <c r="E377" s="67">
        <f t="shared" si="37"/>
        <v>130.85919344967959</v>
      </c>
      <c r="F377" s="70">
        <f t="shared" si="41"/>
        <v>7.9457702262645444</v>
      </c>
      <c r="G377" s="67">
        <f>E377/'Lookup Tables'!$C$48</f>
        <v>261.71838689935919</v>
      </c>
      <c r="H377" s="70">
        <f t="shared" si="38"/>
        <v>2.2984793861088811E-2</v>
      </c>
      <c r="I377" s="71">
        <f t="shared" si="42"/>
        <v>0.37687447713507721</v>
      </c>
      <c r="L377" s="74"/>
      <c r="M377" s="74"/>
      <c r="N377" s="74"/>
      <c r="O377" s="74"/>
      <c r="P377" s="74"/>
      <c r="Q377" s="74"/>
      <c r="R377" s="74"/>
      <c r="S377" s="74"/>
      <c r="T377" s="74"/>
      <c r="U377" s="74"/>
      <c r="V377" s="74"/>
      <c r="W377" s="74"/>
      <c r="X377" s="74"/>
      <c r="Y377" s="74"/>
    </row>
    <row r="378" spans="1:25" x14ac:dyDescent="0.3">
      <c r="A378" s="66">
        <f t="shared" si="40"/>
        <v>2027.0999999999663</v>
      </c>
      <c r="B378" s="67">
        <f>LOOKUP(A378+0.01,Amounts!$A$4:$A$103,Amounts!$B$4:$B$103)*0.1*$A$2</f>
        <v>0</v>
      </c>
      <c r="C378" s="68">
        <f t="shared" si="39"/>
        <v>2992395.4285963499</v>
      </c>
      <c r="D378" s="67">
        <f t="array" ref="D378">SUM($B$7:$B373*$F$1009*EXP(-$F$1009*($A378-$A$7:$A373)))*$F$1010</f>
        <v>67687335.298730999</v>
      </c>
      <c r="E378" s="67">
        <f t="shared" si="37"/>
        <v>129.03992930494948</v>
      </c>
      <c r="F378" s="70">
        <f t="shared" si="41"/>
        <v>7.8353045073965326</v>
      </c>
      <c r="G378" s="67">
        <f>E378/'Lookup Tables'!$C$48</f>
        <v>258.07985860989896</v>
      </c>
      <c r="H378" s="70">
        <f t="shared" si="38"/>
        <v>2.2665248781808069E-2</v>
      </c>
      <c r="I378" s="71">
        <f t="shared" si="42"/>
        <v>0.37163499639825454</v>
      </c>
      <c r="L378" s="74"/>
      <c r="M378" s="74"/>
      <c r="N378" s="74"/>
      <c r="O378" s="74"/>
      <c r="P378" s="74"/>
      <c r="Q378" s="74"/>
      <c r="R378" s="74"/>
      <c r="S378" s="74"/>
      <c r="T378" s="74"/>
      <c r="U378" s="74"/>
      <c r="V378" s="74"/>
      <c r="W378" s="74"/>
      <c r="X378" s="74"/>
      <c r="Y378" s="74"/>
    </row>
    <row r="379" spans="1:25" x14ac:dyDescent="0.3">
      <c r="A379" s="66">
        <f t="shared" si="40"/>
        <v>2027.1999999999662</v>
      </c>
      <c r="B379" s="67">
        <f>LOOKUP(A379+0.01,Amounts!$A$4:$A$103,Amounts!$B$4:$B$103)*0.1*$A$2</f>
        <v>0</v>
      </c>
      <c r="C379" s="68">
        <f t="shared" si="39"/>
        <v>2992395.4285963499</v>
      </c>
      <c r="D379" s="67">
        <f t="array" ref="D379">SUM($B$7:$B374*$F$1009*EXP(-$F$1009*($A379-$A$7:$A374)))*$F$1010</f>
        <v>66746315.115776412</v>
      </c>
      <c r="E379" s="67">
        <f t="shared" si="37"/>
        <v>127.24595739946561</v>
      </c>
      <c r="F379" s="70">
        <f t="shared" si="41"/>
        <v>7.7263745332955516</v>
      </c>
      <c r="G379" s="67">
        <f>E379/'Lookup Tables'!$C$48</f>
        <v>254.49191479893122</v>
      </c>
      <c r="H379" s="70">
        <f t="shared" si="38"/>
        <v>2.2350146163848041E-2</v>
      </c>
      <c r="I379" s="71">
        <f t="shared" si="42"/>
        <v>0.36646835731046096</v>
      </c>
      <c r="L379" s="74"/>
      <c r="M379" s="74"/>
      <c r="N379" s="74"/>
      <c r="O379" s="74"/>
      <c r="P379" s="74"/>
      <c r="Q379" s="74"/>
      <c r="R379" s="74"/>
      <c r="S379" s="74"/>
      <c r="T379" s="74"/>
      <c r="U379" s="74"/>
      <c r="V379" s="74"/>
      <c r="W379" s="74"/>
      <c r="X379" s="74"/>
      <c r="Y379" s="74"/>
    </row>
    <row r="380" spans="1:25" x14ac:dyDescent="0.3">
      <c r="A380" s="66">
        <f t="shared" si="40"/>
        <v>2027.2999999999661</v>
      </c>
      <c r="B380" s="67">
        <f>LOOKUP(A380+0.01,Amounts!$A$4:$A$103,Amounts!$B$4:$B$103)*0.1*$A$2</f>
        <v>0</v>
      </c>
      <c r="C380" s="68">
        <f t="shared" si="39"/>
        <v>2992395.4285963499</v>
      </c>
      <c r="D380" s="67">
        <f t="array" ref="D380">SUM($B$7:$B375*$F$1009*EXP(-$F$1009*($A380-$A$7:$A375)))*$F$1010</f>
        <v>65818377.424263112</v>
      </c>
      <c r="E380" s="67">
        <f t="shared" si="37"/>
        <v>125.47692610899141</v>
      </c>
      <c r="F380" s="70">
        <f t="shared" si="41"/>
        <v>7.618958953337958</v>
      </c>
      <c r="G380" s="67">
        <f>E380/'Lookup Tables'!$C$48</f>
        <v>250.95385221798281</v>
      </c>
      <c r="H380" s="70">
        <f t="shared" si="38"/>
        <v>2.2039424246086865E-2</v>
      </c>
      <c r="I380" s="71">
        <f t="shared" si="42"/>
        <v>0.36137354719389525</v>
      </c>
      <c r="L380" s="74"/>
      <c r="M380" s="74"/>
      <c r="N380" s="74"/>
      <c r="O380" s="74"/>
      <c r="P380" s="74"/>
      <c r="Q380" s="74"/>
      <c r="R380" s="74"/>
      <c r="S380" s="74"/>
      <c r="T380" s="74"/>
      <c r="U380" s="74"/>
      <c r="V380" s="74"/>
      <c r="W380" s="74"/>
      <c r="X380" s="74"/>
      <c r="Y380" s="74"/>
    </row>
    <row r="381" spans="1:25" x14ac:dyDescent="0.3">
      <c r="A381" s="66">
        <f t="shared" si="40"/>
        <v>2027.399999999966</v>
      </c>
      <c r="B381" s="67">
        <f>LOOKUP(A381+0.01,Amounts!$A$4:$A$103,Amounts!$B$4:$B$103)*0.1*$A$2</f>
        <v>0</v>
      </c>
      <c r="C381" s="68">
        <f t="shared" si="39"/>
        <v>2992395.4285963499</v>
      </c>
      <c r="D381" s="67">
        <f t="array" ref="D381">SUM($B$7:$B376*$F$1009*EXP(-$F$1009*($A381-$A$7:$A376)))*$F$1010</f>
        <v>64903340.345432863</v>
      </c>
      <c r="E381" s="67">
        <f t="shared" si="37"/>
        <v>123.73248869773056</v>
      </c>
      <c r="F381" s="70">
        <f t="shared" si="41"/>
        <v>7.5130367137261995</v>
      </c>
      <c r="G381" s="67">
        <f>E381/'Lookup Tables'!$C$48</f>
        <v>247.46497739546112</v>
      </c>
      <c r="H381" s="70">
        <f t="shared" si="38"/>
        <v>2.1733022126033907E-2</v>
      </c>
      <c r="I381" s="71">
        <f t="shared" si="42"/>
        <v>0.356349567449464</v>
      </c>
      <c r="L381" s="74"/>
      <c r="M381" s="74"/>
      <c r="N381" s="74"/>
      <c r="O381" s="74"/>
      <c r="P381" s="74"/>
      <c r="Q381" s="74"/>
      <c r="R381" s="74"/>
      <c r="S381" s="74"/>
      <c r="T381" s="74"/>
      <c r="U381" s="74"/>
      <c r="V381" s="74"/>
      <c r="W381" s="74"/>
      <c r="X381" s="74"/>
      <c r="Y381" s="74"/>
    </row>
    <row r="382" spans="1:25" x14ac:dyDescent="0.3">
      <c r="A382" s="66">
        <f t="shared" si="40"/>
        <v>2027.4999999999659</v>
      </c>
      <c r="B382" s="67">
        <f>LOOKUP(A382+0.01,Amounts!$A$4:$A$103,Amounts!$B$4:$B$103)*0.1*$A$2</f>
        <v>0</v>
      </c>
      <c r="C382" s="68">
        <f t="shared" si="39"/>
        <v>2992395.4285963499</v>
      </c>
      <c r="D382" s="67">
        <f t="array" ref="D382">SUM($B$7:$B377*$F$1009*EXP(-$F$1009*($A382-$A$7:$A377)))*$F$1010</f>
        <v>64001024.529088892</v>
      </c>
      <c r="E382" s="67">
        <f t="shared" si="37"/>
        <v>122.01230325036599</v>
      </c>
      <c r="F382" s="70">
        <f t="shared" si="41"/>
        <v>7.4085870533622229</v>
      </c>
      <c r="G382" s="67">
        <f>E382/'Lookup Tables'!$C$48</f>
        <v>244.02460650073198</v>
      </c>
      <c r="H382" s="70">
        <f t="shared" si="38"/>
        <v>2.1430879747892751E-2</v>
      </c>
      <c r="I382" s="71">
        <f t="shared" si="42"/>
        <v>0.35139543336105405</v>
      </c>
      <c r="L382" s="74"/>
      <c r="M382" s="74"/>
      <c r="N382" s="74"/>
      <c r="O382" s="74"/>
      <c r="P382" s="74"/>
      <c r="Q382" s="74"/>
      <c r="R382" s="74"/>
      <c r="S382" s="74"/>
      <c r="T382" s="74"/>
      <c r="U382" s="74"/>
      <c r="V382" s="74"/>
      <c r="W382" s="74"/>
      <c r="X382" s="74"/>
      <c r="Y382" s="74"/>
    </row>
    <row r="383" spans="1:25" x14ac:dyDescent="0.3">
      <c r="A383" s="66">
        <f t="shared" si="40"/>
        <v>2027.5999999999658</v>
      </c>
      <c r="B383" s="67">
        <f>LOOKUP(A383+0.01,Amounts!$A$4:$A$103,Amounts!$B$4:$B$103)*0.1*$A$2</f>
        <v>0</v>
      </c>
      <c r="C383" s="68">
        <f t="shared" si="39"/>
        <v>2992395.4285963499</v>
      </c>
      <c r="D383" s="67">
        <f t="array" ref="D383">SUM($B$7:$B378*$F$1009*EXP(-$F$1009*($A383-$A$7:$A378)))*$F$1010</f>
        <v>63111253.118442558</v>
      </c>
      <c r="E383" s="67">
        <f t="shared" si="37"/>
        <v>120.31603260504305</v>
      </c>
      <c r="F383" s="70">
        <f t="shared" si="41"/>
        <v>7.3055894997782138</v>
      </c>
      <c r="G383" s="67">
        <f>E383/'Lookup Tables'!$C$48</f>
        <v>240.6320652100861</v>
      </c>
      <c r="H383" s="70">
        <f t="shared" si="38"/>
        <v>2.1132937890790012E-2</v>
      </c>
      <c r="I383" s="71">
        <f t="shared" si="42"/>
        <v>0.34651017390252392</v>
      </c>
      <c r="L383" s="74"/>
      <c r="M383" s="74"/>
      <c r="N383" s="74"/>
      <c r="O383" s="74"/>
      <c r="P383" s="74"/>
      <c r="Q383" s="74"/>
      <c r="R383" s="74"/>
      <c r="S383" s="74"/>
      <c r="T383" s="74"/>
      <c r="U383" s="74"/>
      <c r="V383" s="74"/>
      <c r="W383" s="74"/>
      <c r="X383" s="74"/>
      <c r="Y383" s="74"/>
    </row>
    <row r="384" spans="1:25" x14ac:dyDescent="0.3">
      <c r="A384" s="66">
        <f t="shared" si="40"/>
        <v>2027.6999999999657</v>
      </c>
      <c r="B384" s="67">
        <f>LOOKUP(A384+0.01,Amounts!$A$4:$A$103,Amounts!$B$4:$B$103)*0.1*$A$2</f>
        <v>0</v>
      </c>
      <c r="C384" s="68">
        <f t="shared" si="39"/>
        <v>2992395.4285963499</v>
      </c>
      <c r="D384" s="67">
        <f t="array" ref="D384">SUM($B$7:$B379*$F$1009*EXP(-$F$1009*($A384-$A$7:$A379)))*$F$1010</f>
        <v>62233851.715448879</v>
      </c>
      <c r="E384" s="67">
        <f t="shared" si="37"/>
        <v>118.64334428728489</v>
      </c>
      <c r="F384" s="70">
        <f t="shared" si="41"/>
        <v>7.204023865123939</v>
      </c>
      <c r="G384" s="67">
        <f>E384/'Lookup Tables'!$C$48</f>
        <v>237.28668857456978</v>
      </c>
      <c r="H384" s="70">
        <f t="shared" si="38"/>
        <v>2.0839138157167883E-2</v>
      </c>
      <c r="I384" s="71">
        <f t="shared" si="42"/>
        <v>0.3416928315473805</v>
      </c>
      <c r="L384" s="74"/>
      <c r="M384" s="74"/>
      <c r="N384" s="74"/>
      <c r="O384" s="74"/>
      <c r="P384" s="74"/>
      <c r="Q384" s="74"/>
      <c r="R384" s="74"/>
      <c r="S384" s="74"/>
      <c r="T384" s="74"/>
      <c r="U384" s="74"/>
      <c r="V384" s="74"/>
      <c r="W384" s="74"/>
      <c r="X384" s="74"/>
      <c r="Y384" s="74"/>
    </row>
    <row r="385" spans="1:25" x14ac:dyDescent="0.3">
      <c r="A385" s="66">
        <f t="shared" si="40"/>
        <v>2027.7999999999656</v>
      </c>
      <c r="B385" s="67">
        <f>LOOKUP(A385+0.01,Amounts!$A$4:$A$103,Amounts!$B$4:$B$103)*0.1*$A$2</f>
        <v>0</v>
      </c>
      <c r="C385" s="68">
        <f t="shared" si="39"/>
        <v>2992395.4285963499</v>
      </c>
      <c r="D385" s="67">
        <f t="array" ref="D385">SUM($B$7:$B380*$F$1009*EXP(-$F$1009*($A385-$A$7:$A380)))*$F$1010</f>
        <v>61368648.346624017</v>
      </c>
      <c r="E385" s="67">
        <f t="shared" si="37"/>
        <v>116.99391044482635</v>
      </c>
      <c r="F385" s="70">
        <f t="shared" si="41"/>
        <v>7.1038702422098563</v>
      </c>
      <c r="G385" s="67">
        <f>E385/'Lookup Tables'!$C$48</f>
        <v>233.98782088965271</v>
      </c>
      <c r="H385" s="70">
        <f t="shared" si="38"/>
        <v>2.0549422961338014E-2</v>
      </c>
      <c r="I385" s="71">
        <f t="shared" si="42"/>
        <v>0.3369424620810999</v>
      </c>
      <c r="L385" s="74"/>
      <c r="M385" s="74"/>
      <c r="N385" s="74"/>
      <c r="O385" s="74"/>
      <c r="P385" s="74"/>
      <c r="Q385" s="74"/>
      <c r="R385" s="74"/>
      <c r="S385" s="74"/>
      <c r="T385" s="74"/>
      <c r="U385" s="74"/>
      <c r="V385" s="74"/>
      <c r="W385" s="74"/>
      <c r="X385" s="74"/>
      <c r="Y385" s="74"/>
    </row>
    <row r="386" spans="1:25" x14ac:dyDescent="0.3">
      <c r="A386" s="66">
        <f t="shared" si="40"/>
        <v>2027.8999999999655</v>
      </c>
      <c r="B386" s="67">
        <f>LOOKUP(A386+0.01,Amounts!$A$4:$A$103,Amounts!$B$4:$B$103)*0.1*$A$2</f>
        <v>0</v>
      </c>
      <c r="C386" s="68">
        <f t="shared" si="39"/>
        <v>2992395.4285963499</v>
      </c>
      <c r="D386" s="67">
        <f t="array" ref="D386">SUM($B$7:$B381*$F$1009*EXP(-$F$1009*($A386-$A$7:$A381)))*$F$1010</f>
        <v>60515473.429337844</v>
      </c>
      <c r="E386" s="67">
        <f t="shared" si="37"/>
        <v>115.36740778335391</v>
      </c>
      <c r="F386" s="70">
        <f t="shared" si="41"/>
        <v>7.0051090006052501</v>
      </c>
      <c r="G386" s="67">
        <f>E386/'Lookup Tables'!$C$48</f>
        <v>230.73481556670782</v>
      </c>
      <c r="H386" s="70">
        <f t="shared" si="38"/>
        <v>2.0263735518194534E-2</v>
      </c>
      <c r="I386" s="71">
        <f t="shared" si="42"/>
        <v>0.33225813441605923</v>
      </c>
      <c r="L386" s="74"/>
      <c r="M386" s="74"/>
      <c r="N386" s="74"/>
      <c r="O386" s="74"/>
      <c r="P386" s="74"/>
      <c r="Q386" s="74"/>
      <c r="R386" s="74"/>
      <c r="S386" s="74"/>
      <c r="T386" s="74"/>
      <c r="U386" s="74"/>
      <c r="V386" s="74"/>
      <c r="W386" s="74"/>
      <c r="X386" s="74"/>
      <c r="Y386" s="74"/>
    </row>
    <row r="387" spans="1:25" x14ac:dyDescent="0.3">
      <c r="A387" s="66">
        <f t="shared" si="40"/>
        <v>2027.9999999999654</v>
      </c>
      <c r="B387" s="67">
        <f>LOOKUP(A387+0.01,Amounts!$A$4:$A$103,Amounts!$B$4:$B$103)*0.1*$A$2</f>
        <v>0</v>
      </c>
      <c r="C387" s="68">
        <f t="shared" si="39"/>
        <v>2992395.4285963499</v>
      </c>
      <c r="D387" s="67">
        <f t="array" ref="D387">SUM($B$7:$B382*$F$1009*EXP(-$F$1009*($A387-$A$7:$A382)))*$F$1010</f>
        <v>59674159.738575287</v>
      </c>
      <c r="E387" s="67">
        <f t="shared" si="37"/>
        <v>113.76351750313894</v>
      </c>
      <c r="F387" s="70">
        <f t="shared" si="41"/>
        <v>6.9077207827905962</v>
      </c>
      <c r="G387" s="67">
        <f>E387/'Lookup Tables'!$C$48</f>
        <v>227.52703500627788</v>
      </c>
      <c r="H387" s="70">
        <f t="shared" si="38"/>
        <v>1.9982019832084023E-2</v>
      </c>
      <c r="I387" s="71">
        <f t="shared" si="42"/>
        <v>0.32763893040904019</v>
      </c>
      <c r="L387" s="74"/>
      <c r="M387" s="74"/>
      <c r="N387" s="74"/>
      <c r="O387" s="74"/>
      <c r="P387" s="74"/>
      <c r="Q387" s="74"/>
      <c r="R387" s="74"/>
      <c r="S387" s="74"/>
      <c r="T387" s="74"/>
      <c r="U387" s="74"/>
      <c r="V387" s="74"/>
      <c r="W387" s="74"/>
      <c r="X387" s="74"/>
      <c r="Y387" s="74"/>
    </row>
    <row r="388" spans="1:25" x14ac:dyDescent="0.3">
      <c r="A388" s="66">
        <f t="shared" si="40"/>
        <v>2028.0999999999653</v>
      </c>
      <c r="B388" s="67">
        <f>LOOKUP(A388+0.01,Amounts!$A$4:$A$103,Amounts!$B$4:$B$103)*0.1*$A$2</f>
        <v>0</v>
      </c>
      <c r="C388" s="68">
        <f t="shared" si="39"/>
        <v>2992395.4285963499</v>
      </c>
      <c r="D388" s="67">
        <f t="array" ref="D388">SUM($B$7:$B383*$F$1009*EXP(-$F$1009*($A388-$A$7:$A383)))*$F$1010</f>
        <v>58844542.374159575</v>
      </c>
      <c r="E388" s="67">
        <f t="shared" si="37"/>
        <v>112.18192523655183</v>
      </c>
      <c r="F388" s="70">
        <f t="shared" si="41"/>
        <v>6.811686500363427</v>
      </c>
      <c r="G388" s="67">
        <f>E388/'Lookup Tables'!$C$48</f>
        <v>224.36385047310367</v>
      </c>
      <c r="H388" s="70">
        <f t="shared" si="38"/>
        <v>1.9704220685830102E-2</v>
      </c>
      <c r="I388" s="71">
        <f t="shared" si="42"/>
        <v>0.32308394468126922</v>
      </c>
      <c r="L388" s="74"/>
      <c r="M388" s="74"/>
      <c r="N388" s="74"/>
      <c r="O388" s="74"/>
      <c r="P388" s="74"/>
      <c r="Q388" s="74"/>
      <c r="R388" s="74"/>
      <c r="S388" s="74"/>
      <c r="T388" s="74"/>
      <c r="U388" s="74"/>
      <c r="V388" s="74"/>
      <c r="W388" s="74"/>
      <c r="X388" s="74"/>
      <c r="Y388" s="74"/>
    </row>
    <row r="389" spans="1:25" x14ac:dyDescent="0.3">
      <c r="A389" s="66">
        <f t="shared" si="40"/>
        <v>2028.1999999999653</v>
      </c>
      <c r="B389" s="67">
        <f>LOOKUP(A389+0.01,Amounts!$A$4:$A$103,Amounts!$B$4:$B$103)*0.1*$A$2</f>
        <v>0</v>
      </c>
      <c r="C389" s="68">
        <f t="shared" si="39"/>
        <v>2992395.4285963499</v>
      </c>
      <c r="D389" s="67">
        <f t="array" ref="D389">SUM($B$7:$B384*$F$1009*EXP(-$F$1009*($A389-$A$7:$A384)))*$F$1010</f>
        <v>58026458.728431419</v>
      </c>
      <c r="E389" s="67">
        <f t="shared" si="37"/>
        <v>110.62232098644515</v>
      </c>
      <c r="F389" s="70">
        <f t="shared" si="41"/>
        <v>6.7169873302969494</v>
      </c>
      <c r="G389" s="67">
        <f>E389/'Lookup Tables'!$C$48</f>
        <v>221.24464197289029</v>
      </c>
      <c r="H389" s="70">
        <f t="shared" si="38"/>
        <v>1.94302836299108E-2</v>
      </c>
      <c r="I389" s="71">
        <f t="shared" si="42"/>
        <v>0.31859228444096199</v>
      </c>
      <c r="L389" s="74"/>
      <c r="M389" s="74"/>
      <c r="N389" s="74"/>
      <c r="O389" s="74"/>
      <c r="P389" s="74"/>
      <c r="Q389" s="74"/>
      <c r="R389" s="74"/>
      <c r="S389" s="74"/>
      <c r="T389" s="74"/>
      <c r="U389" s="74"/>
      <c r="V389" s="74"/>
      <c r="W389" s="74"/>
      <c r="X389" s="74"/>
      <c r="Y389" s="74"/>
    </row>
    <row r="390" spans="1:25" x14ac:dyDescent="0.3">
      <c r="A390" s="66">
        <f t="shared" si="40"/>
        <v>2028.2999999999652</v>
      </c>
      <c r="B390" s="67">
        <f>LOOKUP(A390+0.01,Amounts!$A$4:$A$103,Amounts!$B$4:$B$103)*0.1*$A$2</f>
        <v>0</v>
      </c>
      <c r="C390" s="68">
        <f t="shared" si="39"/>
        <v>2992395.4285963499</v>
      </c>
      <c r="D390" s="67">
        <f t="array" ref="D390">SUM($B$7:$B385*$F$1009*EXP(-$F$1009*($A390-$A$7:$A385)))*$F$1010</f>
        <v>57219748.454377249</v>
      </c>
      <c r="E390" s="67">
        <f t="shared" si="37"/>
        <v>109.08439906539299</v>
      </c>
      <c r="F390" s="70">
        <f t="shared" si="41"/>
        <v>6.6236047112506622</v>
      </c>
      <c r="G390" s="67">
        <f>E390/'Lookup Tables'!$C$48</f>
        <v>218.16879813078597</v>
      </c>
      <c r="H390" s="70">
        <f t="shared" si="38"/>
        <v>1.9160154971786171E-2</v>
      </c>
      <c r="I390" s="71">
        <f t="shared" si="42"/>
        <v>0.31416306930833182</v>
      </c>
      <c r="L390" s="74"/>
      <c r="M390" s="74"/>
      <c r="N390" s="74"/>
      <c r="O390" s="74"/>
      <c r="P390" s="74"/>
      <c r="Q390" s="74"/>
      <c r="R390" s="74"/>
      <c r="S390" s="74"/>
      <c r="T390" s="74"/>
      <c r="U390" s="74"/>
      <c r="V390" s="74"/>
      <c r="W390" s="74"/>
      <c r="X390" s="74"/>
      <c r="Y390" s="74"/>
    </row>
    <row r="391" spans="1:25" x14ac:dyDescent="0.3">
      <c r="A391" s="66">
        <f t="shared" si="40"/>
        <v>2028.3999999999651</v>
      </c>
      <c r="B391" s="67">
        <f>LOOKUP(A391+0.01,Amounts!$A$4:$A$103,Amounts!$B$4:$B$103)*0.1*$A$2</f>
        <v>0</v>
      </c>
      <c r="C391" s="68">
        <f t="shared" si="39"/>
        <v>2992395.4285963499</v>
      </c>
      <c r="D391" s="67">
        <f t="array" ref="D391">SUM($B$7:$B386*$F$1009*EXP(-$F$1009*($A391-$A$7:$A386)))*$F$1010</f>
        <v>56424253.434200808</v>
      </c>
      <c r="E391" s="67">
        <f t="shared" ref="E391:E454" si="43">D391/(365*24*60)*1.00201</f>
        <v>107.56785803577542</v>
      </c>
      <c r="F391" s="70">
        <f t="shared" si="41"/>
        <v>6.5315203399322836</v>
      </c>
      <c r="G391" s="67">
        <f>E391/'Lookup Tables'!$C$48</f>
        <v>215.13571607155083</v>
      </c>
      <c r="H391" s="70">
        <f t="shared" ref="H391:H454" si="44">G391*60*24*365/(C391*2000)</f>
        <v>1.8893781765374446E-2</v>
      </c>
      <c r="I391" s="71">
        <f t="shared" si="42"/>
        <v>0.30979543114303321</v>
      </c>
      <c r="L391" s="74"/>
      <c r="M391" s="74"/>
      <c r="N391" s="74"/>
      <c r="O391" s="74"/>
      <c r="P391" s="74"/>
      <c r="Q391" s="74"/>
      <c r="R391" s="74"/>
      <c r="S391" s="74"/>
      <c r="T391" s="74"/>
      <c r="U391" s="74"/>
      <c r="V391" s="74"/>
      <c r="W391" s="74"/>
      <c r="X391" s="74"/>
      <c r="Y391" s="74"/>
    </row>
    <row r="392" spans="1:25" x14ac:dyDescent="0.3">
      <c r="A392" s="66">
        <f t="shared" si="40"/>
        <v>2028.499999999965</v>
      </c>
      <c r="B392" s="67">
        <f>LOOKUP(A392+0.01,Amounts!$A$4:$A$103,Amounts!$B$4:$B$103)*0.1*$A$2</f>
        <v>0</v>
      </c>
      <c r="C392" s="68">
        <f t="shared" si="39"/>
        <v>2992395.4285963499</v>
      </c>
      <c r="D392" s="67">
        <f t="array" ref="D392">SUM($B$7:$B387*$F$1009*EXP(-$F$1009*($A392-$A$7:$A387)))*$F$1010</f>
        <v>55639817.748331472</v>
      </c>
      <c r="E392" s="67">
        <f t="shared" si="43"/>
        <v>106.07240065069563</v>
      </c>
      <c r="F392" s="70">
        <f t="shared" si="41"/>
        <v>6.4407161675102387</v>
      </c>
      <c r="G392" s="67">
        <f>E392/'Lookup Tables'!$C$48</f>
        <v>212.14480130139125</v>
      </c>
      <c r="H392" s="70">
        <f t="shared" si="44"/>
        <v>1.8631111800674411E-2</v>
      </c>
      <c r="I392" s="71">
        <f t="shared" si="42"/>
        <v>0.30548851387400339</v>
      </c>
      <c r="L392" s="74"/>
      <c r="M392" s="74"/>
      <c r="N392" s="74"/>
      <c r="O392" s="74"/>
      <c r="P392" s="74"/>
      <c r="Q392" s="74"/>
      <c r="R392" s="74"/>
      <c r="S392" s="74"/>
      <c r="T392" s="74"/>
      <c r="U392" s="74"/>
      <c r="V392" s="74"/>
      <c r="W392" s="74"/>
      <c r="X392" s="74"/>
      <c r="Y392" s="74"/>
    </row>
    <row r="393" spans="1:25" x14ac:dyDescent="0.3">
      <c r="A393" s="66">
        <f t="shared" si="40"/>
        <v>2028.5999999999649</v>
      </c>
      <c r="B393" s="67">
        <f>LOOKUP(A393+0.01,Amounts!$A$4:$A$103,Amounts!$B$4:$B$103)*0.1*$A$2</f>
        <v>0</v>
      </c>
      <c r="C393" s="68">
        <f t="shared" ref="C393:C456" si="45">C392+B393</f>
        <v>2992395.4285963499</v>
      </c>
      <c r="D393" s="67">
        <f t="array" ref="D393">SUM($B$7:$B388*$F$1009*EXP(-$F$1009*($A393-$A$7:$A388)))*$F$1010</f>
        <v>54866287.644863576</v>
      </c>
      <c r="E393" s="67">
        <f t="shared" si="43"/>
        <v>104.59773379571871</v>
      </c>
      <c r="F393" s="70">
        <f t="shared" si="41"/>
        <v>6.3511743960760398</v>
      </c>
      <c r="G393" s="67">
        <f>E393/'Lookup Tables'!$C$48</f>
        <v>209.19546759143742</v>
      </c>
      <c r="H393" s="70">
        <f t="shared" si="44"/>
        <v>1.8372093593532104E-2</v>
      </c>
      <c r="I393" s="71">
        <f t="shared" si="42"/>
        <v>0.3012414733316699</v>
      </c>
      <c r="L393" s="74"/>
      <c r="M393" s="74"/>
      <c r="N393" s="74"/>
      <c r="O393" s="74"/>
      <c r="P393" s="74"/>
      <c r="Q393" s="74"/>
      <c r="R393" s="74"/>
      <c r="S393" s="74"/>
      <c r="T393" s="74"/>
      <c r="U393" s="74"/>
      <c r="V393" s="74"/>
      <c r="W393" s="74"/>
      <c r="X393" s="74"/>
      <c r="Y393" s="74"/>
    </row>
    <row r="394" spans="1:25" x14ac:dyDescent="0.3">
      <c r="A394" s="66">
        <f t="shared" si="40"/>
        <v>2028.6999999999648</v>
      </c>
      <c r="B394" s="67">
        <f>LOOKUP(A394+0.01,Amounts!$A$4:$A$103,Amounts!$B$4:$B$103)*0.1*$A$2</f>
        <v>0</v>
      </c>
      <c r="C394" s="68">
        <f t="shared" si="45"/>
        <v>2992395.4285963499</v>
      </c>
      <c r="D394" s="67">
        <f t="array" ref="D394">SUM($B$7:$B389*$F$1009*EXP(-$F$1009*($A394-$A$7:$A389)))*$F$1010</f>
        <v>54103511.509420462</v>
      </c>
      <c r="E394" s="67">
        <f t="shared" si="43"/>
        <v>103.14356843142009</v>
      </c>
      <c r="F394" s="70">
        <f t="shared" si="41"/>
        <v>6.2628774751558272</v>
      </c>
      <c r="G394" s="67">
        <f>E394/'Lookup Tables'!$C$48</f>
        <v>206.28713686284019</v>
      </c>
      <c r="H394" s="70">
        <f t="shared" si="44"/>
        <v>1.8116676375549697E-2</v>
      </c>
      <c r="I394" s="71">
        <f t="shared" si="42"/>
        <v>0.29705347708248986</v>
      </c>
      <c r="L394" s="74"/>
      <c r="M394" s="74"/>
      <c r="N394" s="74"/>
      <c r="O394" s="74"/>
      <c r="P394" s="74"/>
      <c r="Q394" s="74"/>
      <c r="R394" s="74"/>
      <c r="S394" s="74"/>
      <c r="T394" s="74"/>
      <c r="U394" s="74"/>
      <c r="V394" s="74"/>
      <c r="W394" s="74"/>
      <c r="X394" s="74"/>
      <c r="Y394" s="74"/>
    </row>
    <row r="395" spans="1:25" x14ac:dyDescent="0.3">
      <c r="A395" s="66">
        <f t="shared" si="40"/>
        <v>2028.7999999999647</v>
      </c>
      <c r="B395" s="67">
        <f>LOOKUP(A395+0.01,Amounts!$A$4:$A$103,Amounts!$B$4:$B$103)*0.1*$A$2</f>
        <v>0</v>
      </c>
      <c r="C395" s="68">
        <f t="shared" si="45"/>
        <v>2992395.4285963499</v>
      </c>
      <c r="D395" s="67">
        <f t="array" ref="D395">SUM($B$7:$B390*$F$1009*EXP(-$F$1009*($A395-$A$7:$A390)))*$F$1010</f>
        <v>53351339.835437685</v>
      </c>
      <c r="E395" s="67">
        <f t="shared" si="43"/>
        <v>101.7096195367331</v>
      </c>
      <c r="F395" s="70">
        <f t="shared" si="41"/>
        <v>6.1758080982704335</v>
      </c>
      <c r="G395" s="67">
        <f>E395/'Lookup Tables'!$C$48</f>
        <v>203.4192390734662</v>
      </c>
      <c r="H395" s="70">
        <f t="shared" si="44"/>
        <v>1.7864810084134791E-2</v>
      </c>
      <c r="I395" s="71">
        <f t="shared" si="42"/>
        <v>0.29292370426579134</v>
      </c>
      <c r="L395" s="74"/>
      <c r="M395" s="74"/>
      <c r="N395" s="74"/>
      <c r="O395" s="74"/>
      <c r="P395" s="74"/>
      <c r="Q395" s="74"/>
      <c r="R395" s="74"/>
      <c r="S395" s="74"/>
      <c r="T395" s="74"/>
      <c r="U395" s="74"/>
      <c r="V395" s="74"/>
      <c r="W395" s="74"/>
      <c r="X395" s="74"/>
      <c r="Y395" s="74"/>
    </row>
    <row r="396" spans="1:25" x14ac:dyDescent="0.3">
      <c r="A396" s="66">
        <f t="shared" si="40"/>
        <v>2028.8999999999646</v>
      </c>
      <c r="B396" s="67">
        <f>LOOKUP(A396+0.01,Amounts!$A$4:$A$103,Amounts!$B$4:$B$103)*0.1*$A$2</f>
        <v>0</v>
      </c>
      <c r="C396" s="68">
        <f t="shared" si="45"/>
        <v>2992395.4285963499</v>
      </c>
      <c r="D396" s="67">
        <f t="array" ref="D396">SUM($B$7:$B391*$F$1009*EXP(-$F$1009*($A396-$A$7:$A391)))*$F$1010</f>
        <v>52609625.194859177</v>
      </c>
      <c r="E396" s="67">
        <f t="shared" si="43"/>
        <v>100.2956060530838</v>
      </c>
      <c r="F396" s="70">
        <f t="shared" si="41"/>
        <v>6.0899491995432484</v>
      </c>
      <c r="G396" s="67">
        <f>E396/'Lookup Tables'!$C$48</f>
        <v>200.5912121061676</v>
      </c>
      <c r="H396" s="70">
        <f t="shared" si="44"/>
        <v>1.7616445352687957E-2</v>
      </c>
      <c r="I396" s="71">
        <f t="shared" si="42"/>
        <v>0.28885134543288138</v>
      </c>
      <c r="L396" s="74"/>
      <c r="M396" s="74"/>
      <c r="N396" s="74"/>
      <c r="O396" s="74"/>
      <c r="P396" s="74"/>
      <c r="Q396" s="74"/>
      <c r="R396" s="74"/>
      <c r="S396" s="74"/>
      <c r="T396" s="74"/>
      <c r="U396" s="74"/>
      <c r="V396" s="74"/>
      <c r="W396" s="74"/>
      <c r="X396" s="74"/>
      <c r="Y396" s="74"/>
    </row>
    <row r="397" spans="1:25" x14ac:dyDescent="0.3">
      <c r="A397" s="66">
        <f t="shared" si="40"/>
        <v>2028.9999999999645</v>
      </c>
      <c r="B397" s="67">
        <f>LOOKUP(A397+0.01,Amounts!$A$4:$A$103,Amounts!$B$4:$B$103)*0.1*$A$2</f>
        <v>0</v>
      </c>
      <c r="C397" s="68">
        <f t="shared" si="45"/>
        <v>2992395.4285963499</v>
      </c>
      <c r="D397" s="67">
        <f t="array" ref="D397">SUM($B$7:$B392*$F$1009*EXP(-$F$1009*($A397-$A$7:$A392)))*$F$1010</f>
        <v>51878222.209240869</v>
      </c>
      <c r="E397" s="67">
        <f t="shared" si="43"/>
        <v>98.901250829302597</v>
      </c>
      <c r="F397" s="70">
        <f t="shared" si="41"/>
        <v>6.0052839503552535</v>
      </c>
      <c r="G397" s="67">
        <f>E397/'Lookup Tables'!$C$48</f>
        <v>197.80250165860519</v>
      </c>
      <c r="H397" s="70">
        <f t="shared" si="44"/>
        <v>1.7371533500926718E-2</v>
      </c>
      <c r="I397" s="71">
        <f t="shared" si="42"/>
        <v>0.28483560238839151</v>
      </c>
      <c r="L397" s="74"/>
      <c r="M397" s="74"/>
      <c r="N397" s="74"/>
      <c r="O397" s="74"/>
      <c r="P397" s="74"/>
      <c r="Q397" s="74"/>
      <c r="R397" s="74"/>
      <c r="S397" s="74"/>
      <c r="T397" s="74"/>
      <c r="U397" s="74"/>
      <c r="V397" s="74"/>
      <c r="W397" s="74"/>
      <c r="X397" s="74"/>
      <c r="Y397" s="74"/>
    </row>
    <row r="398" spans="1:25" x14ac:dyDescent="0.3">
      <c r="A398" s="66">
        <f t="shared" si="40"/>
        <v>2029.0999999999644</v>
      </c>
      <c r="B398" s="67">
        <f>LOOKUP(A398+0.01,Amounts!$A$4:$A$103,Amounts!$B$4:$B$103)*0.1*$A$2</f>
        <v>0</v>
      </c>
      <c r="C398" s="68">
        <f t="shared" si="45"/>
        <v>2992395.4285963499</v>
      </c>
      <c r="D398" s="67">
        <f t="array" ref="D398">SUM($B$7:$B393*$F$1009*EXP(-$F$1009*($A398-$A$7:$A393)))*$F$1010</f>
        <v>51156987.521256141</v>
      </c>
      <c r="E398" s="67">
        <f t="shared" si="43"/>
        <v>97.526280567301882</v>
      </c>
      <c r="F398" s="70">
        <f t="shared" si="41"/>
        <v>5.9217957560465697</v>
      </c>
      <c r="G398" s="67">
        <f>E398/'Lookup Tables'!$C$48</f>
        <v>195.05256113460376</v>
      </c>
      <c r="H398" s="70">
        <f t="shared" si="44"/>
        <v>1.7130026525344091E-2</v>
      </c>
      <c r="I398" s="71">
        <f t="shared" si="42"/>
        <v>0.28087568803382945</v>
      </c>
      <c r="L398" s="74"/>
      <c r="M398" s="74"/>
      <c r="N398" s="74"/>
      <c r="O398" s="74"/>
      <c r="P398" s="74"/>
      <c r="Q398" s="74"/>
      <c r="R398" s="74"/>
      <c r="S398" s="74"/>
      <c r="T398" s="74"/>
      <c r="U398" s="74"/>
      <c r="V398" s="74"/>
      <c r="W398" s="74"/>
      <c r="X398" s="74"/>
      <c r="Y398" s="74"/>
    </row>
    <row r="399" spans="1:25" x14ac:dyDescent="0.3">
      <c r="A399" s="66">
        <f t="shared" si="40"/>
        <v>2029.1999999999643</v>
      </c>
      <c r="B399" s="67">
        <f>LOOKUP(A399+0.01,Amounts!$A$4:$A$103,Amounts!$B$4:$B$103)*0.1*$A$2</f>
        <v>0</v>
      </c>
      <c r="C399" s="68">
        <f t="shared" si="45"/>
        <v>2992395.4285963499</v>
      </c>
      <c r="D399" s="67">
        <f t="array" ref="D399">SUM($B$7:$B394*$F$1009*EXP(-$F$1009*($A399-$A$7:$A394)))*$F$1010</f>
        <v>50445779.766597189</v>
      </c>
      <c r="E399" s="67">
        <f t="shared" si="43"/>
        <v>96.17042576850848</v>
      </c>
      <c r="F399" s="70">
        <f t="shared" si="41"/>
        <v>5.8394682526638348</v>
      </c>
      <c r="G399" s="67">
        <f>E399/'Lookup Tables'!$C$48</f>
        <v>192.34085153701696</v>
      </c>
      <c r="H399" s="70">
        <f t="shared" si="44"/>
        <v>1.6891877089799709E-2</v>
      </c>
      <c r="I399" s="71">
        <f t="shared" si="42"/>
        <v>0.27697082621330443</v>
      </c>
      <c r="L399" s="74"/>
      <c r="M399" s="74"/>
      <c r="N399" s="74"/>
      <c r="O399" s="74"/>
      <c r="P399" s="74"/>
      <c r="Q399" s="74"/>
      <c r="R399" s="74"/>
      <c r="S399" s="74"/>
      <c r="T399" s="74"/>
      <c r="U399" s="74"/>
      <c r="V399" s="74"/>
      <c r="W399" s="74"/>
      <c r="X399" s="74"/>
      <c r="Y399" s="74"/>
    </row>
    <row r="400" spans="1:25" x14ac:dyDescent="0.3">
      <c r="A400" s="66">
        <f t="shared" si="40"/>
        <v>2029.2999999999643</v>
      </c>
      <c r="B400" s="67">
        <f>LOOKUP(A400+0.01,Amounts!$A$4:$A$103,Amounts!$B$4:$B$103)*0.1*$A$2</f>
        <v>0</v>
      </c>
      <c r="C400" s="68">
        <f t="shared" si="45"/>
        <v>2992395.4285963499</v>
      </c>
      <c r="D400" s="67">
        <f t="array" ref="D400">SUM($B$7:$B395*$F$1009*EXP(-$F$1009*($A400-$A$7:$A395)))*$F$1010</f>
        <v>49744459.546267301</v>
      </c>
      <c r="E400" s="67">
        <f t="shared" si="43"/>
        <v>94.833420681041289</v>
      </c>
      <c r="F400" s="70">
        <f t="shared" si="41"/>
        <v>5.7582853037528263</v>
      </c>
      <c r="G400" s="67">
        <f>E400/'Lookup Tables'!$C$48</f>
        <v>189.66684136208258</v>
      </c>
      <c r="H400" s="70">
        <f t="shared" si="44"/>
        <v>1.6657038516241805E-2</v>
      </c>
      <c r="I400" s="71">
        <f t="shared" si="42"/>
        <v>0.27312025156139891</v>
      </c>
      <c r="L400" s="74"/>
      <c r="M400" s="74"/>
      <c r="N400" s="74"/>
      <c r="O400" s="74"/>
      <c r="P400" s="74"/>
      <c r="Q400" s="74"/>
      <c r="R400" s="74"/>
      <c r="S400" s="74"/>
      <c r="T400" s="74"/>
      <c r="U400" s="74"/>
      <c r="V400" s="74"/>
      <c r="W400" s="74"/>
      <c r="X400" s="74"/>
      <c r="Y400" s="74"/>
    </row>
    <row r="401" spans="1:25" x14ac:dyDescent="0.3">
      <c r="A401" s="66">
        <f t="shared" si="40"/>
        <v>2029.3999999999642</v>
      </c>
      <c r="B401" s="67">
        <f>LOOKUP(A401+0.01,Amounts!$A$4:$A$103,Amounts!$B$4:$B$103)*0.1*$A$2</f>
        <v>0</v>
      </c>
      <c r="C401" s="68">
        <f t="shared" si="45"/>
        <v>2992395.4285963499</v>
      </c>
      <c r="D401" s="67">
        <f t="array" ref="D401">SUM($B$7:$B396*$F$1009*EXP(-$F$1009*($A401-$A$7:$A396)))*$F$1010</f>
        <v>49052889.399258085</v>
      </c>
      <c r="E401" s="67">
        <f t="shared" si="43"/>
        <v>93.5150032476229</v>
      </c>
      <c r="F401" s="70">
        <f t="shared" si="41"/>
        <v>5.678230997195663</v>
      </c>
      <c r="G401" s="67">
        <f>E401/'Lookup Tables'!$C$48</f>
        <v>187.0300064952458</v>
      </c>
      <c r="H401" s="70">
        <f t="shared" si="44"/>
        <v>1.6425464775558157E-2</v>
      </c>
      <c r="I401" s="71">
        <f t="shared" si="42"/>
        <v>0.26932320935315396</v>
      </c>
      <c r="L401" s="74"/>
      <c r="M401" s="74"/>
      <c r="N401" s="74"/>
      <c r="O401" s="74"/>
      <c r="P401" s="74"/>
      <c r="Q401" s="74"/>
      <c r="R401" s="74"/>
      <c r="S401" s="74"/>
      <c r="T401" s="74"/>
      <c r="U401" s="74"/>
      <c r="V401" s="74"/>
      <c r="W401" s="74"/>
      <c r="X401" s="74"/>
      <c r="Y401" s="74"/>
    </row>
    <row r="402" spans="1:25" x14ac:dyDescent="0.3">
      <c r="A402" s="66">
        <f t="shared" si="40"/>
        <v>2029.4999999999641</v>
      </c>
      <c r="B402" s="67">
        <f>LOOKUP(A402+0.01,Amounts!$A$4:$A$103,Amounts!$B$4:$B$103)*0.1*$A$2</f>
        <v>0</v>
      </c>
      <c r="C402" s="68">
        <f t="shared" si="45"/>
        <v>2992395.4285963499</v>
      </c>
      <c r="D402" s="67">
        <f t="array" ref="D402">SUM($B$7:$B397*$F$1009*EXP(-$F$1009*($A402-$A$7:$A397)))*$F$1010</f>
        <v>48370933.775606789</v>
      </c>
      <c r="E402" s="67">
        <f t="shared" si="43"/>
        <v>92.21491505421568</v>
      </c>
      <c r="F402" s="70">
        <f t="shared" si="41"/>
        <v>5.5992896420919767</v>
      </c>
      <c r="G402" s="67">
        <f>E402/'Lookup Tables'!$C$48</f>
        <v>184.42983010843136</v>
      </c>
      <c r="H402" s="70">
        <f t="shared" si="44"/>
        <v>1.6197110478554246E-2</v>
      </c>
      <c r="I402" s="71">
        <f t="shared" si="42"/>
        <v>0.26557895535614112</v>
      </c>
      <c r="L402" s="74"/>
      <c r="M402" s="74"/>
      <c r="N402" s="74"/>
      <c r="O402" s="74"/>
      <c r="P402" s="74"/>
      <c r="Q402" s="74"/>
      <c r="R402" s="74"/>
      <c r="S402" s="74"/>
      <c r="T402" s="74"/>
      <c r="U402" s="74"/>
      <c r="V402" s="74"/>
      <c r="W402" s="74"/>
      <c r="X402" s="74"/>
      <c r="Y402" s="74"/>
    </row>
    <row r="403" spans="1:25" x14ac:dyDescent="0.3">
      <c r="A403" s="66">
        <f t="shared" ref="A403:A466" si="46">A402+0.1</f>
        <v>2029.599999999964</v>
      </c>
      <c r="B403" s="67">
        <f>LOOKUP(A403+0.01,Amounts!$A$4:$A$103,Amounts!$B$4:$B$103)*0.1*$A$2</f>
        <v>0</v>
      </c>
      <c r="C403" s="68">
        <f t="shared" si="45"/>
        <v>2992395.4285963499</v>
      </c>
      <c r="D403" s="67">
        <f t="array" ref="D403">SUM($B$7:$B398*$F$1009*EXP(-$F$1009*($A403-$A$7:$A398)))*$F$1010</f>
        <v>47698459.009827979</v>
      </c>
      <c r="E403" s="67">
        <f t="shared" si="43"/>
        <v>90.932901279371634</v>
      </c>
      <c r="F403" s="70">
        <f t="shared" ref="F403:F466" si="47">E403*60*1012/1000000</f>
        <v>5.5214457656834455</v>
      </c>
      <c r="G403" s="67">
        <f>E403/'Lookup Tables'!$C$48</f>
        <v>181.86580255874327</v>
      </c>
      <c r="H403" s="70">
        <f t="shared" si="44"/>
        <v>1.5971930867056811E-2</v>
      </c>
      <c r="I403" s="71">
        <f t="shared" ref="I403:I466" si="48">G403*60*24/1000000</f>
        <v>0.2618867556845903</v>
      </c>
      <c r="L403" s="74"/>
      <c r="M403" s="74"/>
      <c r="N403" s="74"/>
      <c r="O403" s="74"/>
      <c r="P403" s="74"/>
      <c r="Q403" s="74"/>
      <c r="R403" s="74"/>
      <c r="S403" s="74"/>
      <c r="T403" s="74"/>
      <c r="U403" s="74"/>
      <c r="V403" s="74"/>
      <c r="W403" s="74"/>
      <c r="X403" s="74"/>
      <c r="Y403" s="74"/>
    </row>
    <row r="404" spans="1:25" x14ac:dyDescent="0.3">
      <c r="A404" s="66">
        <f t="shared" si="46"/>
        <v>2029.6999999999639</v>
      </c>
      <c r="B404" s="67">
        <f>LOOKUP(A404+0.01,Amounts!$A$4:$A$103,Amounts!$B$4:$B$103)*0.1*$A$2</f>
        <v>0</v>
      </c>
      <c r="C404" s="68">
        <f t="shared" si="45"/>
        <v>2992395.4285963499</v>
      </c>
      <c r="D404" s="67">
        <f t="array" ref="D404">SUM($B$7:$B399*$F$1009*EXP(-$F$1009*($A404-$A$7:$A399)))*$F$1010</f>
        <v>47035333.294714741</v>
      </c>
      <c r="E404" s="67">
        <f t="shared" si="43"/>
        <v>89.668710644286747</v>
      </c>
      <c r="F404" s="70">
        <f t="shared" si="47"/>
        <v>5.4446841103210915</v>
      </c>
      <c r="G404" s="67">
        <f>E404/'Lookup Tables'!$C$48</f>
        <v>179.33742128857349</v>
      </c>
      <c r="H404" s="70">
        <f t="shared" si="44"/>
        <v>1.5749881805141121E-2</v>
      </c>
      <c r="I404" s="71">
        <f t="shared" si="48"/>
        <v>0.25824588665554588</v>
      </c>
      <c r="L404" s="74"/>
      <c r="M404" s="74"/>
      <c r="N404" s="74"/>
      <c r="O404" s="74"/>
      <c r="P404" s="74"/>
      <c r="Q404" s="74"/>
      <c r="R404" s="74"/>
      <c r="S404" s="74"/>
      <c r="T404" s="74"/>
      <c r="U404" s="74"/>
      <c r="V404" s="74"/>
      <c r="W404" s="74"/>
      <c r="X404" s="74"/>
      <c r="Y404" s="74"/>
    </row>
    <row r="405" spans="1:25" x14ac:dyDescent="0.3">
      <c r="A405" s="66">
        <f t="shared" si="46"/>
        <v>2029.7999999999638</v>
      </c>
      <c r="B405" s="67">
        <f>LOOKUP(A405+0.01,Amounts!$A$4:$A$103,Amounts!$B$4:$B$103)*0.1*$A$2</f>
        <v>0</v>
      </c>
      <c r="C405" s="68">
        <f t="shared" si="45"/>
        <v>2992395.4285963499</v>
      </c>
      <c r="D405" s="67">
        <f t="array" ref="D405">SUM($B$7:$B400*$F$1009*EXP(-$F$1009*($A405-$A$7:$A400)))*$F$1010</f>
        <v>46381426.655504026</v>
      </c>
      <c r="E405" s="67">
        <f t="shared" si="43"/>
        <v>88.422095363549445</v>
      </c>
      <c r="F405" s="70">
        <f t="shared" si="47"/>
        <v>5.3689896304747222</v>
      </c>
      <c r="G405" s="67">
        <f>E405/'Lookup Tables'!$C$48</f>
        <v>176.84419072709889</v>
      </c>
      <c r="H405" s="70">
        <f t="shared" si="44"/>
        <v>1.5530919770480191E-2</v>
      </c>
      <c r="I405" s="71">
        <f t="shared" si="48"/>
        <v>0.2546556346470224</v>
      </c>
      <c r="L405" s="74"/>
      <c r="M405" s="74"/>
      <c r="N405" s="74"/>
      <c r="O405" s="74"/>
      <c r="P405" s="74"/>
      <c r="Q405" s="74"/>
      <c r="R405" s="74"/>
      <c r="S405" s="74"/>
      <c r="T405" s="74"/>
      <c r="U405" s="74"/>
      <c r="V405" s="74"/>
      <c r="W405" s="74"/>
      <c r="X405" s="74"/>
      <c r="Y405" s="74"/>
    </row>
    <row r="406" spans="1:25" x14ac:dyDescent="0.3">
      <c r="A406" s="66">
        <f t="shared" si="46"/>
        <v>2029.8999999999637</v>
      </c>
      <c r="B406" s="67">
        <f>LOOKUP(A406+0.01,Amounts!$A$4:$A$103,Amounts!$B$4:$B$103)*0.1*$A$2</f>
        <v>0</v>
      </c>
      <c r="C406" s="68">
        <f t="shared" si="45"/>
        <v>2992395.4285963499</v>
      </c>
      <c r="D406" s="67">
        <f t="array" ref="D406">SUM($B$7:$B401*$F$1009*EXP(-$F$1009*($A406-$A$7:$A401)))*$F$1010</f>
        <v>45736610.924401142</v>
      </c>
      <c r="E406" s="67">
        <f t="shared" si="43"/>
        <v>87.192811096573806</v>
      </c>
      <c r="F406" s="70">
        <f t="shared" si="47"/>
        <v>5.2943474897839611</v>
      </c>
      <c r="G406" s="67">
        <f>E406/'Lookup Tables'!$C$48</f>
        <v>174.38562219314761</v>
      </c>
      <c r="H406" s="70">
        <f t="shared" si="44"/>
        <v>1.531500184581424E-2</v>
      </c>
      <c r="I406" s="71">
        <f t="shared" si="48"/>
        <v>0.25111529595813253</v>
      </c>
      <c r="L406" s="74"/>
      <c r="M406" s="74"/>
      <c r="N406" s="74"/>
      <c r="O406" s="74"/>
      <c r="P406" s="74"/>
      <c r="Q406" s="74"/>
      <c r="R406" s="74"/>
      <c r="S406" s="74"/>
      <c r="T406" s="74"/>
      <c r="U406" s="74"/>
      <c r="V406" s="74"/>
      <c r="W406" s="74"/>
      <c r="X406" s="74"/>
      <c r="Y406" s="74"/>
    </row>
    <row r="407" spans="1:25" x14ac:dyDescent="0.3">
      <c r="A407" s="66">
        <f t="shared" si="46"/>
        <v>2029.9999999999636</v>
      </c>
      <c r="B407" s="67">
        <f>LOOKUP(A407+0.01,Amounts!$A$4:$A$103,Amounts!$B$4:$B$103)*0.1*$A$2</f>
        <v>0</v>
      </c>
      <c r="C407" s="68">
        <f t="shared" si="45"/>
        <v>2992395.4285963499</v>
      </c>
      <c r="D407" s="67">
        <f t="array" ref="D407">SUM($B$7:$B402*$F$1009*EXP(-$F$1009*($A407-$A$7:$A402)))*$F$1010</f>
        <v>45100759.715458535</v>
      </c>
      <c r="E407" s="67">
        <f t="shared" si="43"/>
        <v>85.980616899708153</v>
      </c>
      <c r="F407" s="70">
        <f t="shared" si="47"/>
        <v>5.2207430581502789</v>
      </c>
      <c r="G407" s="67">
        <f>E407/'Lookup Tables'!$C$48</f>
        <v>171.96123379941631</v>
      </c>
      <c r="H407" s="70">
        <f t="shared" si="44"/>
        <v>1.5102085710538815E-2</v>
      </c>
      <c r="I407" s="71">
        <f t="shared" si="48"/>
        <v>0.24762417667115949</v>
      </c>
      <c r="L407" s="74"/>
      <c r="M407" s="74"/>
      <c r="N407" s="74"/>
      <c r="O407" s="74"/>
      <c r="P407" s="74"/>
      <c r="Q407" s="74"/>
      <c r="R407" s="74"/>
      <c r="S407" s="74"/>
      <c r="T407" s="74"/>
      <c r="U407" s="74"/>
      <c r="V407" s="74"/>
      <c r="W407" s="74"/>
      <c r="X407" s="74"/>
      <c r="Y407" s="74"/>
    </row>
    <row r="408" spans="1:25" x14ac:dyDescent="0.3">
      <c r="A408" s="66">
        <f t="shared" si="46"/>
        <v>2030.0999999999635</v>
      </c>
      <c r="B408" s="67">
        <f>LOOKUP(A408+0.01,Amounts!$A$4:$A$103,Amounts!$B$4:$B$103)*0.1*$A$2</f>
        <v>0</v>
      </c>
      <c r="C408" s="68">
        <f t="shared" si="45"/>
        <v>2992395.4285963499</v>
      </c>
      <c r="D408" s="67">
        <f t="array" ref="D408">SUM($B$7:$B403*$F$1009*EXP(-$F$1009*($A408-$A$7:$A403)))*$F$1010</f>
        <v>44473748.399803638</v>
      </c>
      <c r="E408" s="67">
        <f t="shared" si="43"/>
        <v>84.785275179009233</v>
      </c>
      <c r="F408" s="70">
        <f t="shared" si="47"/>
        <v>5.148161908869441</v>
      </c>
      <c r="G408" s="67">
        <f>E408/'Lookup Tables'!$C$48</f>
        <v>169.57055035801847</v>
      </c>
      <c r="H408" s="70">
        <f t="shared" si="44"/>
        <v>1.4892129632409778E-2</v>
      </c>
      <c r="I408" s="71">
        <f t="shared" si="48"/>
        <v>0.24418159251554661</v>
      </c>
      <c r="L408" s="74"/>
      <c r="M408" s="74"/>
      <c r="N408" s="74"/>
      <c r="O408" s="74"/>
      <c r="P408" s="74"/>
      <c r="Q408" s="74"/>
      <c r="R408" s="74"/>
      <c r="S408" s="74"/>
      <c r="T408" s="74"/>
      <c r="U408" s="74"/>
      <c r="V408" s="74"/>
      <c r="W408" s="74"/>
      <c r="X408" s="74"/>
      <c r="Y408" s="74"/>
    </row>
    <row r="409" spans="1:25" x14ac:dyDescent="0.3">
      <c r="A409" s="66">
        <f t="shared" si="46"/>
        <v>2030.1999999999634</v>
      </c>
      <c r="B409" s="67">
        <f>LOOKUP(A409+0.01,Amounts!$A$4:$A$103,Amounts!$B$4:$B$103)*0.1*$A$2</f>
        <v>0</v>
      </c>
      <c r="C409" s="68">
        <f t="shared" si="45"/>
        <v>2992395.4285963499</v>
      </c>
      <c r="D409" s="67">
        <f t="array" ref="D409">SUM($B$7:$B404*$F$1009*EXP(-$F$1009*($A409-$A$7:$A404)))*$F$1010</f>
        <v>43855454.081211306</v>
      </c>
      <c r="E409" s="67">
        <f t="shared" si="43"/>
        <v>83.606551643673029</v>
      </c>
      <c r="F409" s="70">
        <f t="shared" si="47"/>
        <v>5.0765898158038256</v>
      </c>
      <c r="G409" s="67">
        <f>E409/'Lookup Tables'!$C$48</f>
        <v>167.21310328734606</v>
      </c>
      <c r="H409" s="70">
        <f t="shared" si="44"/>
        <v>1.468509245936366E-2</v>
      </c>
      <c r="I409" s="71">
        <f t="shared" si="48"/>
        <v>0.2407868687337783</v>
      </c>
      <c r="L409" s="74"/>
      <c r="M409" s="74"/>
      <c r="N409" s="74"/>
      <c r="O409" s="74"/>
      <c r="P409" s="74"/>
      <c r="Q409" s="74"/>
      <c r="R409" s="74"/>
      <c r="S409" s="74"/>
      <c r="T409" s="74"/>
      <c r="U409" s="74"/>
      <c r="V409" s="74"/>
      <c r="W409" s="74"/>
      <c r="X409" s="74"/>
      <c r="Y409" s="74"/>
    </row>
    <row r="410" spans="1:25" x14ac:dyDescent="0.3">
      <c r="A410" s="66">
        <f t="shared" si="46"/>
        <v>2030.2999999999633</v>
      </c>
      <c r="B410" s="67">
        <f>LOOKUP(A410+0.01,Amounts!$A$4:$A$103,Amounts!$B$4:$B$103)*0.1*$A$2</f>
        <v>0</v>
      </c>
      <c r="C410" s="68">
        <f t="shared" si="45"/>
        <v>2992395.4285963499</v>
      </c>
      <c r="D410" s="67">
        <f t="array" ref="D410">SUM($B$7:$B405*$F$1009*EXP(-$F$1009*($A410-$A$7:$A405)))*$F$1010</f>
        <v>43245755.572015725</v>
      </c>
      <c r="E410" s="67">
        <f t="shared" si="43"/>
        <v>82.444215260113168</v>
      </c>
      <c r="F410" s="70">
        <f t="shared" si="47"/>
        <v>5.0060127505940715</v>
      </c>
      <c r="G410" s="67">
        <f>E410/'Lookup Tables'!$C$48</f>
        <v>164.88843052022634</v>
      </c>
      <c r="H410" s="70">
        <f t="shared" si="44"/>
        <v>1.448093361145176E-2</v>
      </c>
      <c r="I410" s="71">
        <f t="shared" si="48"/>
        <v>0.23743933994912592</v>
      </c>
      <c r="L410" s="74"/>
      <c r="M410" s="74"/>
      <c r="N410" s="74"/>
      <c r="O410" s="74"/>
      <c r="P410" s="74"/>
      <c r="Q410" s="74"/>
      <c r="R410" s="74"/>
      <c r="S410" s="74"/>
      <c r="T410" s="74"/>
      <c r="U410" s="74"/>
      <c r="V410" s="74"/>
      <c r="W410" s="74"/>
      <c r="X410" s="74"/>
      <c r="Y410" s="74"/>
    </row>
    <row r="411" spans="1:25" x14ac:dyDescent="0.3">
      <c r="A411" s="66">
        <f t="shared" si="46"/>
        <v>2030.3999999999633</v>
      </c>
      <c r="B411" s="67">
        <f>LOOKUP(A411+0.01,Amounts!$A$4:$A$103,Amounts!$B$4:$B$103)*0.1*$A$2</f>
        <v>0</v>
      </c>
      <c r="C411" s="68">
        <f t="shared" si="45"/>
        <v>2992395.4285963499</v>
      </c>
      <c r="D411" s="67">
        <f t="array" ref="D411">SUM($B$7:$B406*$F$1009*EXP(-$F$1009*($A411-$A$7:$A406)))*$F$1010</f>
        <v>42644533.369357221</v>
      </c>
      <c r="E411" s="67">
        <f t="shared" si="43"/>
        <v>81.298038206677376</v>
      </c>
      <c r="F411" s="70">
        <f t="shared" si="47"/>
        <v>4.9364168799094506</v>
      </c>
      <c r="G411" s="67">
        <f>E411/'Lookup Tables'!$C$48</f>
        <v>162.59607641335475</v>
      </c>
      <c r="H411" s="70">
        <f t="shared" si="44"/>
        <v>1.4279613072886299E-2</v>
      </c>
      <c r="I411" s="71">
        <f t="shared" si="48"/>
        <v>0.23413835003523087</v>
      </c>
      <c r="L411" s="74"/>
      <c r="M411" s="74"/>
      <c r="N411" s="74"/>
      <c r="O411" s="74"/>
      <c r="P411" s="74"/>
      <c r="Q411" s="74"/>
      <c r="R411" s="74"/>
      <c r="S411" s="74"/>
      <c r="T411" s="74"/>
      <c r="U411" s="74"/>
      <c r="V411" s="74"/>
      <c r="W411" s="74"/>
      <c r="X411" s="74"/>
      <c r="Y411" s="74"/>
    </row>
    <row r="412" spans="1:25" x14ac:dyDescent="0.3">
      <c r="A412" s="66">
        <f t="shared" si="46"/>
        <v>2030.4999999999632</v>
      </c>
      <c r="B412" s="67">
        <f>LOOKUP(A412+0.01,Amounts!$A$4:$A$103,Amounts!$B$4:$B$103)*0.1*$A$2</f>
        <v>0</v>
      </c>
      <c r="C412" s="68">
        <f t="shared" si="45"/>
        <v>2992395.4285963499</v>
      </c>
      <c r="D412" s="67">
        <f t="array" ref="D412">SUM($B$7:$B407*$F$1009*EXP(-$F$1009*($A412-$A$7:$A407)))*$F$1010</f>
        <v>42051669.63175936</v>
      </c>
      <c r="E412" s="67">
        <f t="shared" si="43"/>
        <v>80.167795828993903</v>
      </c>
      <c r="F412" s="70">
        <f t="shared" si="47"/>
        <v>4.8677885627365107</v>
      </c>
      <c r="G412" s="67">
        <f>E412/'Lookup Tables'!$C$48</f>
        <v>160.33559165798781</v>
      </c>
      <c r="H412" s="70">
        <f t="shared" si="44"/>
        <v>1.4081091384197214E-2</v>
      </c>
      <c r="I412" s="71">
        <f t="shared" si="48"/>
        <v>0.23088325198750245</v>
      </c>
      <c r="L412" s="74"/>
      <c r="M412" s="74"/>
      <c r="N412" s="74"/>
      <c r="O412" s="74"/>
      <c r="P412" s="74"/>
      <c r="Q412" s="74"/>
      <c r="R412" s="74"/>
      <c r="S412" s="74"/>
      <c r="T412" s="74"/>
      <c r="U412" s="74"/>
      <c r="V412" s="74"/>
      <c r="W412" s="74"/>
      <c r="X412" s="74"/>
      <c r="Y412" s="74"/>
    </row>
    <row r="413" spans="1:25" x14ac:dyDescent="0.3">
      <c r="A413" s="66">
        <f t="shared" si="46"/>
        <v>2030.5999999999631</v>
      </c>
      <c r="B413" s="67">
        <f>LOOKUP(A413+0.01,Amounts!$A$4:$A$103,Amounts!$B$4:$B$103)*0.1*$A$2</f>
        <v>0</v>
      </c>
      <c r="C413" s="68">
        <f t="shared" si="45"/>
        <v>2992395.4285963499</v>
      </c>
      <c r="D413" s="67">
        <f t="array" ref="D413">SUM($B$7:$B408*$F$1009*EXP(-$F$1009*($A413-$A$7:$A408)))*$F$1010</f>
        <v>41467048.156031609</v>
      </c>
      <c r="E413" s="67">
        <f t="shared" si="43"/>
        <v>79.053266595938425</v>
      </c>
      <c r="F413" s="70">
        <f t="shared" si="47"/>
        <v>4.8001143477053816</v>
      </c>
      <c r="G413" s="67">
        <f>E413/'Lookup Tables'!$C$48</f>
        <v>158.10653319187685</v>
      </c>
      <c r="H413" s="70">
        <f t="shared" si="44"/>
        <v>1.3885329634498001E-2</v>
      </c>
      <c r="I413" s="71">
        <f t="shared" si="48"/>
        <v>0.22767340779630268</v>
      </c>
      <c r="L413" s="74"/>
      <c r="M413" s="74"/>
      <c r="N413" s="74"/>
      <c r="O413" s="74"/>
      <c r="P413" s="74"/>
      <c r="Q413" s="74"/>
      <c r="R413" s="74"/>
      <c r="S413" s="74"/>
      <c r="T413" s="74"/>
      <c r="U413" s="74"/>
      <c r="V413" s="74"/>
      <c r="W413" s="74"/>
      <c r="X413" s="74"/>
      <c r="Y413" s="74"/>
    </row>
    <row r="414" spans="1:25" x14ac:dyDescent="0.3">
      <c r="A414" s="66">
        <f t="shared" si="46"/>
        <v>2030.699999999963</v>
      </c>
      <c r="B414" s="67">
        <f>LOOKUP(A414+0.01,Amounts!$A$4:$A$103,Amounts!$B$4:$B$103)*0.1*$A$2</f>
        <v>0</v>
      </c>
      <c r="C414" s="68">
        <f t="shared" si="45"/>
        <v>2992395.4285963499</v>
      </c>
      <c r="D414" s="67">
        <f t="array" ref="D414">SUM($B$7:$B409*$F$1009*EXP(-$F$1009*($A414-$A$7:$A409)))*$F$1010</f>
        <v>40890554.354493119</v>
      </c>
      <c r="E414" s="67">
        <f t="shared" si="43"/>
        <v>77.954232056213201</v>
      </c>
      <c r="F414" s="70">
        <f t="shared" si="47"/>
        <v>4.7333809704532657</v>
      </c>
      <c r="G414" s="67">
        <f>E414/'Lookup Tables'!$C$48</f>
        <v>155.9084641124264</v>
      </c>
      <c r="H414" s="70">
        <f t="shared" si="44"/>
        <v>1.3692289453858994E-2</v>
      </c>
      <c r="I414" s="71">
        <f t="shared" si="48"/>
        <v>0.22450818832189404</v>
      </c>
      <c r="L414" s="74"/>
      <c r="M414" s="74"/>
      <c r="N414" s="74"/>
      <c r="O414" s="74"/>
      <c r="P414" s="74"/>
      <c r="Q414" s="74"/>
      <c r="R414" s="74"/>
      <c r="S414" s="74"/>
      <c r="T414" s="74"/>
      <c r="U414" s="74"/>
      <c r="V414" s="74"/>
      <c r="W414" s="74"/>
      <c r="X414" s="74"/>
      <c r="Y414" s="74"/>
    </row>
    <row r="415" spans="1:25" x14ac:dyDescent="0.3">
      <c r="A415" s="66">
        <f t="shared" si="46"/>
        <v>2030.7999999999629</v>
      </c>
      <c r="B415" s="67">
        <f>LOOKUP(A415+0.01,Amounts!$A$4:$A$103,Amounts!$B$4:$B$103)*0.1*$A$2</f>
        <v>0</v>
      </c>
      <c r="C415" s="68">
        <f t="shared" si="45"/>
        <v>2992395.4285963499</v>
      </c>
      <c r="D415" s="67">
        <f t="array" ref="D415">SUM($B$7:$B410*$F$1009*EXP(-$F$1009*($A415-$A$7:$A410)))*$F$1010</f>
        <v>40322075.232513249</v>
      </c>
      <c r="E415" s="67">
        <f t="shared" si="43"/>
        <v>76.870476795530067</v>
      </c>
      <c r="F415" s="70">
        <f t="shared" si="47"/>
        <v>4.6675753510245857</v>
      </c>
      <c r="G415" s="67">
        <f>E415/'Lookup Tables'!$C$48</f>
        <v>153.74095359106013</v>
      </c>
      <c r="H415" s="70">
        <f t="shared" si="44"/>
        <v>1.3501933005786804E-2</v>
      </c>
      <c r="I415" s="71">
        <f t="shared" si="48"/>
        <v>0.2213869731711266</v>
      </c>
      <c r="L415" s="74"/>
      <c r="M415" s="74"/>
      <c r="N415" s="74"/>
      <c r="O415" s="74"/>
      <c r="P415" s="74"/>
      <c r="Q415" s="74"/>
      <c r="R415" s="74"/>
      <c r="S415" s="74"/>
      <c r="T415" s="74"/>
      <c r="U415" s="74"/>
      <c r="V415" s="74"/>
      <c r="W415" s="74"/>
      <c r="X415" s="74"/>
      <c r="Y415" s="74"/>
    </row>
    <row r="416" spans="1:25" x14ac:dyDescent="0.3">
      <c r="A416" s="66">
        <f t="shared" si="46"/>
        <v>2030.8999999999628</v>
      </c>
      <c r="B416" s="67">
        <f>LOOKUP(A416+0.01,Amounts!$A$4:$A$103,Amounts!$B$4:$B$103)*0.1*$A$2</f>
        <v>0</v>
      </c>
      <c r="C416" s="68">
        <f t="shared" si="45"/>
        <v>2992395.4285963499</v>
      </c>
      <c r="D416" s="67">
        <f t="array" ref="D416">SUM($B$7:$B411*$F$1009*EXP(-$F$1009*($A416-$A$7:$A411)))*$F$1010</f>
        <v>39761499.366364181</v>
      </c>
      <c r="E416" s="67">
        <f t="shared" si="43"/>
        <v>75.801788394388467</v>
      </c>
      <c r="F416" s="70">
        <f t="shared" si="47"/>
        <v>4.6026845913072671</v>
      </c>
      <c r="G416" s="67">
        <f>E416/'Lookup Tables'!$C$48</f>
        <v>151.60357678877693</v>
      </c>
      <c r="H416" s="70">
        <f t="shared" si="44"/>
        <v>1.3314222979808218E-2</v>
      </c>
      <c r="I416" s="71">
        <f t="shared" si="48"/>
        <v>0.21830915057583877</v>
      </c>
      <c r="L416" s="74"/>
      <c r="M416" s="74"/>
      <c r="N416" s="74"/>
      <c r="O416" s="74"/>
      <c r="P416" s="74"/>
      <c r="Q416" s="74"/>
      <c r="R416" s="74"/>
      <c r="S416" s="74"/>
      <c r="T416" s="74"/>
      <c r="U416" s="74"/>
      <c r="V416" s="74"/>
      <c r="W416" s="74"/>
      <c r="X416" s="74"/>
      <c r="Y416" s="74"/>
    </row>
    <row r="417" spans="1:25" x14ac:dyDescent="0.3">
      <c r="A417" s="66">
        <f t="shared" si="46"/>
        <v>2030.9999999999627</v>
      </c>
      <c r="B417" s="67">
        <f>LOOKUP(A417+0.01,Amounts!$A$4:$A$103,Amounts!$B$4:$B$103)*0.1*$A$2</f>
        <v>0</v>
      </c>
      <c r="C417" s="68">
        <f t="shared" si="45"/>
        <v>2992395.4285963499</v>
      </c>
      <c r="D417" s="67">
        <f t="array" ref="D417">SUM($B$7:$B412*$F$1009*EXP(-$F$1009*($A417-$A$7:$A412)))*$F$1010</f>
        <v>39208716.881381564</v>
      </c>
      <c r="E417" s="67">
        <f t="shared" si="43"/>
        <v>74.747957386440532</v>
      </c>
      <c r="F417" s="70">
        <f t="shared" si="47"/>
        <v>4.5386959725046694</v>
      </c>
      <c r="G417" s="67">
        <f>E417/'Lookup Tables'!$C$48</f>
        <v>149.49591477288106</v>
      </c>
      <c r="H417" s="70">
        <f t="shared" si="44"/>
        <v>1.3129122584157214E-2</v>
      </c>
      <c r="I417" s="71">
        <f t="shared" si="48"/>
        <v>0.21527411727294873</v>
      </c>
      <c r="L417" s="74"/>
      <c r="M417" s="74"/>
      <c r="N417" s="74"/>
      <c r="O417" s="74"/>
      <c r="P417" s="74"/>
      <c r="Q417" s="74"/>
      <c r="R417" s="74"/>
      <c r="S417" s="74"/>
      <c r="T417" s="74"/>
      <c r="U417" s="74"/>
      <c r="V417" s="74"/>
      <c r="W417" s="74"/>
      <c r="X417" s="74"/>
      <c r="Y417" s="74"/>
    </row>
    <row r="418" spans="1:25" x14ac:dyDescent="0.3">
      <c r="A418" s="66">
        <f t="shared" si="46"/>
        <v>2031.0999999999626</v>
      </c>
      <c r="B418" s="67">
        <f>LOOKUP(A418+0.01,Amounts!$A$4:$A$103,Amounts!$B$4:$B$103)*0.1*$A$2</f>
        <v>0</v>
      </c>
      <c r="C418" s="68">
        <f t="shared" si="45"/>
        <v>2992395.4285963499</v>
      </c>
      <c r="D418" s="67">
        <f t="array" ref="D418">SUM($B$7:$B413*$F$1009*EXP(-$F$1009*($A418-$A$7:$A413)))*$F$1010</f>
        <v>38663619.430428669</v>
      </c>
      <c r="E418" s="67">
        <f t="shared" si="43"/>
        <v>73.708777217434999</v>
      </c>
      <c r="F418" s="70">
        <f t="shared" si="47"/>
        <v>4.4755969526426531</v>
      </c>
      <c r="G418" s="67">
        <f>E418/'Lookup Tables'!$C$48</f>
        <v>147.41755443487</v>
      </c>
      <c r="H418" s="70">
        <f t="shared" si="44"/>
        <v>1.2946595538563673E-2</v>
      </c>
      <c r="I418" s="71">
        <f t="shared" si="48"/>
        <v>0.2122812783862128</v>
      </c>
      <c r="L418" s="74"/>
      <c r="M418" s="74"/>
      <c r="N418" s="74"/>
      <c r="O418" s="74"/>
      <c r="P418" s="74"/>
      <c r="Q418" s="74"/>
      <c r="R418" s="74"/>
      <c r="S418" s="74"/>
      <c r="T418" s="74"/>
      <c r="U418" s="74"/>
      <c r="V418" s="74"/>
      <c r="W418" s="74"/>
      <c r="X418" s="74"/>
      <c r="Y418" s="74"/>
    </row>
    <row r="419" spans="1:25" x14ac:dyDescent="0.3">
      <c r="A419" s="66">
        <f t="shared" si="46"/>
        <v>2031.1999999999625</v>
      </c>
      <c r="B419" s="67">
        <f>LOOKUP(A419+0.01,Amounts!$A$4:$A$103,Amounts!$B$4:$B$103)*0.1*$A$2</f>
        <v>0</v>
      </c>
      <c r="C419" s="68">
        <f t="shared" si="45"/>
        <v>2992395.4285963499</v>
      </c>
      <c r="D419" s="67">
        <f t="array" ref="D419">SUM($B$7:$B414*$F$1009*EXP(-$F$1009*($A419-$A$7:$A414)))*$F$1010</f>
        <v>38126100.17266006</v>
      </c>
      <c r="E419" s="67">
        <f t="shared" si="43"/>
        <v>72.684044204731947</v>
      </c>
      <c r="F419" s="70">
        <f t="shared" si="47"/>
        <v>4.4133751641113239</v>
      </c>
      <c r="G419" s="67">
        <f>E419/'Lookup Tables'!$C$48</f>
        <v>145.36808840946389</v>
      </c>
      <c r="H419" s="70">
        <f t="shared" si="44"/>
        <v>1.2766606067142323E-2</v>
      </c>
      <c r="I419" s="71">
        <f t="shared" si="48"/>
        <v>0.20933004730962801</v>
      </c>
      <c r="L419" s="74"/>
      <c r="M419" s="74"/>
      <c r="N419" s="74"/>
      <c r="O419" s="74"/>
      <c r="P419" s="74"/>
      <c r="Q419" s="74"/>
      <c r="R419" s="74"/>
      <c r="S419" s="74"/>
      <c r="T419" s="74"/>
      <c r="U419" s="74"/>
      <c r="V419" s="74"/>
      <c r="W419" s="74"/>
      <c r="X419" s="74"/>
      <c r="Y419" s="74"/>
    </row>
    <row r="420" spans="1:25" x14ac:dyDescent="0.3">
      <c r="A420" s="66">
        <f t="shared" si="46"/>
        <v>2031.2999999999624</v>
      </c>
      <c r="B420" s="67">
        <f>LOOKUP(A420+0.01,Amounts!$A$4:$A$103,Amounts!$B$4:$B$103)*0.1*$A$2</f>
        <v>0</v>
      </c>
      <c r="C420" s="68">
        <f t="shared" si="45"/>
        <v>2992395.4285963499</v>
      </c>
      <c r="D420" s="67">
        <f t="array" ref="D420">SUM($B$7:$B415*$F$1009*EXP(-$F$1009*($A420-$A$7:$A415)))*$F$1010</f>
        <v>37596053.752580434</v>
      </c>
      <c r="E420" s="67">
        <f t="shared" si="43"/>
        <v>71.673557497380372</v>
      </c>
      <c r="F420" s="70">
        <f t="shared" si="47"/>
        <v>4.3520184112409366</v>
      </c>
      <c r="G420" s="67">
        <f>E420/'Lookup Tables'!$C$48</f>
        <v>143.34711499476074</v>
      </c>
      <c r="H420" s="70">
        <f t="shared" si="44"/>
        <v>1.2589118891380556E-2</v>
      </c>
      <c r="I420" s="71">
        <f t="shared" si="48"/>
        <v>0.20641984559245546</v>
      </c>
      <c r="L420" s="74"/>
      <c r="M420" s="74"/>
      <c r="N420" s="74"/>
      <c r="O420" s="74"/>
      <c r="P420" s="74"/>
      <c r="Q420" s="74"/>
      <c r="R420" s="74"/>
      <c r="S420" s="74"/>
      <c r="T420" s="74"/>
      <c r="U420" s="74"/>
      <c r="V420" s="74"/>
      <c r="W420" s="74"/>
      <c r="X420" s="74"/>
      <c r="Y420" s="74"/>
    </row>
    <row r="421" spans="1:25" x14ac:dyDescent="0.3">
      <c r="A421" s="66">
        <f t="shared" si="46"/>
        <v>2031.3999999999623</v>
      </c>
      <c r="B421" s="67">
        <f>LOOKUP(A421+0.01,Amounts!$A$4:$A$103,Amounts!$B$4:$B$103)*0.1*$A$2</f>
        <v>0</v>
      </c>
      <c r="C421" s="68">
        <f t="shared" si="45"/>
        <v>2992395.4285963499</v>
      </c>
      <c r="D421" s="67">
        <f t="array" ref="D421">SUM($B$7:$B416*$F$1009*EXP(-$F$1009*($A421-$A$7:$A416)))*$F$1010</f>
        <v>37073376.279394597</v>
      </c>
      <c r="E421" s="67">
        <f t="shared" si="43"/>
        <v>70.677119036750724</v>
      </c>
      <c r="F421" s="70">
        <f t="shared" si="47"/>
        <v>4.2915146679115033</v>
      </c>
      <c r="G421" s="67">
        <f>E421/'Lookup Tables'!$C$48</f>
        <v>141.35423807350145</v>
      </c>
      <c r="H421" s="70">
        <f t="shared" si="44"/>
        <v>1.2414099223223729E-2</v>
      </c>
      <c r="I421" s="71">
        <f t="shared" si="48"/>
        <v>0.20355010282584207</v>
      </c>
      <c r="L421" s="74"/>
      <c r="M421" s="74"/>
      <c r="N421" s="74"/>
      <c r="O421" s="74"/>
      <c r="P421" s="74"/>
      <c r="Q421" s="74"/>
      <c r="R421" s="74"/>
      <c r="S421" s="74"/>
      <c r="T421" s="74"/>
      <c r="U421" s="74"/>
      <c r="V421" s="74"/>
      <c r="W421" s="74"/>
      <c r="X421" s="74"/>
      <c r="Y421" s="74"/>
    </row>
    <row r="422" spans="1:25" x14ac:dyDescent="0.3">
      <c r="A422" s="66">
        <f t="shared" si="46"/>
        <v>2031.4999999999623</v>
      </c>
      <c r="B422" s="67">
        <f>LOOKUP(A422+0.01,Amounts!$A$4:$A$103,Amounts!$B$4:$B$103)*0.1*$A$2</f>
        <v>0</v>
      </c>
      <c r="C422" s="68">
        <f t="shared" si="45"/>
        <v>2992395.4285963499</v>
      </c>
      <c r="D422" s="67">
        <f t="array" ref="D422">SUM($B$7:$B417*$F$1009*EXP(-$F$1009*($A422-$A$7:$A417)))*$F$1010</f>
        <v>36557965.306644522</v>
      </c>
      <c r="E422" s="67">
        <f t="shared" si="43"/>
        <v>69.69453351771476</v>
      </c>
      <c r="F422" s="70">
        <f t="shared" si="47"/>
        <v>4.2318520751956399</v>
      </c>
      <c r="G422" s="67">
        <f>E422/'Lookup Tables'!$C$48</f>
        <v>139.38906703542952</v>
      </c>
      <c r="H422" s="70">
        <f t="shared" si="44"/>
        <v>1.224151275825658E-2</v>
      </c>
      <c r="I422" s="71">
        <f t="shared" si="48"/>
        <v>0.20072025653101852</v>
      </c>
      <c r="L422" s="74"/>
      <c r="M422" s="74"/>
      <c r="N422" s="74"/>
      <c r="O422" s="74"/>
      <c r="P422" s="74"/>
      <c r="Q422" s="74"/>
      <c r="R422" s="74"/>
      <c r="S422" s="74"/>
      <c r="T422" s="74"/>
      <c r="U422" s="74"/>
      <c r="V422" s="74"/>
      <c r="W422" s="74"/>
      <c r="X422" s="74"/>
      <c r="Y422" s="74"/>
    </row>
    <row r="423" spans="1:25" x14ac:dyDescent="0.3">
      <c r="A423" s="66">
        <f t="shared" si="46"/>
        <v>2031.5999999999622</v>
      </c>
      <c r="B423" s="67">
        <f>LOOKUP(A423+0.01,Amounts!$A$4:$A$103,Amounts!$B$4:$B$103)*0.1*$A$2</f>
        <v>0</v>
      </c>
      <c r="C423" s="68">
        <f t="shared" si="45"/>
        <v>2992395.4285963499</v>
      </c>
      <c r="D423" s="67">
        <f t="array" ref="D423">SUM($B$7:$B418*$F$1009*EXP(-$F$1009*($A423-$A$7:$A418)))*$F$1010</f>
        <v>36049719.81212952</v>
      </c>
      <c r="E423" s="67">
        <f t="shared" si="43"/>
        <v>68.725608350365121</v>
      </c>
      <c r="F423" s="70">
        <f t="shared" si="47"/>
        <v>4.1730189390341703</v>
      </c>
      <c r="G423" s="67">
        <f>E423/'Lookup Tables'!$C$48</f>
        <v>137.45121670073024</v>
      </c>
      <c r="H423" s="70">
        <f t="shared" si="44"/>
        <v>1.2071325668979461E-2</v>
      </c>
      <c r="I423" s="71">
        <f t="shared" si="48"/>
        <v>0.19792975204905158</v>
      </c>
      <c r="L423" s="74"/>
      <c r="M423" s="74"/>
      <c r="N423" s="74"/>
      <c r="O423" s="74"/>
      <c r="P423" s="74"/>
      <c r="Q423" s="74"/>
      <c r="R423" s="74"/>
      <c r="S423" s="74"/>
      <c r="T423" s="74"/>
      <c r="U423" s="74"/>
      <c r="V423" s="74"/>
      <c r="W423" s="74"/>
      <c r="X423" s="74"/>
      <c r="Y423" s="74"/>
    </row>
    <row r="424" spans="1:25" x14ac:dyDescent="0.3">
      <c r="A424" s="66">
        <f t="shared" si="46"/>
        <v>2031.6999999999621</v>
      </c>
      <c r="B424" s="67">
        <f>LOOKUP(A424+0.01,Amounts!$A$4:$A$103,Amounts!$B$4:$B$103)*0.1*$A$2</f>
        <v>0</v>
      </c>
      <c r="C424" s="68">
        <f t="shared" si="45"/>
        <v>2992395.4285963499</v>
      </c>
      <c r="D424" s="67">
        <f t="array" ref="D424">SUM($B$7:$B419*$F$1009*EXP(-$F$1009*($A424-$A$7:$A419)))*$F$1010</f>
        <v>35548540.178105615</v>
      </c>
      <c r="E424" s="67">
        <f t="shared" si="43"/>
        <v>67.770153622267145</v>
      </c>
      <c r="F424" s="70">
        <f t="shared" si="47"/>
        <v>4.1150037279440612</v>
      </c>
      <c r="G424" s="67">
        <f>E424/'Lookup Tables'!$C$48</f>
        <v>135.54030724453429</v>
      </c>
      <c r="H424" s="70">
        <f t="shared" si="44"/>
        <v>1.1903504598178046E-2</v>
      </c>
      <c r="I424" s="71">
        <f t="shared" si="48"/>
        <v>0.19517804243212938</v>
      </c>
      <c r="L424" s="74"/>
      <c r="M424" s="74"/>
      <c r="N424" s="74"/>
      <c r="O424" s="74"/>
      <c r="P424" s="74"/>
      <c r="Q424" s="74"/>
      <c r="R424" s="74"/>
      <c r="S424" s="74"/>
      <c r="T424" s="74"/>
      <c r="U424" s="74"/>
      <c r="V424" s="74"/>
      <c r="W424" s="74"/>
      <c r="X424" s="74"/>
      <c r="Y424" s="74"/>
    </row>
    <row r="425" spans="1:25" x14ac:dyDescent="0.3">
      <c r="A425" s="66">
        <f t="shared" si="46"/>
        <v>2031.799999999962</v>
      </c>
      <c r="B425" s="67">
        <f>LOOKUP(A425+0.01,Amounts!$A$4:$A$103,Amounts!$B$4:$B$103)*0.1*$A$2</f>
        <v>0</v>
      </c>
      <c r="C425" s="68">
        <f t="shared" si="45"/>
        <v>2992395.4285963499</v>
      </c>
      <c r="D425" s="67">
        <f t="array" ref="D425">SUM($B$7:$B420*$F$1009*EXP(-$F$1009*($A425-$A$7:$A420)))*$F$1010</f>
        <v>35054328.171760075</v>
      </c>
      <c r="E425" s="67">
        <f t="shared" si="43"/>
        <v>66.827982061235375</v>
      </c>
      <c r="F425" s="70">
        <f t="shared" si="47"/>
        <v>4.0577950707582122</v>
      </c>
      <c r="G425" s="67">
        <f>E425/'Lookup Tables'!$C$48</f>
        <v>133.65596412247075</v>
      </c>
      <c r="H425" s="70">
        <f t="shared" si="44"/>
        <v>1.1738016652385204E-2</v>
      </c>
      <c r="I425" s="71">
        <f t="shared" si="48"/>
        <v>0.19246458833635788</v>
      </c>
      <c r="L425" s="74"/>
      <c r="M425" s="74"/>
      <c r="N425" s="74"/>
      <c r="O425" s="74"/>
      <c r="P425" s="74"/>
      <c r="Q425" s="74"/>
      <c r="R425" s="74"/>
      <c r="S425" s="74"/>
      <c r="T425" s="74"/>
      <c r="U425" s="74"/>
      <c r="V425" s="74"/>
      <c r="W425" s="74"/>
      <c r="X425" s="74"/>
      <c r="Y425" s="74"/>
    </row>
    <row r="426" spans="1:25" x14ac:dyDescent="0.3">
      <c r="A426" s="66">
        <f t="shared" si="46"/>
        <v>2031.8999999999619</v>
      </c>
      <c r="B426" s="67">
        <f>LOOKUP(A426+0.01,Amounts!$A$4:$A$103,Amounts!$B$4:$B$103)*0.1*$A$2</f>
        <v>0</v>
      </c>
      <c r="C426" s="68">
        <f t="shared" si="45"/>
        <v>2992395.4285963499</v>
      </c>
      <c r="D426" s="67">
        <f t="array" ref="D426">SUM($B$7:$B421*$F$1009*EXP(-$F$1009*($A426-$A$7:$A421)))*$F$1010</f>
        <v>34566986.925957516</v>
      </c>
      <c r="E426" s="67">
        <f t="shared" si="43"/>
        <v>65.898908998627661</v>
      </c>
      <c r="F426" s="70">
        <f t="shared" si="47"/>
        <v>4.0013817543966717</v>
      </c>
      <c r="G426" s="67">
        <f>E426/'Lookup Tables'!$C$48</f>
        <v>131.79781799725532</v>
      </c>
      <c r="H426" s="70">
        <f t="shared" si="44"/>
        <v>1.1574829395433779E-2</v>
      </c>
      <c r="I426" s="71">
        <f t="shared" si="48"/>
        <v>0.18978885791604766</v>
      </c>
      <c r="L426" s="74"/>
      <c r="M426" s="74"/>
      <c r="N426" s="74"/>
      <c r="O426" s="74"/>
      <c r="P426" s="74"/>
      <c r="Q426" s="74"/>
      <c r="R426" s="74"/>
      <c r="S426" s="74"/>
      <c r="T426" s="74"/>
      <c r="U426" s="74"/>
      <c r="V426" s="74"/>
      <c r="W426" s="74"/>
      <c r="X426" s="74"/>
      <c r="Y426" s="74"/>
    </row>
    <row r="427" spans="1:25" x14ac:dyDescent="0.3">
      <c r="A427" s="66">
        <f t="shared" si="46"/>
        <v>2031.9999999999618</v>
      </c>
      <c r="B427" s="67">
        <f>LOOKUP(A427+0.01,Amounts!$A$4:$A$103,Amounts!$B$4:$B$103)*0.1*$A$2</f>
        <v>0</v>
      </c>
      <c r="C427" s="68">
        <f t="shared" si="45"/>
        <v>2992395.4285963499</v>
      </c>
      <c r="D427" s="67">
        <f t="array" ref="D427">SUM($B$7:$B422*$F$1009*EXP(-$F$1009*($A427-$A$7:$A422)))*$F$1010</f>
        <v>34086420.920253582</v>
      </c>
      <c r="E427" s="67">
        <f t="shared" si="43"/>
        <v>64.98275233314935</v>
      </c>
      <c r="F427" s="70">
        <f t="shared" si="47"/>
        <v>3.9457527216688284</v>
      </c>
      <c r="G427" s="67">
        <f>E427/'Lookup Tables'!$C$48</f>
        <v>129.9655046662987</v>
      </c>
      <c r="H427" s="70">
        <f t="shared" si="44"/>
        <v>1.141391084209898E-2</v>
      </c>
      <c r="I427" s="71">
        <f t="shared" si="48"/>
        <v>0.18715032671947013</v>
      </c>
      <c r="L427" s="74"/>
      <c r="M427" s="74"/>
      <c r="N427" s="74"/>
      <c r="O427" s="74"/>
      <c r="P427" s="74"/>
      <c r="Q427" s="74"/>
      <c r="R427" s="74"/>
      <c r="S427" s="74"/>
      <c r="T427" s="74"/>
      <c r="U427" s="74"/>
      <c r="V427" s="74"/>
      <c r="W427" s="74"/>
      <c r="X427" s="74"/>
      <c r="Y427" s="74"/>
    </row>
    <row r="428" spans="1:25" x14ac:dyDescent="0.3">
      <c r="A428" s="66">
        <f t="shared" si="46"/>
        <v>2032.0999999999617</v>
      </c>
      <c r="B428" s="67">
        <f>LOOKUP(A428+0.01,Amounts!$A$4:$A$103,Amounts!$B$4:$B$103)*0.1*$A$2</f>
        <v>0</v>
      </c>
      <c r="C428" s="68">
        <f t="shared" si="45"/>
        <v>2992395.4285963499</v>
      </c>
      <c r="D428" s="67">
        <f t="array" ref="D428">SUM($B$7:$B423*$F$1009*EXP(-$F$1009*($A428-$A$7:$A423)))*$F$1010</f>
        <v>33612535.962172732</v>
      </c>
      <c r="E428" s="67">
        <f t="shared" si="43"/>
        <v>64.079332495161154</v>
      </c>
      <c r="F428" s="70">
        <f t="shared" si="47"/>
        <v>3.8908970691061855</v>
      </c>
      <c r="G428" s="67">
        <f>E428/'Lookup Tables'!$C$48</f>
        <v>128.15866499032231</v>
      </c>
      <c r="H428" s="70">
        <f t="shared" si="44"/>
        <v>1.1255229451829203E-2</v>
      </c>
      <c r="I428" s="71">
        <f t="shared" si="48"/>
        <v>0.18454847758606413</v>
      </c>
      <c r="L428" s="74"/>
      <c r="M428" s="74"/>
      <c r="N428" s="74"/>
      <c r="O428" s="74"/>
      <c r="P428" s="74"/>
      <c r="Q428" s="74"/>
      <c r="R428" s="74"/>
      <c r="S428" s="74"/>
      <c r="T428" s="74"/>
      <c r="U428" s="74"/>
      <c r="V428" s="74"/>
      <c r="W428" s="74"/>
      <c r="X428" s="74"/>
      <c r="Y428" s="74"/>
    </row>
    <row r="429" spans="1:25" x14ac:dyDescent="0.3">
      <c r="A429" s="66">
        <f t="shared" si="46"/>
        <v>2032.1999999999616</v>
      </c>
      <c r="B429" s="67">
        <f>LOOKUP(A429+0.01,Amounts!$A$4:$A$103,Amounts!$B$4:$B$103)*0.1*$A$2</f>
        <v>0</v>
      </c>
      <c r="C429" s="68">
        <f t="shared" si="45"/>
        <v>2992395.4285963499</v>
      </c>
      <c r="D429" s="67">
        <f t="array" ref="D429">SUM($B$7:$B424*$F$1009*EXP(-$F$1009*($A429-$A$7:$A424)))*$F$1010</f>
        <v>33145239.168746084</v>
      </c>
      <c r="E429" s="67">
        <f t="shared" si="43"/>
        <v>63.188472411482621</v>
      </c>
      <c r="F429" s="70">
        <f t="shared" si="47"/>
        <v>3.8368040448252247</v>
      </c>
      <c r="G429" s="67">
        <f>E429/'Lookup Tables'!$C$48</f>
        <v>126.37694482296524</v>
      </c>
      <c r="H429" s="70">
        <f t="shared" si="44"/>
        <v>1.1098754122563953E-2</v>
      </c>
      <c r="I429" s="71">
        <f t="shared" si="48"/>
        <v>0.18198280054506993</v>
      </c>
      <c r="L429" s="74"/>
      <c r="M429" s="74"/>
      <c r="N429" s="74"/>
      <c r="O429" s="74"/>
      <c r="P429" s="74"/>
      <c r="Q429" s="74"/>
      <c r="R429" s="74"/>
      <c r="S429" s="74"/>
      <c r="T429" s="74"/>
      <c r="U429" s="74"/>
      <c r="V429" s="74"/>
      <c r="W429" s="74"/>
      <c r="X429" s="74"/>
      <c r="Y429" s="74"/>
    </row>
    <row r="430" spans="1:25" x14ac:dyDescent="0.3">
      <c r="A430" s="66">
        <f t="shared" si="46"/>
        <v>2032.2999999999615</v>
      </c>
      <c r="B430" s="67">
        <f>LOOKUP(A430+0.01,Amounts!$A$4:$A$103,Amounts!$B$4:$B$103)*0.1*$A$2</f>
        <v>0</v>
      </c>
      <c r="C430" s="68">
        <f t="shared" si="45"/>
        <v>2992395.4285963499</v>
      </c>
      <c r="D430" s="67">
        <f t="array" ref="D430">SUM($B$7:$B425*$F$1009*EXP(-$F$1009*($A430-$A$7:$A425)))*$F$1010</f>
        <v>32684438.948306154</v>
      </c>
      <c r="E430" s="67">
        <f t="shared" si="43"/>
        <v>62.30999747068541</v>
      </c>
      <c r="F430" s="70">
        <f t="shared" si="47"/>
        <v>3.7834630464200183</v>
      </c>
      <c r="G430" s="67">
        <f>E430/'Lookup Tables'!$C$48</f>
        <v>124.61999494137082</v>
      </c>
      <c r="H430" s="70">
        <f t="shared" si="44"/>
        <v>1.094445418463777E-2</v>
      </c>
      <c r="I430" s="71">
        <f t="shared" si="48"/>
        <v>0.17945279271557396</v>
      </c>
      <c r="L430" s="74"/>
      <c r="M430" s="74"/>
      <c r="N430" s="74"/>
      <c r="O430" s="74"/>
      <c r="P430" s="74"/>
      <c r="Q430" s="74"/>
      <c r="R430" s="74"/>
      <c r="S430" s="74"/>
      <c r="T430" s="74"/>
      <c r="U430" s="74"/>
      <c r="V430" s="74"/>
      <c r="W430" s="74"/>
      <c r="X430" s="74"/>
      <c r="Y430" s="74"/>
    </row>
    <row r="431" spans="1:25" x14ac:dyDescent="0.3">
      <c r="A431" s="66">
        <f t="shared" si="46"/>
        <v>2032.3999999999614</v>
      </c>
      <c r="B431" s="67">
        <f>LOOKUP(A431+0.01,Amounts!$A$4:$A$103,Amounts!$B$4:$B$103)*0.1*$A$2</f>
        <v>0</v>
      </c>
      <c r="C431" s="68">
        <f t="shared" si="45"/>
        <v>2992395.4285963499</v>
      </c>
      <c r="D431" s="67">
        <f t="array" ref="D431">SUM($B$7:$B426*$F$1009*EXP(-$F$1009*($A431-$A$7:$A426)))*$F$1010</f>
        <v>32230044.982534543</v>
      </c>
      <c r="E431" s="67">
        <f t="shared" si="43"/>
        <v>61.443735488868796</v>
      </c>
      <c r="F431" s="70">
        <f t="shared" si="47"/>
        <v>3.7308636188841131</v>
      </c>
      <c r="G431" s="67">
        <f>E431/'Lookup Tables'!$C$48</f>
        <v>122.88747097773759</v>
      </c>
      <c r="H431" s="70">
        <f t="shared" si="44"/>
        <v>1.0792299394768844E-2</v>
      </c>
      <c r="I431" s="71">
        <f t="shared" si="48"/>
        <v>0.17695795820794213</v>
      </c>
      <c r="L431" s="74"/>
      <c r="M431" s="74"/>
      <c r="N431" s="74"/>
      <c r="O431" s="74"/>
      <c r="P431" s="74"/>
      <c r="Q431" s="74"/>
      <c r="R431" s="74"/>
      <c r="S431" s="74"/>
      <c r="T431" s="74"/>
      <c r="U431" s="74"/>
      <c r="V431" s="74"/>
      <c r="W431" s="74"/>
      <c r="X431" s="74"/>
      <c r="Y431" s="74"/>
    </row>
    <row r="432" spans="1:25" x14ac:dyDescent="0.3">
      <c r="A432" s="66">
        <f t="shared" si="46"/>
        <v>2032.4999999999613</v>
      </c>
      <c r="B432" s="67">
        <f>LOOKUP(A432+0.01,Amounts!$A$4:$A$103,Amounts!$B$4:$B$103)*0.1*$A$2</f>
        <v>0</v>
      </c>
      <c r="C432" s="68">
        <f t="shared" si="45"/>
        <v>2992395.4285963499</v>
      </c>
      <c r="D432" s="67">
        <f t="array" ref="D432">SUM($B$7:$B427*$F$1009*EXP(-$F$1009*($A432-$A$7:$A427)))*$F$1010</f>
        <v>31781968.208759286</v>
      </c>
      <c r="E432" s="67">
        <f t="shared" si="43"/>
        <v>60.589516675911135</v>
      </c>
      <c r="F432" s="70">
        <f t="shared" si="47"/>
        <v>3.678995452561324</v>
      </c>
      <c r="G432" s="67">
        <f>E432/'Lookup Tables'!$C$48</f>
        <v>121.17903335182227</v>
      </c>
      <c r="H432" s="70">
        <f t="shared" si="44"/>
        <v>1.0642259930131261E-2</v>
      </c>
      <c r="I432" s="71">
        <f t="shared" si="48"/>
        <v>0.1744978080266241</v>
      </c>
      <c r="L432" s="74"/>
      <c r="M432" s="74"/>
      <c r="N432" s="74"/>
      <c r="O432" s="74"/>
      <c r="P432" s="74"/>
      <c r="Q432" s="74"/>
      <c r="R432" s="74"/>
      <c r="S432" s="74"/>
      <c r="T432" s="74"/>
      <c r="U432" s="74"/>
      <c r="V432" s="74"/>
      <c r="W432" s="74"/>
      <c r="X432" s="74"/>
      <c r="Y432" s="74"/>
    </row>
    <row r="433" spans="1:25" x14ac:dyDescent="0.3">
      <c r="A433" s="66">
        <f t="shared" si="46"/>
        <v>2032.5999999999613</v>
      </c>
      <c r="B433" s="67">
        <f>LOOKUP(A433+0.01,Amounts!$A$4:$A$103,Amounts!$B$4:$B$103)*0.1*$A$2</f>
        <v>0</v>
      </c>
      <c r="C433" s="68">
        <f t="shared" si="45"/>
        <v>2992395.4285963499</v>
      </c>
      <c r="D433" s="67">
        <f t="array" ref="D433">SUM($B$7:$B428*$F$1009*EXP(-$F$1009*($A433-$A$7:$A428)))*$F$1010</f>
        <v>31340120.802498274</v>
      </c>
      <c r="E433" s="67">
        <f t="shared" si="43"/>
        <v>59.747173602190443</v>
      </c>
      <c r="F433" s="70">
        <f t="shared" si="47"/>
        <v>3.6278483811250042</v>
      </c>
      <c r="G433" s="67">
        <f>E433/'Lookup Tables'!$C$48</f>
        <v>119.49434720438089</v>
      </c>
      <c r="H433" s="70">
        <f t="shared" si="44"/>
        <v>1.0494306382509627E-2</v>
      </c>
      <c r="I433" s="71">
        <f t="shared" si="48"/>
        <v>0.17207185997430849</v>
      </c>
      <c r="L433" s="74"/>
      <c r="M433" s="74"/>
      <c r="N433" s="74"/>
      <c r="O433" s="74"/>
      <c r="P433" s="74"/>
      <c r="Q433" s="74"/>
      <c r="R433" s="74"/>
      <c r="S433" s="74"/>
      <c r="T433" s="74"/>
      <c r="U433" s="74"/>
      <c r="V433" s="74"/>
      <c r="W433" s="74"/>
      <c r="X433" s="74"/>
      <c r="Y433" s="74"/>
    </row>
    <row r="434" spans="1:25" x14ac:dyDescent="0.3">
      <c r="A434" s="66">
        <f t="shared" si="46"/>
        <v>2032.6999999999612</v>
      </c>
      <c r="B434" s="67">
        <f>LOOKUP(A434+0.01,Amounts!$A$4:$A$103,Amounts!$B$4:$B$103)*0.1*$A$2</f>
        <v>0</v>
      </c>
      <c r="C434" s="68">
        <f t="shared" si="45"/>
        <v>2992395.4285963499</v>
      </c>
      <c r="D434" s="67">
        <f t="array" ref="D434">SUM($B$7:$B429*$F$1009*EXP(-$F$1009*($A434-$A$7:$A429)))*$F$1010</f>
        <v>30904416.160245378</v>
      </c>
      <c r="E434" s="67">
        <f t="shared" si="43"/>
        <v>58.916541165767647</v>
      </c>
      <c r="F434" s="70">
        <f t="shared" si="47"/>
        <v>3.5774123795854114</v>
      </c>
      <c r="G434" s="67">
        <f>E434/'Lookup Tables'!$C$48</f>
        <v>117.83308233153529</v>
      </c>
      <c r="H434" s="70">
        <f t="shared" si="44"/>
        <v>1.0348409752534954E-2</v>
      </c>
      <c r="I434" s="71">
        <f t="shared" si="48"/>
        <v>0.16967963855741083</v>
      </c>
      <c r="L434" s="74"/>
      <c r="M434" s="74"/>
      <c r="N434" s="74"/>
      <c r="O434" s="74"/>
      <c r="P434" s="74"/>
      <c r="Q434" s="74"/>
      <c r="R434" s="74"/>
      <c r="S434" s="74"/>
      <c r="T434" s="74"/>
      <c r="U434" s="74"/>
      <c r="V434" s="74"/>
      <c r="W434" s="74"/>
      <c r="X434" s="74"/>
      <c r="Y434" s="74"/>
    </row>
    <row r="435" spans="1:25" x14ac:dyDescent="0.3">
      <c r="A435" s="66">
        <f t="shared" si="46"/>
        <v>2032.7999999999611</v>
      </c>
      <c r="B435" s="67">
        <f>LOOKUP(A435+0.01,Amounts!$A$4:$A$103,Amounts!$B$4:$B$103)*0.1*$A$2</f>
        <v>0</v>
      </c>
      <c r="C435" s="68">
        <f t="shared" si="45"/>
        <v>2992395.4285963499</v>
      </c>
      <c r="D435" s="67">
        <f t="array" ref="D435">SUM($B$7:$B430*$F$1009*EXP(-$F$1009*($A435-$A$7:$A430)))*$F$1010</f>
        <v>30474768.882495862</v>
      </c>
      <c r="E435" s="67">
        <f t="shared" si="43"/>
        <v>58.097456560026032</v>
      </c>
      <c r="F435" s="70">
        <f t="shared" si="47"/>
        <v>3.5276775623247811</v>
      </c>
      <c r="G435" s="67">
        <f>E435/'Lookup Tables'!$C$48</f>
        <v>116.19491312005206</v>
      </c>
      <c r="H435" s="70">
        <f t="shared" si="44"/>
        <v>1.0204541444000698E-2</v>
      </c>
      <c r="I435" s="71">
        <f t="shared" si="48"/>
        <v>0.167320674892875</v>
      </c>
      <c r="L435" s="74"/>
      <c r="M435" s="74"/>
      <c r="N435" s="74"/>
      <c r="O435" s="74"/>
      <c r="P435" s="74"/>
      <c r="Q435" s="74"/>
      <c r="R435" s="74"/>
      <c r="S435" s="74"/>
      <c r="T435" s="74"/>
      <c r="U435" s="74"/>
      <c r="V435" s="74"/>
      <c r="W435" s="74"/>
      <c r="X435" s="74"/>
      <c r="Y435" s="74"/>
    </row>
    <row r="436" spans="1:25" x14ac:dyDescent="0.3">
      <c r="A436" s="66">
        <f t="shared" si="46"/>
        <v>2032.899999999961</v>
      </c>
      <c r="B436" s="67">
        <f>LOOKUP(A436+0.01,Amounts!$A$4:$A$103,Amounts!$B$4:$B$103)*0.1*$A$2</f>
        <v>0</v>
      </c>
      <c r="C436" s="68">
        <f t="shared" si="45"/>
        <v>2992395.4285963499</v>
      </c>
      <c r="D436" s="67">
        <f t="array" ref="D436">SUM($B$7:$B431*$F$1009*EXP(-$F$1009*($A436-$A$7:$A431)))*$F$1010</f>
        <v>30051094.757007837</v>
      </c>
      <c r="E436" s="67">
        <f t="shared" si="43"/>
        <v>57.289759241760699</v>
      </c>
      <c r="F436" s="70">
        <f t="shared" si="47"/>
        <v>3.4786341811597095</v>
      </c>
      <c r="G436" s="67">
        <f>E436/'Lookup Tables'!$C$48</f>
        <v>114.5795184835214</v>
      </c>
      <c r="H436" s="70">
        <f t="shared" si="44"/>
        <v>1.0062673258257816E-2</v>
      </c>
      <c r="I436" s="71">
        <f t="shared" si="48"/>
        <v>0.1649945066162708</v>
      </c>
      <c r="L436" s="74"/>
      <c r="M436" s="74"/>
      <c r="N436" s="74"/>
      <c r="O436" s="74"/>
      <c r="P436" s="74"/>
      <c r="Q436" s="74"/>
      <c r="R436" s="74"/>
      <c r="S436" s="74"/>
      <c r="T436" s="74"/>
      <c r="U436" s="74"/>
      <c r="V436" s="74"/>
      <c r="W436" s="74"/>
      <c r="X436" s="74"/>
      <c r="Y436" s="74"/>
    </row>
    <row r="437" spans="1:25" x14ac:dyDescent="0.3">
      <c r="A437" s="66">
        <f t="shared" si="46"/>
        <v>2032.9999999999609</v>
      </c>
      <c r="B437" s="67">
        <f>LOOKUP(A437+0.01,Amounts!$A$4:$A$103,Amounts!$B$4:$B$103)*0.1*$A$2</f>
        <v>0</v>
      </c>
      <c r="C437" s="68">
        <f t="shared" si="45"/>
        <v>2992395.4285963499</v>
      </c>
      <c r="D437" s="67">
        <f t="array" ref="D437">SUM($B$7:$B432*$F$1009*EXP(-$F$1009*($A437-$A$7:$A432)))*$F$1010</f>
        <v>29633310.742296372</v>
      </c>
      <c r="E437" s="67">
        <f t="shared" si="43"/>
        <v>56.493290899711546</v>
      </c>
      <c r="F437" s="70">
        <f t="shared" si="47"/>
        <v>3.4302726234304854</v>
      </c>
      <c r="G437" s="67">
        <f>E437/'Lookup Tables'!$C$48</f>
        <v>112.98658179942309</v>
      </c>
      <c r="H437" s="70">
        <f t="shared" si="44"/>
        <v>9.9227773886877303E-3</v>
      </c>
      <c r="I437" s="71">
        <f t="shared" si="48"/>
        <v>0.16270067779116926</v>
      </c>
      <c r="L437" s="74"/>
      <c r="M437" s="74"/>
      <c r="N437" s="74"/>
      <c r="O437" s="74"/>
      <c r="P437" s="74"/>
      <c r="Q437" s="74"/>
      <c r="R437" s="74"/>
      <c r="S437" s="74"/>
      <c r="T437" s="74"/>
      <c r="U437" s="74"/>
      <c r="V437" s="74"/>
      <c r="W437" s="74"/>
      <c r="X437" s="74"/>
      <c r="Y437" s="74"/>
    </row>
    <row r="438" spans="1:25" x14ac:dyDescent="0.3">
      <c r="A438" s="66">
        <f t="shared" si="46"/>
        <v>2033.0999999999608</v>
      </c>
      <c r="B438" s="67">
        <f>LOOKUP(A438+0.01,Amounts!$A$4:$A$103,Amounts!$B$4:$B$103)*0.1*$A$2</f>
        <v>0</v>
      </c>
      <c r="C438" s="68">
        <f t="shared" si="45"/>
        <v>2992395.4285963499</v>
      </c>
      <c r="D438" s="67">
        <f t="array" ref="D438">SUM($B$7:$B433*$F$1009*EXP(-$F$1009*($A438-$A$7:$A433)))*$F$1010</f>
        <v>29221334.951357108</v>
      </c>
      <c r="E438" s="67">
        <f t="shared" si="43"/>
        <v>55.707895423533749</v>
      </c>
      <c r="F438" s="70">
        <f t="shared" si="47"/>
        <v>3.3825834101169692</v>
      </c>
      <c r="G438" s="67">
        <f>E438/'Lookup Tables'!$C$48</f>
        <v>111.4157908470675</v>
      </c>
      <c r="H438" s="70">
        <f t="shared" si="44"/>
        <v>9.7848264152521503E-3</v>
      </c>
      <c r="I438" s="71">
        <f t="shared" si="48"/>
        <v>0.16043873881977722</v>
      </c>
      <c r="L438" s="74"/>
      <c r="M438" s="74"/>
      <c r="N438" s="74"/>
      <c r="O438" s="74"/>
      <c r="P438" s="74"/>
      <c r="Q438" s="74"/>
      <c r="R438" s="74"/>
      <c r="S438" s="74"/>
      <c r="T438" s="74"/>
      <c r="U438" s="74"/>
      <c r="V438" s="74"/>
      <c r="W438" s="74"/>
      <c r="X438" s="74"/>
      <c r="Y438" s="74"/>
    </row>
    <row r="439" spans="1:25" x14ac:dyDescent="0.3">
      <c r="A439" s="66">
        <f t="shared" si="46"/>
        <v>2033.1999999999607</v>
      </c>
      <c r="B439" s="67">
        <f>LOOKUP(A439+0.01,Amounts!$A$4:$A$103,Amounts!$B$4:$B$103)*0.1*$A$2</f>
        <v>0</v>
      </c>
      <c r="C439" s="68">
        <f t="shared" si="45"/>
        <v>2992395.4285963499</v>
      </c>
      <c r="D439" s="67">
        <f t="array" ref="D439">SUM($B$7:$B434*$F$1009*EXP(-$F$1009*($A439-$A$7:$A434)))*$F$1010</f>
        <v>28815086.635616146</v>
      </c>
      <c r="E439" s="67">
        <f t="shared" si="43"/>
        <v>54.933418873199649</v>
      </c>
      <c r="F439" s="70">
        <f t="shared" si="47"/>
        <v>3.3355571939806827</v>
      </c>
      <c r="G439" s="67">
        <f>E439/'Lookup Tables'!$C$48</f>
        <v>109.8668377463993</v>
      </c>
      <c r="H439" s="70">
        <f t="shared" si="44"/>
        <v>9.6487932991186475E-3</v>
      </c>
      <c r="I439" s="71">
        <f t="shared" si="48"/>
        <v>0.15820824635481498</v>
      </c>
      <c r="L439" s="74"/>
      <c r="M439" s="74"/>
      <c r="N439" s="74"/>
      <c r="O439" s="74"/>
      <c r="P439" s="74"/>
      <c r="Q439" s="74"/>
      <c r="R439" s="74"/>
      <c r="S439" s="74"/>
      <c r="T439" s="74"/>
      <c r="U439" s="74"/>
      <c r="V439" s="74"/>
      <c r="W439" s="74"/>
      <c r="X439" s="74"/>
      <c r="Y439" s="74"/>
    </row>
    <row r="440" spans="1:25" x14ac:dyDescent="0.3">
      <c r="A440" s="66">
        <f t="shared" si="46"/>
        <v>2033.2999999999606</v>
      </c>
      <c r="B440" s="67">
        <f>LOOKUP(A440+0.01,Amounts!$A$4:$A$103,Amounts!$B$4:$B$103)*0.1*$A$2</f>
        <v>0</v>
      </c>
      <c r="C440" s="68">
        <f t="shared" si="45"/>
        <v>2992395.4285963499</v>
      </c>
      <c r="D440" s="67">
        <f t="array" ref="D440">SUM($B$7:$B435*$F$1009*EXP(-$F$1009*($A440-$A$7:$A435)))*$F$1010</f>
        <v>28414486.169103056</v>
      </c>
      <c r="E440" s="67">
        <f t="shared" si="43"/>
        <v>54.169709448826012</v>
      </c>
      <c r="F440" s="70">
        <f t="shared" si="47"/>
        <v>3.2891847577327153</v>
      </c>
      <c r="G440" s="67">
        <f>E440/'Lookup Tables'!$C$48</f>
        <v>108.33941889765202</v>
      </c>
      <c r="H440" s="70">
        <f t="shared" si="44"/>
        <v>9.5146513773609765E-3</v>
      </c>
      <c r="I440" s="71">
        <f t="shared" si="48"/>
        <v>0.15600876321261892</v>
      </c>
      <c r="L440" s="74"/>
      <c r="M440" s="74"/>
      <c r="N440" s="74"/>
      <c r="O440" s="74"/>
      <c r="P440" s="74"/>
      <c r="Q440" s="74"/>
      <c r="R440" s="74"/>
      <c r="S440" s="74"/>
      <c r="T440" s="74"/>
      <c r="U440" s="74"/>
      <c r="V440" s="74"/>
      <c r="W440" s="74"/>
      <c r="X440" s="74"/>
      <c r="Y440" s="74"/>
    </row>
    <row r="441" spans="1:25" x14ac:dyDescent="0.3">
      <c r="A441" s="66">
        <f t="shared" si="46"/>
        <v>2033.3999999999605</v>
      </c>
      <c r="B441" s="67">
        <f>LOOKUP(A441+0.01,Amounts!$A$4:$A$103,Amounts!$B$4:$B$103)*0.1*$A$2</f>
        <v>0</v>
      </c>
      <c r="C441" s="68">
        <f t="shared" si="45"/>
        <v>2992395.4285963499</v>
      </c>
      <c r="D441" s="67">
        <f t="array" ref="D441">SUM($B$7:$B436*$F$1009*EXP(-$F$1009*($A441-$A$7:$A436)))*$F$1010</f>
        <v>28019455.032843936</v>
      </c>
      <c r="E441" s="67">
        <f t="shared" si="43"/>
        <v>53.416617460920762</v>
      </c>
      <c r="F441" s="70">
        <f t="shared" si="47"/>
        <v>3.2434570122271089</v>
      </c>
      <c r="G441" s="67">
        <f>E441/'Lookup Tables'!$C$48</f>
        <v>106.83323492184152</v>
      </c>
      <c r="H441" s="70">
        <f t="shared" si="44"/>
        <v>9.3823743577330365E-3</v>
      </c>
      <c r="I441" s="71">
        <f t="shared" si="48"/>
        <v>0.15383985828745178</v>
      </c>
      <c r="L441" s="74"/>
      <c r="M441" s="74"/>
      <c r="N441" s="74"/>
      <c r="O441" s="74"/>
      <c r="P441" s="74"/>
      <c r="Q441" s="74"/>
      <c r="R441" s="74"/>
      <c r="S441" s="74"/>
      <c r="T441" s="74"/>
      <c r="U441" s="74"/>
      <c r="V441" s="74"/>
      <c r="W441" s="74"/>
      <c r="X441" s="74"/>
      <c r="Y441" s="74"/>
    </row>
    <row r="442" spans="1:25" x14ac:dyDescent="0.3">
      <c r="A442" s="66">
        <f t="shared" si="46"/>
        <v>2033.4999999999604</v>
      </c>
      <c r="B442" s="67">
        <f>LOOKUP(A442+0.01,Amounts!$A$4:$A$103,Amounts!$B$4:$B$103)*0.1*$A$2</f>
        <v>0</v>
      </c>
      <c r="C442" s="68">
        <f t="shared" si="45"/>
        <v>2992395.4285963499</v>
      </c>
      <c r="D442" s="67">
        <f t="array" ref="D442">SUM($B$7:$B437*$F$1009*EXP(-$F$1009*($A442-$A$7:$A437)))*$F$1010</f>
        <v>27629915.799471445</v>
      </c>
      <c r="E442" s="67">
        <f t="shared" si="43"/>
        <v>52.673995301043348</v>
      </c>
      <c r="F442" s="70">
        <f t="shared" si="47"/>
        <v>3.1983649946793524</v>
      </c>
      <c r="G442" s="67">
        <f>E442/'Lookup Tables'!$C$48</f>
        <v>105.3479906020867</v>
      </c>
      <c r="H442" s="70">
        <f t="shared" si="44"/>
        <v>9.2519363135155144E-3</v>
      </c>
      <c r="I442" s="71">
        <f t="shared" si="48"/>
        <v>0.15170110646700485</v>
      </c>
      <c r="L442" s="74"/>
      <c r="M442" s="74"/>
      <c r="N442" s="74"/>
      <c r="O442" s="74"/>
      <c r="P442" s="74"/>
      <c r="Q442" s="74"/>
      <c r="R442" s="74"/>
      <c r="S442" s="74"/>
      <c r="T442" s="74"/>
      <c r="U442" s="74"/>
      <c r="V442" s="74"/>
      <c r="W442" s="74"/>
      <c r="X442" s="74"/>
      <c r="Y442" s="74"/>
    </row>
    <row r="443" spans="1:25" x14ac:dyDescent="0.3">
      <c r="A443" s="66">
        <f t="shared" si="46"/>
        <v>2033.5999999999603</v>
      </c>
      <c r="B443" s="67">
        <f>LOOKUP(A443+0.01,Amounts!$A$4:$A$103,Amounts!$B$4:$B$103)*0.1*$A$2</f>
        <v>0</v>
      </c>
      <c r="C443" s="68">
        <f t="shared" si="45"/>
        <v>2992395.4285963499</v>
      </c>
      <c r="D443" s="67">
        <f t="array" ref="D443">SUM($B$7:$B438*$F$1009*EXP(-$F$1009*($A443-$A$7:$A438)))*$F$1010</f>
        <v>27245792.118048791</v>
      </c>
      <c r="E443" s="67">
        <f t="shared" si="43"/>
        <v>51.94169741287304</v>
      </c>
      <c r="F443" s="70">
        <f t="shared" si="47"/>
        <v>3.1538998669096512</v>
      </c>
      <c r="G443" s="67">
        <f>E443/'Lookup Tables'!$C$48</f>
        <v>103.88339482574608</v>
      </c>
      <c r="H443" s="70">
        <f t="shared" si="44"/>
        <v>9.1233116784341598E-3</v>
      </c>
      <c r="I443" s="71">
        <f t="shared" si="48"/>
        <v>0.14959208854907438</v>
      </c>
      <c r="L443" s="74"/>
      <c r="M443" s="74"/>
      <c r="N443" s="74"/>
      <c r="O443" s="74"/>
      <c r="P443" s="74"/>
      <c r="Q443" s="74"/>
      <c r="R443" s="74"/>
      <c r="S443" s="74"/>
      <c r="T443" s="74"/>
      <c r="U443" s="74"/>
      <c r="V443" s="74"/>
      <c r="W443" s="74"/>
      <c r="X443" s="74"/>
      <c r="Y443" s="74"/>
    </row>
    <row r="444" spans="1:25" x14ac:dyDescent="0.3">
      <c r="A444" s="66">
        <f t="shared" si="46"/>
        <v>2033.6999999999603</v>
      </c>
      <c r="B444" s="67">
        <f>LOOKUP(A444+0.01,Amounts!$A$4:$A$103,Amounts!$B$4:$B$103)*0.1*$A$2</f>
        <v>0</v>
      </c>
      <c r="C444" s="68">
        <f t="shared" si="45"/>
        <v>2992395.4285963499</v>
      </c>
      <c r="D444" s="67">
        <f t="array" ref="D444">SUM($B$7:$B439*$F$1009*EXP(-$F$1009*($A444-$A$7:$A439)))*$F$1010</f>
        <v>26867008.699104689</v>
      </c>
      <c r="E444" s="67">
        <f t="shared" si="43"/>
        <v>51.219580263679397</v>
      </c>
      <c r="F444" s="70">
        <f t="shared" si="47"/>
        <v>3.110052913610613</v>
      </c>
      <c r="G444" s="67">
        <f>E444/'Lookup Tables'!$C$48</f>
        <v>102.43916052735879</v>
      </c>
      <c r="H444" s="70">
        <f t="shared" si="44"/>
        <v>8.9964752416487274E-3</v>
      </c>
      <c r="I444" s="71">
        <f t="shared" si="48"/>
        <v>0.14751239115939668</v>
      </c>
      <c r="L444" s="74"/>
      <c r="M444" s="74"/>
      <c r="N444" s="74"/>
      <c r="O444" s="74"/>
      <c r="P444" s="74"/>
      <c r="Q444" s="74"/>
      <c r="R444" s="74"/>
      <c r="S444" s="74"/>
      <c r="T444" s="74"/>
      <c r="U444" s="74"/>
      <c r="V444" s="74"/>
      <c r="W444" s="74"/>
      <c r="X444" s="74"/>
      <c r="Y444" s="74"/>
    </row>
    <row r="445" spans="1:25" x14ac:dyDescent="0.3">
      <c r="A445" s="66">
        <f t="shared" si="46"/>
        <v>2033.7999999999602</v>
      </c>
      <c r="B445" s="67">
        <f>LOOKUP(A445+0.01,Amounts!$A$4:$A$103,Amounts!$B$4:$B$103)*0.1*$A$2</f>
        <v>0</v>
      </c>
      <c r="C445" s="68">
        <f t="shared" si="45"/>
        <v>2992395.4285963499</v>
      </c>
      <c r="D445" s="67">
        <f t="array" ref="D445">SUM($B$7:$B440*$F$1009*EXP(-$F$1009*($A445-$A$7:$A440)))*$F$1010</f>
        <v>26493491.299876422</v>
      </c>
      <c r="E445" s="67">
        <f t="shared" si="43"/>
        <v>50.507502316189445</v>
      </c>
      <c r="F445" s="70">
        <f t="shared" si="47"/>
        <v>3.0668155406390234</v>
      </c>
      <c r="G445" s="67">
        <f>E445/'Lookup Tables'!$C$48</f>
        <v>101.01500463237889</v>
      </c>
      <c r="H445" s="70">
        <f t="shared" si="44"/>
        <v>8.8714021428115616E-3</v>
      </c>
      <c r="I445" s="71">
        <f t="shared" si="48"/>
        <v>0.14546160667062563</v>
      </c>
      <c r="L445" s="74"/>
      <c r="M445" s="74"/>
      <c r="N445" s="74"/>
      <c r="O445" s="74"/>
      <c r="P445" s="74"/>
      <c r="Q445" s="74"/>
      <c r="R445" s="74"/>
      <c r="S445" s="74"/>
      <c r="T445" s="74"/>
      <c r="U445" s="74"/>
      <c r="V445" s="74"/>
      <c r="W445" s="74"/>
      <c r="X445" s="74"/>
      <c r="Y445" s="74"/>
    </row>
    <row r="446" spans="1:25" x14ac:dyDescent="0.3">
      <c r="A446" s="66">
        <f t="shared" si="46"/>
        <v>2033.8999999999601</v>
      </c>
      <c r="B446" s="67">
        <f>LOOKUP(A446+0.01,Amounts!$A$4:$A$103,Amounts!$B$4:$B$103)*0.1*$A$2</f>
        <v>0</v>
      </c>
      <c r="C446" s="68">
        <f t="shared" si="45"/>
        <v>2992395.4285963499</v>
      </c>
      <c r="D446" s="67">
        <f t="array" ref="D446">SUM($B$7:$B441*$F$1009*EXP(-$F$1009*($A446-$A$7:$A441)))*$F$1010</f>
        <v>26125166.709757961</v>
      </c>
      <c r="E446" s="67">
        <f t="shared" si="43"/>
        <v>49.805324000845843</v>
      </c>
      <c r="F446" s="70">
        <f t="shared" si="47"/>
        <v>3.0241792733313595</v>
      </c>
      <c r="G446" s="67">
        <f>E446/'Lookup Tables'!$C$48</f>
        <v>99.610648001691686</v>
      </c>
      <c r="H446" s="70">
        <f t="shared" si="44"/>
        <v>8.7480678671948784E-3</v>
      </c>
      <c r="I446" s="71">
        <f t="shared" si="48"/>
        <v>0.14343933312243601</v>
      </c>
      <c r="L446" s="74"/>
      <c r="M446" s="74"/>
      <c r="N446" s="74"/>
      <c r="O446" s="74"/>
      <c r="P446" s="74"/>
      <c r="Q446" s="74"/>
      <c r="R446" s="74"/>
      <c r="S446" s="74"/>
      <c r="T446" s="74"/>
      <c r="U446" s="74"/>
      <c r="V446" s="74"/>
      <c r="W446" s="74"/>
      <c r="X446" s="74"/>
      <c r="Y446" s="74"/>
    </row>
    <row r="447" spans="1:25" x14ac:dyDescent="0.3">
      <c r="A447" s="66">
        <f t="shared" si="46"/>
        <v>2033.99999999996</v>
      </c>
      <c r="B447" s="67">
        <f>LOOKUP(A447+0.01,Amounts!$A$4:$A$103,Amounts!$B$4:$B$103)*0.1*$A$2</f>
        <v>0</v>
      </c>
      <c r="C447" s="68">
        <f t="shared" si="45"/>
        <v>2992395.4285963499</v>
      </c>
      <c r="D447" s="67">
        <f t="array" ref="D447">SUM($B$7:$B442*$F$1009*EXP(-$F$1009*($A447-$A$7:$A442)))*$F$1010</f>
        <v>25761962.73595053</v>
      </c>
      <c r="E447" s="67">
        <f t="shared" si="43"/>
        <v>49.112907688450896</v>
      </c>
      <c r="F447" s="70">
        <f t="shared" si="47"/>
        <v>2.9821357548427381</v>
      </c>
      <c r="G447" s="67">
        <f>E447/'Lookup Tables'!$C$48</f>
        <v>98.225815376901792</v>
      </c>
      <c r="H447" s="70">
        <f t="shared" si="44"/>
        <v>8.6264482408858322E-3</v>
      </c>
      <c r="I447" s="71">
        <f t="shared" si="48"/>
        <v>0.14144517414273858</v>
      </c>
      <c r="L447" s="74"/>
      <c r="M447" s="74"/>
      <c r="N447" s="74"/>
      <c r="O447" s="74"/>
      <c r="P447" s="74"/>
      <c r="Q447" s="74"/>
      <c r="R447" s="74"/>
      <c r="S447" s="74"/>
      <c r="T447" s="74"/>
      <c r="U447" s="74"/>
      <c r="V447" s="74"/>
      <c r="W447" s="74"/>
      <c r="X447" s="74"/>
      <c r="Y447" s="74"/>
    </row>
    <row r="448" spans="1:25" x14ac:dyDescent="0.3">
      <c r="A448" s="66">
        <f t="shared" si="46"/>
        <v>2034.0999999999599</v>
      </c>
      <c r="B448" s="67">
        <f>LOOKUP(A448+0.01,Amounts!$A$4:$A$103,Amounts!$B$4:$B$103)*0.1*$A$2</f>
        <v>0</v>
      </c>
      <c r="C448" s="68">
        <f t="shared" si="45"/>
        <v>2992395.4285963499</v>
      </c>
      <c r="D448" s="67">
        <f t="array" ref="D448">SUM($B$7:$B443*$F$1009*EXP(-$F$1009*($A448-$A$7:$A443)))*$F$1010</f>
        <v>25403808.189312495</v>
      </c>
      <c r="E448" s="67">
        <f t="shared" si="43"/>
        <v>48.430117663190664</v>
      </c>
      <c r="F448" s="70">
        <f t="shared" si="47"/>
        <v>2.940676744508937</v>
      </c>
      <c r="G448" s="67">
        <f>E448/'Lookup Tables'!$C$48</f>
        <v>96.860235326381328</v>
      </c>
      <c r="H448" s="70">
        <f t="shared" si="44"/>
        <v>8.5065194260483118E-3</v>
      </c>
      <c r="I448" s="71">
        <f t="shared" si="48"/>
        <v>0.13947873886998913</v>
      </c>
      <c r="L448" s="74"/>
      <c r="M448" s="74"/>
      <c r="N448" s="74"/>
      <c r="O448" s="74"/>
      <c r="P448" s="74"/>
      <c r="Q448" s="74"/>
      <c r="R448" s="74"/>
      <c r="S448" s="74"/>
      <c r="T448" s="74"/>
      <c r="U448" s="74"/>
      <c r="V448" s="74"/>
      <c r="W448" s="74"/>
      <c r="X448" s="74"/>
      <c r="Y448" s="74"/>
    </row>
    <row r="449" spans="1:25" x14ac:dyDescent="0.3">
      <c r="A449" s="66">
        <f t="shared" si="46"/>
        <v>2034.1999999999598</v>
      </c>
      <c r="B449" s="67">
        <f>LOOKUP(A449+0.01,Amounts!$A$4:$A$103,Amounts!$B$4:$B$103)*0.1*$A$2</f>
        <v>0</v>
      </c>
      <c r="C449" s="68">
        <f t="shared" si="45"/>
        <v>2992395.4285963499</v>
      </c>
      <c r="D449" s="67">
        <f t="array" ref="D449">SUM($B$7:$B444*$F$1009*EXP(-$F$1009*($A449-$A$7:$A444)))*$F$1010</f>
        <v>25050632.870406147</v>
      </c>
      <c r="E449" s="67">
        <f t="shared" si="43"/>
        <v>47.756820096034375</v>
      </c>
      <c r="F449" s="70">
        <f t="shared" si="47"/>
        <v>2.8997941162312073</v>
      </c>
      <c r="G449" s="67">
        <f>E449/'Lookup Tables'!$C$48</f>
        <v>95.513640192068749</v>
      </c>
      <c r="H449" s="70">
        <f t="shared" si="44"/>
        <v>8.3882579162506774E-3</v>
      </c>
      <c r="I449" s="71">
        <f t="shared" si="48"/>
        <v>0.13753964187657899</v>
      </c>
      <c r="L449" s="74"/>
      <c r="M449" s="74"/>
      <c r="N449" s="74"/>
      <c r="O449" s="74"/>
      <c r="P449" s="74"/>
      <c r="Q449" s="74"/>
      <c r="R449" s="74"/>
      <c r="S449" s="74"/>
      <c r="T449" s="74"/>
      <c r="U449" s="74"/>
      <c r="V449" s="74"/>
      <c r="W449" s="74"/>
      <c r="X449" s="74"/>
      <c r="Y449" s="74"/>
    </row>
    <row r="450" spans="1:25" x14ac:dyDescent="0.3">
      <c r="A450" s="66">
        <f t="shared" si="46"/>
        <v>2034.2999999999597</v>
      </c>
      <c r="B450" s="67">
        <f>LOOKUP(A450+0.01,Amounts!$A$4:$A$103,Amounts!$B$4:$B$103)*0.1*$A$2</f>
        <v>0</v>
      </c>
      <c r="C450" s="68">
        <f t="shared" si="45"/>
        <v>2992395.4285963499</v>
      </c>
      <c r="D450" s="67">
        <f t="array" ref="D450">SUM($B$7:$B445*$F$1009*EXP(-$F$1009*($A450-$A$7:$A445)))*$F$1010</f>
        <v>24702367.555738341</v>
      </c>
      <c r="E450" s="67">
        <f t="shared" si="43"/>
        <v>47.092883018503379</v>
      </c>
      <c r="F450" s="70">
        <f t="shared" si="47"/>
        <v>2.8594798568835254</v>
      </c>
      <c r="G450" s="67">
        <f>E450/'Lookup Tables'!$C$48</f>
        <v>94.185766037006758</v>
      </c>
      <c r="H450" s="70">
        <f t="shared" si="44"/>
        <v>8.2716405318584065E-3</v>
      </c>
      <c r="I450" s="71">
        <f t="shared" si="48"/>
        <v>0.13562750309328975</v>
      </c>
      <c r="L450" s="74"/>
      <c r="M450" s="74"/>
      <c r="N450" s="74"/>
      <c r="O450" s="74"/>
      <c r="P450" s="74"/>
      <c r="Q450" s="74"/>
      <c r="R450" s="74"/>
      <c r="S450" s="74"/>
      <c r="T450" s="74"/>
      <c r="U450" s="74"/>
      <c r="V450" s="74"/>
      <c r="W450" s="74"/>
      <c r="X450" s="74"/>
      <c r="Y450" s="74"/>
    </row>
    <row r="451" spans="1:25" x14ac:dyDescent="0.3">
      <c r="A451" s="66">
        <f t="shared" si="46"/>
        <v>2034.3999999999596</v>
      </c>
      <c r="B451" s="67">
        <f>LOOKUP(A451+0.01,Amounts!$A$4:$A$103,Amounts!$B$4:$B$103)*0.1*$A$2</f>
        <v>0</v>
      </c>
      <c r="C451" s="68">
        <f t="shared" si="45"/>
        <v>2992395.4285963499</v>
      </c>
      <c r="D451" s="67">
        <f t="array" ref="D451">SUM($B$7:$B446*$F$1009*EXP(-$F$1009*($A451-$A$7:$A446)))*$F$1010</f>
        <v>24358943.984192487</v>
      </c>
      <c r="E451" s="67">
        <f t="shared" si="43"/>
        <v>46.438176296805018</v>
      </c>
      <c r="F451" s="70">
        <f t="shared" si="47"/>
        <v>2.8197260647420004</v>
      </c>
      <c r="G451" s="67">
        <f>E451/'Lookup Tables'!$C$48</f>
        <v>92.876352593610036</v>
      </c>
      <c r="H451" s="70">
        <f t="shared" si="44"/>
        <v>8.1566444154908338E-3</v>
      </c>
      <c r="I451" s="71">
        <f t="shared" si="48"/>
        <v>0.13374194773479844</v>
      </c>
      <c r="L451" s="74"/>
      <c r="M451" s="74"/>
      <c r="N451" s="74"/>
      <c r="O451" s="74"/>
      <c r="P451" s="74"/>
      <c r="Q451" s="74"/>
      <c r="R451" s="74"/>
      <c r="S451" s="74"/>
      <c r="T451" s="74"/>
      <c r="U451" s="74"/>
      <c r="V451" s="74"/>
      <c r="W451" s="74"/>
      <c r="X451" s="74"/>
      <c r="Y451" s="74"/>
    </row>
    <row r="452" spans="1:25" x14ac:dyDescent="0.3">
      <c r="A452" s="66">
        <f t="shared" si="46"/>
        <v>2034.4999999999595</v>
      </c>
      <c r="B452" s="67">
        <f>LOOKUP(A452+0.01,Amounts!$A$4:$A$103,Amounts!$B$4:$B$103)*0.1*$A$2</f>
        <v>0</v>
      </c>
      <c r="C452" s="68">
        <f t="shared" si="45"/>
        <v>2992395.4285963499</v>
      </c>
      <c r="D452" s="67">
        <f t="array" ref="D452">SUM($B$7:$B447*$F$1009*EXP(-$F$1009*($A452-$A$7:$A447)))*$F$1010</f>
        <v>24020294.84364913</v>
      </c>
      <c r="E452" s="67">
        <f t="shared" si="43"/>
        <v>45.792571606325851</v>
      </c>
      <c r="F452" s="70">
        <f t="shared" si="47"/>
        <v>2.7805249479361054</v>
      </c>
      <c r="G452" s="67">
        <f>E452/'Lookup Tables'!$C$48</f>
        <v>91.585143212651701</v>
      </c>
      <c r="H452" s="70">
        <f t="shared" si="44"/>
        <v>8.0432470275410006E-3</v>
      </c>
      <c r="I452" s="71">
        <f t="shared" si="48"/>
        <v>0.13188260622621845</v>
      </c>
      <c r="L452" s="74"/>
      <c r="M452" s="74"/>
      <c r="N452" s="74"/>
      <c r="O452" s="74"/>
      <c r="P452" s="74"/>
      <c r="Q452" s="74"/>
      <c r="R452" s="74"/>
      <c r="S452" s="74"/>
      <c r="T452" s="74"/>
      <c r="U452" s="74"/>
      <c r="V452" s="74"/>
      <c r="W452" s="74"/>
      <c r="X452" s="74"/>
      <c r="Y452" s="74"/>
    </row>
    <row r="453" spans="1:25" x14ac:dyDescent="0.3">
      <c r="A453" s="66">
        <f t="shared" si="46"/>
        <v>2034.5999999999594</v>
      </c>
      <c r="B453" s="67">
        <f>LOOKUP(A453+0.01,Amounts!$A$4:$A$103,Amounts!$B$4:$B$103)*0.1*$A$2</f>
        <v>0</v>
      </c>
      <c r="C453" s="68">
        <f t="shared" si="45"/>
        <v>2992395.4285963499</v>
      </c>
      <c r="D453" s="67">
        <f t="array" ref="D453">SUM($B$7:$B448*$F$1009*EXP(-$F$1009*($A453-$A$7:$A448)))*$F$1010</f>
        <v>23686353.757792592</v>
      </c>
      <c r="E453" s="67">
        <f t="shared" si="43"/>
        <v>45.155942406479745</v>
      </c>
      <c r="F453" s="70">
        <f t="shared" si="47"/>
        <v>2.7418688229214503</v>
      </c>
      <c r="G453" s="67">
        <f>E453/'Lookup Tables'!$C$48</f>
        <v>90.311884812959491</v>
      </c>
      <c r="H453" s="70">
        <f t="shared" si="44"/>
        <v>7.9314261417578434E-3</v>
      </c>
      <c r="I453" s="71">
        <f t="shared" si="48"/>
        <v>0.13004911413066167</v>
      </c>
      <c r="L453" s="74"/>
      <c r="M453" s="74"/>
      <c r="N453" s="74"/>
      <c r="O453" s="74"/>
      <c r="P453" s="74"/>
      <c r="Q453" s="74"/>
      <c r="R453" s="74"/>
      <c r="S453" s="74"/>
      <c r="T453" s="74"/>
      <c r="U453" s="74"/>
      <c r="V453" s="74"/>
      <c r="W453" s="74"/>
      <c r="X453" s="74"/>
      <c r="Y453" s="74"/>
    </row>
    <row r="454" spans="1:25" x14ac:dyDescent="0.3">
      <c r="A454" s="66">
        <f t="shared" si="46"/>
        <v>2034.6999999999593</v>
      </c>
      <c r="B454" s="67">
        <f>LOOKUP(A454+0.01,Amounts!$A$4:$A$103,Amounts!$B$4:$B$103)*0.1*$A$2</f>
        <v>0</v>
      </c>
      <c r="C454" s="68">
        <f t="shared" si="45"/>
        <v>2992395.4285963499</v>
      </c>
      <c r="D454" s="67">
        <f t="array" ref="D454">SUM($B$7:$B449*$F$1009*EXP(-$F$1009*($A454-$A$7:$A449)))*$F$1010</f>
        <v>23357055.273100983</v>
      </c>
      <c r="E454" s="67">
        <f t="shared" si="43"/>
        <v>44.528163915905481</v>
      </c>
      <c r="F454" s="70">
        <f t="shared" si="47"/>
        <v>2.7037501129737809</v>
      </c>
      <c r="G454" s="67">
        <f>E454/'Lookup Tables'!$C$48</f>
        <v>89.056327831810961</v>
      </c>
      <c r="H454" s="70">
        <f t="shared" si="44"/>
        <v>7.8211598408897774E-3</v>
      </c>
      <c r="I454" s="71">
        <f t="shared" si="48"/>
        <v>0.12824111207780778</v>
      </c>
      <c r="L454" s="74"/>
      <c r="M454" s="74"/>
      <c r="N454" s="74"/>
      <c r="O454" s="74"/>
      <c r="P454" s="74"/>
      <c r="Q454" s="74"/>
      <c r="R454" s="74"/>
      <c r="S454" s="74"/>
      <c r="T454" s="74"/>
      <c r="U454" s="74"/>
      <c r="V454" s="74"/>
      <c r="W454" s="74"/>
      <c r="X454" s="74"/>
      <c r="Y454" s="74"/>
    </row>
    <row r="455" spans="1:25" x14ac:dyDescent="0.3">
      <c r="A455" s="66">
        <f t="shared" si="46"/>
        <v>2034.7999999999593</v>
      </c>
      <c r="B455" s="67">
        <f>LOOKUP(A455+0.01,Amounts!$A$4:$A$103,Amounts!$B$4:$B$103)*0.1*$A$2</f>
        <v>0</v>
      </c>
      <c r="C455" s="68">
        <f t="shared" si="45"/>
        <v>2992395.4285963499</v>
      </c>
      <c r="D455" s="67">
        <f t="array" ref="D455">SUM($B$7:$B450*$F$1009*EXP(-$F$1009*($A455-$A$7:$A450)))*$F$1010</f>
        <v>23032334.846017107</v>
      </c>
      <c r="E455" s="67">
        <f t="shared" ref="E455:E518" si="49">D455/(365*24*60)*1.00201</f>
        <v>43.909113088009136</v>
      </c>
      <c r="F455" s="70">
        <f t="shared" si="47"/>
        <v>2.6661613467039151</v>
      </c>
      <c r="G455" s="67">
        <f>E455/'Lookup Tables'!$C$48</f>
        <v>87.818226176018271</v>
      </c>
      <c r="H455" s="70">
        <f t="shared" ref="H455:H518" si="50">G455*60*24*365/(C455*2000)</f>
        <v>7.7124265123888229E-3</v>
      </c>
      <c r="I455" s="71">
        <f t="shared" si="48"/>
        <v>0.12645824569346631</v>
      </c>
      <c r="L455" s="74"/>
      <c r="M455" s="74"/>
      <c r="N455" s="74"/>
      <c r="O455" s="74"/>
      <c r="P455" s="74"/>
      <c r="Q455" s="74"/>
      <c r="R455" s="74"/>
      <c r="S455" s="74"/>
      <c r="T455" s="74"/>
      <c r="U455" s="74"/>
      <c r="V455" s="74"/>
      <c r="W455" s="74"/>
      <c r="X455" s="74"/>
      <c r="Y455" s="74"/>
    </row>
    <row r="456" spans="1:25" x14ac:dyDescent="0.3">
      <c r="A456" s="66">
        <f t="shared" si="46"/>
        <v>2034.8999999999592</v>
      </c>
      <c r="B456" s="67">
        <f>LOOKUP(A456+0.01,Amounts!$A$4:$A$103,Amounts!$B$4:$B$103)*0.1*$A$2</f>
        <v>0</v>
      </c>
      <c r="C456" s="68">
        <f t="shared" si="45"/>
        <v>2992395.4285963499</v>
      </c>
      <c r="D456" s="67">
        <f t="array" ref="D456">SUM($B$7:$B451*$F$1009*EXP(-$F$1009*($A456-$A$7:$A451)))*$F$1010</f>
        <v>22712128.830297701</v>
      </c>
      <c r="E456" s="67">
        <f t="shared" si="49"/>
        <v>43.298668586846652</v>
      </c>
      <c r="F456" s="70">
        <f t="shared" si="47"/>
        <v>2.6290951565933285</v>
      </c>
      <c r="G456" s="67">
        <f>E456/'Lookup Tables'!$C$48</f>
        <v>86.597337173693305</v>
      </c>
      <c r="H456" s="70">
        <f t="shared" si="50"/>
        <v>7.6052048441745037E-3</v>
      </c>
      <c r="I456" s="71">
        <f t="shared" si="48"/>
        <v>0.12470016553011835</v>
      </c>
      <c r="L456" s="74"/>
      <c r="M456" s="74"/>
      <c r="N456" s="74"/>
      <c r="O456" s="74"/>
      <c r="P456" s="74"/>
      <c r="Q456" s="74"/>
      <c r="R456" s="74"/>
      <c r="S456" s="74"/>
      <c r="T456" s="74"/>
      <c r="U456" s="74"/>
      <c r="V456" s="74"/>
      <c r="W456" s="74"/>
      <c r="X456" s="74"/>
      <c r="Y456" s="74"/>
    </row>
    <row r="457" spans="1:25" x14ac:dyDescent="0.3">
      <c r="A457" s="66">
        <f t="shared" si="46"/>
        <v>2034.9999999999591</v>
      </c>
      <c r="B457" s="67">
        <f>LOOKUP(A457+0.01,Amounts!$A$4:$A$103,Amounts!$B$4:$B$103)*0.1*$A$2</f>
        <v>0</v>
      </c>
      <c r="C457" s="68">
        <f t="shared" ref="C457:C520" si="51">C456+B457</f>
        <v>2992395.4285963499</v>
      </c>
      <c r="D457" s="67">
        <f t="array" ref="D457">SUM($B$7:$B452*$F$1009*EXP(-$F$1009*($A457-$A$7:$A452)))*$F$1010</f>
        <v>22396374.464538589</v>
      </c>
      <c r="E457" s="67">
        <f t="shared" si="49"/>
        <v>42.696710763341542</v>
      </c>
      <c r="F457" s="70">
        <f t="shared" si="47"/>
        <v>2.5925442775500986</v>
      </c>
      <c r="G457" s="67">
        <f>E457/'Lookup Tables'!$C$48</f>
        <v>85.393421526683085</v>
      </c>
      <c r="H457" s="70">
        <f t="shared" si="50"/>
        <v>7.4994738204565937E-3</v>
      </c>
      <c r="I457" s="71">
        <f t="shared" si="48"/>
        <v>0.12296652699842364</v>
      </c>
      <c r="L457" s="74"/>
      <c r="M457" s="74"/>
      <c r="N457" s="74"/>
      <c r="O457" s="74"/>
      <c r="P457" s="74"/>
      <c r="Q457" s="74"/>
      <c r="R457" s="74"/>
      <c r="S457" s="74"/>
      <c r="T457" s="74"/>
      <c r="U457" s="74"/>
      <c r="V457" s="74"/>
      <c r="W457" s="74"/>
      <c r="X457" s="74"/>
      <c r="Y457" s="74"/>
    </row>
    <row r="458" spans="1:25" x14ac:dyDescent="0.3">
      <c r="A458" s="66">
        <f t="shared" si="46"/>
        <v>2035.099999999959</v>
      </c>
      <c r="B458" s="67">
        <f>LOOKUP(A458+0.01,Amounts!$A$4:$A$103,Amounts!$B$4:$B$103)*0.1*$A$2</f>
        <v>0</v>
      </c>
      <c r="C458" s="68">
        <f t="shared" si="51"/>
        <v>2992395.4285963499</v>
      </c>
      <c r="D458" s="67">
        <f t="array" ref="D458">SUM($B$7:$B453*$F$1009*EXP(-$F$1009*($A458-$A$7:$A453)))*$F$1010</f>
        <v>22085009.85987325</v>
      </c>
      <c r="E458" s="67">
        <f t="shared" si="49"/>
        <v>42.103121631833332</v>
      </c>
      <c r="F458" s="70">
        <f t="shared" si="47"/>
        <v>2.5565015454849198</v>
      </c>
      <c r="G458" s="67">
        <f>E458/'Lookup Tables'!$C$48</f>
        <v>84.206243263666664</v>
      </c>
      <c r="H458" s="70">
        <f t="shared" si="50"/>
        <v>7.395212717615964E-3</v>
      </c>
      <c r="I458" s="71">
        <f t="shared" si="48"/>
        <v>0.12125699029968</v>
      </c>
      <c r="L458" s="74"/>
      <c r="M458" s="74"/>
      <c r="N458" s="74"/>
      <c r="O458" s="74"/>
      <c r="P458" s="74"/>
      <c r="Q458" s="74"/>
      <c r="R458" s="74"/>
      <c r="S458" s="74"/>
      <c r="T458" s="74"/>
      <c r="U458" s="74"/>
      <c r="V458" s="74"/>
      <c r="W458" s="74"/>
      <c r="X458" s="74"/>
      <c r="Y458" s="74"/>
    </row>
    <row r="459" spans="1:25" x14ac:dyDescent="0.3">
      <c r="A459" s="66">
        <f t="shared" si="46"/>
        <v>2035.1999999999589</v>
      </c>
      <c r="B459" s="67">
        <f>LOOKUP(A459+0.01,Amounts!$A$4:$A$103,Amounts!$B$4:$B$103)*0.1*$A$2</f>
        <v>0</v>
      </c>
      <c r="C459" s="68">
        <f t="shared" si="51"/>
        <v>2992395.4285963499</v>
      </c>
      <c r="D459" s="67">
        <f t="array" ref="D459">SUM($B$7:$B454*$F$1009*EXP(-$F$1009*($A459-$A$7:$A454)))*$F$1010</f>
        <v>21777973.987842385</v>
      </c>
      <c r="E459" s="67">
        <f t="shared" si="49"/>
        <v>41.517784846951955</v>
      </c>
      <c r="F459" s="70">
        <f t="shared" si="47"/>
        <v>2.5209598959069228</v>
      </c>
      <c r="G459" s="67">
        <f>E459/'Lookup Tables'!$C$48</f>
        <v>83.035569693903909</v>
      </c>
      <c r="H459" s="70">
        <f t="shared" si="50"/>
        <v>7.2924011001426802E-3</v>
      </c>
      <c r="I459" s="71">
        <f t="shared" si="48"/>
        <v>0.11957122035922163</v>
      </c>
      <c r="L459" s="74"/>
      <c r="M459" s="74"/>
      <c r="N459" s="74"/>
      <c r="O459" s="74"/>
      <c r="P459" s="74"/>
      <c r="Q459" s="74"/>
      <c r="R459" s="74"/>
      <c r="S459" s="74"/>
      <c r="T459" s="74"/>
      <c r="U459" s="74"/>
      <c r="V459" s="74"/>
      <c r="W459" s="74"/>
      <c r="X459" s="74"/>
      <c r="Y459" s="74"/>
    </row>
    <row r="460" spans="1:25" x14ac:dyDescent="0.3">
      <c r="A460" s="66">
        <f t="shared" si="46"/>
        <v>2035.2999999999588</v>
      </c>
      <c r="B460" s="67">
        <f>LOOKUP(A460+0.01,Amounts!$A$4:$A$103,Amounts!$B$4:$B$103)*0.1*$A$2</f>
        <v>0</v>
      </c>
      <c r="C460" s="68">
        <f t="shared" si="51"/>
        <v>2992395.4285963499</v>
      </c>
      <c r="D460" s="67">
        <f t="array" ref="D460">SUM($B$7:$B455*$F$1009*EXP(-$F$1009*($A460-$A$7:$A455)))*$F$1010</f>
        <v>21475206.668432135</v>
      </c>
      <c r="E460" s="67">
        <f t="shared" si="49"/>
        <v>40.940585680813705</v>
      </c>
      <c r="F460" s="70">
        <f t="shared" si="47"/>
        <v>2.485912362539008</v>
      </c>
      <c r="G460" s="67">
        <f>E460/'Lookup Tables'!$C$48</f>
        <v>81.881171361627409</v>
      </c>
      <c r="H460" s="70">
        <f t="shared" si="50"/>
        <v>7.1910188166305813E-3</v>
      </c>
      <c r="I460" s="71">
        <f t="shared" si="48"/>
        <v>0.11790888676074349</v>
      </c>
      <c r="L460" s="74"/>
      <c r="M460" s="74"/>
      <c r="N460" s="74"/>
      <c r="O460" s="74"/>
      <c r="P460" s="74"/>
      <c r="Q460" s="74"/>
      <c r="R460" s="74"/>
      <c r="S460" s="74"/>
      <c r="T460" s="74"/>
      <c r="U460" s="74"/>
      <c r="V460" s="74"/>
      <c r="W460" s="74"/>
      <c r="X460" s="74"/>
      <c r="Y460" s="74"/>
    </row>
    <row r="461" spans="1:25" x14ac:dyDescent="0.3">
      <c r="A461" s="66">
        <f t="shared" si="46"/>
        <v>2035.3999999999587</v>
      </c>
      <c r="B461" s="67">
        <f>LOOKUP(A461+0.01,Amounts!$A$4:$A$103,Amounts!$B$4:$B$103)*0.1*$A$2</f>
        <v>0</v>
      </c>
      <c r="C461" s="68">
        <f t="shared" si="51"/>
        <v>2992395.4285963499</v>
      </c>
      <c r="D461" s="67">
        <f t="array" ref="D461">SUM($B$7:$B456*$F$1009*EXP(-$F$1009*($A461-$A$7:$A456)))*$F$1010</f>
        <v>21176648.558278635</v>
      </c>
      <c r="E461" s="67">
        <f t="shared" si="49"/>
        <v>40.371411000534202</v>
      </c>
      <c r="F461" s="70">
        <f t="shared" si="47"/>
        <v>2.4513520759524368</v>
      </c>
      <c r="G461" s="67">
        <f>E461/'Lookup Tables'!$C$48</f>
        <v>80.742822001068404</v>
      </c>
      <c r="H461" s="70">
        <f t="shared" si="50"/>
        <v>7.0910459958275383E-3</v>
      </c>
      <c r="I461" s="71">
        <f t="shared" si="48"/>
        <v>0.11626966368153852</v>
      </c>
      <c r="L461" s="74"/>
      <c r="M461" s="74"/>
      <c r="N461" s="74"/>
      <c r="O461" s="74"/>
      <c r="P461" s="74"/>
      <c r="Q461" s="74"/>
      <c r="R461" s="74"/>
      <c r="S461" s="74"/>
      <c r="T461" s="74"/>
      <c r="U461" s="74"/>
      <c r="V461" s="74"/>
      <c r="W461" s="74"/>
      <c r="X461" s="74"/>
      <c r="Y461" s="74"/>
    </row>
    <row r="462" spans="1:25" x14ac:dyDescent="0.3">
      <c r="A462" s="66">
        <f t="shared" si="46"/>
        <v>2035.4999999999586</v>
      </c>
      <c r="B462" s="67">
        <f>LOOKUP(A462+0.01,Amounts!$A$4:$A$103,Amounts!$B$4:$B$103)*0.1*$A$2</f>
        <v>0</v>
      </c>
      <c r="C462" s="68">
        <f t="shared" si="51"/>
        <v>2992395.4285963499</v>
      </c>
      <c r="D462" s="67">
        <f t="array" ref="D462">SUM($B$7:$B457*$F$1009*EXP(-$F$1009*($A462-$A$7:$A457)))*$F$1010</f>
        <v>20882241.139036506</v>
      </c>
      <c r="E462" s="67">
        <f t="shared" si="49"/>
        <v>39.810149246053982</v>
      </c>
      <c r="F462" s="70">
        <f t="shared" si="47"/>
        <v>2.4172722622203979</v>
      </c>
      <c r="G462" s="67">
        <f>E462/'Lookup Tables'!$C$48</f>
        <v>79.620298492107963</v>
      </c>
      <c r="H462" s="70">
        <f t="shared" si="50"/>
        <v>6.992463042740627E-3</v>
      </c>
      <c r="I462" s="71">
        <f t="shared" si="48"/>
        <v>0.11465322982863548</v>
      </c>
      <c r="L462" s="74"/>
      <c r="M462" s="74"/>
      <c r="N462" s="74"/>
      <c r="O462" s="74"/>
      <c r="P462" s="74"/>
      <c r="Q462" s="74"/>
      <c r="R462" s="74"/>
      <c r="S462" s="74"/>
      <c r="T462" s="74"/>
      <c r="U462" s="74"/>
      <c r="V462" s="74"/>
      <c r="W462" s="74"/>
      <c r="X462" s="74"/>
      <c r="Y462" s="74"/>
    </row>
    <row r="463" spans="1:25" x14ac:dyDescent="0.3">
      <c r="A463" s="66">
        <f t="shared" si="46"/>
        <v>2035.5999999999585</v>
      </c>
      <c r="B463" s="67">
        <f>LOOKUP(A463+0.01,Amounts!$A$4:$A$103,Amounts!$B$4:$B$103)*0.1*$A$2</f>
        <v>0</v>
      </c>
      <c r="C463" s="68">
        <f t="shared" si="51"/>
        <v>2992395.4285963499</v>
      </c>
      <c r="D463" s="67">
        <f t="array" ref="D463">SUM($B$7:$B458*$F$1009*EXP(-$F$1009*($A463-$A$7:$A458)))*$F$1010</f>
        <v>20591926.705909066</v>
      </c>
      <c r="E463" s="67">
        <f t="shared" si="49"/>
        <v>39.256690408272348</v>
      </c>
      <c r="F463" s="70">
        <f t="shared" si="47"/>
        <v>2.3836662415902969</v>
      </c>
      <c r="G463" s="67">
        <f>E463/'Lookup Tables'!$C$48</f>
        <v>78.513380816544696</v>
      </c>
      <c r="H463" s="70">
        <f t="shared" si="50"/>
        <v>6.8952506347954379E-3</v>
      </c>
      <c r="I463" s="71">
        <f t="shared" si="48"/>
        <v>0.11305926837582436</v>
      </c>
      <c r="L463" s="74"/>
      <c r="M463" s="74"/>
      <c r="N463" s="74"/>
      <c r="O463" s="74"/>
      <c r="P463" s="74"/>
      <c r="Q463" s="74"/>
      <c r="R463" s="74"/>
      <c r="S463" s="74"/>
      <c r="T463" s="74"/>
      <c r="U463" s="74"/>
      <c r="V463" s="74"/>
      <c r="W463" s="74"/>
      <c r="X463" s="74"/>
      <c r="Y463" s="74"/>
    </row>
    <row r="464" spans="1:25" x14ac:dyDescent="0.3">
      <c r="A464" s="66">
        <f t="shared" si="46"/>
        <v>2035.6999999999584</v>
      </c>
      <c r="B464" s="67">
        <f>LOOKUP(A464+0.01,Amounts!$A$4:$A$103,Amounts!$B$4:$B$103)*0.1*$A$2</f>
        <v>0</v>
      </c>
      <c r="C464" s="68">
        <f t="shared" si="51"/>
        <v>2992395.4285963499</v>
      </c>
      <c r="D464" s="67">
        <f t="array" ref="D464">SUM($B$7:$B459*$F$1009*EXP(-$F$1009*($A464-$A$7:$A459)))*$F$1010</f>
        <v>20305648.356338028</v>
      </c>
      <c r="E464" s="67">
        <f t="shared" si="49"/>
        <v>38.710926007485291</v>
      </c>
      <c r="F464" s="70">
        <f t="shared" si="47"/>
        <v>2.3505274271745069</v>
      </c>
      <c r="G464" s="67">
        <f>E464/'Lookup Tables'!$C$48</f>
        <v>77.421852014970582</v>
      </c>
      <c r="H464" s="70">
        <f t="shared" si="50"/>
        <v>6.7993897180488056E-3</v>
      </c>
      <c r="I464" s="71">
        <f t="shared" si="48"/>
        <v>0.11148746690155764</v>
      </c>
      <c r="L464" s="74"/>
      <c r="M464" s="74"/>
      <c r="N464" s="74"/>
      <c r="O464" s="74"/>
      <c r="P464" s="74"/>
      <c r="Q464" s="74"/>
      <c r="R464" s="74"/>
      <c r="S464" s="74"/>
      <c r="T464" s="74"/>
      <c r="U464" s="74"/>
      <c r="V464" s="74"/>
      <c r="W464" s="74"/>
      <c r="X464" s="74"/>
      <c r="Y464" s="74"/>
    </row>
    <row r="465" spans="1:25" x14ac:dyDescent="0.3">
      <c r="A465" s="66">
        <f t="shared" si="46"/>
        <v>2035.7999999999583</v>
      </c>
      <c r="B465" s="67">
        <f>LOOKUP(A465+0.01,Amounts!$A$4:$A$103,Amounts!$B$4:$B$103)*0.1*$A$2</f>
        <v>0</v>
      </c>
      <c r="C465" s="68">
        <f t="shared" si="51"/>
        <v>2992395.4285963499</v>
      </c>
      <c r="D465" s="67">
        <f t="array" ref="D465">SUM($B$7:$B460*$F$1009*EXP(-$F$1009*($A465-$A$7:$A460)))*$F$1010</f>
        <v>20023349.978850398</v>
      </c>
      <c r="E465" s="67">
        <f t="shared" si="49"/>
        <v>38.172749072123082</v>
      </c>
      <c r="F465" s="70">
        <f t="shared" si="47"/>
        <v>2.3178493236593134</v>
      </c>
      <c r="G465" s="67">
        <f>E465/'Lookup Tables'!$C$48</f>
        <v>76.345498144246164</v>
      </c>
      <c r="H465" s="70">
        <f t="shared" si="50"/>
        <v>6.704861503454165E-3</v>
      </c>
      <c r="I465" s="71">
        <f t="shared" si="48"/>
        <v>0.10993751732771448</v>
      </c>
      <c r="L465" s="74"/>
      <c r="M465" s="74"/>
      <c r="N465" s="74"/>
      <c r="O465" s="74"/>
      <c r="P465" s="74"/>
      <c r="Q465" s="74"/>
      <c r="R465" s="74"/>
      <c r="S465" s="74"/>
      <c r="T465" s="74"/>
      <c r="U465" s="74"/>
      <c r="V465" s="74"/>
      <c r="W465" s="74"/>
      <c r="X465" s="74"/>
      <c r="Y465" s="74"/>
    </row>
    <row r="466" spans="1:25" x14ac:dyDescent="0.3">
      <c r="A466" s="66">
        <f t="shared" si="46"/>
        <v>2035.8999999999583</v>
      </c>
      <c r="B466" s="67">
        <f>LOOKUP(A466+0.01,Amounts!$A$4:$A$103,Amounts!$B$4:$B$103)*0.1*$A$2</f>
        <v>0</v>
      </c>
      <c r="C466" s="68">
        <f t="shared" si="51"/>
        <v>2992395.4285963499</v>
      </c>
      <c r="D466" s="67">
        <f t="array" ref="D466">SUM($B$7:$B461*$F$1009*EXP(-$F$1009*($A466-$A$7:$A461)))*$F$1010</f>
        <v>19744976.24206046</v>
      </c>
      <c r="E466" s="67">
        <f t="shared" si="49"/>
        <v>37.642054117783488</v>
      </c>
      <c r="F466" s="70">
        <f t="shared" si="47"/>
        <v>2.2856255260318137</v>
      </c>
      <c r="G466" s="67">
        <f>E466/'Lookup Tables'!$C$48</f>
        <v>75.284108235566976</v>
      </c>
      <c r="H466" s="70">
        <f t="shared" si="50"/>
        <v>6.6116474631788364E-3</v>
      </c>
      <c r="I466" s="71">
        <f t="shared" si="48"/>
        <v>0.10840911585921646</v>
      </c>
      <c r="L466" s="74"/>
      <c r="M466" s="74"/>
      <c r="N466" s="74"/>
      <c r="O466" s="74"/>
      <c r="P466" s="74"/>
      <c r="Q466" s="74"/>
      <c r="R466" s="74"/>
      <c r="S466" s="74"/>
      <c r="T466" s="74"/>
      <c r="U466" s="74"/>
      <c r="V466" s="74"/>
      <c r="W466" s="74"/>
      <c r="X466" s="74"/>
      <c r="Y466" s="74"/>
    </row>
    <row r="467" spans="1:25" x14ac:dyDescent="0.3">
      <c r="A467" s="66">
        <f t="shared" ref="A467:A530" si="52">A466+0.1</f>
        <v>2035.9999999999582</v>
      </c>
      <c r="B467" s="67">
        <f>LOOKUP(A467+0.01,Amounts!$A$4:$A$103,Amounts!$B$4:$B$103)*0.1*$A$2</f>
        <v>0</v>
      </c>
      <c r="C467" s="68">
        <f t="shared" si="51"/>
        <v>2992395.4285963499</v>
      </c>
      <c r="D467" s="67">
        <f t="array" ref="D467">SUM($B$7:$B462*$F$1009*EXP(-$F$1009*($A467-$A$7:$A462)))*$F$1010</f>
        <v>19470472.58382462</v>
      </c>
      <c r="E467" s="67">
        <f t="shared" si="49"/>
        <v>37.118737126556525</v>
      </c>
      <c r="F467" s="70">
        <f t="shared" ref="F467:F530" si="53">E467*60*1012/1000000</f>
        <v>2.2538497183245121</v>
      </c>
      <c r="G467" s="67">
        <f>E467/'Lookup Tables'!$C$48</f>
        <v>74.237474253113049</v>
      </c>
      <c r="H467" s="70">
        <f t="shared" si="50"/>
        <v>6.5197293269725143E-3</v>
      </c>
      <c r="I467" s="71">
        <f t="shared" ref="I467:I530" si="54">G467*60*24/1000000</f>
        <v>0.1069019629244828</v>
      </c>
      <c r="L467" s="74"/>
      <c r="M467" s="74"/>
      <c r="N467" s="74"/>
      <c r="O467" s="74"/>
      <c r="P467" s="74"/>
      <c r="Q467" s="74"/>
      <c r="R467" s="74"/>
      <c r="S467" s="74"/>
      <c r="T467" s="74"/>
      <c r="U467" s="74"/>
      <c r="V467" s="74"/>
      <c r="W467" s="74"/>
      <c r="X467" s="74"/>
      <c r="Y467" s="74"/>
    </row>
    <row r="468" spans="1:25" x14ac:dyDescent="0.3">
      <c r="A468" s="66">
        <f t="shared" si="52"/>
        <v>2036.0999999999581</v>
      </c>
      <c r="B468" s="67">
        <f>LOOKUP(A468+0.01,Amounts!$A$4:$A$103,Amounts!$B$4:$B$103)*0.1*$A$2</f>
        <v>0</v>
      </c>
      <c r="C468" s="68">
        <f t="shared" si="51"/>
        <v>2992395.4285963499</v>
      </c>
      <c r="D468" s="67">
        <f t="array" ref="D468">SUM($B$7:$B463*$F$1009*EXP(-$F$1009*($A468-$A$7:$A463)))*$F$1010</f>
        <v>19199785.20054708</v>
      </c>
      <c r="E468" s="67">
        <f t="shared" si="49"/>
        <v>36.602695526636573</v>
      </c>
      <c r="F468" s="70">
        <f t="shared" si="53"/>
        <v>2.2225156723773725</v>
      </c>
      <c r="G468" s="67">
        <f>E468/'Lookup Tables'!$C$48</f>
        <v>73.205391053273146</v>
      </c>
      <c r="H468" s="70">
        <f t="shared" si="50"/>
        <v>6.4290890785862389E-3</v>
      </c>
      <c r="I468" s="71">
        <f t="shared" si="54"/>
        <v>0.10541576311671333</v>
      </c>
      <c r="L468" s="74"/>
      <c r="M468" s="74"/>
      <c r="N468" s="74"/>
      <c r="O468" s="74"/>
      <c r="P468" s="74"/>
      <c r="Q468" s="74"/>
      <c r="R468" s="74"/>
      <c r="S468" s="74"/>
      <c r="T468" s="74"/>
      <c r="U468" s="74"/>
      <c r="V468" s="74"/>
      <c r="W468" s="74"/>
      <c r="X468" s="74"/>
      <c r="Y468" s="74"/>
    </row>
    <row r="469" spans="1:25" x14ac:dyDescent="0.3">
      <c r="A469" s="66">
        <f t="shared" si="52"/>
        <v>2036.199999999958</v>
      </c>
      <c r="B469" s="67">
        <f>LOOKUP(A469+0.01,Amounts!$A$4:$A$103,Amounts!$B$4:$B$103)*0.1*$A$2</f>
        <v>0</v>
      </c>
      <c r="C469" s="68">
        <f t="shared" si="51"/>
        <v>2992395.4285963499</v>
      </c>
      <c r="D469" s="67">
        <f t="array" ref="D469">SUM($B$7:$B464*$F$1009*EXP(-$F$1009*($A469-$A$7:$A464)))*$F$1010</f>
        <v>18932861.036634166</v>
      </c>
      <c r="E469" s="67">
        <f t="shared" si="49"/>
        <v>36.093828172218039</v>
      </c>
      <c r="F469" s="70">
        <f t="shared" si="53"/>
        <v>2.1916172466170791</v>
      </c>
      <c r="G469" s="67">
        <f>E469/'Lookup Tables'!$C$48</f>
        <v>72.187656344436078</v>
      </c>
      <c r="H469" s="70">
        <f t="shared" si="50"/>
        <v>6.3397089522411586E-3</v>
      </c>
      <c r="I469" s="71">
        <f t="shared" si="54"/>
        <v>0.10395022513598795</v>
      </c>
      <c r="L469" s="74"/>
      <c r="M469" s="74"/>
      <c r="N469" s="74"/>
      <c r="O469" s="74"/>
      <c r="P469" s="74"/>
      <c r="Q469" s="74"/>
      <c r="R469" s="74"/>
      <c r="S469" s="74"/>
      <c r="T469" s="74"/>
      <c r="U469" s="74"/>
      <c r="V469" s="74"/>
      <c r="W469" s="74"/>
      <c r="X469" s="74"/>
      <c r="Y469" s="74"/>
    </row>
    <row r="470" spans="1:25" x14ac:dyDescent="0.3">
      <c r="A470" s="66">
        <f t="shared" si="52"/>
        <v>2036.2999999999579</v>
      </c>
      <c r="B470" s="67">
        <f>LOOKUP(A470+0.01,Amounts!$A$4:$A$103,Amounts!$B$4:$B$103)*0.1*$A$2</f>
        <v>0</v>
      </c>
      <c r="C470" s="68">
        <f t="shared" si="51"/>
        <v>2992395.4285963499</v>
      </c>
      <c r="D470" s="67">
        <f t="array" ref="D470">SUM($B$7:$B465*$F$1009*EXP(-$F$1009*($A470-$A$7:$A465)))*$F$1010</f>
        <v>18669647.774095211</v>
      </c>
      <c r="E470" s="67">
        <f t="shared" si="49"/>
        <v>35.592035323670366</v>
      </c>
      <c r="F470" s="70">
        <f t="shared" si="53"/>
        <v>2.1611483848532642</v>
      </c>
      <c r="G470" s="67">
        <f>E470/'Lookup Tables'!$C$48</f>
        <v>71.184070647340732</v>
      </c>
      <c r="H470" s="70">
        <f t="shared" si="50"/>
        <v>6.2515714291463687E-3</v>
      </c>
      <c r="I470" s="71">
        <f t="shared" si="54"/>
        <v>0.10250506173217064</v>
      </c>
      <c r="L470" s="74"/>
      <c r="M470" s="74"/>
      <c r="N470" s="74"/>
      <c r="O470" s="74"/>
      <c r="P470" s="74"/>
      <c r="Q470" s="74"/>
      <c r="R470" s="74"/>
      <c r="S470" s="74"/>
      <c r="T470" s="74"/>
      <c r="U470" s="74"/>
      <c r="V470" s="74"/>
      <c r="W470" s="74"/>
      <c r="X470" s="74"/>
      <c r="Y470" s="74"/>
    </row>
    <row r="471" spans="1:25" x14ac:dyDescent="0.3">
      <c r="A471" s="66">
        <f t="shared" si="52"/>
        <v>2036.3999999999578</v>
      </c>
      <c r="B471" s="67">
        <f>LOOKUP(A471+0.01,Amounts!$A$4:$A$103,Amounts!$B$4:$B$103)*0.1*$A$2</f>
        <v>0</v>
      </c>
      <c r="C471" s="68">
        <f t="shared" si="51"/>
        <v>2992395.4285963499</v>
      </c>
      <c r="D471" s="67">
        <f t="array" ref="D471">SUM($B$7:$B466*$F$1009*EXP(-$F$1009*($A471-$A$7:$A466)))*$F$1010</f>
        <v>18410093.822288122</v>
      </c>
      <c r="E471" s="67">
        <f t="shared" si="49"/>
        <v>35.097218627988816</v>
      </c>
      <c r="F471" s="70">
        <f t="shared" si="53"/>
        <v>2.1311031150914808</v>
      </c>
      <c r="G471" s="67">
        <f>E471/'Lookup Tables'!$C$48</f>
        <v>70.194437255977633</v>
      </c>
      <c r="H471" s="70">
        <f t="shared" si="50"/>
        <v>6.1646592340651816E-3</v>
      </c>
      <c r="I471" s="71">
        <f t="shared" si="54"/>
        <v>0.10107998964860779</v>
      </c>
      <c r="L471" s="74"/>
      <c r="M471" s="74"/>
      <c r="N471" s="74"/>
      <c r="O471" s="74"/>
      <c r="P471" s="74"/>
      <c r="Q471" s="74"/>
      <c r="R471" s="74"/>
      <c r="S471" s="74"/>
      <c r="T471" s="74"/>
      <c r="U471" s="74"/>
      <c r="V471" s="74"/>
      <c r="W471" s="74"/>
      <c r="X471" s="74"/>
      <c r="Y471" s="74"/>
    </row>
    <row r="472" spans="1:25" x14ac:dyDescent="0.3">
      <c r="A472" s="66">
        <f t="shared" si="52"/>
        <v>2036.4999999999577</v>
      </c>
      <c r="B472" s="67">
        <f>LOOKUP(A472+0.01,Amounts!$A$4:$A$103,Amounts!$B$4:$B$103)*0.1*$A$2</f>
        <v>0</v>
      </c>
      <c r="C472" s="68">
        <f t="shared" si="51"/>
        <v>2992395.4285963499</v>
      </c>
      <c r="D472" s="67">
        <f t="array" ref="D472">SUM($B$7:$B467*$F$1009*EXP(-$F$1009*($A472-$A$7:$A467)))*$F$1010</f>
        <v>18154148.307807434</v>
      </c>
      <c r="E472" s="67">
        <f t="shared" si="49"/>
        <v>34.609281099516984</v>
      </c>
      <c r="F472" s="70">
        <f t="shared" si="53"/>
        <v>2.101475548362671</v>
      </c>
      <c r="G472" s="67">
        <f>E472/'Lookup Tables'!$C$48</f>
        <v>69.218562199033968</v>
      </c>
      <c r="H472" s="70">
        <f t="shared" si="50"/>
        <v>6.078955331929127E-3</v>
      </c>
      <c r="I472" s="71">
        <f t="shared" si="54"/>
        <v>9.9674729566608902E-2</v>
      </c>
      <c r="L472" s="74"/>
      <c r="M472" s="74"/>
      <c r="N472" s="74"/>
      <c r="O472" s="74"/>
      <c r="P472" s="74"/>
      <c r="Q472" s="74"/>
      <c r="R472" s="74"/>
      <c r="S472" s="74"/>
      <c r="T472" s="74"/>
      <c r="U472" s="74"/>
      <c r="V472" s="74"/>
      <c r="W472" s="74"/>
      <c r="X472" s="74"/>
      <c r="Y472" s="74"/>
    </row>
    <row r="473" spans="1:25" x14ac:dyDescent="0.3">
      <c r="A473" s="66">
        <f t="shared" si="52"/>
        <v>2036.5999999999576</v>
      </c>
      <c r="B473" s="67">
        <f>LOOKUP(A473+0.01,Amounts!$A$4:$A$103,Amounts!$B$4:$B$103)*0.1*$A$2</f>
        <v>0</v>
      </c>
      <c r="C473" s="68">
        <f t="shared" si="51"/>
        <v>2992395.4285963499</v>
      </c>
      <c r="D473" s="67">
        <f t="array" ref="D473">SUM($B$7:$B468*$F$1009*EXP(-$F$1009*($A473-$A$7:$A468)))*$F$1010</f>
        <v>17901761.064512927</v>
      </c>
      <c r="E473" s="67">
        <f t="shared" si="49"/>
        <v>34.128127100937213</v>
      </c>
      <c r="F473" s="70">
        <f t="shared" si="53"/>
        <v>2.0722598775689076</v>
      </c>
      <c r="G473" s="67">
        <f>E473/'Lookup Tables'!$C$48</f>
        <v>68.256254201874427</v>
      </c>
      <c r="H473" s="70">
        <f t="shared" si="50"/>
        <v>5.994442924499019E-3</v>
      </c>
      <c r="I473" s="71">
        <f t="shared" si="54"/>
        <v>9.8289006050699165E-2</v>
      </c>
      <c r="L473" s="74"/>
      <c r="M473" s="74"/>
      <c r="N473" s="74"/>
      <c r="O473" s="74"/>
      <c r="P473" s="74"/>
      <c r="Q473" s="74"/>
      <c r="R473" s="74"/>
      <c r="S473" s="74"/>
      <c r="T473" s="74"/>
      <c r="U473" s="74"/>
      <c r="V473" s="74"/>
      <c r="W473" s="74"/>
      <c r="X473" s="74"/>
      <c r="Y473" s="74"/>
    </row>
    <row r="474" spans="1:25" x14ac:dyDescent="0.3">
      <c r="A474" s="66">
        <f t="shared" si="52"/>
        <v>2036.6999999999575</v>
      </c>
      <c r="B474" s="67">
        <f>LOOKUP(A474+0.01,Amounts!$A$4:$A$103,Amounts!$B$4:$B$103)*0.1*$A$2</f>
        <v>0</v>
      </c>
      <c r="C474" s="68">
        <f t="shared" si="51"/>
        <v>2992395.4285963499</v>
      </c>
      <c r="D474" s="67">
        <f t="array" ref="D474">SUM($B$7:$B469*$F$1009*EXP(-$F$1009*($A474-$A$7:$A469)))*$F$1010</f>
        <v>17652882.623696942</v>
      </c>
      <c r="E474" s="67">
        <f t="shared" si="49"/>
        <v>33.653662324525442</v>
      </c>
      <c r="F474" s="70">
        <f t="shared" si="53"/>
        <v>2.0434503763451848</v>
      </c>
      <c r="G474" s="67">
        <f>E474/'Lookup Tables'!$C$48</f>
        <v>67.307324649050884</v>
      </c>
      <c r="H474" s="70">
        <f t="shared" si="50"/>
        <v>5.9111054470724466E-3</v>
      </c>
      <c r="I474" s="71">
        <f t="shared" si="54"/>
        <v>9.6922547494633263E-2</v>
      </c>
      <c r="L474" s="74"/>
      <c r="M474" s="74"/>
      <c r="N474" s="74"/>
      <c r="O474" s="74"/>
      <c r="P474" s="74"/>
      <c r="Q474" s="74"/>
      <c r="R474" s="74"/>
      <c r="S474" s="74"/>
      <c r="T474" s="74"/>
      <c r="U474" s="74"/>
      <c r="V474" s="74"/>
      <c r="W474" s="74"/>
      <c r="X474" s="74"/>
      <c r="Y474" s="74"/>
    </row>
    <row r="475" spans="1:25" x14ac:dyDescent="0.3">
      <c r="A475" s="66">
        <f t="shared" si="52"/>
        <v>2036.7999999999574</v>
      </c>
      <c r="B475" s="67">
        <f>LOOKUP(A475+0.01,Amounts!$A$4:$A$103,Amounts!$B$4:$B$103)*0.1*$A$2</f>
        <v>0</v>
      </c>
      <c r="C475" s="68">
        <f t="shared" si="51"/>
        <v>2992395.4285963499</v>
      </c>
      <c r="D475" s="67">
        <f t="array" ref="D475">SUM($B$7:$B470*$F$1009*EXP(-$F$1009*($A475-$A$7:$A470)))*$F$1010</f>
        <v>17407464.20438832</v>
      </c>
      <c r="E475" s="67">
        <f t="shared" si="49"/>
        <v>33.185793773666553</v>
      </c>
      <c r="F475" s="70">
        <f t="shared" si="53"/>
        <v>2.0150413979370332</v>
      </c>
      <c r="G475" s="67">
        <f>E475/'Lookup Tables'!$C$48</f>
        <v>66.371587547333107</v>
      </c>
      <c r="H475" s="70">
        <f t="shared" si="50"/>
        <v>5.8289265652370394E-3</v>
      </c>
      <c r="I475" s="71">
        <f t="shared" si="54"/>
        <v>9.5575086068159662E-2</v>
      </c>
      <c r="L475" s="74"/>
      <c r="M475" s="74"/>
      <c r="N475" s="74"/>
      <c r="O475" s="74"/>
      <c r="P475" s="74"/>
      <c r="Q475" s="74"/>
      <c r="R475" s="74"/>
      <c r="S475" s="74"/>
      <c r="T475" s="74"/>
      <c r="U475" s="74"/>
      <c r="V475" s="74"/>
      <c r="W475" s="74"/>
      <c r="X475" s="74"/>
      <c r="Y475" s="74"/>
    </row>
    <row r="476" spans="1:25" x14ac:dyDescent="0.3">
      <c r="A476" s="66">
        <f t="shared" si="52"/>
        <v>2036.8999999999573</v>
      </c>
      <c r="B476" s="67">
        <f>LOOKUP(A476+0.01,Amounts!$A$4:$A$103,Amounts!$B$4:$B$103)*0.1*$A$2</f>
        <v>0</v>
      </c>
      <c r="C476" s="68">
        <f t="shared" si="51"/>
        <v>2992395.4285963499</v>
      </c>
      <c r="D476" s="67">
        <f t="array" ref="D476">SUM($B$7:$B471*$F$1009*EXP(-$F$1009*($A476-$A$7:$A471)))*$F$1010</f>
        <v>17165457.703791216</v>
      </c>
      <c r="E476" s="67">
        <f t="shared" si="49"/>
        <v>32.724429744626782</v>
      </c>
      <c r="F476" s="70">
        <f t="shared" si="53"/>
        <v>1.9870273740937381</v>
      </c>
      <c r="G476" s="67">
        <f>E476/'Lookup Tables'!$C$48</f>
        <v>65.448859489253564</v>
      </c>
      <c r="H476" s="70">
        <f t="shared" si="50"/>
        <v>5.7478901716688765E-3</v>
      </c>
      <c r="I476" s="71">
        <f t="shared" si="54"/>
        <v>9.4246357664525132E-2</v>
      </c>
      <c r="L476" s="74"/>
      <c r="M476" s="74"/>
      <c r="N476" s="74"/>
      <c r="O476" s="74"/>
      <c r="P476" s="74"/>
      <c r="Q476" s="74"/>
      <c r="R476" s="74"/>
      <c r="S476" s="74"/>
      <c r="T476" s="74"/>
      <c r="U476" s="74"/>
      <c r="V476" s="74"/>
      <c r="W476" s="74"/>
      <c r="X476" s="74"/>
      <c r="Y476" s="74"/>
    </row>
    <row r="477" spans="1:25" x14ac:dyDescent="0.3">
      <c r="A477" s="66">
        <f t="shared" si="52"/>
        <v>2036.9999999999573</v>
      </c>
      <c r="B477" s="67">
        <f>LOOKUP(A477+0.01,Amounts!$A$4:$A$103,Amounts!$B$4:$B$103)*0.1*$A$2</f>
        <v>0</v>
      </c>
      <c r="C477" s="68">
        <f t="shared" si="51"/>
        <v>2992395.4285963499</v>
      </c>
      <c r="D477" s="67">
        <f t="array" ref="D477">SUM($B$7:$B472*$F$1009*EXP(-$F$1009*($A477-$A$7:$A472)))*$F$1010</f>
        <v>16926815.687856756</v>
      </c>
      <c r="E477" s="67">
        <f t="shared" si="49"/>
        <v>32.269479808579433</v>
      </c>
      <c r="F477" s="70">
        <f t="shared" si="53"/>
        <v>1.9594028139769433</v>
      </c>
      <c r="G477" s="67">
        <f>E477/'Lookup Tables'!$C$48</f>
        <v>64.538959617158866</v>
      </c>
      <c r="H477" s="70">
        <f t="shared" si="50"/>
        <v>5.6679803829753914E-3</v>
      </c>
      <c r="I477" s="71">
        <f t="shared" si="54"/>
        <v>9.2936101848708777E-2</v>
      </c>
      <c r="L477" s="74"/>
      <c r="M477" s="74"/>
      <c r="N477" s="74"/>
      <c r="O477" s="74"/>
      <c r="P477" s="74"/>
      <c r="Q477" s="74"/>
      <c r="R477" s="74"/>
      <c r="S477" s="74"/>
      <c r="T477" s="74"/>
      <c r="U477" s="74"/>
      <c r="V477" s="74"/>
      <c r="W477" s="74"/>
      <c r="X477" s="74"/>
      <c r="Y477" s="74"/>
    </row>
    <row r="478" spans="1:25" x14ac:dyDescent="0.3">
      <c r="A478" s="66">
        <f t="shared" si="52"/>
        <v>2037.0999999999572</v>
      </c>
      <c r="B478" s="67">
        <f>LOOKUP(A478+0.01,Amounts!$A$4:$A$103,Amounts!$B$4:$B$103)*0.1*$A$2</f>
        <v>0</v>
      </c>
      <c r="C478" s="68">
        <f t="shared" si="51"/>
        <v>2992395.4285963499</v>
      </c>
      <c r="D478" s="67">
        <f t="array" ref="D478">SUM($B$7:$B473*$F$1009*EXP(-$F$1009*($A478-$A$7:$A473)))*$F$1010</f>
        <v>16691491.381985849</v>
      </c>
      <c r="E478" s="67">
        <f t="shared" si="49"/>
        <v>31.820854793880596</v>
      </c>
      <c r="F478" s="70">
        <f t="shared" si="53"/>
        <v>1.9321623030844297</v>
      </c>
      <c r="G478" s="67">
        <f>E478/'Lookup Tables'!$C$48</f>
        <v>63.641709587761191</v>
      </c>
      <c r="H478" s="70">
        <f t="shared" si="50"/>
        <v>5.5891815365821818E-3</v>
      </c>
      <c r="I478" s="71">
        <f t="shared" si="54"/>
        <v>9.1644061806376118E-2</v>
      </c>
      <c r="L478" s="74"/>
      <c r="M478" s="74"/>
      <c r="N478" s="74"/>
      <c r="O478" s="74"/>
      <c r="P478" s="74"/>
      <c r="Q478" s="74"/>
      <c r="R478" s="74"/>
      <c r="S478" s="74"/>
      <c r="T478" s="74"/>
      <c r="U478" s="74"/>
      <c r="V478" s="74"/>
      <c r="W478" s="74"/>
      <c r="X478" s="74"/>
      <c r="Y478" s="74"/>
    </row>
    <row r="479" spans="1:25" x14ac:dyDescent="0.3">
      <c r="A479" s="66">
        <f t="shared" si="52"/>
        <v>2037.1999999999571</v>
      </c>
      <c r="B479" s="67">
        <f>LOOKUP(A479+0.01,Amounts!$A$4:$A$103,Amounts!$B$4:$B$103)*0.1*$A$2</f>
        <v>0</v>
      </c>
      <c r="C479" s="68">
        <f t="shared" si="51"/>
        <v>2992395.4285963499</v>
      </c>
      <c r="D479" s="67">
        <f t="array" ref="D479">SUM($B$7:$B474*$F$1009*EXP(-$F$1009*($A479-$A$7:$A474)))*$F$1010</f>
        <v>16459438.661861179</v>
      </c>
      <c r="E479" s="67">
        <f t="shared" si="49"/>
        <v>31.378466768591174</v>
      </c>
      <c r="F479" s="70">
        <f t="shared" si="53"/>
        <v>1.905300502188856</v>
      </c>
      <c r="G479" s="67">
        <f>E479/'Lookup Tables'!$C$48</f>
        <v>62.756933537182348</v>
      </c>
      <c r="H479" s="70">
        <f t="shared" si="50"/>
        <v>5.5114781876630893E-3</v>
      </c>
      <c r="I479" s="71">
        <f t="shared" si="54"/>
        <v>9.036998429354258E-2</v>
      </c>
      <c r="L479" s="74"/>
      <c r="M479" s="74"/>
      <c r="N479" s="74"/>
      <c r="O479" s="74"/>
      <c r="P479" s="74"/>
      <c r="Q479" s="74"/>
      <c r="R479" s="74"/>
      <c r="S479" s="74"/>
      <c r="T479" s="74"/>
      <c r="U479" s="74"/>
      <c r="V479" s="74"/>
      <c r="W479" s="74"/>
      <c r="X479" s="74"/>
      <c r="Y479" s="74"/>
    </row>
    <row r="480" spans="1:25" x14ac:dyDescent="0.3">
      <c r="A480" s="66">
        <f t="shared" si="52"/>
        <v>2037.299999999957</v>
      </c>
      <c r="B480" s="67">
        <f>LOOKUP(A480+0.01,Amounts!$A$4:$A$103,Amounts!$B$4:$B$103)*0.1*$A$2</f>
        <v>0</v>
      </c>
      <c r="C480" s="68">
        <f t="shared" si="51"/>
        <v>2992395.4285963499</v>
      </c>
      <c r="D480" s="67">
        <f t="array" ref="D480">SUM($B$7:$B475*$F$1009*EXP(-$F$1009*($A480-$A$7:$A475)))*$F$1010</f>
        <v>16230612.044406716</v>
      </c>
      <c r="E480" s="67">
        <f t="shared" si="49"/>
        <v>30.942229023241961</v>
      </c>
      <c r="F480" s="70">
        <f t="shared" si="53"/>
        <v>1.8788121462912517</v>
      </c>
      <c r="G480" s="67">
        <f>E480/'Lookup Tables'!$C$48</f>
        <v>61.884458046483921</v>
      </c>
      <c r="H480" s="70">
        <f t="shared" si="50"/>
        <v>5.4348551061129671E-3</v>
      </c>
      <c r="I480" s="71">
        <f t="shared" si="54"/>
        <v>8.9113619586936837E-2</v>
      </c>
      <c r="L480" s="74"/>
      <c r="M480" s="74"/>
      <c r="N480" s="74"/>
      <c r="O480" s="74"/>
      <c r="P480" s="74"/>
      <c r="Q480" s="74"/>
      <c r="R480" s="74"/>
      <c r="S480" s="74"/>
      <c r="T480" s="74"/>
      <c r="U480" s="74"/>
      <c r="V480" s="74"/>
      <c r="W480" s="74"/>
      <c r="X480" s="74"/>
      <c r="Y480" s="74"/>
    </row>
    <row r="481" spans="1:25" x14ac:dyDescent="0.3">
      <c r="A481" s="66">
        <f t="shared" si="52"/>
        <v>2037.3999999999569</v>
      </c>
      <c r="B481" s="67">
        <f>LOOKUP(A481+0.01,Amounts!$A$4:$A$103,Amounts!$B$4:$B$103)*0.1*$A$2</f>
        <v>0</v>
      </c>
      <c r="C481" s="68">
        <f t="shared" si="51"/>
        <v>2992395.4285963499</v>
      </c>
      <c r="D481" s="67">
        <f t="array" ref="D481">SUM($B$7:$B476*$F$1009*EXP(-$F$1009*($A481-$A$7:$A476)))*$F$1010</f>
        <v>16004966.678872896</v>
      </c>
      <c r="E481" s="67">
        <f t="shared" si="49"/>
        <v>30.512056053838339</v>
      </c>
      <c r="F481" s="70">
        <f t="shared" si="53"/>
        <v>1.8526920435890639</v>
      </c>
      <c r="G481" s="67">
        <f>E481/'Lookup Tables'!$C$48</f>
        <v>61.024112107676679</v>
      </c>
      <c r="H481" s="70">
        <f t="shared" si="50"/>
        <v>5.3592972735625414E-3</v>
      </c>
      <c r="I481" s="71">
        <f t="shared" si="54"/>
        <v>8.7874721435054412E-2</v>
      </c>
      <c r="L481" s="74"/>
      <c r="M481" s="74"/>
      <c r="N481" s="74"/>
      <c r="O481" s="74"/>
      <c r="P481" s="74"/>
      <c r="Q481" s="74"/>
      <c r="R481" s="74"/>
      <c r="S481" s="74"/>
      <c r="T481" s="74"/>
      <c r="U481" s="74"/>
      <c r="V481" s="74"/>
      <c r="W481" s="74"/>
      <c r="X481" s="74"/>
      <c r="Y481" s="74"/>
    </row>
    <row r="482" spans="1:25" x14ac:dyDescent="0.3">
      <c r="A482" s="66">
        <f t="shared" si="52"/>
        <v>2037.4999999999568</v>
      </c>
      <c r="B482" s="67">
        <f>LOOKUP(A482+0.01,Amounts!$A$4:$A$103,Amounts!$B$4:$B$103)*0.1*$A$2</f>
        <v>0</v>
      </c>
      <c r="C482" s="68">
        <f t="shared" si="51"/>
        <v>2992395.4285963499</v>
      </c>
      <c r="D482" s="67">
        <f t="array" ref="D482">SUM($B$7:$B477*$F$1009*EXP(-$F$1009*($A482-$A$7:$A477)))*$F$1010</f>
        <v>15782458.3380457</v>
      </c>
      <c r="E482" s="67">
        <f t="shared" si="49"/>
        <v>30.087863545101165</v>
      </c>
      <c r="F482" s="70">
        <f t="shared" si="53"/>
        <v>1.8269350744585426</v>
      </c>
      <c r="G482" s="67">
        <f>E482/'Lookup Tables'!$C$48</f>
        <v>60.175727090202329</v>
      </c>
      <c r="H482" s="70">
        <f t="shared" si="50"/>
        <v>5.2847898804347423E-3</v>
      </c>
      <c r="I482" s="71">
        <f t="shared" si="54"/>
        <v>8.6653047009891349E-2</v>
      </c>
      <c r="L482" s="74"/>
      <c r="M482" s="74"/>
      <c r="N482" s="74"/>
      <c r="O482" s="74"/>
      <c r="P482" s="74"/>
      <c r="Q482" s="74"/>
      <c r="R482" s="74"/>
      <c r="S482" s="74"/>
      <c r="T482" s="74"/>
      <c r="U482" s="74"/>
      <c r="V482" s="74"/>
      <c r="W482" s="74"/>
      <c r="X482" s="74"/>
      <c r="Y482" s="74"/>
    </row>
    <row r="483" spans="1:25" x14ac:dyDescent="0.3">
      <c r="A483" s="66">
        <f t="shared" si="52"/>
        <v>2037.5999999999567</v>
      </c>
      <c r="B483" s="67">
        <f>LOOKUP(A483+0.01,Amounts!$A$4:$A$103,Amounts!$B$4:$B$103)*0.1*$A$2</f>
        <v>0</v>
      </c>
      <c r="C483" s="68">
        <f t="shared" si="51"/>
        <v>2992395.4285963499</v>
      </c>
      <c r="D483" s="67">
        <f t="array" ref="D483">SUM($B$7:$B478*$F$1009*EXP(-$F$1009*($A483-$A$7:$A478)))*$F$1010</f>
        <v>15563043.40957799</v>
      </c>
      <c r="E483" s="67">
        <f t="shared" si="49"/>
        <v>29.669568353940722</v>
      </c>
      <c r="F483" s="70">
        <f t="shared" si="53"/>
        <v>1.8015361904512806</v>
      </c>
      <c r="G483" s="67">
        <f>E483/'Lookup Tables'!$C$48</f>
        <v>59.339136707881444</v>
      </c>
      <c r="H483" s="70">
        <f t="shared" si="50"/>
        <v>5.2113183230419885E-3</v>
      </c>
      <c r="I483" s="71">
        <f t="shared" si="54"/>
        <v>8.5448356859349262E-2</v>
      </c>
      <c r="L483" s="74"/>
      <c r="M483" s="74"/>
      <c r="N483" s="74"/>
      <c r="O483" s="74"/>
      <c r="P483" s="74"/>
      <c r="Q483" s="74"/>
      <c r="R483" s="74"/>
      <c r="S483" s="74"/>
      <c r="T483" s="74"/>
      <c r="U483" s="74"/>
      <c r="V483" s="74"/>
      <c r="W483" s="74"/>
      <c r="X483" s="74"/>
      <c r="Y483" s="74"/>
    </row>
    <row r="484" spans="1:25" x14ac:dyDescent="0.3">
      <c r="A484" s="66">
        <f t="shared" si="52"/>
        <v>2037.6999999999566</v>
      </c>
      <c r="B484" s="67">
        <f>LOOKUP(A484+0.01,Amounts!$A$4:$A$103,Amounts!$B$4:$B$103)*0.1*$A$2</f>
        <v>0</v>
      </c>
      <c r="C484" s="68">
        <f t="shared" si="51"/>
        <v>2992395.4285963499</v>
      </c>
      <c r="D484" s="67">
        <f t="array" ref="D484">SUM($B$7:$B479*$F$1009*EXP(-$F$1009*($A484-$A$7:$A479)))*$F$1010</f>
        <v>15346678.887441369</v>
      </c>
      <c r="E484" s="67">
        <f t="shared" si="49"/>
        <v>29.257088493160442</v>
      </c>
      <c r="F484" s="70">
        <f t="shared" si="53"/>
        <v>1.7764904133047021</v>
      </c>
      <c r="G484" s="67">
        <f>E484/'Lookup Tables'!$C$48</f>
        <v>58.514176986320884</v>
      </c>
      <c r="H484" s="70">
        <f t="shared" si="50"/>
        <v>5.1388682007238269E-3</v>
      </c>
      <c r="I484" s="71">
        <f t="shared" si="54"/>
        <v>8.4260414860302071E-2</v>
      </c>
      <c r="L484" s="74"/>
      <c r="M484" s="74"/>
      <c r="N484" s="74"/>
      <c r="O484" s="74"/>
      <c r="P484" s="74"/>
      <c r="Q484" s="74"/>
      <c r="R484" s="74"/>
      <c r="S484" s="74"/>
      <c r="T484" s="74"/>
      <c r="U484" s="74"/>
      <c r="V484" s="74"/>
      <c r="W484" s="74"/>
      <c r="X484" s="74"/>
      <c r="Y484" s="74"/>
    </row>
    <row r="485" spans="1:25" x14ac:dyDescent="0.3">
      <c r="A485" s="66">
        <f t="shared" si="52"/>
        <v>2037.7999999999565</v>
      </c>
      <c r="B485" s="67">
        <f>LOOKUP(A485+0.01,Amounts!$A$4:$A$103,Amounts!$B$4:$B$103)*0.1*$A$2</f>
        <v>0</v>
      </c>
      <c r="C485" s="68">
        <f t="shared" si="51"/>
        <v>2992395.4285963499</v>
      </c>
      <c r="D485" s="67">
        <f t="array" ref="D485">SUM($B$7:$B480*$F$1009*EXP(-$F$1009*($A485-$A$7:$A480)))*$F$1010</f>
        <v>15133322.363496836</v>
      </c>
      <c r="E485" s="67">
        <f t="shared" si="49"/>
        <v>28.850343115387112</v>
      </c>
      <c r="F485" s="70">
        <f t="shared" si="53"/>
        <v>1.7517928339663056</v>
      </c>
      <c r="G485" s="67">
        <f>E485/'Lookup Tables'!$C$48</f>
        <v>57.700686230774224</v>
      </c>
      <c r="H485" s="70">
        <f t="shared" si="50"/>
        <v>5.0674253130243421E-3</v>
      </c>
      <c r="I485" s="71">
        <f t="shared" si="54"/>
        <v>8.3088988172314887E-2</v>
      </c>
      <c r="L485" s="74"/>
      <c r="M485" s="74"/>
      <c r="N485" s="74"/>
      <c r="O485" s="74"/>
      <c r="P485" s="74"/>
      <c r="Q485" s="74"/>
      <c r="R485" s="74"/>
      <c r="S485" s="74"/>
      <c r="T485" s="74"/>
      <c r="U485" s="74"/>
      <c r="V485" s="74"/>
      <c r="W485" s="74"/>
      <c r="X485" s="74"/>
      <c r="Y485" s="74"/>
    </row>
    <row r="486" spans="1:25" x14ac:dyDescent="0.3">
      <c r="A486" s="66">
        <f t="shared" si="52"/>
        <v>2037.8999999999564</v>
      </c>
      <c r="B486" s="67">
        <f>LOOKUP(A486+0.01,Amounts!$A$4:$A$103,Amounts!$B$4:$B$103)*0.1*$A$2</f>
        <v>0</v>
      </c>
      <c r="C486" s="68">
        <f t="shared" si="51"/>
        <v>2992395.4285963499</v>
      </c>
      <c r="D486" s="67">
        <f t="array" ref="D486">SUM($B$7:$B481*$F$1009*EXP(-$F$1009*($A486-$A$7:$A481)))*$F$1010</f>
        <v>14922932.019182667</v>
      </c>
      <c r="E486" s="67">
        <f t="shared" si="49"/>
        <v>28.449252497224553</v>
      </c>
      <c r="F486" s="70">
        <f t="shared" si="53"/>
        <v>1.7274386116314746</v>
      </c>
      <c r="G486" s="67">
        <f>E486/'Lookup Tables'!$C$48</f>
        <v>56.898504994449105</v>
      </c>
      <c r="H486" s="70">
        <f t="shared" si="50"/>
        <v>4.9969756569088301E-3</v>
      </c>
      <c r="I486" s="71">
        <f t="shared" si="54"/>
        <v>8.1933847192006706E-2</v>
      </c>
      <c r="L486" s="74"/>
      <c r="M486" s="74"/>
      <c r="N486" s="74"/>
      <c r="O486" s="74"/>
      <c r="P486" s="74"/>
      <c r="Q486" s="74"/>
      <c r="R486" s="74"/>
      <c r="S486" s="74"/>
      <c r="T486" s="74"/>
      <c r="U486" s="74"/>
      <c r="V486" s="74"/>
      <c r="W486" s="74"/>
      <c r="X486" s="74"/>
      <c r="Y486" s="74"/>
    </row>
    <row r="487" spans="1:25" x14ac:dyDescent="0.3">
      <c r="A487" s="66">
        <f t="shared" si="52"/>
        <v>2037.9999999999563</v>
      </c>
      <c r="B487" s="67">
        <f>LOOKUP(A487+0.01,Amounts!$A$4:$A$103,Amounts!$B$4:$B$103)*0.1*$A$2</f>
        <v>0</v>
      </c>
      <c r="C487" s="68">
        <f t="shared" si="51"/>
        <v>2992395.4285963499</v>
      </c>
      <c r="D487" s="67">
        <f t="array" ref="D487">SUM($B$7:$B482*$F$1009*EXP(-$F$1009*($A487-$A$7:$A482)))*$F$1010</f>
        <v>14715466.617317848</v>
      </c>
      <c r="E487" s="67">
        <f t="shared" si="49"/>
        <v>28.053738023627581</v>
      </c>
      <c r="F487" s="70">
        <f t="shared" si="53"/>
        <v>1.7034229727946666</v>
      </c>
      <c r="G487" s="67">
        <f>E487/'Lookup Tables'!$C$48</f>
        <v>56.107476047255162</v>
      </c>
      <c r="H487" s="70">
        <f t="shared" si="50"/>
        <v>4.9275054240191605E-3</v>
      </c>
      <c r="I487" s="71">
        <f t="shared" si="54"/>
        <v>8.0794765508047428E-2</v>
      </c>
      <c r="L487" s="74"/>
      <c r="M487" s="74"/>
      <c r="N487" s="74"/>
      <c r="O487" s="74"/>
      <c r="P487" s="74"/>
      <c r="Q487" s="74"/>
      <c r="R487" s="74"/>
      <c r="S487" s="74"/>
      <c r="T487" s="74"/>
      <c r="U487" s="74"/>
      <c r="V487" s="74"/>
      <c r="W487" s="74"/>
      <c r="X487" s="74"/>
      <c r="Y487" s="74"/>
    </row>
    <row r="488" spans="1:25" x14ac:dyDescent="0.3">
      <c r="A488" s="66">
        <f t="shared" si="52"/>
        <v>2038.0999999999563</v>
      </c>
      <c r="B488" s="67">
        <f>LOOKUP(A488+0.01,Amounts!$A$4:$A$103,Amounts!$B$4:$B$103)*0.1*$A$2</f>
        <v>0</v>
      </c>
      <c r="C488" s="68">
        <f t="shared" si="51"/>
        <v>2992395.4285963499</v>
      </c>
      <c r="D488" s="67">
        <f t="array" ref="D488">SUM($B$7:$B483*$F$1009*EXP(-$F$1009*($A488-$A$7:$A483)))*$F$1010</f>
        <v>14510885.494019438</v>
      </c>
      <c r="E488" s="67">
        <f t="shared" si="49"/>
        <v>27.663722172493184</v>
      </c>
      <c r="F488" s="70">
        <f t="shared" si="53"/>
        <v>1.6797412103137861</v>
      </c>
      <c r="G488" s="67">
        <f>E488/'Lookup Tables'!$C$48</f>
        <v>55.327444344986368</v>
      </c>
      <c r="H488" s="70">
        <f t="shared" si="50"/>
        <v>4.85900099796729E-3</v>
      </c>
      <c r="I488" s="71">
        <f t="shared" si="54"/>
        <v>7.9671519856780379E-2</v>
      </c>
      <c r="L488" s="74"/>
      <c r="M488" s="74"/>
      <c r="N488" s="74"/>
      <c r="O488" s="74"/>
      <c r="P488" s="74"/>
      <c r="Q488" s="74"/>
      <c r="R488" s="74"/>
      <c r="S488" s="74"/>
      <c r="T488" s="74"/>
      <c r="U488" s="74"/>
      <c r="V488" s="74"/>
      <c r="W488" s="74"/>
      <c r="X488" s="74"/>
      <c r="Y488" s="74"/>
    </row>
    <row r="489" spans="1:25" x14ac:dyDescent="0.3">
      <c r="A489" s="66">
        <f t="shared" si="52"/>
        <v>2038.1999999999562</v>
      </c>
      <c r="B489" s="67">
        <f>LOOKUP(A489+0.01,Amounts!$A$4:$A$103,Amounts!$B$4:$B$103)*0.1*$A$2</f>
        <v>0</v>
      </c>
      <c r="C489" s="68">
        <f t="shared" si="51"/>
        <v>2992395.4285963499</v>
      </c>
      <c r="D489" s="67">
        <f t="array" ref="D489">SUM($B$7:$B484*$F$1009*EXP(-$F$1009*($A489-$A$7:$A484)))*$F$1010</f>
        <v>14309148.550732331</v>
      </c>
      <c r="E489" s="67">
        <f t="shared" si="49"/>
        <v>27.279128499465955</v>
      </c>
      <c r="F489" s="70">
        <f t="shared" si="53"/>
        <v>1.6563886824875729</v>
      </c>
      <c r="G489" s="67">
        <f>E489/'Lookup Tables'!$C$48</f>
        <v>54.55825699893191</v>
      </c>
      <c r="H489" s="70">
        <f t="shared" si="50"/>
        <v>4.7914489516663996E-3</v>
      </c>
      <c r="I489" s="71">
        <f t="shared" si="54"/>
        <v>7.8563890078461943E-2</v>
      </c>
      <c r="L489" s="74"/>
      <c r="M489" s="74"/>
      <c r="N489" s="74"/>
      <c r="O489" s="74"/>
      <c r="P489" s="74"/>
      <c r="Q489" s="74"/>
      <c r="R489" s="74"/>
      <c r="S489" s="74"/>
      <c r="T489" s="74"/>
      <c r="U489" s="74"/>
      <c r="V489" s="74"/>
      <c r="W489" s="74"/>
      <c r="X489" s="74"/>
      <c r="Y489" s="74"/>
    </row>
    <row r="490" spans="1:25" x14ac:dyDescent="0.3">
      <c r="A490" s="66">
        <f t="shared" si="52"/>
        <v>2038.2999999999561</v>
      </c>
      <c r="B490" s="67">
        <f>LOOKUP(A490+0.01,Amounts!$A$4:$A$103,Amounts!$B$4:$B$103)*0.1*$A$2</f>
        <v>0</v>
      </c>
      <c r="C490" s="68">
        <f t="shared" si="51"/>
        <v>2992395.4285963499</v>
      </c>
      <c r="D490" s="67">
        <f t="array" ref="D490">SUM($B$7:$B485*$F$1009*EXP(-$F$1009*($A490-$A$7:$A485)))*$F$1010</f>
        <v>14110216.246369824</v>
      </c>
      <c r="E490" s="67">
        <f t="shared" si="49"/>
        <v>26.899881622954773</v>
      </c>
      <c r="F490" s="70">
        <f t="shared" si="53"/>
        <v>1.6333608121458139</v>
      </c>
      <c r="G490" s="67">
        <f>E490/'Lookup Tables'!$C$48</f>
        <v>53.799763245909546</v>
      </c>
      <c r="H490" s="70">
        <f t="shared" si="50"/>
        <v>4.7248360446991607E-3</v>
      </c>
      <c r="I490" s="71">
        <f t="shared" si="54"/>
        <v>7.7471659074109744E-2</v>
      </c>
      <c r="L490" s="74"/>
      <c r="M490" s="74"/>
      <c r="N490" s="74"/>
      <c r="O490" s="74"/>
      <c r="P490" s="74"/>
      <c r="Q490" s="74"/>
      <c r="R490" s="74"/>
      <c r="S490" s="74"/>
      <c r="T490" s="74"/>
      <c r="U490" s="74"/>
      <c r="V490" s="74"/>
      <c r="W490" s="74"/>
      <c r="X490" s="74"/>
      <c r="Y490" s="74"/>
    </row>
    <row r="491" spans="1:25" x14ac:dyDescent="0.3">
      <c r="A491" s="66">
        <f t="shared" si="52"/>
        <v>2038.399999999956</v>
      </c>
      <c r="B491" s="67">
        <f>LOOKUP(A491+0.01,Amounts!$A$4:$A$103,Amounts!$B$4:$B$103)*0.1*$A$2</f>
        <v>0</v>
      </c>
      <c r="C491" s="68">
        <f t="shared" si="51"/>
        <v>2992395.4285963499</v>
      </c>
      <c r="D491" s="67">
        <f t="array" ref="D491">SUM($B$7:$B486*$F$1009*EXP(-$F$1009*($A491-$A$7:$A486)))*$F$1010</f>
        <v>13914049.5895634</v>
      </c>
      <c r="E491" s="67">
        <f t="shared" si="49"/>
        <v>26.525907209357729</v>
      </c>
      <c r="F491" s="70">
        <f t="shared" si="53"/>
        <v>1.6106530857522012</v>
      </c>
      <c r="G491" s="67">
        <f>E491/'Lookup Tables'!$C$48</f>
        <v>53.051814418715459</v>
      </c>
      <c r="H491" s="70">
        <f t="shared" si="50"/>
        <v>4.6591492207225561E-3</v>
      </c>
      <c r="I491" s="71">
        <f t="shared" si="54"/>
        <v>7.6394612762950259E-2</v>
      </c>
      <c r="L491" s="74"/>
      <c r="M491" s="74"/>
      <c r="N491" s="74"/>
      <c r="O491" s="74"/>
      <c r="P491" s="74"/>
      <c r="Q491" s="74"/>
      <c r="R491" s="74"/>
      <c r="S491" s="74"/>
      <c r="T491" s="74"/>
      <c r="U491" s="74"/>
      <c r="V491" s="74"/>
      <c r="W491" s="74"/>
      <c r="X491" s="74"/>
      <c r="Y491" s="74"/>
    </row>
    <row r="492" spans="1:25" x14ac:dyDescent="0.3">
      <c r="A492" s="66">
        <f t="shared" si="52"/>
        <v>2038.4999999999559</v>
      </c>
      <c r="B492" s="67">
        <f>LOOKUP(A492+0.01,Amounts!$A$4:$A$103,Amounts!$B$4:$B$103)*0.1*$A$2</f>
        <v>0</v>
      </c>
      <c r="C492" s="68">
        <f t="shared" si="51"/>
        <v>2992395.4285963499</v>
      </c>
      <c r="D492" s="67">
        <f t="array" ref="D492">SUM($B$7:$B487*$F$1009*EXP(-$F$1009*($A492-$A$7:$A487)))*$F$1010</f>
        <v>13720610.131020322</v>
      </c>
      <c r="E492" s="67">
        <f t="shared" si="49"/>
        <v>26.157131958492531</v>
      </c>
      <c r="F492" s="70">
        <f t="shared" si="53"/>
        <v>1.5882610525196665</v>
      </c>
      <c r="G492" s="67">
        <f>E492/'Lookup Tables'!$C$48</f>
        <v>52.314263916985063</v>
      </c>
      <c r="H492" s="70">
        <f t="shared" si="50"/>
        <v>4.5943756049087979E-3</v>
      </c>
      <c r="I492" s="71">
        <f t="shared" si="54"/>
        <v>7.5332540040458501E-2</v>
      </c>
      <c r="L492" s="74"/>
      <c r="M492" s="74"/>
      <c r="N492" s="74"/>
      <c r="O492" s="74"/>
      <c r="P492" s="74"/>
      <c r="Q492" s="74"/>
      <c r="R492" s="74"/>
      <c r="S492" s="74"/>
      <c r="T492" s="74"/>
      <c r="U492" s="74"/>
      <c r="V492" s="74"/>
      <c r="W492" s="74"/>
      <c r="X492" s="74"/>
      <c r="Y492" s="74"/>
    </row>
    <row r="493" spans="1:25" x14ac:dyDescent="0.3">
      <c r="A493" s="66">
        <f t="shared" si="52"/>
        <v>2038.5999999999558</v>
      </c>
      <c r="B493" s="67">
        <f>LOOKUP(A493+0.01,Amounts!$A$4:$A$103,Amounts!$B$4:$B$103)*0.1*$A$2</f>
        <v>0</v>
      </c>
      <c r="C493" s="68">
        <f t="shared" si="51"/>
        <v>2992395.4285963499</v>
      </c>
      <c r="D493" s="67">
        <f t="array" ref="D493">SUM($B$7:$B488*$F$1009*EXP(-$F$1009*($A493-$A$7:$A488)))*$F$1010</f>
        <v>13529859.955987457</v>
      </c>
      <c r="E493" s="67">
        <f t="shared" si="49"/>
        <v>25.793483589229439</v>
      </c>
      <c r="F493" s="70">
        <f t="shared" si="53"/>
        <v>1.5661803235380116</v>
      </c>
      <c r="G493" s="67">
        <f>E493/'Lookup Tables'!$C$48</f>
        <v>51.586967178458877</v>
      </c>
      <c r="H493" s="70">
        <f t="shared" si="50"/>
        <v>4.5305025014218247E-3</v>
      </c>
      <c r="I493" s="71">
        <f t="shared" si="54"/>
        <v>7.4285232736980789E-2</v>
      </c>
      <c r="L493" s="74"/>
      <c r="M493" s="74"/>
      <c r="N493" s="74"/>
      <c r="O493" s="74"/>
      <c r="P493" s="74"/>
      <c r="Q493" s="74"/>
      <c r="R493" s="74"/>
      <c r="S493" s="74"/>
      <c r="T493" s="74"/>
      <c r="U493" s="74"/>
      <c r="V493" s="74"/>
      <c r="W493" s="74"/>
      <c r="X493" s="74"/>
      <c r="Y493" s="74"/>
    </row>
    <row r="494" spans="1:25" x14ac:dyDescent="0.3">
      <c r="A494" s="66">
        <f t="shared" si="52"/>
        <v>2038.6999999999557</v>
      </c>
      <c r="B494" s="67">
        <f>LOOKUP(A494+0.01,Amounts!$A$4:$A$103,Amounts!$B$4:$B$103)*0.1*$A$2</f>
        <v>0</v>
      </c>
      <c r="C494" s="68">
        <f t="shared" si="51"/>
        <v>2992395.4285963499</v>
      </c>
      <c r="D494" s="67">
        <f t="array" ref="D494">SUM($B$7:$B489*$F$1009*EXP(-$F$1009*($A494-$A$7:$A489)))*$F$1010</f>
        <v>13341761.676819835</v>
      </c>
      <c r="E494" s="67">
        <f t="shared" si="49"/>
        <v>25.434890825323901</v>
      </c>
      <c r="F494" s="70">
        <f t="shared" si="53"/>
        <v>1.5444065709136672</v>
      </c>
      <c r="G494" s="67">
        <f>E494/'Lookup Tables'!$C$48</f>
        <v>50.869781650647802</v>
      </c>
      <c r="H494" s="70">
        <f t="shared" si="50"/>
        <v>4.4675173909288698E-3</v>
      </c>
      <c r="I494" s="71">
        <f t="shared" si="54"/>
        <v>7.3252485576932827E-2</v>
      </c>
      <c r="L494" s="74"/>
      <c r="M494" s="74"/>
      <c r="N494" s="74"/>
      <c r="O494" s="74"/>
      <c r="P494" s="74"/>
      <c r="Q494" s="74"/>
      <c r="R494" s="74"/>
      <c r="S494" s="74"/>
      <c r="T494" s="74"/>
      <c r="U494" s="74"/>
      <c r="V494" s="74"/>
      <c r="W494" s="74"/>
      <c r="X494" s="74"/>
      <c r="Y494" s="74"/>
    </row>
    <row r="495" spans="1:25" x14ac:dyDescent="0.3">
      <c r="A495" s="66">
        <f t="shared" si="52"/>
        <v>2038.7999999999556</v>
      </c>
      <c r="B495" s="67">
        <f>LOOKUP(A495+0.01,Amounts!$A$4:$A$103,Amounts!$B$4:$B$103)*0.1*$A$2</f>
        <v>0</v>
      </c>
      <c r="C495" s="68">
        <f t="shared" si="51"/>
        <v>2992395.4285963499</v>
      </c>
      <c r="D495" s="67">
        <f t="array" ref="D495">SUM($B$7:$B490*$F$1009*EXP(-$F$1009*($A495-$A$7:$A490)))*$F$1010</f>
        <v>13156278.425652569</v>
      </c>
      <c r="E495" s="67">
        <f t="shared" si="49"/>
        <v>25.081283381446216</v>
      </c>
      <c r="F495" s="70">
        <f t="shared" si="53"/>
        <v>1.5229355269214142</v>
      </c>
      <c r="G495" s="67">
        <f>E495/'Lookup Tables'!$C$48</f>
        <v>50.162566762892432</v>
      </c>
      <c r="H495" s="70">
        <f t="shared" si="50"/>
        <v>4.4054079281466429E-3</v>
      </c>
      <c r="I495" s="71">
        <f t="shared" si="54"/>
        <v>7.2234096138565101E-2</v>
      </c>
      <c r="L495" s="74"/>
      <c r="M495" s="74"/>
      <c r="N495" s="74"/>
      <c r="O495" s="74"/>
      <c r="P495" s="74"/>
      <c r="Q495" s="74"/>
      <c r="R495" s="74"/>
      <c r="S495" s="74"/>
      <c r="T495" s="74"/>
      <c r="U495" s="74"/>
      <c r="V495" s="74"/>
      <c r="W495" s="74"/>
      <c r="X495" s="74"/>
      <c r="Y495" s="74"/>
    </row>
    <row r="496" spans="1:25" x14ac:dyDescent="0.3">
      <c r="A496" s="66">
        <f t="shared" si="52"/>
        <v>2038.8999999999555</v>
      </c>
      <c r="B496" s="67">
        <f>LOOKUP(A496+0.01,Amounts!$A$4:$A$103,Amounts!$B$4:$B$103)*0.1*$A$2</f>
        <v>0</v>
      </c>
      <c r="C496" s="68">
        <f t="shared" si="51"/>
        <v>2992395.4285963499</v>
      </c>
      <c r="D496" s="67">
        <f t="array" ref="D496">SUM($B$7:$B491*$F$1009*EXP(-$F$1009*($A496-$A$7:$A491)))*$F$1010</f>
        <v>12973373.847174633</v>
      </c>
      <c r="E496" s="67">
        <f t="shared" si="49"/>
        <v>24.732591949405354</v>
      </c>
      <c r="F496" s="70">
        <f t="shared" si="53"/>
        <v>1.5017629831678934</v>
      </c>
      <c r="G496" s="67">
        <f>E496/'Lookup Tables'!$C$48</f>
        <v>49.465183898810707</v>
      </c>
      <c r="H496" s="70">
        <f t="shared" si="50"/>
        <v>4.344161939421603E-3</v>
      </c>
      <c r="I496" s="71">
        <f t="shared" si="54"/>
        <v>7.1229864814287433E-2</v>
      </c>
      <c r="L496" s="74"/>
      <c r="M496" s="74"/>
      <c r="N496" s="74"/>
      <c r="O496" s="74"/>
      <c r="P496" s="74"/>
      <c r="Q496" s="74"/>
      <c r="R496" s="74"/>
      <c r="S496" s="74"/>
      <c r="T496" s="74"/>
      <c r="U496" s="74"/>
      <c r="V496" s="74"/>
      <c r="W496" s="74"/>
      <c r="X496" s="74"/>
      <c r="Y496" s="74"/>
    </row>
    <row r="497" spans="1:25" x14ac:dyDescent="0.3">
      <c r="A497" s="66">
        <f t="shared" si="52"/>
        <v>2038.9999999999554</v>
      </c>
      <c r="B497" s="67">
        <f>LOOKUP(A497+0.01,Amounts!$A$4:$A$103,Amounts!$B$4:$B$103)*0.1*$A$2</f>
        <v>0</v>
      </c>
      <c r="C497" s="68">
        <f t="shared" si="51"/>
        <v>2992395.4285963499</v>
      </c>
      <c r="D497" s="67">
        <f t="array" ref="D497">SUM($B$7:$B492*$F$1009*EXP(-$F$1009*($A497-$A$7:$A492)))*$F$1010</f>
        <v>12793012.091503108</v>
      </c>
      <c r="E497" s="67">
        <f t="shared" si="49"/>
        <v>24.388748184564367</v>
      </c>
      <c r="F497" s="70">
        <f t="shared" si="53"/>
        <v>1.4808847897667485</v>
      </c>
      <c r="G497" s="67">
        <f>E497/'Lookup Tables'!$C$48</f>
        <v>48.777496369128734</v>
      </c>
      <c r="H497" s="70">
        <f t="shared" si="50"/>
        <v>4.283767420343889E-3</v>
      </c>
      <c r="I497" s="71">
        <f t="shared" si="54"/>
        <v>7.0239594771545386E-2</v>
      </c>
      <c r="L497" s="74"/>
      <c r="M497" s="74"/>
      <c r="N497" s="74"/>
      <c r="O497" s="74"/>
      <c r="P497" s="74"/>
      <c r="Q497" s="74"/>
      <c r="R497" s="74"/>
      <c r="S497" s="74"/>
      <c r="T497" s="74"/>
      <c r="U497" s="74"/>
      <c r="V497" s="74"/>
      <c r="W497" s="74"/>
      <c r="X497" s="74"/>
      <c r="Y497" s="74"/>
    </row>
    <row r="498" spans="1:25" x14ac:dyDescent="0.3">
      <c r="A498" s="66">
        <f t="shared" si="52"/>
        <v>2039.0999999999553</v>
      </c>
      <c r="B498" s="67">
        <f>LOOKUP(A498+0.01,Amounts!$A$4:$A$103,Amounts!$B$4:$B$103)*0.1*$A$2</f>
        <v>0</v>
      </c>
      <c r="C498" s="68">
        <f t="shared" si="51"/>
        <v>2992395.4285963499</v>
      </c>
      <c r="D498" s="67">
        <f t="array" ref="D498">SUM($B$7:$B493*$F$1009*EXP(-$F$1009*($A498-$A$7:$A493)))*$F$1010</f>
        <v>12615157.807156473</v>
      </c>
      <c r="E498" s="67">
        <f t="shared" si="49"/>
        <v>24.049684692444558</v>
      </c>
      <c r="F498" s="70">
        <f t="shared" si="53"/>
        <v>1.4602968545252337</v>
      </c>
      <c r="G498" s="67">
        <f>E498/'Lookup Tables'!$C$48</f>
        <v>48.099369384889116</v>
      </c>
      <c r="H498" s="70">
        <f t="shared" si="50"/>
        <v>4.2242125333944178E-3</v>
      </c>
      <c r="I498" s="71">
        <f t="shared" si="54"/>
        <v>6.9263091914240335E-2</v>
      </c>
      <c r="L498" s="74"/>
      <c r="M498" s="74"/>
      <c r="N498" s="74"/>
      <c r="O498" s="74"/>
      <c r="P498" s="74"/>
      <c r="Q498" s="74"/>
      <c r="R498" s="74"/>
      <c r="S498" s="74"/>
      <c r="T498" s="74"/>
      <c r="U498" s="74"/>
      <c r="V498" s="74"/>
      <c r="W498" s="74"/>
      <c r="X498" s="74"/>
      <c r="Y498" s="74"/>
    </row>
    <row r="499" spans="1:25" x14ac:dyDescent="0.3">
      <c r="A499" s="66">
        <f t="shared" si="52"/>
        <v>2039.1999999999553</v>
      </c>
      <c r="B499" s="67">
        <f>LOOKUP(A499+0.01,Amounts!$A$4:$A$103,Amounts!$B$4:$B$103)*0.1*$A$2</f>
        <v>0</v>
      </c>
      <c r="C499" s="68">
        <f t="shared" si="51"/>
        <v>2992395.4285963499</v>
      </c>
      <c r="D499" s="67">
        <f t="array" ref="D499">SUM($B$7:$B494*$F$1009*EXP(-$F$1009*($A499-$A$7:$A494)))*$F$1010</f>
        <v>12439776.134125631</v>
      </c>
      <c r="E499" s="67">
        <f t="shared" si="49"/>
        <v>23.715335015516029</v>
      </c>
      <c r="F499" s="70">
        <f t="shared" si="53"/>
        <v>1.4399951421421333</v>
      </c>
      <c r="G499" s="67">
        <f>E499/'Lookup Tables'!$C$48</f>
        <v>47.430670031032058</v>
      </c>
      <c r="H499" s="70">
        <f t="shared" si="50"/>
        <v>4.1654856056246919E-3</v>
      </c>
      <c r="I499" s="71">
        <f t="shared" si="54"/>
        <v>6.8300164844686165E-2</v>
      </c>
      <c r="L499" s="74"/>
      <c r="M499" s="74"/>
      <c r="N499" s="74"/>
      <c r="O499" s="74"/>
      <c r="P499" s="74"/>
      <c r="Q499" s="74"/>
      <c r="R499" s="74"/>
      <c r="S499" s="74"/>
      <c r="T499" s="74"/>
      <c r="U499" s="74"/>
      <c r="V499" s="74"/>
      <c r="W499" s="74"/>
      <c r="X499" s="74"/>
      <c r="Y499" s="74"/>
    </row>
    <row r="500" spans="1:25" x14ac:dyDescent="0.3">
      <c r="A500" s="66">
        <f t="shared" si="52"/>
        <v>2039.2999999999552</v>
      </c>
      <c r="B500" s="67">
        <f>LOOKUP(A500+0.01,Amounts!$A$4:$A$103,Amounts!$B$4:$B$103)*0.1*$A$2</f>
        <v>0</v>
      </c>
      <c r="C500" s="68">
        <f t="shared" si="51"/>
        <v>2992395.4285963499</v>
      </c>
      <c r="D500" s="67">
        <f t="array" ref="D500">SUM($B$7:$B495*$F$1009*EXP(-$F$1009*($A500-$A$7:$A495)))*$F$1010</f>
        <v>12266832.697041199</v>
      </c>
      <c r="E500" s="67">
        <f t="shared" si="49"/>
        <v>23.385633620171713</v>
      </c>
      <c r="F500" s="70">
        <f t="shared" si="53"/>
        <v>1.4199756734168267</v>
      </c>
      <c r="G500" s="67">
        <f>E500/'Lookup Tables'!$C$48</f>
        <v>46.771267240343427</v>
      </c>
      <c r="H500" s="70">
        <f t="shared" si="50"/>
        <v>4.1075751263688612E-3</v>
      </c>
      <c r="I500" s="71">
        <f t="shared" si="54"/>
        <v>6.7350624826094538E-2</v>
      </c>
      <c r="L500" s="74"/>
      <c r="M500" s="74"/>
      <c r="N500" s="74"/>
      <c r="O500" s="74"/>
      <c r="P500" s="74"/>
      <c r="Q500" s="74"/>
      <c r="R500" s="74"/>
      <c r="S500" s="74"/>
      <c r="T500" s="74"/>
      <c r="U500" s="74"/>
      <c r="V500" s="74"/>
      <c r="W500" s="74"/>
      <c r="X500" s="74"/>
      <c r="Y500" s="74"/>
    </row>
    <row r="501" spans="1:25" x14ac:dyDescent="0.3">
      <c r="A501" s="66">
        <f t="shared" si="52"/>
        <v>2039.3999999999551</v>
      </c>
      <c r="B501" s="67">
        <f>LOOKUP(A501+0.01,Amounts!$A$4:$A$103,Amounts!$B$4:$B$103)*0.1*$A$2</f>
        <v>0</v>
      </c>
      <c r="C501" s="68">
        <f t="shared" si="51"/>
        <v>2992395.4285963499</v>
      </c>
      <c r="D501" s="67">
        <f t="array" ref="D501">SUM($B$7:$B496*$F$1009*EXP(-$F$1009*($A501-$A$7:$A496)))*$F$1010</f>
        <v>12096293.598435856</v>
      </c>
      <c r="E501" s="67">
        <f t="shared" si="49"/>
        <v>23.060515883882637</v>
      </c>
      <c r="F501" s="70">
        <f t="shared" si="53"/>
        <v>1.4002345244693537</v>
      </c>
      <c r="G501" s="67">
        <f>E501/'Lookup Tables'!$C$48</f>
        <v>46.121031767765274</v>
      </c>
      <c r="H501" s="70">
        <f t="shared" si="50"/>
        <v>4.0504697449875995E-3</v>
      </c>
      <c r="I501" s="71">
        <f t="shared" si="54"/>
        <v>6.6414285745581988E-2</v>
      </c>
      <c r="L501" s="74"/>
      <c r="M501" s="74"/>
      <c r="N501" s="74"/>
      <c r="O501" s="74"/>
      <c r="P501" s="74"/>
      <c r="Q501" s="74"/>
      <c r="R501" s="74"/>
      <c r="S501" s="74"/>
      <c r="T501" s="74"/>
      <c r="U501" s="74"/>
      <c r="V501" s="74"/>
      <c r="W501" s="74"/>
      <c r="X501" s="74"/>
      <c r="Y501" s="74"/>
    </row>
    <row r="502" spans="1:25" x14ac:dyDescent="0.3">
      <c r="A502" s="66">
        <f t="shared" si="52"/>
        <v>2039.499999999955</v>
      </c>
      <c r="B502" s="67">
        <f>LOOKUP(A502+0.01,Amounts!$A$4:$A$103,Amounts!$B$4:$B$103)*0.1*$A$2</f>
        <v>0</v>
      </c>
      <c r="C502" s="68">
        <f t="shared" si="51"/>
        <v>2992395.4285963499</v>
      </c>
      <c r="D502" s="67">
        <f t="array" ref="D502">SUM($B$7:$B497*$F$1009*EXP(-$F$1009*($A502-$A$7:$A497)))*$F$1010</f>
        <v>11928125.412100326</v>
      </c>
      <c r="E502" s="67">
        <f t="shared" si="49"/>
        <v>22.739918082531677</v>
      </c>
      <c r="F502" s="70">
        <f t="shared" si="53"/>
        <v>1.3807678259713232</v>
      </c>
      <c r="G502" s="67">
        <f>E502/'Lookup Tables'!$C$48</f>
        <v>45.479836165063354</v>
      </c>
      <c r="H502" s="70">
        <f t="shared" si="50"/>
        <v>3.9941582686433422E-3</v>
      </c>
      <c r="I502" s="71">
        <f t="shared" si="54"/>
        <v>6.5490964077691227E-2</v>
      </c>
      <c r="L502" s="74"/>
      <c r="M502" s="74"/>
      <c r="N502" s="74"/>
      <c r="O502" s="74"/>
      <c r="P502" s="74"/>
      <c r="Q502" s="74"/>
      <c r="R502" s="74"/>
      <c r="S502" s="74"/>
      <c r="T502" s="74"/>
      <c r="U502" s="74"/>
      <c r="V502" s="74"/>
      <c r="W502" s="74"/>
      <c r="X502" s="74"/>
      <c r="Y502" s="74"/>
    </row>
    <row r="503" spans="1:25" x14ac:dyDescent="0.3">
      <c r="A503" s="66">
        <f t="shared" si="52"/>
        <v>2039.5999999999549</v>
      </c>
      <c r="B503" s="67">
        <f>LOOKUP(A503+0.01,Amounts!$A$4:$A$103,Amounts!$B$4:$B$103)*0.1*$A$2</f>
        <v>0</v>
      </c>
      <c r="C503" s="68">
        <f t="shared" si="51"/>
        <v>2992395.4285963499</v>
      </c>
      <c r="D503" s="67">
        <f t="array" ref="D503">SUM($B$7:$B498*$F$1009*EXP(-$F$1009*($A503-$A$7:$A498)))*$F$1010</f>
        <v>11762295.176531719</v>
      </c>
      <c r="E503" s="67">
        <f t="shared" si="49"/>
        <v>22.423777377923418</v>
      </c>
      <c r="F503" s="70">
        <f t="shared" si="53"/>
        <v>1.3615717623875099</v>
      </c>
      <c r="G503" s="67">
        <f>E503/'Lookup Tables'!$C$48</f>
        <v>44.847554755846836</v>
      </c>
      <c r="H503" s="70">
        <f t="shared" si="50"/>
        <v>3.9386296601064538E-3</v>
      </c>
      <c r="I503" s="71">
        <f t="shared" si="54"/>
        <v>6.4580478848419443E-2</v>
      </c>
      <c r="L503" s="74"/>
      <c r="M503" s="74"/>
      <c r="N503" s="74"/>
      <c r="O503" s="74"/>
      <c r="P503" s="74"/>
      <c r="Q503" s="74"/>
      <c r="R503" s="74"/>
      <c r="S503" s="74"/>
      <c r="T503" s="74"/>
      <c r="U503" s="74"/>
      <c r="V503" s="74"/>
      <c r="W503" s="74"/>
      <c r="X503" s="74"/>
      <c r="Y503" s="74"/>
    </row>
    <row r="504" spans="1:25" x14ac:dyDescent="0.3">
      <c r="A504" s="66">
        <f t="shared" si="52"/>
        <v>2039.6999999999548</v>
      </c>
      <c r="B504" s="67">
        <f>LOOKUP(A504+0.01,Amounts!$A$4:$A$103,Amounts!$B$4:$B$103)*0.1*$A$2</f>
        <v>0</v>
      </c>
      <c r="C504" s="68">
        <f t="shared" si="51"/>
        <v>2992395.4285963499</v>
      </c>
      <c r="D504" s="67">
        <f t="array" ref="D504">SUM($B$7:$B499*$F$1009*EXP(-$F$1009*($A504-$A$7:$A499)))*$F$1010</f>
        <v>11598770.388472984</v>
      </c>
      <c r="E504" s="67">
        <f t="shared" si="49"/>
        <v>22.112031805467684</v>
      </c>
      <c r="F504" s="70">
        <f t="shared" si="53"/>
        <v>1.3426425712279977</v>
      </c>
      <c r="G504" s="67">
        <f>E504/'Lookup Tables'!$C$48</f>
        <v>44.224063610935367</v>
      </c>
      <c r="H504" s="70">
        <f t="shared" si="50"/>
        <v>3.8838730355918952E-3</v>
      </c>
      <c r="I504" s="71">
        <f t="shared" si="54"/>
        <v>6.3682651599746926E-2</v>
      </c>
      <c r="L504" s="74"/>
      <c r="M504" s="74"/>
      <c r="N504" s="74"/>
      <c r="O504" s="74"/>
      <c r="P504" s="74"/>
      <c r="Q504" s="74"/>
      <c r="R504" s="74"/>
      <c r="S504" s="74"/>
      <c r="T504" s="74"/>
      <c r="U504" s="74"/>
      <c r="V504" s="74"/>
      <c r="W504" s="74"/>
      <c r="X504" s="74"/>
      <c r="Y504" s="74"/>
    </row>
    <row r="505" spans="1:25" x14ac:dyDescent="0.3">
      <c r="A505" s="66">
        <f t="shared" si="52"/>
        <v>2039.7999999999547</v>
      </c>
      <c r="B505" s="67">
        <f>LOOKUP(A505+0.01,Amounts!$A$4:$A$103,Amounts!$B$4:$B$103)*0.1*$A$2</f>
        <v>0</v>
      </c>
      <c r="C505" s="68">
        <f t="shared" si="51"/>
        <v>2992395.4285963499</v>
      </c>
      <c r="D505" s="67">
        <f t="array" ref="D505">SUM($B$7:$B500*$F$1009*EXP(-$F$1009*($A505-$A$7:$A500)))*$F$1010</f>
        <v>11437518.996542156</v>
      </c>
      <c r="E505" s="67">
        <f t="shared" si="49"/>
        <v>21.804620262034259</v>
      </c>
      <c r="F505" s="70">
        <f t="shared" si="53"/>
        <v>1.3239765423107204</v>
      </c>
      <c r="G505" s="67">
        <f>E505/'Lookup Tables'!$C$48</f>
        <v>43.609240524068518</v>
      </c>
      <c r="H505" s="70">
        <f t="shared" si="50"/>
        <v>3.8298776626259643E-3</v>
      </c>
      <c r="I505" s="71">
        <f t="shared" si="54"/>
        <v>6.2797306354658675E-2</v>
      </c>
      <c r="L505" s="74"/>
      <c r="M505" s="74"/>
      <c r="N505" s="74"/>
      <c r="O505" s="74"/>
      <c r="P505" s="74"/>
      <c r="Q505" s="74"/>
      <c r="R505" s="74"/>
      <c r="S505" s="74"/>
      <c r="T505" s="74"/>
      <c r="U505" s="74"/>
      <c r="V505" s="74"/>
      <c r="W505" s="74"/>
      <c r="X505" s="74"/>
      <c r="Y505" s="74"/>
    </row>
    <row r="506" spans="1:25" x14ac:dyDescent="0.3">
      <c r="A506" s="66">
        <f t="shared" si="52"/>
        <v>2039.8999999999546</v>
      </c>
      <c r="B506" s="67">
        <f>LOOKUP(A506+0.01,Amounts!$A$4:$A$103,Amounts!$B$4:$B$103)*0.1*$A$2</f>
        <v>0</v>
      </c>
      <c r="C506" s="68">
        <f t="shared" si="51"/>
        <v>2992395.4285963499</v>
      </c>
      <c r="D506" s="67">
        <f t="array" ref="D506">SUM($B$7:$B501*$F$1009*EXP(-$F$1009*($A506-$A$7:$A501)))*$F$1010</f>
        <v>11278509.394950194</v>
      </c>
      <c r="E506" s="67">
        <f t="shared" si="49"/>
        <v>21.501482493976493</v>
      </c>
      <c r="F506" s="70">
        <f t="shared" si="53"/>
        <v>1.3055700170342526</v>
      </c>
      <c r="G506" s="67">
        <f>E506/'Lookup Tables'!$C$48</f>
        <v>43.002964987952986</v>
      </c>
      <c r="H506" s="70">
        <f t="shared" si="50"/>
        <v>3.7766329579426998E-3</v>
      </c>
      <c r="I506" s="71">
        <f t="shared" si="54"/>
        <v>6.1924269582652298E-2</v>
      </c>
      <c r="L506" s="74"/>
      <c r="M506" s="74"/>
      <c r="N506" s="74"/>
      <c r="O506" s="74"/>
      <c r="P506" s="74"/>
      <c r="Q506" s="74"/>
      <c r="R506" s="74"/>
      <c r="S506" s="74"/>
      <c r="T506" s="74"/>
      <c r="U506" s="74"/>
      <c r="V506" s="74"/>
      <c r="W506" s="74"/>
      <c r="X506" s="74"/>
      <c r="Y506" s="74"/>
    </row>
    <row r="507" spans="1:25" x14ac:dyDescent="0.3">
      <c r="A507" s="66">
        <f t="shared" si="52"/>
        <v>2039.9999999999545</v>
      </c>
      <c r="B507" s="67">
        <f>LOOKUP(A507+0.01,Amounts!$A$4:$A$103,Amounts!$B$4:$B$103)*0.1*$A$2</f>
        <v>0</v>
      </c>
      <c r="C507" s="68">
        <f t="shared" si="51"/>
        <v>2992395.4285963499</v>
      </c>
      <c r="D507" s="67">
        <f t="array" ref="D507">SUM($B$7:$B502*$F$1009*EXP(-$F$1009*($A507-$A$7:$A502)))*$F$1010</f>
        <v>11121710.417306146</v>
      </c>
      <c r="E507" s="67">
        <f t="shared" si="49"/>
        <v>21.202559085321408</v>
      </c>
      <c r="F507" s="70">
        <f t="shared" si="53"/>
        <v>1.2874193876607161</v>
      </c>
      <c r="G507" s="67">
        <f>E507/'Lookup Tables'!$C$48</f>
        <v>42.405118170642815</v>
      </c>
      <c r="H507" s="70">
        <f t="shared" si="50"/>
        <v>3.7241284854095322E-3</v>
      </c>
      <c r="I507" s="71">
        <f t="shared" si="54"/>
        <v>6.1063370165725654E-2</v>
      </c>
      <c r="L507" s="74"/>
      <c r="M507" s="74"/>
      <c r="N507" s="74"/>
      <c r="O507" s="74"/>
      <c r="P507" s="74"/>
      <c r="Q507" s="74"/>
      <c r="R507" s="74"/>
      <c r="S507" s="74"/>
      <c r="T507" s="74"/>
      <c r="U507" s="74"/>
      <c r="V507" s="74"/>
      <c r="W507" s="74"/>
      <c r="X507" s="74"/>
      <c r="Y507" s="74"/>
    </row>
    <row r="508" spans="1:25" x14ac:dyDescent="0.3">
      <c r="A508" s="66">
        <f t="shared" si="52"/>
        <v>2040.0999999999544</v>
      </c>
      <c r="B508" s="67">
        <f>LOOKUP(A508+0.01,Amounts!$A$4:$A$103,Amounts!$B$4:$B$103)*0.1*$A$2</f>
        <v>0</v>
      </c>
      <c r="C508" s="68">
        <f t="shared" si="51"/>
        <v>2992395.4285963499</v>
      </c>
      <c r="D508" s="67">
        <f t="array" ref="D508">SUM($B$7:$B503*$F$1009*EXP(-$F$1009*($A508-$A$7:$A503)))*$F$1010</f>
        <v>10967091.330508417</v>
      </c>
      <c r="E508" s="67">
        <f t="shared" si="49"/>
        <v>20.90779144612393</v>
      </c>
      <c r="F508" s="70">
        <f t="shared" si="53"/>
        <v>1.269521096608645</v>
      </c>
      <c r="G508" s="67">
        <f>E508/'Lookup Tables'!$C$48</f>
        <v>41.815582892247861</v>
      </c>
      <c r="H508" s="70">
        <f t="shared" si="50"/>
        <v>3.6723539539817562E-3</v>
      </c>
      <c r="I508" s="71">
        <f t="shared" si="54"/>
        <v>6.0214439364836912E-2</v>
      </c>
      <c r="L508" s="74"/>
      <c r="M508" s="74"/>
      <c r="N508" s="74"/>
      <c r="O508" s="74"/>
      <c r="P508" s="74"/>
      <c r="Q508" s="74"/>
      <c r="R508" s="74"/>
      <c r="S508" s="74"/>
      <c r="T508" s="74"/>
      <c r="U508" s="74"/>
      <c r="V508" s="74"/>
      <c r="W508" s="74"/>
      <c r="X508" s="74"/>
      <c r="Y508" s="74"/>
    </row>
    <row r="509" spans="1:25" x14ac:dyDescent="0.3">
      <c r="A509" s="66">
        <f t="shared" si="52"/>
        <v>2040.1999999999543</v>
      </c>
      <c r="B509" s="67">
        <f>LOOKUP(A509+0.01,Amounts!$A$4:$A$103,Amounts!$B$4:$B$103)*0.1*$A$2</f>
        <v>0</v>
      </c>
      <c r="C509" s="68">
        <f t="shared" si="51"/>
        <v>2992395.4285963499</v>
      </c>
      <c r="D509" s="67">
        <f t="array" ref="D509">SUM($B$7:$B504*$F$1009*EXP(-$F$1009*($A509-$A$7:$A504)))*$F$1010</f>
        <v>10814621.828721011</v>
      </c>
      <c r="E509" s="67">
        <f t="shared" si="49"/>
        <v>20.617121800983142</v>
      </c>
      <c r="F509" s="70">
        <f t="shared" si="53"/>
        <v>1.2518716357556965</v>
      </c>
      <c r="G509" s="67">
        <f>E509/'Lookup Tables'!$C$48</f>
        <v>41.234243601966284</v>
      </c>
      <c r="H509" s="70">
        <f t="shared" si="50"/>
        <v>3.6212992156854674E-3</v>
      </c>
      <c r="I509" s="71">
        <f t="shared" si="54"/>
        <v>5.9377310786831457E-2</v>
      </c>
      <c r="L509" s="74"/>
      <c r="M509" s="74"/>
      <c r="N509" s="74"/>
      <c r="O509" s="74"/>
      <c r="P509" s="74"/>
      <c r="Q509" s="74"/>
      <c r="R509" s="74"/>
      <c r="S509" s="74"/>
      <c r="T509" s="74"/>
      <c r="U509" s="74"/>
      <c r="V509" s="74"/>
      <c r="W509" s="74"/>
      <c r="X509" s="74"/>
      <c r="Y509" s="74"/>
    </row>
    <row r="510" spans="1:25" x14ac:dyDescent="0.3">
      <c r="A510" s="66">
        <f t="shared" si="52"/>
        <v>2040.2999999999543</v>
      </c>
      <c r="B510" s="67">
        <f>LOOKUP(A510+0.01,Amounts!$A$4:$A$103,Amounts!$B$4:$B$103)*0.1*$A$2</f>
        <v>0</v>
      </c>
      <c r="C510" s="68">
        <f t="shared" si="51"/>
        <v>2992395.4285963499</v>
      </c>
      <c r="D510" s="67">
        <f t="array" ref="D510">SUM($B$7:$B505*$F$1009*EXP(-$F$1009*($A510-$A$7:$A505)))*$F$1010</f>
        <v>10664272.027433462</v>
      </c>
      <c r="E510" s="67">
        <f t="shared" si="49"/>
        <v>20.330493177718044</v>
      </c>
      <c r="F510" s="70">
        <f t="shared" si="53"/>
        <v>1.2344675457510397</v>
      </c>
      <c r="G510" s="67">
        <f>E510/'Lookup Tables'!$C$48</f>
        <v>40.660986355436087</v>
      </c>
      <c r="H510" s="70">
        <f t="shared" si="50"/>
        <v>3.5709542636285117E-3</v>
      </c>
      <c r="I510" s="71">
        <f t="shared" si="54"/>
        <v>5.855182035182796E-2</v>
      </c>
      <c r="L510" s="74"/>
      <c r="M510" s="74"/>
      <c r="N510" s="74"/>
      <c r="O510" s="74"/>
      <c r="P510" s="74"/>
      <c r="Q510" s="74"/>
      <c r="R510" s="74"/>
      <c r="S510" s="74"/>
      <c r="T510" s="74"/>
      <c r="U510" s="74"/>
      <c r="V510" s="74"/>
      <c r="W510" s="74"/>
      <c r="X510" s="74"/>
      <c r="Y510" s="74"/>
    </row>
    <row r="511" spans="1:25" x14ac:dyDescent="0.3">
      <c r="A511" s="66">
        <f t="shared" si="52"/>
        <v>2040.3999999999542</v>
      </c>
      <c r="B511" s="67">
        <f>LOOKUP(A511+0.01,Amounts!$A$4:$A$103,Amounts!$B$4:$B$103)*0.1*$A$2</f>
        <v>0</v>
      </c>
      <c r="C511" s="68">
        <f t="shared" si="51"/>
        <v>2992395.4285963499</v>
      </c>
      <c r="D511" s="67">
        <f t="array" ref="D511">SUM($B$7:$B506*$F$1009*EXP(-$F$1009*($A511-$A$7:$A506)))*$F$1010</f>
        <v>10516012.457603406</v>
      </c>
      <c r="E511" s="67">
        <f t="shared" si="49"/>
        <v>20.047849396200892</v>
      </c>
      <c r="F511" s="70">
        <f t="shared" si="53"/>
        <v>1.2173054153373182</v>
      </c>
      <c r="G511" s="67">
        <f>E511/'Lookup Tables'!$C$48</f>
        <v>40.095698792401784</v>
      </c>
      <c r="H511" s="70">
        <f t="shared" si="50"/>
        <v>3.5213092300391182E-3</v>
      </c>
      <c r="I511" s="71">
        <f t="shared" si="54"/>
        <v>5.7737806261058566E-2</v>
      </c>
      <c r="L511" s="74"/>
      <c r="M511" s="74"/>
      <c r="N511" s="74"/>
      <c r="O511" s="74"/>
      <c r="P511" s="74"/>
      <c r="Q511" s="74"/>
      <c r="R511" s="74"/>
      <c r="S511" s="74"/>
      <c r="T511" s="74"/>
      <c r="U511" s="74"/>
      <c r="V511" s="74"/>
      <c r="W511" s="74"/>
      <c r="X511" s="74"/>
      <c r="Y511" s="74"/>
    </row>
    <row r="512" spans="1:25" x14ac:dyDescent="0.3">
      <c r="A512" s="66">
        <f t="shared" si="52"/>
        <v>2040.4999999999541</v>
      </c>
      <c r="B512" s="67">
        <f>LOOKUP(A512+0.01,Amounts!$A$4:$A$103,Amounts!$B$4:$B$103)*0.1*$A$2</f>
        <v>0</v>
      </c>
      <c r="C512" s="68">
        <f t="shared" si="51"/>
        <v>2992395.4285963499</v>
      </c>
      <c r="D512" s="67">
        <f t="array" ref="D512">SUM($B$7:$B507*$F$1009*EXP(-$F$1009*($A512-$A$7:$A507)))*$F$1010</f>
        <v>10369814.059880512</v>
      </c>
      <c r="E512" s="67">
        <f t="shared" si="49"/>
        <v>19.769135057345647</v>
      </c>
      <c r="F512" s="70">
        <f t="shared" si="53"/>
        <v>1.2003818806820277</v>
      </c>
      <c r="G512" s="67">
        <f>E512/'Lookup Tables'!$C$48</f>
        <v>39.538270114691294</v>
      </c>
      <c r="H512" s="70">
        <f t="shared" si="50"/>
        <v>3.4723543843317669E-3</v>
      </c>
      <c r="I512" s="71">
        <f t="shared" si="54"/>
        <v>5.6935108965155468E-2</v>
      </c>
      <c r="L512" s="74"/>
      <c r="M512" s="74"/>
      <c r="N512" s="74"/>
      <c r="O512" s="74"/>
      <c r="P512" s="74"/>
      <c r="Q512" s="74"/>
      <c r="R512" s="74"/>
      <c r="S512" s="74"/>
      <c r="T512" s="74"/>
      <c r="U512" s="74"/>
      <c r="V512" s="74"/>
      <c r="W512" s="74"/>
      <c r="X512" s="74"/>
      <c r="Y512" s="74"/>
    </row>
    <row r="513" spans="1:25" x14ac:dyDescent="0.3">
      <c r="A513" s="66">
        <f t="shared" si="52"/>
        <v>2040.599999999954</v>
      </c>
      <c r="B513" s="67">
        <f>LOOKUP(A513+0.01,Amounts!$A$4:$A$103,Amounts!$B$4:$B$103)*0.1*$A$2</f>
        <v>0</v>
      </c>
      <c r="C513" s="68">
        <f t="shared" si="51"/>
        <v>2992395.4285963499</v>
      </c>
      <c r="D513" s="67">
        <f t="array" ref="D513">SUM($B$7:$B508*$F$1009*EXP(-$F$1009*($A513-$A$7:$A508)))*$F$1010</f>
        <v>10225648.178910799</v>
      </c>
      <c r="E513" s="67">
        <f t="shared" si="49"/>
        <v>19.494295532249641</v>
      </c>
      <c r="F513" s="70">
        <f t="shared" si="53"/>
        <v>1.1836936247181984</v>
      </c>
      <c r="G513" s="67">
        <f>E513/'Lookup Tables'!$C$48</f>
        <v>38.988591064499282</v>
      </c>
      <c r="H513" s="70">
        <f t="shared" si="50"/>
        <v>3.4240801311999809E-3</v>
      </c>
      <c r="I513" s="71">
        <f t="shared" si="54"/>
        <v>5.6143571132878968E-2</v>
      </c>
      <c r="L513" s="74"/>
      <c r="M513" s="74"/>
      <c r="N513" s="74"/>
      <c r="O513" s="74"/>
      <c r="P513" s="74"/>
      <c r="Q513" s="74"/>
      <c r="R513" s="74"/>
      <c r="S513" s="74"/>
      <c r="T513" s="74"/>
      <c r="U513" s="74"/>
      <c r="V513" s="74"/>
      <c r="W513" s="74"/>
      <c r="X513" s="74"/>
      <c r="Y513" s="74"/>
    </row>
    <row r="514" spans="1:25" x14ac:dyDescent="0.3">
      <c r="A514" s="66">
        <f t="shared" si="52"/>
        <v>2040.6999999999539</v>
      </c>
      <c r="B514" s="67">
        <f>LOOKUP(A514+0.01,Amounts!$A$4:$A$103,Amounts!$B$4:$B$103)*0.1*$A$2</f>
        <v>0</v>
      </c>
      <c r="C514" s="68">
        <f t="shared" si="51"/>
        <v>2992395.4285963499</v>
      </c>
      <c r="D514" s="67">
        <f t="array" ref="D514">SUM($B$7:$B509*$F$1009*EXP(-$F$1009*($A514-$A$7:$A509)))*$F$1010</f>
        <v>10083486.557720074</v>
      </c>
      <c r="E514" s="67">
        <f t="shared" si="49"/>
        <v>19.223276951486095</v>
      </c>
      <c r="F514" s="70">
        <f t="shared" si="53"/>
        <v>1.1672373764942359</v>
      </c>
      <c r="G514" s="67">
        <f>E514/'Lookup Tables'!$C$48</f>
        <v>38.446553902972191</v>
      </c>
      <c r="H514" s="70">
        <f t="shared" si="50"/>
        <v>3.3764770087356018E-3</v>
      </c>
      <c r="I514" s="71">
        <f t="shared" si="54"/>
        <v>5.5363037620279963E-2</v>
      </c>
      <c r="L514" s="74"/>
      <c r="M514" s="74"/>
      <c r="N514" s="74"/>
      <c r="O514" s="74"/>
      <c r="P514" s="74"/>
      <c r="Q514" s="74"/>
      <c r="R514" s="74"/>
      <c r="S514" s="74"/>
      <c r="T514" s="74"/>
      <c r="U514" s="74"/>
      <c r="V514" s="74"/>
      <c r="W514" s="74"/>
      <c r="X514" s="74"/>
      <c r="Y514" s="74"/>
    </row>
    <row r="515" spans="1:25" x14ac:dyDescent="0.3">
      <c r="A515" s="66">
        <f t="shared" si="52"/>
        <v>2040.7999999999538</v>
      </c>
      <c r="B515" s="67">
        <f>LOOKUP(A515+0.01,Amounts!$A$4:$A$103,Amounts!$B$4:$B$103)*0.1*$A$2</f>
        <v>0</v>
      </c>
      <c r="C515" s="68">
        <f t="shared" si="51"/>
        <v>2992395.4285963499</v>
      </c>
      <c r="D515" s="67">
        <f t="array" ref="D515">SUM($B$7:$B510*$F$1009*EXP(-$F$1009*($A515-$A$7:$A510)))*$F$1010</f>
        <v>9943301.332175469</v>
      </c>
      <c r="E515" s="67">
        <f t="shared" si="49"/>
        <v>18.956026194545554</v>
      </c>
      <c r="F515" s="70">
        <f t="shared" si="53"/>
        <v>1.151009910532806</v>
      </c>
      <c r="G515" s="67">
        <f>E515/'Lookup Tables'!$C$48</f>
        <v>37.912052389091109</v>
      </c>
      <c r="H515" s="70">
        <f t="shared" si="50"/>
        <v>3.3295356865742335E-3</v>
      </c>
      <c r="I515" s="71">
        <f t="shared" si="54"/>
        <v>5.4593355440291196E-2</v>
      </c>
      <c r="L515" s="74"/>
      <c r="M515" s="74"/>
      <c r="N515" s="74"/>
      <c r="O515" s="74"/>
      <c r="P515" s="74"/>
      <c r="Q515" s="74"/>
      <c r="R515" s="74"/>
      <c r="S515" s="74"/>
      <c r="T515" s="74"/>
      <c r="U515" s="74"/>
      <c r="V515" s="74"/>
      <c r="W515" s="74"/>
      <c r="X515" s="74"/>
      <c r="Y515" s="74"/>
    </row>
    <row r="516" spans="1:25" x14ac:dyDescent="0.3">
      <c r="A516" s="66">
        <f t="shared" si="52"/>
        <v>2040.8999999999537</v>
      </c>
      <c r="B516" s="67">
        <f>LOOKUP(A516+0.01,Amounts!$A$4:$A$103,Amounts!$B$4:$B$103)*0.1*$A$2</f>
        <v>0</v>
      </c>
      <c r="C516" s="68">
        <f t="shared" si="51"/>
        <v>2992395.4285963499</v>
      </c>
      <c r="D516" s="67">
        <f t="array" ref="D516">SUM($B$7:$B511*$F$1009*EXP(-$F$1009*($A516-$A$7:$A511)))*$F$1010</f>
        <v>9805065.0255239997</v>
      </c>
      <c r="E516" s="67">
        <f t="shared" si="49"/>
        <v>18.692490879424092</v>
      </c>
      <c r="F516" s="70">
        <f t="shared" si="53"/>
        <v>1.1350080461986309</v>
      </c>
      <c r="G516" s="67">
        <f>E516/'Lookup Tables'!$C$48</f>
        <v>37.384981758848184</v>
      </c>
      <c r="H516" s="70">
        <f t="shared" si="50"/>
        <v>3.2832469640664544E-3</v>
      </c>
      <c r="I516" s="71">
        <f t="shared" si="54"/>
        <v>5.3834373732741386E-2</v>
      </c>
      <c r="L516" s="74"/>
      <c r="M516" s="74"/>
      <c r="N516" s="74"/>
      <c r="O516" s="74"/>
      <c r="P516" s="74"/>
      <c r="Q516" s="74"/>
      <c r="R516" s="74"/>
      <c r="S516" s="74"/>
      <c r="T516" s="74"/>
      <c r="U516" s="74"/>
      <c r="V516" s="74"/>
      <c r="W516" s="74"/>
      <c r="X516" s="74"/>
      <c r="Y516" s="74"/>
    </row>
    <row r="517" spans="1:25" x14ac:dyDescent="0.3">
      <c r="A517" s="66">
        <f t="shared" si="52"/>
        <v>2040.9999999999536</v>
      </c>
      <c r="B517" s="67">
        <f>LOOKUP(A517+0.01,Amounts!$A$4:$A$103,Amounts!$B$4:$B$103)*0.1*$A$2</f>
        <v>0</v>
      </c>
      <c r="C517" s="68">
        <f t="shared" si="51"/>
        <v>2992395.4285963499</v>
      </c>
      <c r="D517" s="67">
        <f t="array" ref="D517">SUM($B$7:$B512*$F$1009*EXP(-$F$1009*($A517-$A$7:$A512)))*$F$1010</f>
        <v>9668750.5430070143</v>
      </c>
      <c r="E517" s="67">
        <f t="shared" si="49"/>
        <v>18.432619352356276</v>
      </c>
      <c r="F517" s="70">
        <f t="shared" si="53"/>
        <v>1.1192286470750732</v>
      </c>
      <c r="G517" s="67">
        <f>E517/'Lookup Tables'!$C$48</f>
        <v>36.865238704712553</v>
      </c>
      <c r="H517" s="70">
        <f t="shared" si="50"/>
        <v>3.2376017684744691E-3</v>
      </c>
      <c r="I517" s="71">
        <f t="shared" si="54"/>
        <v>5.3085943734786083E-2</v>
      </c>
      <c r="L517" s="74"/>
      <c r="M517" s="74"/>
      <c r="N517" s="74"/>
      <c r="O517" s="74"/>
      <c r="P517" s="74"/>
      <c r="Q517" s="74"/>
      <c r="R517" s="74"/>
      <c r="S517" s="74"/>
      <c r="T517" s="74"/>
      <c r="U517" s="74"/>
      <c r="V517" s="74"/>
      <c r="W517" s="74"/>
      <c r="X517" s="74"/>
      <c r="Y517" s="74"/>
    </row>
    <row r="518" spans="1:25" x14ac:dyDescent="0.3">
      <c r="A518" s="66">
        <f t="shared" si="52"/>
        <v>2041.0999999999535</v>
      </c>
      <c r="B518" s="67">
        <f>LOOKUP(A518+0.01,Amounts!$A$4:$A$103,Amounts!$B$4:$B$103)*0.1*$A$2</f>
        <v>0</v>
      </c>
      <c r="C518" s="68">
        <f t="shared" si="51"/>
        <v>2992395.4285963499</v>
      </c>
      <c r="D518" s="67">
        <f t="array" ref="D518">SUM($B$7:$B513*$F$1009*EXP(-$F$1009*($A518-$A$7:$A513)))*$F$1010</f>
        <v>9534331.1665495504</v>
      </c>
      <c r="E518" s="67">
        <f t="shared" si="49"/>
        <v>18.176360677690859</v>
      </c>
      <c r="F518" s="70">
        <f t="shared" si="53"/>
        <v>1.1036686203493891</v>
      </c>
      <c r="G518" s="67">
        <f>E518/'Lookup Tables'!$C$48</f>
        <v>36.352721355381718</v>
      </c>
      <c r="H518" s="70">
        <f t="shared" si="50"/>
        <v>3.1925911531938134E-3</v>
      </c>
      <c r="I518" s="71">
        <f t="shared" si="54"/>
        <v>5.2347918751749677E-2</v>
      </c>
      <c r="L518" s="74"/>
      <c r="M518" s="74"/>
      <c r="N518" s="74"/>
      <c r="O518" s="74"/>
      <c r="P518" s="74"/>
      <c r="Q518" s="74"/>
      <c r="R518" s="74"/>
      <c r="S518" s="74"/>
      <c r="T518" s="74"/>
      <c r="U518" s="74"/>
      <c r="V518" s="74"/>
      <c r="W518" s="74"/>
      <c r="X518" s="74"/>
      <c r="Y518" s="74"/>
    </row>
    <row r="519" spans="1:25" x14ac:dyDescent="0.3">
      <c r="A519" s="66">
        <f t="shared" si="52"/>
        <v>2041.1999999999534</v>
      </c>
      <c r="B519" s="67">
        <f>LOOKUP(A519+0.01,Amounts!$A$4:$A$103,Amounts!$B$4:$B$103)*0.1*$A$2</f>
        <v>0</v>
      </c>
      <c r="C519" s="68">
        <f t="shared" si="51"/>
        <v>2992395.4285963499</v>
      </c>
      <c r="D519" s="67">
        <f t="array" ref="D519">SUM($B$7:$B514*$F$1009*EXP(-$F$1009*($A519-$A$7:$A514)))*$F$1010</f>
        <v>9401780.5495235007</v>
      </c>
      <c r="E519" s="67">
        <f t="shared" ref="E519:E582" si="55">D519/(365*24*60)*1.00201</f>
        <v>17.923664627907236</v>
      </c>
      <c r="F519" s="70">
        <f t="shared" si="53"/>
        <v>1.0883249162065276</v>
      </c>
      <c r="G519" s="67">
        <f>E519/'Lookup Tables'!$C$48</f>
        <v>35.847329255814472</v>
      </c>
      <c r="H519" s="70">
        <f t="shared" ref="H519:H582" si="56">G519*60*24*365/(C519*2000)</f>
        <v>3.1482062959997986E-3</v>
      </c>
      <c r="I519" s="71">
        <f t="shared" si="54"/>
        <v>5.1620154128372842E-2</v>
      </c>
      <c r="L519" s="74"/>
      <c r="M519" s="74"/>
      <c r="N519" s="74"/>
      <c r="O519" s="74"/>
      <c r="P519" s="74"/>
      <c r="Q519" s="74"/>
      <c r="R519" s="74"/>
      <c r="S519" s="74"/>
      <c r="T519" s="74"/>
      <c r="U519" s="74"/>
      <c r="V519" s="74"/>
      <c r="W519" s="74"/>
      <c r="X519" s="74"/>
      <c r="Y519" s="74"/>
    </row>
    <row r="520" spans="1:25" x14ac:dyDescent="0.3">
      <c r="A520" s="66">
        <f t="shared" si="52"/>
        <v>2041.2999999999533</v>
      </c>
      <c r="B520" s="67">
        <f>LOOKUP(A520+0.01,Amounts!$A$4:$A$103,Amounts!$B$4:$B$103)*0.1*$A$2</f>
        <v>0</v>
      </c>
      <c r="C520" s="68">
        <f t="shared" si="51"/>
        <v>2992395.4285963499</v>
      </c>
      <c r="D520" s="67">
        <f t="array" ref="D520">SUM($B$7:$B515*$F$1009*EXP(-$F$1009*($A520-$A$7:$A515)))*$F$1010</f>
        <v>9271072.7115835827</v>
      </c>
      <c r="E520" s="67">
        <f t="shared" si="55"/>
        <v>17.674481673770675</v>
      </c>
      <c r="F520" s="70">
        <f t="shared" si="53"/>
        <v>1.0731945272313554</v>
      </c>
      <c r="G520" s="67">
        <f>E520/'Lookup Tables'!$C$48</f>
        <v>35.34896334754135</v>
      </c>
      <c r="H520" s="70">
        <f t="shared" si="56"/>
        <v>3.1044384973183217E-3</v>
      </c>
      <c r="I520" s="71">
        <f t="shared" si="54"/>
        <v>5.0902507220459539E-2</v>
      </c>
      <c r="L520" s="74"/>
      <c r="M520" s="74"/>
      <c r="N520" s="74"/>
      <c r="O520" s="74"/>
      <c r="P520" s="74"/>
      <c r="Q520" s="74"/>
      <c r="R520" s="74"/>
      <c r="S520" s="74"/>
      <c r="T520" s="74"/>
      <c r="U520" s="74"/>
      <c r="V520" s="74"/>
      <c r="W520" s="74"/>
      <c r="X520" s="74"/>
      <c r="Y520" s="74"/>
    </row>
    <row r="521" spans="1:25" x14ac:dyDescent="0.3">
      <c r="A521" s="66">
        <f t="shared" si="52"/>
        <v>2041.3999999999533</v>
      </c>
      <c r="B521" s="67">
        <f>LOOKUP(A521+0.01,Amounts!$A$4:$A$103,Amounts!$B$4:$B$103)*0.1*$A$2</f>
        <v>0</v>
      </c>
      <c r="C521" s="68">
        <f t="shared" ref="C521:C584" si="57">C520+B521</f>
        <v>2992395.4285963499</v>
      </c>
      <c r="D521" s="67">
        <f t="array" ref="D521">SUM($B$7:$B516*$F$1009*EXP(-$F$1009*($A521-$A$7:$A516)))*$F$1010</f>
        <v>9142182.0335751176</v>
      </c>
      <c r="E521" s="67">
        <f t="shared" si="55"/>
        <v>17.428762974624437</v>
      </c>
      <c r="F521" s="70">
        <f t="shared" si="53"/>
        <v>1.0582744878191959</v>
      </c>
      <c r="G521" s="67">
        <f>E521/'Lookup Tables'!$C$48</f>
        <v>34.857525949248874</v>
      </c>
      <c r="H521" s="70">
        <f t="shared" si="56"/>
        <v>3.0612791785207243E-3</v>
      </c>
      <c r="I521" s="71">
        <f t="shared" si="54"/>
        <v>5.0194837366918377E-2</v>
      </c>
      <c r="L521" s="74"/>
      <c r="M521" s="74"/>
      <c r="N521" s="74"/>
      <c r="O521" s="74"/>
      <c r="P521" s="74"/>
      <c r="Q521" s="74"/>
      <c r="R521" s="74"/>
      <c r="S521" s="74"/>
      <c r="T521" s="74"/>
      <c r="U521" s="74"/>
      <c r="V521" s="74"/>
      <c r="W521" s="74"/>
      <c r="X521" s="74"/>
      <c r="Y521" s="74"/>
    </row>
    <row r="522" spans="1:25" x14ac:dyDescent="0.3">
      <c r="A522" s="66">
        <f t="shared" si="52"/>
        <v>2041.4999999999532</v>
      </c>
      <c r="B522" s="67">
        <f>LOOKUP(A522+0.01,Amounts!$A$4:$A$103,Amounts!$B$4:$B$103)*0.1*$A$2</f>
        <v>0</v>
      </c>
      <c r="C522" s="68">
        <f t="shared" si="57"/>
        <v>2992395.4285963499</v>
      </c>
      <c r="D522" s="67">
        <f t="array" ref="D522">SUM($B$7:$B517*$F$1009*EXP(-$F$1009*($A522-$A$7:$A517)))*$F$1010</f>
        <v>9015083.2525125965</v>
      </c>
      <c r="E522" s="67">
        <f t="shared" si="55"/>
        <v>17.186460368816874</v>
      </c>
      <c r="F522" s="70">
        <f t="shared" si="53"/>
        <v>1.0435618735945607</v>
      </c>
      <c r="G522" s="67">
        <f>E522/'Lookup Tables'!$C$48</f>
        <v>34.372920737633748</v>
      </c>
      <c r="H522" s="70">
        <f t="shared" si="56"/>
        <v>3.0187198802423569E-3</v>
      </c>
      <c r="I522" s="71">
        <f t="shared" si="54"/>
        <v>4.9497005862192599E-2</v>
      </c>
      <c r="L522" s="74"/>
      <c r="M522" s="74"/>
      <c r="N522" s="74"/>
      <c r="O522" s="74"/>
      <c r="P522" s="74"/>
      <c r="Q522" s="74"/>
      <c r="R522" s="74"/>
      <c r="S522" s="74"/>
      <c r="T522" s="74"/>
      <c r="U522" s="74"/>
      <c r="V522" s="74"/>
      <c r="W522" s="74"/>
      <c r="X522" s="74"/>
      <c r="Y522" s="74"/>
    </row>
    <row r="523" spans="1:25" x14ac:dyDescent="0.3">
      <c r="A523" s="66">
        <f t="shared" si="52"/>
        <v>2041.5999999999531</v>
      </c>
      <c r="B523" s="67">
        <f>LOOKUP(A523+0.01,Amounts!$A$4:$A$103,Amounts!$B$4:$B$103)*0.1*$A$2</f>
        <v>0</v>
      </c>
      <c r="C523" s="68">
        <f t="shared" si="57"/>
        <v>2992395.4285963499</v>
      </c>
      <c r="D523" s="67">
        <f t="array" ref="D523">SUM($B$7:$B518*$F$1009*EXP(-$F$1009*($A523-$A$7:$A518)))*$F$1010</f>
        <v>8889751.4566280376</v>
      </c>
      <c r="E523" s="67">
        <f t="shared" si="55"/>
        <v>16.947526364261527</v>
      </c>
      <c r="F523" s="70">
        <f t="shared" si="53"/>
        <v>1.0290538008379599</v>
      </c>
      <c r="G523" s="67">
        <f>E523/'Lookup Tables'!$C$48</f>
        <v>33.895052728523055</v>
      </c>
      <c r="H523" s="70">
        <f t="shared" si="56"/>
        <v>2.976752260724505E-3</v>
      </c>
      <c r="I523" s="71">
        <f t="shared" si="54"/>
        <v>4.8808875929073195E-2</v>
      </c>
      <c r="L523" s="74"/>
      <c r="M523" s="74"/>
      <c r="N523" s="74"/>
      <c r="O523" s="74"/>
      <c r="P523" s="74"/>
      <c r="Q523" s="74"/>
      <c r="R523" s="74"/>
      <c r="S523" s="74"/>
      <c r="T523" s="74"/>
      <c r="U523" s="74"/>
      <c r="V523" s="74"/>
      <c r="W523" s="74"/>
      <c r="X523" s="74"/>
      <c r="Y523" s="74"/>
    </row>
    <row r="524" spans="1:25" x14ac:dyDescent="0.3">
      <c r="A524" s="66">
        <f t="shared" si="52"/>
        <v>2041.699999999953</v>
      </c>
      <c r="B524" s="67">
        <f>LOOKUP(A524+0.01,Amounts!$A$4:$A$103,Amounts!$B$4:$B$103)*0.1*$A$2</f>
        <v>0</v>
      </c>
      <c r="C524" s="68">
        <f t="shared" si="57"/>
        <v>2992395.4285963499</v>
      </c>
      <c r="D524" s="67">
        <f t="array" ref="D524">SUM($B$7:$B519*$F$1009*EXP(-$F$1009*($A524-$A$7:$A519)))*$F$1010</f>
        <v>8766162.0804882199</v>
      </c>
      <c r="E524" s="67">
        <f t="shared" si="55"/>
        <v>16.711914129128619</v>
      </c>
      <c r="F524" s="70">
        <f t="shared" si="53"/>
        <v>1.0147474259206897</v>
      </c>
      <c r="G524" s="67">
        <f>E524/'Lookup Tables'!$C$48</f>
        <v>33.423828258257238</v>
      </c>
      <c r="H524" s="70">
        <f t="shared" si="56"/>
        <v>2.9353680941793959E-3</v>
      </c>
      <c r="I524" s="71">
        <f t="shared" si="54"/>
        <v>4.8130312691890421E-2</v>
      </c>
      <c r="L524" s="74"/>
      <c r="M524" s="74"/>
      <c r="N524" s="74"/>
      <c r="O524" s="74"/>
      <c r="P524" s="74"/>
      <c r="Q524" s="74"/>
      <c r="R524" s="74"/>
      <c r="S524" s="74"/>
      <c r="T524" s="74"/>
      <c r="U524" s="74"/>
      <c r="V524" s="74"/>
      <c r="W524" s="74"/>
      <c r="X524" s="74"/>
      <c r="Y524" s="74"/>
    </row>
    <row r="525" spans="1:25" x14ac:dyDescent="0.3">
      <c r="A525" s="66">
        <f t="shared" si="52"/>
        <v>2041.7999999999529</v>
      </c>
      <c r="B525" s="67">
        <f>LOOKUP(A525+0.01,Amounts!$A$4:$A$103,Amounts!$B$4:$B$103)*0.1*$A$2</f>
        <v>0</v>
      </c>
      <c r="C525" s="68">
        <f t="shared" si="57"/>
        <v>2992395.4285963499</v>
      </c>
      <c r="D525" s="67">
        <f t="array" ref="D525">SUM($B$7:$B520*$F$1009*EXP(-$F$1009*($A525-$A$7:$A520)))*$F$1010</f>
        <v>8644290.9001797624</v>
      </c>
      <c r="E525" s="67">
        <f t="shared" si="55"/>
        <v>16.479577482665761</v>
      </c>
      <c r="F525" s="70">
        <f t="shared" si="53"/>
        <v>1.000639944747465</v>
      </c>
      <c r="G525" s="67">
        <f>E525/'Lookup Tables'!$C$48</f>
        <v>32.959154965331521</v>
      </c>
      <c r="H525" s="70">
        <f t="shared" si="56"/>
        <v>2.8945592691778949E-3</v>
      </c>
      <c r="I525" s="71">
        <f t="shared" si="54"/>
        <v>4.7461183150077385E-2</v>
      </c>
      <c r="L525" s="74"/>
      <c r="M525" s="74"/>
      <c r="N525" s="74"/>
      <c r="O525" s="74"/>
      <c r="P525" s="74"/>
      <c r="Q525" s="74"/>
      <c r="R525" s="74"/>
      <c r="S525" s="74"/>
      <c r="T525" s="74"/>
      <c r="U525" s="74"/>
      <c r="V525" s="74"/>
      <c r="W525" s="74"/>
      <c r="X525" s="74"/>
      <c r="Y525" s="74"/>
    </row>
    <row r="526" spans="1:25" x14ac:dyDescent="0.3">
      <c r="A526" s="66">
        <f t="shared" si="52"/>
        <v>2041.8999999999528</v>
      </c>
      <c r="B526" s="67">
        <f>LOOKUP(A526+0.01,Amounts!$A$4:$A$103,Amounts!$B$4:$B$103)*0.1*$A$2</f>
        <v>0</v>
      </c>
      <c r="C526" s="68">
        <f t="shared" si="57"/>
        <v>2992395.4285963499</v>
      </c>
      <c r="D526" s="67">
        <f t="array" ref="D526">SUM($B$7:$B521*$F$1009*EXP(-$F$1009*($A526-$A$7:$A521)))*$F$1010</f>
        <v>8524114.0285611767</v>
      </c>
      <c r="E526" s="67">
        <f t="shared" si="55"/>
        <v>16.25047088614647</v>
      </c>
      <c r="F526" s="70">
        <f t="shared" si="53"/>
        <v>0.98672859220681364</v>
      </c>
      <c r="G526" s="67">
        <f>E526/'Lookup Tables'!$C$48</f>
        <v>32.50094177229294</v>
      </c>
      <c r="H526" s="70">
        <f t="shared" si="56"/>
        <v>2.854317787059663E-3</v>
      </c>
      <c r="I526" s="71">
        <f t="shared" si="54"/>
        <v>4.6801356152101833E-2</v>
      </c>
      <c r="L526" s="74"/>
      <c r="M526" s="74"/>
      <c r="N526" s="74"/>
      <c r="O526" s="74"/>
      <c r="P526" s="74"/>
      <c r="Q526" s="74"/>
      <c r="R526" s="74"/>
      <c r="S526" s="74"/>
      <c r="T526" s="74"/>
      <c r="U526" s="74"/>
      <c r="V526" s="74"/>
      <c r="W526" s="74"/>
      <c r="X526" s="74"/>
      <c r="Y526" s="74"/>
    </row>
    <row r="527" spans="1:25" x14ac:dyDescent="0.3">
      <c r="A527" s="66">
        <f t="shared" si="52"/>
        <v>2041.9999999999527</v>
      </c>
      <c r="B527" s="67">
        <f>LOOKUP(A527+0.01,Amounts!$A$4:$A$103,Amounts!$B$4:$B$103)*0.1*$A$2</f>
        <v>0</v>
      </c>
      <c r="C527" s="68">
        <f t="shared" si="57"/>
        <v>2992395.4285963499</v>
      </c>
      <c r="D527" s="67">
        <f t="array" ref="D527">SUM($B$7:$B522*$F$1009*EXP(-$F$1009*($A527-$A$7:$A522)))*$F$1010</f>
        <v>8405607.910580894</v>
      </c>
      <c r="E527" s="67">
        <f t="shared" si="55"/>
        <v>16.024549433944372</v>
      </c>
      <c r="F527" s="70">
        <f t="shared" si="53"/>
        <v>0.97301064162910234</v>
      </c>
      <c r="G527" s="67">
        <f>E527/'Lookup Tables'!$C$48</f>
        <v>32.049098867888745</v>
      </c>
      <c r="H527" s="70">
        <f t="shared" si="56"/>
        <v>2.8146357603653759E-3</v>
      </c>
      <c r="I527" s="71">
        <f t="shared" si="54"/>
        <v>4.6150702369759794E-2</v>
      </c>
      <c r="L527" s="74"/>
      <c r="M527" s="74"/>
      <c r="N527" s="74"/>
      <c r="O527" s="74"/>
      <c r="P527" s="74"/>
      <c r="Q527" s="74"/>
      <c r="R527" s="74"/>
      <c r="S527" s="74"/>
      <c r="T527" s="74"/>
      <c r="U527" s="74"/>
      <c r="V527" s="74"/>
      <c r="W527" s="74"/>
      <c r="X527" s="74"/>
      <c r="Y527" s="74"/>
    </row>
    <row r="528" spans="1:25" x14ac:dyDescent="0.3">
      <c r="A528" s="66">
        <f t="shared" si="52"/>
        <v>2042.0999999999526</v>
      </c>
      <c r="B528" s="67">
        <f>LOOKUP(A528+0.01,Amounts!$A$4:$A$103,Amounts!$B$4:$B$103)*0.1*$A$2</f>
        <v>0</v>
      </c>
      <c r="C528" s="68">
        <f t="shared" si="57"/>
        <v>2992395.4285963499</v>
      </c>
      <c r="D528" s="67">
        <f t="array" ref="D528">SUM($B$7:$B523*$F$1009*EXP(-$F$1009*($A528-$A$7:$A523)))*$F$1010</f>
        <v>8288749.3186604111</v>
      </c>
      <c r="E528" s="67">
        <f t="shared" si="55"/>
        <v>15.801768844731582</v>
      </c>
      <c r="F528" s="70">
        <f t="shared" si="53"/>
        <v>0.95948340425210166</v>
      </c>
      <c r="G528" s="67">
        <f>E528/'Lookup Tables'!$C$48</f>
        <v>31.603537689463163</v>
      </c>
      <c r="H528" s="70">
        <f t="shared" si="56"/>
        <v>2.7755054112907659E-3</v>
      </c>
      <c r="I528" s="71">
        <f t="shared" si="54"/>
        <v>4.5509094272826955E-2</v>
      </c>
      <c r="L528" s="74"/>
      <c r="M528" s="74"/>
      <c r="N528" s="74"/>
      <c r="O528" s="74"/>
      <c r="P528" s="74"/>
      <c r="Q528" s="74"/>
      <c r="R528" s="74"/>
      <c r="S528" s="74"/>
      <c r="T528" s="74"/>
      <c r="U528" s="74"/>
      <c r="V528" s="74"/>
      <c r="W528" s="74"/>
      <c r="X528" s="74"/>
      <c r="Y528" s="74"/>
    </row>
    <row r="529" spans="1:25" x14ac:dyDescent="0.3">
      <c r="A529" s="66">
        <f t="shared" si="52"/>
        <v>2042.1999999999525</v>
      </c>
      <c r="B529" s="67">
        <f>LOOKUP(A529+0.01,Amounts!$A$4:$A$103,Amounts!$B$4:$B$103)*0.1*$A$2</f>
        <v>0</v>
      </c>
      <c r="C529" s="68">
        <f t="shared" si="57"/>
        <v>2992395.4285963499</v>
      </c>
      <c r="D529" s="67">
        <f t="array" ref="D529">SUM($B$7:$B524*$F$1009*EXP(-$F$1009*($A529-$A$7:$A524)))*$F$1010</f>
        <v>8173515.348141606</v>
      </c>
      <c r="E529" s="67">
        <f t="shared" si="55"/>
        <v>15.582085452799411</v>
      </c>
      <c r="F529" s="70">
        <f t="shared" si="53"/>
        <v>0.94614422869398029</v>
      </c>
      <c r="G529" s="67">
        <f>E529/'Lookup Tables'!$C$48</f>
        <v>31.164170905598823</v>
      </c>
      <c r="H529" s="70">
        <f t="shared" si="56"/>
        <v>2.7369190701621434E-3</v>
      </c>
      <c r="I529" s="71">
        <f t="shared" si="54"/>
        <v>4.4876406104062308E-2</v>
      </c>
      <c r="L529" s="74"/>
      <c r="M529" s="74"/>
      <c r="N529" s="74"/>
      <c r="O529" s="74"/>
      <c r="P529" s="74"/>
      <c r="Q529" s="74"/>
      <c r="R529" s="74"/>
      <c r="S529" s="74"/>
      <c r="T529" s="74"/>
      <c r="U529" s="74"/>
      <c r="V529" s="74"/>
      <c r="W529" s="74"/>
      <c r="X529" s="74"/>
      <c r="Y529" s="74"/>
    </row>
    <row r="530" spans="1:25" x14ac:dyDescent="0.3">
      <c r="A530" s="66">
        <f t="shared" si="52"/>
        <v>2042.2999999999524</v>
      </c>
      <c r="B530" s="67">
        <f>LOOKUP(A530+0.01,Amounts!$A$4:$A$103,Amounts!$B$4:$B$103)*0.1*$A$2</f>
        <v>0</v>
      </c>
      <c r="C530" s="68">
        <f t="shared" si="57"/>
        <v>2992395.4285963499</v>
      </c>
      <c r="D530" s="67">
        <f t="array" ref="D530">SUM($B$7:$B525*$F$1009*EXP(-$F$1009*($A530-$A$7:$A525)))*$F$1010</f>
        <v>8059883.4127973495</v>
      </c>
      <c r="E530" s="67">
        <f t="shared" si="55"/>
        <v>15.365456199499757</v>
      </c>
      <c r="F530" s="70">
        <f t="shared" si="53"/>
        <v>0.93299050043362519</v>
      </c>
      <c r="G530" s="67">
        <f>E530/'Lookup Tables'!$C$48</f>
        <v>30.730912398999514</v>
      </c>
      <c r="H530" s="70">
        <f t="shared" si="56"/>
        <v>2.6988691739331192E-3</v>
      </c>
      <c r="I530" s="71">
        <f t="shared" si="54"/>
        <v>4.4252513854559299E-2</v>
      </c>
      <c r="L530" s="74"/>
      <c r="M530" s="74"/>
      <c r="N530" s="74"/>
      <c r="O530" s="74"/>
      <c r="P530" s="74"/>
      <c r="Q530" s="74"/>
      <c r="R530" s="74"/>
      <c r="S530" s="74"/>
      <c r="T530" s="74"/>
      <c r="U530" s="74"/>
      <c r="V530" s="74"/>
      <c r="W530" s="74"/>
      <c r="X530" s="74"/>
      <c r="Y530" s="74"/>
    </row>
    <row r="531" spans="1:25" x14ac:dyDescent="0.3">
      <c r="A531" s="66">
        <f t="shared" ref="A531:A594" si="58">A530+0.1</f>
        <v>2042.3999999999523</v>
      </c>
      <c r="B531" s="67">
        <f>LOOKUP(A531+0.01,Amounts!$A$4:$A$103,Amounts!$B$4:$B$103)*0.1*$A$2</f>
        <v>0</v>
      </c>
      <c r="C531" s="68">
        <f t="shared" si="57"/>
        <v>2992395.4285963499</v>
      </c>
      <c r="D531" s="67">
        <f t="array" ref="D531">SUM($B$7:$B526*$F$1009*EXP(-$F$1009*($A531-$A$7:$A526)))*$F$1010</f>
        <v>7947831.2404045444</v>
      </c>
      <c r="E531" s="67">
        <f t="shared" si="55"/>
        <v>15.151838624805475</v>
      </c>
      <c r="F531" s="70">
        <f t="shared" ref="F531:F594" si="59">E531*60*1012/1000000</f>
        <v>0.92001964129818847</v>
      </c>
      <c r="G531" s="67">
        <f>E531/'Lookup Tables'!$C$48</f>
        <v>30.303677249610949</v>
      </c>
      <c r="H531" s="70">
        <f t="shared" si="56"/>
        <v>2.6613482647022224E-3</v>
      </c>
      <c r="I531" s="71">
        <f t="shared" ref="I531:I594" si="60">G531*60*24/1000000</f>
        <v>4.3637295239439773E-2</v>
      </c>
      <c r="L531" s="74"/>
      <c r="M531" s="74"/>
      <c r="N531" s="74"/>
      <c r="O531" s="74"/>
      <c r="P531" s="74"/>
      <c r="Q531" s="74"/>
      <c r="R531" s="74"/>
      <c r="S531" s="74"/>
      <c r="T531" s="74"/>
      <c r="U531" s="74"/>
      <c r="V531" s="74"/>
      <c r="W531" s="74"/>
      <c r="X531" s="74"/>
      <c r="Y531" s="74"/>
    </row>
    <row r="532" spans="1:25" x14ac:dyDescent="0.3">
      <c r="A532" s="66">
        <f t="shared" si="58"/>
        <v>2042.4999999999523</v>
      </c>
      <c r="B532" s="67">
        <f>LOOKUP(A532+0.01,Amounts!$A$4:$A$103,Amounts!$B$4:$B$103)*0.1*$A$2</f>
        <v>0</v>
      </c>
      <c r="C532" s="68">
        <f t="shared" si="57"/>
        <v>2992395.4285963499</v>
      </c>
      <c r="D532" s="67">
        <f t="array" ref="D532">SUM($B$7:$B527*$F$1009*EXP(-$F$1009*($A532-$A$7:$A527)))*$F$1010</f>
        <v>7837336.8683786755</v>
      </c>
      <c r="E532" s="67">
        <f t="shared" si="55"/>
        <v>14.941190858988048</v>
      </c>
      <c r="F532" s="70">
        <f t="shared" si="59"/>
        <v>0.90722910895775422</v>
      </c>
      <c r="G532" s="67">
        <f>E532/'Lookup Tables'!$C$48</f>
        <v>29.882381717976095</v>
      </c>
      <c r="H532" s="70">
        <f t="shared" si="56"/>
        <v>2.6243489882511236E-3</v>
      </c>
      <c r="I532" s="71">
        <f t="shared" si="60"/>
        <v>4.3030629673885573E-2</v>
      </c>
      <c r="L532" s="74"/>
      <c r="M532" s="74"/>
      <c r="N532" s="74"/>
      <c r="O532" s="74"/>
      <c r="P532" s="74"/>
      <c r="Q532" s="74"/>
      <c r="R532" s="74"/>
      <c r="S532" s="74"/>
      <c r="T532" s="74"/>
      <c r="U532" s="74"/>
      <c r="V532" s="74"/>
      <c r="W532" s="74"/>
      <c r="X532" s="74"/>
      <c r="Y532" s="74"/>
    </row>
    <row r="533" spans="1:25" x14ac:dyDescent="0.3">
      <c r="A533" s="66">
        <f t="shared" si="58"/>
        <v>2042.5999999999522</v>
      </c>
      <c r="B533" s="67">
        <f>LOOKUP(A533+0.01,Amounts!$A$4:$A$103,Amounts!$B$4:$B$103)*0.1*$A$2</f>
        <v>0</v>
      </c>
      <c r="C533" s="68">
        <f t="shared" si="57"/>
        <v>2992395.4285963499</v>
      </c>
      <c r="D533" s="67">
        <f t="array" ref="D533">SUM($B$7:$B528*$F$1009*EXP(-$F$1009*($A533-$A$7:$A528)))*$F$1010</f>
        <v>7728378.6394690992</v>
      </c>
      <c r="E533" s="67">
        <f t="shared" si="55"/>
        <v>14.733471614411021</v>
      </c>
      <c r="F533" s="70">
        <f t="shared" si="59"/>
        <v>0.89461639642703716</v>
      </c>
      <c r="G533" s="67">
        <f>E533/'Lookup Tables'!$C$48</f>
        <v>29.466943228822043</v>
      </c>
      <c r="H533" s="70">
        <f t="shared" si="56"/>
        <v>2.5878640926031921E-3</v>
      </c>
      <c r="I533" s="71">
        <f t="shared" si="60"/>
        <v>4.243239824950374E-2</v>
      </c>
      <c r="L533" s="74"/>
      <c r="M533" s="74"/>
      <c r="N533" s="74"/>
      <c r="O533" s="74"/>
      <c r="P533" s="74"/>
      <c r="Q533" s="74"/>
      <c r="R533" s="74"/>
      <c r="S533" s="74"/>
      <c r="T533" s="74"/>
      <c r="U533" s="74"/>
      <c r="V533" s="74"/>
      <c r="W533" s="74"/>
      <c r="X533" s="74"/>
      <c r="Y533" s="74"/>
    </row>
    <row r="534" spans="1:25" x14ac:dyDescent="0.3">
      <c r="A534" s="66">
        <f t="shared" si="58"/>
        <v>2042.6999999999521</v>
      </c>
      <c r="B534" s="67">
        <f>LOOKUP(A534+0.01,Amounts!$A$4:$A$103,Amounts!$B$4:$B$103)*0.1*$A$2</f>
        <v>0</v>
      </c>
      <c r="C534" s="68">
        <f t="shared" si="57"/>
        <v>2992395.4285963499</v>
      </c>
      <c r="D534" s="67">
        <f t="array" ref="D534">SUM($B$7:$B529*$F$1009*EXP(-$F$1009*($A534-$A$7:$A529)))*$F$1010</f>
        <v>7620935.1975141326</v>
      </c>
      <c r="E534" s="67">
        <f t="shared" si="55"/>
        <v>14.528640177437474</v>
      </c>
      <c r="F534" s="70">
        <f t="shared" si="59"/>
        <v>0.88217903157400335</v>
      </c>
      <c r="G534" s="67">
        <f>E534/'Lookup Tables'!$C$48</f>
        <v>29.057280354874948</v>
      </c>
      <c r="H534" s="70">
        <f t="shared" si="56"/>
        <v>2.5518864266020794E-3</v>
      </c>
      <c r="I534" s="71">
        <f t="shared" si="60"/>
        <v>4.184248371101993E-2</v>
      </c>
      <c r="L534" s="74"/>
      <c r="M534" s="74"/>
      <c r="N534" s="74"/>
      <c r="O534" s="74"/>
      <c r="P534" s="74"/>
      <c r="Q534" s="74"/>
      <c r="R534" s="74"/>
      <c r="S534" s="74"/>
      <c r="T534" s="74"/>
      <c r="U534" s="74"/>
      <c r="V534" s="74"/>
      <c r="W534" s="74"/>
      <c r="X534" s="74"/>
      <c r="Y534" s="74"/>
    </row>
    <row r="535" spans="1:25" x14ac:dyDescent="0.3">
      <c r="A535" s="66">
        <f t="shared" si="58"/>
        <v>2042.799999999952</v>
      </c>
      <c r="B535" s="67">
        <f>LOOKUP(A535+0.01,Amounts!$A$4:$A$103,Amounts!$B$4:$B$103)*0.1*$A$2</f>
        <v>0</v>
      </c>
      <c r="C535" s="68">
        <f t="shared" si="57"/>
        <v>2992395.4285963499</v>
      </c>
      <c r="D535" s="67">
        <f t="array" ref="D535">SUM($B$7:$B530*$F$1009*EXP(-$F$1009*($A535-$A$7:$A530)))*$F$1010</f>
        <v>7514985.4832551889</v>
      </c>
      <c r="E535" s="67">
        <f t="shared" si="55"/>
        <v>14.326656400450023</v>
      </c>
      <c r="F535" s="70">
        <f t="shared" si="59"/>
        <v>0.86991457663532545</v>
      </c>
      <c r="G535" s="67">
        <f>E535/'Lookup Tables'!$C$48</f>
        <v>28.653312800900046</v>
      </c>
      <c r="H535" s="70">
        <f t="shared" si="56"/>
        <v>2.5164089385100721E-3</v>
      </c>
      <c r="I535" s="71">
        <f t="shared" si="60"/>
        <v>4.1260770433296068E-2</v>
      </c>
      <c r="L535" s="74"/>
      <c r="M535" s="74"/>
      <c r="N535" s="74"/>
      <c r="O535" s="74"/>
      <c r="P535" s="74"/>
      <c r="Q535" s="74"/>
      <c r="R535" s="74"/>
      <c r="S535" s="74"/>
      <c r="T535" s="74"/>
      <c r="U535" s="74"/>
      <c r="V535" s="74"/>
      <c r="W535" s="74"/>
      <c r="X535" s="74"/>
      <c r="Y535" s="74"/>
    </row>
    <row r="536" spans="1:25" x14ac:dyDescent="0.3">
      <c r="A536" s="66">
        <f t="shared" si="58"/>
        <v>2042.8999999999519</v>
      </c>
      <c r="B536" s="67">
        <f>LOOKUP(A536+0.01,Amounts!$A$4:$A$103,Amounts!$B$4:$B$103)*0.1*$A$2</f>
        <v>0</v>
      </c>
      <c r="C536" s="68">
        <f t="shared" si="57"/>
        <v>2992395.4285963499</v>
      </c>
      <c r="D536" s="67">
        <f t="array" ref="D536">SUM($B$7:$B531*$F$1009*EXP(-$F$1009*($A536-$A$7:$A531)))*$F$1010</f>
        <v>7410508.7302090917</v>
      </c>
      <c r="E536" s="67">
        <f t="shared" si="55"/>
        <v>14.127480693981759</v>
      </c>
      <c r="F536" s="70">
        <f t="shared" si="59"/>
        <v>0.85782062773857237</v>
      </c>
      <c r="G536" s="67">
        <f>E536/'Lookup Tables'!$C$48</f>
        <v>28.254961387963519</v>
      </c>
      <c r="H536" s="70">
        <f t="shared" si="56"/>
        <v>2.4814246746259283E-3</v>
      </c>
      <c r="I536" s="71">
        <f t="shared" si="60"/>
        <v>4.0687144398667462E-2</v>
      </c>
      <c r="L536" s="74"/>
      <c r="M536" s="74"/>
      <c r="N536" s="74"/>
      <c r="O536" s="74"/>
      <c r="P536" s="74"/>
      <c r="Q536" s="74"/>
      <c r="R536" s="74"/>
      <c r="S536" s="74"/>
      <c r="T536" s="74"/>
      <c r="U536" s="74"/>
      <c r="V536" s="74"/>
      <c r="W536" s="74"/>
      <c r="X536" s="74"/>
      <c r="Y536" s="74"/>
    </row>
    <row r="537" spans="1:25" x14ac:dyDescent="0.3">
      <c r="A537" s="66">
        <f t="shared" si="58"/>
        <v>2042.9999999999518</v>
      </c>
      <c r="B537" s="67">
        <f>LOOKUP(A537+0.01,Amounts!$A$4:$A$103,Amounts!$B$4:$B$103)*0.1*$A$2</f>
        <v>0</v>
      </c>
      <c r="C537" s="68">
        <f t="shared" si="57"/>
        <v>2992395.4285963499</v>
      </c>
      <c r="D537" s="67">
        <f t="array" ref="D537">SUM($B$7:$B532*$F$1009*EXP(-$F$1009*($A537-$A$7:$A532)))*$F$1010</f>
        <v>7307484.4605977777</v>
      </c>
      <c r="E537" s="67">
        <f t="shared" si="55"/>
        <v>13.931074018956583</v>
      </c>
      <c r="F537" s="70">
        <f t="shared" si="59"/>
        <v>0.84589481443104364</v>
      </c>
      <c r="G537" s="67">
        <f>E537/'Lookup Tables'!$C$48</f>
        <v>27.862148037913165</v>
      </c>
      <c r="H537" s="70">
        <f t="shared" si="56"/>
        <v>2.4469267779219303E-3</v>
      </c>
      <c r="I537" s="71">
        <f t="shared" si="60"/>
        <v>4.0121493174594958E-2</v>
      </c>
      <c r="L537" s="74"/>
      <c r="M537" s="74"/>
      <c r="N537" s="74"/>
      <c r="O537" s="74"/>
      <c r="P537" s="74"/>
      <c r="Q537" s="74"/>
      <c r="R537" s="74"/>
      <c r="S537" s="74"/>
      <c r="T537" s="74"/>
      <c r="U537" s="74"/>
      <c r="V537" s="74"/>
      <c r="W537" s="74"/>
      <c r="X537" s="74"/>
      <c r="Y537" s="74"/>
    </row>
    <row r="538" spans="1:25" x14ac:dyDescent="0.3">
      <c r="A538" s="66">
        <f t="shared" si="58"/>
        <v>2043.0999999999517</v>
      </c>
      <c r="B538" s="67">
        <f>LOOKUP(A538+0.01,Amounts!$A$4:$A$103,Amounts!$B$4:$B$103)*0.1*$A$2</f>
        <v>0</v>
      </c>
      <c r="C538" s="68">
        <f t="shared" si="57"/>
        <v>2992395.4285963499</v>
      </c>
      <c r="D538" s="67">
        <f t="array" ref="D538">SUM($B$7:$B533*$F$1009*EXP(-$F$1009*($A538-$A$7:$A533)))*$F$1010</f>
        <v>7205892.4813345866</v>
      </c>
      <c r="E538" s="67">
        <f t="shared" si="55"/>
        <v>13.737397879037422</v>
      </c>
      <c r="F538" s="70">
        <f t="shared" si="59"/>
        <v>0.83413479921515232</v>
      </c>
      <c r="G538" s="67">
        <f>E538/'Lookup Tables'!$C$48</f>
        <v>27.474795758074844</v>
      </c>
      <c r="H538" s="70">
        <f t="shared" si="56"/>
        <v>2.412908486699884E-3</v>
      </c>
      <c r="I538" s="71">
        <f t="shared" si="60"/>
        <v>3.9563705891627776E-2</v>
      </c>
      <c r="L538" s="74"/>
      <c r="M538" s="74"/>
      <c r="N538" s="74"/>
      <c r="O538" s="74"/>
      <c r="P538" s="74"/>
      <c r="Q538" s="74"/>
      <c r="R538" s="74"/>
      <c r="S538" s="74"/>
      <c r="T538" s="74"/>
      <c r="U538" s="74"/>
      <c r="V538" s="74"/>
      <c r="W538" s="74"/>
      <c r="X538" s="74"/>
      <c r="Y538" s="74"/>
    </row>
    <row r="539" spans="1:25" x14ac:dyDescent="0.3">
      <c r="A539" s="66">
        <f t="shared" si="58"/>
        <v>2043.1999999999516</v>
      </c>
      <c r="B539" s="67">
        <f>LOOKUP(A539+0.01,Amounts!$A$4:$A$103,Amounts!$B$4:$B$103)*0.1*$A$2</f>
        <v>0</v>
      </c>
      <c r="C539" s="68">
        <f t="shared" si="57"/>
        <v>2992395.4285963499</v>
      </c>
      <c r="D539" s="67">
        <f t="array" ref="D539">SUM($B$7:$B534*$F$1009*EXP(-$F$1009*($A539-$A$7:$A534)))*$F$1010</f>
        <v>7105712.8800663473</v>
      </c>
      <c r="E539" s="67">
        <f t="shared" si="55"/>
        <v>13.546414313080824</v>
      </c>
      <c r="F539" s="70">
        <f t="shared" si="59"/>
        <v>0.82253827709026761</v>
      </c>
      <c r="G539" s="67">
        <f>E539/'Lookup Tables'!$C$48</f>
        <v>27.092828626161648</v>
      </c>
      <c r="H539" s="70">
        <f t="shared" si="56"/>
        <v>2.3793631332658049E-3</v>
      </c>
      <c r="I539" s="71">
        <f t="shared" si="60"/>
        <v>3.9013673221672776E-2</v>
      </c>
      <c r="L539" s="74"/>
      <c r="M539" s="74"/>
      <c r="N539" s="74"/>
      <c r="O539" s="74"/>
      <c r="P539" s="74"/>
      <c r="Q539" s="74"/>
      <c r="R539" s="74"/>
      <c r="S539" s="74"/>
      <c r="T539" s="74"/>
      <c r="U539" s="74"/>
      <c r="V539" s="74"/>
      <c r="W539" s="74"/>
      <c r="X539" s="74"/>
      <c r="Y539" s="74"/>
    </row>
    <row r="540" spans="1:25" x14ac:dyDescent="0.3">
      <c r="A540" s="66">
        <f t="shared" si="58"/>
        <v>2043.2999999999515</v>
      </c>
      <c r="B540" s="67">
        <f>LOOKUP(A540+0.01,Amounts!$A$4:$A$103,Amounts!$B$4:$B$103)*0.1*$A$2</f>
        <v>0</v>
      </c>
      <c r="C540" s="68">
        <f t="shared" si="57"/>
        <v>2992395.4285963499</v>
      </c>
      <c r="D540" s="67">
        <f t="array" ref="D540">SUM($B$7:$B535*$F$1009*EXP(-$F$1009*($A540-$A$7:$A535)))*$F$1010</f>
        <v>7006926.0212704986</v>
      </c>
      <c r="E540" s="67">
        <f t="shared" si="55"/>
        <v>13.358085887696447</v>
      </c>
      <c r="F540" s="70">
        <f t="shared" si="59"/>
        <v>0.81110297510092821</v>
      </c>
      <c r="G540" s="67">
        <f>E540/'Lookup Tables'!$C$48</f>
        <v>26.716171775392894</v>
      </c>
      <c r="H540" s="70">
        <f t="shared" si="56"/>
        <v>2.3462841426230272E-3</v>
      </c>
      <c r="I540" s="71">
        <f t="shared" si="60"/>
        <v>3.8471287356565763E-2</v>
      </c>
      <c r="L540" s="74"/>
      <c r="M540" s="74"/>
      <c r="N540" s="74"/>
      <c r="O540" s="74"/>
      <c r="P540" s="74"/>
      <c r="Q540" s="74"/>
      <c r="R540" s="74"/>
      <c r="S540" s="74"/>
      <c r="T540" s="74"/>
      <c r="U540" s="74"/>
      <c r="V540" s="74"/>
      <c r="W540" s="74"/>
      <c r="X540" s="74"/>
      <c r="Y540" s="74"/>
    </row>
    <row r="541" spans="1:25" x14ac:dyDescent="0.3">
      <c r="A541" s="66">
        <f t="shared" si="58"/>
        <v>2043.3999999999514</v>
      </c>
      <c r="B541" s="67">
        <f>LOOKUP(A541+0.01,Amounts!$A$4:$A$103,Amounts!$B$4:$B$103)*0.1*$A$2</f>
        <v>0</v>
      </c>
      <c r="C541" s="68">
        <f t="shared" si="57"/>
        <v>2992395.4285963499</v>
      </c>
      <c r="D541" s="67">
        <f t="array" ref="D541">SUM($B$7:$B536*$F$1009*EXP(-$F$1009*($A541-$A$7:$A536)))*$F$1010</f>
        <v>6909512.5424064724</v>
      </c>
      <c r="E541" s="67">
        <f t="shared" si="55"/>
        <v>13.172375689910027</v>
      </c>
      <c r="F541" s="70">
        <f t="shared" si="59"/>
        <v>0.79982665189133673</v>
      </c>
      <c r="G541" s="67">
        <f>E541/'Lookup Tables'!$C$48</f>
        <v>26.344751379820053</v>
      </c>
      <c r="H541" s="70">
        <f t="shared" si="56"/>
        <v>2.313665031183491E-3</v>
      </c>
      <c r="I541" s="71">
        <f t="shared" si="60"/>
        <v>3.7936441986940871E-2</v>
      </c>
      <c r="L541" s="74"/>
      <c r="M541" s="74"/>
      <c r="N541" s="74"/>
      <c r="O541" s="74"/>
      <c r="P541" s="74"/>
      <c r="Q541" s="74"/>
      <c r="R541" s="74"/>
      <c r="S541" s="74"/>
      <c r="T541" s="74"/>
      <c r="U541" s="74"/>
      <c r="V541" s="74"/>
      <c r="W541" s="74"/>
      <c r="X541" s="74"/>
      <c r="Y541" s="74"/>
    </row>
    <row r="542" spans="1:25" x14ac:dyDescent="0.3">
      <c r="A542" s="66">
        <f t="shared" si="58"/>
        <v>2043.4999999999513</v>
      </c>
      <c r="B542" s="67">
        <f>LOOKUP(A542+0.01,Amounts!$A$4:$A$103,Amounts!$B$4:$B$103)*0.1*$A$2</f>
        <v>0</v>
      </c>
      <c r="C542" s="68">
        <f t="shared" si="57"/>
        <v>2992395.4285963499</v>
      </c>
      <c r="D542" s="67">
        <f t="array" ref="D542">SUM($B$7:$B537*$F$1009*EXP(-$F$1009*($A542-$A$7:$A537)))*$F$1010</f>
        <v>6813453.3501205519</v>
      </c>
      <c r="E542" s="67">
        <f t="shared" si="55"/>
        <v>12.989247319928262</v>
      </c>
      <c r="F542" s="70">
        <f t="shared" si="59"/>
        <v>0.78870709726604415</v>
      </c>
      <c r="G542" s="67">
        <f>E542/'Lookup Tables'!$C$48</f>
        <v>25.978494639856525</v>
      </c>
      <c r="H542" s="70">
        <f t="shared" si="56"/>
        <v>2.281499405496927E-3</v>
      </c>
      <c r="I542" s="71">
        <f t="shared" si="60"/>
        <v>3.7409032281393396E-2</v>
      </c>
      <c r="L542" s="74"/>
      <c r="M542" s="74"/>
      <c r="N542" s="74"/>
      <c r="O542" s="74"/>
      <c r="P542" s="74"/>
      <c r="Q542" s="74"/>
      <c r="R542" s="74"/>
      <c r="S542" s="74"/>
      <c r="T542" s="74"/>
      <c r="U542" s="74"/>
      <c r="V542" s="74"/>
      <c r="W542" s="74"/>
      <c r="X542" s="74"/>
      <c r="Y542" s="74"/>
    </row>
    <row r="543" spans="1:25" x14ac:dyDescent="0.3">
      <c r="A543" s="66">
        <f t="shared" si="58"/>
        <v>2043.5999999999513</v>
      </c>
      <c r="B543" s="67">
        <f>LOOKUP(A543+0.01,Amounts!$A$4:$A$103,Amounts!$B$4:$B$103)*0.1*$A$2</f>
        <v>0</v>
      </c>
      <c r="C543" s="68">
        <f t="shared" si="57"/>
        <v>2992395.4285963499</v>
      </c>
      <c r="D543" s="67">
        <f t="array" ref="D543">SUM($B$7:$B538*$F$1009*EXP(-$F$1009*($A543-$A$7:$A538)))*$F$1010</f>
        <v>6718729.616503533</v>
      </c>
      <c r="E543" s="67">
        <f t="shared" si="55"/>
        <v>12.808664884004386</v>
      </c>
      <c r="F543" s="70">
        <f t="shared" si="59"/>
        <v>0.77774213175674645</v>
      </c>
      <c r="G543" s="67">
        <f>E543/'Lookup Tables'!$C$48</f>
        <v>25.617329768008773</v>
      </c>
      <c r="H543" s="70">
        <f t="shared" si="56"/>
        <v>2.2497809609977287E-3</v>
      </c>
      <c r="I543" s="71">
        <f t="shared" si="60"/>
        <v>3.688895486593264E-2</v>
      </c>
      <c r="L543" s="74"/>
      <c r="M543" s="74"/>
      <c r="N543" s="74"/>
      <c r="O543" s="74"/>
      <c r="P543" s="74"/>
      <c r="Q543" s="74"/>
      <c r="R543" s="74"/>
      <c r="S543" s="74"/>
      <c r="T543" s="74"/>
      <c r="U543" s="74"/>
      <c r="V543" s="74"/>
      <c r="W543" s="74"/>
      <c r="X543" s="74"/>
      <c r="Y543" s="74"/>
    </row>
    <row r="544" spans="1:25" x14ac:dyDescent="0.3">
      <c r="A544" s="66">
        <f t="shared" si="58"/>
        <v>2043.6999999999512</v>
      </c>
      <c r="B544" s="67">
        <f>LOOKUP(A544+0.01,Amounts!$A$4:$A$103,Amounts!$B$4:$B$103)*0.1*$A$2</f>
        <v>0</v>
      </c>
      <c r="C544" s="68">
        <f t="shared" si="57"/>
        <v>2992395.4285963499</v>
      </c>
      <c r="D544" s="67">
        <f t="array" ref="D544">SUM($B$7:$B539*$F$1009*EXP(-$F$1009*($A544-$A$7:$A539)))*$F$1010</f>
        <v>6625322.7754003778</v>
      </c>
      <c r="E544" s="67">
        <f t="shared" si="55"/>
        <v>12.63059298740284</v>
      </c>
      <c r="F544" s="70">
        <f t="shared" si="59"/>
        <v>0.76692960619510042</v>
      </c>
      <c r="G544" s="67">
        <f>E544/'Lookup Tables'!$C$48</f>
        <v>25.261185974805681</v>
      </c>
      <c r="H544" s="70">
        <f t="shared" si="56"/>
        <v>2.2185034807692297E-3</v>
      </c>
      <c r="I544" s="71">
        <f t="shared" si="60"/>
        <v>3.6376107803720178E-2</v>
      </c>
      <c r="L544" s="74"/>
      <c r="M544" s="74"/>
      <c r="N544" s="74"/>
      <c r="O544" s="74"/>
      <c r="P544" s="74"/>
      <c r="Q544" s="74"/>
      <c r="R544" s="74"/>
      <c r="S544" s="74"/>
      <c r="T544" s="74"/>
      <c r="U544" s="74"/>
      <c r="V544" s="74"/>
      <c r="W544" s="74"/>
      <c r="X544" s="74"/>
      <c r="Y544" s="74"/>
    </row>
    <row r="545" spans="1:25" x14ac:dyDescent="0.3">
      <c r="A545" s="66">
        <f t="shared" si="58"/>
        <v>2043.7999999999511</v>
      </c>
      <c r="B545" s="67">
        <f>LOOKUP(A545+0.01,Amounts!$A$4:$A$103,Amounts!$B$4:$B$103)*0.1*$A$2</f>
        <v>0</v>
      </c>
      <c r="C545" s="68">
        <f t="shared" si="57"/>
        <v>2992395.4285963499</v>
      </c>
      <c r="D545" s="67">
        <f t="array" ref="D545">SUM($B$7:$B540*$F$1009*EXP(-$F$1009*($A545-$A$7:$A540)))*$F$1010</f>
        <v>6533214.518771206</v>
      </c>
      <c r="E545" s="67">
        <f t="shared" si="55"/>
        <v>12.454996727461827</v>
      </c>
      <c r="F545" s="70">
        <f t="shared" si="59"/>
        <v>0.75626740129148218</v>
      </c>
      <c r="G545" s="67">
        <f>E545/'Lookup Tables'!$C$48</f>
        <v>24.909993454923654</v>
      </c>
      <c r="H545" s="70">
        <f t="shared" si="56"/>
        <v>2.1876608343251772E-3</v>
      </c>
      <c r="I545" s="71">
        <f t="shared" si="60"/>
        <v>3.5870390575090061E-2</v>
      </c>
      <c r="L545" s="74"/>
      <c r="M545" s="74"/>
      <c r="N545" s="74"/>
      <c r="O545" s="74"/>
      <c r="P545" s="74"/>
      <c r="Q545" s="74"/>
      <c r="R545" s="74"/>
      <c r="S545" s="74"/>
      <c r="T545" s="74"/>
      <c r="U545" s="74"/>
      <c r="V545" s="74"/>
      <c r="W545" s="74"/>
      <c r="X545" s="74"/>
      <c r="Y545" s="74"/>
    </row>
    <row r="546" spans="1:25" x14ac:dyDescent="0.3">
      <c r="A546" s="66">
        <f t="shared" si="58"/>
        <v>2043.899999999951</v>
      </c>
      <c r="B546" s="67">
        <f>LOOKUP(A546+0.01,Amounts!$A$4:$A$103,Amounts!$B$4:$B$103)*0.1*$A$2</f>
        <v>0</v>
      </c>
      <c r="C546" s="68">
        <f t="shared" si="57"/>
        <v>2992395.4285963499</v>
      </c>
      <c r="D546" s="67">
        <f t="array" ref="D546">SUM($B$7:$B541*$F$1009*EXP(-$F$1009*($A546-$A$7:$A541)))*$F$1010</f>
        <v>6442386.7931028437</v>
      </c>
      <c r="E546" s="67">
        <f t="shared" si="55"/>
        <v>12.281841686752246</v>
      </c>
      <c r="F546" s="70">
        <f t="shared" si="59"/>
        <v>0.74575342721959637</v>
      </c>
      <c r="G546" s="67">
        <f>E546/'Lookup Tables'!$C$48</f>
        <v>24.563683373504492</v>
      </c>
      <c r="H546" s="70">
        <f t="shared" si="56"/>
        <v>2.1572469764081278E-3</v>
      </c>
      <c r="I546" s="71">
        <f t="shared" si="60"/>
        <v>3.5371704057846468E-2</v>
      </c>
      <c r="L546" s="74"/>
      <c r="M546" s="74"/>
      <c r="N546" s="74"/>
      <c r="O546" s="74"/>
      <c r="P546" s="74"/>
      <c r="Q546" s="74"/>
      <c r="R546" s="74"/>
      <c r="S546" s="74"/>
      <c r="T546" s="74"/>
      <c r="U546" s="74"/>
      <c r="V546" s="74"/>
      <c r="W546" s="74"/>
      <c r="X546" s="74"/>
      <c r="Y546" s="74"/>
    </row>
    <row r="547" spans="1:25" x14ac:dyDescent="0.3">
      <c r="A547" s="66">
        <f t="shared" si="58"/>
        <v>2043.9999999999509</v>
      </c>
      <c r="B547" s="67">
        <f>LOOKUP(A547+0.01,Amounts!$A$4:$A$103,Amounts!$B$4:$B$103)*0.1*$A$2</f>
        <v>0</v>
      </c>
      <c r="C547" s="68">
        <f t="shared" si="57"/>
        <v>2992395.4285963499</v>
      </c>
      <c r="D547" s="67">
        <f t="array" ref="D547">SUM($B$7:$B542*$F$1009*EXP(-$F$1009*($A547-$A$7:$A542)))*$F$1010</f>
        <v>6352821.7958702883</v>
      </c>
      <c r="E547" s="67">
        <f t="shared" si="55"/>
        <v>12.111093926331788</v>
      </c>
      <c r="F547" s="70">
        <f t="shared" si="59"/>
        <v>0.73538562320686618</v>
      </c>
      <c r="G547" s="67">
        <f>E547/'Lookup Tables'!$C$48</f>
        <v>24.222187852663577</v>
      </c>
      <c r="H547" s="70">
        <f t="shared" si="56"/>
        <v>2.1272559458045659E-3</v>
      </c>
      <c r="I547" s="71">
        <f t="shared" si="60"/>
        <v>3.4879950507835551E-2</v>
      </c>
      <c r="L547" s="74"/>
      <c r="M547" s="74"/>
      <c r="N547" s="74"/>
      <c r="O547" s="74"/>
      <c r="P547" s="74"/>
      <c r="Q547" s="74"/>
      <c r="R547" s="74"/>
      <c r="S547" s="74"/>
      <c r="T547" s="74"/>
      <c r="U547" s="74"/>
      <c r="V547" s="74"/>
      <c r="W547" s="74"/>
      <c r="X547" s="74"/>
      <c r="Y547" s="74"/>
    </row>
    <row r="548" spans="1:25" x14ac:dyDescent="0.3">
      <c r="A548" s="66">
        <f t="shared" si="58"/>
        <v>2044.0999999999508</v>
      </c>
      <c r="B548" s="67">
        <f>LOOKUP(A548+0.01,Amounts!$A$4:$A$103,Amounts!$B$4:$B$103)*0.1*$A$2</f>
        <v>0</v>
      </c>
      <c r="C548" s="68">
        <f t="shared" si="57"/>
        <v>2992395.4285963499</v>
      </c>
      <c r="D548" s="67">
        <f t="array" ref="D548">SUM($B$7:$B543*$F$1009*EXP(-$F$1009*($A548-$A$7:$A543)))*$F$1010</f>
        <v>6264501.972047355</v>
      </c>
      <c r="E548" s="67">
        <f t="shared" si="55"/>
        <v>11.942719979092791</v>
      </c>
      <c r="F548" s="70">
        <f t="shared" si="59"/>
        <v>0.72516195713051423</v>
      </c>
      <c r="G548" s="67">
        <f>E548/'Lookup Tables'!$C$48</f>
        <v>23.885439958185582</v>
      </c>
      <c r="H548" s="70">
        <f t="shared" si="56"/>
        <v>2.0976818641764814E-3</v>
      </c>
      <c r="I548" s="71">
        <f t="shared" si="60"/>
        <v>3.4395033539787241E-2</v>
      </c>
      <c r="L548" s="74"/>
      <c r="M548" s="74"/>
      <c r="N548" s="74"/>
      <c r="O548" s="74"/>
      <c r="P548" s="74"/>
      <c r="Q548" s="74"/>
      <c r="R548" s="74"/>
      <c r="S548" s="74"/>
      <c r="T548" s="74"/>
      <c r="U548" s="74"/>
      <c r="V548" s="74"/>
      <c r="W548" s="74"/>
      <c r="X548" s="74"/>
      <c r="Y548" s="74"/>
    </row>
    <row r="549" spans="1:25" x14ac:dyDescent="0.3">
      <c r="A549" s="66">
        <f t="shared" si="58"/>
        <v>2044.1999999999507</v>
      </c>
      <c r="B549" s="67">
        <f>LOOKUP(A549+0.01,Amounts!$A$4:$A$103,Amounts!$B$4:$B$103)*0.1*$A$2</f>
        <v>0</v>
      </c>
      <c r="C549" s="68">
        <f t="shared" si="57"/>
        <v>2992395.4285963499</v>
      </c>
      <c r="D549" s="67">
        <f t="array" ref="D549">SUM($B$7:$B544*$F$1009*EXP(-$F$1009*($A549-$A$7:$A544)))*$F$1010</f>
        <v>6177410.0106658293</v>
      </c>
      <c r="E549" s="67">
        <f t="shared" si="55"/>
        <v>11.776686843202565</v>
      </c>
      <c r="F549" s="70">
        <f t="shared" si="59"/>
        <v>0.71508042511925984</v>
      </c>
      <c r="G549" s="67">
        <f>E549/'Lookup Tables'!$C$48</f>
        <v>23.553373686405131</v>
      </c>
      <c r="H549" s="70">
        <f t="shared" si="56"/>
        <v>2.0685189349091962E-3</v>
      </c>
      <c r="I549" s="71">
        <f t="shared" si="60"/>
        <v>3.3916858108423389E-2</v>
      </c>
      <c r="L549" s="74"/>
      <c r="M549" s="74"/>
      <c r="N549" s="74"/>
      <c r="O549" s="74"/>
      <c r="P549" s="74"/>
      <c r="Q549" s="74"/>
      <c r="R549" s="74"/>
      <c r="S549" s="74"/>
      <c r="T549" s="74"/>
      <c r="U549" s="74"/>
      <c r="V549" s="74"/>
      <c r="W549" s="74"/>
      <c r="X549" s="74"/>
      <c r="Y549" s="74"/>
    </row>
    <row r="550" spans="1:25" x14ac:dyDescent="0.3">
      <c r="A550" s="66">
        <f t="shared" si="58"/>
        <v>2044.2999999999506</v>
      </c>
      <c r="B550" s="67">
        <f>LOOKUP(A550+0.01,Amounts!$A$4:$A$103,Amounts!$B$4:$B$103)*0.1*$A$2</f>
        <v>0</v>
      </c>
      <c r="C550" s="68">
        <f t="shared" si="57"/>
        <v>2992395.4285963499</v>
      </c>
      <c r="D550" s="67">
        <f t="array" ref="D550">SUM($B$7:$B545*$F$1009*EXP(-$F$1009*($A550-$A$7:$A545)))*$F$1010</f>
        <v>6091528.8414224731</v>
      </c>
      <c r="E550" s="67">
        <f t="shared" si="55"/>
        <v>11.612961975634956</v>
      </c>
      <c r="F550" s="70">
        <f t="shared" si="59"/>
        <v>0.70513905116055453</v>
      </c>
      <c r="G550" s="67">
        <f>E550/'Lookup Tables'!$C$48</f>
        <v>23.225923951269912</v>
      </c>
      <c r="H550" s="70">
        <f t="shared" si="56"/>
        <v>2.0397614419752153E-3</v>
      </c>
      <c r="I550" s="71">
        <f t="shared" si="60"/>
        <v>3.3445330489828673E-2</v>
      </c>
      <c r="L550" s="74"/>
      <c r="M550" s="74"/>
      <c r="N550" s="74"/>
      <c r="O550" s="74"/>
      <c r="P550" s="74"/>
      <c r="Q550" s="74"/>
      <c r="R550" s="74"/>
      <c r="S550" s="74"/>
      <c r="T550" s="74"/>
      <c r="U550" s="74"/>
      <c r="V550" s="74"/>
      <c r="W550" s="74"/>
      <c r="X550" s="74"/>
      <c r="Y550" s="74"/>
    </row>
    <row r="551" spans="1:25" x14ac:dyDescent="0.3">
      <c r="A551" s="66">
        <f t="shared" si="58"/>
        <v>2044.3999999999505</v>
      </c>
      <c r="B551" s="67">
        <f>LOOKUP(A551+0.01,Amounts!$A$4:$A$103,Amounts!$B$4:$B$103)*0.1*$A$2</f>
        <v>0</v>
      </c>
      <c r="C551" s="68">
        <f t="shared" si="57"/>
        <v>2992395.4285963499</v>
      </c>
      <c r="D551" s="67">
        <f t="array" ref="D551">SUM($B$7:$B546*$F$1009*EXP(-$F$1009*($A551-$A$7:$A546)))*$F$1010</f>
        <v>6006841.6313331742</v>
      </c>
      <c r="E551" s="67">
        <f t="shared" si="55"/>
        <v>11.451513285791769</v>
      </c>
      <c r="F551" s="70">
        <f t="shared" si="59"/>
        <v>0.69533588671327617</v>
      </c>
      <c r="G551" s="67">
        <f>E551/'Lookup Tables'!$C$48</f>
        <v>22.903026571583538</v>
      </c>
      <c r="H551" s="70">
        <f t="shared" si="56"/>
        <v>2.0114037488138592E-3</v>
      </c>
      <c r="I551" s="71">
        <f t="shared" si="60"/>
        <v>3.2980358263080295E-2</v>
      </c>
      <c r="L551" s="74"/>
      <c r="M551" s="74"/>
      <c r="N551" s="74"/>
      <c r="O551" s="74"/>
      <c r="P551" s="74"/>
      <c r="Q551" s="74"/>
      <c r="R551" s="74"/>
      <c r="S551" s="74"/>
      <c r="T551" s="74"/>
      <c r="U551" s="74"/>
      <c r="V551" s="74"/>
      <c r="W551" s="74"/>
      <c r="X551" s="74"/>
      <c r="Y551" s="74"/>
    </row>
    <row r="552" spans="1:25" x14ac:dyDescent="0.3">
      <c r="A552" s="66">
        <f t="shared" si="58"/>
        <v>2044.4999999999504</v>
      </c>
      <c r="B552" s="67">
        <f>LOOKUP(A552+0.01,Amounts!$A$4:$A$103,Amounts!$B$4:$B$103)*0.1*$A$2</f>
        <v>0</v>
      </c>
      <c r="C552" s="68">
        <f t="shared" si="57"/>
        <v>2992395.4285963499</v>
      </c>
      <c r="D552" s="67">
        <f t="array" ref="D552">SUM($B$7:$B547*$F$1009*EXP(-$F$1009*($A552-$A$7:$A547)))*$F$1010</f>
        <v>5923331.781433641</v>
      </c>
      <c r="E552" s="67">
        <f t="shared" si="55"/>
        <v>11.292309129212944</v>
      </c>
      <c r="F552" s="70">
        <f t="shared" si="59"/>
        <v>0.68566901032580996</v>
      </c>
      <c r="G552" s="67">
        <f>E552/'Lookup Tables'!$C$48</f>
        <v>22.584618258425888</v>
      </c>
      <c r="H552" s="70">
        <f t="shared" si="56"/>
        <v>1.9834402972264864E-3</v>
      </c>
      <c r="I552" s="71">
        <f t="shared" si="60"/>
        <v>3.2521850292133274E-2</v>
      </c>
      <c r="L552" s="74"/>
      <c r="M552" s="74"/>
      <c r="N552" s="74"/>
      <c r="O552" s="74"/>
      <c r="P552" s="74"/>
      <c r="Q552" s="74"/>
      <c r="R552" s="74"/>
      <c r="S552" s="74"/>
      <c r="T552" s="74"/>
      <c r="U552" s="74"/>
      <c r="V552" s="74"/>
      <c r="W552" s="74"/>
      <c r="X552" s="74"/>
      <c r="Y552" s="74"/>
    </row>
    <row r="553" spans="1:25" x14ac:dyDescent="0.3">
      <c r="A553" s="66">
        <f t="shared" si="58"/>
        <v>2044.5999999999503</v>
      </c>
      <c r="B553" s="67">
        <f>LOOKUP(A553+0.01,Amounts!$A$4:$A$103,Amounts!$B$4:$B$103)*0.1*$A$2</f>
        <v>0</v>
      </c>
      <c r="C553" s="68">
        <f t="shared" si="57"/>
        <v>2992395.4285963499</v>
      </c>
      <c r="D553" s="67">
        <f t="array" ref="D553">SUM($B$7:$B548*$F$1009*EXP(-$F$1009*($A553-$A$7:$A548)))*$F$1010</f>
        <v>5840982.9235259509</v>
      </c>
      <c r="E553" s="67">
        <f t="shared" si="55"/>
        <v>11.135318301374122</v>
      </c>
      <c r="F553" s="70">
        <f t="shared" si="59"/>
        <v>0.67613652725943663</v>
      </c>
      <c r="G553" s="67">
        <f>E553/'Lookup Tables'!$C$48</f>
        <v>22.270636602748244</v>
      </c>
      <c r="H553" s="70">
        <f t="shared" si="56"/>
        <v>1.9558656062870642E-3</v>
      </c>
      <c r="I553" s="71">
        <f t="shared" si="60"/>
        <v>3.2069716707957469E-2</v>
      </c>
      <c r="L553" s="74"/>
      <c r="M553" s="74"/>
      <c r="N553" s="74"/>
      <c r="O553" s="74"/>
      <c r="P553" s="74"/>
      <c r="Q553" s="74"/>
      <c r="R553" s="74"/>
      <c r="S553" s="74"/>
      <c r="T553" s="74"/>
      <c r="U553" s="74"/>
      <c r="V553" s="74"/>
      <c r="W553" s="74"/>
      <c r="X553" s="74"/>
      <c r="Y553" s="74"/>
    </row>
    <row r="554" spans="1:25" x14ac:dyDescent="0.3">
      <c r="A554" s="66">
        <f t="shared" si="58"/>
        <v>2044.6999999999503</v>
      </c>
      <c r="B554" s="67">
        <f>LOOKUP(A554+0.01,Amounts!$A$4:$A$103,Amounts!$B$4:$B$103)*0.1*$A$2</f>
        <v>0</v>
      </c>
      <c r="C554" s="68">
        <f t="shared" si="57"/>
        <v>2992395.4285963499</v>
      </c>
      <c r="D554" s="67">
        <f t="array" ref="D554">SUM($B$7:$B549*$F$1009*EXP(-$F$1009*($A554-$A$7:$A549)))*$F$1010</f>
        <v>5759778.9169703247</v>
      </c>
      <c r="E554" s="67">
        <f t="shared" si="55"/>
        <v>10.980510031570464</v>
      </c>
      <c r="F554" s="70">
        <f t="shared" si="59"/>
        <v>0.66673656911695856</v>
      </c>
      <c r="G554" s="67">
        <f>E554/'Lookup Tables'!$C$48</f>
        <v>21.961020063140928</v>
      </c>
      <c r="H554" s="70">
        <f t="shared" si="56"/>
        <v>1.9286742712678918E-3</v>
      </c>
      <c r="I554" s="71">
        <f t="shared" si="60"/>
        <v>3.1623868890922932E-2</v>
      </c>
      <c r="L554" s="74"/>
      <c r="M554" s="74"/>
      <c r="N554" s="74"/>
      <c r="O554" s="74"/>
      <c r="P554" s="74"/>
      <c r="Q554" s="74"/>
      <c r="R554" s="74"/>
      <c r="S554" s="74"/>
      <c r="T554" s="74"/>
      <c r="U554" s="74"/>
      <c r="V554" s="74"/>
      <c r="W554" s="74"/>
      <c r="X554" s="74"/>
      <c r="Y554" s="74"/>
    </row>
    <row r="555" spans="1:25" x14ac:dyDescent="0.3">
      <c r="A555" s="66">
        <f t="shared" si="58"/>
        <v>2044.7999999999502</v>
      </c>
      <c r="B555" s="67">
        <f>LOOKUP(A555+0.01,Amounts!$A$4:$A$103,Amounts!$B$4:$B$103)*0.1*$A$2</f>
        <v>0</v>
      </c>
      <c r="C555" s="68">
        <f t="shared" si="57"/>
        <v>2992395.4285963499</v>
      </c>
      <c r="D555" s="67">
        <f t="array" ref="D555">SUM($B$7:$B550*$F$1009*EXP(-$F$1009*($A555-$A$7:$A550)))*$F$1010</f>
        <v>5679703.8455215152</v>
      </c>
      <c r="E555" s="67">
        <f t="shared" si="55"/>
        <v>10.827853976885491</v>
      </c>
      <c r="F555" s="70">
        <f t="shared" si="59"/>
        <v>0.65746729347648702</v>
      </c>
      <c r="G555" s="67">
        <f>E555/'Lookup Tables'!$C$48</f>
        <v>21.655707953770982</v>
      </c>
      <c r="H555" s="70">
        <f t="shared" si="56"/>
        <v>1.901860962580257E-3</v>
      </c>
      <c r="I555" s="71">
        <f t="shared" si="60"/>
        <v>3.118421945343022E-2</v>
      </c>
      <c r="L555" s="74"/>
      <c r="M555" s="74"/>
      <c r="N555" s="74"/>
      <c r="O555" s="74"/>
      <c r="P555" s="74"/>
      <c r="Q555" s="74"/>
      <c r="R555" s="74"/>
      <c r="S555" s="74"/>
      <c r="T555" s="74"/>
      <c r="U555" s="74"/>
      <c r="V555" s="74"/>
      <c r="W555" s="74"/>
      <c r="X555" s="74"/>
      <c r="Y555" s="74"/>
    </row>
    <row r="556" spans="1:25" x14ac:dyDescent="0.3">
      <c r="A556" s="66">
        <f t="shared" si="58"/>
        <v>2044.8999999999501</v>
      </c>
      <c r="B556" s="67">
        <f>LOOKUP(A556+0.01,Amounts!$A$4:$A$103,Amounts!$B$4:$B$103)*0.1*$A$2</f>
        <v>0</v>
      </c>
      <c r="C556" s="68">
        <f t="shared" si="57"/>
        <v>2992395.4285963499</v>
      </c>
      <c r="D556" s="67">
        <f t="array" ref="D556">SUM($B$7:$B551*$F$1009*EXP(-$F$1009*($A556-$A$7:$A551)))*$F$1010</f>
        <v>5600742.0142091708</v>
      </c>
      <c r="E556" s="67">
        <f t="shared" si="55"/>
        <v>10.677320216243782</v>
      </c>
      <c r="F556" s="70">
        <f t="shared" si="59"/>
        <v>0.64832688353032242</v>
      </c>
      <c r="G556" s="67">
        <f>E556/'Lookup Tables'!$C$48</f>
        <v>21.354640432487564</v>
      </c>
      <c r="H556" s="70">
        <f t="shared" si="56"/>
        <v>1.8754204247298182E-3</v>
      </c>
      <c r="I556" s="71">
        <f t="shared" si="60"/>
        <v>3.0750682222782096E-2</v>
      </c>
      <c r="L556" s="74"/>
      <c r="M556" s="74"/>
      <c r="N556" s="74"/>
      <c r="O556" s="74"/>
      <c r="P556" s="74"/>
      <c r="Q556" s="74"/>
      <c r="R556" s="74"/>
      <c r="S556" s="74"/>
      <c r="T556" s="74"/>
      <c r="U556" s="74"/>
      <c r="V556" s="74"/>
      <c r="W556" s="74"/>
      <c r="X556" s="74"/>
      <c r="Y556" s="74"/>
    </row>
    <row r="557" spans="1:25" x14ac:dyDescent="0.3">
      <c r="A557" s="66">
        <f t="shared" si="58"/>
        <v>2044.99999999995</v>
      </c>
      <c r="B557" s="67">
        <f>LOOKUP(A557+0.01,Amounts!$A$4:$A$103,Amounts!$B$4:$B$103)*0.1*$A$2</f>
        <v>0</v>
      </c>
      <c r="C557" s="68">
        <f t="shared" si="57"/>
        <v>2992395.4285963499</v>
      </c>
      <c r="D557" s="67">
        <f t="array" ref="D557">SUM($B$7:$B552*$F$1009*EXP(-$F$1009*($A557-$A$7:$A552)))*$F$1010</f>
        <v>5522877.946261568</v>
      </c>
      <c r="E557" s="67">
        <f t="shared" si="55"/>
        <v>10.528879244546337</v>
      </c>
      <c r="F557" s="70">
        <f t="shared" si="59"/>
        <v>0.63931354772885352</v>
      </c>
      <c r="G557" s="67">
        <f>E557/'Lookup Tables'!$C$48</f>
        <v>21.057758489092674</v>
      </c>
      <c r="H557" s="70">
        <f t="shared" si="56"/>
        <v>1.8493474752865103E-3</v>
      </c>
      <c r="I557" s="71">
        <f t="shared" si="60"/>
        <v>3.0323172224293447E-2</v>
      </c>
      <c r="L557" s="74"/>
      <c r="M557" s="74"/>
      <c r="N557" s="74"/>
      <c r="O557" s="74"/>
      <c r="P557" s="74"/>
      <c r="Q557" s="74"/>
      <c r="R557" s="74"/>
      <c r="S557" s="74"/>
      <c r="T557" s="74"/>
      <c r="U557" s="74"/>
      <c r="V557" s="74"/>
      <c r="W557" s="74"/>
      <c r="X557" s="74"/>
      <c r="Y557" s="74"/>
    </row>
    <row r="558" spans="1:25" x14ac:dyDescent="0.3">
      <c r="A558" s="66">
        <f t="shared" si="58"/>
        <v>2045.0999999999499</v>
      </c>
      <c r="B558" s="67">
        <f>LOOKUP(A558+0.01,Amounts!$A$4:$A$103,Amounts!$B$4:$B$103)*0.1*$A$2</f>
        <v>0</v>
      </c>
      <c r="C558" s="68">
        <f t="shared" si="57"/>
        <v>2992395.4285963499</v>
      </c>
      <c r="D558" s="67">
        <f t="array" ref="D558">SUM($B$7:$B553*$F$1009*EXP(-$F$1009*($A558-$A$7:$A553)))*$F$1010</f>
        <v>5446096.3800721196</v>
      </c>
      <c r="E558" s="67">
        <f t="shared" si="55"/>
        <v>10.38250196688749</v>
      </c>
      <c r="F558" s="70">
        <f t="shared" si="59"/>
        <v>0.63042551942940839</v>
      </c>
      <c r="G558" s="67">
        <f>E558/'Lookup Tables'!$C$48</f>
        <v>20.765003933774981</v>
      </c>
      <c r="H558" s="70">
        <f t="shared" si="56"/>
        <v>1.8236370038687746E-3</v>
      </c>
      <c r="I558" s="71">
        <f t="shared" si="60"/>
        <v>2.9901605664635972E-2</v>
      </c>
      <c r="L558" s="74"/>
      <c r="M558" s="74"/>
      <c r="N558" s="74"/>
      <c r="O558" s="74"/>
      <c r="P558" s="74"/>
      <c r="Q558" s="74"/>
      <c r="R558" s="74"/>
      <c r="S558" s="74"/>
      <c r="T558" s="74"/>
      <c r="U558" s="74"/>
      <c r="V558" s="74"/>
      <c r="W558" s="74"/>
      <c r="X558" s="74"/>
      <c r="Y558" s="74"/>
    </row>
    <row r="559" spans="1:25" x14ac:dyDescent="0.3">
      <c r="A559" s="66">
        <f t="shared" si="58"/>
        <v>2045.1999999999498</v>
      </c>
      <c r="B559" s="67">
        <f>LOOKUP(A559+0.01,Amounts!$A$4:$A$103,Amounts!$B$4:$B$103)*0.1*$A$2</f>
        <v>0</v>
      </c>
      <c r="C559" s="68">
        <f t="shared" si="57"/>
        <v>2992395.4285963499</v>
      </c>
      <c r="D559" s="67">
        <f t="array" ref="D559">SUM($B$7:$B554*$F$1009*EXP(-$F$1009*($A559-$A$7:$A554)))*$F$1010</f>
        <v>5370382.266208047</v>
      </c>
      <c r="E559" s="67">
        <f t="shared" si="55"/>
        <v>10.238159692852218</v>
      </c>
      <c r="F559" s="70">
        <f t="shared" si="59"/>
        <v>0.62166105654998671</v>
      </c>
      <c r="G559" s="67">
        <f>E559/'Lookup Tables'!$C$48</f>
        <v>20.476319385704436</v>
      </c>
      <c r="H559" s="70">
        <f t="shared" si="56"/>
        <v>1.7982839711419049E-3</v>
      </c>
      <c r="I559" s="71">
        <f t="shared" si="60"/>
        <v>2.948589991541439E-2</v>
      </c>
      <c r="L559" s="74"/>
      <c r="M559" s="74"/>
      <c r="N559" s="74"/>
      <c r="O559" s="74"/>
      <c r="P559" s="74"/>
      <c r="Q559" s="74"/>
      <c r="R559" s="74"/>
      <c r="S559" s="74"/>
      <c r="T559" s="74"/>
      <c r="U559" s="74"/>
      <c r="V559" s="74"/>
      <c r="W559" s="74"/>
      <c r="X559" s="74"/>
      <c r="Y559" s="74"/>
    </row>
    <row r="560" spans="1:25" x14ac:dyDescent="0.3">
      <c r="A560" s="66">
        <f t="shared" si="58"/>
        <v>2045.2999999999497</v>
      </c>
      <c r="B560" s="67">
        <f>LOOKUP(A560+0.01,Amounts!$A$4:$A$103,Amounts!$B$4:$B$103)*0.1*$A$2</f>
        <v>0</v>
      </c>
      <c r="C560" s="68">
        <f t="shared" si="57"/>
        <v>2992395.4285963499</v>
      </c>
      <c r="D560" s="67">
        <f t="array" ref="D560">SUM($B$7:$B555*$F$1009*EXP(-$F$1009*($A560-$A$7:$A555)))*$F$1010</f>
        <v>5295720.7644606447</v>
      </c>
      <c r="E560" s="67">
        <f t="shared" si="55"/>
        <v>10.095824130892714</v>
      </c>
      <c r="F560" s="70">
        <f t="shared" si="59"/>
        <v>0.61301844122780558</v>
      </c>
      <c r="G560" s="67">
        <f>E560/'Lookup Tables'!$C$48</f>
        <v>20.191648261785428</v>
      </c>
      <c r="H560" s="70">
        <f t="shared" si="56"/>
        <v>1.7732834078303217E-3</v>
      </c>
      <c r="I560" s="71">
        <f t="shared" si="60"/>
        <v>2.9075973496971018E-2</v>
      </c>
      <c r="L560" s="74"/>
      <c r="M560" s="74"/>
      <c r="N560" s="74"/>
      <c r="O560" s="74"/>
      <c r="P560" s="74"/>
      <c r="Q560" s="74"/>
      <c r="R560" s="74"/>
      <c r="S560" s="74"/>
      <c r="T560" s="74"/>
      <c r="U560" s="74"/>
      <c r="V560" s="74"/>
      <c r="W560" s="74"/>
      <c r="X560" s="74"/>
      <c r="Y560" s="74"/>
    </row>
    <row r="561" spans="1:25" x14ac:dyDescent="0.3">
      <c r="A561" s="66">
        <f t="shared" si="58"/>
        <v>2045.3999999999496</v>
      </c>
      <c r="B561" s="67">
        <f>LOOKUP(A561+0.01,Amounts!$A$4:$A$103,Amounts!$B$4:$B$103)*0.1*$A$2</f>
        <v>0</v>
      </c>
      <c r="C561" s="68">
        <f t="shared" si="57"/>
        <v>2992395.4285963499</v>
      </c>
      <c r="D561" s="67">
        <f t="array" ref="D561">SUM($B$7:$B556*$F$1009*EXP(-$F$1009*($A561-$A$7:$A556)))*$F$1010</f>
        <v>5222097.240936554</v>
      </c>
      <c r="E561" s="67">
        <f t="shared" si="55"/>
        <v>9.9554673827831746</v>
      </c>
      <c r="F561" s="70">
        <f t="shared" si="59"/>
        <v>0.60449597948259426</v>
      </c>
      <c r="G561" s="67">
        <f>E561/'Lookup Tables'!$C$48</f>
        <v>19.910934765566349</v>
      </c>
      <c r="H561" s="70">
        <f t="shared" si="56"/>
        <v>1.7486304137435814E-3</v>
      </c>
      <c r="I561" s="71">
        <f t="shared" si="60"/>
        <v>2.8671746062415543E-2</v>
      </c>
      <c r="L561" s="74"/>
      <c r="M561" s="74"/>
      <c r="N561" s="74"/>
      <c r="O561" s="74"/>
      <c r="P561" s="74"/>
      <c r="Q561" s="74"/>
      <c r="R561" s="74"/>
      <c r="S561" s="74"/>
      <c r="T561" s="74"/>
      <c r="U561" s="74"/>
      <c r="V561" s="74"/>
      <c r="W561" s="74"/>
      <c r="X561" s="74"/>
      <c r="Y561" s="74"/>
    </row>
    <row r="562" spans="1:25" x14ac:dyDescent="0.3">
      <c r="A562" s="66">
        <f t="shared" si="58"/>
        <v>2045.4999999999495</v>
      </c>
      <c r="B562" s="67">
        <f>LOOKUP(A562+0.01,Amounts!$A$4:$A$103,Amounts!$B$4:$B$103)*0.1*$A$2</f>
        <v>0</v>
      </c>
      <c r="C562" s="68">
        <f t="shared" si="57"/>
        <v>2992395.4285963499</v>
      </c>
      <c r="D562" s="67">
        <f t="array" ref="D562">SUM($B$7:$B557*$F$1009*EXP(-$F$1009*($A562-$A$7:$A557)))*$F$1010</f>
        <v>5149497.2651894689</v>
      </c>
      <c r="E562" s="67">
        <f t="shared" si="55"/>
        <v>9.8170619381516353</v>
      </c>
      <c r="F562" s="70">
        <f t="shared" si="59"/>
        <v>0.59609200088456737</v>
      </c>
      <c r="G562" s="67">
        <f>E562/'Lookup Tables'!$C$48</f>
        <v>19.634123876303271</v>
      </c>
      <c r="H562" s="70">
        <f t="shared" si="56"/>
        <v>1.7243201568159202E-3</v>
      </c>
      <c r="I562" s="71">
        <f t="shared" si="60"/>
        <v>2.8273138381876714E-2</v>
      </c>
      <c r="L562" s="74"/>
      <c r="M562" s="74"/>
      <c r="N562" s="74"/>
      <c r="O562" s="74"/>
      <c r="P562" s="74"/>
      <c r="Q562" s="74"/>
      <c r="R562" s="74"/>
      <c r="S562" s="74"/>
      <c r="T562" s="74"/>
      <c r="U562" s="74"/>
      <c r="V562" s="74"/>
      <c r="W562" s="74"/>
      <c r="X562" s="74"/>
      <c r="Y562" s="74"/>
    </row>
    <row r="563" spans="1:25" x14ac:dyDescent="0.3">
      <c r="A563" s="66">
        <f t="shared" si="58"/>
        <v>2045.5999999999494</v>
      </c>
      <c r="B563" s="67">
        <f>LOOKUP(A563+0.01,Amounts!$A$4:$A$103,Amounts!$B$4:$B$103)*0.1*$A$2</f>
        <v>0</v>
      </c>
      <c r="C563" s="68">
        <f t="shared" si="57"/>
        <v>2992395.4285963499</v>
      </c>
      <c r="D563" s="67">
        <f t="array" ref="D563">SUM($B$7:$B558*$F$1009*EXP(-$F$1009*($A563-$A$7:$A558)))*$F$1010</f>
        <v>5077906.6073917234</v>
      </c>
      <c r="E563" s="67">
        <f t="shared" si="55"/>
        <v>9.6805806690878633</v>
      </c>
      <c r="F563" s="70">
        <f t="shared" si="59"/>
        <v>0.587804858227015</v>
      </c>
      <c r="G563" s="67">
        <f>E563/'Lookup Tables'!$C$48</f>
        <v>19.361161338175727</v>
      </c>
      <c r="H563" s="70">
        <f t="shared" si="56"/>
        <v>1.7003478721591533E-3</v>
      </c>
      <c r="I563" s="71">
        <f t="shared" si="60"/>
        <v>2.7880072326973045E-2</v>
      </c>
      <c r="L563" s="74"/>
      <c r="M563" s="74"/>
      <c r="N563" s="74"/>
      <c r="O563" s="74"/>
      <c r="P563" s="74"/>
      <c r="Q563" s="74"/>
      <c r="R563" s="74"/>
      <c r="S563" s="74"/>
      <c r="T563" s="74"/>
      <c r="U563" s="74"/>
      <c r="V563" s="74"/>
      <c r="W563" s="74"/>
      <c r="X563" s="74"/>
      <c r="Y563" s="74"/>
    </row>
    <row r="564" spans="1:25" x14ac:dyDescent="0.3">
      <c r="A564" s="66">
        <f t="shared" si="58"/>
        <v>2045.6999999999493</v>
      </c>
      <c r="B564" s="67">
        <f>LOOKUP(A564+0.01,Amounts!$A$4:$A$103,Amounts!$B$4:$B$103)*0.1*$A$2</f>
        <v>0</v>
      </c>
      <c r="C564" s="68">
        <f t="shared" si="57"/>
        <v>2992395.4285963499</v>
      </c>
      <c r="D564" s="67">
        <f t="array" ref="D564">SUM($B$7:$B559*$F$1009*EXP(-$F$1009*($A564-$A$7:$A559)))*$F$1010</f>
        <v>5007311.2355452022</v>
      </c>
      <c r="E564" s="67">
        <f t="shared" si="55"/>
        <v>9.5459968248261955</v>
      </c>
      <c r="F564" s="70">
        <f t="shared" si="59"/>
        <v>0.5796329272034465</v>
      </c>
      <c r="G564" s="67">
        <f>E564/'Lookup Tables'!$C$48</f>
        <v>19.091993649652391</v>
      </c>
      <c r="H564" s="70">
        <f t="shared" si="56"/>
        <v>1.676708861128745E-3</v>
      </c>
      <c r="I564" s="71">
        <f t="shared" si="60"/>
        <v>2.7492470855499444E-2</v>
      </c>
      <c r="L564" s="74"/>
      <c r="M564" s="74"/>
      <c r="N564" s="74"/>
      <c r="O564" s="74"/>
      <c r="P564" s="74"/>
      <c r="Q564" s="74"/>
      <c r="R564" s="74"/>
      <c r="S564" s="74"/>
      <c r="T564" s="74"/>
      <c r="U564" s="74"/>
      <c r="V564" s="74"/>
      <c r="W564" s="74"/>
      <c r="X564" s="74"/>
      <c r="Y564" s="74"/>
    </row>
    <row r="565" spans="1:25" x14ac:dyDescent="0.3">
      <c r="A565" s="66">
        <f t="shared" si="58"/>
        <v>2045.7999999999493</v>
      </c>
      <c r="B565" s="67">
        <f>LOOKUP(A565+0.01,Amounts!$A$4:$A$103,Amounts!$B$4:$B$103)*0.1*$A$2</f>
        <v>0</v>
      </c>
      <c r="C565" s="68">
        <f t="shared" si="57"/>
        <v>2992395.4285963499</v>
      </c>
      <c r="D565" s="67">
        <f t="array" ref="D565">SUM($B$7:$B560*$F$1009*EXP(-$F$1009*($A565-$A$7:$A560)))*$F$1010</f>
        <v>4937697.3127310248</v>
      </c>
      <c r="E565" s="67">
        <f t="shared" si="55"/>
        <v>9.4132840265023106</v>
      </c>
      <c r="F565" s="70">
        <f t="shared" si="59"/>
        <v>0.57157460608922028</v>
      </c>
      <c r="G565" s="67">
        <f>E565/'Lookup Tables'!$C$48</f>
        <v>18.826568053004621</v>
      </c>
      <c r="H565" s="70">
        <f t="shared" si="56"/>
        <v>1.6533984904028569E-3</v>
      </c>
      <c r="I565" s="71">
        <f t="shared" si="60"/>
        <v>2.7110257996326655E-2</v>
      </c>
      <c r="L565" s="74"/>
      <c r="M565" s="74"/>
      <c r="N565" s="74"/>
      <c r="O565" s="74"/>
      <c r="P565" s="74"/>
      <c r="Q565" s="74"/>
      <c r="R565" s="74"/>
      <c r="S565" s="74"/>
      <c r="T565" s="74"/>
      <c r="U565" s="74"/>
      <c r="V565" s="74"/>
      <c r="W565" s="74"/>
      <c r="X565" s="74"/>
      <c r="Y565" s="74"/>
    </row>
    <row r="566" spans="1:25" x14ac:dyDescent="0.3">
      <c r="A566" s="66">
        <f t="shared" si="58"/>
        <v>2045.8999999999492</v>
      </c>
      <c r="B566" s="67">
        <f>LOOKUP(A566+0.01,Amounts!$A$4:$A$103,Amounts!$B$4:$B$103)*0.1*$A$2</f>
        <v>0</v>
      </c>
      <c r="C566" s="68">
        <f t="shared" si="57"/>
        <v>2992395.4285963499</v>
      </c>
      <c r="D566" s="67">
        <f t="array" ref="D566">SUM($B$7:$B561*$F$1009*EXP(-$F$1009*($A566-$A$7:$A561)))*$F$1010</f>
        <v>4869051.1943974579</v>
      </c>
      <c r="E566" s="67">
        <f t="shared" si="55"/>
        <v>9.2824162619828723</v>
      </c>
      <c r="F566" s="70">
        <f t="shared" si="59"/>
        <v>0.56362831542760006</v>
      </c>
      <c r="G566" s="67">
        <f>E566/'Lookup Tables'!$C$48</f>
        <v>18.564832523965745</v>
      </c>
      <c r="H566" s="70">
        <f t="shared" si="56"/>
        <v>1.6304121910742013E-3</v>
      </c>
      <c r="I566" s="71">
        <f t="shared" si="60"/>
        <v>2.6733358834510678E-2</v>
      </c>
      <c r="L566" s="74"/>
      <c r="M566" s="74"/>
      <c r="N566" s="74"/>
      <c r="O566" s="74"/>
      <c r="P566" s="74"/>
      <c r="Q566" s="74"/>
      <c r="R566" s="74"/>
      <c r="S566" s="74"/>
      <c r="T566" s="74"/>
      <c r="U566" s="74"/>
      <c r="V566" s="74"/>
      <c r="W566" s="74"/>
      <c r="X566" s="74"/>
      <c r="Y566" s="74"/>
    </row>
    <row r="567" spans="1:25" x14ac:dyDescent="0.3">
      <c r="A567" s="66">
        <f t="shared" si="58"/>
        <v>2045.9999999999491</v>
      </c>
      <c r="B567" s="67">
        <f>LOOKUP(A567+0.01,Amounts!$A$4:$A$103,Amounts!$B$4:$B$103)*0.1*$A$2</f>
        <v>0</v>
      </c>
      <c r="C567" s="68">
        <f t="shared" si="57"/>
        <v>2992395.4285963499</v>
      </c>
      <c r="D567" s="67">
        <f t="array" ref="D567">SUM($B$7:$B562*$F$1009*EXP(-$F$1009*($A567-$A$7:$A562)))*$F$1010</f>
        <v>4801359.4256855492</v>
      </c>
      <c r="E567" s="67">
        <f t="shared" si="55"/>
        <v>9.15336788076708</v>
      </c>
      <c r="F567" s="70">
        <f t="shared" si="59"/>
        <v>0.55579249772017703</v>
      </c>
      <c r="G567" s="67">
        <f>E567/'Lookup Tables'!$C$48</f>
        <v>18.30673576153416</v>
      </c>
      <c r="H567" s="70">
        <f t="shared" si="56"/>
        <v>1.6077454577545218E-3</v>
      </c>
      <c r="I567" s="71">
        <f t="shared" si="60"/>
        <v>2.6361699496609187E-2</v>
      </c>
      <c r="L567" s="74"/>
      <c r="M567" s="74"/>
      <c r="N567" s="74"/>
      <c r="O567" s="74"/>
      <c r="P567" s="74"/>
      <c r="Q567" s="74"/>
      <c r="R567" s="74"/>
      <c r="S567" s="74"/>
      <c r="T567" s="74"/>
      <c r="U567" s="74"/>
      <c r="V567" s="74"/>
      <c r="W567" s="74"/>
      <c r="X567" s="74"/>
      <c r="Y567" s="74"/>
    </row>
    <row r="568" spans="1:25" x14ac:dyDescent="0.3">
      <c r="A568" s="66">
        <f t="shared" si="58"/>
        <v>2046.099999999949</v>
      </c>
      <c r="B568" s="67">
        <f>LOOKUP(A568+0.01,Amounts!$A$4:$A$103,Amounts!$B$4:$B$103)*0.1*$A$2</f>
        <v>0</v>
      </c>
      <c r="C568" s="68">
        <f t="shared" si="57"/>
        <v>2992395.4285963499</v>
      </c>
      <c r="D568" s="67">
        <f t="array" ref="D568">SUM($B$7:$B563*$F$1009*EXP(-$F$1009*($A568-$A$7:$A563)))*$F$1010</f>
        <v>4734608.7387919268</v>
      </c>
      <c r="E568" s="67">
        <f t="shared" si="55"/>
        <v>9.0261135889590918</v>
      </c>
      <c r="F568" s="70">
        <f t="shared" si="59"/>
        <v>0.54806561712159596</v>
      </c>
      <c r="G568" s="67">
        <f>E568/'Lookup Tables'!$C$48</f>
        <v>18.052227177918184</v>
      </c>
      <c r="H568" s="70">
        <f t="shared" si="56"/>
        <v>1.5853938476915253E-3</v>
      </c>
      <c r="I568" s="71">
        <f t="shared" si="60"/>
        <v>2.5995207136202181E-2</v>
      </c>
      <c r="L568" s="74"/>
      <c r="M568" s="74"/>
      <c r="N568" s="74"/>
      <c r="O568" s="74"/>
      <c r="P568" s="74"/>
      <c r="Q568" s="74"/>
      <c r="R568" s="74"/>
      <c r="S568" s="74"/>
      <c r="T568" s="74"/>
      <c r="U568" s="74"/>
      <c r="V568" s="74"/>
      <c r="W568" s="74"/>
      <c r="X568" s="74"/>
      <c r="Y568" s="74"/>
    </row>
    <row r="569" spans="1:25" x14ac:dyDescent="0.3">
      <c r="A569" s="66">
        <f t="shared" si="58"/>
        <v>2046.1999999999489</v>
      </c>
      <c r="B569" s="67">
        <f>LOOKUP(A569+0.01,Amounts!$A$4:$A$103,Amounts!$B$4:$B$103)*0.1*$A$2</f>
        <v>0</v>
      </c>
      <c r="C569" s="68">
        <f t="shared" si="57"/>
        <v>2992395.4285963499</v>
      </c>
      <c r="D569" s="67">
        <f t="array" ref="D569">SUM($B$7:$B564*$F$1009*EXP(-$F$1009*($A569-$A$7:$A564)))*$F$1010</f>
        <v>4668786.0503682652</v>
      </c>
      <c r="E569" s="67">
        <f t="shared" si="55"/>
        <v>8.900628444310323</v>
      </c>
      <c r="F569" s="70">
        <f t="shared" si="59"/>
        <v>0.54044615913852279</v>
      </c>
      <c r="G569" s="67">
        <f>E569/'Lookup Tables'!$C$48</f>
        <v>17.801256888620646</v>
      </c>
      <c r="H569" s="70">
        <f t="shared" si="56"/>
        <v>1.5633529798980835E-3</v>
      </c>
      <c r="I569" s="71">
        <f t="shared" si="60"/>
        <v>2.5633809919613733E-2</v>
      </c>
      <c r="L569" s="74"/>
      <c r="M569" s="74"/>
      <c r="N569" s="74"/>
      <c r="O569" s="74"/>
      <c r="P569" s="74"/>
      <c r="Q569" s="74"/>
      <c r="R569" s="74"/>
      <c r="S569" s="74"/>
      <c r="T569" s="74"/>
      <c r="U569" s="74"/>
      <c r="V569" s="74"/>
      <c r="W569" s="74"/>
      <c r="X569" s="74"/>
      <c r="Y569" s="74"/>
    </row>
    <row r="570" spans="1:25" x14ac:dyDescent="0.3">
      <c r="A570" s="66">
        <f t="shared" si="58"/>
        <v>2046.2999999999488</v>
      </c>
      <c r="B570" s="67">
        <f>LOOKUP(A570+0.01,Amounts!$A$4:$A$103,Amounts!$B$4:$B$103)*0.1*$A$2</f>
        <v>0</v>
      </c>
      <c r="C570" s="68">
        <f t="shared" si="57"/>
        <v>2992395.4285963499</v>
      </c>
      <c r="D570" s="67">
        <f t="array" ref="D570">SUM($B$7:$B565*$F$1009*EXP(-$F$1009*($A570-$A$7:$A565)))*$F$1010</f>
        <v>4603878.4589569112</v>
      </c>
      <c r="E570" s="67">
        <f t="shared" si="55"/>
        <v>8.7768878513306987</v>
      </c>
      <c r="F570" s="70">
        <f t="shared" si="59"/>
        <v>0.53293263033280014</v>
      </c>
      <c r="G570" s="67">
        <f>E570/'Lookup Tables'!$C$48</f>
        <v>17.553775702661397</v>
      </c>
      <c r="H570" s="70">
        <f t="shared" si="56"/>
        <v>1.5416185342935474E-3</v>
      </c>
      <c r="I570" s="71">
        <f t="shared" si="60"/>
        <v>2.5277437011832413E-2</v>
      </c>
      <c r="L570" s="74"/>
      <c r="M570" s="74"/>
      <c r="N570" s="74"/>
      <c r="O570" s="74"/>
      <c r="P570" s="74"/>
      <c r="Q570" s="74"/>
      <c r="R570" s="74"/>
      <c r="S570" s="74"/>
      <c r="T570" s="74"/>
      <c r="U570" s="74"/>
      <c r="V570" s="74"/>
      <c r="W570" s="74"/>
      <c r="X570" s="74"/>
      <c r="Y570" s="74"/>
    </row>
    <row r="571" spans="1:25" x14ac:dyDescent="0.3">
      <c r="A571" s="66">
        <f t="shared" si="58"/>
        <v>2046.3999999999487</v>
      </c>
      <c r="B571" s="67">
        <f>LOOKUP(A571+0.01,Amounts!$A$4:$A$103,Amounts!$B$4:$B$103)*0.1*$A$2</f>
        <v>0</v>
      </c>
      <c r="C571" s="68">
        <f t="shared" si="57"/>
        <v>2992395.4285963499</v>
      </c>
      <c r="D571" s="67">
        <f t="array" ref="D571">SUM($B$7:$B566*$F$1009*EXP(-$F$1009*($A571-$A$7:$A566)))*$F$1010</f>
        <v>4539873.2424621582</v>
      </c>
      <c r="E571" s="67">
        <f t="shared" si="55"/>
        <v>8.6548675564678597</v>
      </c>
      <c r="F571" s="70">
        <f t="shared" si="59"/>
        <v>0.52552355802872852</v>
      </c>
      <c r="G571" s="67">
        <f>E571/'Lookup Tables'!$C$48</f>
        <v>17.309735112935719</v>
      </c>
      <c r="H571" s="70">
        <f t="shared" si="56"/>
        <v>1.5201862508569992E-3</v>
      </c>
      <c r="I571" s="71">
        <f t="shared" si="60"/>
        <v>2.4926018562627439E-2</v>
      </c>
      <c r="L571" s="74"/>
      <c r="M571" s="74"/>
      <c r="N571" s="74"/>
      <c r="O571" s="74"/>
      <c r="P571" s="74"/>
      <c r="Q571" s="74"/>
      <c r="R571" s="74"/>
      <c r="S571" s="74"/>
      <c r="T571" s="74"/>
      <c r="U571" s="74"/>
      <c r="V571" s="74"/>
      <c r="W571" s="74"/>
      <c r="X571" s="74"/>
      <c r="Y571" s="74"/>
    </row>
    <row r="572" spans="1:25" x14ac:dyDescent="0.3">
      <c r="A572" s="66">
        <f t="shared" si="58"/>
        <v>2046.4999999999486</v>
      </c>
      <c r="B572" s="67">
        <f>LOOKUP(A572+0.01,Amounts!$A$4:$A$103,Amounts!$B$4:$B$103)*0.1*$A$2</f>
        <v>0</v>
      </c>
      <c r="C572" s="68">
        <f t="shared" si="57"/>
        <v>2992395.4285963499</v>
      </c>
      <c r="D572" s="67">
        <f t="array" ref="D572">SUM($B$7:$B567*$F$1009*EXP(-$F$1009*($A572-$A$7:$A567)))*$F$1010</f>
        <v>4476757.8556566676</v>
      </c>
      <c r="E572" s="67">
        <f t="shared" si="55"/>
        <v>8.5345436433533823</v>
      </c>
      <c r="F572" s="70">
        <f t="shared" si="59"/>
        <v>0.51821749002441742</v>
      </c>
      <c r="G572" s="67">
        <f>E572/'Lookup Tables'!$C$48</f>
        <v>17.069087286706765</v>
      </c>
      <c r="H572" s="70">
        <f t="shared" si="56"/>
        <v>1.4990519287922729E-3</v>
      </c>
      <c r="I572" s="71">
        <f t="shared" si="60"/>
        <v>2.4579485692857742E-2</v>
      </c>
      <c r="L572" s="74"/>
      <c r="M572" s="74"/>
      <c r="N572" s="74"/>
      <c r="O572" s="74"/>
      <c r="P572" s="74"/>
      <c r="Q572" s="74"/>
      <c r="R572" s="74"/>
      <c r="S572" s="74"/>
      <c r="T572" s="74"/>
      <c r="U572" s="74"/>
      <c r="V572" s="74"/>
      <c r="W572" s="74"/>
      <c r="X572" s="74"/>
      <c r="Y572" s="74"/>
    </row>
    <row r="573" spans="1:25" x14ac:dyDescent="0.3">
      <c r="A573" s="66">
        <f t="shared" si="58"/>
        <v>2046.5999999999485</v>
      </c>
      <c r="B573" s="67">
        <f>LOOKUP(A573+0.01,Amounts!$A$4:$A$103,Amounts!$B$4:$B$103)*0.1*$A$2</f>
        <v>0</v>
      </c>
      <c r="C573" s="68">
        <f t="shared" si="57"/>
        <v>2992395.4285963499</v>
      </c>
      <c r="D573" s="67">
        <f t="array" ref="D573">SUM($B$7:$B568*$F$1009*EXP(-$F$1009*($A573-$A$7:$A568)))*$F$1010</f>
        <v>4414519.9277225723</v>
      </c>
      <c r="E573" s="67">
        <f t="shared" si="55"/>
        <v>8.4158925281150978</v>
      </c>
      <c r="F573" s="70">
        <f t="shared" si="59"/>
        <v>0.51101299430714875</v>
      </c>
      <c r="G573" s="67">
        <f>E573/'Lookup Tables'!$C$48</f>
        <v>16.831785056230196</v>
      </c>
      <c r="H573" s="70">
        <f t="shared" si="56"/>
        <v>1.4782114257045858E-3</v>
      </c>
      <c r="I573" s="71">
        <f t="shared" si="60"/>
        <v>2.423777048097148E-2</v>
      </c>
      <c r="L573" s="74"/>
      <c r="M573" s="74"/>
      <c r="N573" s="74"/>
      <c r="O573" s="74"/>
      <c r="P573" s="74"/>
      <c r="Q573" s="74"/>
      <c r="R573" s="74"/>
      <c r="S573" s="74"/>
      <c r="T573" s="74"/>
      <c r="U573" s="74"/>
      <c r="V573" s="74"/>
      <c r="W573" s="74"/>
      <c r="X573" s="74"/>
      <c r="Y573" s="74"/>
    </row>
    <row r="574" spans="1:25" x14ac:dyDescent="0.3">
      <c r="A574" s="66">
        <f t="shared" si="58"/>
        <v>2046.6999999999484</v>
      </c>
      <c r="B574" s="67">
        <f>LOOKUP(A574+0.01,Amounts!$A$4:$A$103,Amounts!$B$4:$B$103)*0.1*$A$2</f>
        <v>0</v>
      </c>
      <c r="C574" s="68">
        <f t="shared" si="57"/>
        <v>2992395.4285963499</v>
      </c>
      <c r="D574" s="67">
        <f t="array" ref="D574">SUM($B$7:$B569*$F$1009*EXP(-$F$1009*($A574-$A$7:$A569)))*$F$1010</f>
        <v>4353147.2598267496</v>
      </c>
      <c r="E574" s="67">
        <f t="shared" si="55"/>
        <v>8.2988909547545688</v>
      </c>
      <c r="F574" s="70">
        <f t="shared" si="59"/>
        <v>0.50390865877269742</v>
      </c>
      <c r="G574" s="67">
        <f>E574/'Lookup Tables'!$C$48</f>
        <v>16.597781909509138</v>
      </c>
      <c r="H574" s="70">
        <f t="shared" si="56"/>
        <v>1.4576606567886141E-3</v>
      </c>
      <c r="I574" s="71">
        <f t="shared" si="60"/>
        <v>2.3900805949693162E-2</v>
      </c>
      <c r="L574" s="74"/>
      <c r="M574" s="74"/>
      <c r="N574" s="74"/>
      <c r="O574" s="74"/>
      <c r="P574" s="74"/>
      <c r="Q574" s="74"/>
      <c r="R574" s="74"/>
      <c r="S574" s="74"/>
      <c r="T574" s="74"/>
      <c r="U574" s="74"/>
      <c r="V574" s="74"/>
      <c r="W574" s="74"/>
      <c r="X574" s="74"/>
      <c r="Y574" s="74"/>
    </row>
    <row r="575" spans="1:25" x14ac:dyDescent="0.3">
      <c r="A575" s="66">
        <f t="shared" si="58"/>
        <v>2046.7999999999483</v>
      </c>
      <c r="B575" s="67">
        <f>LOOKUP(A575+0.01,Amounts!$A$4:$A$103,Amounts!$B$4:$B$103)*0.1*$A$2</f>
        <v>0</v>
      </c>
      <c r="C575" s="68">
        <f t="shared" si="57"/>
        <v>2992395.4285963499</v>
      </c>
      <c r="D575" s="67">
        <f t="array" ref="D575">SUM($B$7:$B570*$F$1009*EXP(-$F$1009*($A575-$A$7:$A570)))*$F$1010</f>
        <v>4292627.8227298185</v>
      </c>
      <c r="E575" s="67">
        <f t="shared" si="55"/>
        <v>8.1835159905888606</v>
      </c>
      <c r="F575" s="70">
        <f t="shared" si="59"/>
        <v>0.49690309094855561</v>
      </c>
      <c r="G575" s="67">
        <f>E575/'Lookup Tables'!$C$48</f>
        <v>16.367031981177721</v>
      </c>
      <c r="H575" s="70">
        <f t="shared" si="56"/>
        <v>1.4373955940278607E-3</v>
      </c>
      <c r="I575" s="71">
        <f t="shared" si="60"/>
        <v>2.356852605289592E-2</v>
      </c>
      <c r="L575" s="74"/>
      <c r="M575" s="74"/>
      <c r="N575" s="74"/>
      <c r="O575" s="74"/>
      <c r="P575" s="74"/>
      <c r="Q575" s="74"/>
      <c r="R575" s="74"/>
      <c r="S575" s="74"/>
      <c r="T575" s="74"/>
      <c r="U575" s="74"/>
      <c r="V575" s="74"/>
      <c r="W575" s="74"/>
      <c r="X575" s="74"/>
      <c r="Y575" s="74"/>
    </row>
    <row r="576" spans="1:25" x14ac:dyDescent="0.3">
      <c r="A576" s="66">
        <f t="shared" si="58"/>
        <v>2046.8999999999482</v>
      </c>
      <c r="B576" s="67">
        <f>LOOKUP(A576+0.01,Amounts!$A$4:$A$103,Amounts!$B$4:$B$103)*0.1*$A$2</f>
        <v>0</v>
      </c>
      <c r="C576" s="68">
        <f t="shared" si="57"/>
        <v>2992395.4285963499</v>
      </c>
      <c r="D576" s="67">
        <f t="array" ref="D576">SUM($B$7:$B571*$F$1009*EXP(-$F$1009*($A576-$A$7:$A571)))*$F$1010</f>
        <v>4232949.7544283643</v>
      </c>
      <c r="E576" s="67">
        <f t="shared" si="55"/>
        <v>8.0697450217556437</v>
      </c>
      <c r="F576" s="70">
        <f t="shared" si="59"/>
        <v>0.48999491772100273</v>
      </c>
      <c r="G576" s="67">
        <f>E576/'Lookup Tables'!$C$48</f>
        <v>16.139490043511287</v>
      </c>
      <c r="H576" s="70">
        <f t="shared" si="56"/>
        <v>1.41741226540515E-3</v>
      </c>
      <c r="I576" s="71">
        <f t="shared" si="60"/>
        <v>2.3240865662656256E-2</v>
      </c>
      <c r="L576" s="74"/>
      <c r="M576" s="74"/>
      <c r="N576" s="74"/>
      <c r="O576" s="74"/>
      <c r="P576" s="74"/>
      <c r="Q576" s="74"/>
      <c r="R576" s="74"/>
      <c r="S576" s="74"/>
      <c r="T576" s="74"/>
      <c r="U576" s="74"/>
      <c r="V576" s="74"/>
      <c r="W576" s="74"/>
      <c r="X576" s="74"/>
      <c r="Y576" s="74"/>
    </row>
    <row r="577" spans="1:25" x14ac:dyDescent="0.3">
      <c r="A577" s="66">
        <f t="shared" si="58"/>
        <v>2046.9999999999482</v>
      </c>
      <c r="B577" s="67">
        <f>LOOKUP(A577+0.01,Amounts!$A$4:$A$103,Amounts!$B$4:$B$103)*0.1*$A$2</f>
        <v>0</v>
      </c>
      <c r="C577" s="68">
        <f t="shared" si="57"/>
        <v>2992395.4285963499</v>
      </c>
      <c r="D577" s="67">
        <f t="array" ref="D577">SUM($B$7:$B572*$F$1009*EXP(-$F$1009*($A577-$A$7:$A572)))*$F$1010</f>
        <v>4174101.357829947</v>
      </c>
      <c r="E577" s="67">
        <f t="shared" si="55"/>
        <v>7.9575557487807949</v>
      </c>
      <c r="F577" s="70">
        <f t="shared" si="59"/>
        <v>0.48318278506596984</v>
      </c>
      <c r="G577" s="67">
        <f>E577/'Lookup Tables'!$C$48</f>
        <v>15.91511149756159</v>
      </c>
      <c r="H577" s="70">
        <f t="shared" si="56"/>
        <v>1.3977067541240957E-3</v>
      </c>
      <c r="I577" s="71">
        <f t="shared" si="60"/>
        <v>2.2917760556488691E-2</v>
      </c>
      <c r="L577" s="74"/>
      <c r="M577" s="74"/>
      <c r="N577" s="74"/>
      <c r="O577" s="74"/>
      <c r="P577" s="74"/>
      <c r="Q577" s="74"/>
      <c r="R577" s="74"/>
      <c r="S577" s="74"/>
      <c r="T577" s="74"/>
      <c r="U577" s="74"/>
      <c r="V577" s="74"/>
      <c r="W577" s="74"/>
      <c r="X577" s="74"/>
      <c r="Y577" s="74"/>
    </row>
    <row r="578" spans="1:25" x14ac:dyDescent="0.3">
      <c r="A578" s="66">
        <f t="shared" si="58"/>
        <v>2047.0999999999481</v>
      </c>
      <c r="B578" s="67">
        <f>LOOKUP(A578+0.01,Amounts!$A$4:$A$103,Amounts!$B$4:$B$103)*0.1*$A$2</f>
        <v>0</v>
      </c>
      <c r="C578" s="68">
        <f t="shared" si="57"/>
        <v>2992395.4285963499</v>
      </c>
      <c r="D578" s="67">
        <f t="array" ref="D578">SUM($B$7:$B573*$F$1009*EXP(-$F$1009*($A578-$A$7:$A573)))*$F$1010</f>
        <v>4116071.098460441</v>
      </c>
      <c r="E578" s="67">
        <f t="shared" si="55"/>
        <v>7.8469261822076612</v>
      </c>
      <c r="F578" s="70">
        <f t="shared" si="59"/>
        <v>0.47646535778364918</v>
      </c>
      <c r="G578" s="67">
        <f>E578/'Lookup Tables'!$C$48</f>
        <v>15.693852364415322</v>
      </c>
      <c r="H578" s="70">
        <f t="shared" si="56"/>
        <v>1.3782751978414038E-3</v>
      </c>
      <c r="I578" s="71">
        <f t="shared" si="60"/>
        <v>2.2599147404758064E-2</v>
      </c>
      <c r="L578" s="74"/>
      <c r="M578" s="74"/>
      <c r="N578" s="74"/>
      <c r="O578" s="74"/>
      <c r="P578" s="74"/>
      <c r="Q578" s="74"/>
      <c r="R578" s="74"/>
      <c r="S578" s="74"/>
      <c r="T578" s="74"/>
      <c r="U578" s="74"/>
      <c r="V578" s="74"/>
      <c r="W578" s="74"/>
      <c r="X578" s="74"/>
      <c r="Y578" s="74"/>
    </row>
    <row r="579" spans="1:25" x14ac:dyDescent="0.3">
      <c r="A579" s="66">
        <f t="shared" si="58"/>
        <v>2047.199999999948</v>
      </c>
      <c r="B579" s="67">
        <f>LOOKUP(A579+0.01,Amounts!$A$4:$A$103,Amounts!$B$4:$B$103)*0.1*$A$2</f>
        <v>0</v>
      </c>
      <c r="C579" s="68">
        <f t="shared" si="57"/>
        <v>2992395.4285963499</v>
      </c>
      <c r="D579" s="67">
        <f t="array" ref="D579">SUM($B$7:$B574*$F$1009*EXP(-$F$1009*($A579-$A$7:$A574)))*$F$1010</f>
        <v>4058847.6022032318</v>
      </c>
      <c r="E579" s="67">
        <f t="shared" si="55"/>
        <v>7.7378346382870253</v>
      </c>
      <c r="F579" s="70">
        <f t="shared" si="59"/>
        <v>0.46984131923678818</v>
      </c>
      <c r="G579" s="67">
        <f>E579/'Lookup Tables'!$C$48</f>
        <v>15.475669276574051</v>
      </c>
      <c r="H579" s="70">
        <f t="shared" si="56"/>
        <v>1.3591137879098356E-3</v>
      </c>
      <c r="I579" s="71">
        <f t="shared" si="60"/>
        <v>2.2284963758266631E-2</v>
      </c>
      <c r="L579" s="74"/>
      <c r="M579" s="74"/>
      <c r="N579" s="74"/>
      <c r="O579" s="74"/>
      <c r="P579" s="74"/>
      <c r="Q579" s="74"/>
      <c r="R579" s="74"/>
      <c r="S579" s="74"/>
      <c r="T579" s="74"/>
      <c r="U579" s="74"/>
      <c r="V579" s="74"/>
      <c r="W579" s="74"/>
      <c r="X579" s="74"/>
      <c r="Y579" s="74"/>
    </row>
    <row r="580" spans="1:25" x14ac:dyDescent="0.3">
      <c r="A580" s="66">
        <f t="shared" si="58"/>
        <v>2047.2999999999479</v>
      </c>
      <c r="B580" s="67">
        <f>LOOKUP(A580+0.01,Amounts!$A$4:$A$103,Amounts!$B$4:$B$103)*0.1*$A$2</f>
        <v>0</v>
      </c>
      <c r="C580" s="68">
        <f t="shared" si="57"/>
        <v>2992395.4285963499</v>
      </c>
      <c r="D580" s="67">
        <f t="array" ref="D580">SUM($B$7:$B575*$F$1009*EXP(-$F$1009*($A580-$A$7:$A575)))*$F$1010</f>
        <v>4002419.6530698626</v>
      </c>
      <c r="E580" s="67">
        <f t="shared" si="55"/>
        <v>7.6302597347270416</v>
      </c>
      <c r="F580" s="70">
        <f t="shared" si="59"/>
        <v>0.46330937109262593</v>
      </c>
      <c r="G580" s="67">
        <f>E580/'Lookup Tables'!$C$48</f>
        <v>15.260519469454083</v>
      </c>
      <c r="H580" s="70">
        <f t="shared" si="56"/>
        <v>1.3402187686317015E-3</v>
      </c>
      <c r="I580" s="71">
        <f t="shared" si="60"/>
        <v>2.1975148036013879E-2</v>
      </c>
      <c r="L580" s="74"/>
      <c r="M580" s="74"/>
      <c r="N580" s="74"/>
      <c r="O580" s="74"/>
      <c r="P580" s="74"/>
      <c r="Q580" s="74"/>
      <c r="R580" s="74"/>
      <c r="S580" s="74"/>
      <c r="T580" s="74"/>
      <c r="U580" s="74"/>
      <c r="V580" s="74"/>
      <c r="W580" s="74"/>
      <c r="X580" s="74"/>
      <c r="Y580" s="74"/>
    </row>
    <row r="581" spans="1:25" x14ac:dyDescent="0.3">
      <c r="A581" s="66">
        <f t="shared" si="58"/>
        <v>2047.3999999999478</v>
      </c>
      <c r="B581" s="67">
        <f>LOOKUP(A581+0.01,Amounts!$A$4:$A$103,Amounts!$B$4:$B$103)*0.1*$A$2</f>
        <v>0</v>
      </c>
      <c r="C581" s="68">
        <f t="shared" si="57"/>
        <v>2992395.4285963499</v>
      </c>
      <c r="D581" s="67">
        <f t="array" ref="D581">SUM($B$7:$B576*$F$1009*EXP(-$F$1009*($A581-$A$7:$A576)))*$F$1010</f>
        <v>3946776.1910016565</v>
      </c>
      <c r="E581" s="67">
        <f t="shared" si="55"/>
        <v>7.5241803865022261</v>
      </c>
      <c r="F581" s="70">
        <f t="shared" si="59"/>
        <v>0.45686823306841517</v>
      </c>
      <c r="G581" s="67">
        <f>E581/'Lookup Tables'!$C$48</f>
        <v>15.048360773004452</v>
      </c>
      <c r="H581" s="70">
        <f t="shared" si="56"/>
        <v>1.3215864365227342E-3</v>
      </c>
      <c r="I581" s="71">
        <f t="shared" si="60"/>
        <v>2.166963951312641E-2</v>
      </c>
      <c r="L581" s="74"/>
      <c r="M581" s="74"/>
      <c r="N581" s="74"/>
      <c r="O581" s="74"/>
      <c r="P581" s="74"/>
      <c r="Q581" s="74"/>
      <c r="R581" s="74"/>
      <c r="S581" s="74"/>
      <c r="T581" s="74"/>
      <c r="U581" s="74"/>
      <c r="V581" s="74"/>
      <c r="W581" s="74"/>
      <c r="X581" s="74"/>
      <c r="Y581" s="74"/>
    </row>
    <row r="582" spans="1:25" x14ac:dyDescent="0.3">
      <c r="A582" s="66">
        <f t="shared" si="58"/>
        <v>2047.4999999999477</v>
      </c>
      <c r="B582" s="67">
        <f>LOOKUP(A582+0.01,Amounts!$A$4:$A$103,Amounts!$B$4:$B$103)*0.1*$A$2</f>
        <v>0</v>
      </c>
      <c r="C582" s="68">
        <f t="shared" si="57"/>
        <v>2992395.4285963499</v>
      </c>
      <c r="D582" s="67">
        <f t="array" ref="D582">SUM($B$7:$B577*$F$1009*EXP(-$F$1009*($A582-$A$7:$A577)))*$F$1010</f>
        <v>3891906.3097019154</v>
      </c>
      <c r="E582" s="67">
        <f t="shared" si="55"/>
        <v>7.4195758017207316</v>
      </c>
      <c r="F582" s="70">
        <f t="shared" si="59"/>
        <v>0.4505166426804828</v>
      </c>
      <c r="G582" s="67">
        <f>E582/'Lookup Tables'!$C$48</f>
        <v>14.839151603441463</v>
      </c>
      <c r="H582" s="70">
        <f t="shared" si="56"/>
        <v>1.3032131395861917E-3</v>
      </c>
      <c r="I582" s="71">
        <f t="shared" si="60"/>
        <v>2.1368378308955709E-2</v>
      </c>
      <c r="L582" s="74"/>
      <c r="M582" s="74"/>
      <c r="N582" s="74"/>
      <c r="O582" s="74"/>
      <c r="P582" s="74"/>
      <c r="Q582" s="74"/>
      <c r="R582" s="74"/>
      <c r="S582" s="74"/>
      <c r="T582" s="74"/>
      <c r="U582" s="74"/>
      <c r="V582" s="74"/>
      <c r="W582" s="74"/>
      <c r="X582" s="74"/>
      <c r="Y582" s="74"/>
    </row>
    <row r="583" spans="1:25" x14ac:dyDescent="0.3">
      <c r="A583" s="66">
        <f t="shared" si="58"/>
        <v>2047.5999999999476</v>
      </c>
      <c r="B583" s="67">
        <f>LOOKUP(A583+0.01,Amounts!$A$4:$A$103,Amounts!$B$4:$B$103)*0.1*$A$2</f>
        <v>0</v>
      </c>
      <c r="C583" s="68">
        <f t="shared" si="57"/>
        <v>2992395.4285963499</v>
      </c>
      <c r="D583" s="67">
        <f t="array" ref="D583">SUM($B$7:$B578*$F$1009*EXP(-$F$1009*($A583-$A$7:$A578)))*$F$1010</f>
        <v>3837799.2544982433</v>
      </c>
      <c r="E583" s="67">
        <f t="shared" ref="E583:E646" si="61">D583/(365*24*60)*1.00201</f>
        <v>7.3164254775490587</v>
      </c>
      <c r="F583" s="70">
        <f t="shared" si="59"/>
        <v>0.44425335499677882</v>
      </c>
      <c r="G583" s="67">
        <f>E583/'Lookup Tables'!$C$48</f>
        <v>14.632850955098117</v>
      </c>
      <c r="H583" s="70">
        <f t="shared" ref="H583:H646" si="62">G583*60*24*365/(C583*2000)</f>
        <v>1.2850952765970538E-3</v>
      </c>
      <c r="I583" s="71">
        <f t="shared" si="60"/>
        <v>2.1071305375341291E-2</v>
      </c>
      <c r="L583" s="74"/>
      <c r="M583" s="74"/>
      <c r="N583" s="74"/>
      <c r="O583" s="74"/>
      <c r="P583" s="74"/>
      <c r="Q583" s="74"/>
      <c r="R583" s="74"/>
      <c r="S583" s="74"/>
      <c r="T583" s="74"/>
      <c r="U583" s="74"/>
      <c r="V583" s="74"/>
      <c r="W583" s="74"/>
      <c r="X583" s="74"/>
      <c r="Y583" s="74"/>
    </row>
    <row r="584" spans="1:25" x14ac:dyDescent="0.3">
      <c r="A584" s="66">
        <f t="shared" si="58"/>
        <v>2047.6999999999475</v>
      </c>
      <c r="B584" s="67">
        <f>LOOKUP(A584+0.01,Amounts!$A$4:$A$103,Amounts!$B$4:$B$103)*0.1*$A$2</f>
        <v>0</v>
      </c>
      <c r="C584" s="68">
        <f t="shared" si="57"/>
        <v>2992395.4285963499</v>
      </c>
      <c r="D584" s="67">
        <f t="array" ref="D584">SUM($B$7:$B579*$F$1009*EXP(-$F$1009*($A584-$A$7:$A579)))*$F$1010</f>
        <v>3784444.4202346085</v>
      </c>
      <c r="E584" s="67">
        <f t="shared" si="61"/>
        <v>7.2147091961934562</v>
      </c>
      <c r="F584" s="70">
        <f t="shared" si="59"/>
        <v>0.43807714239286666</v>
      </c>
      <c r="G584" s="67">
        <f>E584/'Lookup Tables'!$C$48</f>
        <v>14.429418392386912</v>
      </c>
      <c r="H584" s="70">
        <f t="shared" si="62"/>
        <v>1.2672292963961745E-3</v>
      </c>
      <c r="I584" s="71">
        <f t="shared" si="60"/>
        <v>2.0778362485037158E-2</v>
      </c>
      <c r="L584" s="74"/>
      <c r="M584" s="74"/>
      <c r="N584" s="74"/>
      <c r="O584" s="74"/>
      <c r="P584" s="74"/>
      <c r="Q584" s="74"/>
      <c r="R584" s="74"/>
      <c r="S584" s="74"/>
      <c r="T584" s="74"/>
      <c r="U584" s="74"/>
      <c r="V584" s="74"/>
      <c r="W584" s="74"/>
      <c r="X584" s="74"/>
      <c r="Y584" s="74"/>
    </row>
    <row r="585" spans="1:25" x14ac:dyDescent="0.3">
      <c r="A585" s="66">
        <f t="shared" si="58"/>
        <v>2047.7999999999474</v>
      </c>
      <c r="B585" s="67">
        <f>LOOKUP(A585+0.01,Amounts!$A$4:$A$103,Amounts!$B$4:$B$103)*0.1*$A$2</f>
        <v>0</v>
      </c>
      <c r="C585" s="68">
        <f t="shared" ref="C585:C648" si="63">C584+B585</f>
        <v>2992395.4285963499</v>
      </c>
      <c r="D585" s="67">
        <f t="array" ref="D585">SUM($B$7:$B580*$F$1009*EXP(-$F$1009*($A585-$A$7:$A580)))*$F$1010</f>
        <v>3731831.3491926864</v>
      </c>
      <c r="E585" s="67">
        <f t="shared" si="61"/>
        <v>7.1144070209371453</v>
      </c>
      <c r="F585" s="70">
        <f t="shared" si="59"/>
        <v>0.43198679431130343</v>
      </c>
      <c r="G585" s="67">
        <f>E585/'Lookup Tables'!$C$48</f>
        <v>14.228814041874291</v>
      </c>
      <c r="H585" s="70">
        <f t="shared" si="62"/>
        <v>1.2496116971942378E-3</v>
      </c>
      <c r="I585" s="71">
        <f t="shared" si="60"/>
        <v>2.0489492220298975E-2</v>
      </c>
      <c r="L585" s="74"/>
      <c r="M585" s="74"/>
      <c r="N585" s="74"/>
      <c r="O585" s="74"/>
      <c r="P585" s="74"/>
      <c r="Q585" s="74"/>
      <c r="R585" s="74"/>
      <c r="S585" s="74"/>
      <c r="T585" s="74"/>
      <c r="U585" s="74"/>
      <c r="V585" s="74"/>
      <c r="W585" s="74"/>
      <c r="X585" s="74"/>
      <c r="Y585" s="74"/>
    </row>
    <row r="586" spans="1:25" x14ac:dyDescent="0.3">
      <c r="A586" s="66">
        <f t="shared" si="58"/>
        <v>2047.8999999999473</v>
      </c>
      <c r="B586" s="67">
        <f>LOOKUP(A586+0.01,Amounts!$A$4:$A$103,Amounts!$B$4:$B$103)*0.1*$A$2</f>
        <v>0</v>
      </c>
      <c r="C586" s="68">
        <f t="shared" si="63"/>
        <v>2992395.4285963499</v>
      </c>
      <c r="D586" s="67">
        <f t="array" ref="D586">SUM($B$7:$B581*$F$1009*EXP(-$F$1009*($A586-$A$7:$A581)))*$F$1010</f>
        <v>3679949.729042117</v>
      </c>
      <c r="E586" s="67">
        <f t="shared" si="61"/>
        <v>7.0154992922326711</v>
      </c>
      <c r="F586" s="70">
        <f t="shared" si="59"/>
        <v>0.42598111702436781</v>
      </c>
      <c r="G586" s="67">
        <f>E586/'Lookup Tables'!$C$48</f>
        <v>14.030998584465342</v>
      </c>
      <c r="H586" s="70">
        <f t="shared" si="62"/>
        <v>1.2322390258854006E-3</v>
      </c>
      <c r="I586" s="71">
        <f t="shared" si="60"/>
        <v>2.0204637961630093E-2</v>
      </c>
      <c r="L586" s="74"/>
      <c r="M586" s="74"/>
      <c r="N586" s="74"/>
      <c r="O586" s="74"/>
      <c r="P586" s="74"/>
      <c r="Q586" s="74"/>
      <c r="R586" s="74"/>
      <c r="S586" s="74"/>
      <c r="T586" s="74"/>
      <c r="U586" s="74"/>
      <c r="V586" s="74"/>
      <c r="W586" s="74"/>
      <c r="X586" s="74"/>
      <c r="Y586" s="74"/>
    </row>
    <row r="587" spans="1:25" x14ac:dyDescent="0.3">
      <c r="A587" s="66">
        <f t="shared" si="58"/>
        <v>2047.9999999999472</v>
      </c>
      <c r="B587" s="67">
        <f>LOOKUP(A587+0.01,Amounts!$A$4:$A$103,Amounts!$B$4:$B$103)*0.1*$A$2</f>
        <v>0</v>
      </c>
      <c r="C587" s="68">
        <f t="shared" si="63"/>
        <v>2992395.4285963499</v>
      </c>
      <c r="D587" s="67">
        <f t="array" ref="D587">SUM($B$7:$B582*$F$1009*EXP(-$F$1009*($A587-$A$7:$A582)))*$F$1010</f>
        <v>3628789.3908192618</v>
      </c>
      <c r="E587" s="67">
        <f t="shared" si="61"/>
        <v>6.9179666238485709</v>
      </c>
      <c r="F587" s="70">
        <f t="shared" si="59"/>
        <v>0.42005893340008521</v>
      </c>
      <c r="G587" s="67">
        <f>E587/'Lookup Tables'!$C$48</f>
        <v>13.835933247697142</v>
      </c>
      <c r="H587" s="70">
        <f t="shared" si="62"/>
        <v>1.2151078773704701E-3</v>
      </c>
      <c r="I587" s="71">
        <f t="shared" si="60"/>
        <v>1.9923743876683882E-2</v>
      </c>
      <c r="L587" s="74"/>
      <c r="M587" s="74"/>
      <c r="N587" s="74"/>
      <c r="O587" s="74"/>
      <c r="P587" s="74"/>
      <c r="Q587" s="74"/>
      <c r="R587" s="74"/>
      <c r="S587" s="74"/>
      <c r="T587" s="74"/>
      <c r="U587" s="74"/>
      <c r="V587" s="74"/>
      <c r="W587" s="74"/>
      <c r="X587" s="74"/>
      <c r="Y587" s="74"/>
    </row>
    <row r="588" spans="1:25" x14ac:dyDescent="0.3">
      <c r="A588" s="66">
        <f t="shared" si="58"/>
        <v>2048.0999999999472</v>
      </c>
      <c r="B588" s="67">
        <f>LOOKUP(A588+0.01,Amounts!$A$4:$A$103,Amounts!$B$4:$B$103)*0.1*$A$2</f>
        <v>0</v>
      </c>
      <c r="C588" s="68">
        <f t="shared" si="63"/>
        <v>2992395.4285963499</v>
      </c>
      <c r="D588" s="67">
        <f t="array" ref="D588">SUM($B$7:$B583*$F$1009*EXP(-$F$1009*($A588-$A$7:$A583)))*$F$1010</f>
        <v>3578340.3069340461</v>
      </c>
      <c r="E588" s="67">
        <f t="shared" si="61"/>
        <v>6.8217898990696044</v>
      </c>
      <c r="F588" s="70">
        <f t="shared" si="59"/>
        <v>0.41421908267150637</v>
      </c>
      <c r="G588" s="67">
        <f>E588/'Lookup Tables'!$C$48</f>
        <v>13.643579798139209</v>
      </c>
      <c r="H588" s="70">
        <f t="shared" si="62"/>
        <v>1.1982148938894947E-3</v>
      </c>
      <c r="I588" s="71">
        <f t="shared" si="60"/>
        <v>1.9646754909320462E-2</v>
      </c>
      <c r="L588" s="74"/>
      <c r="M588" s="74"/>
      <c r="N588" s="74"/>
      <c r="O588" s="74"/>
      <c r="P588" s="74"/>
      <c r="Q588" s="74"/>
      <c r="R588" s="74"/>
      <c r="S588" s="74"/>
      <c r="T588" s="74"/>
      <c r="U588" s="74"/>
      <c r="V588" s="74"/>
      <c r="W588" s="74"/>
      <c r="X588" s="74"/>
      <c r="Y588" s="74"/>
    </row>
    <row r="589" spans="1:25" x14ac:dyDescent="0.3">
      <c r="A589" s="66">
        <f t="shared" si="58"/>
        <v>2048.1999999999471</v>
      </c>
      <c r="B589" s="67">
        <f>LOOKUP(A589+0.01,Amounts!$A$4:$A$103,Amounts!$B$4:$B$103)*0.1*$A$2</f>
        <v>0</v>
      </c>
      <c r="C589" s="68">
        <f t="shared" si="63"/>
        <v>2992395.4285963499</v>
      </c>
      <c r="D589" s="67">
        <f t="array" ref="D589">SUM($B$7:$B584*$F$1009*EXP(-$F$1009*($A589-$A$7:$A584)))*$F$1010</f>
        <v>3528592.5892045242</v>
      </c>
      <c r="E589" s="67">
        <f t="shared" si="61"/>
        <v>6.72695026694982</v>
      </c>
      <c r="F589" s="70">
        <f t="shared" si="59"/>
        <v>0.4084604202091931</v>
      </c>
      <c r="G589" s="67">
        <f>E589/'Lookup Tables'!$C$48</f>
        <v>13.45390053389964</v>
      </c>
      <c r="H589" s="70">
        <f t="shared" si="62"/>
        <v>1.1815567643636315E-3</v>
      </c>
      <c r="I589" s="71">
        <f t="shared" si="60"/>
        <v>1.9373616768815483E-2</v>
      </c>
      <c r="L589" s="74"/>
      <c r="M589" s="74"/>
      <c r="N589" s="74"/>
      <c r="O589" s="74"/>
      <c r="P589" s="74"/>
      <c r="Q589" s="74"/>
      <c r="R589" s="74"/>
      <c r="S589" s="74"/>
      <c r="T589" s="74"/>
      <c r="U589" s="74"/>
      <c r="V589" s="74"/>
      <c r="W589" s="74"/>
      <c r="X589" s="74"/>
      <c r="Y589" s="74"/>
    </row>
    <row r="590" spans="1:25" x14ac:dyDescent="0.3">
      <c r="A590" s="66">
        <f t="shared" si="58"/>
        <v>2048.299999999947</v>
      </c>
      <c r="B590" s="67">
        <f>LOOKUP(A590+0.01,Amounts!$A$4:$A$103,Amounts!$B$4:$B$103)*0.1*$A$2</f>
        <v>0</v>
      </c>
      <c r="C590" s="68">
        <f t="shared" si="63"/>
        <v>2992395.4285963499</v>
      </c>
      <c r="D590" s="67">
        <f t="array" ref="D590">SUM($B$7:$B585*$F$1009*EXP(-$F$1009*($A590-$A$7:$A585)))*$F$1010</f>
        <v>3479536.4869187586</v>
      </c>
      <c r="E590" s="67">
        <f t="shared" si="61"/>
        <v>6.6334291386177044</v>
      </c>
      <c r="F590" s="70">
        <f t="shared" si="59"/>
        <v>0.40278181729686702</v>
      </c>
      <c r="G590" s="67">
        <f>E590/'Lookup Tables'!$C$48</f>
        <v>13.266858277235409</v>
      </c>
      <c r="H590" s="70">
        <f t="shared" si="62"/>
        <v>1.1651302237461649E-3</v>
      </c>
      <c r="I590" s="71">
        <f t="shared" si="60"/>
        <v>1.9104275919218993E-2</v>
      </c>
      <c r="L590" s="74"/>
      <c r="M590" s="74"/>
      <c r="N590" s="74"/>
      <c r="O590" s="74"/>
      <c r="P590" s="74"/>
      <c r="Q590" s="74"/>
      <c r="R590" s="74"/>
      <c r="S590" s="74"/>
      <c r="T590" s="74"/>
      <c r="U590" s="74"/>
      <c r="V590" s="74"/>
      <c r="W590" s="74"/>
      <c r="X590" s="74"/>
      <c r="Y590" s="74"/>
    </row>
    <row r="591" spans="1:25" x14ac:dyDescent="0.3">
      <c r="A591" s="66">
        <f t="shared" si="58"/>
        <v>2048.3999999999469</v>
      </c>
      <c r="B591" s="67">
        <f>LOOKUP(A591+0.01,Amounts!$A$4:$A$103,Amounts!$B$4:$B$103)*0.1*$A$2</f>
        <v>0</v>
      </c>
      <c r="C591" s="68">
        <f t="shared" si="63"/>
        <v>2992395.4285963499</v>
      </c>
      <c r="D591" s="67">
        <f t="array" ref="D591">SUM($B$7:$B586*$F$1009*EXP(-$F$1009*($A591-$A$7:$A586)))*$F$1010</f>
        <v>3431162.3849236569</v>
      </c>
      <c r="E591" s="67">
        <f t="shared" si="61"/>
        <v>6.5412081836327127</v>
      </c>
      <c r="F591" s="70">
        <f t="shared" si="59"/>
        <v>0.39718216091017827</v>
      </c>
      <c r="G591" s="67">
        <f>E591/'Lookup Tables'!$C$48</f>
        <v>13.082416367265425</v>
      </c>
      <c r="H591" s="70">
        <f t="shared" si="62"/>
        <v>1.1489320523825463E-3</v>
      </c>
      <c r="I591" s="71">
        <f t="shared" si="60"/>
        <v>1.8838679568862211E-2</v>
      </c>
      <c r="L591" s="74"/>
      <c r="M591" s="74"/>
      <c r="N591" s="74"/>
      <c r="O591" s="74"/>
      <c r="P591" s="74"/>
      <c r="Q591" s="74"/>
      <c r="R591" s="74"/>
      <c r="S591" s="74"/>
      <c r="T591" s="74"/>
      <c r="U591" s="74"/>
      <c r="V591" s="74"/>
      <c r="W591" s="74"/>
      <c r="X591" s="74"/>
      <c r="Y591" s="74"/>
    </row>
    <row r="592" spans="1:25" x14ac:dyDescent="0.3">
      <c r="A592" s="66">
        <f t="shared" si="58"/>
        <v>2048.4999999999468</v>
      </c>
      <c r="B592" s="67">
        <f>LOOKUP(A592+0.01,Amounts!$A$4:$A$103,Amounts!$B$4:$B$103)*0.1*$A$2</f>
        <v>0</v>
      </c>
      <c r="C592" s="68">
        <f t="shared" si="63"/>
        <v>2992395.4285963499</v>
      </c>
      <c r="D592" s="67">
        <f t="array" ref="D592">SUM($B$7:$B587*$F$1009*EXP(-$F$1009*($A592-$A$7:$A587)))*$F$1010</f>
        <v>3383460.8017403665</v>
      </c>
      <c r="E592" s="67">
        <f t="shared" si="61"/>
        <v>6.4502693263924371</v>
      </c>
      <c r="F592" s="70">
        <f t="shared" si="59"/>
        <v>0.39166035349854877</v>
      </c>
      <c r="G592" s="67">
        <f>E592/'Lookup Tables'!$C$48</f>
        <v>12.900538652784874</v>
      </c>
      <c r="H592" s="70">
        <f t="shared" si="62"/>
        <v>1.1329590753793339E-3</v>
      </c>
      <c r="I592" s="71">
        <f t="shared" si="60"/>
        <v>1.857677566001022E-2</v>
      </c>
      <c r="L592" s="74"/>
      <c r="M592" s="74"/>
      <c r="N592" s="74"/>
      <c r="O592" s="74"/>
      <c r="P592" s="74"/>
      <c r="Q592" s="74"/>
      <c r="R592" s="74"/>
      <c r="S592" s="74"/>
      <c r="T592" s="74"/>
      <c r="U592" s="74"/>
      <c r="V592" s="74"/>
      <c r="W592" s="74"/>
      <c r="X592" s="74"/>
      <c r="Y592" s="74"/>
    </row>
    <row r="593" spans="1:25" x14ac:dyDescent="0.3">
      <c r="A593" s="66">
        <f t="shared" si="58"/>
        <v>2048.5999999999467</v>
      </c>
      <c r="B593" s="67">
        <f>LOOKUP(A593+0.01,Amounts!$A$4:$A$103,Amounts!$B$4:$B$103)*0.1*$A$2</f>
        <v>0</v>
      </c>
      <c r="C593" s="68">
        <f t="shared" si="63"/>
        <v>2992395.4285963499</v>
      </c>
      <c r="D593" s="67">
        <f t="array" ref="D593">SUM($B$7:$B588*$F$1009*EXP(-$F$1009*($A593-$A$7:$A588)))*$F$1010</f>
        <v>3336422.3877058723</v>
      </c>
      <c r="E593" s="67">
        <f t="shared" si="61"/>
        <v>6.3605947425897291</v>
      </c>
      <c r="F593" s="70">
        <f t="shared" si="59"/>
        <v>0.38621531277004839</v>
      </c>
      <c r="G593" s="67">
        <f>E593/'Lookup Tables'!$C$48</f>
        <v>12.721189485179458</v>
      </c>
      <c r="H593" s="70">
        <f t="shared" si="62"/>
        <v>1.1172081619818981E-3</v>
      </c>
      <c r="I593" s="71">
        <f t="shared" si="60"/>
        <v>1.8318512858658421E-2</v>
      </c>
      <c r="L593" s="74"/>
      <c r="M593" s="74"/>
      <c r="N593" s="74"/>
      <c r="O593" s="74"/>
      <c r="P593" s="74"/>
      <c r="Q593" s="74"/>
      <c r="R593" s="74"/>
      <c r="S593" s="74"/>
      <c r="T593" s="74"/>
      <c r="U593" s="74"/>
      <c r="V593" s="74"/>
      <c r="W593" s="74"/>
      <c r="X593" s="74"/>
      <c r="Y593" s="74"/>
    </row>
    <row r="594" spans="1:25" x14ac:dyDescent="0.3">
      <c r="A594" s="66">
        <f t="shared" si="58"/>
        <v>2048.6999999999466</v>
      </c>
      <c r="B594" s="67">
        <f>LOOKUP(A594+0.01,Amounts!$A$4:$A$103,Amounts!$B$4:$B$103)*0.1*$A$2</f>
        <v>0</v>
      </c>
      <c r="C594" s="68">
        <f t="shared" si="63"/>
        <v>2992395.4285963499</v>
      </c>
      <c r="D594" s="67">
        <f t="array" ref="D594">SUM($B$7:$B589*$F$1009*EXP(-$F$1009*($A594-$A$7:$A589)))*$F$1010</f>
        <v>3290037.9231404355</v>
      </c>
      <c r="E594" s="67">
        <f t="shared" si="61"/>
        <v>6.2721668557190791</v>
      </c>
      <c r="F594" s="70">
        <f t="shared" si="59"/>
        <v>0.38084597147926247</v>
      </c>
      <c r="G594" s="67">
        <f>E594/'Lookup Tables'!$C$48</f>
        <v>12.544333711438158</v>
      </c>
      <c r="H594" s="70">
        <f t="shared" si="62"/>
        <v>1.1016762249607889E-3</v>
      </c>
      <c r="I594" s="71">
        <f t="shared" si="60"/>
        <v>1.8063840544470949E-2</v>
      </c>
      <c r="L594" s="74"/>
      <c r="M594" s="74"/>
      <c r="N594" s="74"/>
      <c r="O594" s="74"/>
      <c r="P594" s="74"/>
      <c r="Q594" s="74"/>
      <c r="R594" s="74"/>
      <c r="S594" s="74"/>
      <c r="T594" s="74"/>
      <c r="U594" s="74"/>
      <c r="V594" s="74"/>
      <c r="W594" s="74"/>
      <c r="X594" s="74"/>
      <c r="Y594" s="74"/>
    </row>
    <row r="595" spans="1:25" x14ac:dyDescent="0.3">
      <c r="A595" s="66">
        <f t="shared" ref="A595:A658" si="64">A594+0.1</f>
        <v>2048.7999999999465</v>
      </c>
      <c r="B595" s="67">
        <f>LOOKUP(A595+0.01,Amounts!$A$4:$A$103,Amounts!$B$4:$B$103)*0.1*$A$2</f>
        <v>0</v>
      </c>
      <c r="C595" s="68">
        <f t="shared" si="63"/>
        <v>2992395.4285963499</v>
      </c>
      <c r="D595" s="67">
        <f t="array" ref="D595">SUM($B$7:$B590*$F$1009*EXP(-$F$1009*($A595-$A$7:$A590)))*$F$1010</f>
        <v>3244298.3165405113</v>
      </c>
      <c r="E595" s="67">
        <f t="shared" si="61"/>
        <v>6.1849683336315788</v>
      </c>
      <c r="F595" s="70">
        <f t="shared" ref="F595:F658" si="65">E595*60*1012/1000000</f>
        <v>0.37555127721810944</v>
      </c>
      <c r="G595" s="67">
        <f>E595/'Lookup Tables'!$C$48</f>
        <v>12.369936667263158</v>
      </c>
      <c r="H595" s="70">
        <f t="shared" si="62"/>
        <v>1.0863602200066279E-3</v>
      </c>
      <c r="I595" s="71">
        <f t="shared" ref="I595:I658" si="66">G595*60*24/1000000</f>
        <v>1.7812708800858949E-2</v>
      </c>
      <c r="L595" s="74"/>
      <c r="M595" s="74"/>
      <c r="N595" s="74"/>
      <c r="O595" s="74"/>
      <c r="P595" s="74"/>
      <c r="Q595" s="74"/>
      <c r="R595" s="74"/>
      <c r="S595" s="74"/>
      <c r="T595" s="74"/>
      <c r="U595" s="74"/>
      <c r="V595" s="74"/>
      <c r="W595" s="74"/>
      <c r="X595" s="74"/>
      <c r="Y595" s="74"/>
    </row>
    <row r="596" spans="1:25" x14ac:dyDescent="0.3">
      <c r="A596" s="66">
        <f t="shared" si="64"/>
        <v>2048.8999999999464</v>
      </c>
      <c r="B596" s="67">
        <f>LOOKUP(A596+0.01,Amounts!$A$4:$A$103,Amounts!$B$4:$B$103)*0.1*$A$2</f>
        <v>0</v>
      </c>
      <c r="C596" s="68">
        <f t="shared" si="63"/>
        <v>2992395.4285963499</v>
      </c>
      <c r="D596" s="67">
        <f t="array" ref="D596">SUM($B$7:$B591*$F$1009*EXP(-$F$1009*($A596-$A$7:$A591)))*$F$1010</f>
        <v>3199194.6027967762</v>
      </c>
      <c r="E596" s="67">
        <f t="shared" si="61"/>
        <v>6.0989820851377434</v>
      </c>
      <c r="F596" s="70">
        <f t="shared" si="65"/>
        <v>0.37033019220956376</v>
      </c>
      <c r="G596" s="67">
        <f>E596/'Lookup Tables'!$C$48</f>
        <v>12.197964170275487</v>
      </c>
      <c r="H596" s="70">
        <f t="shared" si="62"/>
        <v>1.0712571451334117E-3</v>
      </c>
      <c r="I596" s="71">
        <f t="shared" si="66"/>
        <v>1.7565068405196699E-2</v>
      </c>
      <c r="L596" s="74"/>
      <c r="M596" s="74"/>
      <c r="N596" s="74"/>
      <c r="O596" s="74"/>
      <c r="P596" s="74"/>
      <c r="Q596" s="74"/>
      <c r="R596" s="74"/>
      <c r="S596" s="74"/>
      <c r="T596" s="74"/>
      <c r="U596" s="74"/>
      <c r="V596" s="74"/>
      <c r="W596" s="74"/>
      <c r="X596" s="74"/>
      <c r="Y596" s="74"/>
    </row>
    <row r="597" spans="1:25" x14ac:dyDescent="0.3">
      <c r="A597" s="66">
        <f t="shared" si="64"/>
        <v>2048.9999999999463</v>
      </c>
      <c r="B597" s="67">
        <f>LOOKUP(A597+0.01,Amounts!$A$4:$A$103,Amounts!$B$4:$B$103)*0.1*$A$2</f>
        <v>0</v>
      </c>
      <c r="C597" s="68">
        <f t="shared" si="63"/>
        <v>2992395.4285963499</v>
      </c>
      <c r="D597" s="67">
        <f t="array" ref="D597">SUM($B$7:$B592*$F$1009*EXP(-$F$1009*($A597-$A$7:$A592)))*$F$1010</f>
        <v>3154717.9414369431</v>
      </c>
      <c r="E597" s="67">
        <f t="shared" si="61"/>
        <v>6.014191256657595</v>
      </c>
      <c r="F597" s="70">
        <f t="shared" si="65"/>
        <v>0.36518169310424914</v>
      </c>
      <c r="G597" s="67">
        <f>E597/'Lookup Tables'!$C$48</f>
        <v>12.02838251331519</v>
      </c>
      <c r="H597" s="70">
        <f t="shared" si="62"/>
        <v>1.0563640400901152E-3</v>
      </c>
      <c r="I597" s="71">
        <f t="shared" si="66"/>
        <v>1.7320870819173873E-2</v>
      </c>
      <c r="L597" s="74"/>
      <c r="M597" s="74"/>
      <c r="N597" s="74"/>
      <c r="O597" s="74"/>
      <c r="P597" s="74"/>
      <c r="Q597" s="74"/>
      <c r="R597" s="74"/>
      <c r="S597" s="74"/>
      <c r="T597" s="74"/>
      <c r="U597" s="74"/>
      <c r="V597" s="74"/>
      <c r="W597" s="74"/>
      <c r="X597" s="74"/>
      <c r="Y597" s="74"/>
    </row>
    <row r="598" spans="1:25" x14ac:dyDescent="0.3">
      <c r="A598" s="66">
        <f t="shared" si="64"/>
        <v>2049.0999999999462</v>
      </c>
      <c r="B598" s="67">
        <f>LOOKUP(A598+0.01,Amounts!$A$4:$A$103,Amounts!$B$4:$B$103)*0.1*$A$2</f>
        <v>0</v>
      </c>
      <c r="C598" s="68">
        <f t="shared" si="63"/>
        <v>2992395.4285963499</v>
      </c>
      <c r="D598" s="67">
        <f t="array" ref="D598">SUM($B$7:$B593*$F$1009*EXP(-$F$1009*($A598-$A$7:$A593)))*$F$1010</f>
        <v>3110859.6148930006</v>
      </c>
      <c r="E598" s="67">
        <f t="shared" si="61"/>
        <v>5.9305792289173054</v>
      </c>
      <c r="F598" s="70">
        <f t="shared" si="65"/>
        <v>0.36010477077985875</v>
      </c>
      <c r="G598" s="67">
        <f>E598/'Lookup Tables'!$C$48</f>
        <v>11.861158457834611</v>
      </c>
      <c r="H598" s="70">
        <f t="shared" si="62"/>
        <v>1.0416779857804713E-3</v>
      </c>
      <c r="I598" s="71">
        <f t="shared" si="66"/>
        <v>1.708006817928184E-2</v>
      </c>
      <c r="L598" s="74"/>
      <c r="M598" s="74"/>
      <c r="N598" s="74"/>
      <c r="O598" s="74"/>
      <c r="P598" s="74"/>
      <c r="Q598" s="74"/>
      <c r="R598" s="74"/>
      <c r="S598" s="74"/>
      <c r="T598" s="74"/>
      <c r="U598" s="74"/>
      <c r="V598" s="74"/>
      <c r="W598" s="74"/>
      <c r="X598" s="74"/>
      <c r="Y598" s="74"/>
    </row>
    <row r="599" spans="1:25" x14ac:dyDescent="0.3">
      <c r="A599" s="66">
        <f t="shared" si="64"/>
        <v>2049.1999999999462</v>
      </c>
      <c r="B599" s="67">
        <f>LOOKUP(A599+0.01,Amounts!$A$4:$A$103,Amounts!$B$4:$B$103)*0.1*$A$2</f>
        <v>0</v>
      </c>
      <c r="C599" s="68">
        <f t="shared" si="63"/>
        <v>2992395.4285963499</v>
      </c>
      <c r="D599" s="67">
        <f t="array" ref="D599">SUM($B$7:$B594*$F$1009*EXP(-$F$1009*($A599-$A$7:$A594)))*$F$1010</f>
        <v>3067611.0267925388</v>
      </c>
      <c r="E599" s="67">
        <f t="shared" si="61"/>
        <v>5.848129613691766</v>
      </c>
      <c r="F599" s="70">
        <f t="shared" si="65"/>
        <v>0.35509843014336401</v>
      </c>
      <c r="G599" s="67">
        <f>E599/'Lookup Tables'!$C$48</f>
        <v>11.696259227383532</v>
      </c>
      <c r="H599" s="70">
        <f t="shared" si="62"/>
        <v>1.0271961036908202E-3</v>
      </c>
      <c r="I599" s="71">
        <f t="shared" si="66"/>
        <v>1.6842613287432286E-2</v>
      </c>
      <c r="L599" s="74"/>
      <c r="M599" s="74"/>
      <c r="N599" s="74"/>
      <c r="O599" s="74"/>
      <c r="P599" s="74"/>
      <c r="Q599" s="74"/>
      <c r="R599" s="74"/>
      <c r="S599" s="74"/>
      <c r="T599" s="74"/>
      <c r="U599" s="74"/>
      <c r="V599" s="74"/>
      <c r="W599" s="74"/>
      <c r="X599" s="74"/>
      <c r="Y599" s="74"/>
    </row>
    <row r="600" spans="1:25" x14ac:dyDescent="0.3">
      <c r="A600" s="66">
        <f t="shared" si="64"/>
        <v>2049.2999999999461</v>
      </c>
      <c r="B600" s="67">
        <f>LOOKUP(A600+0.01,Amounts!$A$4:$A$103,Amounts!$B$4:$B$103)*0.1*$A$2</f>
        <v>0</v>
      </c>
      <c r="C600" s="68">
        <f t="shared" si="63"/>
        <v>2992395.4285963499</v>
      </c>
      <c r="D600" s="67">
        <f t="array" ref="D600">SUM($B$7:$B595*$F$1009*EXP(-$F$1009*($A600-$A$7:$A595)))*$F$1010</f>
        <v>3024963.7002738374</v>
      </c>
      <c r="E600" s="67">
        <f t="shared" si="61"/>
        <v>5.7668262505924428</v>
      </c>
      <c r="F600" s="70">
        <f t="shared" si="65"/>
        <v>0.35016168993597313</v>
      </c>
      <c r="G600" s="67">
        <f>E600/'Lookup Tables'!$C$48</f>
        <v>11.533652501184886</v>
      </c>
      <c r="H600" s="70">
        <f t="shared" si="62"/>
        <v>1.0129155553259108E-3</v>
      </c>
      <c r="I600" s="71">
        <f t="shared" si="66"/>
        <v>1.6608459601706236E-2</v>
      </c>
      <c r="L600" s="74"/>
      <c r="M600" s="74"/>
      <c r="N600" s="74"/>
      <c r="O600" s="74"/>
      <c r="P600" s="74"/>
      <c r="Q600" s="74"/>
      <c r="R600" s="74"/>
      <c r="S600" s="74"/>
      <c r="T600" s="74"/>
      <c r="U600" s="74"/>
      <c r="V600" s="74"/>
      <c r="W600" s="74"/>
      <c r="X600" s="74"/>
      <c r="Y600" s="74"/>
    </row>
    <row r="601" spans="1:25" x14ac:dyDescent="0.3">
      <c r="A601" s="66">
        <f t="shared" si="64"/>
        <v>2049.399999999946</v>
      </c>
      <c r="B601" s="67">
        <f>LOOKUP(A601+0.01,Amounts!$A$4:$A$103,Amounts!$B$4:$B$103)*0.1*$A$2</f>
        <v>0</v>
      </c>
      <c r="C601" s="68">
        <f t="shared" si="63"/>
        <v>2992395.4285963499</v>
      </c>
      <c r="D601" s="67">
        <f t="array" ref="D601">SUM($B$7:$B596*$F$1009*EXP(-$F$1009*($A601-$A$7:$A596)))*$F$1010</f>
        <v>2982909.276324369</v>
      </c>
      <c r="E601" s="67">
        <f t="shared" si="61"/>
        <v>5.6866532038998887</v>
      </c>
      <c r="F601" s="70">
        <f t="shared" si="65"/>
        <v>0.34529358254080122</v>
      </c>
      <c r="G601" s="67">
        <f>E601/'Lookup Tables'!$C$48</f>
        <v>11.373306407799777</v>
      </c>
      <c r="H601" s="70">
        <f t="shared" si="62"/>
        <v>9.9883354165254635E-4</v>
      </c>
      <c r="I601" s="71">
        <f t="shared" si="66"/>
        <v>1.637756122723168E-2</v>
      </c>
      <c r="L601" s="74"/>
      <c r="M601" s="74"/>
      <c r="N601" s="74"/>
      <c r="O601" s="74"/>
      <c r="P601" s="74"/>
      <c r="Q601" s="74"/>
      <c r="R601" s="74"/>
      <c r="S601" s="74"/>
      <c r="T601" s="74"/>
      <c r="U601" s="74"/>
      <c r="V601" s="74"/>
      <c r="W601" s="74"/>
      <c r="X601" s="74"/>
      <c r="Y601" s="74"/>
    </row>
    <row r="602" spans="1:25" x14ac:dyDescent="0.3">
      <c r="A602" s="66">
        <f t="shared" si="64"/>
        <v>2049.4999999999459</v>
      </c>
      <c r="B602" s="67">
        <f>LOOKUP(A602+0.01,Amounts!$A$4:$A$103,Amounts!$B$4:$B$103)*0.1*$A$2</f>
        <v>0</v>
      </c>
      <c r="C602" s="68">
        <f t="shared" si="63"/>
        <v>2992395.4285963499</v>
      </c>
      <c r="D602" s="67">
        <f t="array" ref="D602">SUM($B$7:$B597*$F$1009*EXP(-$F$1009*($A602-$A$7:$A597)))*$F$1010</f>
        <v>2941439.5121424086</v>
      </c>
      <c r="E602" s="67">
        <f t="shared" si="61"/>
        <v>5.6075947594402873</v>
      </c>
      <c r="F602" s="70">
        <f t="shared" si="65"/>
        <v>0.34049315379321426</v>
      </c>
      <c r="G602" s="67">
        <f>E602/'Lookup Tables'!$C$48</f>
        <v>11.215189518880575</v>
      </c>
      <c r="H602" s="70">
        <f t="shared" si="62"/>
        <v>9.8494730255096552E-4</v>
      </c>
      <c r="I602" s="71">
        <f t="shared" si="66"/>
        <v>1.6149872907188025E-2</v>
      </c>
      <c r="L602" s="74"/>
      <c r="M602" s="74"/>
      <c r="N602" s="74"/>
      <c r="O602" s="74"/>
      <c r="P602" s="74"/>
      <c r="Q602" s="74"/>
      <c r="R602" s="74"/>
      <c r="S602" s="74"/>
      <c r="T602" s="74"/>
      <c r="U602" s="74"/>
      <c r="V602" s="74"/>
      <c r="W602" s="74"/>
      <c r="X602" s="74"/>
      <c r="Y602" s="74"/>
    </row>
    <row r="603" spans="1:25" x14ac:dyDescent="0.3">
      <c r="A603" s="66">
        <f t="shared" si="64"/>
        <v>2049.5999999999458</v>
      </c>
      <c r="B603" s="67">
        <f>LOOKUP(A603+0.01,Amounts!$A$4:$A$103,Amounts!$B$4:$B$103)*0.1*$A$2</f>
        <v>0</v>
      </c>
      <c r="C603" s="68">
        <f t="shared" si="63"/>
        <v>2992395.4285963499</v>
      </c>
      <c r="D603" s="67">
        <f t="array" ref="D603">SUM($B$7:$B598*$F$1009*EXP(-$F$1009*($A603-$A$7:$A598)))*$F$1010</f>
        <v>2900546.2795214164</v>
      </c>
      <c r="E603" s="67">
        <f t="shared" si="61"/>
        <v>5.5296354215054313</v>
      </c>
      <c r="F603" s="70">
        <f t="shared" si="65"/>
        <v>0.33575946279380975</v>
      </c>
      <c r="G603" s="67">
        <f>E603/'Lookup Tables'!$C$48</f>
        <v>11.059270843010863</v>
      </c>
      <c r="H603" s="70">
        <f t="shared" si="62"/>
        <v>9.7125411627384955E-4</v>
      </c>
      <c r="I603" s="71">
        <f t="shared" si="66"/>
        <v>1.5925350013935642E-2</v>
      </c>
      <c r="L603" s="74"/>
      <c r="M603" s="74"/>
      <c r="N603" s="74"/>
      <c r="O603" s="74"/>
      <c r="P603" s="74"/>
      <c r="Q603" s="74"/>
      <c r="R603" s="74"/>
      <c r="S603" s="74"/>
      <c r="T603" s="74"/>
      <c r="U603" s="74"/>
      <c r="V603" s="74"/>
      <c r="W603" s="74"/>
      <c r="X603" s="74"/>
      <c r="Y603" s="74"/>
    </row>
    <row r="604" spans="1:25" x14ac:dyDescent="0.3">
      <c r="A604" s="66">
        <f t="shared" si="64"/>
        <v>2049.6999999999457</v>
      </c>
      <c r="B604" s="67">
        <f>LOOKUP(A604+0.01,Amounts!$A$4:$A$103,Amounts!$B$4:$B$103)*0.1*$A$2</f>
        <v>0</v>
      </c>
      <c r="C604" s="68">
        <f t="shared" si="63"/>
        <v>2992395.4285963499</v>
      </c>
      <c r="D604" s="67">
        <f t="array" ref="D604">SUM($B$7:$B599*$F$1009*EXP(-$F$1009*($A604-$A$7:$A599)))*$F$1010</f>
        <v>2860221.5632568854</v>
      </c>
      <c r="E604" s="67">
        <f t="shared" si="61"/>
        <v>5.4527599098155095</v>
      </c>
      <c r="F604" s="70">
        <f t="shared" si="65"/>
        <v>0.33109158172399772</v>
      </c>
      <c r="G604" s="67">
        <f>E604/'Lookup Tables'!$C$48</f>
        <v>10.905519819631019</v>
      </c>
      <c r="H604" s="70">
        <f t="shared" si="62"/>
        <v>9.5775129891285103E-4</v>
      </c>
      <c r="I604" s="71">
        <f t="shared" si="66"/>
        <v>1.5703948540268665E-2</v>
      </c>
      <c r="L604" s="74"/>
      <c r="M604" s="74"/>
      <c r="N604" s="74"/>
      <c r="O604" s="74"/>
      <c r="P604" s="74"/>
      <c r="Q604" s="74"/>
      <c r="R604" s="74"/>
      <c r="S604" s="74"/>
      <c r="T604" s="74"/>
      <c r="U604" s="74"/>
      <c r="V604" s="74"/>
      <c r="W604" s="74"/>
      <c r="X604" s="74"/>
      <c r="Y604" s="74"/>
    </row>
    <row r="605" spans="1:25" x14ac:dyDescent="0.3">
      <c r="A605" s="66">
        <f t="shared" si="64"/>
        <v>2049.7999999999456</v>
      </c>
      <c r="B605" s="67">
        <f>LOOKUP(A605+0.01,Amounts!$A$4:$A$103,Amounts!$B$4:$B$103)*0.1*$A$2</f>
        <v>0</v>
      </c>
      <c r="C605" s="68">
        <f t="shared" si="63"/>
        <v>2992395.4285963499</v>
      </c>
      <c r="D605" s="67">
        <f t="array" ref="D605">SUM($B$7:$B600*$F$1009*EXP(-$F$1009*($A605-$A$7:$A600)))*$F$1010</f>
        <v>2820457.459575335</v>
      </c>
      <c r="E605" s="67">
        <f t="shared" si="61"/>
        <v>5.3769531565241273</v>
      </c>
      <c r="F605" s="70">
        <f t="shared" si="65"/>
        <v>0.32648859566414501</v>
      </c>
      <c r="G605" s="67">
        <f>E605/'Lookup Tables'!$C$48</f>
        <v>10.753906313048255</v>
      </c>
      <c r="H605" s="70">
        <f t="shared" si="62"/>
        <v>9.4443620387254081E-4</v>
      </c>
      <c r="I605" s="71">
        <f t="shared" si="66"/>
        <v>1.5485625090789486E-2</v>
      </c>
      <c r="L605" s="74"/>
      <c r="M605" s="74"/>
      <c r="N605" s="74"/>
      <c r="O605" s="74"/>
      <c r="P605" s="74"/>
      <c r="Q605" s="74"/>
      <c r="R605" s="74"/>
      <c r="S605" s="74"/>
      <c r="T605" s="74"/>
      <c r="U605" s="74"/>
      <c r="V605" s="74"/>
      <c r="W605" s="74"/>
      <c r="X605" s="74"/>
      <c r="Y605" s="74"/>
    </row>
    <row r="606" spans="1:25" x14ac:dyDescent="0.3">
      <c r="A606" s="66">
        <f t="shared" si="64"/>
        <v>2049.8999999999455</v>
      </c>
      <c r="B606" s="67">
        <f>LOOKUP(A606+0.01,Amounts!$A$4:$A$103,Amounts!$B$4:$B$103)*0.1*$A$2</f>
        <v>0</v>
      </c>
      <c r="C606" s="68">
        <f t="shared" si="63"/>
        <v>2992395.4285963499</v>
      </c>
      <c r="D606" s="67">
        <f t="array" ref="D606">SUM($B$7:$B601*$F$1009*EXP(-$F$1009*($A606-$A$7:$A601)))*$F$1010</f>
        <v>2781246.1745851431</v>
      </c>
      <c r="E606" s="67">
        <f t="shared" si="61"/>
        <v>5.3022003032649527</v>
      </c>
      <c r="F606" s="70">
        <f t="shared" si="65"/>
        <v>0.32194960241424792</v>
      </c>
      <c r="G606" s="67">
        <f>E606/'Lookup Tables'!$C$48</f>
        <v>10.604400606529905</v>
      </c>
      <c r="H606" s="70">
        <f t="shared" si="62"/>
        <v>9.313062213516639E-4</v>
      </c>
      <c r="I606" s="71">
        <f t="shared" si="66"/>
        <v>1.5270336873403062E-2</v>
      </c>
      <c r="L606" s="74"/>
      <c r="M606" s="74"/>
      <c r="N606" s="74"/>
      <c r="O606" s="74"/>
      <c r="P606" s="74"/>
      <c r="Q606" s="74"/>
      <c r="R606" s="74"/>
      <c r="S606" s="74"/>
      <c r="T606" s="74"/>
      <c r="U606" s="74"/>
      <c r="V606" s="74"/>
      <c r="W606" s="74"/>
      <c r="X606" s="74"/>
      <c r="Y606" s="74"/>
    </row>
    <row r="607" spans="1:25" x14ac:dyDescent="0.3">
      <c r="A607" s="66">
        <f t="shared" si="64"/>
        <v>2049.9999999999454</v>
      </c>
      <c r="B607" s="67">
        <f>LOOKUP(A607+0.01,Amounts!$A$4:$A$103,Amounts!$B$4:$B$103)*0.1*$A$2</f>
        <v>0</v>
      </c>
      <c r="C607" s="68">
        <f t="shared" si="63"/>
        <v>2992395.4285963499</v>
      </c>
      <c r="D607" s="67">
        <f t="array" ref="D607">SUM($B$7:$B602*$F$1009*EXP(-$F$1009*($A607-$A$7:$A602)))*$F$1010</f>
        <v>2742580.0227489234</v>
      </c>
      <c r="E607" s="67">
        <f t="shared" si="61"/>
        <v>5.228486698239438</v>
      </c>
      <c r="F607" s="70">
        <f t="shared" si="65"/>
        <v>0.3174737123170987</v>
      </c>
      <c r="G607" s="67">
        <f>E607/'Lookup Tables'!$C$48</f>
        <v>10.456973396478876</v>
      </c>
      <c r="H607" s="70">
        <f t="shared" si="62"/>
        <v>9.1835877783161268E-4</v>
      </c>
      <c r="I607" s="71">
        <f t="shared" si="66"/>
        <v>1.5058041690929582E-2</v>
      </c>
      <c r="L607" s="74"/>
      <c r="M607" s="74"/>
      <c r="N607" s="74"/>
      <c r="O607" s="74"/>
      <c r="P607" s="74"/>
      <c r="Q607" s="74"/>
      <c r="R607" s="74"/>
      <c r="S607" s="74"/>
      <c r="T607" s="74"/>
      <c r="U607" s="74"/>
      <c r="V607" s="74"/>
      <c r="W607" s="74"/>
      <c r="X607" s="74"/>
      <c r="Y607" s="74"/>
    </row>
    <row r="608" spans="1:25" x14ac:dyDescent="0.3">
      <c r="A608" s="66">
        <f t="shared" si="64"/>
        <v>2050.0999999999453</v>
      </c>
      <c r="B608" s="67">
        <f>LOOKUP(A608+0.01,Amounts!$A$4:$A$103,Amounts!$B$4:$B$103)*0.1*$A$2</f>
        <v>0</v>
      </c>
      <c r="C608" s="68">
        <f t="shared" si="63"/>
        <v>2992395.4285963499</v>
      </c>
      <c r="D608" s="67">
        <f t="array" ref="D608">SUM($B$7:$B603*$F$1009*EXP(-$F$1009*($A608-$A$7:$A603)))*$F$1010</f>
        <v>2704451.425377131</v>
      </c>
      <c r="E608" s="67">
        <f t="shared" si="61"/>
        <v>5.1557978933450137</v>
      </c>
      <c r="F608" s="70">
        <f t="shared" si="65"/>
        <v>0.31306004808390925</v>
      </c>
      <c r="G608" s="67">
        <f>E608/'Lookup Tables'!$C$48</f>
        <v>10.311595786690027</v>
      </c>
      <c r="H608" s="70">
        <f t="shared" si="62"/>
        <v>9.0559133557200787E-4</v>
      </c>
      <c r="I608" s="71">
        <f t="shared" si="66"/>
        <v>1.4848697932833639E-2</v>
      </c>
      <c r="L608" s="74"/>
      <c r="M608" s="74"/>
      <c r="N608" s="74"/>
      <c r="O608" s="74"/>
      <c r="P608" s="74"/>
      <c r="Q608" s="74"/>
      <c r="R608" s="74"/>
      <c r="S608" s="74"/>
      <c r="T608" s="74"/>
      <c r="U608" s="74"/>
      <c r="V608" s="74"/>
      <c r="W608" s="74"/>
      <c r="X608" s="74"/>
      <c r="Y608" s="74"/>
    </row>
    <row r="609" spans="1:25" x14ac:dyDescent="0.3">
      <c r="A609" s="66">
        <f t="shared" si="64"/>
        <v>2050.1999999999452</v>
      </c>
      <c r="B609" s="67">
        <f>LOOKUP(A609+0.01,Amounts!$A$4:$A$103,Amounts!$B$4:$B$103)*0.1*$A$2</f>
        <v>0</v>
      </c>
      <c r="C609" s="68">
        <f t="shared" si="63"/>
        <v>2992395.4285963499</v>
      </c>
      <c r="D609" s="67">
        <f t="array" ref="D609">SUM($B$7:$B604*$F$1009*EXP(-$F$1009*($A609-$A$7:$A604)))*$F$1010</f>
        <v>2666852.9091426195</v>
      </c>
      <c r="E609" s="67">
        <f t="shared" si="61"/>
        <v>5.0841196413432197</v>
      </c>
      <c r="F609" s="70">
        <f t="shared" si="65"/>
        <v>0.30870774462236028</v>
      </c>
      <c r="G609" s="67">
        <f>E609/'Lookup Tables'!$C$48</f>
        <v>10.168239282686439</v>
      </c>
      <c r="H609" s="70">
        <f t="shared" si="62"/>
        <v>8.9300139211329359E-4</v>
      </c>
      <c r="I609" s="71">
        <f t="shared" si="66"/>
        <v>1.4642264567068472E-2</v>
      </c>
      <c r="L609" s="74"/>
      <c r="M609" s="74"/>
      <c r="N609" s="74"/>
      <c r="O609" s="74"/>
      <c r="P609" s="74"/>
      <c r="Q609" s="74"/>
      <c r="R609" s="74"/>
      <c r="S609" s="74"/>
      <c r="T609" s="74"/>
      <c r="U609" s="74"/>
      <c r="V609" s="74"/>
      <c r="W609" s="74"/>
      <c r="X609" s="74"/>
      <c r="Y609" s="74"/>
    </row>
    <row r="610" spans="1:25" x14ac:dyDescent="0.3">
      <c r="A610" s="66">
        <f t="shared" si="64"/>
        <v>2050.2999999999452</v>
      </c>
      <c r="B610" s="67">
        <f>LOOKUP(A610+0.01,Amounts!$A$4:$A$103,Amounts!$B$4:$B$103)*0.1*$A$2</f>
        <v>0</v>
      </c>
      <c r="C610" s="68">
        <f t="shared" si="63"/>
        <v>2992395.4285963499</v>
      </c>
      <c r="D610" s="67">
        <f t="array" ref="D610">SUM($B$7:$B605*$F$1009*EXP(-$F$1009*($A610-$A$7:$A605)))*$F$1010</f>
        <v>2629777.1046158397</v>
      </c>
      <c r="E610" s="67">
        <f t="shared" si="61"/>
        <v>5.013437893067195</v>
      </c>
      <c r="F610" s="70">
        <f t="shared" si="65"/>
        <v>0.3044159488670401</v>
      </c>
      <c r="G610" s="67">
        <f>E610/'Lookup Tables'!$C$48</f>
        <v>10.02687578613439</v>
      </c>
      <c r="H610" s="70">
        <f t="shared" si="62"/>
        <v>8.8058647978624712E-4</v>
      </c>
      <c r="I610" s="71">
        <f t="shared" si="66"/>
        <v>1.4438701132033523E-2</v>
      </c>
      <c r="L610" s="74"/>
      <c r="M610" s="74"/>
      <c r="N610" s="74"/>
      <c r="O610" s="74"/>
      <c r="P610" s="74"/>
      <c r="Q610" s="74"/>
      <c r="R610" s="74"/>
      <c r="S610" s="74"/>
      <c r="T610" s="74"/>
      <c r="U610" s="74"/>
      <c r="V610" s="74"/>
      <c r="W610" s="74"/>
      <c r="X610" s="74"/>
      <c r="Y610" s="74"/>
    </row>
    <row r="611" spans="1:25" x14ac:dyDescent="0.3">
      <c r="A611" s="66">
        <f t="shared" si="64"/>
        <v>2050.3999999999451</v>
      </c>
      <c r="B611" s="67">
        <f>LOOKUP(A611+0.01,Amounts!$A$4:$A$103,Amounts!$B$4:$B$103)*0.1*$A$2</f>
        <v>0</v>
      </c>
      <c r="C611" s="68">
        <f t="shared" si="63"/>
        <v>2992395.4285963499</v>
      </c>
      <c r="D611" s="67">
        <f t="array" ref="D611">SUM($B$7:$B606*$F$1009*EXP(-$F$1009*($A611-$A$7:$A606)))*$F$1010</f>
        <v>2593216.7448204113</v>
      </c>
      <c r="E611" s="67">
        <f t="shared" si="61"/>
        <v>4.9437387946679996</v>
      </c>
      <c r="F611" s="70">
        <f t="shared" si="65"/>
        <v>0.30018381961224094</v>
      </c>
      <c r="G611" s="67">
        <f>E611/'Lookup Tables'!$C$48</f>
        <v>9.8874775893359992</v>
      </c>
      <c r="H611" s="70">
        <f t="shared" si="62"/>
        <v>8.6834416522830744E-4</v>
      </c>
      <c r="I611" s="71">
        <f t="shared" si="66"/>
        <v>1.423796772864384E-2</v>
      </c>
      <c r="L611" s="74"/>
      <c r="M611" s="74"/>
      <c r="N611" s="74"/>
      <c r="O611" s="74"/>
      <c r="P611" s="74"/>
      <c r="Q611" s="74"/>
      <c r="R611" s="74"/>
      <c r="S611" s="74"/>
      <c r="T611" s="74"/>
      <c r="U611" s="74"/>
      <c r="V611" s="74"/>
      <c r="W611" s="74"/>
      <c r="X611" s="74"/>
      <c r="Y611" s="74"/>
    </row>
    <row r="612" spans="1:25" x14ac:dyDescent="0.3">
      <c r="A612" s="66">
        <f t="shared" si="64"/>
        <v>2050.499999999945</v>
      </c>
      <c r="B612" s="67">
        <f>LOOKUP(A612+0.01,Amounts!$A$4:$A$103,Amounts!$B$4:$B$103)*0.1*$A$2</f>
        <v>0</v>
      </c>
      <c r="C612" s="68">
        <f t="shared" si="63"/>
        <v>2992395.4285963499</v>
      </c>
      <c r="D612" s="67">
        <f t="array" ref="D612">SUM($B$7:$B607*$F$1009*EXP(-$F$1009*($A612-$A$7:$A607)))*$F$1010</f>
        <v>2557164.6638087728</v>
      </c>
      <c r="E612" s="67">
        <f t="shared" si="61"/>
        <v>4.8750086848992176</v>
      </c>
      <c r="F612" s="70">
        <f t="shared" si="65"/>
        <v>0.2960105273470805</v>
      </c>
      <c r="G612" s="67">
        <f>E612/'Lookup Tables'!$C$48</f>
        <v>9.7500173697984351</v>
      </c>
      <c r="H612" s="70">
        <f t="shared" si="62"/>
        <v>8.5627204890662988E-4</v>
      </c>
      <c r="I612" s="71">
        <f t="shared" si="66"/>
        <v>1.4040025012509748E-2</v>
      </c>
      <c r="L612" s="74"/>
      <c r="M612" s="74"/>
      <c r="N612" s="74"/>
      <c r="O612" s="74"/>
      <c r="P612" s="74"/>
      <c r="Q612" s="74"/>
      <c r="R612" s="74"/>
      <c r="S612" s="74"/>
      <c r="T612" s="74"/>
      <c r="U612" s="74"/>
      <c r="V612" s="74"/>
      <c r="W612" s="74"/>
      <c r="X612" s="74"/>
      <c r="Y612" s="74"/>
    </row>
    <row r="613" spans="1:25" x14ac:dyDescent="0.3">
      <c r="A613" s="66">
        <f t="shared" si="64"/>
        <v>2050.5999999999449</v>
      </c>
      <c r="B613" s="67">
        <f>LOOKUP(A613+0.01,Amounts!$A$4:$A$103,Amounts!$B$4:$B$103)*0.1*$A$2</f>
        <v>0</v>
      </c>
      <c r="C613" s="68">
        <f t="shared" si="63"/>
        <v>2992395.4285963499</v>
      </c>
      <c r="D613" s="67">
        <f t="array" ref="D613">SUM($B$7:$B608*$F$1009*EXP(-$F$1009*($A613-$A$7:$A608)))*$F$1010</f>
        <v>2521613.7952576303</v>
      </c>
      <c r="E613" s="67">
        <f t="shared" si="61"/>
        <v>4.8072340924393044</v>
      </c>
      <c r="F613" s="70">
        <f t="shared" si="65"/>
        <v>0.29189525409291456</v>
      </c>
      <c r="G613" s="67">
        <f>E613/'Lookup Tables'!$C$48</f>
        <v>9.6144681848786089</v>
      </c>
      <c r="H613" s="70">
        <f t="shared" si="62"/>
        <v>8.4436776464776769E-4</v>
      </c>
      <c r="I613" s="71">
        <f t="shared" si="66"/>
        <v>1.3844834186225199E-2</v>
      </c>
      <c r="L613" s="74"/>
      <c r="M613" s="74"/>
      <c r="N613" s="74"/>
      <c r="O613" s="74"/>
      <c r="P613" s="74"/>
      <c r="Q613" s="74"/>
      <c r="R613" s="74"/>
      <c r="S613" s="74"/>
      <c r="T613" s="74"/>
      <c r="U613" s="74"/>
      <c r="V613" s="74"/>
      <c r="W613" s="74"/>
      <c r="X613" s="74"/>
      <c r="Y613" s="74"/>
    </row>
    <row r="614" spans="1:25" x14ac:dyDescent="0.3">
      <c r="A614" s="66">
        <f t="shared" si="64"/>
        <v>2050.6999999999448</v>
      </c>
      <c r="B614" s="67">
        <f>LOOKUP(A614+0.01,Amounts!$A$4:$A$103,Amounts!$B$4:$B$103)*0.1*$A$2</f>
        <v>0</v>
      </c>
      <c r="C614" s="68">
        <f t="shared" si="63"/>
        <v>2992395.4285963499</v>
      </c>
      <c r="D614" s="67">
        <f t="array" ref="D614">SUM($B$7:$B609*$F$1009*EXP(-$F$1009*($A614-$A$7:$A609)))*$F$1010</f>
        <v>2486557.1710829358</v>
      </c>
      <c r="E614" s="67">
        <f t="shared" si="61"/>
        <v>4.740401733251165</v>
      </c>
      <c r="F614" s="70">
        <f t="shared" si="65"/>
        <v>0.28783719324301071</v>
      </c>
      <c r="G614" s="67">
        <f>E614/'Lookup Tables'!$C$48</f>
        <v>9.48080346650233</v>
      </c>
      <c r="H614" s="70">
        <f t="shared" si="62"/>
        <v>8.3262897917389634E-4</v>
      </c>
      <c r="I614" s="71">
        <f t="shared" si="66"/>
        <v>1.3652356991763356E-2</v>
      </c>
      <c r="L614" s="74"/>
      <c r="M614" s="74"/>
      <c r="N614" s="74"/>
      <c r="O614" s="74"/>
      <c r="P614" s="74"/>
      <c r="Q614" s="74"/>
      <c r="R614" s="74"/>
      <c r="S614" s="74"/>
      <c r="T614" s="74"/>
      <c r="U614" s="74"/>
      <c r="V614" s="74"/>
      <c r="W614" s="74"/>
      <c r="X614" s="74"/>
      <c r="Y614" s="74"/>
    </row>
    <row r="615" spans="1:25" x14ac:dyDescent="0.3">
      <c r="A615" s="66">
        <f t="shared" si="64"/>
        <v>2050.7999999999447</v>
      </c>
      <c r="B615" s="67">
        <f>LOOKUP(A615+0.01,Amounts!$A$4:$A$103,Amounts!$B$4:$B$103)*0.1*$A$2</f>
        <v>0</v>
      </c>
      <c r="C615" s="68">
        <f t="shared" si="63"/>
        <v>2992395.4285963499</v>
      </c>
      <c r="D615" s="67">
        <f t="array" ref="D615">SUM($B$7:$B610*$F$1009*EXP(-$F$1009*($A615-$A$7:$A610)))*$F$1010</f>
        <v>2451987.920074123</v>
      </c>
      <c r="E615" s="67">
        <f t="shared" si="61"/>
        <v>4.6744985079784476</v>
      </c>
      <c r="F615" s="70">
        <f t="shared" si="65"/>
        <v>0.28383554940445138</v>
      </c>
      <c r="G615" s="67">
        <f>E615/'Lookup Tables'!$C$48</f>
        <v>9.3489970159568951</v>
      </c>
      <c r="H615" s="70">
        <f t="shared" si="62"/>
        <v>8.2105339164548327E-4</v>
      </c>
      <c r="I615" s="71">
        <f t="shared" si="66"/>
        <v>1.346255570297793E-2</v>
      </c>
      <c r="L615" s="74"/>
      <c r="M615" s="74"/>
      <c r="N615" s="74"/>
      <c r="O615" s="74"/>
      <c r="P615" s="74"/>
      <c r="Q615" s="74"/>
      <c r="R615" s="74"/>
      <c r="S615" s="74"/>
      <c r="T615" s="74"/>
      <c r="U615" s="74"/>
      <c r="V615" s="74"/>
      <c r="W615" s="74"/>
      <c r="X615" s="74"/>
      <c r="Y615" s="74"/>
    </row>
    <row r="616" spans="1:25" x14ac:dyDescent="0.3">
      <c r="A616" s="66">
        <f t="shared" si="64"/>
        <v>2050.8999999999446</v>
      </c>
      <c r="B616" s="67">
        <f>LOOKUP(A616+0.01,Amounts!$A$4:$A$103,Amounts!$B$4:$B$103)*0.1*$A$2</f>
        <v>0</v>
      </c>
      <c r="C616" s="68">
        <f t="shared" si="63"/>
        <v>2992395.4285963499</v>
      </c>
      <c r="D616" s="67">
        <f t="array" ref="D616">SUM($B$7:$B611*$F$1009*EXP(-$F$1009*($A616-$A$7:$A611)))*$F$1010</f>
        <v>2417899.266547326</v>
      </c>
      <c r="E616" s="67">
        <f t="shared" si="61"/>
        <v>4.6095114993780175</v>
      </c>
      <c r="F616" s="70">
        <f t="shared" si="65"/>
        <v>0.27988953824223323</v>
      </c>
      <c r="G616" s="67">
        <f>E616/'Lookup Tables'!$C$48</f>
        <v>9.219022998756035</v>
      </c>
      <c r="H616" s="70">
        <f t="shared" si="62"/>
        <v>8.0963873321031495E-4</v>
      </c>
      <c r="I616" s="71">
        <f t="shared" si="66"/>
        <v>1.3275393118208691E-2</v>
      </c>
      <c r="L616" s="74"/>
      <c r="M616" s="74"/>
      <c r="N616" s="74"/>
      <c r="O616" s="74"/>
      <c r="P616" s="74"/>
      <c r="Q616" s="74"/>
      <c r="R616" s="74"/>
      <c r="S616" s="74"/>
      <c r="T616" s="74"/>
      <c r="U616" s="74"/>
      <c r="V616" s="74"/>
      <c r="W616" s="74"/>
      <c r="X616" s="74"/>
      <c r="Y616" s="74"/>
    </row>
    <row r="617" spans="1:25" x14ac:dyDescent="0.3">
      <c r="A617" s="66">
        <f t="shared" si="64"/>
        <v>2050.9999999999445</v>
      </c>
      <c r="B617" s="67">
        <f>LOOKUP(A617+0.01,Amounts!$A$4:$A$103,Amounts!$B$4:$B$103)*0.1*$A$2</f>
        <v>0</v>
      </c>
      <c r="C617" s="68">
        <f t="shared" si="63"/>
        <v>2992395.4285963499</v>
      </c>
      <c r="D617" s="67">
        <f t="array" ref="D617">SUM($B$7:$B612*$F$1009*EXP(-$F$1009*($A617-$A$7:$A612)))*$F$1010</f>
        <v>2384284.5290173236</v>
      </c>
      <c r="E617" s="67">
        <f t="shared" si="61"/>
        <v>4.5454279697881441</v>
      </c>
      <c r="F617" s="70">
        <f t="shared" si="65"/>
        <v>0.27599838632553608</v>
      </c>
      <c r="G617" s="67">
        <f>E617/'Lookup Tables'!$C$48</f>
        <v>9.0908559395762882</v>
      </c>
      <c r="H617" s="70">
        <f t="shared" si="62"/>
        <v>7.9838276655879608E-4</v>
      </c>
      <c r="I617" s="71">
        <f t="shared" si="66"/>
        <v>1.3090832552989854E-2</v>
      </c>
      <c r="L617" s="74"/>
      <c r="M617" s="74"/>
      <c r="N617" s="74"/>
      <c r="O617" s="74"/>
      <c r="P617" s="74"/>
      <c r="Q617" s="74"/>
      <c r="R617" s="74"/>
      <c r="S617" s="74"/>
      <c r="T617" s="74"/>
      <c r="U617" s="74"/>
      <c r="V617" s="74"/>
      <c r="W617" s="74"/>
      <c r="X617" s="74"/>
      <c r="Y617" s="74"/>
    </row>
    <row r="618" spans="1:25" x14ac:dyDescent="0.3">
      <c r="A618" s="66">
        <f t="shared" si="64"/>
        <v>2051.0999999999444</v>
      </c>
      <c r="B618" s="67">
        <f>LOOKUP(A618+0.01,Amounts!$A$4:$A$103,Amounts!$B$4:$B$103)*0.1*$A$2</f>
        <v>0</v>
      </c>
      <c r="C618" s="68">
        <f t="shared" si="63"/>
        <v>2992395.4285963499</v>
      </c>
      <c r="D618" s="67">
        <f t="array" ref="D618">SUM($B$7:$B613*$F$1009*EXP(-$F$1009*($A618-$A$7:$A613)))*$F$1010</f>
        <v>2351137.1188879479</v>
      </c>
      <c r="E618" s="67">
        <f t="shared" si="61"/>
        <v>4.4822353586318737</v>
      </c>
      <c r="F618" s="70">
        <f t="shared" si="65"/>
        <v>0.27216133097612744</v>
      </c>
      <c r="G618" s="67">
        <f>E618/'Lookup Tables'!$C$48</f>
        <v>8.9644707172637474</v>
      </c>
      <c r="H618" s="70">
        <f t="shared" si="62"/>
        <v>7.8728328548542908E-4</v>
      </c>
      <c r="I618" s="71">
        <f t="shared" si="66"/>
        <v>1.2908837832859798E-2</v>
      </c>
      <c r="L618" s="74"/>
      <c r="M618" s="74"/>
      <c r="N618" s="74"/>
      <c r="O618" s="74"/>
      <c r="P618" s="74"/>
      <c r="Q618" s="74"/>
      <c r="R618" s="74"/>
      <c r="S618" s="74"/>
      <c r="T618" s="74"/>
      <c r="U618" s="74"/>
      <c r="V618" s="74"/>
      <c r="W618" s="74"/>
      <c r="X618" s="74"/>
      <c r="Y618" s="74"/>
    </row>
    <row r="619" spans="1:25" x14ac:dyDescent="0.3">
      <c r="A619" s="66">
        <f t="shared" si="64"/>
        <v>2051.1999999999443</v>
      </c>
      <c r="B619" s="67">
        <f>LOOKUP(A619+0.01,Amounts!$A$4:$A$103,Amounts!$B$4:$B$103)*0.1*$A$2</f>
        <v>0</v>
      </c>
      <c r="C619" s="68">
        <f t="shared" si="63"/>
        <v>2992395.4285963499</v>
      </c>
      <c r="D619" s="67">
        <f t="array" ref="D619">SUM($B$7:$B614*$F$1009*EXP(-$F$1009*($A619-$A$7:$A614)))*$F$1010</f>
        <v>2318450.5391606954</v>
      </c>
      <c r="E619" s="67">
        <f t="shared" si="61"/>
        <v>4.4199212799551155</v>
      </c>
      <c r="F619" s="70">
        <f t="shared" si="65"/>
        <v>0.26837762011887462</v>
      </c>
      <c r="G619" s="67">
        <f>E619/'Lookup Tables'!$C$48</f>
        <v>8.839842559910231</v>
      </c>
      <c r="H619" s="70">
        <f t="shared" si="62"/>
        <v>7.7633811445638925E-4</v>
      </c>
      <c r="I619" s="71">
        <f t="shared" si="66"/>
        <v>1.2729373286270733E-2</v>
      </c>
      <c r="L619" s="74"/>
      <c r="M619" s="74"/>
      <c r="N619" s="74"/>
      <c r="O619" s="74"/>
      <c r="P619" s="74"/>
      <c r="Q619" s="74"/>
      <c r="R619" s="74"/>
      <c r="S619" s="74"/>
      <c r="T619" s="74"/>
      <c r="U619" s="74"/>
      <c r="V619" s="74"/>
      <c r="W619" s="74"/>
      <c r="X619" s="74"/>
      <c r="Y619" s="74"/>
    </row>
    <row r="620" spans="1:25" x14ac:dyDescent="0.3">
      <c r="A620" s="66">
        <f t="shared" si="64"/>
        <v>2051.2999999999442</v>
      </c>
      <c r="B620" s="67">
        <f>LOOKUP(A620+0.01,Amounts!$A$4:$A$103,Amounts!$B$4:$B$103)*0.1*$A$2</f>
        <v>0</v>
      </c>
      <c r="C620" s="68">
        <f t="shared" si="63"/>
        <v>2992395.4285963499</v>
      </c>
      <c r="D620" s="67">
        <f t="array" ref="D620">SUM($B$7:$B615*$F$1009*EXP(-$F$1009*($A620-$A$7:$A615)))*$F$1010</f>
        <v>2286218.3831612989</v>
      </c>
      <c r="E620" s="67">
        <f t="shared" si="61"/>
        <v>4.3584735199989604</v>
      </c>
      <c r="F620" s="70">
        <f t="shared" si="65"/>
        <v>0.26464651213433688</v>
      </c>
      <c r="G620" s="67">
        <f>E620/'Lookup Tables'!$C$48</f>
        <v>8.7169470399979208</v>
      </c>
      <c r="H620" s="70">
        <f t="shared" si="62"/>
        <v>7.6554510818311564E-4</v>
      </c>
      <c r="I620" s="71">
        <f t="shared" si="66"/>
        <v>1.2552403737597004E-2</v>
      </c>
      <c r="L620" s="74"/>
      <c r="M620" s="74"/>
      <c r="N620" s="74"/>
      <c r="O620" s="74"/>
      <c r="P620" s="74"/>
      <c r="Q620" s="74"/>
      <c r="R620" s="74"/>
      <c r="S620" s="74"/>
      <c r="T620" s="74"/>
      <c r="U620" s="74"/>
      <c r="V620" s="74"/>
      <c r="W620" s="74"/>
      <c r="X620" s="74"/>
      <c r="Y620" s="74"/>
    </row>
    <row r="621" spans="1:25" x14ac:dyDescent="0.3">
      <c r="A621" s="66">
        <f t="shared" si="64"/>
        <v>2051.3999999999442</v>
      </c>
      <c r="B621" s="67">
        <f>LOOKUP(A621+0.01,Amounts!$A$4:$A$103,Amounts!$B$4:$B$103)*0.1*$A$2</f>
        <v>0</v>
      </c>
      <c r="C621" s="68">
        <f t="shared" si="63"/>
        <v>2992395.4285963499</v>
      </c>
      <c r="D621" s="67">
        <f t="array" ref="D621">SUM($B$7:$B616*$F$1009*EXP(-$F$1009*($A621-$A$7:$A616)))*$F$1010</f>
        <v>2254434.3332839962</v>
      </c>
      <c r="E621" s="67">
        <f t="shared" si="61"/>
        <v>4.2978800348057398</v>
      </c>
      <c r="F621" s="70">
        <f t="shared" si="65"/>
        <v>0.2609672757134045</v>
      </c>
      <c r="G621" s="67">
        <f>E621/'Lookup Tables'!$C$48</f>
        <v>8.5957600696114795</v>
      </c>
      <c r="H621" s="70">
        <f t="shared" si="62"/>
        <v>7.5490215120182678E-4</v>
      </c>
      <c r="I621" s="71">
        <f t="shared" si="66"/>
        <v>1.237789450024053E-2</v>
      </c>
      <c r="L621" s="74"/>
      <c r="M621" s="74"/>
      <c r="N621" s="74"/>
      <c r="O621" s="74"/>
      <c r="P621" s="74"/>
      <c r="Q621" s="74"/>
      <c r="R621" s="74"/>
      <c r="S621" s="74"/>
      <c r="T621" s="74"/>
      <c r="U621" s="74"/>
      <c r="V621" s="74"/>
      <c r="W621" s="74"/>
      <c r="X621" s="74"/>
      <c r="Y621" s="74"/>
    </row>
    <row r="622" spans="1:25" x14ac:dyDescent="0.3">
      <c r="A622" s="66">
        <f t="shared" si="64"/>
        <v>2051.4999999999441</v>
      </c>
      <c r="B622" s="67">
        <f>LOOKUP(A622+0.01,Amounts!$A$4:$A$103,Amounts!$B$4:$B$103)*0.1*$A$2</f>
        <v>0</v>
      </c>
      <c r="C622" s="68">
        <f t="shared" si="63"/>
        <v>2992395.4285963499</v>
      </c>
      <c r="D622" s="67">
        <f t="array" ref="D622">SUM($B$7:$B617*$F$1009*EXP(-$F$1009*($A622-$A$7:$A617)))*$F$1010</f>
        <v>2223092.1597532597</v>
      </c>
      <c r="E622" s="67">
        <f t="shared" si="61"/>
        <v>4.238128947858379</v>
      </c>
      <c r="F622" s="70">
        <f t="shared" si="65"/>
        <v>0.2573391897139608</v>
      </c>
      <c r="G622" s="67">
        <f>E622/'Lookup Tables'!$C$48</f>
        <v>8.476257895716758</v>
      </c>
      <c r="H622" s="70">
        <f t="shared" si="62"/>
        <v>7.4440715745888294E-4</v>
      </c>
      <c r="I622" s="71">
        <f t="shared" si="66"/>
        <v>1.2205811369832132E-2</v>
      </c>
      <c r="L622" s="74"/>
      <c r="M622" s="74"/>
      <c r="N622" s="74"/>
      <c r="O622" s="74"/>
      <c r="P622" s="74"/>
      <c r="Q622" s="74"/>
      <c r="R622" s="74"/>
      <c r="S622" s="74"/>
      <c r="T622" s="74"/>
      <c r="U622" s="74"/>
      <c r="V622" s="74"/>
      <c r="W622" s="74"/>
      <c r="X622" s="74"/>
      <c r="Y622" s="74"/>
    </row>
    <row r="623" spans="1:25" x14ac:dyDescent="0.3">
      <c r="A623" s="66">
        <f t="shared" si="64"/>
        <v>2051.599999999944</v>
      </c>
      <c r="B623" s="67">
        <f>LOOKUP(A623+0.01,Amounts!$A$4:$A$103,Amounts!$B$4:$B$103)*0.1*$A$2</f>
        <v>0</v>
      </c>
      <c r="C623" s="68">
        <f t="shared" si="63"/>
        <v>2992395.4285963499</v>
      </c>
      <c r="D623" s="67">
        <f t="array" ref="D623">SUM($B$7:$B618*$F$1009*EXP(-$F$1009*($A623-$A$7:$A618)))*$F$1010</f>
        <v>2192185.7194027384</v>
      </c>
      <c r="E623" s="67">
        <f t="shared" si="61"/>
        <v>4.1792085477525456</v>
      </c>
      <c r="F623" s="70">
        <f t="shared" si="65"/>
        <v>0.25376154301953457</v>
      </c>
      <c r="G623" s="67">
        <f>E623/'Lookup Tables'!$C$48</f>
        <v>8.3584170955050912</v>
      </c>
      <c r="H623" s="70">
        <f t="shared" si="62"/>
        <v>7.3405806990191086E-4</v>
      </c>
      <c r="I623" s="71">
        <f t="shared" si="66"/>
        <v>1.203612061752733E-2</v>
      </c>
      <c r="L623" s="74"/>
      <c r="M623" s="74"/>
      <c r="N623" s="74"/>
      <c r="O623" s="74"/>
      <c r="P623" s="74"/>
      <c r="Q623" s="74"/>
      <c r="R623" s="74"/>
      <c r="S623" s="74"/>
      <c r="T623" s="74"/>
      <c r="U623" s="74"/>
      <c r="V623" s="74"/>
      <c r="W623" s="74"/>
      <c r="X623" s="74"/>
      <c r="Y623" s="74"/>
    </row>
    <row r="624" spans="1:25" x14ac:dyDescent="0.3">
      <c r="A624" s="66">
        <f t="shared" si="64"/>
        <v>2051.6999999999439</v>
      </c>
      <c r="B624" s="67">
        <f>LOOKUP(A624+0.01,Amounts!$A$4:$A$103,Amounts!$B$4:$B$103)*0.1*$A$2</f>
        <v>0</v>
      </c>
      <c r="C624" s="68">
        <f t="shared" si="63"/>
        <v>2992395.4285963499</v>
      </c>
      <c r="D624" s="67">
        <f t="array" ref="D624">SUM($B$7:$B619*$F$1009*EXP(-$F$1009*($A624-$A$7:$A619)))*$F$1010</f>
        <v>2161708.954471183</v>
      </c>
      <c r="E624" s="67">
        <f t="shared" si="61"/>
        <v>4.121107285901199</v>
      </c>
      <c r="F624" s="70">
        <f t="shared" si="65"/>
        <v>0.2502336343999208</v>
      </c>
      <c r="G624" s="67">
        <f>E624/'Lookup Tables'!$C$48</f>
        <v>8.242214571802398</v>
      </c>
      <c r="H624" s="70">
        <f t="shared" si="62"/>
        <v>7.2385286007661982E-4</v>
      </c>
      <c r="I624" s="71">
        <f t="shared" si="66"/>
        <v>1.1868788983395454E-2</v>
      </c>
      <c r="L624" s="74"/>
      <c r="M624" s="74"/>
      <c r="N624" s="74"/>
      <c r="O624" s="74"/>
      <c r="P624" s="74"/>
      <c r="Q624" s="74"/>
      <c r="R624" s="74"/>
      <c r="S624" s="74"/>
      <c r="T624" s="74"/>
      <c r="U624" s="74"/>
      <c r="V624" s="74"/>
      <c r="W624" s="74"/>
      <c r="X624" s="74"/>
      <c r="Y624" s="74"/>
    </row>
    <row r="625" spans="1:25" x14ac:dyDescent="0.3">
      <c r="A625" s="66">
        <f t="shared" si="64"/>
        <v>2051.7999999999438</v>
      </c>
      <c r="B625" s="67">
        <f>LOOKUP(A625+0.01,Amounts!$A$4:$A$103,Amounts!$B$4:$B$103)*0.1*$A$2</f>
        <v>0</v>
      </c>
      <c r="C625" s="68">
        <f t="shared" si="63"/>
        <v>2992395.4285963499</v>
      </c>
      <c r="D625" s="67">
        <f t="array" ref="D625">SUM($B$7:$B620*$F$1009*EXP(-$F$1009*($A625-$A$7:$A620)))*$F$1010</f>
        <v>2131655.8914151001</v>
      </c>
      <c r="E625" s="67">
        <f t="shared" si="61"/>
        <v>4.0638137742710132</v>
      </c>
      <c r="F625" s="70">
        <f t="shared" si="65"/>
        <v>0.24675477237373594</v>
      </c>
      <c r="G625" s="67">
        <f>E625/'Lookup Tables'!$C$48</f>
        <v>8.1276275485420264</v>
      </c>
      <c r="H625" s="70">
        <f t="shared" si="62"/>
        <v>7.1378952772921313E-4</v>
      </c>
      <c r="I625" s="71">
        <f t="shared" si="66"/>
        <v>1.1703783669900518E-2</v>
      </c>
      <c r="L625" s="74"/>
      <c r="M625" s="74"/>
      <c r="N625" s="74"/>
      <c r="O625" s="74"/>
      <c r="P625" s="74"/>
      <c r="Q625" s="74"/>
      <c r="R625" s="74"/>
      <c r="S625" s="74"/>
      <c r="T625" s="74"/>
      <c r="U625" s="74"/>
      <c r="V625" s="74"/>
      <c r="W625" s="74"/>
      <c r="X625" s="74"/>
      <c r="Y625" s="74"/>
    </row>
    <row r="626" spans="1:25" x14ac:dyDescent="0.3">
      <c r="A626" s="66">
        <f t="shared" si="64"/>
        <v>2051.8999999999437</v>
      </c>
      <c r="B626" s="67">
        <f>LOOKUP(A626+0.01,Amounts!$A$4:$A$103,Amounts!$B$4:$B$103)*0.1*$A$2</f>
        <v>0</v>
      </c>
      <c r="C626" s="68">
        <f t="shared" si="63"/>
        <v>2992395.4285963499</v>
      </c>
      <c r="D626" s="67">
        <f t="array" ref="D626">SUM($B$7:$B621*$F$1009*EXP(-$F$1009*($A626-$A$7:$A621)))*$F$1010</f>
        <v>2102020.639737918</v>
      </c>
      <c r="E626" s="67">
        <f t="shared" si="61"/>
        <v>4.0073167831502881</v>
      </c>
      <c r="F626" s="70">
        <f t="shared" si="65"/>
        <v>0.24332427507288551</v>
      </c>
      <c r="G626" s="67">
        <f>E626/'Lookup Tables'!$C$48</f>
        <v>8.0146335663005761</v>
      </c>
      <c r="H626" s="70">
        <f t="shared" si="62"/>
        <v>7.0386610041433357E-4</v>
      </c>
      <c r="I626" s="71">
        <f t="shared" si="66"/>
        <v>1.154107233547283E-2</v>
      </c>
      <c r="L626" s="74"/>
      <c r="M626" s="74"/>
      <c r="N626" s="74"/>
      <c r="O626" s="74"/>
      <c r="P626" s="74"/>
      <c r="Q626" s="74"/>
      <c r="R626" s="74"/>
      <c r="S626" s="74"/>
      <c r="T626" s="74"/>
      <c r="U626" s="74"/>
      <c r="V626" s="74"/>
      <c r="W626" s="74"/>
      <c r="X626" s="74"/>
      <c r="Y626" s="74"/>
    </row>
    <row r="627" spans="1:25" x14ac:dyDescent="0.3">
      <c r="A627" s="66">
        <f t="shared" si="64"/>
        <v>2051.9999999999436</v>
      </c>
      <c r="B627" s="67">
        <f>LOOKUP(A627+0.01,Amounts!$A$4:$A$103,Amounts!$B$4:$B$103)*0.1*$A$2</f>
        <v>0</v>
      </c>
      <c r="C627" s="68">
        <f t="shared" si="63"/>
        <v>2992395.4285963499</v>
      </c>
      <c r="D627" s="67">
        <f t="array" ref="D627">SUM($B$7:$B622*$F$1009*EXP(-$F$1009*($A627-$A$7:$A622)))*$F$1010</f>
        <v>2072797.3908354382</v>
      </c>
      <c r="E627" s="67">
        <f t="shared" si="61"/>
        <v>3.9516052389479026</v>
      </c>
      <c r="F627" s="70">
        <f t="shared" si="65"/>
        <v>0.23994147010891664</v>
      </c>
      <c r="G627" s="67">
        <f>E627/'Lookup Tables'!$C$48</f>
        <v>7.9032104778958052</v>
      </c>
      <c r="H627" s="70">
        <f t="shared" si="62"/>
        <v>6.9408063310846054E-4</v>
      </c>
      <c r="I627" s="71">
        <f t="shared" si="66"/>
        <v>1.1380623088169959E-2</v>
      </c>
      <c r="L627" s="74"/>
      <c r="M627" s="74"/>
      <c r="N627" s="74"/>
      <c r="O627" s="74"/>
      <c r="P627" s="74"/>
      <c r="Q627" s="74"/>
      <c r="R627" s="74"/>
      <c r="S627" s="74"/>
      <c r="T627" s="74"/>
      <c r="U627" s="74"/>
      <c r="V627" s="74"/>
      <c r="W627" s="74"/>
      <c r="X627" s="74"/>
      <c r="Y627" s="74"/>
    </row>
    <row r="628" spans="1:25" x14ac:dyDescent="0.3">
      <c r="A628" s="66">
        <f t="shared" si="64"/>
        <v>2052.0999999999435</v>
      </c>
      <c r="B628" s="67">
        <f>LOOKUP(A628+0.01,Amounts!$A$4:$A$103,Amounts!$B$4:$B$103)*0.1*$A$2</f>
        <v>0</v>
      </c>
      <c r="C628" s="68">
        <f t="shared" si="63"/>
        <v>2992395.4285963499</v>
      </c>
      <c r="D628" s="67">
        <f t="array" ref="D628">SUM($B$7:$B623*$F$1009*EXP(-$F$1009*($A628-$A$7:$A623)))*$F$1010</f>
        <v>2043980.4168573192</v>
      </c>
      <c r="E628" s="67">
        <f t="shared" si="61"/>
        <v>3.8966682220228357</v>
      </c>
      <c r="F628" s="70">
        <f t="shared" si="65"/>
        <v>0.23660569444122656</v>
      </c>
      <c r="G628" s="67">
        <f>E628/'Lookup Tables'!$C$48</f>
        <v>7.7933364440456714</v>
      </c>
      <c r="H628" s="70">
        <f t="shared" si="62"/>
        <v>6.8443120782867408E-4</v>
      </c>
      <c r="I628" s="71">
        <f t="shared" si="66"/>
        <v>1.1222404479425767E-2</v>
      </c>
      <c r="L628" s="74"/>
      <c r="M628" s="74"/>
      <c r="N628" s="74"/>
      <c r="O628" s="74"/>
      <c r="P628" s="74"/>
      <c r="Q628" s="74"/>
      <c r="R628" s="74"/>
      <c r="S628" s="74"/>
      <c r="T628" s="74"/>
      <c r="U628" s="74"/>
      <c r="V628" s="74"/>
      <c r="W628" s="74"/>
      <c r="X628" s="74"/>
      <c r="Y628" s="74"/>
    </row>
    <row r="629" spans="1:25" x14ac:dyDescent="0.3">
      <c r="A629" s="66">
        <f t="shared" si="64"/>
        <v>2052.1999999999434</v>
      </c>
      <c r="B629" s="67">
        <f>LOOKUP(A629+0.01,Amounts!$A$4:$A$103,Amounts!$B$4:$B$103)*0.1*$A$2</f>
        <v>0</v>
      </c>
      <c r="C629" s="68">
        <f t="shared" si="63"/>
        <v>2992395.4285963499</v>
      </c>
      <c r="D629" s="67">
        <f t="array" ref="D629">SUM($B$7:$B624*$F$1009*EXP(-$F$1009*($A629-$A$7:$A624)))*$F$1010</f>
        <v>2015564.0695844088</v>
      </c>
      <c r="E629" s="67">
        <f t="shared" si="61"/>
        <v>3.8424949645438997</v>
      </c>
      <c r="F629" s="70">
        <f t="shared" si="65"/>
        <v>0.23331629424710557</v>
      </c>
      <c r="G629" s="67">
        <f>E629/'Lookup Tables'!$C$48</f>
        <v>7.6849899290877994</v>
      </c>
      <c r="H629" s="70">
        <f t="shared" si="62"/>
        <v>6.7491593325672862E-4</v>
      </c>
      <c r="I629" s="71">
        <f t="shared" si="66"/>
        <v>1.1066385497886431E-2</v>
      </c>
      <c r="L629" s="74"/>
      <c r="M629" s="74"/>
      <c r="N629" s="74"/>
      <c r="O629" s="74"/>
      <c r="P629" s="74"/>
      <c r="Q629" s="74"/>
      <c r="R629" s="74"/>
      <c r="S629" s="74"/>
      <c r="T629" s="74"/>
      <c r="U629" s="74"/>
      <c r="V629" s="74"/>
      <c r="W629" s="74"/>
      <c r="X629" s="74"/>
      <c r="Y629" s="74"/>
    </row>
    <row r="630" spans="1:25" x14ac:dyDescent="0.3">
      <c r="A630" s="66">
        <f t="shared" si="64"/>
        <v>2052.2999999999433</v>
      </c>
      <c r="B630" s="67">
        <f>LOOKUP(A630+0.01,Amounts!$A$4:$A$103,Amounts!$B$4:$B$103)*0.1*$A$2</f>
        <v>0</v>
      </c>
      <c r="C630" s="68">
        <f t="shared" si="63"/>
        <v>2992395.4285963499</v>
      </c>
      <c r="D630" s="67">
        <f t="array" ref="D630">SUM($B$7:$B625*$F$1009*EXP(-$F$1009*($A630-$A$7:$A625)))*$F$1010</f>
        <v>1987542.7793216712</v>
      </c>
      <c r="E630" s="67">
        <f t="shared" si="61"/>
        <v>3.7890748483792009</v>
      </c>
      <c r="F630" s="70">
        <f t="shared" si="65"/>
        <v>0.23007262479358506</v>
      </c>
      <c r="G630" s="67">
        <f>E630/'Lookup Tables'!$C$48</f>
        <v>7.5781496967584019</v>
      </c>
      <c r="H630" s="70">
        <f t="shared" si="62"/>
        <v>6.6553294436834615E-4</v>
      </c>
      <c r="I630" s="71">
        <f t="shared" si="66"/>
        <v>1.0912535563332097E-2</v>
      </c>
      <c r="L630" s="74"/>
      <c r="M630" s="74"/>
      <c r="N630" s="74"/>
      <c r="O630" s="74"/>
      <c r="P630" s="74"/>
      <c r="Q630" s="74"/>
      <c r="R630" s="74"/>
      <c r="S630" s="74"/>
      <c r="T630" s="74"/>
      <c r="U630" s="74"/>
      <c r="V630" s="74"/>
      <c r="W630" s="74"/>
      <c r="X630" s="74"/>
      <c r="Y630" s="74"/>
    </row>
    <row r="631" spans="1:25" x14ac:dyDescent="0.3">
      <c r="A631" s="66">
        <f t="shared" si="64"/>
        <v>2052.3999999999432</v>
      </c>
      <c r="B631" s="67">
        <f>LOOKUP(A631+0.01,Amounts!$A$4:$A$103,Amounts!$B$4:$B$103)*0.1*$A$2</f>
        <v>0</v>
      </c>
      <c r="C631" s="68">
        <f t="shared" si="63"/>
        <v>2992395.4285963499</v>
      </c>
      <c r="D631" s="67">
        <f t="array" ref="D631">SUM($B$7:$B626*$F$1009*EXP(-$F$1009*($A631-$A$7:$A626)))*$F$1010</f>
        <v>1959911.0538065077</v>
      </c>
      <c r="E631" s="67">
        <f t="shared" si="61"/>
        <v>3.7363974030149523</v>
      </c>
      <c r="F631" s="70">
        <f t="shared" si="65"/>
        <v>0.22687405031106789</v>
      </c>
      <c r="G631" s="67">
        <f>E631/'Lookup Tables'!$C$48</f>
        <v>7.4727948060299045</v>
      </c>
      <c r="H631" s="70">
        <f t="shared" si="62"/>
        <v>6.5628040206766624E-4</v>
      </c>
      <c r="I631" s="71">
        <f t="shared" si="66"/>
        <v>1.0760824520683061E-2</v>
      </c>
      <c r="L631" s="74"/>
      <c r="M631" s="74"/>
      <c r="N631" s="74"/>
      <c r="O631" s="74"/>
      <c r="P631" s="74"/>
      <c r="Q631" s="74"/>
      <c r="R631" s="74"/>
      <c r="S631" s="74"/>
      <c r="T631" s="74"/>
      <c r="U631" s="74"/>
      <c r="V631" s="74"/>
      <c r="W631" s="74"/>
      <c r="X631" s="74"/>
      <c r="Y631" s="74"/>
    </row>
    <row r="632" spans="1:25" x14ac:dyDescent="0.3">
      <c r="A632" s="66">
        <f t="shared" si="64"/>
        <v>2052.4999999999432</v>
      </c>
      <c r="B632" s="67">
        <f>LOOKUP(A632+0.01,Amounts!$A$4:$A$103,Amounts!$B$4:$B$103)*0.1*$A$2</f>
        <v>0</v>
      </c>
      <c r="C632" s="68">
        <f t="shared" si="63"/>
        <v>2992395.4285963499</v>
      </c>
      <c r="D632" s="67">
        <f t="array" ref="D632">SUM($B$7:$B627*$F$1009*EXP(-$F$1009*($A632-$A$7:$A627)))*$F$1010</f>
        <v>1932663.4771322599</v>
      </c>
      <c r="E632" s="67">
        <f t="shared" si="61"/>
        <v>3.6844523035032268</v>
      </c>
      <c r="F632" s="70">
        <f t="shared" si="65"/>
        <v>0.22371994386871594</v>
      </c>
      <c r="G632" s="67">
        <f>E632/'Lookup Tables'!$C$48</f>
        <v>7.3689046070064537</v>
      </c>
      <c r="H632" s="70">
        <f t="shared" si="62"/>
        <v>6.4715649282677762E-4</v>
      </c>
      <c r="I632" s="71">
        <f t="shared" si="66"/>
        <v>1.0611222634089292E-2</v>
      </c>
      <c r="L632" s="74"/>
      <c r="M632" s="74"/>
      <c r="N632" s="74"/>
      <c r="O632" s="74"/>
      <c r="P632" s="74"/>
      <c r="Q632" s="74"/>
      <c r="R632" s="74"/>
      <c r="S632" s="74"/>
      <c r="T632" s="74"/>
      <c r="U632" s="74"/>
      <c r="V632" s="74"/>
      <c r="W632" s="74"/>
      <c r="X632" s="74"/>
      <c r="Y632" s="74"/>
    </row>
    <row r="633" spans="1:25" x14ac:dyDescent="0.3">
      <c r="A633" s="66">
        <f t="shared" si="64"/>
        <v>2052.5999999999431</v>
      </c>
      <c r="B633" s="67">
        <f>LOOKUP(A633+0.01,Amounts!$A$4:$A$103,Amounts!$B$4:$B$103)*0.1*$A$2</f>
        <v>0</v>
      </c>
      <c r="C633" s="68">
        <f t="shared" si="63"/>
        <v>2992395.4285963499</v>
      </c>
      <c r="D633" s="67">
        <f t="array" ref="D633">SUM($B$7:$B628*$F$1009*EXP(-$F$1009*($A633-$A$7:$A628)))*$F$1010</f>
        <v>1905794.7086866694</v>
      </c>
      <c r="E633" s="67">
        <f t="shared" si="61"/>
        <v>3.6332293684382222</v>
      </c>
      <c r="F633" s="70">
        <f t="shared" si="65"/>
        <v>0.22060968725156885</v>
      </c>
      <c r="G633" s="67">
        <f>E633/'Lookup Tables'!$C$48</f>
        <v>7.2664587368764444</v>
      </c>
      <c r="H633" s="70">
        <f t="shared" si="62"/>
        <v>6.3815942833025984E-4</v>
      </c>
      <c r="I633" s="71">
        <f t="shared" si="66"/>
        <v>1.0463700581102079E-2</v>
      </c>
      <c r="L633" s="74"/>
      <c r="M633" s="74"/>
      <c r="N633" s="74"/>
      <c r="O633" s="74"/>
      <c r="P633" s="74"/>
      <c r="Q633" s="74"/>
      <c r="R633" s="74"/>
      <c r="S633" s="74"/>
      <c r="T633" s="74"/>
      <c r="U633" s="74"/>
      <c r="V633" s="74"/>
      <c r="W633" s="74"/>
      <c r="X633" s="74"/>
      <c r="Y633" s="74"/>
    </row>
    <row r="634" spans="1:25" x14ac:dyDescent="0.3">
      <c r="A634" s="66">
        <f t="shared" si="64"/>
        <v>2052.699999999943</v>
      </c>
      <c r="B634" s="67">
        <f>LOOKUP(A634+0.01,Amounts!$A$4:$A$103,Amounts!$B$4:$B$103)*0.1*$A$2</f>
        <v>0</v>
      </c>
      <c r="C634" s="68">
        <f t="shared" si="63"/>
        <v>2992395.4285963499</v>
      </c>
      <c r="D634" s="67">
        <f t="array" ref="D634">SUM($B$7:$B629*$F$1009*EXP(-$F$1009*($A634-$A$7:$A629)))*$F$1010</f>
        <v>1879299.4821051047</v>
      </c>
      <c r="E634" s="67">
        <f t="shared" si="61"/>
        <v>3.5827185579606851</v>
      </c>
      <c r="F634" s="70">
        <f t="shared" si="65"/>
        <v>0.21754267083937281</v>
      </c>
      <c r="G634" s="67">
        <f>E634/'Lookup Tables'!$C$48</f>
        <v>7.1654371159213701</v>
      </c>
      <c r="H634" s="70">
        <f t="shared" si="62"/>
        <v>6.2928744512466908E-4</v>
      </c>
      <c r="I634" s="71">
        <f t="shared" si="66"/>
        <v>1.0318229446926773E-2</v>
      </c>
      <c r="L634" s="74"/>
      <c r="M634" s="74"/>
      <c r="N634" s="74"/>
      <c r="O634" s="74"/>
      <c r="P634" s="74"/>
      <c r="Q634" s="74"/>
      <c r="R634" s="74"/>
      <c r="S634" s="74"/>
      <c r="T634" s="74"/>
      <c r="U634" s="74"/>
      <c r="V634" s="74"/>
      <c r="W634" s="74"/>
      <c r="X634" s="74"/>
      <c r="Y634" s="74"/>
    </row>
    <row r="635" spans="1:25" x14ac:dyDescent="0.3">
      <c r="A635" s="66">
        <f t="shared" si="64"/>
        <v>2052.7999999999429</v>
      </c>
      <c r="B635" s="67">
        <f>LOOKUP(A635+0.01,Amounts!$A$4:$A$103,Amounts!$B$4:$B$103)*0.1*$A$2</f>
        <v>0</v>
      </c>
      <c r="C635" s="68">
        <f t="shared" si="63"/>
        <v>2992395.4285963499</v>
      </c>
      <c r="D635" s="67">
        <f t="array" ref="D635">SUM($B$7:$B630*$F$1009*EXP(-$F$1009*($A635-$A$7:$A630)))*$F$1010</f>
        <v>1853172.6042383357</v>
      </c>
      <c r="E635" s="67">
        <f t="shared" si="61"/>
        <v>3.5329099717900587</v>
      </c>
      <c r="F635" s="70">
        <f t="shared" si="65"/>
        <v>0.21451829348709237</v>
      </c>
      <c r="G635" s="67">
        <f>E635/'Lookup Tables'!$C$48</f>
        <v>7.0658199435801174</v>
      </c>
      <c r="H635" s="70">
        <f t="shared" si="62"/>
        <v>6.2053880427289461E-4</v>
      </c>
      <c r="I635" s="71">
        <f t="shared" si="66"/>
        <v>1.0174780718755367E-2</v>
      </c>
      <c r="L635" s="74"/>
      <c r="M635" s="74"/>
      <c r="N635" s="74"/>
      <c r="O635" s="74"/>
      <c r="P635" s="74"/>
      <c r="Q635" s="74"/>
      <c r="R635" s="74"/>
      <c r="S635" s="74"/>
      <c r="T635" s="74"/>
      <c r="U635" s="74"/>
      <c r="V635" s="74"/>
      <c r="W635" s="74"/>
      <c r="X635" s="74"/>
      <c r="Y635" s="74"/>
    </row>
    <row r="636" spans="1:25" x14ac:dyDescent="0.3">
      <c r="A636" s="66">
        <f t="shared" si="64"/>
        <v>2052.8999999999428</v>
      </c>
      <c r="B636" s="67">
        <f>LOOKUP(A636+0.01,Amounts!$A$4:$A$103,Amounts!$B$4:$B$103)*0.1*$A$2</f>
        <v>0</v>
      </c>
      <c r="C636" s="68">
        <f t="shared" si="63"/>
        <v>2992395.4285963499</v>
      </c>
      <c r="D636" s="67">
        <f t="array" ref="D636">SUM($B$7:$B631*$F$1009*EXP(-$F$1009*($A636-$A$7:$A631)))*$F$1010</f>
        <v>1827408.9541346582</v>
      </c>
      <c r="E636" s="67">
        <f t="shared" si="61"/>
        <v>3.4837938472839975</v>
      </c>
      <c r="F636" s="70">
        <f t="shared" si="65"/>
        <v>0.21153596240708433</v>
      </c>
      <c r="G636" s="67">
        <f>E636/'Lookup Tables'!$C$48</f>
        <v>6.9675876945679951</v>
      </c>
      <c r="H636" s="70">
        <f t="shared" si="62"/>
        <v>6.1191179101332182E-4</v>
      </c>
      <c r="I636" s="71">
        <f t="shared" si="66"/>
        <v>1.0033326280177913E-2</v>
      </c>
      <c r="L636" s="74"/>
      <c r="M636" s="74"/>
      <c r="N636" s="74"/>
      <c r="O636" s="74"/>
      <c r="P636" s="74"/>
      <c r="Q636" s="74"/>
      <c r="R636" s="74"/>
      <c r="S636" s="74"/>
      <c r="T636" s="74"/>
      <c r="U636" s="74"/>
      <c r="V636" s="74"/>
      <c r="W636" s="74"/>
      <c r="X636" s="74"/>
      <c r="Y636" s="74"/>
    </row>
    <row r="637" spans="1:25" x14ac:dyDescent="0.3">
      <c r="A637" s="66">
        <f t="shared" si="64"/>
        <v>2052.9999999999427</v>
      </c>
      <c r="B637" s="67">
        <f>LOOKUP(A637+0.01,Amounts!$A$4:$A$103,Amounts!$B$4:$B$103)*0.1*$A$2</f>
        <v>0</v>
      </c>
      <c r="C637" s="68">
        <f t="shared" si="63"/>
        <v>2992395.4285963499</v>
      </c>
      <c r="D637" s="67">
        <f t="array" ref="D637">SUM($B$7:$B632*$F$1009*EXP(-$F$1009*($A637-$A$7:$A632)))*$F$1010</f>
        <v>1802003.4820361743</v>
      </c>
      <c r="E637" s="67">
        <f t="shared" si="61"/>
        <v>3.4353605575248611</v>
      </c>
      <c r="F637" s="70">
        <f t="shared" si="65"/>
        <v>0.20859509305290957</v>
      </c>
      <c r="G637" s="67">
        <f>E637/'Lookup Tables'!$C$48</f>
        <v>6.8707211150497223</v>
      </c>
      <c r="H637" s="70">
        <f t="shared" si="62"/>
        <v>6.0340471442373392E-4</v>
      </c>
      <c r="I637" s="71">
        <f t="shared" si="66"/>
        <v>9.8938384056716008E-3</v>
      </c>
      <c r="L637" s="74"/>
      <c r="M637" s="74"/>
      <c r="N637" s="74"/>
      <c r="O637" s="74"/>
      <c r="P637" s="74"/>
      <c r="Q637" s="74"/>
      <c r="R637" s="74"/>
      <c r="S637" s="74"/>
      <c r="T637" s="74"/>
      <c r="U637" s="74"/>
      <c r="V637" s="74"/>
      <c r="W637" s="74"/>
      <c r="X637" s="74"/>
      <c r="Y637" s="74"/>
    </row>
    <row r="638" spans="1:25" x14ac:dyDescent="0.3">
      <c r="A638" s="66">
        <f t="shared" si="64"/>
        <v>2053.0999999999426</v>
      </c>
      <c r="B638" s="67">
        <f>LOOKUP(A638+0.01,Amounts!$A$4:$A$103,Amounts!$B$4:$B$103)*0.1*$A$2</f>
        <v>0</v>
      </c>
      <c r="C638" s="68">
        <f t="shared" si="63"/>
        <v>2992395.4285963499</v>
      </c>
      <c r="D638" s="67">
        <f t="array" ref="D638">SUM($B$7:$B633*$F$1009*EXP(-$F$1009*($A638-$A$7:$A633)))*$F$1010</f>
        <v>1776951.2083890198</v>
      </c>
      <c r="E638" s="67">
        <f t="shared" si="61"/>
        <v>3.3876006094328042</v>
      </c>
      <c r="F638" s="70">
        <f t="shared" si="65"/>
        <v>0.20569510900475987</v>
      </c>
      <c r="G638" s="67">
        <f>E638/'Lookup Tables'!$C$48</f>
        <v>6.7752012188656083</v>
      </c>
      <c r="H638" s="70">
        <f t="shared" si="62"/>
        <v>5.9501590708988482E-4</v>
      </c>
      <c r="I638" s="71">
        <f t="shared" si="66"/>
        <v>9.7562897551664758E-3</v>
      </c>
      <c r="L638" s="74"/>
      <c r="M638" s="74"/>
      <c r="N638" s="74"/>
      <c r="O638" s="74"/>
      <c r="P638" s="74"/>
      <c r="Q638" s="74"/>
      <c r="R638" s="74"/>
      <c r="S638" s="74"/>
      <c r="T638" s="74"/>
      <c r="U638" s="74"/>
      <c r="V638" s="74"/>
      <c r="W638" s="74"/>
      <c r="X638" s="74"/>
      <c r="Y638" s="74"/>
    </row>
    <row r="639" spans="1:25" x14ac:dyDescent="0.3">
      <c r="A639" s="66">
        <f t="shared" si="64"/>
        <v>2053.1999999999425</v>
      </c>
      <c r="B639" s="67">
        <f>LOOKUP(A639+0.01,Amounts!$A$4:$A$103,Amounts!$B$4:$B$103)*0.1*$A$2</f>
        <v>0</v>
      </c>
      <c r="C639" s="68">
        <f t="shared" si="63"/>
        <v>2992395.4285963499</v>
      </c>
      <c r="D639" s="67">
        <f t="array" ref="D639">SUM($B$7:$B634*$F$1009*EXP(-$F$1009*($A639-$A$7:$A634)))*$F$1010</f>
        <v>1752247.2228673596</v>
      </c>
      <c r="E639" s="67">
        <f t="shared" si="61"/>
        <v>3.3405046419051048</v>
      </c>
      <c r="F639" s="70">
        <f t="shared" si="65"/>
        <v>0.20283544185647795</v>
      </c>
      <c r="G639" s="67">
        <f>E639/'Lookup Tables'!$C$48</f>
        <v>6.6810092838102095</v>
      </c>
      <c r="H639" s="70">
        <f t="shared" si="62"/>
        <v>5.8674372477868209E-4</v>
      </c>
      <c r="I639" s="71">
        <f t="shared" si="66"/>
        <v>9.6206533686867008E-3</v>
      </c>
      <c r="L639" s="74"/>
      <c r="M639" s="74"/>
      <c r="N639" s="74"/>
      <c r="O639" s="74"/>
      <c r="P639" s="74"/>
      <c r="Q639" s="74"/>
      <c r="R639" s="74"/>
      <c r="S639" s="74"/>
      <c r="T639" s="74"/>
      <c r="U639" s="74"/>
      <c r="V639" s="74"/>
      <c r="W639" s="74"/>
      <c r="X639" s="74"/>
      <c r="Y639" s="74"/>
    </row>
    <row r="640" spans="1:25" x14ac:dyDescent="0.3">
      <c r="A640" s="66">
        <f t="shared" si="64"/>
        <v>2053.2999999999424</v>
      </c>
      <c r="B640" s="67">
        <f>LOOKUP(A640+0.01,Amounts!$A$4:$A$103,Amounts!$B$4:$B$103)*0.1*$A$2</f>
        <v>0</v>
      </c>
      <c r="C640" s="68">
        <f t="shared" si="63"/>
        <v>2992395.4285963499</v>
      </c>
      <c r="D640" s="67">
        <f t="array" ref="D640">SUM($B$7:$B635*$F$1009*EXP(-$F$1009*($A640-$A$7:$A635)))*$F$1010</f>
        <v>1727886.6834109446</v>
      </c>
      <c r="E640" s="67">
        <f t="shared" si="61"/>
        <v>3.2940634239813562</v>
      </c>
      <c r="F640" s="70">
        <f t="shared" si="65"/>
        <v>0.20001553110414796</v>
      </c>
      <c r="G640" s="67">
        <f>E640/'Lookup Tables'!$C$48</f>
        <v>6.5881268479627124</v>
      </c>
      <c r="H640" s="70">
        <f t="shared" si="62"/>
        <v>5.7858654611591027E-4</v>
      </c>
      <c r="I640" s="71">
        <f t="shared" si="66"/>
        <v>9.486902661066306E-3</v>
      </c>
      <c r="L640" s="74"/>
      <c r="M640" s="74"/>
      <c r="N640" s="74"/>
      <c r="O640" s="74"/>
      <c r="P640" s="74"/>
      <c r="Q640" s="74"/>
      <c r="R640" s="74"/>
      <c r="S640" s="74"/>
      <c r="T640" s="74"/>
      <c r="U640" s="74"/>
      <c r="V640" s="74"/>
      <c r="W640" s="74"/>
      <c r="X640" s="74"/>
      <c r="Y640" s="74"/>
    </row>
    <row r="641" spans="1:25" x14ac:dyDescent="0.3">
      <c r="A641" s="66">
        <f t="shared" si="64"/>
        <v>2053.3999999999423</v>
      </c>
      <c r="B641" s="67">
        <f>LOOKUP(A641+0.01,Amounts!$A$4:$A$103,Amounts!$B$4:$B$103)*0.1*$A$2</f>
        <v>0</v>
      </c>
      <c r="C641" s="68">
        <f t="shared" si="63"/>
        <v>2992395.4285963499</v>
      </c>
      <c r="D641" s="67">
        <f t="array" ref="D641">SUM($B$7:$B636*$F$1009*EXP(-$F$1009*($A641-$A$7:$A636)))*$F$1010</f>
        <v>1703864.8152760556</v>
      </c>
      <c r="E641" s="67">
        <f t="shared" si="61"/>
        <v>3.2482678530341715</v>
      </c>
      <c r="F641" s="70">
        <f t="shared" si="65"/>
        <v>0.19723482403623491</v>
      </c>
      <c r="G641" s="67">
        <f>E641/'Lookup Tables'!$C$48</f>
        <v>6.4965357060683431</v>
      </c>
      <c r="H641" s="70">
        <f t="shared" si="62"/>
        <v>5.7054277226843751E-4</v>
      </c>
      <c r="I641" s="71">
        <f t="shared" si="66"/>
        <v>9.3550114167384145E-3</v>
      </c>
      <c r="L641" s="74"/>
      <c r="M641" s="74"/>
      <c r="N641" s="74"/>
      <c r="O641" s="74"/>
      <c r="P641" s="74"/>
      <c r="Q641" s="74"/>
      <c r="R641" s="74"/>
      <c r="S641" s="74"/>
      <c r="T641" s="74"/>
      <c r="U641" s="74"/>
      <c r="V641" s="74"/>
      <c r="W641" s="74"/>
      <c r="X641" s="74"/>
      <c r="Y641" s="74"/>
    </row>
    <row r="642" spans="1:25" x14ac:dyDescent="0.3">
      <c r="A642" s="66">
        <f t="shared" si="64"/>
        <v>2053.4999999999422</v>
      </c>
      <c r="B642" s="67">
        <f>LOOKUP(A642+0.01,Amounts!$A$4:$A$103,Amounts!$B$4:$B$103)*0.1*$A$2</f>
        <v>0</v>
      </c>
      <c r="C642" s="68">
        <f t="shared" si="63"/>
        <v>2992395.4285963499</v>
      </c>
      <c r="D642" s="67">
        <f t="array" ref="D642">SUM($B$7:$B637*$F$1009*EXP(-$F$1009*($A642-$A$7:$A637)))*$F$1010</f>
        <v>1680176.9100996347</v>
      </c>
      <c r="E642" s="67">
        <f t="shared" si="61"/>
        <v>3.2031089529850361</v>
      </c>
      <c r="F642" s="70">
        <f t="shared" si="65"/>
        <v>0.19449277562525141</v>
      </c>
      <c r="G642" s="67">
        <f>E642/'Lookup Tables'!$C$48</f>
        <v>6.4062179059700721</v>
      </c>
      <c r="H642" s="70">
        <f t="shared" si="62"/>
        <v>5.6261082663083871E-4</v>
      </c>
      <c r="I642" s="71">
        <f t="shared" si="66"/>
        <v>9.2249537845969041E-3</v>
      </c>
      <c r="L642" s="74"/>
      <c r="M642" s="74"/>
      <c r="N642" s="74"/>
      <c r="O642" s="74"/>
      <c r="P642" s="74"/>
      <c r="Q642" s="74"/>
      <c r="R642" s="74"/>
      <c r="S642" s="74"/>
      <c r="T642" s="74"/>
      <c r="U642" s="74"/>
      <c r="V642" s="74"/>
      <c r="W642" s="74"/>
      <c r="X642" s="74"/>
      <c r="Y642" s="74"/>
    </row>
    <row r="643" spans="1:25" x14ac:dyDescent="0.3">
      <c r="A643" s="66">
        <f t="shared" si="64"/>
        <v>2053.5999999999422</v>
      </c>
      <c r="B643" s="67">
        <f>LOOKUP(A643+0.01,Amounts!$A$4:$A$103,Amounts!$B$4:$B$103)*0.1*$A$2</f>
        <v>0</v>
      </c>
      <c r="C643" s="68">
        <f t="shared" si="63"/>
        <v>2992395.4285963499</v>
      </c>
      <c r="D643" s="67">
        <f t="array" ref="D643">SUM($B$7:$B638*$F$1009*EXP(-$F$1009*($A643-$A$7:$A638)))*$F$1010</f>
        <v>1656818.3249764345</v>
      </c>
      <c r="E643" s="67">
        <f t="shared" si="61"/>
        <v>3.1585778725449716</v>
      </c>
      <c r="F643" s="70">
        <f t="shared" si="65"/>
        <v>0.19178884842093069</v>
      </c>
      <c r="G643" s="67">
        <f>E643/'Lookup Tables'!$C$48</f>
        <v>6.3171557450899432</v>
      </c>
      <c r="H643" s="70">
        <f t="shared" si="62"/>
        <v>5.547891545163758E-4</v>
      </c>
      <c r="I643" s="71">
        <f t="shared" si="66"/>
        <v>9.0967042729295164E-3</v>
      </c>
      <c r="L643" s="74"/>
      <c r="M643" s="74"/>
      <c r="N643" s="74"/>
      <c r="O643" s="74"/>
      <c r="P643" s="74"/>
      <c r="Q643" s="74"/>
      <c r="R643" s="74"/>
      <c r="S643" s="74"/>
      <c r="T643" s="74"/>
      <c r="U643" s="74"/>
      <c r="V643" s="74"/>
      <c r="W643" s="74"/>
      <c r="X643" s="74"/>
      <c r="Y643" s="74"/>
    </row>
    <row r="644" spans="1:25" x14ac:dyDescent="0.3">
      <c r="A644" s="66">
        <f t="shared" si="64"/>
        <v>2053.6999999999421</v>
      </c>
      <c r="B644" s="67">
        <f>LOOKUP(A644+0.01,Amounts!$A$4:$A$103,Amounts!$B$4:$B$103)*0.1*$A$2</f>
        <v>0</v>
      </c>
      <c r="C644" s="68">
        <f t="shared" si="63"/>
        <v>2992395.4285963499</v>
      </c>
      <c r="D644" s="67">
        <f t="array" ref="D644">SUM($B$7:$B639*$F$1009*EXP(-$F$1009*($A644-$A$7:$A639)))*$F$1010</f>
        <v>1633784.4815489908</v>
      </c>
      <c r="E644" s="67">
        <f t="shared" si="61"/>
        <v>3.1146658834796508</v>
      </c>
      <c r="F644" s="70">
        <f t="shared" si="65"/>
        <v>0.1891225124448844</v>
      </c>
      <c r="G644" s="67">
        <f>E644/'Lookup Tables'!$C$48</f>
        <v>6.2293317669593016</v>
      </c>
      <c r="H644" s="70">
        <f t="shared" si="62"/>
        <v>5.4707622285227468E-4</v>
      </c>
      <c r="I644" s="71">
        <f t="shared" si="66"/>
        <v>8.970237744421395E-3</v>
      </c>
      <c r="L644" s="74"/>
      <c r="M644" s="74"/>
      <c r="N644" s="74"/>
      <c r="O644" s="74"/>
      <c r="P644" s="74"/>
      <c r="Q644" s="74"/>
      <c r="R644" s="74"/>
      <c r="S644" s="74"/>
      <c r="T644" s="74"/>
      <c r="U644" s="74"/>
      <c r="V644" s="74"/>
      <c r="W644" s="74"/>
      <c r="X644" s="74"/>
      <c r="Y644" s="74"/>
    </row>
    <row r="645" spans="1:25" x14ac:dyDescent="0.3">
      <c r="A645" s="66">
        <f t="shared" si="64"/>
        <v>2053.799999999942</v>
      </c>
      <c r="B645" s="67">
        <f>LOOKUP(A645+0.01,Amounts!$A$4:$A$103,Amounts!$B$4:$B$103)*0.1*$A$2</f>
        <v>0</v>
      </c>
      <c r="C645" s="68">
        <f t="shared" si="63"/>
        <v>2992395.4285963499</v>
      </c>
      <c r="D645" s="67">
        <f t="array" ref="D645">SUM($B$7:$B640*$F$1009*EXP(-$F$1009*($A645-$A$7:$A640)))*$F$1010</f>
        <v>1611070.8651102534</v>
      </c>
      <c r="E645" s="67">
        <f t="shared" si="61"/>
        <v>3.0713643788986396</v>
      </c>
      <c r="F645" s="70">
        <f t="shared" si="65"/>
        <v>0.18649324508672541</v>
      </c>
      <c r="G645" s="67">
        <f>E645/'Lookup Tables'!$C$48</f>
        <v>6.1427287577972791</v>
      </c>
      <c r="H645" s="70">
        <f t="shared" si="62"/>
        <v>5.39470519879237E-4</v>
      </c>
      <c r="I645" s="71">
        <f t="shared" si="66"/>
        <v>8.8455294112280824E-3</v>
      </c>
      <c r="L645" s="74"/>
      <c r="M645" s="74"/>
      <c r="N645" s="74"/>
      <c r="O645" s="74"/>
      <c r="P645" s="74"/>
      <c r="Q645" s="74"/>
      <c r="R645" s="74"/>
      <c r="S645" s="74"/>
      <c r="T645" s="74"/>
      <c r="U645" s="74"/>
      <c r="V645" s="74"/>
      <c r="W645" s="74"/>
      <c r="X645" s="74"/>
      <c r="Y645" s="74"/>
    </row>
    <row r="646" spans="1:25" x14ac:dyDescent="0.3">
      <c r="A646" s="66">
        <f t="shared" si="64"/>
        <v>2053.8999999999419</v>
      </c>
      <c r="B646" s="67">
        <f>LOOKUP(A646+0.01,Amounts!$A$4:$A$103,Amounts!$B$4:$B$103)*0.1*$A$2</f>
        <v>0</v>
      </c>
      <c r="C646" s="68">
        <f t="shared" si="63"/>
        <v>2992395.4285963499</v>
      </c>
      <c r="D646" s="67">
        <f t="array" ref="D646">SUM($B$7:$B641*$F$1009*EXP(-$F$1009*($A646-$A$7:$A641)))*$F$1010</f>
        <v>1588673.0237186854</v>
      </c>
      <c r="E646" s="67">
        <f t="shared" si="61"/>
        <v>3.028664871568417</v>
      </c>
      <c r="F646" s="70">
        <f t="shared" si="65"/>
        <v>0.18390053100163428</v>
      </c>
      <c r="G646" s="67">
        <f>E646/'Lookup Tables'!$C$48</f>
        <v>6.057329743136834</v>
      </c>
      <c r="H646" s="70">
        <f t="shared" si="62"/>
        <v>5.3197055485513177E-4</v>
      </c>
      <c r="I646" s="71">
        <f t="shared" si="66"/>
        <v>8.7225548301170415E-3</v>
      </c>
      <c r="L646" s="74"/>
      <c r="M646" s="74"/>
      <c r="N646" s="74"/>
      <c r="O646" s="74"/>
      <c r="P646" s="74"/>
      <c r="Q646" s="74"/>
      <c r="R646" s="74"/>
      <c r="S646" s="74"/>
      <c r="T646" s="74"/>
      <c r="U646" s="74"/>
      <c r="V646" s="74"/>
      <c r="W646" s="74"/>
      <c r="X646" s="74"/>
      <c r="Y646" s="74"/>
    </row>
    <row r="647" spans="1:25" x14ac:dyDescent="0.3">
      <c r="A647" s="66">
        <f t="shared" si="64"/>
        <v>2053.9999999999418</v>
      </c>
      <c r="B647" s="67">
        <f>LOOKUP(A647+0.01,Amounts!$A$4:$A$103,Amounts!$B$4:$B$103)*0.1*$A$2</f>
        <v>0</v>
      </c>
      <c r="C647" s="68">
        <f t="shared" si="63"/>
        <v>2992395.4285963499</v>
      </c>
      <c r="D647" s="67">
        <f t="array" ref="D647">SUM($B$7:$B642*$F$1009*EXP(-$F$1009*($A647-$A$7:$A642)))*$F$1010</f>
        <v>1566586.567325671</v>
      </c>
      <c r="E647" s="67">
        <f t="shared" ref="E647:E710" si="67">D647/(365*24*60)*1.00201</f>
        <v>2.9865589922488502</v>
      </c>
      <c r="F647" s="70">
        <f t="shared" si="65"/>
        <v>0.18134386200935018</v>
      </c>
      <c r="G647" s="67">
        <f>E647/'Lookup Tables'!$C$48</f>
        <v>5.9731179844977005</v>
      </c>
      <c r="H647" s="70">
        <f t="shared" ref="H647:H710" si="68">G647*60*24*365/(C647*2000)</f>
        <v>5.2457485776280424E-4</v>
      </c>
      <c r="I647" s="71">
        <f t="shared" si="66"/>
        <v>8.601289897676688E-3</v>
      </c>
      <c r="L647" s="74"/>
      <c r="M647" s="74"/>
      <c r="N647" s="74"/>
      <c r="O647" s="74"/>
      <c r="P647" s="74"/>
      <c r="Q647" s="74"/>
      <c r="R647" s="74"/>
      <c r="S647" s="74"/>
      <c r="T647" s="74"/>
      <c r="U647" s="74"/>
      <c r="V647" s="74"/>
      <c r="W647" s="74"/>
      <c r="X647" s="74"/>
      <c r="Y647" s="74"/>
    </row>
    <row r="648" spans="1:25" x14ac:dyDescent="0.3">
      <c r="A648" s="66">
        <f t="shared" si="64"/>
        <v>2054.0999999999417</v>
      </c>
      <c r="B648" s="67">
        <f>LOOKUP(A648+0.01,Amounts!$A$4:$A$103,Amounts!$B$4:$B$103)*0.1*$A$2</f>
        <v>0</v>
      </c>
      <c r="C648" s="68">
        <f t="shared" si="63"/>
        <v>2992395.4285963499</v>
      </c>
      <c r="D648" s="67">
        <f t="array" ref="D648">SUM($B$7:$B643*$F$1009*EXP(-$F$1009*($A648-$A$7:$A643)))*$F$1010</f>
        <v>1544807.1669150507</v>
      </c>
      <c r="E648" s="67">
        <f t="shared" si="67"/>
        <v>2.9450384880527967</v>
      </c>
      <c r="F648" s="70">
        <f t="shared" si="65"/>
        <v>0.1788227369945658</v>
      </c>
      <c r="G648" s="67">
        <f>E648/'Lookup Tables'!$C$48</f>
        <v>5.8900769761055933</v>
      </c>
      <c r="H648" s="70">
        <f t="shared" si="68"/>
        <v>5.1728197902194801E-4</v>
      </c>
      <c r="I648" s="71">
        <f t="shared" si="66"/>
        <v>8.4817108455920547E-3</v>
      </c>
      <c r="L648" s="74"/>
      <c r="M648" s="74"/>
      <c r="N648" s="74"/>
      <c r="O648" s="74"/>
      <c r="P648" s="74"/>
      <c r="Q648" s="74"/>
      <c r="R648" s="74"/>
      <c r="S648" s="74"/>
      <c r="T648" s="74"/>
      <c r="U648" s="74"/>
      <c r="V648" s="74"/>
      <c r="W648" s="74"/>
      <c r="X648" s="74"/>
      <c r="Y648" s="74"/>
    </row>
    <row r="649" spans="1:25" x14ac:dyDescent="0.3">
      <c r="A649" s="66">
        <f t="shared" si="64"/>
        <v>2054.1999999999416</v>
      </c>
      <c r="B649" s="67">
        <f>LOOKUP(A649+0.01,Amounts!$A$4:$A$103,Amounts!$B$4:$B$103)*0.1*$A$2</f>
        <v>0</v>
      </c>
      <c r="C649" s="68">
        <f t="shared" ref="C649:C712" si="69">C648+B649</f>
        <v>2992395.4285963499</v>
      </c>
      <c r="D649" s="67">
        <f t="array" ref="D649">SUM($B$7:$B644*$F$1009*EXP(-$F$1009*($A649-$A$7:$A644)))*$F$1010</f>
        <v>1523330.5536546197</v>
      </c>
      <c r="E649" s="67">
        <f t="shared" si="67"/>
        <v>2.9040952208285118</v>
      </c>
      <c r="F649" s="70">
        <f t="shared" si="65"/>
        <v>0.17633666180870725</v>
      </c>
      <c r="G649" s="67">
        <f>E649/'Lookup Tables'!$C$48</f>
        <v>5.8081904416570236</v>
      </c>
      <c r="H649" s="70">
        <f t="shared" si="68"/>
        <v>5.1009048920498277E-4</v>
      </c>
      <c r="I649" s="71">
        <f t="shared" si="66"/>
        <v>8.3637942359861151E-3</v>
      </c>
      <c r="L649" s="74"/>
      <c r="M649" s="74"/>
      <c r="N649" s="74"/>
      <c r="O649" s="74"/>
      <c r="P649" s="74"/>
      <c r="Q649" s="74"/>
      <c r="R649" s="74"/>
      <c r="S649" s="74"/>
      <c r="T649" s="74"/>
      <c r="U649" s="74"/>
      <c r="V649" s="74"/>
      <c r="W649" s="74"/>
      <c r="X649" s="74"/>
      <c r="Y649" s="74"/>
    </row>
    <row r="650" spans="1:25" x14ac:dyDescent="0.3">
      <c r="A650" s="66">
        <f t="shared" si="64"/>
        <v>2054.2999999999415</v>
      </c>
      <c r="B650" s="67">
        <f>LOOKUP(A650+0.01,Amounts!$A$4:$A$103,Amounts!$B$4:$B$103)*0.1*$A$2</f>
        <v>0</v>
      </c>
      <c r="C650" s="68">
        <f t="shared" si="69"/>
        <v>2992395.4285963499</v>
      </c>
      <c r="D650" s="67">
        <f t="array" ref="D650">SUM($B$7:$B645*$F$1009*EXP(-$F$1009*($A650-$A$7:$A645)))*$F$1010</f>
        <v>1502152.518059426</v>
      </c>
      <c r="E650" s="67">
        <f t="shared" si="67"/>
        <v>2.8637211655645465</v>
      </c>
      <c r="F650" s="70">
        <f t="shared" si="65"/>
        <v>0.17388514917307926</v>
      </c>
      <c r="G650" s="67">
        <f>E650/'Lookup Tables'!$C$48</f>
        <v>5.727442331129093</v>
      </c>
      <c r="H650" s="70">
        <f t="shared" si="68"/>
        <v>5.029989787568818E-4</v>
      </c>
      <c r="I650" s="71">
        <f t="shared" si="66"/>
        <v>8.2475169568258927E-3</v>
      </c>
      <c r="L650" s="74"/>
      <c r="M650" s="74"/>
      <c r="N650" s="74"/>
      <c r="O650" s="74"/>
      <c r="P650" s="74"/>
      <c r="Q650" s="74"/>
      <c r="R650" s="74"/>
      <c r="S650" s="74"/>
      <c r="T650" s="74"/>
      <c r="U650" s="74"/>
      <c r="V650" s="74"/>
      <c r="W650" s="74"/>
      <c r="X650" s="74"/>
      <c r="Y650" s="74"/>
    </row>
    <row r="651" spans="1:25" x14ac:dyDescent="0.3">
      <c r="A651" s="66">
        <f t="shared" si="64"/>
        <v>2054.3999999999414</v>
      </c>
      <c r="B651" s="67">
        <f>LOOKUP(A651+0.01,Amounts!$A$4:$A$103,Amounts!$B$4:$B$103)*0.1*$A$2</f>
        <v>0</v>
      </c>
      <c r="C651" s="68">
        <f t="shared" si="69"/>
        <v>2992395.4285963499</v>
      </c>
      <c r="D651" s="67">
        <f t="array" ref="D651">SUM($B$7:$B646*$F$1009*EXP(-$F$1009*($A651-$A$7:$A646)))*$F$1010</f>
        <v>1481268.9091666935</v>
      </c>
      <c r="E651" s="67">
        <f t="shared" si="67"/>
        <v>2.8239084088168163</v>
      </c>
      <c r="F651" s="70">
        <f t="shared" si="65"/>
        <v>0.17146771858335705</v>
      </c>
      <c r="G651" s="67">
        <f>E651/'Lookup Tables'!$C$48</f>
        <v>5.6478168176336325</v>
      </c>
      <c r="H651" s="70">
        <f t="shared" si="68"/>
        <v>4.9600605771889499E-4</v>
      </c>
      <c r="I651" s="71">
        <f t="shared" si="66"/>
        <v>8.1328562173924295E-3</v>
      </c>
      <c r="L651" s="74"/>
      <c r="M651" s="74"/>
      <c r="N651" s="74"/>
      <c r="O651" s="74"/>
      <c r="P651" s="74"/>
      <c r="Q651" s="74"/>
      <c r="R651" s="74"/>
      <c r="S651" s="74"/>
      <c r="T651" s="74"/>
      <c r="U651" s="74"/>
      <c r="V651" s="74"/>
      <c r="W651" s="74"/>
      <c r="X651" s="74"/>
      <c r="Y651" s="74"/>
    </row>
    <row r="652" spans="1:25" x14ac:dyDescent="0.3">
      <c r="A652" s="66">
        <f t="shared" si="64"/>
        <v>2054.4999999999413</v>
      </c>
      <c r="B652" s="67">
        <f>LOOKUP(A652+0.01,Amounts!$A$4:$A$103,Amounts!$B$4:$B$103)*0.1*$A$2</f>
        <v>0</v>
      </c>
      <c r="C652" s="68">
        <f t="shared" si="69"/>
        <v>2992395.4285963499</v>
      </c>
      <c r="D652" s="67">
        <f t="array" ref="D652">SUM($B$7:$B647*$F$1009*EXP(-$F$1009*($A652-$A$7:$A647)))*$F$1010</f>
        <v>1460675.6337222231</v>
      </c>
      <c r="E652" s="67">
        <f t="shared" si="67"/>
        <v>2.7846491471575439</v>
      </c>
      <c r="F652" s="70">
        <f t="shared" si="65"/>
        <v>0.16908389621540607</v>
      </c>
      <c r="G652" s="67">
        <f>E652/'Lookup Tables'!$C$48</f>
        <v>5.5692982943150877</v>
      </c>
      <c r="H652" s="70">
        <f t="shared" si="68"/>
        <v>4.8911035545611188E-4</v>
      </c>
      <c r="I652" s="71">
        <f t="shared" si="66"/>
        <v>8.0197895438137261E-3</v>
      </c>
      <c r="L652" s="74"/>
      <c r="M652" s="74"/>
      <c r="N652" s="74"/>
      <c r="O652" s="74"/>
      <c r="P652" s="74"/>
      <c r="Q652" s="74"/>
      <c r="R652" s="74"/>
      <c r="S652" s="74"/>
      <c r="T652" s="74"/>
      <c r="U652" s="74"/>
      <c r="V652" s="74"/>
      <c r="W652" s="74"/>
      <c r="X652" s="74"/>
      <c r="Y652" s="74"/>
    </row>
    <row r="653" spans="1:25" x14ac:dyDescent="0.3">
      <c r="A653" s="66">
        <f t="shared" si="64"/>
        <v>2054.5999999999412</v>
      </c>
      <c r="B653" s="67">
        <f>LOOKUP(A653+0.01,Amounts!$A$4:$A$103,Amounts!$B$4:$B$103)*0.1*$A$2</f>
        <v>0</v>
      </c>
      <c r="C653" s="68">
        <f t="shared" si="69"/>
        <v>2992395.4285963499</v>
      </c>
      <c r="D653" s="67">
        <f t="array" ref="D653">SUM($B$7:$B648*$F$1009*EXP(-$F$1009*($A653-$A$7:$A648)))*$F$1010</f>
        <v>1440368.6553781021</v>
      </c>
      <c r="E653" s="67">
        <f t="shared" si="67"/>
        <v>2.7459356856457613</v>
      </c>
      <c r="F653" s="70">
        <f t="shared" si="65"/>
        <v>0.16673321483241063</v>
      </c>
      <c r="G653" s="67">
        <f>E653/'Lookup Tables'!$C$48</f>
        <v>5.4918713712915226</v>
      </c>
      <c r="H653" s="70">
        <f t="shared" si="68"/>
        <v>4.8231052038881359E-4</v>
      </c>
      <c r="I653" s="71">
        <f t="shared" si="66"/>
        <v>7.9082947746597927E-3</v>
      </c>
      <c r="L653" s="74"/>
      <c r="M653" s="74"/>
      <c r="N653" s="74"/>
      <c r="O653" s="74"/>
      <c r="P653" s="74"/>
      <c r="Q653" s="74"/>
      <c r="R653" s="74"/>
      <c r="S653" s="74"/>
      <c r="T653" s="74"/>
      <c r="U653" s="74"/>
      <c r="V653" s="74"/>
      <c r="W653" s="74"/>
      <c r="X653" s="74"/>
      <c r="Y653" s="74"/>
    </row>
    <row r="654" spans="1:25" x14ac:dyDescent="0.3">
      <c r="A654" s="66">
        <f t="shared" si="64"/>
        <v>2054.6999999999412</v>
      </c>
      <c r="B654" s="67">
        <f>LOOKUP(A654+0.01,Amounts!$A$4:$A$103,Amounts!$B$4:$B$103)*0.1*$A$2</f>
        <v>0</v>
      </c>
      <c r="C654" s="68">
        <f t="shared" si="69"/>
        <v>2992395.4285963499</v>
      </c>
      <c r="D654" s="67">
        <f t="array" ref="D654">SUM($B$7:$B649*$F$1009*EXP(-$F$1009*($A654-$A$7:$A649)))*$F$1010</f>
        <v>1420343.9939015652</v>
      </c>
      <c r="E654" s="67">
        <f t="shared" si="67"/>
        <v>2.7077604363190781</v>
      </c>
      <c r="F654" s="70">
        <f t="shared" si="65"/>
        <v>0.16441521369329445</v>
      </c>
      <c r="G654" s="67">
        <f>E654/'Lookup Tables'!$C$48</f>
        <v>5.4155208726381563</v>
      </c>
      <c r="H654" s="70">
        <f t="shared" si="68"/>
        <v>4.7560521972755818E-4</v>
      </c>
      <c r="I654" s="71">
        <f t="shared" si="66"/>
        <v>7.798350056598945E-3</v>
      </c>
      <c r="L654" s="74"/>
      <c r="M654" s="74"/>
      <c r="N654" s="74"/>
      <c r="O654" s="74"/>
      <c r="P654" s="74"/>
      <c r="Q654" s="74"/>
      <c r="R654" s="74"/>
      <c r="S654" s="74"/>
      <c r="T654" s="74"/>
      <c r="U654" s="74"/>
      <c r="V654" s="74"/>
      <c r="W654" s="74"/>
      <c r="X654" s="74"/>
      <c r="Y654" s="74"/>
    </row>
    <row r="655" spans="1:25" x14ac:dyDescent="0.3">
      <c r="A655" s="66">
        <f t="shared" si="64"/>
        <v>2054.7999999999411</v>
      </c>
      <c r="B655" s="67">
        <f>LOOKUP(A655+0.01,Amounts!$A$4:$A$103,Amounts!$B$4:$B$103)*0.1*$A$2</f>
        <v>0</v>
      </c>
      <c r="C655" s="68">
        <f t="shared" si="69"/>
        <v>2992395.4285963499</v>
      </c>
      <c r="D655" s="67">
        <f t="array" ref="D655">SUM($B$7:$B650*$F$1009*EXP(-$F$1009*($A655-$A$7:$A650)))*$F$1010</f>
        <v>1400597.7243948563</v>
      </c>
      <c r="E655" s="67">
        <f t="shared" si="67"/>
        <v>2.6701159167064117</v>
      </c>
      <c r="F655" s="70">
        <f t="shared" si="65"/>
        <v>0.16212943846241329</v>
      </c>
      <c r="G655" s="67">
        <f>E655/'Lookup Tables'!$C$48</f>
        <v>5.3402318334128234</v>
      </c>
      <c r="H655" s="70">
        <f t="shared" si="68"/>
        <v>4.6899313921194976E-4</v>
      </c>
      <c r="I655" s="71">
        <f t="shared" si="66"/>
        <v>7.6899338401144653E-3</v>
      </c>
      <c r="L655" s="74"/>
      <c r="M655" s="74"/>
      <c r="N655" s="74"/>
      <c r="O655" s="74"/>
      <c r="P655" s="74"/>
      <c r="Q655" s="74"/>
      <c r="R655" s="74"/>
      <c r="S655" s="74"/>
      <c r="T655" s="74"/>
      <c r="U655" s="74"/>
      <c r="V655" s="74"/>
      <c r="W655" s="74"/>
      <c r="X655" s="74"/>
      <c r="Y655" s="74"/>
    </row>
    <row r="656" spans="1:25" x14ac:dyDescent="0.3">
      <c r="A656" s="66">
        <f t="shared" si="64"/>
        <v>2054.899999999941</v>
      </c>
      <c r="B656" s="67">
        <f>LOOKUP(A656+0.01,Amounts!$A$4:$A$103,Amounts!$B$4:$B$103)*0.1*$A$2</f>
        <v>0</v>
      </c>
      <c r="C656" s="68">
        <f t="shared" si="69"/>
        <v>2992395.4285963499</v>
      </c>
      <c r="D656" s="67">
        <f t="array" ref="D656">SUM($B$7:$B651*$F$1009*EXP(-$F$1009*($A656-$A$7:$A651)))*$F$1010</f>
        <v>1381125.9765259381</v>
      </c>
      <c r="E656" s="67">
        <f t="shared" si="67"/>
        <v>2.6329947483614067</v>
      </c>
      <c r="F656" s="70">
        <f t="shared" si="65"/>
        <v>0.15987544112050464</v>
      </c>
      <c r="G656" s="67">
        <f>E656/'Lookup Tables'!$C$48</f>
        <v>5.2659894967228134</v>
      </c>
      <c r="H656" s="70">
        <f t="shared" si="68"/>
        <v>4.6247298285304018E-4</v>
      </c>
      <c r="I656" s="71">
        <f t="shared" si="66"/>
        <v>7.5830248752808511E-3</v>
      </c>
      <c r="L656" s="74"/>
      <c r="M656" s="74"/>
      <c r="N656" s="74"/>
      <c r="O656" s="74"/>
      <c r="P656" s="74"/>
      <c r="Q656" s="74"/>
      <c r="R656" s="74"/>
      <c r="S656" s="74"/>
      <c r="T656" s="74"/>
      <c r="U656" s="74"/>
      <c r="V656" s="74"/>
      <c r="W656" s="74"/>
      <c r="X656" s="74"/>
      <c r="Y656" s="74"/>
    </row>
    <row r="657" spans="1:25" x14ac:dyDescent="0.3">
      <c r="A657" s="66">
        <f t="shared" si="64"/>
        <v>2054.9999999999409</v>
      </c>
      <c r="B657" s="67">
        <f>LOOKUP(A657+0.01,Amounts!$A$4:$A$103,Amounts!$B$4:$B$103)*0.1*$A$2</f>
        <v>0</v>
      </c>
      <c r="C657" s="68">
        <f t="shared" si="69"/>
        <v>2992395.4285963499</v>
      </c>
      <c r="D657" s="67">
        <f t="array" ref="D657">SUM($B$7:$B652*$F$1009*EXP(-$F$1009*($A657-$A$7:$A652)))*$F$1010</f>
        <v>1361924.9337698924</v>
      </c>
      <c r="E657" s="67">
        <f t="shared" si="67"/>
        <v>2.5963896554162291</v>
      </c>
      <c r="F657" s="70">
        <f t="shared" si="65"/>
        <v>0.15765277987687343</v>
      </c>
      <c r="G657" s="67">
        <f>E657/'Lookup Tables'!$C$48</f>
        <v>5.1927793108324583</v>
      </c>
      <c r="H657" s="70">
        <f t="shared" si="68"/>
        <v>4.5604347267930948E-4</v>
      </c>
      <c r="I657" s="71">
        <f t="shared" si="66"/>
        <v>7.4776022075987393E-3</v>
      </c>
      <c r="L657" s="74"/>
      <c r="M657" s="74"/>
      <c r="N657" s="74"/>
      <c r="O657" s="74"/>
      <c r="P657" s="74"/>
      <c r="Q657" s="74"/>
      <c r="R657" s="74"/>
      <c r="S657" s="74"/>
      <c r="T657" s="74"/>
      <c r="U657" s="74"/>
      <c r="V657" s="74"/>
      <c r="W657" s="74"/>
      <c r="X657" s="74"/>
      <c r="Y657" s="74"/>
    </row>
    <row r="658" spans="1:25" x14ac:dyDescent="0.3">
      <c r="A658" s="66">
        <f t="shared" si="64"/>
        <v>2055.0999999999408</v>
      </c>
      <c r="B658" s="67">
        <f>LOOKUP(A658+0.01,Amounts!$A$4:$A$103,Amounts!$B$4:$B$103)*0.1*$A$2</f>
        <v>0</v>
      </c>
      <c r="C658" s="68">
        <f t="shared" si="69"/>
        <v>2992395.4285963499</v>
      </c>
      <c r="D658" s="67">
        <f t="array" ref="D658">SUM($B$7:$B653*$F$1009*EXP(-$F$1009*($A658-$A$7:$A653)))*$F$1010</f>
        <v>1342990.8326608685</v>
      </c>
      <c r="E658" s="67">
        <f t="shared" si="67"/>
        <v>2.5602934631554737</v>
      </c>
      <c r="F658" s="70">
        <f t="shared" si="65"/>
        <v>0.15546101908280036</v>
      </c>
      <c r="G658" s="67">
        <f>E658/'Lookup Tables'!$C$48</f>
        <v>5.1205869263109474</v>
      </c>
      <c r="H658" s="70">
        <f t="shared" si="68"/>
        <v>4.4970334848618026E-4</v>
      </c>
      <c r="I658" s="71">
        <f t="shared" si="66"/>
        <v>7.3736451738877643E-3</v>
      </c>
      <c r="L658" s="74"/>
      <c r="M658" s="74"/>
      <c r="N658" s="74"/>
      <c r="O658" s="74"/>
      <c r="P658" s="74"/>
      <c r="Q658" s="74"/>
      <c r="R658" s="74"/>
      <c r="S658" s="74"/>
      <c r="T658" s="74"/>
      <c r="U658" s="74"/>
      <c r="V658" s="74"/>
      <c r="W658" s="74"/>
      <c r="X658" s="74"/>
      <c r="Y658" s="74"/>
    </row>
    <row r="659" spans="1:25" x14ac:dyDescent="0.3">
      <c r="A659" s="66">
        <f t="shared" ref="A659:A722" si="70">A658+0.1</f>
        <v>2055.1999999999407</v>
      </c>
      <c r="B659" s="67">
        <f>LOOKUP(A659+0.01,Amounts!$A$4:$A$103,Amounts!$B$4:$B$103)*0.1*$A$2</f>
        <v>0</v>
      </c>
      <c r="C659" s="68">
        <f t="shared" si="69"/>
        <v>2992395.4285963499</v>
      </c>
      <c r="D659" s="67">
        <f t="array" ref="D659">SUM($B$7:$B654*$F$1009*EXP(-$F$1009*($A659-$A$7:$A654)))*$F$1010</f>
        <v>1324319.9620544356</v>
      </c>
      <c r="E659" s="67">
        <f t="shared" si="67"/>
        <v>2.5246990966099032</v>
      </c>
      <c r="F659" s="70">
        <f t="shared" ref="F659:F722" si="71">E659*60*1012/1000000</f>
        <v>0.15329972914615334</v>
      </c>
      <c r="G659" s="67">
        <f>E659/'Lookup Tables'!$C$48</f>
        <v>5.0493981932198064</v>
      </c>
      <c r="H659" s="70">
        <f t="shared" si="68"/>
        <v>4.4345136758901411E-4</v>
      </c>
      <c r="I659" s="71">
        <f t="shared" ref="I659:I722" si="72">G659*60*24/1000000</f>
        <v>7.271133398236521E-3</v>
      </c>
      <c r="L659" s="74"/>
      <c r="M659" s="74"/>
      <c r="N659" s="74"/>
      <c r="O659" s="74"/>
      <c r="P659" s="74"/>
      <c r="Q659" s="74"/>
      <c r="R659" s="74"/>
      <c r="S659" s="74"/>
      <c r="T659" s="74"/>
      <c r="U659" s="74"/>
      <c r="V659" s="74"/>
      <c r="W659" s="74"/>
      <c r="X659" s="74"/>
      <c r="Y659" s="74"/>
    </row>
    <row r="660" spans="1:25" x14ac:dyDescent="0.3">
      <c r="A660" s="66">
        <f t="shared" si="70"/>
        <v>2055.2999999999406</v>
      </c>
      <c r="B660" s="67">
        <f>LOOKUP(A660+0.01,Amounts!$A$4:$A$103,Amounts!$B$4:$B$103)*0.1*$A$2</f>
        <v>0</v>
      </c>
      <c r="C660" s="68">
        <f t="shared" si="69"/>
        <v>2992395.4285963499</v>
      </c>
      <c r="D660" s="67">
        <f t="array" ref="D660">SUM($B$7:$B655*$F$1009*EXP(-$F$1009*($A660-$A$7:$A655)))*$F$1010</f>
        <v>1305908.6624001823</v>
      </c>
      <c r="E660" s="67">
        <f t="shared" si="67"/>
        <v>2.4895995791697239</v>
      </c>
      <c r="F660" s="70">
        <f t="shared" si="71"/>
        <v>0.15116848644718567</v>
      </c>
      <c r="G660" s="67">
        <f>E660/'Lookup Tables'!$C$48</f>
        <v>4.9791991583394477</v>
      </c>
      <c r="H660" s="70">
        <f t="shared" si="68"/>
        <v>4.3728630457954019E-4</v>
      </c>
      <c r="I660" s="71">
        <f t="shared" si="72"/>
        <v>7.1700467880088051E-3</v>
      </c>
      <c r="L660" s="74"/>
      <c r="M660" s="74"/>
      <c r="N660" s="74"/>
      <c r="O660" s="74"/>
      <c r="P660" s="74"/>
      <c r="Q660" s="74"/>
      <c r="R660" s="74"/>
      <c r="S660" s="74"/>
      <c r="T660" s="74"/>
      <c r="U660" s="74"/>
      <c r="V660" s="74"/>
      <c r="W660" s="74"/>
      <c r="X660" s="74"/>
      <c r="Y660" s="74"/>
    </row>
    <row r="661" spans="1:25" x14ac:dyDescent="0.3">
      <c r="A661" s="66">
        <f t="shared" si="70"/>
        <v>2055.3999999999405</v>
      </c>
      <c r="B661" s="67">
        <f>LOOKUP(A661+0.01,Amounts!$A$4:$A$103,Amounts!$B$4:$B$103)*0.1*$A$2</f>
        <v>0</v>
      </c>
      <c r="C661" s="68">
        <f t="shared" si="69"/>
        <v>2992395.4285963499</v>
      </c>
      <c r="D661" s="67">
        <f t="array" ref="D661">SUM($B$7:$B656*$F$1009*EXP(-$F$1009*($A661-$A$7:$A656)))*$F$1010</f>
        <v>1287753.3250244346</v>
      </c>
      <c r="E661" s="67">
        <f t="shared" si="67"/>
        <v>2.4549880312171495</v>
      </c>
      <c r="F661" s="70">
        <f t="shared" si="71"/>
        <v>0.1490668732555053</v>
      </c>
      <c r="G661" s="67">
        <f>E661/'Lookup Tables'!$C$48</f>
        <v>4.909976062434299</v>
      </c>
      <c r="H661" s="70">
        <f t="shared" si="68"/>
        <v>4.312069510856717E-4</v>
      </c>
      <c r="I661" s="71">
        <f t="shared" si="72"/>
        <v>7.0703655299053907E-3</v>
      </c>
      <c r="L661" s="74"/>
      <c r="M661" s="74"/>
      <c r="N661" s="74"/>
      <c r="O661" s="74"/>
      <c r="P661" s="74"/>
      <c r="Q661" s="74"/>
      <c r="R661" s="74"/>
      <c r="S661" s="74"/>
      <c r="T661" s="74"/>
      <c r="U661" s="74"/>
      <c r="V661" s="74"/>
      <c r="W661" s="74"/>
      <c r="X661" s="74"/>
      <c r="Y661" s="74"/>
    </row>
    <row r="662" spans="1:25" x14ac:dyDescent="0.3">
      <c r="A662" s="66">
        <f t="shared" si="70"/>
        <v>2055.4999999999404</v>
      </c>
      <c r="B662" s="67">
        <f>LOOKUP(A662+0.01,Amounts!$A$4:$A$103,Amounts!$B$4:$B$103)*0.1*$A$2</f>
        <v>0</v>
      </c>
      <c r="C662" s="68">
        <f t="shared" si="69"/>
        <v>2992395.4285963499</v>
      </c>
      <c r="D662" s="67">
        <f t="array" ref="D662">SUM($B$7:$B657*$F$1009*EXP(-$F$1009*($A662-$A$7:$A657)))*$F$1010</f>
        <v>1269850.391422946</v>
      </c>
      <c r="E662" s="67">
        <f t="shared" si="67"/>
        <v>2.4208576687779799</v>
      </c>
      <c r="F662" s="70">
        <f t="shared" si="71"/>
        <v>0.14699447764819895</v>
      </c>
      <c r="G662" s="67">
        <f>E662/'Lookup Tables'!$C$48</f>
        <v>4.8417153375559598</v>
      </c>
      <c r="H662" s="70">
        <f t="shared" si="68"/>
        <v>4.2521211553466225E-4</v>
      </c>
      <c r="I662" s="71">
        <f t="shared" si="72"/>
        <v>6.9720700860805831E-3</v>
      </c>
      <c r="L662" s="74"/>
      <c r="M662" s="74"/>
      <c r="N662" s="74"/>
      <c r="O662" s="74"/>
      <c r="P662" s="74"/>
      <c r="Q662" s="74"/>
      <c r="R662" s="74"/>
      <c r="S662" s="74"/>
      <c r="T662" s="74"/>
      <c r="U662" s="74"/>
      <c r="V662" s="74"/>
      <c r="W662" s="74"/>
      <c r="X662" s="74"/>
      <c r="Y662" s="74"/>
    </row>
    <row r="663" spans="1:25" x14ac:dyDescent="0.3">
      <c r="A663" s="66">
        <f t="shared" si="70"/>
        <v>2055.5999999999403</v>
      </c>
      <c r="B663" s="67">
        <f>LOOKUP(A663+0.01,Amounts!$A$4:$A$103,Amounts!$B$4:$B$103)*0.1*$A$2</f>
        <v>0</v>
      </c>
      <c r="C663" s="68">
        <f t="shared" si="69"/>
        <v>2992395.4285963499</v>
      </c>
      <c r="D663" s="67">
        <f t="array" ref="D663">SUM($B$7:$B658*$F$1009*EXP(-$F$1009*($A663-$A$7:$A658)))*$F$1010</f>
        <v>1252196.3525634171</v>
      </c>
      <c r="E663" s="67">
        <f t="shared" si="67"/>
        <v>2.3872018021919135</v>
      </c>
      <c r="F663" s="70">
        <f t="shared" si="71"/>
        <v>0.14495089342909301</v>
      </c>
      <c r="G663" s="67">
        <f>E663/'Lookup Tables'!$C$48</f>
        <v>4.7744036043838269</v>
      </c>
      <c r="H663" s="70">
        <f t="shared" si="68"/>
        <v>4.1930062291955226E-4</v>
      </c>
      <c r="I663" s="71">
        <f t="shared" si="72"/>
        <v>6.8751411903127122E-3</v>
      </c>
      <c r="L663" s="74"/>
      <c r="M663" s="74"/>
      <c r="N663" s="74"/>
      <c r="O663" s="74"/>
      <c r="P663" s="74"/>
      <c r="Q663" s="74"/>
      <c r="R663" s="74"/>
      <c r="S663" s="74"/>
      <c r="T663" s="74"/>
      <c r="U663" s="74"/>
      <c r="V663" s="74"/>
      <c r="W663" s="74"/>
      <c r="X663" s="74"/>
      <c r="Y663" s="74"/>
    </row>
    <row r="664" spans="1:25" x14ac:dyDescent="0.3">
      <c r="A664" s="66">
        <f t="shared" si="70"/>
        <v>2055.6999999999402</v>
      </c>
      <c r="B664" s="67">
        <f>LOOKUP(A664+0.01,Amounts!$A$4:$A$103,Amounts!$B$4:$B$103)*0.1*$A$2</f>
        <v>0</v>
      </c>
      <c r="C664" s="68">
        <f t="shared" si="69"/>
        <v>2992395.4285963499</v>
      </c>
      <c r="D664" s="67">
        <f t="array" ref="D664">SUM($B$7:$B659*$F$1009*EXP(-$F$1009*($A664-$A$7:$A659)))*$F$1010</f>
        <v>1234787.7481977141</v>
      </c>
      <c r="E664" s="67">
        <f t="shared" si="67"/>
        <v>2.354013834801354</v>
      </c>
      <c r="F664" s="70">
        <f t="shared" si="71"/>
        <v>0.14293572004913821</v>
      </c>
      <c r="G664" s="67">
        <f>E664/'Lookup Tables'!$C$48</f>
        <v>4.7080276696027079</v>
      </c>
      <c r="H664" s="70">
        <f t="shared" si="68"/>
        <v>4.134713145688639E-4</v>
      </c>
      <c r="I664" s="71">
        <f t="shared" si="72"/>
        <v>6.7795598442278986E-3</v>
      </c>
      <c r="L664" s="74"/>
      <c r="M664" s="74"/>
      <c r="N664" s="74"/>
      <c r="O664" s="74"/>
      <c r="P664" s="74"/>
      <c r="Q664" s="74"/>
      <c r="R664" s="74"/>
      <c r="S664" s="74"/>
      <c r="T664" s="74"/>
      <c r="U664" s="74"/>
      <c r="V664" s="74"/>
      <c r="W664" s="74"/>
      <c r="X664" s="74"/>
      <c r="Y664" s="74"/>
    </row>
    <row r="665" spans="1:25" x14ac:dyDescent="0.3">
      <c r="A665" s="66">
        <f t="shared" si="70"/>
        <v>2055.7999999999402</v>
      </c>
      <c r="B665" s="67">
        <f>LOOKUP(A665+0.01,Amounts!$A$4:$A$103,Amounts!$B$4:$B$103)*0.1*$A$2</f>
        <v>0</v>
      </c>
      <c r="C665" s="68">
        <f t="shared" si="69"/>
        <v>2992395.4285963499</v>
      </c>
      <c r="D665" s="67">
        <f t="array" ref="D665">SUM($B$7:$B660*$F$1009*EXP(-$F$1009*($A665-$A$7:$A660)))*$F$1010</f>
        <v>1217621.1661836507</v>
      </c>
      <c r="E665" s="67">
        <f t="shared" si="67"/>
        <v>2.3212872616584477</v>
      </c>
      <c r="F665" s="70">
        <f t="shared" si="71"/>
        <v>0.14094856252790094</v>
      </c>
      <c r="G665" s="67">
        <f>E665/'Lookup Tables'!$C$48</f>
        <v>4.6425745233168954</v>
      </c>
      <c r="H665" s="70">
        <f t="shared" si="68"/>
        <v>4.0772304791949929E-4</v>
      </c>
      <c r="I665" s="71">
        <f t="shared" si="72"/>
        <v>6.6853073135763295E-3</v>
      </c>
      <c r="L665" s="74"/>
      <c r="M665" s="74"/>
      <c r="N665" s="74"/>
      <c r="O665" s="74"/>
      <c r="P665" s="74"/>
      <c r="Q665" s="74"/>
      <c r="R665" s="74"/>
      <c r="S665" s="74"/>
      <c r="T665" s="74"/>
      <c r="U665" s="74"/>
      <c r="V665" s="74"/>
      <c r="W665" s="74"/>
      <c r="X665" s="74"/>
      <c r="Y665" s="74"/>
    </row>
    <row r="666" spans="1:25" x14ac:dyDescent="0.3">
      <c r="A666" s="66">
        <f t="shared" si="70"/>
        <v>2055.8999999999401</v>
      </c>
      <c r="B666" s="67">
        <f>LOOKUP(A666+0.01,Amounts!$A$4:$A$103,Amounts!$B$4:$B$103)*0.1*$A$2</f>
        <v>0</v>
      </c>
      <c r="C666" s="68">
        <f t="shared" si="69"/>
        <v>2992395.4285963499</v>
      </c>
      <c r="D666" s="67">
        <f t="array" ref="D666">SUM($B$7:$B661*$F$1009*EXP(-$F$1009*($A666-$A$7:$A661)))*$F$1010</f>
        <v>1200693.2418161952</v>
      </c>
      <c r="E666" s="67">
        <f t="shared" si="67"/>
        <v>2.2890156682500873</v>
      </c>
      <c r="F666" s="70">
        <f t="shared" si="71"/>
        <v>0.13898903137614532</v>
      </c>
      <c r="G666" s="67">
        <f>E666/'Lookup Tables'!$C$48</f>
        <v>4.5780313365001746</v>
      </c>
      <c r="H666" s="70">
        <f t="shared" si="68"/>
        <v>4.0205469629279241E-4</v>
      </c>
      <c r="I666" s="71">
        <f t="shared" si="72"/>
        <v>6.5923651245602512E-3</v>
      </c>
      <c r="L666" s="74"/>
      <c r="M666" s="74"/>
      <c r="N666" s="74"/>
      <c r="O666" s="74"/>
      <c r="P666" s="74"/>
      <c r="Q666" s="74"/>
      <c r="R666" s="74"/>
      <c r="S666" s="74"/>
      <c r="T666" s="74"/>
      <c r="U666" s="74"/>
      <c r="V666" s="74"/>
      <c r="W666" s="74"/>
      <c r="X666" s="74"/>
      <c r="Y666" s="74"/>
    </row>
    <row r="667" spans="1:25" x14ac:dyDescent="0.3">
      <c r="A667" s="66">
        <f t="shared" si="70"/>
        <v>2055.99999999994</v>
      </c>
      <c r="B667" s="67">
        <f>LOOKUP(A667+0.01,Amounts!$A$4:$A$103,Amounts!$B$4:$B$103)*0.1*$A$2</f>
        <v>0</v>
      </c>
      <c r="C667" s="68">
        <f t="shared" si="69"/>
        <v>2992395.4285963499</v>
      </c>
      <c r="D667" s="67">
        <f t="array" ref="D667">SUM($B$7:$B662*$F$1009*EXP(-$F$1009*($A667-$A$7:$A662)))*$F$1010</f>
        <v>1184000.6571679797</v>
      </c>
      <c r="E667" s="67">
        <f t="shared" si="67"/>
        <v>2.2571927292406535</v>
      </c>
      <c r="F667" s="70">
        <f t="shared" si="71"/>
        <v>0.13705674251949246</v>
      </c>
      <c r="G667" s="67">
        <f>E667/'Lookup Tables'!$C$48</f>
        <v>4.514385458481307</v>
      </c>
      <c r="H667" s="70">
        <f t="shared" si="68"/>
        <v>3.9646514867367844E-4</v>
      </c>
      <c r="I667" s="71">
        <f t="shared" si="72"/>
        <v>6.5007150602130817E-3</v>
      </c>
      <c r="L667" s="74"/>
      <c r="M667" s="74"/>
      <c r="N667" s="74"/>
      <c r="O667" s="74"/>
      <c r="P667" s="74"/>
      <c r="Q667" s="74"/>
      <c r="R667" s="74"/>
      <c r="S667" s="74"/>
      <c r="T667" s="74"/>
      <c r="U667" s="74"/>
      <c r="V667" s="74"/>
      <c r="W667" s="74"/>
      <c r="X667" s="74"/>
      <c r="Y667" s="74"/>
    </row>
    <row r="668" spans="1:25" x14ac:dyDescent="0.3">
      <c r="A668" s="66">
        <f t="shared" si="70"/>
        <v>2056.0999999999399</v>
      </c>
      <c r="B668" s="67">
        <f>LOOKUP(A668+0.01,Amounts!$A$4:$A$103,Amounts!$B$4:$B$103)*0.1*$A$2</f>
        <v>0</v>
      </c>
      <c r="C668" s="68">
        <f t="shared" si="69"/>
        <v>2992395.4285963499</v>
      </c>
      <c r="D668" s="67">
        <f t="array" ref="D668">SUM($B$7:$B663*$F$1009*EXP(-$F$1009*($A668-$A$7:$A663)))*$F$1010</f>
        <v>1167540.1404389744</v>
      </c>
      <c r="E668" s="67">
        <f t="shared" si="67"/>
        <v>2.2258122072322237</v>
      </c>
      <c r="F668" s="70">
        <f t="shared" si="71"/>
        <v>0.13515131722314061</v>
      </c>
      <c r="G668" s="67">
        <f>E668/'Lookup Tables'!$C$48</f>
        <v>4.4516244144644475</v>
      </c>
      <c r="H668" s="70">
        <f t="shared" si="68"/>
        <v>3.9095330949292969E-4</v>
      </c>
      <c r="I668" s="71">
        <f t="shared" si="72"/>
        <v>6.4103391568288044E-3</v>
      </c>
      <c r="L668" s="74"/>
      <c r="M668" s="74"/>
      <c r="N668" s="74"/>
      <c r="O668" s="74"/>
      <c r="P668" s="74"/>
      <c r="Q668" s="74"/>
      <c r="R668" s="74"/>
      <c r="S668" s="74"/>
      <c r="T668" s="74"/>
      <c r="U668" s="74"/>
      <c r="V668" s="74"/>
      <c r="W668" s="74"/>
      <c r="X668" s="74"/>
      <c r="Y668" s="74"/>
    </row>
    <row r="669" spans="1:25" x14ac:dyDescent="0.3">
      <c r="A669" s="66">
        <f t="shared" si="70"/>
        <v>2056.1999999999398</v>
      </c>
      <c r="B669" s="67">
        <f>LOOKUP(A669+0.01,Amounts!$A$4:$A$103,Amounts!$B$4:$B$103)*0.1*$A$2</f>
        <v>0</v>
      </c>
      <c r="C669" s="68">
        <f t="shared" si="69"/>
        <v>2992395.4285963499</v>
      </c>
      <c r="D669" s="67">
        <f t="array" ref="D669">SUM($B$7:$B664*$F$1009*EXP(-$F$1009*($A669-$A$7:$A664)))*$F$1010</f>
        <v>1151308.4653152043</v>
      </c>
      <c r="E669" s="67">
        <f t="shared" si="67"/>
        <v>2.1948679515420242</v>
      </c>
      <c r="F669" s="70">
        <f t="shared" si="71"/>
        <v>0.13327238201763172</v>
      </c>
      <c r="G669" s="67">
        <f>E669/'Lookup Tables'!$C$48</f>
        <v>4.3897359030840484</v>
      </c>
      <c r="H669" s="70">
        <f t="shared" si="68"/>
        <v>3.8551809841242155E-4</v>
      </c>
      <c r="I669" s="71">
        <f t="shared" si="72"/>
        <v>6.3212197004410301E-3</v>
      </c>
      <c r="L669" s="74"/>
      <c r="M669" s="74"/>
      <c r="N669" s="74"/>
      <c r="O669" s="74"/>
      <c r="P669" s="74"/>
      <c r="Q669" s="74"/>
      <c r="R669" s="74"/>
      <c r="S669" s="74"/>
      <c r="T669" s="74"/>
      <c r="U669" s="74"/>
      <c r="V669" s="74"/>
      <c r="W669" s="74"/>
      <c r="X669" s="74"/>
      <c r="Y669" s="74"/>
    </row>
    <row r="670" spans="1:25" x14ac:dyDescent="0.3">
      <c r="A670" s="66">
        <f t="shared" si="70"/>
        <v>2056.2999999999397</v>
      </c>
      <c r="B670" s="67">
        <f>LOOKUP(A670+0.01,Amounts!$A$4:$A$103,Amounts!$B$4:$B$103)*0.1*$A$2</f>
        <v>0</v>
      </c>
      <c r="C670" s="68">
        <f t="shared" si="69"/>
        <v>2992395.4285963499</v>
      </c>
      <c r="D670" s="67">
        <f t="array" ref="D670">SUM($B$7:$B665*$F$1009*EXP(-$F$1009*($A670-$A$7:$A665)))*$F$1010</f>
        <v>1135302.4503363816</v>
      </c>
      <c r="E670" s="67">
        <f t="shared" si="67"/>
        <v>2.1643538969968756</v>
      </c>
      <c r="F670" s="70">
        <f t="shared" si="71"/>
        <v>0.13141956862565027</v>
      </c>
      <c r="G670" s="67">
        <f>E670/'Lookup Tables'!$C$48</f>
        <v>4.3287077939937513</v>
      </c>
      <c r="H670" s="70">
        <f t="shared" si="68"/>
        <v>3.8015845011338202E-4</v>
      </c>
      <c r="I670" s="71">
        <f t="shared" si="72"/>
        <v>6.233339223351001E-3</v>
      </c>
      <c r="L670" s="74"/>
      <c r="M670" s="74"/>
      <c r="N670" s="74"/>
      <c r="O670" s="74"/>
      <c r="P670" s="74"/>
      <c r="Q670" s="74"/>
      <c r="R670" s="74"/>
      <c r="S670" s="74"/>
      <c r="T670" s="74"/>
      <c r="U670" s="74"/>
      <c r="V670" s="74"/>
      <c r="W670" s="74"/>
      <c r="X670" s="74"/>
      <c r="Y670" s="74"/>
    </row>
    <row r="671" spans="1:25" x14ac:dyDescent="0.3">
      <c r="A671" s="66">
        <f t="shared" si="70"/>
        <v>2056.3999999999396</v>
      </c>
      <c r="B671" s="67">
        <f>LOOKUP(A671+0.01,Amounts!$A$4:$A$103,Amounts!$B$4:$B$103)*0.1*$A$2</f>
        <v>0</v>
      </c>
      <c r="C671" s="68">
        <f t="shared" si="69"/>
        <v>2992395.4285963499</v>
      </c>
      <c r="D671" s="67">
        <f t="array" ref="D671">SUM($B$7:$B666*$F$1009*EXP(-$F$1009*($A671-$A$7:$A666)))*$F$1010</f>
        <v>1119518.95827233</v>
      </c>
      <c r="E671" s="67">
        <f t="shared" si="67"/>
        <v>2.1342640627444016</v>
      </c>
      <c r="F671" s="70">
        <f t="shared" si="71"/>
        <v>0.12959251388984008</v>
      </c>
      <c r="G671" s="67">
        <f>E671/'Lookup Tables'!$C$48</f>
        <v>4.2685281254888032</v>
      </c>
      <c r="H671" s="70">
        <f t="shared" si="68"/>
        <v>3.7487331408758652E-4</v>
      </c>
      <c r="I671" s="71">
        <f t="shared" si="72"/>
        <v>6.1466805007038766E-3</v>
      </c>
      <c r="L671" s="74"/>
      <c r="M671" s="74"/>
      <c r="N671" s="74"/>
      <c r="O671" s="74"/>
      <c r="P671" s="74"/>
      <c r="Q671" s="74"/>
      <c r="R671" s="74"/>
      <c r="S671" s="74"/>
      <c r="T671" s="74"/>
      <c r="U671" s="74"/>
      <c r="V671" s="74"/>
      <c r="W671" s="74"/>
      <c r="X671" s="74"/>
      <c r="Y671" s="74"/>
    </row>
    <row r="672" spans="1:25" x14ac:dyDescent="0.3">
      <c r="A672" s="66">
        <f t="shared" si="70"/>
        <v>2056.4999999999395</v>
      </c>
      <c r="B672" s="67">
        <f>LOOKUP(A672+0.01,Amounts!$A$4:$A$103,Amounts!$B$4:$B$103)*0.1*$A$2</f>
        <v>0</v>
      </c>
      <c r="C672" s="68">
        <f t="shared" si="69"/>
        <v>2992395.4285963499</v>
      </c>
      <c r="D672" s="67">
        <f t="array" ref="D672">SUM($B$7:$B667*$F$1009*EXP(-$F$1009*($A672-$A$7:$A667)))*$F$1010</f>
        <v>1103954.8955080761</v>
      </c>
      <c r="E672" s="67">
        <f t="shared" si="67"/>
        <v>2.1045925510807599</v>
      </c>
      <c r="F672" s="70">
        <f t="shared" si="71"/>
        <v>0.12779085970162374</v>
      </c>
      <c r="G672" s="67">
        <f>E672/'Lookup Tables'!$C$48</f>
        <v>4.2091851021615199</v>
      </c>
      <c r="H672" s="70">
        <f t="shared" si="68"/>
        <v>3.6966165443145431E-4</v>
      </c>
      <c r="I672" s="71">
        <f t="shared" si="72"/>
        <v>6.0612265471125882E-3</v>
      </c>
      <c r="L672" s="74"/>
      <c r="M672" s="74"/>
      <c r="N672" s="74"/>
      <c r="O672" s="74"/>
      <c r="P672" s="74"/>
      <c r="Q672" s="74"/>
      <c r="R672" s="74"/>
      <c r="S672" s="74"/>
      <c r="T672" s="74"/>
      <c r="U672" s="74"/>
      <c r="V672" s="74"/>
      <c r="W672" s="74"/>
      <c r="X672" s="74"/>
      <c r="Y672" s="74"/>
    </row>
    <row r="673" spans="1:25" x14ac:dyDescent="0.3">
      <c r="A673" s="66">
        <f t="shared" si="70"/>
        <v>2056.5999999999394</v>
      </c>
      <c r="B673" s="67">
        <f>LOOKUP(A673+0.01,Amounts!$A$4:$A$103,Amounts!$B$4:$B$103)*0.1*$A$2</f>
        <v>0</v>
      </c>
      <c r="C673" s="68">
        <f t="shared" si="69"/>
        <v>2992395.4285963499</v>
      </c>
      <c r="D673" s="67">
        <f t="array" ref="D673">SUM($B$7:$B668*$F$1009*EXP(-$F$1009*($A673-$A$7:$A668)))*$F$1010</f>
        <v>1088607.2114374922</v>
      </c>
      <c r="E673" s="67">
        <f t="shared" si="67"/>
        <v>2.0753335462946754</v>
      </c>
      <c r="F673" s="70">
        <f t="shared" si="71"/>
        <v>0.12601425293101268</v>
      </c>
      <c r="G673" s="67">
        <f>E673/'Lookup Tables'!$C$48</f>
        <v>4.1506670925893507</v>
      </c>
      <c r="H673" s="70">
        <f t="shared" si="68"/>
        <v>3.6452244964300836E-4</v>
      </c>
      <c r="I673" s="71">
        <f t="shared" si="72"/>
        <v>5.9769606133286655E-3</v>
      </c>
      <c r="L673" s="74"/>
      <c r="M673" s="74"/>
      <c r="N673" s="74"/>
      <c r="O673" s="74"/>
      <c r="P673" s="74"/>
      <c r="Q673" s="74"/>
      <c r="R673" s="74"/>
      <c r="S673" s="74"/>
      <c r="T673" s="74"/>
      <c r="U673" s="74"/>
      <c r="V673" s="74"/>
      <c r="W673" s="74"/>
      <c r="X673" s="74"/>
      <c r="Y673" s="74"/>
    </row>
    <row r="674" spans="1:25" x14ac:dyDescent="0.3">
      <c r="A674" s="66">
        <f t="shared" si="70"/>
        <v>2056.6999999999393</v>
      </c>
      <c r="B674" s="67">
        <f>LOOKUP(A674+0.01,Amounts!$A$4:$A$103,Amounts!$B$4:$B$103)*0.1*$A$2</f>
        <v>0</v>
      </c>
      <c r="C674" s="68">
        <f t="shared" si="69"/>
        <v>2992395.4285963499</v>
      </c>
      <c r="D674" s="67">
        <f t="array" ref="D674">SUM($B$7:$B669*$F$1009*EXP(-$F$1009*($A674-$A$7:$A669)))*$F$1010</f>
        <v>1073472.8978653669</v>
      </c>
      <c r="E674" s="67">
        <f t="shared" si="67"/>
        <v>2.0464813135275426</v>
      </c>
      <c r="F674" s="70">
        <f t="shared" si="71"/>
        <v>0.12426234535739238</v>
      </c>
      <c r="G674" s="67">
        <f>E674/'Lookup Tables'!$C$48</f>
        <v>4.0929626270550852</v>
      </c>
      <c r="H674" s="70">
        <f t="shared" si="68"/>
        <v>3.5945469242165798E-4</v>
      </c>
      <c r="I674" s="71">
        <f t="shared" si="72"/>
        <v>5.8938661829593224E-3</v>
      </c>
      <c r="L674" s="74"/>
      <c r="M674" s="74"/>
      <c r="N674" s="74"/>
      <c r="O674" s="74"/>
      <c r="P674" s="74"/>
      <c r="Q674" s="74"/>
      <c r="R674" s="74"/>
      <c r="S674" s="74"/>
      <c r="T674" s="74"/>
      <c r="U674" s="74"/>
      <c r="V674" s="74"/>
      <c r="W674" s="74"/>
      <c r="X674" s="74"/>
      <c r="Y674" s="74"/>
    </row>
    <row r="675" spans="1:25" x14ac:dyDescent="0.3">
      <c r="A675" s="66">
        <f t="shared" si="70"/>
        <v>2056.7999999999392</v>
      </c>
      <c r="B675" s="67">
        <f>LOOKUP(A675+0.01,Amounts!$A$4:$A$103,Amounts!$B$4:$B$103)*0.1*$A$2</f>
        <v>0</v>
      </c>
      <c r="C675" s="68">
        <f t="shared" si="69"/>
        <v>2992395.4285963499</v>
      </c>
      <c r="D675" s="67">
        <f t="array" ref="D675">SUM($B$7:$B670*$F$1009*EXP(-$F$1009*($A675-$A$7:$A670)))*$F$1010</f>
        <v>1058548.9884177896</v>
      </c>
      <c r="E675" s="67">
        <f t="shared" si="67"/>
        <v>2.0180301976493711</v>
      </c>
      <c r="F675" s="70">
        <f t="shared" si="71"/>
        <v>0.12253479360126981</v>
      </c>
      <c r="G675" s="67">
        <f>E675/'Lookup Tables'!$C$48</f>
        <v>4.0360603952987422</v>
      </c>
      <c r="H675" s="70">
        <f t="shared" si="68"/>
        <v>3.5445738947076382E-4</v>
      </c>
      <c r="I675" s="71">
        <f t="shared" si="72"/>
        <v>5.8119269692301885E-3</v>
      </c>
      <c r="L675" s="74"/>
      <c r="M675" s="74"/>
      <c r="N675" s="74"/>
      <c r="O675" s="74"/>
      <c r="P675" s="74"/>
      <c r="Q675" s="74"/>
      <c r="R675" s="74"/>
      <c r="S675" s="74"/>
      <c r="T675" s="74"/>
      <c r="U675" s="74"/>
      <c r="V675" s="74"/>
      <c r="W675" s="74"/>
      <c r="X675" s="74"/>
      <c r="Y675" s="74"/>
    </row>
    <row r="676" spans="1:25" x14ac:dyDescent="0.3">
      <c r="A676" s="66">
        <f t="shared" si="70"/>
        <v>2056.8999999999392</v>
      </c>
      <c r="B676" s="67">
        <f>LOOKUP(A676+0.01,Amounts!$A$4:$A$103,Amounts!$B$4:$B$103)*0.1*$A$2</f>
        <v>0</v>
      </c>
      <c r="C676" s="68">
        <f t="shared" si="69"/>
        <v>2992395.4285963499</v>
      </c>
      <c r="D676" s="67">
        <f t="array" ref="D676">SUM($B$7:$B671*$F$1009*EXP(-$F$1009*($A676-$A$7:$A671)))*$F$1010</f>
        <v>1043832.5579607321</v>
      </c>
      <c r="E676" s="67">
        <f t="shared" si="67"/>
        <v>1.9899746221503678</v>
      </c>
      <c r="F676" s="70">
        <f t="shared" si="71"/>
        <v>0.12083125905697033</v>
      </c>
      <c r="G676" s="67">
        <f>E676/'Lookup Tables'!$C$48</f>
        <v>3.9799492443007356</v>
      </c>
      <c r="H676" s="70">
        <f t="shared" si="68"/>
        <v>3.4952956130294944E-4</v>
      </c>
      <c r="I676" s="71">
        <f t="shared" si="72"/>
        <v>5.7311269117930599E-3</v>
      </c>
      <c r="L676" s="74"/>
      <c r="M676" s="74"/>
      <c r="N676" s="74"/>
      <c r="O676" s="74"/>
      <c r="P676" s="74"/>
      <c r="Q676" s="74"/>
      <c r="R676" s="74"/>
      <c r="S676" s="74"/>
      <c r="T676" s="74"/>
      <c r="U676" s="74"/>
      <c r="V676" s="74"/>
      <c r="W676" s="74"/>
      <c r="X676" s="74"/>
      <c r="Y676" s="74"/>
    </row>
    <row r="677" spans="1:25" x14ac:dyDescent="0.3">
      <c r="A677" s="66">
        <f t="shared" si="70"/>
        <v>2056.9999999999391</v>
      </c>
      <c r="B677" s="67">
        <f>LOOKUP(A677+0.01,Amounts!$A$4:$A$103,Amounts!$B$4:$B$103)*0.1*$A$2</f>
        <v>0</v>
      </c>
      <c r="C677" s="68">
        <f t="shared" si="69"/>
        <v>2992395.4285963499</v>
      </c>
      <c r="D677" s="67">
        <f t="array" ref="D677">SUM($B$7:$B672*$F$1009*EXP(-$F$1009*($A677-$A$7:$A672)))*$F$1010</f>
        <v>1029320.7220267126</v>
      </c>
      <c r="E677" s="67">
        <f t="shared" si="67"/>
        <v>1.9623090880479195</v>
      </c>
      <c r="F677" s="70">
        <f t="shared" si="71"/>
        <v>0.11915140782626966</v>
      </c>
      <c r="G677" s="67">
        <f>E677/'Lookup Tables'!$C$48</f>
        <v>3.924618176095839</v>
      </c>
      <c r="H677" s="70">
        <f t="shared" si="68"/>
        <v>3.4467024204811825E-4</v>
      </c>
      <c r="I677" s="71">
        <f t="shared" si="72"/>
        <v>5.6514501735780076E-3</v>
      </c>
      <c r="L677" s="74"/>
      <c r="M677" s="74"/>
      <c r="N677" s="74"/>
      <c r="O677" s="74"/>
      <c r="P677" s="74"/>
      <c r="Q677" s="74"/>
      <c r="R677" s="74"/>
      <c r="S677" s="74"/>
      <c r="T677" s="74"/>
      <c r="U677" s="74"/>
      <c r="V677" s="74"/>
      <c r="W677" s="74"/>
      <c r="X677" s="74"/>
      <c r="Y677" s="74"/>
    </row>
    <row r="678" spans="1:25" x14ac:dyDescent="0.3">
      <c r="A678" s="66">
        <f t="shared" si="70"/>
        <v>2057.099999999939</v>
      </c>
      <c r="B678" s="67">
        <f>LOOKUP(A678+0.01,Amounts!$A$4:$A$103,Amounts!$B$4:$B$103)*0.1*$A$2</f>
        <v>0</v>
      </c>
      <c r="C678" s="68">
        <f t="shared" si="69"/>
        <v>2992395.4285963499</v>
      </c>
      <c r="D678" s="67">
        <f t="array" ref="D678">SUM($B$7:$B673*$F$1009*EXP(-$F$1009*($A678-$A$7:$A673)))*$F$1010</f>
        <v>1015010.6362494302</v>
      </c>
      <c r="E678" s="67">
        <f t="shared" si="67"/>
        <v>1.9350281728087741</v>
      </c>
      <c r="F678" s="70">
        <f t="shared" si="71"/>
        <v>0.11749491065294876</v>
      </c>
      <c r="G678" s="67">
        <f>E678/'Lookup Tables'!$C$48</f>
        <v>3.8700563456175483</v>
      </c>
      <c r="H678" s="70">
        <f t="shared" si="68"/>
        <v>3.3987847926413999E-4</v>
      </c>
      <c r="I678" s="71">
        <f t="shared" si="72"/>
        <v>5.5728811376892697E-3</v>
      </c>
      <c r="L678" s="74"/>
      <c r="M678" s="74"/>
      <c r="N678" s="74"/>
      <c r="O678" s="74"/>
      <c r="P678" s="74"/>
      <c r="Q678" s="74"/>
      <c r="R678" s="74"/>
      <c r="S678" s="74"/>
      <c r="T678" s="74"/>
      <c r="U678" s="74"/>
      <c r="V678" s="74"/>
      <c r="W678" s="74"/>
      <c r="X678" s="74"/>
      <c r="Y678" s="74"/>
    </row>
    <row r="679" spans="1:25" x14ac:dyDescent="0.3">
      <c r="A679" s="66">
        <f t="shared" si="70"/>
        <v>2057.1999999999389</v>
      </c>
      <c r="B679" s="67">
        <f>LOOKUP(A679+0.01,Amounts!$A$4:$A$103,Amounts!$B$4:$B$103)*0.1*$A$2</f>
        <v>0</v>
      </c>
      <c r="C679" s="68">
        <f t="shared" si="69"/>
        <v>2992395.4285963499</v>
      </c>
      <c r="D679" s="67">
        <f t="array" ref="D679">SUM($B$7:$B674*$F$1009*EXP(-$F$1009*($A679-$A$7:$A674)))*$F$1010</f>
        <v>1000899.4958062611</v>
      </c>
      <c r="E679" s="67">
        <f t="shared" si="67"/>
        <v>1.9081265292862095</v>
      </c>
      <c r="F679" s="70">
        <f t="shared" si="71"/>
        <v>0.11586144285825864</v>
      </c>
      <c r="G679" s="67">
        <f>E679/'Lookup Tables'!$C$48</f>
        <v>3.816253058572419</v>
      </c>
      <c r="H679" s="70">
        <f t="shared" si="68"/>
        <v>3.3515333375016876E-4</v>
      </c>
      <c r="I679" s="71">
        <f t="shared" si="72"/>
        <v>5.4954044043442826E-3</v>
      </c>
      <c r="L679" s="74"/>
      <c r="M679" s="74"/>
      <c r="N679" s="74"/>
      <c r="O679" s="74"/>
      <c r="P679" s="74"/>
      <c r="Q679" s="74"/>
      <c r="R679" s="74"/>
      <c r="S679" s="74"/>
      <c r="T679" s="74"/>
      <c r="U679" s="74"/>
      <c r="V679" s="74"/>
      <c r="W679" s="74"/>
      <c r="X679" s="74"/>
      <c r="Y679" s="74"/>
    </row>
    <row r="680" spans="1:25" x14ac:dyDescent="0.3">
      <c r="A680" s="66">
        <f t="shared" si="70"/>
        <v>2057.2999999999388</v>
      </c>
      <c r="B680" s="67">
        <f>LOOKUP(A680+0.01,Amounts!$A$4:$A$103,Amounts!$B$4:$B$103)*0.1*$A$2</f>
        <v>0</v>
      </c>
      <c r="C680" s="68">
        <f t="shared" si="69"/>
        <v>2992395.4285963499</v>
      </c>
      <c r="D680" s="67">
        <f t="array" ref="D680">SUM($B$7:$B675*$F$1009*EXP(-$F$1009*($A680-$A$7:$A675)))*$F$1010</f>
        <v>986984.53486850322</v>
      </c>
      <c r="E680" s="67">
        <f t="shared" si="67"/>
        <v>1.8815988846719731</v>
      </c>
      <c r="F680" s="70">
        <f t="shared" si="71"/>
        <v>0.11425068427728222</v>
      </c>
      <c r="G680" s="67">
        <f>E680/'Lookup Tables'!$C$48</f>
        <v>3.7631977693439462</v>
      </c>
      <c r="H680" s="70">
        <f t="shared" si="68"/>
        <v>3.3049387936255696E-4</v>
      </c>
      <c r="I680" s="71">
        <f t="shared" si="72"/>
        <v>5.4190047878552826E-3</v>
      </c>
      <c r="L680" s="74"/>
      <c r="M680" s="74"/>
      <c r="N680" s="74"/>
      <c r="O680" s="74"/>
      <c r="P680" s="74"/>
      <c r="Q680" s="74"/>
      <c r="R680" s="74"/>
      <c r="S680" s="74"/>
      <c r="T680" s="74"/>
      <c r="U680" s="74"/>
      <c r="V680" s="74"/>
      <c r="W680" s="74"/>
      <c r="X680" s="74"/>
      <c r="Y680" s="74"/>
    </row>
    <row r="681" spans="1:25" x14ac:dyDescent="0.3">
      <c r="A681" s="66">
        <f t="shared" si="70"/>
        <v>2057.3999999999387</v>
      </c>
      <c r="B681" s="67">
        <f>LOOKUP(A681+0.01,Amounts!$A$4:$A$103,Amounts!$B$4:$B$103)*0.1*$A$2</f>
        <v>0</v>
      </c>
      <c r="C681" s="68">
        <f t="shared" si="69"/>
        <v>2992395.4285963499</v>
      </c>
      <c r="D681" s="67">
        <f t="array" ref="D681">SUM($B$7:$B676*$F$1009*EXP(-$F$1009*($A681-$A$7:$A676)))*$F$1010</f>
        <v>973263.02605926641</v>
      </c>
      <c r="E681" s="67">
        <f t="shared" si="67"/>
        <v>1.8554400394627959</v>
      </c>
      <c r="F681" s="70">
        <f t="shared" si="71"/>
        <v>0.11266231919618097</v>
      </c>
      <c r="G681" s="67">
        <f>E681/'Lookup Tables'!$C$48</f>
        <v>3.7108800789255918</v>
      </c>
      <c r="H681" s="70">
        <f t="shared" si="68"/>
        <v>3.2589920283332809E-4</v>
      </c>
      <c r="I681" s="71">
        <f t="shared" si="72"/>
        <v>5.3436673136528527E-3</v>
      </c>
      <c r="L681" s="74"/>
      <c r="M681" s="74"/>
      <c r="N681" s="74"/>
      <c r="O681" s="74"/>
      <c r="P681" s="74"/>
      <c r="Q681" s="74"/>
      <c r="R681" s="74"/>
      <c r="S681" s="74"/>
      <c r="T681" s="74"/>
      <c r="U681" s="74"/>
      <c r="V681" s="74"/>
      <c r="W681" s="74"/>
      <c r="X681" s="74"/>
      <c r="Y681" s="74"/>
    </row>
    <row r="682" spans="1:25" x14ac:dyDescent="0.3">
      <c r="A682" s="66">
        <f t="shared" si="70"/>
        <v>2057.4999999999386</v>
      </c>
      <c r="B682" s="67">
        <f>LOOKUP(A682+0.01,Amounts!$A$4:$A$103,Amounts!$B$4:$B$103)*0.1*$A$2</f>
        <v>0</v>
      </c>
      <c r="C682" s="68">
        <f t="shared" si="69"/>
        <v>2992395.4285963499</v>
      </c>
      <c r="D682" s="67">
        <f t="array" ref="D682">SUM($B$7:$B677*$F$1009*EXP(-$F$1009*($A682-$A$7:$A677)))*$F$1010</f>
        <v>959732.27991889662</v>
      </c>
      <c r="E682" s="67">
        <f t="shared" si="67"/>
        <v>1.8296448664412741</v>
      </c>
      <c r="F682" s="70">
        <f t="shared" si="71"/>
        <v>0.11109603629031417</v>
      </c>
      <c r="G682" s="67">
        <f>E682/'Lookup Tables'!$C$48</f>
        <v>3.6592897328825482</v>
      </c>
      <c r="H682" s="70">
        <f t="shared" si="68"/>
        <v>3.2136840359117328E-4</v>
      </c>
      <c r="I682" s="71">
        <f t="shared" si="72"/>
        <v>5.2693772153508686E-3</v>
      </c>
      <c r="L682" s="74"/>
      <c r="M682" s="74"/>
      <c r="N682" s="74"/>
      <c r="O682" s="74"/>
      <c r="P682" s="74"/>
      <c r="Q682" s="74"/>
      <c r="R682" s="74"/>
      <c r="S682" s="74"/>
      <c r="T682" s="74"/>
      <c r="U682" s="74"/>
      <c r="V682" s="74"/>
      <c r="W682" s="74"/>
      <c r="X682" s="74"/>
      <c r="Y682" s="74"/>
    </row>
    <row r="683" spans="1:25" x14ac:dyDescent="0.3">
      <c r="A683" s="66">
        <f t="shared" si="70"/>
        <v>2057.5999999999385</v>
      </c>
      <c r="B683" s="67">
        <f>LOOKUP(A683+0.01,Amounts!$A$4:$A$103,Amounts!$B$4:$B$103)*0.1*$A$2</f>
        <v>0</v>
      </c>
      <c r="C683" s="68">
        <f t="shared" si="69"/>
        <v>2992395.4285963499</v>
      </c>
      <c r="D683" s="67">
        <f t="array" ref="D683">SUM($B$7:$B678*$F$1009*EXP(-$F$1009*($A683-$A$7:$A678)))*$F$1010</f>
        <v>946389.64437783347</v>
      </c>
      <c r="E683" s="67">
        <f t="shared" si="67"/>
        <v>1.8042083096709149</v>
      </c>
      <c r="F683" s="70">
        <f t="shared" si="71"/>
        <v>0.10955152856321795</v>
      </c>
      <c r="G683" s="67">
        <f>E683/'Lookup Tables'!$C$48</f>
        <v>3.6084166193418299</v>
      </c>
      <c r="H683" s="70">
        <f t="shared" si="68"/>
        <v>3.1690059358493625E-4</v>
      </c>
      <c r="I683" s="71">
        <f t="shared" si="72"/>
        <v>5.196119931852235E-3</v>
      </c>
      <c r="L683" s="74"/>
      <c r="M683" s="74"/>
      <c r="N683" s="74"/>
      <c r="O683" s="74"/>
      <c r="P683" s="74"/>
      <c r="Q683" s="74"/>
      <c r="R683" s="74"/>
      <c r="S683" s="74"/>
      <c r="T683" s="74"/>
      <c r="U683" s="74"/>
      <c r="V683" s="74"/>
      <c r="W683" s="74"/>
      <c r="X683" s="74"/>
      <c r="Y683" s="74"/>
    </row>
    <row r="684" spans="1:25" x14ac:dyDescent="0.3">
      <c r="A684" s="66">
        <f t="shared" si="70"/>
        <v>2057.6999999999384</v>
      </c>
      <c r="B684" s="67">
        <f>LOOKUP(A684+0.01,Amounts!$A$4:$A$103,Amounts!$B$4:$B$103)*0.1*$A$2</f>
        <v>0</v>
      </c>
      <c r="C684" s="68">
        <f t="shared" si="69"/>
        <v>2992395.4285963499</v>
      </c>
      <c r="D684" s="67">
        <f t="array" ref="D684">SUM($B$7:$B679*$F$1009*EXP(-$F$1009*($A684-$A$7:$A679)))*$F$1010</f>
        <v>933232.50423679675</v>
      </c>
      <c r="E684" s="67">
        <f t="shared" si="67"/>
        <v>1.7791253835051613</v>
      </c>
      <c r="F684" s="70">
        <f t="shared" si="71"/>
        <v>0.10802849328643339</v>
      </c>
      <c r="G684" s="67">
        <f>E684/'Lookup Tables'!$C$48</f>
        <v>3.5582507670103225</v>
      </c>
      <c r="H684" s="70">
        <f t="shared" si="68"/>
        <v>3.124948971095529E-4</v>
      </c>
      <c r="I684" s="71">
        <f t="shared" si="72"/>
        <v>5.1238811044948644E-3</v>
      </c>
      <c r="L684" s="74"/>
      <c r="M684" s="74"/>
      <c r="N684" s="74"/>
      <c r="O684" s="74"/>
      <c r="P684" s="74"/>
      <c r="Q684" s="74"/>
      <c r="R684" s="74"/>
      <c r="S684" s="74"/>
      <c r="T684" s="74"/>
      <c r="U684" s="74"/>
      <c r="V684" s="74"/>
      <c r="W684" s="74"/>
      <c r="X684" s="74"/>
      <c r="Y684" s="74"/>
    </row>
    <row r="685" spans="1:25" x14ac:dyDescent="0.3">
      <c r="A685" s="66">
        <f t="shared" si="70"/>
        <v>2057.7999999999383</v>
      </c>
      <c r="B685" s="67">
        <f>LOOKUP(A685+0.01,Amounts!$A$4:$A$103,Amounts!$B$4:$B$103)*0.1*$A$2</f>
        <v>0</v>
      </c>
      <c r="C685" s="68">
        <f t="shared" si="69"/>
        <v>2992395.4285963499</v>
      </c>
      <c r="D685" s="67">
        <f t="array" ref="D685">SUM($B$7:$B680*$F$1009*EXP(-$F$1009*($A685-$A$7:$A680)))*$F$1010</f>
        <v>920258.28065419756</v>
      </c>
      <c r="E685" s="67">
        <f t="shared" si="67"/>
        <v>1.7543911716101837</v>
      </c>
      <c r="F685" s="70">
        <f t="shared" si="71"/>
        <v>0.10652663194017035</v>
      </c>
      <c r="G685" s="67">
        <f>E685/'Lookup Tables'!$C$48</f>
        <v>3.5087823432203673</v>
      </c>
      <c r="H685" s="70">
        <f t="shared" si="68"/>
        <v>3.0815045063440965E-4</v>
      </c>
      <c r="I685" s="71">
        <f t="shared" si="72"/>
        <v>5.0526465742373296E-3</v>
      </c>
      <c r="L685" s="74"/>
      <c r="M685" s="74"/>
      <c r="N685" s="74"/>
      <c r="O685" s="74"/>
      <c r="P685" s="74"/>
      <c r="Q685" s="74"/>
      <c r="R685" s="74"/>
      <c r="S685" s="74"/>
      <c r="T685" s="74"/>
      <c r="U685" s="74"/>
      <c r="V685" s="74"/>
      <c r="W685" s="74"/>
      <c r="X685" s="74"/>
      <c r="Y685" s="74"/>
    </row>
    <row r="686" spans="1:25" x14ac:dyDescent="0.3">
      <c r="A686" s="66">
        <f t="shared" si="70"/>
        <v>2057.8999999999382</v>
      </c>
      <c r="B686" s="67">
        <f>LOOKUP(A686+0.01,Amounts!$A$4:$A$103,Amounts!$B$4:$B$103)*0.1*$A$2</f>
        <v>0</v>
      </c>
      <c r="C686" s="68">
        <f t="shared" si="69"/>
        <v>2992395.4285963499</v>
      </c>
      <c r="D686" s="67">
        <f t="array" ref="D686">SUM($B$7:$B681*$F$1009*EXP(-$F$1009*($A686-$A$7:$A681)))*$F$1010</f>
        <v>907464.43064067955</v>
      </c>
      <c r="E686" s="67">
        <f t="shared" si="67"/>
        <v>1.7300008260012698</v>
      </c>
      <c r="F686" s="70">
        <f t="shared" si="71"/>
        <v>0.1050456501547971</v>
      </c>
      <c r="G686" s="67">
        <f>E686/'Lookup Tables'!$C$48</f>
        <v>3.4600016520025396</v>
      </c>
      <c r="H686" s="70">
        <f t="shared" si="68"/>
        <v>3.0386640263408956E-4</v>
      </c>
      <c r="I686" s="71">
        <f t="shared" si="72"/>
        <v>4.9824023788836566E-3</v>
      </c>
      <c r="L686" s="74"/>
      <c r="M686" s="74"/>
      <c r="N686" s="74"/>
      <c r="O686" s="74"/>
      <c r="P686" s="74"/>
      <c r="Q686" s="74"/>
      <c r="R686" s="74"/>
      <c r="S686" s="74"/>
      <c r="T686" s="74"/>
      <c r="U686" s="74"/>
      <c r="V686" s="74"/>
      <c r="W686" s="74"/>
      <c r="X686" s="74"/>
      <c r="Y686" s="74"/>
    </row>
    <row r="687" spans="1:25" x14ac:dyDescent="0.3">
      <c r="A687" s="66">
        <f t="shared" si="70"/>
        <v>2057.9999999999382</v>
      </c>
      <c r="B687" s="67">
        <f>LOOKUP(A687+0.01,Amounts!$A$4:$A$103,Amounts!$B$4:$B$103)*0.1*$A$2</f>
        <v>0</v>
      </c>
      <c r="C687" s="68">
        <f t="shared" si="69"/>
        <v>2992395.4285963499</v>
      </c>
      <c r="D687" s="67">
        <f t="array" ref="D687">SUM($B$7:$B682*$F$1009*EXP(-$F$1009*($A687-$A$7:$A682)))*$F$1010</f>
        <v>894848.44656068156</v>
      </c>
      <c r="E687" s="67">
        <f t="shared" si="67"/>
        <v>1.7059495660925963</v>
      </c>
      <c r="F687" s="70">
        <f t="shared" si="71"/>
        <v>0.10358525765314246</v>
      </c>
      <c r="G687" s="67">
        <f>E687/'Lookup Tables'!$C$48</f>
        <v>3.4118991321851926</v>
      </c>
      <c r="H687" s="70">
        <f t="shared" si="68"/>
        <v>2.9964191342146955E-4</v>
      </c>
      <c r="I687" s="71">
        <f t="shared" si="72"/>
        <v>4.9131347503466776E-3</v>
      </c>
      <c r="L687" s="74"/>
      <c r="M687" s="74"/>
      <c r="N687" s="74"/>
      <c r="O687" s="74"/>
      <c r="P687" s="74"/>
      <c r="Q687" s="74"/>
      <c r="R687" s="74"/>
      <c r="S687" s="74"/>
      <c r="T687" s="74"/>
      <c r="U687" s="74"/>
      <c r="V687" s="74"/>
      <c r="W687" s="74"/>
      <c r="X687" s="74"/>
      <c r="Y687" s="74"/>
    </row>
    <row r="688" spans="1:25" x14ac:dyDescent="0.3">
      <c r="A688" s="66">
        <f t="shared" si="70"/>
        <v>2058.0999999999381</v>
      </c>
      <c r="B688" s="67">
        <f>LOOKUP(A688+0.01,Amounts!$A$4:$A$103,Amounts!$B$4:$B$103)*0.1*$A$2</f>
        <v>0</v>
      </c>
      <c r="C688" s="68">
        <f t="shared" si="69"/>
        <v>2992395.4285963499</v>
      </c>
      <c r="D688" s="67">
        <f t="array" ref="D688">SUM($B$7:$B683*$F$1009*EXP(-$F$1009*($A688-$A$7:$A683)))*$F$1010</f>
        <v>882407.85564093618</v>
      </c>
      <c r="E688" s="67">
        <f t="shared" si="67"/>
        <v>1.6822326777602254</v>
      </c>
      <c r="F688" s="70">
        <f t="shared" si="71"/>
        <v>0.10214516819360088</v>
      </c>
      <c r="G688" s="67">
        <f>E688/'Lookup Tables'!$C$48</f>
        <v>3.3644653555204509</v>
      </c>
      <c r="H688" s="70">
        <f t="shared" si="68"/>
        <v>2.954761549831399E-4</v>
      </c>
      <c r="I688" s="71">
        <f t="shared" si="72"/>
        <v>4.8448301119494493E-3</v>
      </c>
      <c r="L688" s="74"/>
      <c r="M688" s="74"/>
      <c r="N688" s="74"/>
      <c r="O688" s="74"/>
      <c r="P688" s="74"/>
      <c r="Q688" s="74"/>
      <c r="R688" s="74"/>
      <c r="S688" s="74"/>
      <c r="T688" s="74"/>
      <c r="U688" s="74"/>
      <c r="V688" s="74"/>
      <c r="W688" s="74"/>
      <c r="X688" s="74"/>
      <c r="Y688" s="74"/>
    </row>
    <row r="689" spans="1:25" x14ac:dyDescent="0.3">
      <c r="A689" s="66">
        <f t="shared" si="70"/>
        <v>2058.199999999938</v>
      </c>
      <c r="B689" s="67">
        <f>LOOKUP(A689+0.01,Amounts!$A$4:$A$103,Amounts!$B$4:$B$103)*0.1*$A$2</f>
        <v>0</v>
      </c>
      <c r="C689" s="68">
        <f t="shared" si="69"/>
        <v>2992395.4285963499</v>
      </c>
      <c r="D689" s="67">
        <f t="array" ref="D689">SUM($B$7:$B684*$F$1009*EXP(-$F$1009*($A689-$A$7:$A684)))*$F$1010</f>
        <v>870140.21948579606</v>
      </c>
      <c r="E689" s="67">
        <f t="shared" si="67"/>
        <v>1.6588455124181176</v>
      </c>
      <c r="F689" s="70">
        <f t="shared" si="71"/>
        <v>0.1007250995140281</v>
      </c>
      <c r="G689" s="67">
        <f>E689/'Lookup Tables'!$C$48</f>
        <v>3.3176910248362352</v>
      </c>
      <c r="H689" s="70">
        <f t="shared" si="68"/>
        <v>2.9136831081711073E-4</v>
      </c>
      <c r="I689" s="71">
        <f t="shared" si="72"/>
        <v>4.7774750757641786E-3</v>
      </c>
      <c r="L689" s="74"/>
      <c r="M689" s="74"/>
      <c r="N689" s="74"/>
      <c r="O689" s="74"/>
      <c r="P689" s="74"/>
      <c r="Q689" s="74"/>
      <c r="R689" s="74"/>
      <c r="S689" s="74"/>
      <c r="T689" s="74"/>
      <c r="U689" s="74"/>
      <c r="V689" s="74"/>
      <c r="W689" s="74"/>
      <c r="X689" s="74"/>
      <c r="Y689" s="74"/>
    </row>
    <row r="690" spans="1:25" x14ac:dyDescent="0.3">
      <c r="A690" s="66">
        <f t="shared" si="70"/>
        <v>2058.2999999999379</v>
      </c>
      <c r="B690" s="67">
        <f>LOOKUP(A690+0.01,Amounts!$A$4:$A$103,Amounts!$B$4:$B$103)*0.1*$A$2</f>
        <v>0</v>
      </c>
      <c r="C690" s="68">
        <f t="shared" si="69"/>
        <v>2992395.4285963499</v>
      </c>
      <c r="D690" s="67">
        <f t="array" ref="D690">SUM($B$7:$B685*$F$1009*EXP(-$F$1009*($A690-$A$7:$A685)))*$F$1010</f>
        <v>858043.13359930215</v>
      </c>
      <c r="E690" s="67">
        <f t="shared" si="67"/>
        <v>1.6357834861069953</v>
      </c>
      <c r="F690" s="70">
        <f t="shared" si="71"/>
        <v>9.9324773276416756E-2</v>
      </c>
      <c r="G690" s="67">
        <f>E690/'Lookup Tables'!$C$48</f>
        <v>3.2715669722139906</v>
      </c>
      <c r="H690" s="70">
        <f t="shared" si="68"/>
        <v>2.8731757577277482E-4</v>
      </c>
      <c r="I690" s="71">
        <f t="shared" si="72"/>
        <v>4.7110564399881465E-3</v>
      </c>
      <c r="L690" s="74"/>
      <c r="M690" s="74"/>
      <c r="N690" s="74"/>
      <c r="O690" s="74"/>
      <c r="P690" s="74"/>
      <c r="Q690" s="74"/>
      <c r="R690" s="74"/>
      <c r="S690" s="74"/>
      <c r="T690" s="74"/>
      <c r="U690" s="74"/>
      <c r="V690" s="74"/>
      <c r="W690" s="74"/>
      <c r="X690" s="74"/>
      <c r="Y690" s="74"/>
    </row>
    <row r="691" spans="1:25" x14ac:dyDescent="0.3">
      <c r="A691" s="66">
        <f t="shared" si="70"/>
        <v>2058.3999999999378</v>
      </c>
      <c r="B691" s="67">
        <f>LOOKUP(A691+0.01,Amounts!$A$4:$A$103,Amounts!$B$4:$B$103)*0.1*$A$2</f>
        <v>0</v>
      </c>
      <c r="C691" s="68">
        <f t="shared" si="69"/>
        <v>2992395.4285963499</v>
      </c>
      <c r="D691" s="67">
        <f t="array" ref="D691">SUM($B$7:$B686*$F$1009*EXP(-$F$1009*($A691-$A$7:$A686)))*$F$1010</f>
        <v>846114.22691389325</v>
      </c>
      <c r="E691" s="67">
        <f t="shared" si="67"/>
        <v>1.6130420785958719</v>
      </c>
      <c r="F691" s="70">
        <f t="shared" si="71"/>
        <v>9.7943915012341343E-2</v>
      </c>
      <c r="G691" s="67">
        <f>E691/'Lookup Tables'!$C$48</f>
        <v>3.2260841571917438</v>
      </c>
      <c r="H691" s="70">
        <f t="shared" si="68"/>
        <v>2.8332315589309567E-4</v>
      </c>
      <c r="I691" s="71">
        <f t="shared" si="72"/>
        <v>4.6455611863561114E-3</v>
      </c>
      <c r="L691" s="74"/>
      <c r="M691" s="74"/>
      <c r="N691" s="74"/>
      <c r="O691" s="74"/>
      <c r="P691" s="74"/>
      <c r="Q691" s="74"/>
      <c r="R691" s="74"/>
      <c r="S691" s="74"/>
      <c r="T691" s="74"/>
      <c r="U691" s="74"/>
      <c r="V691" s="74"/>
      <c r="W691" s="74"/>
      <c r="X691" s="74"/>
      <c r="Y691" s="74"/>
    </row>
    <row r="692" spans="1:25" x14ac:dyDescent="0.3">
      <c r="A692" s="66">
        <f t="shared" si="70"/>
        <v>2058.4999999999377</v>
      </c>
      <c r="B692" s="67">
        <f>LOOKUP(A692+0.01,Amounts!$A$4:$A$103,Amounts!$B$4:$B$103)*0.1*$A$2</f>
        <v>0</v>
      </c>
      <c r="C692" s="68">
        <f t="shared" si="69"/>
        <v>2992395.4285963499</v>
      </c>
      <c r="D692" s="67">
        <f t="array" ref="D692">SUM($B$7:$B687*$F$1009*EXP(-$F$1009*($A692-$A$7:$A687)))*$F$1010</f>
        <v>834351.16132567055</v>
      </c>
      <c r="E692" s="67">
        <f t="shared" si="67"/>
        <v>1.5906168324960717</v>
      </c>
      <c r="F692" s="70">
        <f t="shared" si="71"/>
        <v>9.6582254069161474E-2</v>
      </c>
      <c r="G692" s="67">
        <f>E692/'Lookup Tables'!$C$48</f>
        <v>3.1812336649921433</v>
      </c>
      <c r="H692" s="70">
        <f t="shared" si="68"/>
        <v>2.7938426825898917E-4</v>
      </c>
      <c r="I692" s="71">
        <f t="shared" si="72"/>
        <v>4.580976477588687E-3</v>
      </c>
      <c r="L692" s="74"/>
      <c r="M692" s="74"/>
      <c r="N692" s="74"/>
      <c r="O692" s="74"/>
      <c r="P692" s="74"/>
      <c r="Q692" s="74"/>
      <c r="R692" s="74"/>
      <c r="S692" s="74"/>
      <c r="T692" s="74"/>
      <c r="U692" s="74"/>
      <c r="V692" s="74"/>
      <c r="W692" s="74"/>
      <c r="X692" s="74"/>
      <c r="Y692" s="74"/>
    </row>
    <row r="693" spans="1:25" x14ac:dyDescent="0.3">
      <c r="A693" s="66">
        <f t="shared" si="70"/>
        <v>2058.5999999999376</v>
      </c>
      <c r="B693" s="67">
        <f>LOOKUP(A693+0.01,Amounts!$A$4:$A$103,Amounts!$B$4:$B$103)*0.1*$A$2</f>
        <v>0</v>
      </c>
      <c r="C693" s="68">
        <f t="shared" si="69"/>
        <v>2992395.4285963499</v>
      </c>
      <c r="D693" s="67">
        <f t="array" ref="D693">SUM($B$7:$B688*$F$1009*EXP(-$F$1009*($A693-$A$7:$A688)))*$F$1010</f>
        <v>822751.63123612106</v>
      </c>
      <c r="E693" s="67">
        <f t="shared" si="67"/>
        <v>1.568503352387568</v>
      </c>
      <c r="F693" s="70">
        <f t="shared" si="71"/>
        <v>9.5239523556973113E-2</v>
      </c>
      <c r="G693" s="67">
        <f>E693/'Lookup Tables'!$C$48</f>
        <v>3.137006704775136</v>
      </c>
      <c r="H693" s="70">
        <f t="shared" si="68"/>
        <v>2.7550014083586925E-4</v>
      </c>
      <c r="I693" s="71">
        <f t="shared" si="72"/>
        <v>4.5172896548761957E-3</v>
      </c>
      <c r="L693" s="74"/>
      <c r="M693" s="74"/>
      <c r="N693" s="74"/>
      <c r="O693" s="74"/>
      <c r="P693" s="74"/>
      <c r="Q693" s="74"/>
      <c r="R693" s="74"/>
      <c r="S693" s="74"/>
      <c r="T693" s="74"/>
      <c r="U693" s="74"/>
      <c r="V693" s="74"/>
      <c r="W693" s="74"/>
      <c r="X693" s="74"/>
      <c r="Y693" s="74"/>
    </row>
    <row r="694" spans="1:25" x14ac:dyDescent="0.3">
      <c r="A694" s="66">
        <f t="shared" si="70"/>
        <v>2058.6999999999375</v>
      </c>
      <c r="B694" s="67">
        <f>LOOKUP(A694+0.01,Amounts!$A$4:$A$103,Amounts!$B$4:$B$103)*0.1*$A$2</f>
        <v>0</v>
      </c>
      <c r="C694" s="68">
        <f t="shared" si="69"/>
        <v>2992395.4285963499</v>
      </c>
      <c r="D694" s="67">
        <f t="array" ref="D694">SUM($B$7:$B689*$F$1009*EXP(-$F$1009*($A694-$A$7:$A689)))*$F$1010</f>
        <v>811313.36310021312</v>
      </c>
      <c r="E694" s="67">
        <f t="shared" si="67"/>
        <v>1.5466973039574667</v>
      </c>
      <c r="F694" s="70">
        <f t="shared" si="71"/>
        <v>9.3915460296297382E-2</v>
      </c>
      <c r="G694" s="67">
        <f>E694/'Lookup Tables'!$C$48</f>
        <v>3.0933946079149335</v>
      </c>
      <c r="H694" s="70">
        <f t="shared" si="68"/>
        <v>2.7167001232232676E-4</v>
      </c>
      <c r="I694" s="71">
        <f t="shared" si="72"/>
        <v>4.4544882353975048E-3</v>
      </c>
      <c r="L694" s="74"/>
      <c r="M694" s="74"/>
      <c r="N694" s="74"/>
      <c r="O694" s="74"/>
      <c r="P694" s="74"/>
      <c r="Q694" s="74"/>
      <c r="R694" s="74"/>
      <c r="S694" s="74"/>
      <c r="T694" s="74"/>
      <c r="U694" s="74"/>
      <c r="V694" s="74"/>
      <c r="W694" s="74"/>
      <c r="X694" s="74"/>
      <c r="Y694" s="74"/>
    </row>
    <row r="695" spans="1:25" x14ac:dyDescent="0.3">
      <c r="A695" s="66">
        <f t="shared" si="70"/>
        <v>2058.7999999999374</v>
      </c>
      <c r="B695" s="67">
        <f>LOOKUP(A695+0.01,Amounts!$A$4:$A$103,Amounts!$B$4:$B$103)*0.1*$A$2</f>
        <v>0</v>
      </c>
      <c r="C695" s="68">
        <f t="shared" si="69"/>
        <v>2992395.4285963499</v>
      </c>
      <c r="D695" s="67">
        <f t="array" ref="D695">SUM($B$7:$B690*$F$1009*EXP(-$F$1009*($A695-$A$7:$A690)))*$F$1010</f>
        <v>800034.11498077377</v>
      </c>
      <c r="E695" s="67">
        <f t="shared" si="67"/>
        <v>1.5251944131504664</v>
      </c>
      <c r="F695" s="70">
        <f t="shared" si="71"/>
        <v>9.2609804766496329E-2</v>
      </c>
      <c r="G695" s="67">
        <f>E695/'Lookup Tables'!$C$48</f>
        <v>3.0503888263009329</v>
      </c>
      <c r="H695" s="70">
        <f t="shared" si="68"/>
        <v>2.6789313200091118E-4</v>
      </c>
      <c r="I695" s="71">
        <f t="shared" si="72"/>
        <v>4.3925599098733441E-3</v>
      </c>
      <c r="L695" s="74"/>
      <c r="M695" s="74"/>
      <c r="N695" s="74"/>
      <c r="O695" s="74"/>
      <c r="P695" s="74"/>
      <c r="Q695" s="74"/>
      <c r="R695" s="74"/>
      <c r="S695" s="74"/>
      <c r="T695" s="74"/>
      <c r="U695" s="74"/>
      <c r="V695" s="74"/>
      <c r="W695" s="74"/>
      <c r="X695" s="74"/>
      <c r="Y695" s="74"/>
    </row>
    <row r="696" spans="1:25" x14ac:dyDescent="0.3">
      <c r="A696" s="66">
        <f t="shared" si="70"/>
        <v>2058.8999999999373</v>
      </c>
      <c r="B696" s="67">
        <f>LOOKUP(A696+0.01,Amounts!$A$4:$A$103,Amounts!$B$4:$B$103)*0.1*$A$2</f>
        <v>0</v>
      </c>
      <c r="C696" s="68">
        <f t="shared" si="69"/>
        <v>2992395.4285963499</v>
      </c>
      <c r="D696" s="67">
        <f t="array" ref="D696">SUM($B$7:$B691*$F$1009*EXP(-$F$1009*($A696-$A$7:$A691)))*$F$1010</f>
        <v>788911.67610906297</v>
      </c>
      <c r="E696" s="67">
        <f t="shared" si="67"/>
        <v>1.5039904653311305</v>
      </c>
      <c r="F696" s="70">
        <f t="shared" si="71"/>
        <v>9.1322301054906227E-2</v>
      </c>
      <c r="G696" s="67">
        <f>E696/'Lookup Tables'!$C$48</f>
        <v>3.0079809306622609</v>
      </c>
      <c r="H696" s="70">
        <f t="shared" si="68"/>
        <v>2.6416875959098853E-4</v>
      </c>
      <c r="I696" s="71">
        <f t="shared" si="72"/>
        <v>4.3314925401536555E-3</v>
      </c>
      <c r="L696" s="74"/>
      <c r="M696" s="74"/>
      <c r="N696" s="74"/>
      <c r="O696" s="74"/>
      <c r="P696" s="74"/>
      <c r="Q696" s="74"/>
      <c r="R696" s="74"/>
      <c r="S696" s="74"/>
      <c r="T696" s="74"/>
      <c r="U696" s="74"/>
      <c r="V696" s="74"/>
      <c r="W696" s="74"/>
      <c r="X696" s="74"/>
      <c r="Y696" s="74"/>
    </row>
    <row r="697" spans="1:25" x14ac:dyDescent="0.3">
      <c r="A697" s="66">
        <f t="shared" si="70"/>
        <v>2058.9999999999372</v>
      </c>
      <c r="B697" s="67">
        <f>LOOKUP(A697+0.01,Amounts!$A$4:$A$103,Amounts!$B$4:$B$103)*0.1*$A$2</f>
        <v>0</v>
      </c>
      <c r="C697" s="68">
        <f t="shared" si="69"/>
        <v>2992395.4285963499</v>
      </c>
      <c r="D697" s="67">
        <f t="array" ref="D697">SUM($B$7:$B692*$F$1009*EXP(-$F$1009*($A697-$A$7:$A692)))*$F$1010</f>
        <v>777943.86645145528</v>
      </c>
      <c r="E697" s="67">
        <f t="shared" si="67"/>
        <v>1.4830813044578059</v>
      </c>
      <c r="F697" s="70">
        <f t="shared" si="71"/>
        <v>9.0052696806677976E-2</v>
      </c>
      <c r="G697" s="67">
        <f>E697/'Lookup Tables'!$C$48</f>
        <v>2.9661626089156119</v>
      </c>
      <c r="H697" s="70">
        <f t="shared" si="68"/>
        <v>2.6049616510364347E-4</v>
      </c>
      <c r="I697" s="71">
        <f t="shared" si="72"/>
        <v>4.2712741568384808E-3</v>
      </c>
      <c r="L697" s="74"/>
      <c r="M697" s="74"/>
      <c r="N697" s="74"/>
      <c r="O697" s="74"/>
      <c r="P697" s="74"/>
      <c r="Q697" s="74"/>
      <c r="R697" s="74"/>
      <c r="S697" s="74"/>
      <c r="T697" s="74"/>
      <c r="U697" s="74"/>
      <c r="V697" s="74"/>
      <c r="W697" s="74"/>
      <c r="X697" s="74"/>
      <c r="Y697" s="74"/>
    </row>
    <row r="698" spans="1:25" x14ac:dyDescent="0.3">
      <c r="A698" s="66">
        <f t="shared" si="70"/>
        <v>2059.0999999999372</v>
      </c>
      <c r="B698" s="67">
        <f>LOOKUP(A698+0.01,Amounts!$A$4:$A$103,Amounts!$B$4:$B$103)*0.1*$A$2</f>
        <v>0</v>
      </c>
      <c r="C698" s="68">
        <f t="shared" si="69"/>
        <v>2992395.4285963499</v>
      </c>
      <c r="D698" s="67">
        <f t="array" ref="D698">SUM($B$7:$B693*$F$1009*EXP(-$F$1009*($A698-$A$7:$A693)))*$F$1010</f>
        <v>767128.53628214542</v>
      </c>
      <c r="E698" s="67">
        <f t="shared" si="67"/>
        <v>1.4624628322680224</v>
      </c>
      <c r="F698" s="70">
        <f t="shared" si="71"/>
        <v>8.880074317531432E-2</v>
      </c>
      <c r="G698" s="67">
        <f>E698/'Lookup Tables'!$C$48</f>
        <v>2.9249256645360449</v>
      </c>
      <c r="H698" s="70">
        <f t="shared" si="68"/>
        <v>2.5687462869859908E-4</v>
      </c>
      <c r="I698" s="71">
        <f t="shared" si="72"/>
        <v>4.2118929569319044E-3</v>
      </c>
      <c r="L698" s="74"/>
      <c r="M698" s="74"/>
      <c r="N698" s="74"/>
      <c r="O698" s="74"/>
      <c r="P698" s="74"/>
      <c r="Q698" s="74"/>
      <c r="R698" s="74"/>
      <c r="S698" s="74"/>
      <c r="T698" s="74"/>
      <c r="U698" s="74"/>
      <c r="V698" s="74"/>
      <c r="W698" s="74"/>
      <c r="X698" s="74"/>
      <c r="Y698" s="74"/>
    </row>
    <row r="699" spans="1:25" x14ac:dyDescent="0.3">
      <c r="A699" s="66">
        <f t="shared" si="70"/>
        <v>2059.1999999999371</v>
      </c>
      <c r="B699" s="67">
        <f>LOOKUP(A699+0.01,Amounts!$A$4:$A$103,Amounts!$B$4:$B$103)*0.1*$A$2</f>
        <v>0</v>
      </c>
      <c r="C699" s="68">
        <f t="shared" si="69"/>
        <v>2992395.4285963499</v>
      </c>
      <c r="D699" s="67">
        <f t="array" ref="D699">SUM($B$7:$B694*$F$1009*EXP(-$F$1009*($A699-$A$7:$A694)))*$F$1010</f>
        <v>756463.56576179713</v>
      </c>
      <c r="E699" s="67">
        <f t="shared" si="67"/>
        <v>1.4421310074752252</v>
      </c>
      <c r="F699" s="70">
        <f t="shared" si="71"/>
        <v>8.756619477389567E-2</v>
      </c>
      <c r="G699" s="67">
        <f>E699/'Lookup Tables'!$C$48</f>
        <v>2.8842620149504503</v>
      </c>
      <c r="H699" s="70">
        <f t="shared" si="68"/>
        <v>2.5330344054312631E-4</v>
      </c>
      <c r="I699" s="71">
        <f t="shared" si="72"/>
        <v>4.1533373015286484E-3</v>
      </c>
      <c r="L699" s="74"/>
      <c r="M699" s="74"/>
      <c r="N699" s="74"/>
      <c r="O699" s="74"/>
      <c r="P699" s="74"/>
      <c r="Q699" s="74"/>
      <c r="R699" s="74"/>
      <c r="S699" s="74"/>
      <c r="T699" s="74"/>
      <c r="U699" s="74"/>
      <c r="V699" s="74"/>
      <c r="W699" s="74"/>
      <c r="X699" s="74"/>
      <c r="Y699" s="74"/>
    </row>
    <row r="700" spans="1:25" x14ac:dyDescent="0.3">
      <c r="A700" s="66">
        <f t="shared" si="70"/>
        <v>2059.299999999937</v>
      </c>
      <c r="B700" s="67">
        <f>LOOKUP(A700+0.01,Amounts!$A$4:$A$103,Amounts!$B$4:$B$103)*0.1*$A$2</f>
        <v>0</v>
      </c>
      <c r="C700" s="68">
        <f t="shared" si="69"/>
        <v>2992395.4285963499</v>
      </c>
      <c r="D700" s="67">
        <f t="array" ref="D700">SUM($B$7:$B695*$F$1009*EXP(-$F$1009*($A700-$A$7:$A695)))*$F$1010</f>
        <v>745946.86452204548</v>
      </c>
      <c r="E700" s="67">
        <f t="shared" si="67"/>
        <v>1.4220818449766643</v>
      </c>
      <c r="F700" s="70">
        <f t="shared" si="71"/>
        <v>8.6348809626983061E-2</v>
      </c>
      <c r="G700" s="67">
        <f>E700/'Lookup Tables'!$C$48</f>
        <v>2.8441636899533287</v>
      </c>
      <c r="H700" s="70">
        <f t="shared" si="68"/>
        <v>2.4978190067291383E-4</v>
      </c>
      <c r="I700" s="71">
        <f t="shared" si="72"/>
        <v>4.0955957135327932E-3</v>
      </c>
      <c r="L700" s="74"/>
      <c r="M700" s="74"/>
      <c r="N700" s="74"/>
      <c r="O700" s="74"/>
      <c r="P700" s="74"/>
      <c r="Q700" s="74"/>
      <c r="R700" s="74"/>
      <c r="S700" s="74"/>
      <c r="T700" s="74"/>
      <c r="U700" s="74"/>
      <c r="V700" s="74"/>
      <c r="W700" s="74"/>
      <c r="X700" s="74"/>
      <c r="Y700" s="74"/>
    </row>
    <row r="701" spans="1:25" x14ac:dyDescent="0.3">
      <c r="A701" s="66">
        <f t="shared" si="70"/>
        <v>2059.3999999999369</v>
      </c>
      <c r="B701" s="67">
        <f>LOOKUP(A701+0.01,Amounts!$A$4:$A$103,Amounts!$B$4:$B$103)*0.1*$A$2</f>
        <v>0</v>
      </c>
      <c r="C701" s="68">
        <f t="shared" si="69"/>
        <v>2992395.4285963499</v>
      </c>
      <c r="D701" s="67">
        <f t="array" ref="D701">SUM($B$7:$B696*$F$1009*EXP(-$F$1009*($A701-$A$7:$A696)))*$F$1010</f>
        <v>735576.37125578045</v>
      </c>
      <c r="E701" s="67">
        <f t="shared" si="67"/>
        <v>1.4023114150723071</v>
      </c>
      <c r="F701" s="70">
        <f t="shared" si="71"/>
        <v>8.5148349123190484E-2</v>
      </c>
      <c r="G701" s="67">
        <f>E701/'Lookup Tables'!$C$48</f>
        <v>2.8046228301446141</v>
      </c>
      <c r="H701" s="70">
        <f t="shared" si="68"/>
        <v>2.4630931885487366E-4</v>
      </c>
      <c r="I701" s="71">
        <f t="shared" si="72"/>
        <v>4.038656875408244E-3</v>
      </c>
      <c r="L701" s="74"/>
      <c r="M701" s="74"/>
      <c r="N701" s="74"/>
      <c r="O701" s="74"/>
      <c r="P701" s="74"/>
      <c r="Q701" s="74"/>
      <c r="R701" s="74"/>
      <c r="S701" s="74"/>
      <c r="T701" s="74"/>
      <c r="U701" s="74"/>
      <c r="V701" s="74"/>
      <c r="W701" s="74"/>
      <c r="X701" s="74"/>
      <c r="Y701" s="74"/>
    </row>
    <row r="702" spans="1:25" x14ac:dyDescent="0.3">
      <c r="A702" s="66">
        <f t="shared" si="70"/>
        <v>2059.4999999999368</v>
      </c>
      <c r="B702" s="67">
        <f>LOOKUP(A702+0.01,Amounts!$A$4:$A$103,Amounts!$B$4:$B$103)*0.1*$A$2</f>
        <v>0</v>
      </c>
      <c r="C702" s="68">
        <f t="shared" si="69"/>
        <v>2992395.4285963499</v>
      </c>
      <c r="D702" s="67">
        <f t="array" ref="D702">SUM($B$7:$B697*$F$1009*EXP(-$F$1009*($A702-$A$7:$A697)))*$F$1010</f>
        <v>725350.05331312155</v>
      </c>
      <c r="E702" s="67">
        <f t="shared" si="67"/>
        <v>1.3828158426945985</v>
      </c>
      <c r="F702" s="70">
        <f t="shared" si="71"/>
        <v>8.3964577968416026E-2</v>
      </c>
      <c r="G702" s="67">
        <f>E702/'Lookup Tables'!$C$48</f>
        <v>2.7656316853891969</v>
      </c>
      <c r="H702" s="70">
        <f t="shared" si="68"/>
        <v>2.4288501445185223E-4</v>
      </c>
      <c r="I702" s="71">
        <f t="shared" si="72"/>
        <v>3.982509626960444E-3</v>
      </c>
      <c r="L702" s="74"/>
      <c r="M702" s="74"/>
      <c r="N702" s="74"/>
      <c r="O702" s="74"/>
      <c r="P702" s="74"/>
      <c r="Q702" s="74"/>
      <c r="R702" s="74"/>
      <c r="S702" s="74"/>
      <c r="T702" s="74"/>
      <c r="U702" s="74"/>
      <c r="V702" s="74"/>
      <c r="W702" s="74"/>
      <c r="X702" s="74"/>
      <c r="Y702" s="74"/>
    </row>
    <row r="703" spans="1:25" x14ac:dyDescent="0.3">
      <c r="A703" s="66">
        <f t="shared" si="70"/>
        <v>2059.5999999999367</v>
      </c>
      <c r="B703" s="67">
        <f>LOOKUP(A703+0.01,Amounts!$A$4:$A$103,Amounts!$B$4:$B$103)*0.1*$A$2</f>
        <v>0</v>
      </c>
      <c r="C703" s="68">
        <f t="shared" si="69"/>
        <v>2992395.4285963499</v>
      </c>
      <c r="D703" s="67">
        <f t="array" ref="D703">SUM($B$7:$B698*$F$1009*EXP(-$F$1009*($A703-$A$7:$A698)))*$F$1010</f>
        <v>715265.90630301437</v>
      </c>
      <c r="E703" s="67">
        <f t="shared" si="67"/>
        <v>1.3635913066489413</v>
      </c>
      <c r="F703" s="70">
        <f t="shared" si="71"/>
        <v>8.2797264139723714E-2</v>
      </c>
      <c r="G703" s="67">
        <f>E703/'Lookup Tables'!$C$48</f>
        <v>2.7271826132978827</v>
      </c>
      <c r="H703" s="70">
        <f t="shared" si="68"/>
        <v>2.3950831628922432E-4</v>
      </c>
      <c r="I703" s="71">
        <f t="shared" si="72"/>
        <v>3.927142963148951E-3</v>
      </c>
      <c r="L703" s="74"/>
      <c r="M703" s="74"/>
      <c r="N703" s="74"/>
      <c r="O703" s="74"/>
      <c r="P703" s="74"/>
      <c r="Q703" s="74"/>
      <c r="R703" s="74"/>
      <c r="S703" s="74"/>
      <c r="T703" s="74"/>
      <c r="U703" s="74"/>
      <c r="V703" s="74"/>
      <c r="W703" s="74"/>
      <c r="X703" s="74"/>
      <c r="Y703" s="74"/>
    </row>
    <row r="704" spans="1:25" x14ac:dyDescent="0.3">
      <c r="A704" s="66">
        <f t="shared" si="70"/>
        <v>2059.6999999999366</v>
      </c>
      <c r="B704" s="67">
        <f>LOOKUP(A704+0.01,Amounts!$A$4:$A$103,Amounts!$B$4:$B$103)*0.1*$A$2</f>
        <v>0</v>
      </c>
      <c r="C704" s="68">
        <f t="shared" si="69"/>
        <v>2992395.4285963499</v>
      </c>
      <c r="D704" s="67">
        <f t="array" ref="D704">SUM($B$7:$B699*$F$1009*EXP(-$F$1009*($A704-$A$7:$A699)))*$F$1010</f>
        <v>705321.95370036177</v>
      </c>
      <c r="E704" s="67">
        <f t="shared" si="67"/>
        <v>1.3446340388647251</v>
      </c>
      <c r="F704" s="70">
        <f t="shared" si="71"/>
        <v>8.1646178839866107E-2</v>
      </c>
      <c r="G704" s="67">
        <f>E704/'Lookup Tables'!$C$48</f>
        <v>2.6892680777294502</v>
      </c>
      <c r="H704" s="70">
        <f t="shared" si="68"/>
        <v>2.3617856252333992E-4</v>
      </c>
      <c r="I704" s="71">
        <f t="shared" si="72"/>
        <v>3.8725460319304086E-3</v>
      </c>
      <c r="L704" s="74"/>
      <c r="M704" s="74"/>
      <c r="N704" s="74"/>
      <c r="O704" s="74"/>
      <c r="P704" s="74"/>
      <c r="Q704" s="74"/>
      <c r="R704" s="74"/>
      <c r="S704" s="74"/>
      <c r="T704" s="74"/>
      <c r="U704" s="74"/>
      <c r="V704" s="74"/>
      <c r="W704" s="74"/>
      <c r="X704" s="74"/>
      <c r="Y704" s="74"/>
    </row>
    <row r="705" spans="1:25" x14ac:dyDescent="0.3">
      <c r="A705" s="66">
        <f t="shared" si="70"/>
        <v>2059.7999999999365</v>
      </c>
      <c r="B705" s="67">
        <f>LOOKUP(A705+0.01,Amounts!$A$4:$A$103,Amounts!$B$4:$B$103)*0.1*$A$2</f>
        <v>0</v>
      </c>
      <c r="C705" s="68">
        <f t="shared" si="69"/>
        <v>2992395.4285963499</v>
      </c>
      <c r="D705" s="67">
        <f t="array" ref="D705">SUM($B$7:$B700*$F$1009*EXP(-$F$1009*($A705-$A$7:$A700)))*$F$1010</f>
        <v>695516.24645861972</v>
      </c>
      <c r="E705" s="67">
        <f t="shared" si="67"/>
        <v>1.3259403236567762</v>
      </c>
      <c r="F705" s="70">
        <f t="shared" si="71"/>
        <v>8.0511096452439451E-2</v>
      </c>
      <c r="G705" s="67">
        <f>E705/'Lookup Tables'!$C$48</f>
        <v>2.6518806473135523</v>
      </c>
      <c r="H705" s="70">
        <f t="shared" si="68"/>
        <v>2.3289510051180127E-4</v>
      </c>
      <c r="I705" s="71">
        <f t="shared" si="72"/>
        <v>3.8187081321315154E-3</v>
      </c>
      <c r="L705" s="74"/>
      <c r="M705" s="74"/>
      <c r="N705" s="74"/>
      <c r="O705" s="74"/>
      <c r="P705" s="74"/>
      <c r="Q705" s="74"/>
      <c r="R705" s="74"/>
      <c r="S705" s="74"/>
      <c r="T705" s="74"/>
      <c r="U705" s="74"/>
      <c r="V705" s="74"/>
      <c r="W705" s="74"/>
      <c r="X705" s="74"/>
      <c r="Y705" s="74"/>
    </row>
    <row r="706" spans="1:25" x14ac:dyDescent="0.3">
      <c r="A706" s="66">
        <f t="shared" si="70"/>
        <v>2059.8999999999364</v>
      </c>
      <c r="B706" s="67">
        <f>LOOKUP(A706+0.01,Amounts!$A$4:$A$103,Amounts!$B$4:$B$103)*0.1*$A$2</f>
        <v>0</v>
      </c>
      <c r="C706" s="68">
        <f t="shared" si="69"/>
        <v>2992395.4285963499</v>
      </c>
      <c r="D706" s="67">
        <f t="array" ref="D706">SUM($B$7:$B701*$F$1009*EXP(-$F$1009*($A706-$A$7:$A701)))*$F$1010</f>
        <v>685846.86262777704</v>
      </c>
      <c r="E706" s="67">
        <f t="shared" si="67"/>
        <v>1.307506496997068</v>
      </c>
      <c r="F706" s="70">
        <f t="shared" si="71"/>
        <v>7.9391794497661983E-2</v>
      </c>
      <c r="G706" s="67">
        <f>E706/'Lookup Tables'!$C$48</f>
        <v>2.615012993994136</v>
      </c>
      <c r="H706" s="70">
        <f t="shared" si="68"/>
        <v>2.296572866855426E-4</v>
      </c>
      <c r="I706" s="71">
        <f t="shared" si="72"/>
        <v>3.7656187113515563E-3</v>
      </c>
      <c r="L706" s="74"/>
      <c r="M706" s="74"/>
      <c r="N706" s="74"/>
      <c r="O706" s="74"/>
      <c r="P706" s="74"/>
      <c r="Q706" s="74"/>
      <c r="R706" s="74"/>
      <c r="S706" s="74"/>
      <c r="T706" s="74"/>
      <c r="U706" s="74"/>
      <c r="V706" s="74"/>
      <c r="W706" s="74"/>
      <c r="X706" s="74"/>
      <c r="Y706" s="74"/>
    </row>
    <row r="707" spans="1:25" x14ac:dyDescent="0.3">
      <c r="A707" s="66">
        <f t="shared" si="70"/>
        <v>2059.9999999999363</v>
      </c>
      <c r="B707" s="67">
        <f>LOOKUP(A707+0.01,Amounts!$A$4:$A$103,Amounts!$B$4:$B$103)*0.1*$A$2</f>
        <v>0</v>
      </c>
      <c r="C707" s="68">
        <f t="shared" si="69"/>
        <v>2992395.4285963499</v>
      </c>
      <c r="D707" s="67">
        <f t="array" ref="D707">SUM($B$7:$B702*$F$1009*EXP(-$F$1009*($A707-$A$7:$A702)))*$F$1010</f>
        <v>676311.90697764815</v>
      </c>
      <c r="E707" s="67">
        <f t="shared" si="67"/>
        <v>1.2893289457965624</v>
      </c>
      <c r="F707" s="70">
        <f t="shared" si="71"/>
        <v>7.8288053588767267E-2</v>
      </c>
      <c r="G707" s="67">
        <f>E707/'Lookup Tables'!$C$48</f>
        <v>2.5786578915931249</v>
      </c>
      <c r="H707" s="70">
        <f t="shared" si="68"/>
        <v>2.2646448642268851E-4</v>
      </c>
      <c r="I707" s="71">
        <f t="shared" si="72"/>
        <v>3.7132673638940994E-3</v>
      </c>
      <c r="L707" s="74"/>
      <c r="M707" s="74"/>
      <c r="N707" s="74"/>
      <c r="O707" s="74"/>
      <c r="P707" s="74"/>
      <c r="Q707" s="74"/>
      <c r="R707" s="74"/>
      <c r="S707" s="74"/>
      <c r="T707" s="74"/>
      <c r="U707" s="74"/>
      <c r="V707" s="74"/>
      <c r="W707" s="74"/>
      <c r="X707" s="74"/>
      <c r="Y707" s="74"/>
    </row>
    <row r="708" spans="1:25" x14ac:dyDescent="0.3">
      <c r="A708" s="66">
        <f t="shared" si="70"/>
        <v>2060.0999999999362</v>
      </c>
      <c r="B708" s="67">
        <f>LOOKUP(A708+0.01,Amounts!$A$4:$A$103,Amounts!$B$4:$B$103)*0.1*$A$2</f>
        <v>0</v>
      </c>
      <c r="C708" s="68">
        <f t="shared" si="69"/>
        <v>2992395.4285963499</v>
      </c>
      <c r="D708" s="67">
        <f t="array" ref="D708">SUM($B$7:$B703*$F$1009*EXP(-$F$1009*($A708-$A$7:$A703)))*$F$1010</f>
        <v>666909.51062640024</v>
      </c>
      <c r="E708" s="67">
        <f t="shared" si="67"/>
        <v>1.2714041071970308</v>
      </c>
      <c r="F708" s="70">
        <f t="shared" si="71"/>
        <v>7.7199657389003709E-2</v>
      </c>
      <c r="G708" s="67">
        <f>E708/'Lookup Tables'!$C$48</f>
        <v>2.5428082143940616</v>
      </c>
      <c r="H708" s="70">
        <f t="shared" si="68"/>
        <v>2.2331607392416617E-4</v>
      </c>
      <c r="I708" s="71">
        <f t="shared" si="72"/>
        <v>3.6616438287274487E-3</v>
      </c>
      <c r="L708" s="74"/>
      <c r="M708" s="74"/>
      <c r="N708" s="74"/>
      <c r="O708" s="74"/>
      <c r="P708" s="74"/>
      <c r="Q708" s="74"/>
      <c r="R708" s="74"/>
      <c r="S708" s="74"/>
      <c r="T708" s="74"/>
      <c r="U708" s="74"/>
      <c r="V708" s="74"/>
      <c r="W708" s="74"/>
      <c r="X708" s="74"/>
      <c r="Y708" s="74"/>
    </row>
    <row r="709" spans="1:25" x14ac:dyDescent="0.3">
      <c r="A709" s="66">
        <f t="shared" si="70"/>
        <v>2060.1999999999362</v>
      </c>
      <c r="B709" s="67">
        <f>LOOKUP(A709+0.01,Amounts!$A$4:$A$103,Amounts!$B$4:$B$103)*0.1*$A$2</f>
        <v>0</v>
      </c>
      <c r="C709" s="68">
        <f t="shared" si="69"/>
        <v>2992395.4285963499</v>
      </c>
      <c r="D709" s="67">
        <f t="array" ref="D709">SUM($B$7:$B704*$F$1009*EXP(-$F$1009*($A709-$A$7:$A704)))*$F$1010</f>
        <v>657637.83067424851</v>
      </c>
      <c r="E709" s="67">
        <f t="shared" si="67"/>
        <v>1.2537284678727243</v>
      </c>
      <c r="F709" s="70">
        <f t="shared" si="71"/>
        <v>7.6126392569231816E-2</v>
      </c>
      <c r="G709" s="67">
        <f>E709/'Lookup Tables'!$C$48</f>
        <v>2.5074569357454486</v>
      </c>
      <c r="H709" s="70">
        <f t="shared" si="68"/>
        <v>2.2021143209104675E-4</v>
      </c>
      <c r="I709" s="71">
        <f t="shared" si="72"/>
        <v>3.6107379874734456E-3</v>
      </c>
      <c r="L709" s="74"/>
      <c r="M709" s="74"/>
      <c r="N709" s="74"/>
      <c r="O709" s="74"/>
      <c r="P709" s="74"/>
      <c r="Q709" s="74"/>
      <c r="R709" s="74"/>
      <c r="S709" s="74"/>
      <c r="T709" s="74"/>
      <c r="U709" s="74"/>
      <c r="V709" s="74"/>
      <c r="W709" s="74"/>
      <c r="X709" s="74"/>
      <c r="Y709" s="74"/>
    </row>
    <row r="710" spans="1:25" x14ac:dyDescent="0.3">
      <c r="A710" s="66">
        <f t="shared" si="70"/>
        <v>2060.2999999999361</v>
      </c>
      <c r="B710" s="67">
        <f>LOOKUP(A710+0.01,Amounts!$A$4:$A$103,Amounts!$B$4:$B$103)*0.1*$A$2</f>
        <v>0</v>
      </c>
      <c r="C710" s="68">
        <f t="shared" si="69"/>
        <v>2992395.4285963499</v>
      </c>
      <c r="D710" s="67">
        <f t="array" ref="D710">SUM($B$7:$B705*$F$1009*EXP(-$F$1009*($A710-$A$7:$A705)))*$F$1010</f>
        <v>648495.04984224064</v>
      </c>
      <c r="E710" s="67">
        <f t="shared" si="67"/>
        <v>1.2362985633417496</v>
      </c>
      <c r="F710" s="70">
        <f t="shared" si="71"/>
        <v>7.5068048766111034E-2</v>
      </c>
      <c r="G710" s="67">
        <f>E710/'Lookup Tables'!$C$48</f>
        <v>2.4725971266834992</v>
      </c>
      <c r="H710" s="70">
        <f t="shared" si="68"/>
        <v>2.17149952403592E-4</v>
      </c>
      <c r="I710" s="71">
        <f t="shared" si="72"/>
        <v>3.5605398624242389E-3</v>
      </c>
      <c r="L710" s="74"/>
      <c r="M710" s="74"/>
      <c r="N710" s="74"/>
      <c r="O710" s="74"/>
      <c r="P710" s="74"/>
      <c r="Q710" s="74"/>
      <c r="R710" s="74"/>
      <c r="S710" s="74"/>
      <c r="T710" s="74"/>
      <c r="U710" s="74"/>
      <c r="V710" s="74"/>
      <c r="W710" s="74"/>
      <c r="X710" s="74"/>
      <c r="Y710" s="74"/>
    </row>
    <row r="711" spans="1:25" x14ac:dyDescent="0.3">
      <c r="A711" s="66">
        <f t="shared" si="70"/>
        <v>2060.399999999936</v>
      </c>
      <c r="B711" s="67">
        <f>LOOKUP(A711+0.01,Amounts!$A$4:$A$103,Amounts!$B$4:$B$103)*0.1*$A$2</f>
        <v>0</v>
      </c>
      <c r="C711" s="68">
        <f t="shared" si="69"/>
        <v>2992395.4285963499</v>
      </c>
      <c r="D711" s="67">
        <f t="array" ref="D711">SUM($B$7:$B706*$F$1009*EXP(-$F$1009*($A711-$A$7:$A706)))*$F$1010</f>
        <v>639479.37611606368</v>
      </c>
      <c r="E711" s="67">
        <f t="shared" ref="E711:E774" si="73">D711/(365*24*60)*1.00201</f>
        <v>1.2191109772870188</v>
      </c>
      <c r="F711" s="70">
        <f t="shared" si="71"/>
        <v>7.4024418540867776E-2</v>
      </c>
      <c r="G711" s="67">
        <f>E711/'Lookup Tables'!$C$48</f>
        <v>2.4382219545740376</v>
      </c>
      <c r="H711" s="70">
        <f t="shared" ref="H711:H774" si="74">G711*60*24*365/(C711*2000)</f>
        <v>2.1413103480198207E-4</v>
      </c>
      <c r="I711" s="71">
        <f t="shared" si="72"/>
        <v>3.5110396145866139E-3</v>
      </c>
      <c r="L711" s="74"/>
      <c r="M711" s="74"/>
      <c r="N711" s="74"/>
      <c r="O711" s="74"/>
      <c r="P711" s="74"/>
      <c r="Q711" s="74"/>
      <c r="R711" s="74"/>
      <c r="S711" s="74"/>
      <c r="T711" s="74"/>
      <c r="U711" s="74"/>
      <c r="V711" s="74"/>
      <c r="W711" s="74"/>
      <c r="X711" s="74"/>
      <c r="Y711" s="74"/>
    </row>
    <row r="712" spans="1:25" x14ac:dyDescent="0.3">
      <c r="A712" s="66">
        <f t="shared" si="70"/>
        <v>2060.4999999999359</v>
      </c>
      <c r="B712" s="67">
        <f>LOOKUP(A712+0.01,Amounts!$A$4:$A$103,Amounts!$B$4:$B$103)*0.1*$A$2</f>
        <v>0</v>
      </c>
      <c r="C712" s="68">
        <f t="shared" si="69"/>
        <v>2992395.4285963499</v>
      </c>
      <c r="D712" s="67">
        <f t="array" ref="D712">SUM($B$7:$B707*$F$1009*EXP(-$F$1009*($A712-$A$7:$A707)))*$F$1010</f>
        <v>630589.04239480535</v>
      </c>
      <c r="E712" s="67">
        <f t="shared" si="73"/>
        <v>1.2021623408866418</v>
      </c>
      <c r="F712" s="70">
        <f t="shared" si="71"/>
        <v>7.2995297338636883E-2</v>
      </c>
      <c r="G712" s="67">
        <f>E712/'Lookup Tables'!$C$48</f>
        <v>2.4043246817732835</v>
      </c>
      <c r="H712" s="70">
        <f t="shared" si="74"/>
        <v>2.1115408756870258E-4</v>
      </c>
      <c r="I712" s="71">
        <f t="shared" si="72"/>
        <v>3.4622275417535283E-3</v>
      </c>
      <c r="L712" s="74"/>
      <c r="M712" s="74"/>
      <c r="N712" s="74"/>
      <c r="O712" s="74"/>
      <c r="P712" s="74"/>
      <c r="Q712" s="74"/>
      <c r="R712" s="74"/>
      <c r="S712" s="74"/>
      <c r="T712" s="74"/>
      <c r="U712" s="74"/>
      <c r="V712" s="74"/>
      <c r="W712" s="74"/>
      <c r="X712" s="74"/>
      <c r="Y712" s="74"/>
    </row>
    <row r="713" spans="1:25" x14ac:dyDescent="0.3">
      <c r="A713" s="66">
        <f t="shared" si="70"/>
        <v>2060.5999999999358</v>
      </c>
      <c r="B713" s="67">
        <f>LOOKUP(A713+0.01,Amounts!$A$4:$A$103,Amounts!$B$4:$B$103)*0.1*$A$2</f>
        <v>0</v>
      </c>
      <c r="C713" s="68">
        <f t="shared" ref="C713:C776" si="75">C712+B713</f>
        <v>2992395.4285963499</v>
      </c>
      <c r="D713" s="67">
        <f t="array" ref="D713">SUM($B$7:$B708*$F$1009*EXP(-$F$1009*($A713-$A$7:$A708)))*$F$1010</f>
        <v>621822.30614459526</v>
      </c>
      <c r="E713" s="67">
        <f t="shared" si="73"/>
        <v>1.1854493321536264</v>
      </c>
      <c r="F713" s="70">
        <f t="shared" si="71"/>
        <v>7.1980483448368188E-2</v>
      </c>
      <c r="G713" s="67">
        <f>E713/'Lookup Tables'!$C$48</f>
        <v>2.3708986643072527</v>
      </c>
      <c r="H713" s="70">
        <f t="shared" si="74"/>
        <v>2.082185272125656E-4</v>
      </c>
      <c r="I713" s="71">
        <f t="shared" si="72"/>
        <v>3.4140940766024439E-3</v>
      </c>
      <c r="L713" s="74"/>
      <c r="M713" s="74"/>
      <c r="N713" s="74"/>
      <c r="O713" s="74"/>
      <c r="P713" s="74"/>
      <c r="Q713" s="74"/>
      <c r="R713" s="74"/>
      <c r="S713" s="74"/>
      <c r="T713" s="74"/>
      <c r="U713" s="74"/>
      <c r="V713" s="74"/>
      <c r="W713" s="74"/>
      <c r="X713" s="74"/>
      <c r="Y713" s="74"/>
    </row>
    <row r="714" spans="1:25" x14ac:dyDescent="0.3">
      <c r="A714" s="66">
        <f t="shared" si="70"/>
        <v>2060.6999999999357</v>
      </c>
      <c r="B714" s="67">
        <f>LOOKUP(A714+0.01,Amounts!$A$4:$A$103,Amounts!$B$4:$B$103)*0.1*$A$2</f>
        <v>0</v>
      </c>
      <c r="C714" s="68">
        <f t="shared" si="75"/>
        <v>2992395.4285963499</v>
      </c>
      <c r="D714" s="67">
        <f t="array" ref="D714">SUM($B$7:$B709*$F$1009*EXP(-$F$1009*($A714-$A$7:$A709)))*$F$1010</f>
        <v>613177.44905706262</v>
      </c>
      <c r="E714" s="67">
        <f t="shared" si="73"/>
        <v>1.1689686752847552</v>
      </c>
      <c r="F714" s="70">
        <f t="shared" si="71"/>
        <v>7.0979777963290344E-2</v>
      </c>
      <c r="G714" s="67">
        <f>E714/'Lookup Tables'!$C$48</f>
        <v>2.3379373505695105</v>
      </c>
      <c r="H714" s="70">
        <f t="shared" si="74"/>
        <v>2.0532377835434339E-4</v>
      </c>
      <c r="I714" s="71">
        <f t="shared" si="72"/>
        <v>3.3666297848200947E-3</v>
      </c>
      <c r="L714" s="74"/>
      <c r="M714" s="74"/>
      <c r="N714" s="74"/>
      <c r="O714" s="74"/>
      <c r="P714" s="74"/>
      <c r="Q714" s="74"/>
      <c r="R714" s="74"/>
      <c r="S714" s="74"/>
      <c r="T714" s="74"/>
      <c r="U714" s="74"/>
      <c r="V714" s="74"/>
      <c r="W714" s="74"/>
      <c r="X714" s="74"/>
      <c r="Y714" s="74"/>
    </row>
    <row r="715" spans="1:25" x14ac:dyDescent="0.3">
      <c r="A715" s="66">
        <f t="shared" si="70"/>
        <v>2060.7999999999356</v>
      </c>
      <c r="B715" s="67">
        <f>LOOKUP(A715+0.01,Amounts!$A$4:$A$103,Amounts!$B$4:$B$103)*0.1*$A$2</f>
        <v>0</v>
      </c>
      <c r="C715" s="68">
        <f t="shared" si="75"/>
        <v>2992395.4285963499</v>
      </c>
      <c r="D715" s="67">
        <f t="array" ref="D715">SUM($B$7:$B710*$F$1009*EXP(-$F$1009*($A715-$A$7:$A710)))*$F$1010</f>
        <v>604652.77671254321</v>
      </c>
      <c r="E715" s="67">
        <f t="shared" si="73"/>
        <v>1.1527171400185225</v>
      </c>
      <c r="F715" s="70">
        <f t="shared" si="71"/>
        <v>6.9992984741924683E-2</v>
      </c>
      <c r="G715" s="67">
        <f>E715/'Lookup Tables'!$C$48</f>
        <v>2.3054342800370451</v>
      </c>
      <c r="H715" s="70">
        <f t="shared" si="74"/>
        <v>2.0246927361399275E-4</v>
      </c>
      <c r="I715" s="71">
        <f t="shared" si="72"/>
        <v>3.3198253632533447E-3</v>
      </c>
      <c r="L715" s="74"/>
      <c r="M715" s="74"/>
      <c r="N715" s="74"/>
      <c r="O715" s="74"/>
      <c r="P715" s="74"/>
      <c r="Q715" s="74"/>
      <c r="R715" s="74"/>
      <c r="S715" s="74"/>
      <c r="T715" s="74"/>
      <c r="U715" s="74"/>
      <c r="V715" s="74"/>
      <c r="W715" s="74"/>
      <c r="X715" s="74"/>
      <c r="Y715" s="74"/>
    </row>
    <row r="716" spans="1:25" x14ac:dyDescent="0.3">
      <c r="A716" s="66">
        <f t="shared" si="70"/>
        <v>2060.8999999999355</v>
      </c>
      <c r="B716" s="67">
        <f>LOOKUP(A716+0.01,Amounts!$A$4:$A$103,Amounts!$B$4:$B$103)*0.1*$A$2</f>
        <v>0</v>
      </c>
      <c r="C716" s="68">
        <f t="shared" si="75"/>
        <v>2992395.4285963499</v>
      </c>
      <c r="D716" s="67">
        <f t="array" ref="D716">SUM($B$7:$B711*$F$1009*EXP(-$F$1009*($A716-$A$7:$A711)))*$F$1010</f>
        <v>596246.6182479671</v>
      </c>
      <c r="E716" s="67">
        <f t="shared" si="73"/>
        <v>1.1366915410019891</v>
      </c>
      <c r="F716" s="70">
        <f t="shared" si="71"/>
        <v>6.9019910369640766E-2</v>
      </c>
      <c r="G716" s="67">
        <f>E716/'Lookup Tables'!$C$48</f>
        <v>2.2733830820039782</v>
      </c>
      <c r="H716" s="70">
        <f t="shared" si="74"/>
        <v>1.9965445349944623E-4</v>
      </c>
      <c r="I716" s="71">
        <f t="shared" si="72"/>
        <v>3.2736716380857285E-3</v>
      </c>
      <c r="L716" s="74"/>
      <c r="M716" s="74"/>
      <c r="N716" s="74"/>
      <c r="O716" s="74"/>
      <c r="P716" s="74"/>
      <c r="Q716" s="74"/>
      <c r="R716" s="74"/>
      <c r="S716" s="74"/>
      <c r="T716" s="74"/>
      <c r="U716" s="74"/>
      <c r="V716" s="74"/>
      <c r="W716" s="74"/>
      <c r="X716" s="74"/>
      <c r="Y716" s="74"/>
    </row>
    <row r="717" spans="1:25" x14ac:dyDescent="0.3">
      <c r="A717" s="66">
        <f t="shared" si="70"/>
        <v>2060.9999999999354</v>
      </c>
      <c r="B717" s="67">
        <f>LOOKUP(A717+0.01,Amounts!$A$4:$A$103,Amounts!$B$4:$B$103)*0.1*$A$2</f>
        <v>0</v>
      </c>
      <c r="C717" s="68">
        <f t="shared" si="75"/>
        <v>2992395.4285963499</v>
      </c>
      <c r="D717" s="67">
        <f t="array" ref="D717">SUM($B$7:$B712*$F$1009*EXP(-$F$1009*($A717-$A$7:$A712)))*$F$1010</f>
        <v>587957.3260293639</v>
      </c>
      <c r="E717" s="67">
        <f t="shared" si="73"/>
        <v>1.120888737166444</v>
      </c>
      <c r="F717" s="70">
        <f t="shared" si="71"/>
        <v>6.806036412074648E-2</v>
      </c>
      <c r="G717" s="67">
        <f>E717/'Lookup Tables'!$C$48</f>
        <v>2.241777474332888</v>
      </c>
      <c r="H717" s="70">
        <f t="shared" si="74"/>
        <v>1.9687876629695026E-4</v>
      </c>
      <c r="I717" s="71">
        <f t="shared" si="72"/>
        <v>3.228159563039359E-3</v>
      </c>
      <c r="L717" s="74"/>
      <c r="M717" s="74"/>
      <c r="N717" s="74"/>
      <c r="O717" s="74"/>
      <c r="P717" s="74"/>
      <c r="Q717" s="74"/>
      <c r="R717" s="74"/>
      <c r="S717" s="74"/>
      <c r="T717" s="74"/>
      <c r="U717" s="74"/>
      <c r="V717" s="74"/>
      <c r="W717" s="74"/>
      <c r="X717" s="74"/>
      <c r="Y717" s="74"/>
    </row>
    <row r="718" spans="1:25" x14ac:dyDescent="0.3">
      <c r="A718" s="66">
        <f t="shared" si="70"/>
        <v>2061.0999999999353</v>
      </c>
      <c r="B718" s="67">
        <f>LOOKUP(A718+0.01,Amounts!$A$4:$A$103,Amounts!$B$4:$B$103)*0.1*$A$2</f>
        <v>0</v>
      </c>
      <c r="C718" s="68">
        <f t="shared" si="75"/>
        <v>2992395.4285963499</v>
      </c>
      <c r="D718" s="67">
        <f t="array" ref="D718">SUM($B$7:$B713*$F$1009*EXP(-$F$1009*($A718-$A$7:$A713)))*$F$1010</f>
        <v>579783.27532892197</v>
      </c>
      <c r="E718" s="67">
        <f t="shared" si="73"/>
        <v>1.1053056311117451</v>
      </c>
      <c r="F718" s="70">
        <f t="shared" si="71"/>
        <v>6.7114157921105172E-2</v>
      </c>
      <c r="G718" s="67">
        <f>E718/'Lookup Tables'!$C$48</f>
        <v>2.2106112622234901</v>
      </c>
      <c r="H718" s="70">
        <f t="shared" si="74"/>
        <v>1.9414166796292702E-4</v>
      </c>
      <c r="I718" s="71">
        <f t="shared" si="72"/>
        <v>3.183280217601826E-3</v>
      </c>
      <c r="L718" s="74"/>
      <c r="M718" s="74"/>
      <c r="N718" s="74"/>
      <c r="O718" s="74"/>
      <c r="P718" s="74"/>
      <c r="Q718" s="74"/>
      <c r="R718" s="74"/>
      <c r="S718" s="74"/>
      <c r="T718" s="74"/>
      <c r="U718" s="74"/>
      <c r="V718" s="74"/>
      <c r="W718" s="74"/>
      <c r="X718" s="74"/>
      <c r="Y718" s="74"/>
    </row>
    <row r="719" spans="1:25" x14ac:dyDescent="0.3">
      <c r="A719" s="66">
        <f t="shared" si="70"/>
        <v>2061.1999999999352</v>
      </c>
      <c r="B719" s="67">
        <f>LOOKUP(A719+0.01,Amounts!$A$4:$A$103,Amounts!$B$4:$B$103)*0.1*$A$2</f>
        <v>0</v>
      </c>
      <c r="C719" s="68">
        <f t="shared" si="75"/>
        <v>2992395.4285963499</v>
      </c>
      <c r="D719" s="67">
        <f t="array" ref="D719">SUM($B$7:$B714*$F$1009*EXP(-$F$1009*($A719-$A$7:$A714)))*$F$1010</f>
        <v>571722.86400653597</v>
      </c>
      <c r="E719" s="67">
        <f t="shared" si="73"/>
        <v>1.0899391684992183</v>
      </c>
      <c r="F719" s="70">
        <f t="shared" si="71"/>
        <v>6.6181106311272539E-2</v>
      </c>
      <c r="G719" s="67">
        <f>E719/'Lookup Tables'!$C$48</f>
        <v>2.1798783369984367</v>
      </c>
      <c r="H719" s="70">
        <f t="shared" si="74"/>
        <v>1.9144262201734068E-4</v>
      </c>
      <c r="I719" s="71">
        <f t="shared" si="72"/>
        <v>3.1390248052777488E-3</v>
      </c>
      <c r="L719" s="74"/>
      <c r="M719" s="74"/>
      <c r="N719" s="74"/>
      <c r="O719" s="74"/>
      <c r="P719" s="74"/>
      <c r="Q719" s="74"/>
      <c r="R719" s="74"/>
      <c r="S719" s="74"/>
      <c r="T719" s="74"/>
      <c r="U719" s="74"/>
      <c r="V719" s="74"/>
      <c r="W719" s="74"/>
      <c r="X719" s="74"/>
      <c r="Y719" s="74"/>
    </row>
    <row r="720" spans="1:25" x14ac:dyDescent="0.3">
      <c r="A720" s="66">
        <f t="shared" si="70"/>
        <v>2061.2999999999352</v>
      </c>
      <c r="B720" s="67">
        <f>LOOKUP(A720+0.01,Amounts!$A$4:$A$103,Amounts!$B$4:$B$103)*0.1*$A$2</f>
        <v>0</v>
      </c>
      <c r="C720" s="68">
        <f t="shared" si="75"/>
        <v>2992395.4285963499</v>
      </c>
      <c r="D720" s="67">
        <f t="array" ref="D720">SUM($B$7:$B715*$F$1009*EXP(-$F$1009*($A720-$A$7:$A715)))*$F$1010</f>
        <v>563774.5121957825</v>
      </c>
      <c r="E720" s="67">
        <f t="shared" si="73"/>
        <v>1.0747863374529985</v>
      </c>
      <c r="F720" s="70">
        <f t="shared" si="71"/>
        <v>6.526102641014607E-2</v>
      </c>
      <c r="G720" s="67">
        <f>E720/'Lookup Tables'!$C$48</f>
        <v>2.1495726749059969</v>
      </c>
      <c r="H720" s="70">
        <f t="shared" si="74"/>
        <v>1.8878109943854535E-4</v>
      </c>
      <c r="I720" s="71">
        <f t="shared" si="72"/>
        <v>3.0953846518646357E-3</v>
      </c>
      <c r="L720" s="74"/>
      <c r="M720" s="74"/>
      <c r="N720" s="74"/>
      <c r="O720" s="74"/>
      <c r="P720" s="74"/>
      <c r="Q720" s="74"/>
      <c r="R720" s="74"/>
      <c r="S720" s="74"/>
      <c r="T720" s="74"/>
      <c r="U720" s="74"/>
      <c r="V720" s="74"/>
      <c r="W720" s="74"/>
      <c r="X720" s="74"/>
      <c r="Y720" s="74"/>
    </row>
    <row r="721" spans="1:25" x14ac:dyDescent="0.3">
      <c r="A721" s="66">
        <f t="shared" si="70"/>
        <v>2061.3999999999351</v>
      </c>
      <c r="B721" s="67">
        <f>LOOKUP(A721+0.01,Amounts!$A$4:$A$103,Amounts!$B$4:$B$103)*0.1*$A$2</f>
        <v>0</v>
      </c>
      <c r="C721" s="68">
        <f t="shared" si="75"/>
        <v>2992395.4285963499</v>
      </c>
      <c r="D721" s="67">
        <f t="array" ref="D721">SUM($B$7:$B716*$F$1009*EXP(-$F$1009*($A721-$A$7:$A716)))*$F$1010</f>
        <v>555936.6619942612</v>
      </c>
      <c r="E721" s="67">
        <f t="shared" si="73"/>
        <v>1.0598441679696913</v>
      </c>
      <c r="F721" s="70">
        <f t="shared" si="71"/>
        <v>6.435373787911966E-2</v>
      </c>
      <c r="G721" s="67">
        <f>E721/'Lookup Tables'!$C$48</f>
        <v>2.1196883359393826</v>
      </c>
      <c r="H721" s="70">
        <f t="shared" si="74"/>
        <v>1.8615657855959515E-4</v>
      </c>
      <c r="I721" s="71">
        <f t="shared" si="72"/>
        <v>3.0523512037527109E-3</v>
      </c>
      <c r="L721" s="74"/>
      <c r="M721" s="74"/>
      <c r="N721" s="74"/>
      <c r="O721" s="74"/>
      <c r="P721" s="74"/>
      <c r="Q721" s="74"/>
      <c r="R721" s="74"/>
      <c r="S721" s="74"/>
      <c r="T721" s="74"/>
      <c r="U721" s="74"/>
      <c r="V721" s="74"/>
      <c r="W721" s="74"/>
      <c r="X721" s="74"/>
      <c r="Y721" s="74"/>
    </row>
    <row r="722" spans="1:25" x14ac:dyDescent="0.3">
      <c r="A722" s="66">
        <f t="shared" si="70"/>
        <v>2061.499999999935</v>
      </c>
      <c r="B722" s="67">
        <f>LOOKUP(A722+0.01,Amounts!$A$4:$A$103,Amounts!$B$4:$B$103)*0.1*$A$2</f>
        <v>0</v>
      </c>
      <c r="C722" s="68">
        <f t="shared" si="75"/>
        <v>2992395.4285963499</v>
      </c>
      <c r="D722" s="67">
        <f t="array" ref="D722">SUM($B$7:$B717*$F$1009*EXP(-$F$1009*($A722-$A$7:$A717)))*$F$1010</f>
        <v>548207.77715824044</v>
      </c>
      <c r="E722" s="67">
        <f t="shared" si="73"/>
        <v>1.0451097313362414</v>
      </c>
      <c r="F722" s="70">
        <f t="shared" si="71"/>
        <v>6.3459062886736584E-2</v>
      </c>
      <c r="G722" s="67">
        <f>E722/'Lookup Tables'!$C$48</f>
        <v>2.0902194626724828</v>
      </c>
      <c r="H722" s="70">
        <f t="shared" si="74"/>
        <v>1.8356854496599554E-4</v>
      </c>
      <c r="I722" s="71">
        <f t="shared" si="72"/>
        <v>3.0099160262483751E-3</v>
      </c>
      <c r="L722" s="74"/>
      <c r="M722" s="74"/>
      <c r="N722" s="74"/>
      <c r="O722" s="74"/>
      <c r="P722" s="74"/>
      <c r="Q722" s="74"/>
      <c r="R722" s="74"/>
      <c r="S722" s="74"/>
      <c r="T722" s="74"/>
      <c r="U722" s="74"/>
      <c r="V722" s="74"/>
      <c r="W722" s="74"/>
      <c r="X722" s="74"/>
      <c r="Y722" s="74"/>
    </row>
    <row r="723" spans="1:25" x14ac:dyDescent="0.3">
      <c r="A723" s="66">
        <f t="shared" ref="A723:A786" si="76">A722+0.1</f>
        <v>2061.5999999999349</v>
      </c>
      <c r="B723" s="67">
        <f>LOOKUP(A723+0.01,Amounts!$A$4:$A$103,Amounts!$B$4:$B$103)*0.1*$A$2</f>
        <v>0</v>
      </c>
      <c r="C723" s="68">
        <f t="shared" si="75"/>
        <v>2992395.4285963499</v>
      </c>
      <c r="D723" s="67">
        <f t="array" ref="D723">SUM($B$7:$B718*$F$1009*EXP(-$F$1009*($A723-$A$7:$A718)))*$F$1010</f>
        <v>540586.34280155005</v>
      </c>
      <c r="E723" s="67">
        <f t="shared" si="73"/>
        <v>1.0305801395559004</v>
      </c>
      <c r="F723" s="70">
        <f t="shared" ref="F723:F786" si="77">E723*60*1012/1000000</f>
        <v>6.2576826073834274E-2</v>
      </c>
      <c r="G723" s="67">
        <f>E723/'Lookup Tables'!$C$48</f>
        <v>2.0611602791118009</v>
      </c>
      <c r="H723" s="70">
        <f t="shared" si="74"/>
        <v>1.8101649139487728E-4</v>
      </c>
      <c r="I723" s="71">
        <f t="shared" ref="I723:I786" si="78">G723*60*24/1000000</f>
        <v>2.9680708019209933E-3</v>
      </c>
      <c r="L723" s="74"/>
      <c r="M723" s="74"/>
      <c r="N723" s="74"/>
      <c r="O723" s="74"/>
      <c r="P723" s="74"/>
      <c r="Q723" s="74"/>
      <c r="R723" s="74"/>
      <c r="S723" s="74"/>
      <c r="T723" s="74"/>
      <c r="U723" s="74"/>
      <c r="V723" s="74"/>
      <c r="W723" s="74"/>
      <c r="X723" s="74"/>
      <c r="Y723" s="74"/>
    </row>
    <row r="724" spans="1:25" x14ac:dyDescent="0.3">
      <c r="A724" s="66">
        <f t="shared" si="76"/>
        <v>2061.6999999999348</v>
      </c>
      <c r="B724" s="67">
        <f>LOOKUP(A724+0.01,Amounts!$A$4:$A$103,Amounts!$B$4:$B$103)*0.1*$A$2</f>
        <v>0</v>
      </c>
      <c r="C724" s="68">
        <f t="shared" si="75"/>
        <v>2992395.4285963499</v>
      </c>
      <c r="D724" s="67">
        <f t="array" ref="D724">SUM($B$7:$B719*$F$1009*EXP(-$F$1009*($A724-$A$7:$A719)))*$F$1010</f>
        <v>533070.86509865697</v>
      </c>
      <c r="E724" s="67">
        <f t="shared" si="73"/>
        <v>1.0162525447821638</v>
      </c>
      <c r="F724" s="70">
        <f t="shared" si="77"/>
        <v>6.1706854519172981E-2</v>
      </c>
      <c r="G724" s="67">
        <f>E724/'Lookup Tables'!$C$48</f>
        <v>2.0325050895643275</v>
      </c>
      <c r="H724" s="70">
        <f t="shared" si="74"/>
        <v>1.7849991763557025E-4</v>
      </c>
      <c r="I724" s="71">
        <f t="shared" si="78"/>
        <v>2.9268073289726317E-3</v>
      </c>
      <c r="L724" s="74"/>
      <c r="M724" s="74"/>
      <c r="N724" s="74"/>
      <c r="O724" s="74"/>
      <c r="P724" s="74"/>
      <c r="Q724" s="74"/>
      <c r="R724" s="74"/>
      <c r="S724" s="74"/>
      <c r="T724" s="74"/>
      <c r="U724" s="74"/>
      <c r="V724" s="74"/>
      <c r="W724" s="74"/>
      <c r="X724" s="74"/>
      <c r="Y724" s="74"/>
    </row>
    <row r="725" spans="1:25" x14ac:dyDescent="0.3">
      <c r="A725" s="66">
        <f t="shared" si="76"/>
        <v>2061.7999999999347</v>
      </c>
      <c r="B725" s="67">
        <f>LOOKUP(A725+0.01,Amounts!$A$4:$A$103,Amounts!$B$4:$B$103)*0.1*$A$2</f>
        <v>0</v>
      </c>
      <c r="C725" s="68">
        <f t="shared" si="75"/>
        <v>2992395.4285963499</v>
      </c>
      <c r="D725" s="67">
        <f t="array" ref="D725">SUM($B$7:$B720*$F$1009*EXP(-$F$1009*($A725-$A$7:$A720)))*$F$1010</f>
        <v>525659.87099187169</v>
      </c>
      <c r="E725" s="67">
        <f t="shared" si="73"/>
        <v>1.0021241387605886</v>
      </c>
      <c r="F725" s="70">
        <f t="shared" si="77"/>
        <v>6.0848977705542935E-2</v>
      </c>
      <c r="G725" s="67">
        <f>E725/'Lookup Tables'!$C$48</f>
        <v>2.0042482775211772</v>
      </c>
      <c r="H725" s="70">
        <f t="shared" si="74"/>
        <v>1.7601833043156114E-4</v>
      </c>
      <c r="I725" s="71">
        <f t="shared" si="78"/>
        <v>2.886117519630495E-3</v>
      </c>
      <c r="L725" s="74"/>
      <c r="M725" s="74"/>
      <c r="N725" s="74"/>
      <c r="O725" s="74"/>
      <c r="P725" s="74"/>
      <c r="Q725" s="74"/>
      <c r="R725" s="74"/>
      <c r="S725" s="74"/>
      <c r="T725" s="74"/>
      <c r="U725" s="74"/>
      <c r="V725" s="74"/>
      <c r="W725" s="74"/>
      <c r="X725" s="74"/>
      <c r="Y725" s="74"/>
    </row>
    <row r="726" spans="1:25" x14ac:dyDescent="0.3">
      <c r="A726" s="66">
        <f t="shared" si="76"/>
        <v>2061.8999999999346</v>
      </c>
      <c r="B726" s="67">
        <f>LOOKUP(A726+0.01,Amounts!$A$4:$A$103,Amounts!$B$4:$B$103)*0.1*$A$2</f>
        <v>0</v>
      </c>
      <c r="C726" s="68">
        <f t="shared" si="75"/>
        <v>2992395.4285963499</v>
      </c>
      <c r="D726" s="67">
        <f t="array" ref="D726">SUM($B$7:$B721*$F$1009*EXP(-$F$1009*($A726-$A$7:$A721)))*$F$1010</f>
        <v>518351.90790262399</v>
      </c>
      <c r="E726" s="67">
        <f t="shared" si="73"/>
        <v>0.98819215227836432</v>
      </c>
      <c r="F726" s="70">
        <f t="shared" si="77"/>
        <v>6.0003027486342279E-2</v>
      </c>
      <c r="G726" s="67">
        <f>E726/'Lookup Tables'!$C$48</f>
        <v>1.9763843045567286</v>
      </c>
      <c r="H726" s="70">
        <f t="shared" si="74"/>
        <v>1.7357124338381364E-4</v>
      </c>
      <c r="I726" s="71">
        <f t="shared" si="78"/>
        <v>2.8459933985616895E-3</v>
      </c>
      <c r="L726" s="74"/>
      <c r="M726" s="74"/>
      <c r="N726" s="74"/>
      <c r="O726" s="74"/>
      <c r="P726" s="74"/>
      <c r="Q726" s="74"/>
      <c r="R726" s="74"/>
      <c r="S726" s="74"/>
      <c r="T726" s="74"/>
      <c r="U726" s="74"/>
      <c r="V726" s="74"/>
      <c r="W726" s="74"/>
      <c r="X726" s="74"/>
      <c r="Y726" s="74"/>
    </row>
    <row r="727" spans="1:25" x14ac:dyDescent="0.3">
      <c r="A727" s="66">
        <f t="shared" si="76"/>
        <v>2061.9999999999345</v>
      </c>
      <c r="B727" s="67">
        <f>LOOKUP(A727+0.01,Amounts!$A$4:$A$103,Amounts!$B$4:$B$103)*0.1*$A$2</f>
        <v>0</v>
      </c>
      <c r="C727" s="68">
        <f t="shared" si="75"/>
        <v>2992395.4285963499</v>
      </c>
      <c r="D727" s="67">
        <f t="array" ref="D727">SUM($B$7:$B722*$F$1009*EXP(-$F$1009*($A727-$A$7:$A722)))*$F$1010</f>
        <v>511145.54344675323</v>
      </c>
      <c r="E727" s="67">
        <f t="shared" si="73"/>
        <v>0.97445385462153966</v>
      </c>
      <c r="F727" s="70">
        <f t="shared" si="77"/>
        <v>5.9168838052619889E-2</v>
      </c>
      <c r="G727" s="67">
        <f>E727/'Lookup Tables'!$C$48</f>
        <v>1.9489077092430793</v>
      </c>
      <c r="H727" s="70">
        <f t="shared" si="74"/>
        <v>1.7115817685543232E-4</v>
      </c>
      <c r="I727" s="71">
        <f t="shared" si="78"/>
        <v>2.8064271013100344E-3</v>
      </c>
      <c r="L727" s="74"/>
      <c r="M727" s="74"/>
      <c r="N727" s="74"/>
      <c r="O727" s="74"/>
      <c r="P727" s="74"/>
      <c r="Q727" s="74"/>
      <c r="R727" s="74"/>
      <c r="S727" s="74"/>
      <c r="T727" s="74"/>
      <c r="U727" s="74"/>
      <c r="V727" s="74"/>
      <c r="W727" s="74"/>
      <c r="X727" s="74"/>
      <c r="Y727" s="74"/>
    </row>
    <row r="728" spans="1:25" x14ac:dyDescent="0.3">
      <c r="A728" s="66">
        <f t="shared" si="76"/>
        <v>2062.0999999999344</v>
      </c>
      <c r="B728" s="67">
        <f>LOOKUP(A728+0.01,Amounts!$A$4:$A$103,Amounts!$B$4:$B$103)*0.1*$A$2</f>
        <v>0</v>
      </c>
      <c r="C728" s="68">
        <f t="shared" si="75"/>
        <v>2992395.4285963499</v>
      </c>
      <c r="D728" s="67">
        <f t="array" ref="D728">SUM($B$7:$B723*$F$1009*EXP(-$F$1009*($A728-$A$7:$A723)))*$F$1010</f>
        <v>504039.36515375564</v>
      </c>
      <c r="E728" s="67">
        <f t="shared" si="73"/>
        <v>0.96090655303979211</v>
      </c>
      <c r="F728" s="70">
        <f t="shared" si="77"/>
        <v>5.8346245900576174E-2</v>
      </c>
      <c r="G728" s="67">
        <f>E728/'Lookup Tables'!$C$48</f>
        <v>1.9218131060795842</v>
      </c>
      <c r="H728" s="70">
        <f t="shared" si="74"/>
        <v>1.6877865787765254E-4</v>
      </c>
      <c r="I728" s="71">
        <f t="shared" si="78"/>
        <v>2.7674108727546013E-3</v>
      </c>
      <c r="L728" s="74"/>
      <c r="M728" s="74"/>
      <c r="N728" s="74"/>
      <c r="O728" s="74"/>
      <c r="P728" s="74"/>
      <c r="Q728" s="74"/>
      <c r="R728" s="74"/>
      <c r="S728" s="74"/>
      <c r="T728" s="74"/>
      <c r="U728" s="74"/>
      <c r="V728" s="74"/>
      <c r="W728" s="74"/>
      <c r="X728" s="74"/>
      <c r="Y728" s="74"/>
    </row>
    <row r="729" spans="1:25" x14ac:dyDescent="0.3">
      <c r="A729" s="66">
        <f t="shared" si="76"/>
        <v>2062.1999999999343</v>
      </c>
      <c r="B729" s="67">
        <f>LOOKUP(A729+0.01,Amounts!$A$4:$A$103,Amounts!$B$4:$B$103)*0.1*$A$2</f>
        <v>0</v>
      </c>
      <c r="C729" s="68">
        <f t="shared" si="75"/>
        <v>2992395.4285963499</v>
      </c>
      <c r="D729" s="67">
        <f t="array" ref="D729">SUM($B$7:$B724*$F$1009*EXP(-$F$1009*($A729-$A$7:$A724)))*$F$1010</f>
        <v>497031.9801899367</v>
      </c>
      <c r="E729" s="67">
        <f t="shared" si="73"/>
        <v>0.94754759221864249</v>
      </c>
      <c r="F729" s="70">
        <f t="shared" si="77"/>
        <v>5.7535089799515979E-2</v>
      </c>
      <c r="G729" s="67">
        <f>E729/'Lookup Tables'!$C$48</f>
        <v>1.895095184437285</v>
      </c>
      <c r="H729" s="70">
        <f t="shared" si="74"/>
        <v>1.66432220057137E-4</v>
      </c>
      <c r="I729" s="71">
        <f t="shared" si="78"/>
        <v>2.7289370655896907E-3</v>
      </c>
      <c r="L729" s="74"/>
      <c r="M729" s="74"/>
      <c r="N729" s="74"/>
      <c r="O729" s="74"/>
      <c r="P729" s="74"/>
      <c r="Q729" s="74"/>
      <c r="R729" s="74"/>
      <c r="S729" s="74"/>
      <c r="T729" s="74"/>
      <c r="U729" s="74"/>
      <c r="V729" s="74"/>
      <c r="W729" s="74"/>
      <c r="X729" s="74"/>
      <c r="Y729" s="74"/>
    </row>
    <row r="730" spans="1:25" x14ac:dyDescent="0.3">
      <c r="A730" s="66">
        <f t="shared" si="76"/>
        <v>2062.2999999999342</v>
      </c>
      <c r="B730" s="67">
        <f>LOOKUP(A730+0.01,Amounts!$A$4:$A$103,Amounts!$B$4:$B$103)*0.1*$A$2</f>
        <v>0</v>
      </c>
      <c r="C730" s="68">
        <f t="shared" si="75"/>
        <v>2992395.4285963499</v>
      </c>
      <c r="D730" s="67">
        <f t="array" ref="D730">SUM($B$7:$B725*$F$1009*EXP(-$F$1009*($A730-$A$7:$A725)))*$F$1010</f>
        <v>490122.01508541027</v>
      </c>
      <c r="E730" s="67">
        <f t="shared" si="73"/>
        <v>0.93437435375900302</v>
      </c>
      <c r="F730" s="70">
        <f t="shared" si="77"/>
        <v>5.6735210760246665E-2</v>
      </c>
      <c r="G730" s="67">
        <f>E730/'Lookup Tables'!$C$48</f>
        <v>1.868748707518006</v>
      </c>
      <c r="H730" s="70">
        <f t="shared" si="74"/>
        <v>1.6411840348456115E-4</v>
      </c>
      <c r="I730" s="71">
        <f t="shared" si="78"/>
        <v>2.6909981388259291E-3</v>
      </c>
      <c r="L730" s="74"/>
      <c r="M730" s="74"/>
      <c r="N730" s="74"/>
      <c r="O730" s="74"/>
      <c r="P730" s="74"/>
      <c r="Q730" s="74"/>
      <c r="R730" s="74"/>
      <c r="S730" s="74"/>
      <c r="T730" s="74"/>
      <c r="U730" s="74"/>
      <c r="V730" s="74"/>
      <c r="W730" s="74"/>
      <c r="X730" s="74"/>
      <c r="Y730" s="74"/>
    </row>
    <row r="731" spans="1:25" x14ac:dyDescent="0.3">
      <c r="A731" s="66">
        <f t="shared" si="76"/>
        <v>2062.3999999999342</v>
      </c>
      <c r="B731" s="67">
        <f>LOOKUP(A731+0.01,Amounts!$A$4:$A$103,Amounts!$B$4:$B$103)*0.1*$A$2</f>
        <v>0</v>
      </c>
      <c r="C731" s="68">
        <f t="shared" si="75"/>
        <v>2992395.4285963499</v>
      </c>
      <c r="D731" s="67">
        <f t="array" ref="D731">SUM($B$7:$B726*$F$1009*EXP(-$F$1009*($A731-$A$7:$A726)))*$F$1010</f>
        <v>483308.11546489457</v>
      </c>
      <c r="E731" s="67">
        <f t="shared" si="73"/>
        <v>0.9213842556639632</v>
      </c>
      <c r="F731" s="70">
        <f t="shared" si="77"/>
        <v>5.5946452003915847E-2</v>
      </c>
      <c r="G731" s="67">
        <f>E731/'Lookup Tables'!$C$48</f>
        <v>1.8427685113279264</v>
      </c>
      <c r="H731" s="70">
        <f t="shared" si="74"/>
        <v>1.6183675464446931E-4</v>
      </c>
      <c r="I731" s="71">
        <f t="shared" si="78"/>
        <v>2.6535866563122141E-3</v>
      </c>
      <c r="L731" s="74"/>
      <c r="M731" s="74"/>
      <c r="N731" s="74"/>
      <c r="O731" s="74"/>
      <c r="P731" s="74"/>
      <c r="Q731" s="74"/>
      <c r="R731" s="74"/>
      <c r="S731" s="74"/>
      <c r="T731" s="74"/>
      <c r="U731" s="74"/>
      <c r="V731" s="74"/>
      <c r="W731" s="74"/>
      <c r="X731" s="74"/>
      <c r="Y731" s="74"/>
    </row>
    <row r="732" spans="1:25" x14ac:dyDescent="0.3">
      <c r="A732" s="66">
        <f t="shared" si="76"/>
        <v>2062.4999999999341</v>
      </c>
      <c r="B732" s="67">
        <f>LOOKUP(A732+0.01,Amounts!$A$4:$A$103,Amounts!$B$4:$B$103)*0.1*$A$2</f>
        <v>0</v>
      </c>
      <c r="C732" s="68">
        <f t="shared" si="75"/>
        <v>2992395.4285963499</v>
      </c>
      <c r="D732" s="67">
        <f t="array" ref="D732">SUM($B$7:$B727*$F$1009*EXP(-$F$1009*($A732-$A$7:$A727)))*$F$1010</f>
        <v>476588.94578225032</v>
      </c>
      <c r="E732" s="67">
        <f t="shared" si="73"/>
        <v>0.90857475183271053</v>
      </c>
      <c r="F732" s="70">
        <f t="shared" si="77"/>
        <v>5.5168658931282186E-2</v>
      </c>
      <c r="G732" s="67">
        <f>E732/'Lookup Tables'!$C$48</f>
        <v>1.8171495036654211</v>
      </c>
      <c r="H732" s="70">
        <f t="shared" si="74"/>
        <v>1.5958682632638454E-4</v>
      </c>
      <c r="I732" s="71">
        <f t="shared" si="78"/>
        <v>2.6166952852782065E-3</v>
      </c>
      <c r="L732" s="74"/>
      <c r="M732" s="74"/>
      <c r="N732" s="74"/>
      <c r="O732" s="74"/>
      <c r="P732" s="74"/>
      <c r="Q732" s="74"/>
      <c r="R732" s="74"/>
      <c r="S732" s="74"/>
      <c r="T732" s="74"/>
      <c r="U732" s="74"/>
      <c r="V732" s="74"/>
      <c r="W732" s="74"/>
      <c r="X732" s="74"/>
      <c r="Y732" s="74"/>
    </row>
    <row r="733" spans="1:25" x14ac:dyDescent="0.3">
      <c r="A733" s="66">
        <f t="shared" si="76"/>
        <v>2062.599999999934</v>
      </c>
      <c r="B733" s="67">
        <f>LOOKUP(A733+0.01,Amounts!$A$4:$A$103,Amounts!$B$4:$B$103)*0.1*$A$2</f>
        <v>0</v>
      </c>
      <c r="C733" s="68">
        <f t="shared" si="75"/>
        <v>2992395.4285963499</v>
      </c>
      <c r="D733" s="67">
        <f t="array" ref="D733">SUM($B$7:$B728*$F$1009*EXP(-$F$1009*($A733-$A$7:$A728)))*$F$1010</f>
        <v>469963.18905870919</v>
      </c>
      <c r="E733" s="67">
        <f t="shared" si="73"/>
        <v>0.89594333156148642</v>
      </c>
      <c r="F733" s="70">
        <f t="shared" si="77"/>
        <v>5.4401679092413453E-2</v>
      </c>
      <c r="G733" s="67">
        <f>E733/'Lookup Tables'!$C$48</f>
        <v>1.7918866631229728</v>
      </c>
      <c r="H733" s="70">
        <f t="shared" si="74"/>
        <v>1.5736817753715361E-4</v>
      </c>
      <c r="I733" s="71">
        <f t="shared" si="78"/>
        <v>2.5803167948970809E-3</v>
      </c>
      <c r="L733" s="74"/>
      <c r="M733" s="74"/>
      <c r="N733" s="74"/>
      <c r="O733" s="74"/>
      <c r="P733" s="74"/>
      <c r="Q733" s="74"/>
      <c r="R733" s="74"/>
      <c r="S733" s="74"/>
      <c r="T733" s="74"/>
      <c r="U733" s="74"/>
      <c r="V733" s="74"/>
      <c r="W733" s="74"/>
      <c r="X733" s="74"/>
      <c r="Y733" s="74"/>
    </row>
    <row r="734" spans="1:25" x14ac:dyDescent="0.3">
      <c r="A734" s="66">
        <f t="shared" si="76"/>
        <v>2062.6999999999339</v>
      </c>
      <c r="B734" s="67">
        <f>LOOKUP(A734+0.01,Amounts!$A$4:$A$103,Amounts!$B$4:$B$103)*0.1*$A$2</f>
        <v>0</v>
      </c>
      <c r="C734" s="68">
        <f t="shared" si="75"/>
        <v>2992395.4285963499</v>
      </c>
      <c r="D734" s="67">
        <f t="array" ref="D734">SUM($B$7:$B729*$F$1009*EXP(-$F$1009*($A734-$A$7:$A729)))*$F$1010</f>
        <v>463429.54662474216</v>
      </c>
      <c r="E734" s="67">
        <f t="shared" si="73"/>
        <v>0.88348751905148004</v>
      </c>
      <c r="F734" s="70">
        <f t="shared" si="77"/>
        <v>5.3645362156805869E-2</v>
      </c>
      <c r="G734" s="67">
        <f>E734/'Lookup Tables'!$C$48</f>
        <v>1.7669750381029601</v>
      </c>
      <c r="H734" s="70">
        <f t="shared" si="74"/>
        <v>1.5518037341451121E-4</v>
      </c>
      <c r="I734" s="71">
        <f t="shared" si="78"/>
        <v>2.5444440548682621E-3</v>
      </c>
      <c r="L734" s="74"/>
      <c r="M734" s="74"/>
      <c r="N734" s="74"/>
      <c r="O734" s="74"/>
      <c r="P734" s="74"/>
      <c r="Q734" s="74"/>
      <c r="R734" s="74"/>
      <c r="S734" s="74"/>
      <c r="T734" s="74"/>
      <c r="U734" s="74"/>
      <c r="V734" s="74"/>
      <c r="W734" s="74"/>
      <c r="X734" s="74"/>
      <c r="Y734" s="74"/>
    </row>
    <row r="735" spans="1:25" x14ac:dyDescent="0.3">
      <c r="A735" s="66">
        <f t="shared" si="76"/>
        <v>2062.7999999999338</v>
      </c>
      <c r="B735" s="67">
        <f>LOOKUP(A735+0.01,Amounts!$A$4:$A$103,Amounts!$B$4:$B$103)*0.1*$A$2</f>
        <v>0</v>
      </c>
      <c r="C735" s="68">
        <f t="shared" si="75"/>
        <v>2992395.4285963499</v>
      </c>
      <c r="D735" s="67">
        <f t="array" ref="D735">SUM($B$7:$B730*$F$1009*EXP(-$F$1009*($A735-$A$7:$A730)))*$F$1010</f>
        <v>456986.73786551552</v>
      </c>
      <c r="E735" s="67">
        <f t="shared" si="73"/>
        <v>0.87120487292356397</v>
      </c>
      <c r="F735" s="70">
        <f t="shared" si="77"/>
        <v>5.2899559883918812E-2</v>
      </c>
      <c r="G735" s="67">
        <f>E735/'Lookup Tables'!$C$48</f>
        <v>1.7424097458471279</v>
      </c>
      <c r="H735" s="70">
        <f t="shared" si="74"/>
        <v>1.5302298514184541E-4</v>
      </c>
      <c r="I735" s="71">
        <f t="shared" si="78"/>
        <v>2.5090700340198646E-3</v>
      </c>
      <c r="L735" s="74"/>
      <c r="M735" s="74"/>
      <c r="N735" s="74"/>
      <c r="O735" s="74"/>
      <c r="P735" s="74"/>
      <c r="Q735" s="74"/>
      <c r="R735" s="74"/>
      <c r="S735" s="74"/>
      <c r="T735" s="74"/>
      <c r="U735" s="74"/>
      <c r="V735" s="74"/>
      <c r="W735" s="74"/>
      <c r="X735" s="74"/>
      <c r="Y735" s="74"/>
    </row>
    <row r="736" spans="1:25" x14ac:dyDescent="0.3">
      <c r="A736" s="66">
        <f t="shared" si="76"/>
        <v>2062.8999999999337</v>
      </c>
      <c r="B736" s="67">
        <f>LOOKUP(A736+0.01,Amounts!$A$4:$A$103,Amounts!$B$4:$B$103)*0.1*$A$2</f>
        <v>0</v>
      </c>
      <c r="C736" s="68">
        <f t="shared" si="75"/>
        <v>2992395.4285963499</v>
      </c>
      <c r="D736" s="67">
        <f t="array" ref="D736">SUM($B$7:$B731*$F$1009*EXP(-$F$1009*($A736-$A$7:$A731)))*$F$1010</f>
        <v>450633.49996988697</v>
      </c>
      <c r="E736" s="67">
        <f t="shared" si="73"/>
        <v>0.85909298573977644</v>
      </c>
      <c r="F736" s="70">
        <f t="shared" si="77"/>
        <v>5.2164126094119224E-2</v>
      </c>
      <c r="G736" s="67">
        <f>E736/'Lookup Tables'!$C$48</f>
        <v>1.7181859714795529</v>
      </c>
      <c r="H736" s="70">
        <f t="shared" si="74"/>
        <v>1.5089558986414812E-4</v>
      </c>
      <c r="I736" s="71">
        <f t="shared" si="78"/>
        <v>2.4741877989305563E-3</v>
      </c>
      <c r="L736" s="74"/>
      <c r="M736" s="74"/>
      <c r="N736" s="74"/>
      <c r="O736" s="74"/>
      <c r="P736" s="74"/>
      <c r="Q736" s="74"/>
      <c r="R736" s="74"/>
      <c r="S736" s="74"/>
      <c r="T736" s="74"/>
      <c r="U736" s="74"/>
      <c r="V736" s="74"/>
      <c r="W736" s="74"/>
      <c r="X736" s="74"/>
      <c r="Y736" s="74"/>
    </row>
    <row r="737" spans="1:25" x14ac:dyDescent="0.3">
      <c r="A737" s="66">
        <f t="shared" si="76"/>
        <v>2062.9999999999336</v>
      </c>
      <c r="B737" s="67">
        <f>LOOKUP(A737+0.01,Amounts!$A$4:$A$103,Amounts!$B$4:$B$103)*0.1*$A$2</f>
        <v>0</v>
      </c>
      <c r="C737" s="68">
        <f t="shared" si="75"/>
        <v>2992395.4285963499</v>
      </c>
      <c r="D737" s="67">
        <f t="array" ref="D737">SUM($B$7:$B732*$F$1009*EXP(-$F$1009*($A737-$A$7:$A732)))*$F$1010</f>
        <v>444368.5876828896</v>
      </c>
      <c r="E737" s="67">
        <f t="shared" si="73"/>
        <v>0.84714948353145403</v>
      </c>
      <c r="F737" s="70">
        <f t="shared" si="77"/>
        <v>5.1438916640029884E-2</v>
      </c>
      <c r="G737" s="67">
        <f>E737/'Lookup Tables'!$C$48</f>
        <v>1.6942989670629081</v>
      </c>
      <c r="H737" s="70">
        <f t="shared" si="74"/>
        <v>1.4879777060513433E-4</v>
      </c>
      <c r="I737" s="71">
        <f t="shared" si="78"/>
        <v>2.4397905125705874E-3</v>
      </c>
      <c r="L737" s="74"/>
      <c r="M737" s="74"/>
      <c r="N737" s="74"/>
      <c r="O737" s="74"/>
      <c r="P737" s="74"/>
      <c r="Q737" s="74"/>
      <c r="R737" s="74"/>
      <c r="S737" s="74"/>
      <c r="T737" s="74"/>
      <c r="U737" s="74"/>
      <c r="V737" s="74"/>
      <c r="W737" s="74"/>
      <c r="X737" s="74"/>
      <c r="Y737" s="74"/>
    </row>
    <row r="738" spans="1:25" x14ac:dyDescent="0.3">
      <c r="A738" s="66">
        <f t="shared" si="76"/>
        <v>2063.0999999999335</v>
      </c>
      <c r="B738" s="67">
        <f>LOOKUP(A738+0.01,Amounts!$A$4:$A$103,Amounts!$B$4:$B$103)*0.1*$A$2</f>
        <v>0</v>
      </c>
      <c r="C738" s="68">
        <f t="shared" si="75"/>
        <v>2992395.4285963499</v>
      </c>
      <c r="D738" s="67">
        <f t="array" ref="D738">SUM($B$7:$B733*$F$1009*EXP(-$F$1009*($A738-$A$7:$A733)))*$F$1010</f>
        <v>438190.7730616593</v>
      </c>
      <c r="E738" s="67">
        <f t="shared" si="73"/>
        <v>0.8353720253339294</v>
      </c>
      <c r="F738" s="70">
        <f t="shared" si="77"/>
        <v>5.0723789378276186E-2</v>
      </c>
      <c r="G738" s="67">
        <f>E738/'Lookup Tables'!$C$48</f>
        <v>1.6707440506678588</v>
      </c>
      <c r="H738" s="70">
        <f t="shared" si="74"/>
        <v>1.4672911618551351E-4</v>
      </c>
      <c r="I738" s="71">
        <f t="shared" si="78"/>
        <v>2.4058714329617164E-3</v>
      </c>
      <c r="L738" s="74"/>
      <c r="M738" s="74"/>
      <c r="N738" s="74"/>
      <c r="O738" s="74"/>
      <c r="P738" s="74"/>
      <c r="Q738" s="74"/>
      <c r="R738" s="74"/>
      <c r="S738" s="74"/>
      <c r="T738" s="74"/>
      <c r="U738" s="74"/>
      <c r="V738" s="74"/>
      <c r="W738" s="74"/>
      <c r="X738" s="74"/>
      <c r="Y738" s="74"/>
    </row>
    <row r="739" spans="1:25" x14ac:dyDescent="0.3">
      <c r="A739" s="66">
        <f t="shared" si="76"/>
        <v>2063.1999999999334</v>
      </c>
      <c r="B739" s="67">
        <f>LOOKUP(A739+0.01,Amounts!$A$4:$A$103,Amounts!$B$4:$B$103)*0.1*$A$2</f>
        <v>0</v>
      </c>
      <c r="C739" s="68">
        <f t="shared" si="75"/>
        <v>2992395.4285963499</v>
      </c>
      <c r="D739" s="67">
        <f t="array" ref="D739">SUM($B$7:$B734*$F$1009*EXP(-$F$1009*($A739-$A$7:$A734)))*$F$1010</f>
        <v>432098.84523475269</v>
      </c>
      <c r="E739" s="67">
        <f t="shared" si="73"/>
        <v>0.82375830272769135</v>
      </c>
      <c r="F739" s="70">
        <f t="shared" si="77"/>
        <v>5.0018604141625414E-2</v>
      </c>
      <c r="G739" s="67">
        <f>E739/'Lookup Tables'!$C$48</f>
        <v>1.6475166054553827</v>
      </c>
      <c r="H739" s="70">
        <f t="shared" si="74"/>
        <v>1.4468922114239683E-4</v>
      </c>
      <c r="I739" s="71">
        <f t="shared" si="78"/>
        <v>2.3724239118557513E-3</v>
      </c>
      <c r="L739" s="74"/>
      <c r="M739" s="74"/>
      <c r="N739" s="74"/>
      <c r="O739" s="74"/>
      <c r="P739" s="74"/>
      <c r="Q739" s="74"/>
      <c r="R739" s="74"/>
      <c r="S739" s="74"/>
      <c r="T739" s="74"/>
      <c r="U739" s="74"/>
      <c r="V739" s="74"/>
      <c r="W739" s="74"/>
      <c r="X739" s="74"/>
      <c r="Y739" s="74"/>
    </row>
    <row r="740" spans="1:25" x14ac:dyDescent="0.3">
      <c r="A740" s="66">
        <f t="shared" si="76"/>
        <v>2063.2999999999333</v>
      </c>
      <c r="B740" s="67">
        <f>LOOKUP(A740+0.01,Amounts!$A$4:$A$103,Amounts!$B$4:$B$103)*0.1*$A$2</f>
        <v>0</v>
      </c>
      <c r="C740" s="68">
        <f t="shared" si="75"/>
        <v>2992395.4285963499</v>
      </c>
      <c r="D740" s="67">
        <f t="array" ref="D740">SUM($B$7:$B735*$F$1009*EXP(-$F$1009*($A740-$A$7:$A735)))*$F$1010</f>
        <v>426091.61016481335</v>
      </c>
      <c r="E740" s="67">
        <f t="shared" si="73"/>
        <v>0.81230603938592971</v>
      </c>
      <c r="F740" s="70">
        <f t="shared" si="77"/>
        <v>4.9323222711513647E-2</v>
      </c>
      <c r="G740" s="67">
        <f>E740/'Lookup Tables'!$C$48</f>
        <v>1.6246120787718594</v>
      </c>
      <c r="H740" s="70">
        <f t="shared" si="74"/>
        <v>1.4267768564982545E-4</v>
      </c>
      <c r="I740" s="71">
        <f t="shared" si="78"/>
        <v>2.3394413934314773E-3</v>
      </c>
      <c r="L740" s="74"/>
      <c r="M740" s="74"/>
      <c r="N740" s="74"/>
      <c r="O740" s="74"/>
      <c r="P740" s="74"/>
      <c r="Q740" s="74"/>
      <c r="R740" s="74"/>
      <c r="S740" s="74"/>
      <c r="T740" s="74"/>
      <c r="U740" s="74"/>
      <c r="V740" s="74"/>
      <c r="W740" s="74"/>
      <c r="X740" s="74"/>
      <c r="Y740" s="74"/>
    </row>
    <row r="741" spans="1:25" x14ac:dyDescent="0.3">
      <c r="A741" s="66">
        <f t="shared" si="76"/>
        <v>2063.3999999999332</v>
      </c>
      <c r="B741" s="67">
        <f>LOOKUP(A741+0.01,Amounts!$A$4:$A$103,Amounts!$B$4:$B$103)*0.1*$A$2</f>
        <v>0</v>
      </c>
      <c r="C741" s="68">
        <f t="shared" si="75"/>
        <v>2992395.4285963499</v>
      </c>
      <c r="D741" s="67">
        <f t="array" ref="D741">SUM($B$7:$B736*$F$1009*EXP(-$F$1009*($A741-$A$7:$A736)))*$F$1010</f>
        <v>420167.89041453658</v>
      </c>
      <c r="E741" s="67">
        <f t="shared" si="73"/>
        <v>0.80101299062836717</v>
      </c>
      <c r="F741" s="70">
        <f t="shared" si="77"/>
        <v>4.8637508790954451E-2</v>
      </c>
      <c r="G741" s="67">
        <f>E741/'Lookup Tables'!$C$48</f>
        <v>1.6020259812567343</v>
      </c>
      <c r="H741" s="70">
        <f t="shared" si="74"/>
        <v>1.4069411544040327E-4</v>
      </c>
      <c r="I741" s="71">
        <f t="shared" si="78"/>
        <v>2.3069174130096975E-3</v>
      </c>
      <c r="L741" s="74"/>
      <c r="M741" s="74"/>
      <c r="N741" s="74"/>
      <c r="O741" s="74"/>
      <c r="P741" s="74"/>
      <c r="Q741" s="74"/>
      <c r="R741" s="74"/>
      <c r="S741" s="74"/>
      <c r="T741" s="74"/>
      <c r="U741" s="74"/>
      <c r="V741" s="74"/>
      <c r="W741" s="74"/>
      <c r="X741" s="74"/>
      <c r="Y741" s="74"/>
    </row>
    <row r="742" spans="1:25" x14ac:dyDescent="0.3">
      <c r="A742" s="66">
        <f t="shared" si="76"/>
        <v>2063.4999999999332</v>
      </c>
      <c r="B742" s="67">
        <f>LOOKUP(A742+0.01,Amounts!$A$4:$A$103,Amounts!$B$4:$B$103)*0.1*$A$2</f>
        <v>0</v>
      </c>
      <c r="C742" s="68">
        <f t="shared" si="75"/>
        <v>2992395.4285963499</v>
      </c>
      <c r="D742" s="67">
        <f t="array" ref="D742">SUM($B$7:$B737*$F$1009*EXP(-$F$1009*($A742-$A$7:$A737)))*$F$1010</f>
        <v>414326.5249158871</v>
      </c>
      <c r="E742" s="67">
        <f t="shared" si="73"/>
        <v>0.78987694298129385</v>
      </c>
      <c r="F742" s="70">
        <f t="shared" si="77"/>
        <v>4.796132797782416E-2</v>
      </c>
      <c r="G742" s="67">
        <f>E742/'Lookup Tables'!$C$48</f>
        <v>1.5797538859625877</v>
      </c>
      <c r="H742" s="70">
        <f t="shared" si="74"/>
        <v>1.3873812172801901E-4</v>
      </c>
      <c r="I742" s="71">
        <f t="shared" si="78"/>
        <v>2.2748455957861259E-3</v>
      </c>
      <c r="L742" s="74"/>
      <c r="M742" s="74"/>
      <c r="N742" s="74"/>
      <c r="O742" s="74"/>
      <c r="P742" s="74"/>
      <c r="Q742" s="74"/>
      <c r="R742" s="74"/>
      <c r="S742" s="74"/>
      <c r="T742" s="74"/>
      <c r="U742" s="74"/>
      <c r="V742" s="74"/>
      <c r="W742" s="74"/>
      <c r="X742" s="74"/>
      <c r="Y742" s="74"/>
    </row>
    <row r="743" spans="1:25" x14ac:dyDescent="0.3">
      <c r="A743" s="66">
        <f t="shared" si="76"/>
        <v>2063.5999999999331</v>
      </c>
      <c r="B743" s="67">
        <f>LOOKUP(A743+0.01,Amounts!$A$4:$A$103,Amounts!$B$4:$B$103)*0.1*$A$2</f>
        <v>0</v>
      </c>
      <c r="C743" s="68">
        <f t="shared" si="75"/>
        <v>2992395.4285963499</v>
      </c>
      <c r="D743" s="67">
        <f t="array" ref="D743">SUM($B$7:$B738*$F$1009*EXP(-$F$1009*($A743-$A$7:$A738)))*$F$1010</f>
        <v>408566.36874252697</v>
      </c>
      <c r="E743" s="67">
        <f t="shared" si="73"/>
        <v>0.77889571374372046</v>
      </c>
      <c r="F743" s="70">
        <f t="shared" si="77"/>
        <v>4.7294547738518704E-2</v>
      </c>
      <c r="G743" s="67">
        <f>E743/'Lookup Tables'!$C$48</f>
        <v>1.5577914274874409</v>
      </c>
      <c r="H743" s="70">
        <f t="shared" si="74"/>
        <v>1.3680932113164333E-4</v>
      </c>
      <c r="I743" s="71">
        <f t="shared" si="78"/>
        <v>2.243219655581915E-3</v>
      </c>
      <c r="L743" s="74"/>
      <c r="M743" s="74"/>
      <c r="N743" s="74"/>
      <c r="O743" s="74"/>
      <c r="P743" s="74"/>
      <c r="Q743" s="74"/>
      <c r="R743" s="74"/>
      <c r="S743" s="74"/>
      <c r="T743" s="74"/>
      <c r="U743" s="74"/>
      <c r="V743" s="74"/>
      <c r="W743" s="74"/>
      <c r="X743" s="74"/>
      <c r="Y743" s="74"/>
    </row>
    <row r="744" spans="1:25" x14ac:dyDescent="0.3">
      <c r="A744" s="66">
        <f t="shared" si="76"/>
        <v>2063.699999999933</v>
      </c>
      <c r="B744" s="67">
        <f>LOOKUP(A744+0.01,Amounts!$A$4:$A$103,Amounts!$B$4:$B$103)*0.1*$A$2</f>
        <v>0</v>
      </c>
      <c r="C744" s="68">
        <f t="shared" si="75"/>
        <v>2992395.4285963499</v>
      </c>
      <c r="D744" s="67">
        <f t="array" ref="D744">SUM($B$7:$B739*$F$1009*EXP(-$F$1009*($A744-$A$7:$A739)))*$F$1010</f>
        <v>402886.29288540577</v>
      </c>
      <c r="E744" s="67">
        <f t="shared" si="73"/>
        <v>0.76806715055956143</v>
      </c>
      <c r="F744" s="70">
        <f t="shared" si="77"/>
        <v>4.6637037381976568E-2</v>
      </c>
      <c r="G744" s="67">
        <f>E744/'Lookup Tables'!$C$48</f>
        <v>1.5361343011191229</v>
      </c>
      <c r="H744" s="70">
        <f t="shared" si="74"/>
        <v>1.3490733560018442E-4</v>
      </c>
      <c r="I744" s="71">
        <f t="shared" si="78"/>
        <v>2.2120333936115366E-3</v>
      </c>
      <c r="L744" s="74"/>
      <c r="M744" s="74"/>
      <c r="N744" s="74"/>
      <c r="O744" s="74"/>
      <c r="P744" s="74"/>
      <c r="Q744" s="74"/>
      <c r="R744" s="74"/>
      <c r="S744" s="74"/>
      <c r="T744" s="74"/>
      <c r="U744" s="74"/>
      <c r="V744" s="74"/>
      <c r="W744" s="74"/>
      <c r="X744" s="74"/>
      <c r="Y744" s="74"/>
    </row>
    <row r="745" spans="1:25" x14ac:dyDescent="0.3">
      <c r="A745" s="66">
        <f t="shared" si="76"/>
        <v>2063.7999999999329</v>
      </c>
      <c r="B745" s="67">
        <f>LOOKUP(A745+0.01,Amounts!$A$4:$A$103,Amounts!$B$4:$B$103)*0.1*$A$2</f>
        <v>0</v>
      </c>
      <c r="C745" s="68">
        <f t="shared" si="75"/>
        <v>2992395.4285963499</v>
      </c>
      <c r="D745" s="67">
        <f t="array" ref="D745">SUM($B$7:$B740*$F$1009*EXP(-$F$1009*($A745-$A$7:$A740)))*$F$1010</f>
        <v>397285.18403147178</v>
      </c>
      <c r="E745" s="67">
        <f t="shared" si="73"/>
        <v>0.75738913099576688</v>
      </c>
      <c r="F745" s="70">
        <f t="shared" si="77"/>
        <v>4.5988668034062964E-2</v>
      </c>
      <c r="G745" s="67">
        <f>E745/'Lookup Tables'!$C$48</f>
        <v>1.5147782619915338</v>
      </c>
      <c r="H745" s="70">
        <f t="shared" si="74"/>
        <v>1.3303179233838932E-4</v>
      </c>
      <c r="I745" s="71">
        <f t="shared" si="78"/>
        <v>2.1812806972678084E-3</v>
      </c>
      <c r="L745" s="74"/>
      <c r="M745" s="74"/>
      <c r="N745" s="74"/>
      <c r="O745" s="74"/>
      <c r="P745" s="74"/>
      <c r="Q745" s="74"/>
      <c r="R745" s="74"/>
      <c r="S745" s="74"/>
      <c r="T745" s="74"/>
      <c r="U745" s="74"/>
      <c r="V745" s="74"/>
      <c r="W745" s="74"/>
      <c r="X745" s="74"/>
      <c r="Y745" s="74"/>
    </row>
    <row r="746" spans="1:25" x14ac:dyDescent="0.3">
      <c r="A746" s="66">
        <f t="shared" si="76"/>
        <v>2063.8999999999328</v>
      </c>
      <c r="B746" s="67">
        <f>LOOKUP(A746+0.01,Amounts!$A$4:$A$103,Amounts!$B$4:$B$103)*0.1*$A$2</f>
        <v>0</v>
      </c>
      <c r="C746" s="68">
        <f t="shared" si="75"/>
        <v>2992395.4285963499</v>
      </c>
      <c r="D746" s="67">
        <f t="array" ref="D746">SUM($B$7:$B741*$F$1009*EXP(-$F$1009*($A746-$A$7:$A741)))*$F$1010</f>
        <v>391761.94434545841</v>
      </c>
      <c r="E746" s="67">
        <f t="shared" si="73"/>
        <v>0.74685956212631821</v>
      </c>
      <c r="F746" s="70">
        <f t="shared" si="77"/>
        <v>4.5349312612310046E-2</v>
      </c>
      <c r="G746" s="67">
        <f>E746/'Lookup Tables'!$C$48</f>
        <v>1.4937191242526364</v>
      </c>
      <c r="H746" s="70">
        <f t="shared" si="74"/>
        <v>1.3118232373377439E-4</v>
      </c>
      <c r="I746" s="71">
        <f t="shared" si="78"/>
        <v>2.1509555389237966E-3</v>
      </c>
      <c r="L746" s="74"/>
      <c r="M746" s="74"/>
      <c r="N746" s="74"/>
      <c r="O746" s="74"/>
      <c r="P746" s="74"/>
      <c r="Q746" s="74"/>
      <c r="R746" s="74"/>
      <c r="S746" s="74"/>
      <c r="T746" s="74"/>
      <c r="U746" s="74"/>
      <c r="V746" s="74"/>
      <c r="W746" s="74"/>
      <c r="X746" s="74"/>
      <c r="Y746" s="74"/>
    </row>
    <row r="747" spans="1:25" x14ac:dyDescent="0.3">
      <c r="A747" s="66">
        <f t="shared" si="76"/>
        <v>2063.9999999999327</v>
      </c>
      <c r="B747" s="67">
        <f>LOOKUP(A747+0.01,Amounts!$A$4:$A$103,Amounts!$B$4:$B$103)*0.1*$A$2</f>
        <v>0</v>
      </c>
      <c r="C747" s="68">
        <f t="shared" si="75"/>
        <v>2992395.4285963499</v>
      </c>
      <c r="D747" s="67">
        <f t="array" ref="D747">SUM($B$7:$B742*$F$1009*EXP(-$F$1009*($A747-$A$7:$A742)))*$F$1010</f>
        <v>386315.49125470553</v>
      </c>
      <c r="E747" s="67">
        <f t="shared" si="73"/>
        <v>0.73647638012200822</v>
      </c>
      <c r="F747" s="70">
        <f t="shared" si="77"/>
        <v>4.4718845801008343E-2</v>
      </c>
      <c r="G747" s="67">
        <f>E747/'Lookup Tables'!$C$48</f>
        <v>1.4729527602440164</v>
      </c>
      <c r="H747" s="70">
        <f t="shared" si="74"/>
        <v>1.2935856728457231E-4</v>
      </c>
      <c r="I747" s="71">
        <f t="shared" si="78"/>
        <v>2.1210519747513834E-3</v>
      </c>
      <c r="L747" s="74"/>
      <c r="M747" s="74"/>
      <c r="N747" s="74"/>
      <c r="O747" s="74"/>
      <c r="P747" s="74"/>
      <c r="Q747" s="74"/>
      <c r="R747" s="74"/>
      <c r="S747" s="74"/>
      <c r="T747" s="74"/>
      <c r="U747" s="74"/>
      <c r="V747" s="74"/>
      <c r="W747" s="74"/>
      <c r="X747" s="74"/>
      <c r="Y747" s="74"/>
    </row>
    <row r="748" spans="1:25" x14ac:dyDescent="0.3">
      <c r="A748" s="66">
        <f t="shared" si="76"/>
        <v>2064.0999999999326</v>
      </c>
      <c r="B748" s="67">
        <f>LOOKUP(A748+0.01,Amounts!$A$4:$A$103,Amounts!$B$4:$B$103)*0.1*$A$2</f>
        <v>0</v>
      </c>
      <c r="C748" s="68">
        <f t="shared" si="75"/>
        <v>2992395.4285963499</v>
      </c>
      <c r="D748" s="67">
        <f t="array" ref="D748">SUM($B$7:$B743*$F$1009*EXP(-$F$1009*($A748-$A$7:$A743)))*$F$1010</f>
        <v>380944.75723697105</v>
      </c>
      <c r="E748" s="67">
        <f t="shared" si="73"/>
        <v>0.72623754984592348</v>
      </c>
      <c r="F748" s="70">
        <f t="shared" si="77"/>
        <v>4.4097144026644476E-2</v>
      </c>
      <c r="G748" s="67">
        <f>E748/'Lookup Tables'!$C$48</f>
        <v>1.452475099691847</v>
      </c>
      <c r="H748" s="70">
        <f t="shared" si="74"/>
        <v>1.2756016552868058E-4</v>
      </c>
      <c r="I748" s="71">
        <f t="shared" si="78"/>
        <v>2.0915641435562599E-3</v>
      </c>
      <c r="L748" s="74"/>
      <c r="M748" s="74"/>
      <c r="N748" s="74"/>
      <c r="O748" s="74"/>
      <c r="P748" s="74"/>
      <c r="Q748" s="74"/>
      <c r="R748" s="74"/>
      <c r="S748" s="74"/>
      <c r="T748" s="74"/>
      <c r="U748" s="74"/>
      <c r="V748" s="74"/>
      <c r="W748" s="74"/>
      <c r="X748" s="74"/>
      <c r="Y748" s="74"/>
    </row>
    <row r="749" spans="1:25" x14ac:dyDescent="0.3">
      <c r="A749" s="66">
        <f t="shared" si="76"/>
        <v>2064.1999999999325</v>
      </c>
      <c r="B749" s="67">
        <f>LOOKUP(A749+0.01,Amounts!$A$4:$A$103,Amounts!$B$4:$B$103)*0.1*$A$2</f>
        <v>0</v>
      </c>
      <c r="C749" s="68">
        <f t="shared" si="75"/>
        <v>2992395.4285963499</v>
      </c>
      <c r="D749" s="67">
        <f t="array" ref="D749">SUM($B$7:$B744*$F$1009*EXP(-$F$1009*($A749-$A$7:$A744)))*$F$1010</f>
        <v>375648.68961119407</v>
      </c>
      <c r="E749" s="67">
        <f t="shared" si="73"/>
        <v>0.71614106445455206</v>
      </c>
      <c r="F749" s="70">
        <f t="shared" si="77"/>
        <v>4.3484085433680396E-2</v>
      </c>
      <c r="G749" s="67">
        <f>E749/'Lookup Tables'!$C$48</f>
        <v>1.4322821289091041</v>
      </c>
      <c r="H749" s="70">
        <f t="shared" si="74"/>
        <v>1.2578676597359766E-4</v>
      </c>
      <c r="I749" s="71">
        <f t="shared" si="78"/>
        <v>2.0624862656291099E-3</v>
      </c>
      <c r="L749" s="74"/>
      <c r="M749" s="74"/>
      <c r="N749" s="74"/>
      <c r="O749" s="74"/>
      <c r="P749" s="74"/>
      <c r="Q749" s="74"/>
      <c r="R749" s="74"/>
      <c r="S749" s="74"/>
      <c r="T749" s="74"/>
      <c r="U749" s="74"/>
      <c r="V749" s="74"/>
      <c r="W749" s="74"/>
      <c r="X749" s="74"/>
      <c r="Y749" s="74"/>
    </row>
    <row r="750" spans="1:25" x14ac:dyDescent="0.3">
      <c r="A750" s="66">
        <f t="shared" si="76"/>
        <v>2064.2999999999324</v>
      </c>
      <c r="B750" s="67">
        <f>LOOKUP(A750+0.01,Amounts!$A$4:$A$103,Amounts!$B$4:$B$103)*0.1*$A$2</f>
        <v>0</v>
      </c>
      <c r="C750" s="68">
        <f t="shared" si="75"/>
        <v>2992395.4285963499</v>
      </c>
      <c r="D750" s="67">
        <f t="array" ref="D750">SUM($B$7:$B745*$F$1009*EXP(-$F$1009*($A750-$A$7:$A745)))*$F$1010</f>
        <v>370426.25033116533</v>
      </c>
      <c r="E750" s="67">
        <f t="shared" si="73"/>
        <v>0.70618494500443496</v>
      </c>
      <c r="F750" s="70">
        <f t="shared" si="77"/>
        <v>4.2879549860669296E-2</v>
      </c>
      <c r="G750" s="67">
        <f>E750/'Lookup Tables'!$C$48</f>
        <v>1.4123698900088699</v>
      </c>
      <c r="H750" s="70">
        <f t="shared" si="74"/>
        <v>1.2403802102733364E-4</v>
      </c>
      <c r="I750" s="71">
        <f t="shared" si="78"/>
        <v>2.0338126416127728E-3</v>
      </c>
      <c r="L750" s="74"/>
      <c r="M750" s="74"/>
      <c r="N750" s="74"/>
      <c r="O750" s="74"/>
      <c r="P750" s="74"/>
      <c r="Q750" s="74"/>
      <c r="R750" s="74"/>
      <c r="S750" s="74"/>
      <c r="T750" s="74"/>
      <c r="U750" s="74"/>
      <c r="V750" s="74"/>
      <c r="W750" s="74"/>
      <c r="X750" s="74"/>
      <c r="Y750" s="74"/>
    </row>
    <row r="751" spans="1:25" x14ac:dyDescent="0.3">
      <c r="A751" s="66">
        <f t="shared" si="76"/>
        <v>2064.3999999999323</v>
      </c>
      <c r="B751" s="67">
        <f>LOOKUP(A751+0.01,Amounts!$A$4:$A$103,Amounts!$B$4:$B$103)*0.1*$A$2</f>
        <v>0</v>
      </c>
      <c r="C751" s="68">
        <f t="shared" si="75"/>
        <v>2992395.4285963499</v>
      </c>
      <c r="D751" s="67">
        <f t="array" ref="D751">SUM($B$7:$B746*$F$1009*EXP(-$F$1009*($A751-$A$7:$A746)))*$F$1010</f>
        <v>365276.41578206682</v>
      </c>
      <c r="E751" s="67">
        <f t="shared" si="73"/>
        <v>0.69636724006428607</v>
      </c>
      <c r="F751" s="70">
        <f t="shared" si="77"/>
        <v>4.2283418816703451E-2</v>
      </c>
      <c r="G751" s="67">
        <f>E751/'Lookup Tables'!$C$48</f>
        <v>1.3927344801285721</v>
      </c>
      <c r="H751" s="70">
        <f t="shared" si="74"/>
        <v>1.2231358793028042E-4</v>
      </c>
      <c r="I751" s="71">
        <f t="shared" si="78"/>
        <v>2.0055376513851441E-3</v>
      </c>
      <c r="L751" s="74"/>
      <c r="M751" s="74"/>
      <c r="N751" s="74"/>
      <c r="O751" s="74"/>
      <c r="P751" s="74"/>
      <c r="Q751" s="74"/>
      <c r="R751" s="74"/>
      <c r="S751" s="74"/>
      <c r="T751" s="74"/>
      <c r="U751" s="74"/>
      <c r="V751" s="74"/>
      <c r="W751" s="74"/>
      <c r="X751" s="74"/>
      <c r="Y751" s="74"/>
    </row>
    <row r="752" spans="1:25" x14ac:dyDescent="0.3">
      <c r="A752" s="66">
        <f t="shared" si="76"/>
        <v>2064.4999999999322</v>
      </c>
      <c r="B752" s="67">
        <f>LOOKUP(A752+0.01,Amounts!$A$4:$A$103,Amounts!$B$4:$B$103)*0.1*$A$2</f>
        <v>0</v>
      </c>
      <c r="C752" s="68">
        <f t="shared" si="75"/>
        <v>2992395.4285963499</v>
      </c>
      <c r="D752" s="67">
        <f t="array" ref="D752">SUM($B$7:$B747*$F$1009*EXP(-$F$1009*($A752-$A$7:$A747)))*$F$1010</f>
        <v>360198.17657984071</v>
      </c>
      <c r="E752" s="67">
        <f t="shared" si="73"/>
        <v>0.686686025332508</v>
      </c>
      <c r="F752" s="70">
        <f t="shared" si="77"/>
        <v>4.1695575458189887E-2</v>
      </c>
      <c r="G752" s="67">
        <f>E752/'Lookup Tables'!$C$48</f>
        <v>1.373372050665016</v>
      </c>
      <c r="H752" s="70">
        <f t="shared" si="74"/>
        <v>1.2061312868803067E-4</v>
      </c>
      <c r="I752" s="71">
        <f t="shared" si="78"/>
        <v>1.9776557529576229E-3</v>
      </c>
      <c r="L752" s="74"/>
      <c r="M752" s="74"/>
      <c r="N752" s="74"/>
      <c r="O752" s="74"/>
      <c r="P752" s="74"/>
      <c r="Q752" s="74"/>
      <c r="R752" s="74"/>
      <c r="S752" s="74"/>
      <c r="T752" s="74"/>
      <c r="U752" s="74"/>
      <c r="V752" s="74"/>
      <c r="W752" s="74"/>
      <c r="X752" s="74"/>
      <c r="Y752" s="74"/>
    </row>
    <row r="753" spans="1:25" x14ac:dyDescent="0.3">
      <c r="A753" s="66">
        <f t="shared" si="76"/>
        <v>2064.5999999999322</v>
      </c>
      <c r="B753" s="67">
        <f>LOOKUP(A753+0.01,Amounts!$A$4:$A$103,Amounts!$B$4:$B$103)*0.1*$A$2</f>
        <v>0</v>
      </c>
      <c r="C753" s="68">
        <f t="shared" si="75"/>
        <v>2992395.4285963499</v>
      </c>
      <c r="D753" s="67">
        <f t="array" ref="D753">SUM($B$7:$B748*$F$1009*EXP(-$F$1009*($A753-$A$7:$A748)))*$F$1010</f>
        <v>355190.5373733461</v>
      </c>
      <c r="E753" s="67">
        <f t="shared" si="73"/>
        <v>0.67713940326002009</v>
      </c>
      <c r="F753" s="70">
        <f t="shared" si="77"/>
        <v>4.1115904565948429E-2</v>
      </c>
      <c r="G753" s="67">
        <f>E753/'Lookup Tables'!$C$48</f>
        <v>1.3542788065200402</v>
      </c>
      <c r="H753" s="70">
        <f t="shared" si="74"/>
        <v>1.1893631000512909E-4</v>
      </c>
      <c r="I753" s="71">
        <f t="shared" si="78"/>
        <v>1.950161481388858E-3</v>
      </c>
      <c r="L753" s="74"/>
      <c r="M753" s="74"/>
      <c r="N753" s="74"/>
      <c r="O753" s="74"/>
      <c r="P753" s="74"/>
      <c r="Q753" s="74"/>
      <c r="R753" s="74"/>
      <c r="S753" s="74"/>
      <c r="T753" s="74"/>
      <c r="U753" s="74"/>
      <c r="V753" s="74"/>
      <c r="W753" s="74"/>
      <c r="X753" s="74"/>
      <c r="Y753" s="74"/>
    </row>
    <row r="754" spans="1:25" x14ac:dyDescent="0.3">
      <c r="A754" s="66">
        <f t="shared" si="76"/>
        <v>2064.6999999999321</v>
      </c>
      <c r="B754" s="67">
        <f>LOOKUP(A754+0.01,Amounts!$A$4:$A$103,Amounts!$B$4:$B$103)*0.1*$A$2</f>
        <v>0</v>
      </c>
      <c r="C754" s="68">
        <f t="shared" si="75"/>
        <v>2992395.4285963499</v>
      </c>
      <c r="D754" s="67">
        <f t="array" ref="D754">SUM($B$7:$B749*$F$1009*EXP(-$F$1009*($A754-$A$7:$A749)))*$F$1010</f>
        <v>350252.51664926729</v>
      </c>
      <c r="E754" s="67">
        <f t="shared" si="73"/>
        <v>0.66772550267833397</v>
      </c>
      <c r="F754" s="70">
        <f t="shared" si="77"/>
        <v>4.0544292522628443E-2</v>
      </c>
      <c r="G754" s="67">
        <f>E754/'Lookup Tables'!$C$48</f>
        <v>1.3354510053566679</v>
      </c>
      <c r="H754" s="70">
        <f t="shared" si="74"/>
        <v>1.1728280321974573E-4</v>
      </c>
      <c r="I754" s="71">
        <f t="shared" si="78"/>
        <v>1.9230494477136019E-3</v>
      </c>
      <c r="L754" s="74"/>
      <c r="M754" s="74"/>
      <c r="N754" s="74"/>
      <c r="O754" s="74"/>
      <c r="P754" s="74"/>
      <c r="Q754" s="74"/>
      <c r="R754" s="74"/>
      <c r="S754" s="74"/>
      <c r="T754" s="74"/>
      <c r="U754" s="74"/>
      <c r="V754" s="74"/>
      <c r="W754" s="74"/>
      <c r="X754" s="74"/>
      <c r="Y754" s="74"/>
    </row>
    <row r="755" spans="1:25" x14ac:dyDescent="0.3">
      <c r="A755" s="66">
        <f t="shared" si="76"/>
        <v>2064.799999999932</v>
      </c>
      <c r="B755" s="67">
        <f>LOOKUP(A755+0.01,Amounts!$A$4:$A$103,Amounts!$B$4:$B$103)*0.1*$A$2</f>
        <v>0</v>
      </c>
      <c r="C755" s="68">
        <f t="shared" si="75"/>
        <v>2992395.4285963499</v>
      </c>
      <c r="D755" s="67">
        <f t="array" ref="D755">SUM($B$7:$B750*$F$1009*EXP(-$F$1009*($A755-$A$7:$A750)))*$F$1010</f>
        <v>345383.14653973409</v>
      </c>
      <c r="E755" s="67">
        <f t="shared" si="73"/>
        <v>0.65844247843279868</v>
      </c>
      <c r="F755" s="70">
        <f t="shared" si="77"/>
        <v>3.9980627290439538E-2</v>
      </c>
      <c r="G755" s="67">
        <f>E755/'Lookup Tables'!$C$48</f>
        <v>1.3168849568655974</v>
      </c>
      <c r="H755" s="70">
        <f t="shared" si="74"/>
        <v>1.1565228423925722E-4</v>
      </c>
      <c r="I755" s="71">
        <f t="shared" si="78"/>
        <v>1.8963143378864602E-3</v>
      </c>
      <c r="L755" s="74"/>
      <c r="M755" s="74"/>
      <c r="N755" s="74"/>
      <c r="O755" s="74"/>
      <c r="P755" s="74"/>
      <c r="Q755" s="74"/>
      <c r="R755" s="74"/>
      <c r="S755" s="74"/>
      <c r="T755" s="74"/>
      <c r="U755" s="74"/>
      <c r="V755" s="74"/>
      <c r="W755" s="74"/>
      <c r="X755" s="74"/>
      <c r="Y755" s="74"/>
    </row>
    <row r="756" spans="1:25" x14ac:dyDescent="0.3">
      <c r="A756" s="66">
        <f t="shared" si="76"/>
        <v>2064.8999999999319</v>
      </c>
      <c r="B756" s="67">
        <f>LOOKUP(A756+0.01,Amounts!$A$4:$A$103,Amounts!$B$4:$B$103)*0.1*$A$2</f>
        <v>0</v>
      </c>
      <c r="C756" s="68">
        <f t="shared" si="75"/>
        <v>2992395.4285963499</v>
      </c>
      <c r="D756" s="67">
        <f t="array" ref="D756">SUM($B$7:$B751*$F$1009*EXP(-$F$1009*($A756-$A$7:$A751)))*$F$1010</f>
        <v>340581.47263261635</v>
      </c>
      <c r="E756" s="67">
        <f t="shared" si="73"/>
        <v>0.64928851102094354</v>
      </c>
      <c r="F756" s="70">
        <f t="shared" si="77"/>
        <v>3.9424798389191697E-2</v>
      </c>
      <c r="G756" s="67">
        <f>E756/'Lookup Tables'!$C$48</f>
        <v>1.2985770220418871</v>
      </c>
      <c r="H756" s="70">
        <f t="shared" si="74"/>
        <v>1.1404443347672352E-4</v>
      </c>
      <c r="I756" s="71">
        <f t="shared" si="78"/>
        <v>1.8699509117403174E-3</v>
      </c>
      <c r="L756" s="74"/>
      <c r="M756" s="74"/>
      <c r="N756" s="74"/>
      <c r="O756" s="74"/>
      <c r="P756" s="74"/>
      <c r="Q756" s="74"/>
      <c r="R756" s="74"/>
      <c r="S756" s="74"/>
      <c r="T756" s="74"/>
      <c r="U756" s="74"/>
      <c r="V756" s="74"/>
      <c r="W756" s="74"/>
      <c r="X756" s="74"/>
      <c r="Y756" s="74"/>
    </row>
    <row r="757" spans="1:25" x14ac:dyDescent="0.3">
      <c r="A757" s="66">
        <f t="shared" si="76"/>
        <v>2064.9999999999318</v>
      </c>
      <c r="B757" s="67">
        <f>LOOKUP(A757+0.01,Amounts!$A$4:$A$103,Amounts!$B$4:$B$103)*0.1*$A$2</f>
        <v>0</v>
      </c>
      <c r="C757" s="68">
        <f t="shared" si="75"/>
        <v>2992395.4285963499</v>
      </c>
      <c r="D757" s="67">
        <f t="array" ref="D757">SUM($B$7:$B752*$F$1009*EXP(-$F$1009*($A757-$A$7:$A752)))*$F$1010</f>
        <v>335846.55378445634</v>
      </c>
      <c r="E757" s="67">
        <f t="shared" si="73"/>
        <v>0.64026180623585072</v>
      </c>
      <c r="F757" s="70">
        <f t="shared" si="77"/>
        <v>3.8876696874640862E-2</v>
      </c>
      <c r="G757" s="67">
        <f>E757/'Lookup Tables'!$C$48</f>
        <v>1.2805236124717014</v>
      </c>
      <c r="H757" s="70">
        <f t="shared" si="74"/>
        <v>1.1245893578824779E-4</v>
      </c>
      <c r="I757" s="71">
        <f t="shared" si="78"/>
        <v>1.8439540019592501E-3</v>
      </c>
      <c r="L757" s="74"/>
      <c r="M757" s="74"/>
      <c r="N757" s="74"/>
      <c r="O757" s="74"/>
      <c r="P757" s="74"/>
      <c r="Q757" s="74"/>
      <c r="R757" s="74"/>
      <c r="S757" s="74"/>
      <c r="T757" s="74"/>
      <c r="U757" s="74"/>
      <c r="V757" s="74"/>
      <c r="W757" s="74"/>
      <c r="X757" s="74"/>
      <c r="Y757" s="74"/>
    </row>
    <row r="758" spans="1:25" x14ac:dyDescent="0.3">
      <c r="A758" s="66">
        <f t="shared" si="76"/>
        <v>2065.0999999999317</v>
      </c>
      <c r="B758" s="67">
        <f>LOOKUP(A758+0.01,Amounts!$A$4:$A$103,Amounts!$B$4:$B$103)*0.1*$A$2</f>
        <v>0</v>
      </c>
      <c r="C758" s="68">
        <f t="shared" si="75"/>
        <v>2992395.4285963499</v>
      </c>
      <c r="D758" s="67">
        <f t="array" ref="D758">SUM($B$7:$B753*$F$1009*EXP(-$F$1009*($A758-$A$7:$A753)))*$F$1010</f>
        <v>331177.46193600178</v>
      </c>
      <c r="E758" s="67">
        <f t="shared" si="73"/>
        <v>0.63136059481448481</v>
      </c>
      <c r="F758" s="70">
        <f t="shared" si="77"/>
        <v>3.8336215317135519E-2</v>
      </c>
      <c r="G758" s="67">
        <f>E758/'Lookup Tables'!$C$48</f>
        <v>1.2627211896289696</v>
      </c>
      <c r="H758" s="70">
        <f t="shared" si="74"/>
        <v>1.1089548041120745E-4</v>
      </c>
      <c r="I758" s="71">
        <f t="shared" si="78"/>
        <v>1.8183185130657162E-3</v>
      </c>
      <c r="L758" s="74"/>
      <c r="M758" s="74"/>
      <c r="N758" s="74"/>
      <c r="O758" s="74"/>
      <c r="P758" s="74"/>
      <c r="Q758" s="74"/>
      <c r="R758" s="74"/>
      <c r="S758" s="74"/>
      <c r="T758" s="74"/>
      <c r="U758" s="74"/>
      <c r="V758" s="74"/>
      <c r="W758" s="74"/>
      <c r="X758" s="74"/>
      <c r="Y758" s="74"/>
    </row>
    <row r="759" spans="1:25" x14ac:dyDescent="0.3">
      <c r="A759" s="66">
        <f t="shared" si="76"/>
        <v>2065.1999999999316</v>
      </c>
      <c r="B759" s="67">
        <f>LOOKUP(A759+0.01,Amounts!$A$4:$A$103,Amounts!$B$4:$B$103)*0.1*$A$2</f>
        <v>0</v>
      </c>
      <c r="C759" s="68">
        <f t="shared" si="75"/>
        <v>2992395.4285963499</v>
      </c>
      <c r="D759" s="67">
        <f t="array" ref="D759">SUM($B$7:$B754*$F$1009*EXP(-$F$1009*($A759-$A$7:$A754)))*$F$1010</f>
        <v>326573.28193030297</v>
      </c>
      <c r="E759" s="67">
        <f t="shared" si="73"/>
        <v>0.6225831320909111</v>
      </c>
      <c r="F759" s="70">
        <f t="shared" si="77"/>
        <v>3.7803247780560122E-2</v>
      </c>
      <c r="G759" s="67">
        <f>E759/'Lookup Tables'!$C$48</f>
        <v>1.2451662641818222</v>
      </c>
      <c r="H759" s="70">
        <f t="shared" si="74"/>
        <v>1.0935376090334335E-4</v>
      </c>
      <c r="I759" s="71">
        <f t="shared" si="78"/>
        <v>1.7930394204218238E-3</v>
      </c>
      <c r="L759" s="74"/>
      <c r="M759" s="74"/>
      <c r="N759" s="74"/>
      <c r="O759" s="74"/>
      <c r="P759" s="74"/>
      <c r="Q759" s="74"/>
      <c r="R759" s="74"/>
      <c r="S759" s="74"/>
      <c r="T759" s="74"/>
      <c r="U759" s="74"/>
      <c r="V759" s="74"/>
      <c r="W759" s="74"/>
      <c r="X759" s="74"/>
      <c r="Y759" s="74"/>
    </row>
    <row r="760" spans="1:25" x14ac:dyDescent="0.3">
      <c r="A760" s="66">
        <f t="shared" si="76"/>
        <v>2065.2999999999315</v>
      </c>
      <c r="B760" s="67">
        <f>LOOKUP(A760+0.01,Amounts!$A$4:$A$103,Amounts!$B$4:$B$103)*0.1*$A$2</f>
        <v>0</v>
      </c>
      <c r="C760" s="68">
        <f t="shared" si="75"/>
        <v>2992395.4285963499</v>
      </c>
      <c r="D760" s="67">
        <f t="array" ref="D760">SUM($B$7:$B755*$F$1009*EXP(-$F$1009*($A760-$A$7:$A755)))*$F$1010</f>
        <v>322033.11133333907</v>
      </c>
      <c r="E760" s="67">
        <f t="shared" si="73"/>
        <v>0.61392769765433619</v>
      </c>
      <c r="F760" s="70">
        <f t="shared" si="77"/>
        <v>3.7277689801571291E-2</v>
      </c>
      <c r="G760" s="67">
        <f>E760/'Lookup Tables'!$C$48</f>
        <v>1.2278553953086724</v>
      </c>
      <c r="H760" s="70">
        <f t="shared" si="74"/>
        <v>1.078334750826964E-4</v>
      </c>
      <c r="I760" s="71">
        <f t="shared" si="78"/>
        <v>1.7681117692444881E-3</v>
      </c>
      <c r="L760" s="74"/>
      <c r="M760" s="74"/>
      <c r="N760" s="74"/>
      <c r="O760" s="74"/>
      <c r="P760" s="74"/>
      <c r="Q760" s="74"/>
      <c r="R760" s="74"/>
      <c r="S760" s="74"/>
      <c r="T760" s="74"/>
      <c r="U760" s="74"/>
      <c r="V760" s="74"/>
      <c r="W760" s="74"/>
      <c r="X760" s="74"/>
      <c r="Y760" s="74"/>
    </row>
    <row r="761" spans="1:25" x14ac:dyDescent="0.3">
      <c r="A761" s="66">
        <f t="shared" si="76"/>
        <v>2065.3999999999314</v>
      </c>
      <c r="B761" s="67">
        <f>LOOKUP(A761+0.01,Amounts!$A$4:$A$103,Amounts!$B$4:$B$103)*0.1*$A$2</f>
        <v>0</v>
      </c>
      <c r="C761" s="68">
        <f t="shared" si="75"/>
        <v>2992395.4285963499</v>
      </c>
      <c r="D761" s="67">
        <f t="array" ref="D761">SUM($B$7:$B756*$F$1009*EXP(-$F$1009*($A761-$A$7:$A756)))*$F$1010</f>
        <v>317556.06025713857</v>
      </c>
      <c r="E761" s="67">
        <f t="shared" si="73"/>
        <v>0.60539259501190157</v>
      </c>
      <c r="F761" s="70">
        <f t="shared" si="77"/>
        <v>3.6759438369122661E-2</v>
      </c>
      <c r="G761" s="67">
        <f>E761/'Lookup Tables'!$C$48</f>
        <v>1.2107851900238031</v>
      </c>
      <c r="H761" s="70">
        <f t="shared" si="74"/>
        <v>1.0633432496837881E-4</v>
      </c>
      <c r="I761" s="71">
        <f t="shared" si="78"/>
        <v>1.7435306736342765E-3</v>
      </c>
      <c r="L761" s="74"/>
      <c r="M761" s="74"/>
      <c r="N761" s="74"/>
      <c r="O761" s="74"/>
      <c r="P761" s="74"/>
      <c r="Q761" s="74"/>
      <c r="R761" s="74"/>
      <c r="S761" s="74"/>
      <c r="T761" s="74"/>
      <c r="U761" s="74"/>
      <c r="V761" s="74"/>
      <c r="W761" s="74"/>
      <c r="X761" s="74"/>
      <c r="Y761" s="74"/>
    </row>
    <row r="762" spans="1:25" x14ac:dyDescent="0.3">
      <c r="A762" s="66">
        <f t="shared" si="76"/>
        <v>2065.4999999999313</v>
      </c>
      <c r="B762" s="67">
        <f>LOOKUP(A762+0.01,Amounts!$A$4:$A$103,Amounts!$B$4:$B$103)*0.1*$A$2</f>
        <v>0</v>
      </c>
      <c r="C762" s="68">
        <f t="shared" si="75"/>
        <v>2992395.4285963499</v>
      </c>
      <c r="D762" s="67">
        <f t="array" ref="D762">SUM($B$7:$B757*$F$1009*EXP(-$F$1009*($A762-$A$7:$A757)))*$F$1010</f>
        <v>313141.2511853578</v>
      </c>
      <c r="E762" s="67">
        <f t="shared" si="73"/>
        <v>0.59697615125616521</v>
      </c>
      <c r="F762" s="70">
        <f t="shared" si="77"/>
        <v>3.6248391904274348E-2</v>
      </c>
      <c r="G762" s="67">
        <f>E762/'Lookup Tables'!$C$48</f>
        <v>1.1939523025123304</v>
      </c>
      <c r="H762" s="70">
        <f t="shared" si="74"/>
        <v>1.0485601672216886E-4</v>
      </c>
      <c r="I762" s="71">
        <f t="shared" si="78"/>
        <v>1.7192913156177561E-3</v>
      </c>
      <c r="L762" s="74"/>
      <c r="M762" s="74"/>
      <c r="N762" s="74"/>
      <c r="O762" s="74"/>
      <c r="P762" s="74"/>
      <c r="Q762" s="74"/>
      <c r="R762" s="74"/>
      <c r="S762" s="74"/>
      <c r="T762" s="74"/>
      <c r="U762" s="74"/>
      <c r="V762" s="74"/>
      <c r="W762" s="74"/>
      <c r="X762" s="74"/>
      <c r="Y762" s="74"/>
    </row>
    <row r="763" spans="1:25" x14ac:dyDescent="0.3">
      <c r="A763" s="66">
        <f t="shared" si="76"/>
        <v>2065.5999999999312</v>
      </c>
      <c r="B763" s="67">
        <f>LOOKUP(A763+0.01,Amounts!$A$4:$A$103,Amounts!$B$4:$B$103)*0.1*$A$2</f>
        <v>0</v>
      </c>
      <c r="C763" s="68">
        <f t="shared" si="75"/>
        <v>2992395.4285963499</v>
      </c>
      <c r="D763" s="67">
        <f t="array" ref="D763">SUM($B$7:$B758*$F$1009*EXP(-$F$1009*($A763-$A$7:$A758)))*$F$1010</f>
        <v>308787.81880128523</v>
      </c>
      <c r="E763" s="67">
        <f t="shared" si="73"/>
        <v>0.58867671673720667</v>
      </c>
      <c r="F763" s="70">
        <f t="shared" si="77"/>
        <v>3.5744450240283193E-2</v>
      </c>
      <c r="G763" s="67">
        <f>E763/'Lookup Tables'!$C$48</f>
        <v>1.1773534334744133</v>
      </c>
      <c r="H763" s="70">
        <f t="shared" si="74"/>
        <v>1.0339826059091759E-4</v>
      </c>
      <c r="I763" s="71">
        <f t="shared" si="78"/>
        <v>1.6953889442031555E-3</v>
      </c>
      <c r="L763" s="74"/>
      <c r="M763" s="74"/>
      <c r="N763" s="74"/>
      <c r="O763" s="74"/>
      <c r="P763" s="74"/>
      <c r="Q763" s="74"/>
      <c r="R763" s="74"/>
      <c r="S763" s="74"/>
      <c r="T763" s="74"/>
      <c r="U763" s="74"/>
      <c r="V763" s="74"/>
      <c r="W763" s="74"/>
      <c r="X763" s="74"/>
      <c r="Y763" s="74"/>
    </row>
    <row r="764" spans="1:25" x14ac:dyDescent="0.3">
      <c r="A764" s="66">
        <f t="shared" si="76"/>
        <v>2065.6999999999312</v>
      </c>
      <c r="B764" s="67">
        <f>LOOKUP(A764+0.01,Amounts!$A$4:$A$103,Amounts!$B$4:$B$103)*0.1*$A$2</f>
        <v>0</v>
      </c>
      <c r="C764" s="68">
        <f t="shared" si="75"/>
        <v>2992395.4285963499</v>
      </c>
      <c r="D764" s="67">
        <f t="array" ref="D764">SUM($B$7:$B759*$F$1009*EXP(-$F$1009*($A764-$A$7:$A759)))*$F$1010</f>
        <v>304494.90981823689</v>
      </c>
      <c r="E764" s="67">
        <f t="shared" si="73"/>
        <v>0.58049266473929151</v>
      </c>
      <c r="F764" s="70">
        <f t="shared" si="77"/>
        <v>3.5247514602969786E-2</v>
      </c>
      <c r="G764" s="67">
        <f>E764/'Lookup Tables'!$C$48</f>
        <v>1.160985329478583</v>
      </c>
      <c r="H764" s="70">
        <f t="shared" si="74"/>
        <v>1.0196077084975662E-4</v>
      </c>
      <c r="I764" s="71">
        <f t="shared" si="78"/>
        <v>1.6718188744491596E-3</v>
      </c>
      <c r="L764" s="74"/>
      <c r="M764" s="74"/>
      <c r="N764" s="74"/>
      <c r="O764" s="74"/>
      <c r="P764" s="74"/>
      <c r="Q764" s="74"/>
      <c r="R764" s="74"/>
      <c r="S764" s="74"/>
      <c r="T764" s="74"/>
      <c r="U764" s="74"/>
      <c r="V764" s="74"/>
      <c r="W764" s="74"/>
      <c r="X764" s="74"/>
      <c r="Y764" s="74"/>
    </row>
    <row r="765" spans="1:25" x14ac:dyDescent="0.3">
      <c r="A765" s="66">
        <f t="shared" si="76"/>
        <v>2065.7999999999311</v>
      </c>
      <c r="B765" s="67">
        <f>LOOKUP(A765+0.01,Amounts!$A$4:$A$103,Amounts!$B$4:$B$103)*0.1*$A$2</f>
        <v>0</v>
      </c>
      <c r="C765" s="68">
        <f t="shared" si="75"/>
        <v>2992395.4285963499</v>
      </c>
      <c r="D765" s="67">
        <f t="array" ref="D765">SUM($B$7:$B760*$F$1009*EXP(-$F$1009*($A765-$A$7:$A760)))*$F$1010</f>
        <v>300261.68281230878</v>
      </c>
      <c r="E765" s="67">
        <f t="shared" si="73"/>
        <v>0.57242239116202731</v>
      </c>
      <c r="F765" s="70">
        <f t="shared" si="77"/>
        <v>3.4757487591358299E-2</v>
      </c>
      <c r="G765" s="67">
        <f>E765/'Lookup Tables'!$C$48</f>
        <v>1.1448447823240546</v>
      </c>
      <c r="H765" s="70">
        <f t="shared" si="74"/>
        <v>1.0054326574609465E-4</v>
      </c>
      <c r="I765" s="71">
        <f t="shared" si="78"/>
        <v>1.6485764865466388E-3</v>
      </c>
      <c r="L765" s="74"/>
      <c r="M765" s="74"/>
      <c r="N765" s="74"/>
      <c r="O765" s="74"/>
      <c r="P765" s="74"/>
      <c r="Q765" s="74"/>
      <c r="R765" s="74"/>
      <c r="S765" s="74"/>
      <c r="T765" s="74"/>
      <c r="U765" s="74"/>
      <c r="V765" s="74"/>
      <c r="W765" s="74"/>
      <c r="X765" s="74"/>
      <c r="Y765" s="74"/>
    </row>
    <row r="766" spans="1:25" x14ac:dyDescent="0.3">
      <c r="A766" s="66">
        <f t="shared" si="76"/>
        <v>2065.899999999931</v>
      </c>
      <c r="B766" s="67">
        <f>LOOKUP(A766+0.01,Amounts!$A$4:$A$103,Amounts!$B$4:$B$103)*0.1*$A$2</f>
        <v>0</v>
      </c>
      <c r="C766" s="68">
        <f t="shared" si="75"/>
        <v>2992395.4285963499</v>
      </c>
      <c r="D766" s="67">
        <f t="array" ref="D766">SUM($B$7:$B761*$F$1009*EXP(-$F$1009*($A766-$A$7:$A761)))*$F$1010</f>
        <v>296087.30805745581</v>
      </c>
      <c r="E766" s="67">
        <f t="shared" si="73"/>
        <v>0.56446431420595766</v>
      </c>
      <c r="F766" s="70">
        <f t="shared" si="77"/>
        <v>3.427427315858575E-2</v>
      </c>
      <c r="G766" s="67">
        <f>E766/'Lookup Tables'!$C$48</f>
        <v>1.1289286284119153</v>
      </c>
      <c r="H766" s="70">
        <f t="shared" si="74"/>
        <v>9.9145467444393509E-5</v>
      </c>
      <c r="I766" s="71">
        <f t="shared" si="78"/>
        <v>1.6256572249131579E-3</v>
      </c>
      <c r="L766" s="74"/>
      <c r="M766" s="74"/>
      <c r="N766" s="74"/>
      <c r="O766" s="74"/>
      <c r="P766" s="74"/>
      <c r="Q766" s="74"/>
      <c r="R766" s="74"/>
      <c r="S766" s="74"/>
      <c r="T766" s="74"/>
      <c r="U766" s="74"/>
      <c r="V766" s="74"/>
      <c r="W766" s="74"/>
      <c r="X766" s="74"/>
      <c r="Y766" s="74"/>
    </row>
    <row r="767" spans="1:25" x14ac:dyDescent="0.3">
      <c r="A767" s="66">
        <f t="shared" si="76"/>
        <v>2065.9999999999309</v>
      </c>
      <c r="B767" s="67">
        <f>LOOKUP(A767+0.01,Amounts!$A$4:$A$103,Amounts!$B$4:$B$103)*0.1*$A$2</f>
        <v>0</v>
      </c>
      <c r="C767" s="68">
        <f t="shared" si="75"/>
        <v>2992395.4285963499</v>
      </c>
      <c r="D767" s="67">
        <f t="array" ref="D767">SUM($B$7:$B762*$F$1009*EXP(-$F$1009*($A767-$A$7:$A762)))*$F$1010</f>
        <v>291970.96736286237</v>
      </c>
      <c r="E767" s="67">
        <f t="shared" si="73"/>
        <v>0.55661687406252236</v>
      </c>
      <c r="F767" s="70">
        <f t="shared" si="77"/>
        <v>3.3797776593076354E-2</v>
      </c>
      <c r="G767" s="67">
        <f>E767/'Lookup Tables'!$C$48</f>
        <v>1.1132337481250447</v>
      </c>
      <c r="H767" s="70">
        <f t="shared" si="74"/>
        <v>9.7767101971711187E-5</v>
      </c>
      <c r="I767" s="71">
        <f t="shared" si="78"/>
        <v>1.6030565973000643E-3</v>
      </c>
      <c r="L767" s="74"/>
      <c r="M767" s="74"/>
      <c r="N767" s="74"/>
      <c r="O767" s="74"/>
      <c r="P767" s="74"/>
      <c r="Q767" s="74"/>
      <c r="R767" s="74"/>
      <c r="S767" s="74"/>
      <c r="T767" s="74"/>
      <c r="U767" s="74"/>
      <c r="V767" s="74"/>
      <c r="W767" s="74"/>
      <c r="X767" s="74"/>
      <c r="Y767" s="74"/>
    </row>
    <row r="768" spans="1:25" x14ac:dyDescent="0.3">
      <c r="A768" s="66">
        <f t="shared" si="76"/>
        <v>2066.0999999999308</v>
      </c>
      <c r="B768" s="67">
        <f>LOOKUP(A768+0.01,Amounts!$A$4:$A$103,Amounts!$B$4:$B$103)*0.1*$A$2</f>
        <v>0</v>
      </c>
      <c r="C768" s="68">
        <f t="shared" si="75"/>
        <v>2992395.4285963499</v>
      </c>
      <c r="D768" s="67">
        <f t="array" ref="D768">SUM($B$7:$B763*$F$1009*EXP(-$F$1009*($A768-$A$7:$A763)))*$F$1010</f>
        <v>287911.85391257453</v>
      </c>
      <c r="E768" s="67">
        <f t="shared" si="73"/>
        <v>0.54887853260833108</v>
      </c>
      <c r="F768" s="70">
        <f t="shared" si="77"/>
        <v>3.3327904499977863E-2</v>
      </c>
      <c r="G768" s="67">
        <f>E768/'Lookup Tables'!$C$48</f>
        <v>1.0977570652166622</v>
      </c>
      <c r="H768" s="70">
        <f t="shared" si="74"/>
        <v>9.6407899164002451E-5</v>
      </c>
      <c r="I768" s="71">
        <f t="shared" si="78"/>
        <v>1.5807701739119933E-3</v>
      </c>
      <c r="L768" s="74"/>
      <c r="M768" s="74"/>
      <c r="N768" s="74"/>
      <c r="O768" s="74"/>
      <c r="P768" s="74"/>
      <c r="Q768" s="74"/>
      <c r="R768" s="74"/>
      <c r="S768" s="74"/>
      <c r="T768" s="74"/>
      <c r="U768" s="74"/>
      <c r="V768" s="74"/>
      <c r="W768" s="74"/>
      <c r="X768" s="74"/>
      <c r="Y768" s="74"/>
    </row>
    <row r="769" spans="1:25" x14ac:dyDescent="0.3">
      <c r="A769" s="66">
        <f t="shared" si="76"/>
        <v>2066.1999999999307</v>
      </c>
      <c r="B769" s="67">
        <f>LOOKUP(A769+0.01,Amounts!$A$4:$A$103,Amounts!$B$4:$B$103)*0.1*$A$2</f>
        <v>0</v>
      </c>
      <c r="C769" s="68">
        <f t="shared" si="75"/>
        <v>2992395.4285963499</v>
      </c>
      <c r="D769" s="67">
        <f t="array" ref="D769">SUM($B$7:$B764*$F$1009*EXP(-$F$1009*($A769-$A$7:$A764)))*$F$1010</f>
        <v>283909.17210736114</v>
      </c>
      <c r="E769" s="67">
        <f t="shared" si="73"/>
        <v>0.54124777310368521</v>
      </c>
      <c r="F769" s="70">
        <f t="shared" si="77"/>
        <v>3.2864564782855772E-2</v>
      </c>
      <c r="G769" s="67">
        <f>E769/'Lookup Tables'!$C$48</f>
        <v>1.0824955462073704</v>
      </c>
      <c r="H769" s="70">
        <f t="shared" si="74"/>
        <v>9.5067592613165628E-5</v>
      </c>
      <c r="I769" s="71">
        <f t="shared" si="78"/>
        <v>1.5587935865386134E-3</v>
      </c>
      <c r="L769" s="74"/>
      <c r="M769" s="74"/>
      <c r="N769" s="74"/>
      <c r="O769" s="74"/>
      <c r="P769" s="74"/>
      <c r="Q769" s="74"/>
      <c r="R769" s="74"/>
      <c r="S769" s="74"/>
      <c r="T769" s="74"/>
      <c r="U769" s="74"/>
      <c r="V769" s="74"/>
      <c r="W769" s="74"/>
      <c r="X769" s="74"/>
      <c r="Y769" s="74"/>
    </row>
    <row r="770" spans="1:25" x14ac:dyDescent="0.3">
      <c r="A770" s="66">
        <f t="shared" si="76"/>
        <v>2066.2999999999306</v>
      </c>
      <c r="B770" s="67">
        <f>LOOKUP(A770+0.01,Amounts!$A$4:$A$103,Amounts!$B$4:$B$103)*0.1*$A$2</f>
        <v>0</v>
      </c>
      <c r="C770" s="68">
        <f t="shared" si="75"/>
        <v>2992395.4285963499</v>
      </c>
      <c r="D770" s="67">
        <f t="array" ref="D770">SUM($B$7:$B765*$F$1009*EXP(-$F$1009*($A770-$A$7:$A765)))*$F$1010</f>
        <v>279962.13740877464</v>
      </c>
      <c r="E770" s="67">
        <f t="shared" si="73"/>
        <v>0.53372309989529354</v>
      </c>
      <c r="F770" s="70">
        <f t="shared" si="77"/>
        <v>3.240766662564222E-2</v>
      </c>
      <c r="G770" s="67">
        <f>E770/'Lookup Tables'!$C$48</f>
        <v>1.0674461997905871</v>
      </c>
      <c r="H770" s="70">
        <f t="shared" si="74"/>
        <v>9.3745919614826026E-5</v>
      </c>
      <c r="I770" s="71">
        <f t="shared" si="78"/>
        <v>1.5371225276984454E-3</v>
      </c>
      <c r="L770" s="74"/>
      <c r="M770" s="74"/>
      <c r="N770" s="74"/>
      <c r="O770" s="74"/>
      <c r="P770" s="74"/>
      <c r="Q770" s="74"/>
      <c r="R770" s="74"/>
      <c r="S770" s="74"/>
      <c r="T770" s="74"/>
      <c r="U770" s="74"/>
      <c r="V770" s="74"/>
      <c r="W770" s="74"/>
      <c r="X770" s="74"/>
      <c r="Y770" s="74"/>
    </row>
    <row r="771" spans="1:25" x14ac:dyDescent="0.3">
      <c r="A771" s="66">
        <f t="shared" si="76"/>
        <v>2066.3999999999305</v>
      </c>
      <c r="B771" s="67">
        <f>LOOKUP(A771+0.01,Amounts!$A$4:$A$103,Amounts!$B$4:$B$103)*0.1*$A$2</f>
        <v>0</v>
      </c>
      <c r="C771" s="68">
        <f t="shared" si="75"/>
        <v>2992395.4285963499</v>
      </c>
      <c r="D771" s="67">
        <f t="array" ref="D771">SUM($B$7:$B766*$F$1009*EXP(-$F$1009*($A771-$A$7:$A766)))*$F$1010</f>
        <v>276069.97618537809</v>
      </c>
      <c r="E771" s="67">
        <f t="shared" si="73"/>
        <v>0.52630303812311785</v>
      </c>
      <c r="F771" s="70">
        <f t="shared" si="77"/>
        <v>3.1957120474835718E-2</v>
      </c>
      <c r="G771" s="67">
        <f>E771/'Lookup Tables'!$C$48</f>
        <v>1.0526060762462357</v>
      </c>
      <c r="H771" s="70">
        <f t="shared" si="74"/>
        <v>9.2442621116844786E-5</v>
      </c>
      <c r="I771" s="71">
        <f t="shared" si="78"/>
        <v>1.5157527497945793E-3</v>
      </c>
      <c r="L771" s="74"/>
      <c r="M771" s="74"/>
      <c r="N771" s="74"/>
      <c r="O771" s="74"/>
      <c r="P771" s="74"/>
      <c r="Q771" s="74"/>
      <c r="R771" s="74"/>
      <c r="S771" s="74"/>
      <c r="T771" s="74"/>
      <c r="U771" s="74"/>
      <c r="V771" s="74"/>
      <c r="W771" s="74"/>
      <c r="X771" s="74"/>
      <c r="Y771" s="74"/>
    </row>
    <row r="772" spans="1:25" x14ac:dyDescent="0.3">
      <c r="A772" s="66">
        <f t="shared" si="76"/>
        <v>2066.4999999999304</v>
      </c>
      <c r="B772" s="67">
        <f>LOOKUP(A772+0.01,Amounts!$A$4:$A$103,Amounts!$B$4:$B$103)*0.1*$A$2</f>
        <v>0</v>
      </c>
      <c r="C772" s="68">
        <f t="shared" si="75"/>
        <v>2992395.4285963499</v>
      </c>
      <c r="D772" s="67">
        <f t="array" ref="D772">SUM($B$7:$B767*$F$1009*EXP(-$F$1009*($A772-$A$7:$A767)))*$F$1010</f>
        <v>272231.92556111154</v>
      </c>
      <c r="E772" s="67">
        <f t="shared" si="73"/>
        <v>0.5189861334312964</v>
      </c>
      <c r="F772" s="70">
        <f t="shared" si="77"/>
        <v>3.151283802194832E-2</v>
      </c>
      <c r="G772" s="67">
        <f>E772/'Lookup Tables'!$C$48</f>
        <v>1.0379722668625928</v>
      </c>
      <c r="H772" s="70">
        <f t="shared" si="74"/>
        <v>9.1157441668543964E-5</v>
      </c>
      <c r="I772" s="71">
        <f t="shared" si="78"/>
        <v>1.4946800642821336E-3</v>
      </c>
      <c r="L772" s="74"/>
      <c r="M772" s="74"/>
      <c r="N772" s="74"/>
      <c r="O772" s="74"/>
      <c r="P772" s="74"/>
      <c r="Q772" s="74"/>
      <c r="R772" s="74"/>
      <c r="S772" s="74"/>
      <c r="T772" s="74"/>
      <c r="U772" s="74"/>
      <c r="V772" s="74"/>
      <c r="W772" s="74"/>
      <c r="X772" s="74"/>
      <c r="Y772" s="74"/>
    </row>
    <row r="773" spans="1:25" x14ac:dyDescent="0.3">
      <c r="A773" s="66">
        <f t="shared" si="76"/>
        <v>2066.5999999999303</v>
      </c>
      <c r="B773" s="67">
        <f>LOOKUP(A773+0.01,Amounts!$A$4:$A$103,Amounts!$B$4:$B$103)*0.1*$A$2</f>
        <v>0</v>
      </c>
      <c r="C773" s="68">
        <f t="shared" si="75"/>
        <v>2992395.4285963499</v>
      </c>
      <c r="D773" s="67">
        <f t="array" ref="D773">SUM($B$7:$B768*$F$1009*EXP(-$F$1009*($A773-$A$7:$A768)))*$F$1010</f>
        <v>268447.23326576577</v>
      </c>
      <c r="E773" s="67">
        <f t="shared" si="73"/>
        <v>0.51177095168308595</v>
      </c>
      <c r="F773" s="70">
        <f t="shared" si="77"/>
        <v>3.1074732186196975E-2</v>
      </c>
      <c r="G773" s="67">
        <f>E773/'Lookup Tables'!$C$48</f>
        <v>1.0235419033661719</v>
      </c>
      <c r="H773" s="70">
        <f t="shared" si="74"/>
        <v>8.9890129370637434E-5</v>
      </c>
      <c r="I773" s="71">
        <f t="shared" si="78"/>
        <v>1.4739003408472875E-3</v>
      </c>
      <c r="L773" s="74"/>
      <c r="M773" s="74"/>
      <c r="N773" s="74"/>
      <c r="O773" s="74"/>
      <c r="P773" s="74"/>
      <c r="Q773" s="74"/>
      <c r="R773" s="74"/>
      <c r="S773" s="74"/>
      <c r="T773" s="74"/>
      <c r="U773" s="74"/>
      <c r="V773" s="74"/>
      <c r="W773" s="74"/>
      <c r="X773" s="74"/>
      <c r="Y773" s="74"/>
    </row>
    <row r="774" spans="1:25" x14ac:dyDescent="0.3">
      <c r="A774" s="66">
        <f t="shared" si="76"/>
        <v>2066.6999999999302</v>
      </c>
      <c r="B774" s="67">
        <f>LOOKUP(A774+0.01,Amounts!$A$4:$A$103,Amounts!$B$4:$B$103)*0.1*$A$2</f>
        <v>0</v>
      </c>
      <c r="C774" s="68">
        <f t="shared" si="75"/>
        <v>2992395.4285963499</v>
      </c>
      <c r="D774" s="67">
        <f t="array" ref="D774">SUM($B$7:$B769*$F$1009*EXP(-$F$1009*($A774-$A$7:$A769)))*$F$1010</f>
        <v>264715.15748753469</v>
      </c>
      <c r="E774" s="67">
        <f t="shared" si="73"/>
        <v>0.50465607867976536</v>
      </c>
      <c r="F774" s="70">
        <f t="shared" si="77"/>
        <v>3.0642717097435351E-2</v>
      </c>
      <c r="G774" s="67">
        <f>E774/'Lookup Tables'!$C$48</f>
        <v>1.0093121573595307</v>
      </c>
      <c r="H774" s="70">
        <f t="shared" si="74"/>
        <v>8.8640435825857694E-5</v>
      </c>
      <c r="I774" s="71">
        <f t="shared" si="78"/>
        <v>1.4534095065977242E-3</v>
      </c>
      <c r="L774" s="74"/>
      <c r="M774" s="74"/>
      <c r="N774" s="74"/>
      <c r="O774" s="74"/>
      <c r="P774" s="74"/>
      <c r="Q774" s="74"/>
      <c r="R774" s="74"/>
      <c r="S774" s="74"/>
      <c r="T774" s="74"/>
      <c r="U774" s="74"/>
      <c r="V774" s="74"/>
      <c r="W774" s="74"/>
      <c r="X774" s="74"/>
      <c r="Y774" s="74"/>
    </row>
    <row r="775" spans="1:25" x14ac:dyDescent="0.3">
      <c r="A775" s="66">
        <f t="shared" si="76"/>
        <v>2066.7999999999302</v>
      </c>
      <c r="B775" s="67">
        <f>LOOKUP(A775+0.01,Amounts!$A$4:$A$103,Amounts!$B$4:$B$103)*0.1*$A$2</f>
        <v>0</v>
      </c>
      <c r="C775" s="68">
        <f t="shared" si="75"/>
        <v>2992395.4285963499</v>
      </c>
      <c r="D775" s="67">
        <f t="array" ref="D775">SUM($B$7:$B770*$F$1009*EXP(-$F$1009*($A775-$A$7:$A770)))*$F$1010</f>
        <v>261034.96672761795</v>
      </c>
      <c r="E775" s="67">
        <f t="shared" ref="E775:E838" si="79">D775/(365*24*60)*1.00201</f>
        <v>0.49764011988344836</v>
      </c>
      <c r="F775" s="70">
        <f t="shared" si="77"/>
        <v>3.0216708079322984E-2</v>
      </c>
      <c r="G775" s="67">
        <f>E775/'Lookup Tables'!$C$48</f>
        <v>0.99528023976689672</v>
      </c>
      <c r="H775" s="70">
        <f t="shared" ref="H775:H838" si="80">G775*60*24*365/(C775*2000)</f>
        <v>8.7408116090269166E-5</v>
      </c>
      <c r="I775" s="71">
        <f t="shared" si="78"/>
        <v>1.4332035452643314E-3</v>
      </c>
      <c r="L775" s="74"/>
      <c r="M775" s="74"/>
      <c r="N775" s="74"/>
      <c r="O775" s="74"/>
      <c r="P775" s="74"/>
      <c r="Q775" s="74"/>
      <c r="R775" s="74"/>
      <c r="S775" s="74"/>
      <c r="T775" s="74"/>
      <c r="U775" s="74"/>
      <c r="V775" s="74"/>
      <c r="W775" s="74"/>
      <c r="X775" s="74"/>
      <c r="Y775" s="74"/>
    </row>
    <row r="776" spans="1:25" x14ac:dyDescent="0.3">
      <c r="A776" s="66">
        <f t="shared" si="76"/>
        <v>2066.8999999999301</v>
      </c>
      <c r="B776" s="67">
        <f>LOOKUP(A776+0.01,Amounts!$A$4:$A$103,Amounts!$B$4:$B$103)*0.1*$A$2</f>
        <v>0</v>
      </c>
      <c r="C776" s="68">
        <f t="shared" si="75"/>
        <v>2992395.4285963499</v>
      </c>
      <c r="D776" s="67">
        <f t="array" ref="D776">SUM($B$7:$B771*$F$1009*EXP(-$F$1009*($A776-$A$7:$A771)))*$F$1010</f>
        <v>257405.93965684521</v>
      </c>
      <c r="E776" s="67">
        <f t="shared" si="79"/>
        <v>0.49072170014375094</v>
      </c>
      <c r="F776" s="70">
        <f t="shared" si="77"/>
        <v>2.9796621632728559E-2</v>
      </c>
      <c r="G776" s="67">
        <f>E776/'Lookup Tables'!$C$48</f>
        <v>0.98144340028750188</v>
      </c>
      <c r="H776" s="70">
        <f t="shared" si="80"/>
        <v>8.6192928625258671E-5</v>
      </c>
      <c r="I776" s="71">
        <f t="shared" si="78"/>
        <v>1.4132784964140028E-3</v>
      </c>
      <c r="L776" s="74"/>
      <c r="M776" s="74"/>
      <c r="N776" s="74"/>
      <c r="O776" s="74"/>
      <c r="P776" s="74"/>
      <c r="Q776" s="74"/>
      <c r="R776" s="74"/>
      <c r="S776" s="74"/>
      <c r="T776" s="74"/>
      <c r="U776" s="74"/>
      <c r="V776" s="74"/>
      <c r="W776" s="74"/>
      <c r="X776" s="74"/>
      <c r="Y776" s="74"/>
    </row>
    <row r="777" spans="1:25" x14ac:dyDescent="0.3">
      <c r="A777" s="66">
        <f t="shared" si="76"/>
        <v>2066.99999999993</v>
      </c>
      <c r="B777" s="67">
        <f>LOOKUP(A777+0.01,Amounts!$A$4:$A$103,Amounts!$B$4:$B$103)*0.1*$A$2</f>
        <v>0</v>
      </c>
      <c r="C777" s="68">
        <f t="shared" ref="C777:C840" si="81">C776+B777</f>
        <v>2992395.4285963499</v>
      </c>
      <c r="D777" s="67">
        <f t="array" ref="D777">SUM($B$7:$B772*$F$1009*EXP(-$F$1009*($A777-$A$7:$A772)))*$F$1010</f>
        <v>253827.36497429272</v>
      </c>
      <c r="E777" s="67">
        <f t="shared" si="79"/>
        <v>0.48389946342825546</v>
      </c>
      <c r="F777" s="70">
        <f t="shared" si="77"/>
        <v>2.9382375419363671E-2</v>
      </c>
      <c r="G777" s="67">
        <f>E777/'Lookup Tables'!$C$48</f>
        <v>0.96779892685651092</v>
      </c>
      <c r="H777" s="70">
        <f t="shared" si="80"/>
        <v>8.4994635250192787E-5</v>
      </c>
      <c r="I777" s="71">
        <f t="shared" si="78"/>
        <v>1.3936304546733756E-3</v>
      </c>
      <c r="L777" s="74"/>
      <c r="M777" s="74"/>
      <c r="N777" s="74"/>
      <c r="O777" s="74"/>
      <c r="P777" s="74"/>
      <c r="Q777" s="74"/>
      <c r="R777" s="74"/>
      <c r="S777" s="74"/>
      <c r="T777" s="74"/>
      <c r="U777" s="74"/>
      <c r="V777" s="74"/>
      <c r="W777" s="74"/>
      <c r="X777" s="74"/>
      <c r="Y777" s="74"/>
    </row>
    <row r="778" spans="1:25" x14ac:dyDescent="0.3">
      <c r="A778" s="66">
        <f t="shared" si="76"/>
        <v>2067.0999999999299</v>
      </c>
      <c r="B778" s="67">
        <f>LOOKUP(A778+0.01,Amounts!$A$4:$A$103,Amounts!$B$4:$B$103)*0.1*$A$2</f>
        <v>0</v>
      </c>
      <c r="C778" s="68">
        <f t="shared" si="81"/>
        <v>2992395.4285963499</v>
      </c>
      <c r="D778" s="67">
        <f t="array" ref="D778">SUM($B$7:$B773*$F$1009*EXP(-$F$1009*($A778-$A$7:$A773)))*$F$1010</f>
        <v>250298.54126786633</v>
      </c>
      <c r="E778" s="67">
        <f t="shared" si="79"/>
        <v>0.47717207255672517</v>
      </c>
      <c r="F778" s="70">
        <f t="shared" si="77"/>
        <v>2.8973888245644348E-2</v>
      </c>
      <c r="G778" s="67">
        <f>E778/'Lookup Tables'!$C$48</f>
        <v>0.95434414511345034</v>
      </c>
      <c r="H778" s="70">
        <f t="shared" si="80"/>
        <v>8.381300109573382E-5</v>
      </c>
      <c r="I778" s="71">
        <f t="shared" si="78"/>
        <v>1.3742555689633684E-3</v>
      </c>
      <c r="L778" s="74"/>
      <c r="M778" s="74"/>
      <c r="N778" s="74"/>
      <c r="O778" s="74"/>
      <c r="P778" s="74"/>
      <c r="Q778" s="74"/>
      <c r="R778" s="74"/>
      <c r="S778" s="74"/>
      <c r="T778" s="74"/>
      <c r="U778" s="74"/>
      <c r="V778" s="74"/>
      <c r="W778" s="74"/>
      <c r="X778" s="74"/>
      <c r="Y778" s="74"/>
    </row>
    <row r="779" spans="1:25" x14ac:dyDescent="0.3">
      <c r="A779" s="66">
        <f t="shared" si="76"/>
        <v>2067.1999999999298</v>
      </c>
      <c r="B779" s="67">
        <f>LOOKUP(A779+0.01,Amounts!$A$4:$A$103,Amounts!$B$4:$B$103)*0.1*$A$2</f>
        <v>0</v>
      </c>
      <c r="C779" s="68">
        <f t="shared" si="81"/>
        <v>2992395.4285963499</v>
      </c>
      <c r="D779" s="67">
        <f t="array" ref="D779">SUM($B$7:$B774*$F$1009*EXP(-$F$1009*($A779-$A$7:$A774)))*$F$1010</f>
        <v>246818.77687682273</v>
      </c>
      <c r="E779" s="67">
        <f t="shared" si="79"/>
        <v>0.47053820893901288</v>
      </c>
      <c r="F779" s="70">
        <f t="shared" si="77"/>
        <v>2.8571080046776859E-2</v>
      </c>
      <c r="G779" s="67">
        <f>E779/'Lookup Tables'!$C$48</f>
        <v>0.94107641787802576</v>
      </c>
      <c r="H779" s="70">
        <f t="shared" si="80"/>
        <v>8.2647794557804734E-5</v>
      </c>
      <c r="I779" s="71">
        <f t="shared" si="78"/>
        <v>1.3551500417443572E-3</v>
      </c>
      <c r="L779" s="74"/>
      <c r="M779" s="74"/>
      <c r="N779" s="74"/>
      <c r="O779" s="74"/>
      <c r="P779" s="74"/>
      <c r="Q779" s="74"/>
      <c r="R779" s="74"/>
      <c r="S779" s="74"/>
      <c r="T779" s="74"/>
      <c r="U779" s="74"/>
      <c r="V779" s="74"/>
      <c r="W779" s="74"/>
      <c r="X779" s="74"/>
      <c r="Y779" s="74"/>
    </row>
    <row r="780" spans="1:25" x14ac:dyDescent="0.3">
      <c r="A780" s="66">
        <f t="shared" si="76"/>
        <v>2067.2999999999297</v>
      </c>
      <c r="B780" s="67">
        <f>LOOKUP(A780+0.01,Amounts!$A$4:$A$103,Amounts!$B$4:$B$103)*0.1*$A$2</f>
        <v>0</v>
      </c>
      <c r="C780" s="68">
        <f t="shared" si="81"/>
        <v>2992395.4285963499</v>
      </c>
      <c r="D780" s="67">
        <f t="array" ref="D780">SUM($B$7:$B775*$F$1009*EXP(-$F$1009*($A780-$A$7:$A775)))*$F$1010</f>
        <v>243387.38975620124</v>
      </c>
      <c r="E780" s="67">
        <f t="shared" si="79"/>
        <v>0.4639965723166119</v>
      </c>
      <c r="F780" s="70">
        <f t="shared" si="77"/>
        <v>2.8173871871064675E-2</v>
      </c>
      <c r="G780" s="67">
        <f>E780/'Lookup Tables'!$C$48</f>
        <v>0.9279931446332238</v>
      </c>
      <c r="H780" s="70">
        <f t="shared" si="80"/>
        <v>8.1498787252193812E-5</v>
      </c>
      <c r="I780" s="71">
        <f t="shared" si="78"/>
        <v>1.3363101282718424E-3</v>
      </c>
      <c r="L780" s="74"/>
      <c r="M780" s="74"/>
      <c r="N780" s="74"/>
      <c r="O780" s="74"/>
      <c r="P780" s="74"/>
      <c r="Q780" s="74"/>
      <c r="R780" s="74"/>
      <c r="S780" s="74"/>
      <c r="T780" s="74"/>
      <c r="U780" s="74"/>
      <c r="V780" s="74"/>
      <c r="W780" s="74"/>
      <c r="X780" s="74"/>
      <c r="Y780" s="74"/>
    </row>
    <row r="781" spans="1:25" x14ac:dyDescent="0.3">
      <c r="A781" s="66">
        <f t="shared" si="76"/>
        <v>2067.3999999999296</v>
      </c>
      <c r="B781" s="67">
        <f>LOOKUP(A781+0.01,Amounts!$A$4:$A$103,Amounts!$B$4:$B$103)*0.1*$A$2</f>
        <v>0</v>
      </c>
      <c r="C781" s="68">
        <f t="shared" si="81"/>
        <v>2992395.4285963499</v>
      </c>
      <c r="D781" s="67">
        <f t="array" ref="D781">SUM($B$7:$B776*$F$1009*EXP(-$F$1009*($A781-$A$7:$A776)))*$F$1010</f>
        <v>240003.70734314117</v>
      </c>
      <c r="E781" s="67">
        <f t="shared" si="79"/>
        <v>0.45754588050780232</v>
      </c>
      <c r="F781" s="70">
        <f t="shared" si="77"/>
        <v>2.7782185864433755E-2</v>
      </c>
      <c r="G781" s="67">
        <f>E781/'Lookup Tables'!$C$48</f>
        <v>0.91509176101560463</v>
      </c>
      <c r="H781" s="70">
        <f t="shared" si="80"/>
        <v>8.0365753969790783E-5</v>
      </c>
      <c r="I781" s="71">
        <f t="shared" si="78"/>
        <v>1.3177321358624706E-3</v>
      </c>
      <c r="L781" s="74"/>
      <c r="M781" s="74"/>
      <c r="N781" s="74"/>
      <c r="O781" s="74"/>
      <c r="P781" s="74"/>
      <c r="Q781" s="74"/>
      <c r="R781" s="74"/>
      <c r="S781" s="74"/>
      <c r="T781" s="74"/>
      <c r="U781" s="74"/>
      <c r="V781" s="74"/>
      <c r="W781" s="74"/>
      <c r="X781" s="74"/>
      <c r="Y781" s="74"/>
    </row>
    <row r="782" spans="1:25" x14ac:dyDescent="0.3">
      <c r="A782" s="66">
        <f t="shared" si="76"/>
        <v>2067.4999999999295</v>
      </c>
      <c r="B782" s="67">
        <f>LOOKUP(A782+0.01,Amounts!$A$4:$A$103,Amounts!$B$4:$B$103)*0.1*$A$2</f>
        <v>0</v>
      </c>
      <c r="C782" s="68">
        <f t="shared" si="81"/>
        <v>2992395.4285963499</v>
      </c>
      <c r="D782" s="67">
        <f t="array" ref="D782">SUM($B$7:$B777*$F$1009*EXP(-$F$1009*($A782-$A$7:$A777)))*$F$1010</f>
        <v>236667.0664250571</v>
      </c>
      <c r="E782" s="67">
        <f t="shared" si="79"/>
        <v>0.45118486915633843</v>
      </c>
      <c r="F782" s="70">
        <f t="shared" si="77"/>
        <v>2.7395945255172867E-2</v>
      </c>
      <c r="G782" s="67">
        <f>E782/'Lookup Tables'!$C$48</f>
        <v>0.90236973831267686</v>
      </c>
      <c r="H782" s="70">
        <f t="shared" si="80"/>
        <v>7.9248472632445033E-5</v>
      </c>
      <c r="I782" s="71">
        <f t="shared" si="78"/>
        <v>1.2994124231702547E-3</v>
      </c>
      <c r="L782" s="74"/>
      <c r="M782" s="74"/>
      <c r="N782" s="74"/>
      <c r="O782" s="74"/>
      <c r="P782" s="74"/>
      <c r="Q782" s="74"/>
      <c r="R782" s="74"/>
      <c r="S782" s="74"/>
      <c r="T782" s="74"/>
      <c r="U782" s="74"/>
      <c r="V782" s="74"/>
      <c r="W782" s="74"/>
      <c r="X782" s="74"/>
      <c r="Y782" s="74"/>
    </row>
    <row r="783" spans="1:25" x14ac:dyDescent="0.3">
      <c r="A783" s="66">
        <f t="shared" si="76"/>
        <v>2067.5999999999294</v>
      </c>
      <c r="B783" s="67">
        <f>LOOKUP(A783+0.01,Amounts!$A$4:$A$103,Amounts!$B$4:$B$103)*0.1*$A$2</f>
        <v>0</v>
      </c>
      <c r="C783" s="68">
        <f t="shared" si="81"/>
        <v>2992395.4285963499</v>
      </c>
      <c r="D783" s="67">
        <f t="array" ref="D783">SUM($B$7:$B778*$F$1009*EXP(-$F$1009*($A783-$A$7:$A778)))*$F$1010</f>
        <v>233376.81300964739</v>
      </c>
      <c r="E783" s="67">
        <f t="shared" si="79"/>
        <v>0.44491229148363165</v>
      </c>
      <c r="F783" s="70">
        <f t="shared" si="77"/>
        <v>2.7015074338886117E-2</v>
      </c>
      <c r="G783" s="67">
        <f>E783/'Lookup Tables'!$C$48</f>
        <v>0.8898245829672633</v>
      </c>
      <c r="H783" s="70">
        <f t="shared" si="80"/>
        <v>7.8146724249437678E-5</v>
      </c>
      <c r="I783" s="71">
        <f t="shared" si="78"/>
        <v>1.2813473994728593E-3</v>
      </c>
      <c r="L783" s="74"/>
      <c r="M783" s="74"/>
      <c r="N783" s="74"/>
      <c r="O783" s="74"/>
      <c r="P783" s="74"/>
      <c r="Q783" s="74"/>
      <c r="R783" s="74"/>
      <c r="S783" s="74"/>
      <c r="T783" s="74"/>
      <c r="U783" s="74"/>
      <c r="V783" s="74"/>
      <c r="W783" s="74"/>
      <c r="X783" s="74"/>
      <c r="Y783" s="74"/>
    </row>
    <row r="784" spans="1:25" x14ac:dyDescent="0.3">
      <c r="A784" s="66">
        <f t="shared" si="76"/>
        <v>2067.6999999999293</v>
      </c>
      <c r="B784" s="67">
        <f>LOOKUP(A784+0.01,Amounts!$A$4:$A$103,Amounts!$B$4:$B$103)*0.1*$A$2</f>
        <v>0</v>
      </c>
      <c r="C784" s="68">
        <f t="shared" si="81"/>
        <v>2992395.4285963499</v>
      </c>
      <c r="D784" s="67">
        <f t="array" ref="D784">SUM($B$7:$B779*$F$1009*EXP(-$F$1009*($A784-$A$7:$A779)))*$F$1010</f>
        <v>230132.30219670926</v>
      </c>
      <c r="E784" s="67">
        <f t="shared" si="79"/>
        <v>0.43872691804437725</v>
      </c>
      <c r="F784" s="70">
        <f t="shared" si="77"/>
        <v>2.6639498463654585E-2</v>
      </c>
      <c r="G784" s="67">
        <f>E784/'Lookup Tables'!$C$48</f>
        <v>0.87745383608875449</v>
      </c>
      <c r="H784" s="70">
        <f t="shared" si="80"/>
        <v>7.7060292874558492E-5</v>
      </c>
      <c r="I784" s="71">
        <f t="shared" si="78"/>
        <v>1.2635335239678065E-3</v>
      </c>
      <c r="L784" s="74"/>
      <c r="M784" s="74"/>
      <c r="N784" s="74"/>
      <c r="O784" s="74"/>
      <c r="P784" s="74"/>
      <c r="Q784" s="74"/>
      <c r="R784" s="74"/>
      <c r="S784" s="74"/>
      <c r="T784" s="74"/>
      <c r="U784" s="74"/>
      <c r="V784" s="74"/>
      <c r="W784" s="74"/>
      <c r="X784" s="74"/>
      <c r="Y784" s="74"/>
    </row>
    <row r="785" spans="1:25" x14ac:dyDescent="0.3">
      <c r="A785" s="66">
        <f t="shared" si="76"/>
        <v>2067.7999999999292</v>
      </c>
      <c r="B785" s="67">
        <f>LOOKUP(A785+0.01,Amounts!$A$4:$A$103,Amounts!$B$4:$B$103)*0.1*$A$2</f>
        <v>0</v>
      </c>
      <c r="C785" s="68">
        <f t="shared" si="81"/>
        <v>2992395.4285963499</v>
      </c>
      <c r="D785" s="67">
        <f t="array" ref="D785">SUM($B$7:$B780*$F$1009*EXP(-$F$1009*($A785-$A$7:$A780)))*$F$1010</f>
        <v>226932.89805173676</v>
      </c>
      <c r="E785" s="67">
        <f t="shared" si="79"/>
        <v>0.43262753648557983</v>
      </c>
      <c r="F785" s="70">
        <f t="shared" si="77"/>
        <v>2.6269144015404408E-2</v>
      </c>
      <c r="G785" s="67">
        <f>E785/'Lookup Tables'!$C$48</f>
        <v>0.86525507297115967</v>
      </c>
      <c r="H785" s="70">
        <f t="shared" si="80"/>
        <v>7.5988965563780018E-5</v>
      </c>
      <c r="I785" s="71">
        <f t="shared" si="78"/>
        <v>1.24596730507847E-3</v>
      </c>
      <c r="L785" s="74"/>
      <c r="M785" s="74"/>
      <c r="N785" s="74"/>
      <c r="O785" s="74"/>
      <c r="P785" s="74"/>
      <c r="Q785" s="74"/>
      <c r="R785" s="74"/>
      <c r="S785" s="74"/>
      <c r="T785" s="74"/>
      <c r="U785" s="74"/>
      <c r="V785" s="74"/>
      <c r="W785" s="74"/>
      <c r="X785" s="74"/>
      <c r="Y785" s="74"/>
    </row>
    <row r="786" spans="1:25" x14ac:dyDescent="0.3">
      <c r="A786" s="66">
        <f t="shared" si="76"/>
        <v>2067.8999999999292</v>
      </c>
      <c r="B786" s="67">
        <f>LOOKUP(A786+0.01,Amounts!$A$4:$A$103,Amounts!$B$4:$B$103)*0.1*$A$2</f>
        <v>0</v>
      </c>
      <c r="C786" s="68">
        <f t="shared" si="81"/>
        <v>2992395.4285963499</v>
      </c>
      <c r="D786" s="67">
        <f t="array" ref="D786">SUM($B$7:$B781*$F$1009*EXP(-$F$1009*($A786-$A$7:$A781)))*$F$1010</f>
        <v>223777.97348127485</v>
      </c>
      <c r="E786" s="67">
        <f t="shared" si="79"/>
        <v>0.4266129513089274</v>
      </c>
      <c r="F786" s="70">
        <f t="shared" si="77"/>
        <v>2.5903938403478075E-2</v>
      </c>
      <c r="G786" s="67">
        <f>E786/'Lookup Tables'!$C$48</f>
        <v>0.8532259026178548</v>
      </c>
      <c r="H786" s="70">
        <f t="shared" si="80"/>
        <v>7.4932532333519611E-5</v>
      </c>
      <c r="I786" s="71">
        <f t="shared" si="78"/>
        <v>1.228645299769711E-3</v>
      </c>
      <c r="L786" s="74"/>
      <c r="M786" s="74"/>
      <c r="N786" s="74"/>
      <c r="O786" s="74"/>
      <c r="P786" s="74"/>
      <c r="Q786" s="74"/>
      <c r="R786" s="74"/>
      <c r="S786" s="74"/>
      <c r="T786" s="74"/>
      <c r="U786" s="74"/>
      <c r="V786" s="74"/>
      <c r="W786" s="74"/>
      <c r="X786" s="74"/>
      <c r="Y786" s="74"/>
    </row>
    <row r="787" spans="1:25" x14ac:dyDescent="0.3">
      <c r="A787" s="66">
        <f t="shared" ref="A787:A850" si="82">A786+0.1</f>
        <v>2067.9999999999291</v>
      </c>
      <c r="B787" s="67">
        <f>LOOKUP(A787+0.01,Amounts!$A$4:$A$103,Amounts!$B$4:$B$103)*0.1*$A$2</f>
        <v>0</v>
      </c>
      <c r="C787" s="68">
        <f t="shared" si="81"/>
        <v>2992395.4285963499</v>
      </c>
      <c r="D787" s="67">
        <f t="array" ref="D787">SUM($B$7:$B782*$F$1009*EXP(-$F$1009*($A787-$A$7:$A782)))*$F$1010</f>
        <v>220666.91011000774</v>
      </c>
      <c r="E787" s="67">
        <f t="shared" si="79"/>
        <v>0.42068198363647047</v>
      </c>
      <c r="F787" s="70">
        <f t="shared" ref="F787:F850" si="83">E787*60*1012/1000000</f>
        <v>2.554381004640649E-2</v>
      </c>
      <c r="G787" s="67">
        <f>E787/'Lookup Tables'!$C$48</f>
        <v>0.84136396727294094</v>
      </c>
      <c r="H787" s="70">
        <f t="shared" si="80"/>
        <v>7.3890786119482104E-5</v>
      </c>
      <c r="I787" s="71">
        <f t="shared" ref="I787:I850" si="84">G787*60*24/1000000</f>
        <v>1.211564112873035E-3</v>
      </c>
      <c r="L787" s="74"/>
      <c r="M787" s="74"/>
      <c r="N787" s="74"/>
      <c r="O787" s="74"/>
      <c r="P787" s="74"/>
      <c r="Q787" s="74"/>
      <c r="R787" s="74"/>
      <c r="S787" s="74"/>
      <c r="T787" s="74"/>
      <c r="U787" s="74"/>
      <c r="V787" s="74"/>
      <c r="W787" s="74"/>
      <c r="X787" s="74"/>
      <c r="Y787" s="74"/>
    </row>
    <row r="788" spans="1:25" x14ac:dyDescent="0.3">
      <c r="A788" s="66">
        <f t="shared" si="82"/>
        <v>2068.099999999929</v>
      </c>
      <c r="B788" s="67">
        <f>LOOKUP(A788+0.01,Amounts!$A$4:$A$103,Amounts!$B$4:$B$103)*0.1*$A$2</f>
        <v>0</v>
      </c>
      <c r="C788" s="68">
        <f t="shared" si="81"/>
        <v>2992395.4285963499</v>
      </c>
      <c r="D788" s="67">
        <f t="array" ref="D788">SUM($B$7:$B783*$F$1009*EXP(-$F$1009*($A788-$A$7:$A783)))*$F$1010</f>
        <v>217599.09815955511</v>
      </c>
      <c r="E788" s="67">
        <f t="shared" si="79"/>
        <v>0.41483347097955831</v>
      </c>
      <c r="F788" s="70">
        <f t="shared" si="83"/>
        <v>2.5188688357878783E-2</v>
      </c>
      <c r="G788" s="67">
        <f>E788/'Lookup Tables'!$C$48</f>
        <v>0.82966694195911661</v>
      </c>
      <c r="H788" s="70">
        <f t="shared" si="80"/>
        <v>7.2863522736074624E-5</v>
      </c>
      <c r="I788" s="71">
        <f t="shared" si="84"/>
        <v>1.1947203964211279E-3</v>
      </c>
      <c r="L788" s="74"/>
      <c r="M788" s="74"/>
      <c r="N788" s="74"/>
      <c r="O788" s="74"/>
      <c r="P788" s="74"/>
      <c r="Q788" s="74"/>
      <c r="R788" s="74"/>
      <c r="S788" s="74"/>
      <c r="T788" s="74"/>
      <c r="U788" s="74"/>
      <c r="V788" s="74"/>
      <c r="W788" s="74"/>
      <c r="X788" s="74"/>
      <c r="Y788" s="74"/>
    </row>
    <row r="789" spans="1:25" x14ac:dyDescent="0.3">
      <c r="A789" s="66">
        <f t="shared" si="82"/>
        <v>2068.1999999999289</v>
      </c>
      <c r="B789" s="67">
        <f>LOOKUP(A789+0.01,Amounts!$A$4:$A$103,Amounts!$B$4:$B$103)*0.1*$A$2</f>
        <v>0</v>
      </c>
      <c r="C789" s="68">
        <f t="shared" si="81"/>
        <v>2992395.4285963499</v>
      </c>
      <c r="D789" s="67">
        <f t="array" ref="D789">SUM($B$7:$B784*$F$1009*EXP(-$F$1009*($A789-$A$7:$A784)))*$F$1010</f>
        <v>214573.93632895345</v>
      </c>
      <c r="E789" s="67">
        <f t="shared" si="79"/>
        <v>0.40906626701098681</v>
      </c>
      <c r="F789" s="70">
        <f t="shared" si="83"/>
        <v>2.4838503732907122E-2</v>
      </c>
      <c r="G789" s="67">
        <f>E789/'Lookup Tables'!$C$48</f>
        <v>0.81813253402197361</v>
      </c>
      <c r="H789" s="70">
        <f t="shared" si="80"/>
        <v>7.1850540836385278E-5</v>
      </c>
      <c r="I789" s="71">
        <f t="shared" si="84"/>
        <v>1.178110848991642E-3</v>
      </c>
      <c r="L789" s="74"/>
      <c r="M789" s="74"/>
      <c r="N789" s="74"/>
      <c r="O789" s="74"/>
      <c r="P789" s="74"/>
      <c r="Q789" s="74"/>
      <c r="R789" s="74"/>
      <c r="S789" s="74"/>
      <c r="T789" s="74"/>
      <c r="U789" s="74"/>
      <c r="V789" s="74"/>
      <c r="W789" s="74"/>
      <c r="X789" s="74"/>
      <c r="Y789" s="74"/>
    </row>
    <row r="790" spans="1:25" x14ac:dyDescent="0.3">
      <c r="A790" s="66">
        <f t="shared" si="82"/>
        <v>2068.2999999999288</v>
      </c>
      <c r="B790" s="67">
        <f>LOOKUP(A790+0.01,Amounts!$A$4:$A$103,Amounts!$B$4:$B$103)*0.1*$A$2</f>
        <v>0</v>
      </c>
      <c r="C790" s="68">
        <f t="shared" si="81"/>
        <v>2992395.4285963499</v>
      </c>
      <c r="D790" s="67">
        <f t="array" ref="D790">SUM($B$7:$B785*$F$1009*EXP(-$F$1009*($A790-$A$7:$A785)))*$F$1010</f>
        <v>211590.8316767994</v>
      </c>
      <c r="E790" s="67">
        <f t="shared" si="79"/>
        <v>0.40337924134031539</v>
      </c>
      <c r="F790" s="70">
        <f t="shared" si="83"/>
        <v>2.449318753418395E-2</v>
      </c>
      <c r="G790" s="67">
        <f>E790/'Lookup Tables'!$C$48</f>
        <v>0.80675848268063077</v>
      </c>
      <c r="H790" s="70">
        <f t="shared" si="80"/>
        <v>7.085164187271892E-5</v>
      </c>
      <c r="I790" s="71">
        <f t="shared" si="84"/>
        <v>1.1617322150601086E-3</v>
      </c>
      <c r="L790" s="74"/>
      <c r="M790" s="74"/>
      <c r="N790" s="74"/>
      <c r="O790" s="74"/>
      <c r="P790" s="74"/>
      <c r="Q790" s="74"/>
      <c r="R790" s="74"/>
      <c r="S790" s="74"/>
      <c r="T790" s="74"/>
      <c r="U790" s="74"/>
      <c r="V790" s="74"/>
      <c r="W790" s="74"/>
      <c r="X790" s="74"/>
      <c r="Y790" s="74"/>
    </row>
    <row r="791" spans="1:25" x14ac:dyDescent="0.3">
      <c r="A791" s="66">
        <f t="shared" si="82"/>
        <v>2068.3999999999287</v>
      </c>
      <c r="B791" s="67">
        <f>LOOKUP(A791+0.01,Amounts!$A$4:$A$103,Amounts!$B$4:$B$103)*0.1*$A$2</f>
        <v>0</v>
      </c>
      <c r="C791" s="68">
        <f t="shared" si="81"/>
        <v>2992395.4285963499</v>
      </c>
      <c r="D791" s="67">
        <f t="array" ref="D791">SUM($B$7:$B786*$F$1009*EXP(-$F$1009*($A791-$A$7:$A786)))*$F$1010</f>
        <v>208649.19950503108</v>
      </c>
      <c r="E791" s="67">
        <f t="shared" si="79"/>
        <v>0.39777127929230632</v>
      </c>
      <c r="F791" s="70">
        <f t="shared" si="83"/>
        <v>2.415267207862884E-2</v>
      </c>
      <c r="G791" s="67">
        <f>E791/'Lookup Tables'!$C$48</f>
        <v>0.79554255858461265</v>
      </c>
      <c r="H791" s="70">
        <f t="shared" si="80"/>
        <v>6.9866630057680763E-5</v>
      </c>
      <c r="I791" s="71">
        <f t="shared" si="84"/>
        <v>1.1455812843618423E-3</v>
      </c>
      <c r="L791" s="74"/>
      <c r="M791" s="74"/>
      <c r="N791" s="74"/>
      <c r="O791" s="74"/>
      <c r="P791" s="74"/>
      <c r="Q791" s="74"/>
      <c r="R791" s="74"/>
      <c r="S791" s="74"/>
      <c r="T791" s="74"/>
      <c r="U791" s="74"/>
      <c r="V791" s="74"/>
      <c r="W791" s="74"/>
      <c r="X791" s="74"/>
      <c r="Y791" s="74"/>
    </row>
    <row r="792" spans="1:25" x14ac:dyDescent="0.3">
      <c r="A792" s="66">
        <f t="shared" si="82"/>
        <v>2068.4999999999286</v>
      </c>
      <c r="B792" s="67">
        <f>LOOKUP(A792+0.01,Amounts!$A$4:$A$103,Amounts!$B$4:$B$103)*0.1*$A$2</f>
        <v>0</v>
      </c>
      <c r="C792" s="68">
        <f t="shared" si="81"/>
        <v>2992395.4285963499</v>
      </c>
      <c r="D792" s="67">
        <f t="array" ref="D792">SUM($B$7:$B787*$F$1009*EXP(-$F$1009*($A792-$A$7:$A787)))*$F$1010</f>
        <v>205748.46324432574</v>
      </c>
      <c r="E792" s="67">
        <f t="shared" si="79"/>
        <v>0.3922412816884453</v>
      </c>
      <c r="F792" s="70">
        <f t="shared" si="83"/>
        <v>2.38168906241224E-2</v>
      </c>
      <c r="G792" s="67">
        <f>E792/'Lookup Tables'!$C$48</f>
        <v>0.7844825633768906</v>
      </c>
      <c r="H792" s="70">
        <f t="shared" si="80"/>
        <v>6.8895312325801733E-5</v>
      </c>
      <c r="I792" s="71">
        <f t="shared" si="84"/>
        <v>1.1296548912627224E-3</v>
      </c>
      <c r="L792" s="74"/>
      <c r="M792" s="74"/>
      <c r="N792" s="74"/>
      <c r="O792" s="74"/>
      <c r="P792" s="74"/>
      <c r="Q792" s="74"/>
      <c r="R792" s="74"/>
      <c r="S792" s="74"/>
      <c r="T792" s="74"/>
      <c r="U792" s="74"/>
      <c r="V792" s="74"/>
      <c r="W792" s="74"/>
      <c r="X792" s="74"/>
      <c r="Y792" s="74"/>
    </row>
    <row r="793" spans="1:25" x14ac:dyDescent="0.3">
      <c r="A793" s="66">
        <f t="shared" si="82"/>
        <v>2068.5999999999285</v>
      </c>
      <c r="B793" s="67">
        <f>LOOKUP(A793+0.01,Amounts!$A$4:$A$103,Amounts!$B$4:$B$103)*0.1*$A$2</f>
        <v>0</v>
      </c>
      <c r="C793" s="68">
        <f t="shared" si="81"/>
        <v>2992395.4285963499</v>
      </c>
      <c r="D793" s="67">
        <f t="array" ref="D793">SUM($B$7:$B788*$F$1009*EXP(-$F$1009*($A793-$A$7:$A788)))*$F$1010</f>
        <v>202888.05434108988</v>
      </c>
      <c r="E793" s="67">
        <f t="shared" si="79"/>
        <v>0.38678816463149829</v>
      </c>
      <c r="F793" s="70">
        <f t="shared" si="83"/>
        <v>2.3485777356424577E-2</v>
      </c>
      <c r="G793" s="67">
        <f>E793/'Lookup Tables'!$C$48</f>
        <v>0.77357632926299658</v>
      </c>
      <c r="H793" s="70">
        <f t="shared" si="80"/>
        <v>6.7937498295696829E-5</v>
      </c>
      <c r="I793" s="71">
        <f t="shared" si="84"/>
        <v>1.113949914138715E-3</v>
      </c>
      <c r="L793" s="74"/>
      <c r="M793" s="74"/>
      <c r="N793" s="74"/>
      <c r="O793" s="74"/>
      <c r="P793" s="74"/>
      <c r="Q793" s="74"/>
      <c r="R793" s="74"/>
      <c r="S793" s="74"/>
      <c r="T793" s="74"/>
      <c r="U793" s="74"/>
      <c r="V793" s="74"/>
      <c r="W793" s="74"/>
      <c r="X793" s="74"/>
      <c r="Y793" s="74"/>
    </row>
    <row r="794" spans="1:25" x14ac:dyDescent="0.3">
      <c r="A794" s="66">
        <f t="shared" si="82"/>
        <v>2068.6999999999284</v>
      </c>
      <c r="B794" s="67">
        <f>LOOKUP(A794+0.01,Amounts!$A$4:$A$103,Amounts!$B$4:$B$103)*0.1*$A$2</f>
        <v>0</v>
      </c>
      <c r="C794" s="68">
        <f t="shared" si="81"/>
        <v>2992395.4285963499</v>
      </c>
      <c r="D794" s="67">
        <f t="array" ref="D794">SUM($B$7:$B789*$F$1009*EXP(-$F$1009*($A794-$A$7:$A789)))*$F$1010</f>
        <v>200067.41214602138</v>
      </c>
      <c r="E794" s="67">
        <f t="shared" si="79"/>
        <v>0.3814108592930649</v>
      </c>
      <c r="F794" s="70">
        <f t="shared" si="83"/>
        <v>2.3159267376274901E-2</v>
      </c>
      <c r="G794" s="67">
        <f>E794/'Lookup Tables'!$C$48</f>
        <v>0.76282171858612979</v>
      </c>
      <c r="H794" s="70">
        <f t="shared" si="80"/>
        <v>6.6993000232749869E-5</v>
      </c>
      <c r="I794" s="71">
        <f t="shared" si="84"/>
        <v>1.0984632747640269E-3</v>
      </c>
      <c r="L794" s="74"/>
      <c r="M794" s="74"/>
      <c r="N794" s="74"/>
      <c r="O794" s="74"/>
      <c r="P794" s="74"/>
      <c r="Q794" s="74"/>
      <c r="R794" s="74"/>
      <c r="S794" s="74"/>
      <c r="T794" s="74"/>
      <c r="U794" s="74"/>
      <c r="V794" s="74"/>
      <c r="W794" s="74"/>
      <c r="X794" s="74"/>
      <c r="Y794" s="74"/>
    </row>
    <row r="795" spans="1:25" x14ac:dyDescent="0.3">
      <c r="A795" s="66">
        <f t="shared" si="82"/>
        <v>2068.7999999999283</v>
      </c>
      <c r="B795" s="67">
        <f>LOOKUP(A795+0.01,Amounts!$A$4:$A$103,Amounts!$B$4:$B$103)*0.1*$A$2</f>
        <v>0</v>
      </c>
      <c r="C795" s="68">
        <f t="shared" si="81"/>
        <v>2992395.4285963499</v>
      </c>
      <c r="D795" s="67">
        <f t="array" ref="D795">SUM($B$7:$B790*$F$1009*EXP(-$F$1009*($A795-$A$7:$A790)))*$F$1010</f>
        <v>197285.98380422007</v>
      </c>
      <c r="E795" s="67">
        <f t="shared" si="79"/>
        <v>0.37610831170408404</v>
      </c>
      <c r="F795" s="70">
        <f t="shared" si="83"/>
        <v>2.2837296686671983E-2</v>
      </c>
      <c r="G795" s="67">
        <f>E795/'Lookup Tables'!$C$48</f>
        <v>0.75221662340816808</v>
      </c>
      <c r="H795" s="70">
        <f t="shared" si="80"/>
        <v>6.6061633012316816E-5</v>
      </c>
      <c r="I795" s="71">
        <f t="shared" si="84"/>
        <v>1.083191937707762E-3</v>
      </c>
      <c r="L795" s="74"/>
      <c r="M795" s="74"/>
      <c r="N795" s="74"/>
      <c r="O795" s="74"/>
      <c r="P795" s="74"/>
      <c r="Q795" s="74"/>
      <c r="R795" s="74"/>
      <c r="S795" s="74"/>
      <c r="T795" s="74"/>
      <c r="U795" s="74"/>
      <c r="V795" s="74"/>
      <c r="W795" s="74"/>
      <c r="X795" s="74"/>
      <c r="Y795" s="74"/>
    </row>
    <row r="796" spans="1:25" x14ac:dyDescent="0.3">
      <c r="A796" s="66">
        <f t="shared" si="82"/>
        <v>2068.8999999999282</v>
      </c>
      <c r="B796" s="67">
        <f>LOOKUP(A796+0.01,Amounts!$A$4:$A$103,Amounts!$B$4:$B$103)*0.1*$A$2</f>
        <v>0</v>
      </c>
      <c r="C796" s="68">
        <f t="shared" si="81"/>
        <v>2992395.4285963499</v>
      </c>
      <c r="D796" s="67">
        <f t="array" ref="D796">SUM($B$7:$B791*$F$1009*EXP(-$F$1009*($A796-$A$7:$A791)))*$F$1010</f>
        <v>194543.22414682663</v>
      </c>
      <c r="E796" s="67">
        <f t="shared" si="79"/>
        <v>0.37087948254825298</v>
      </c>
      <c r="F796" s="70">
        <f t="shared" si="83"/>
        <v>2.251980218032992E-2</v>
      </c>
      <c r="G796" s="67">
        <f>E796/'Lookup Tables'!$C$48</f>
        <v>0.74175896509650596</v>
      </c>
      <c r="H796" s="70">
        <f t="shared" si="80"/>
        <v>6.5143214083440858E-5</v>
      </c>
      <c r="I796" s="71">
        <f t="shared" si="84"/>
        <v>1.0681329097389685E-3</v>
      </c>
      <c r="L796" s="74"/>
      <c r="M796" s="74"/>
      <c r="N796" s="74"/>
      <c r="O796" s="74"/>
      <c r="P796" s="74"/>
      <c r="Q796" s="74"/>
      <c r="R796" s="74"/>
      <c r="S796" s="74"/>
      <c r="T796" s="74"/>
      <c r="U796" s="74"/>
      <c r="V796" s="74"/>
      <c r="W796" s="74"/>
      <c r="X796" s="74"/>
      <c r="Y796" s="74"/>
    </row>
    <row r="797" spans="1:25" x14ac:dyDescent="0.3">
      <c r="A797" s="66">
        <f t="shared" si="82"/>
        <v>2068.9999999999281</v>
      </c>
      <c r="B797" s="67">
        <f>LOOKUP(A797+0.01,Amounts!$A$4:$A$103,Amounts!$B$4:$B$103)*0.1*$A$2</f>
        <v>0</v>
      </c>
      <c r="C797" s="68">
        <f t="shared" si="81"/>
        <v>2992395.4285963499</v>
      </c>
      <c r="D797" s="67">
        <f t="array" ref="D797">SUM($B$7:$B792*$F$1009*EXP(-$F$1009*($A797-$A$7:$A792)))*$F$1010</f>
        <v>191838.59558416772</v>
      </c>
      <c r="E797" s="67">
        <f t="shared" si="79"/>
        <v>0.36572334695831793</v>
      </c>
      <c r="F797" s="70">
        <f t="shared" si="83"/>
        <v>2.2206721627309065E-2</v>
      </c>
      <c r="G797" s="67">
        <f>E797/'Lookup Tables'!$C$48</f>
        <v>0.73144669391663586</v>
      </c>
      <c r="H797" s="70">
        <f t="shared" si="80"/>
        <v>6.4237563433071725E-5</v>
      </c>
      <c r="I797" s="71">
        <f t="shared" si="84"/>
        <v>1.0532832392399554E-3</v>
      </c>
      <c r="L797" s="74"/>
      <c r="M797" s="74"/>
      <c r="N797" s="74"/>
      <c r="O797" s="74"/>
      <c r="P797" s="74"/>
      <c r="Q797" s="74"/>
      <c r="R797" s="74"/>
      <c r="S797" s="74"/>
      <c r="T797" s="74"/>
      <c r="U797" s="74"/>
      <c r="V797" s="74"/>
      <c r="W797" s="74"/>
      <c r="X797" s="74"/>
      <c r="Y797" s="74"/>
    </row>
    <row r="798" spans="1:25" x14ac:dyDescent="0.3">
      <c r="A798" s="66">
        <f t="shared" si="82"/>
        <v>2069.0999999999281</v>
      </c>
      <c r="B798" s="67">
        <f>LOOKUP(A798+0.01,Amounts!$A$4:$A$103,Amounts!$B$4:$B$103)*0.1*$A$2</f>
        <v>0</v>
      </c>
      <c r="C798" s="68">
        <f t="shared" si="81"/>
        <v>2992395.4285963499</v>
      </c>
      <c r="D798" s="67">
        <f t="array" ref="D798">SUM($B$7:$B793*$F$1009*EXP(-$F$1009*($A798-$A$7:$A793)))*$F$1010</f>
        <v>189171.56800038653</v>
      </c>
      <c r="E798" s="67">
        <f t="shared" si="79"/>
        <v>0.36063889431519658</v>
      </c>
      <c r="F798" s="70">
        <f t="shared" si="83"/>
        <v>2.1897993662818735E-2</v>
      </c>
      <c r="G798" s="67">
        <f>E798/'Lookup Tables'!$C$48</f>
        <v>0.72127778863039316</v>
      </c>
      <c r="H798" s="70">
        <f t="shared" si="80"/>
        <v>6.3344503550782677E-5</v>
      </c>
      <c r="I798" s="71">
        <f t="shared" si="84"/>
        <v>1.0386400156277662E-3</v>
      </c>
      <c r="L798" s="74"/>
      <c r="M798" s="74"/>
      <c r="N798" s="74"/>
      <c r="O798" s="74"/>
      <c r="P798" s="74"/>
      <c r="Q798" s="74"/>
      <c r="R798" s="74"/>
      <c r="S798" s="74"/>
      <c r="T798" s="74"/>
      <c r="U798" s="74"/>
      <c r="V798" s="74"/>
      <c r="W798" s="74"/>
      <c r="X798" s="74"/>
      <c r="Y798" s="74"/>
    </row>
    <row r="799" spans="1:25" x14ac:dyDescent="0.3">
      <c r="A799" s="66">
        <f t="shared" si="82"/>
        <v>2069.199999999928</v>
      </c>
      <c r="B799" s="67">
        <f>LOOKUP(A799+0.01,Amounts!$A$4:$A$103,Amounts!$B$4:$B$103)*0.1*$A$2</f>
        <v>0</v>
      </c>
      <c r="C799" s="68">
        <f t="shared" si="81"/>
        <v>2992395.4285963499</v>
      </c>
      <c r="D799" s="67">
        <f t="array" ref="D799">SUM($B$7:$B794*$F$1009*EXP(-$F$1009*($A799-$A$7:$A794)))*$F$1010</f>
        <v>186541.61864953852</v>
      </c>
      <c r="E799" s="67">
        <f t="shared" si="79"/>
        <v>0.35562512804989366</v>
      </c>
      <c r="F799" s="70">
        <f t="shared" si="83"/>
        <v>2.159355777518954E-2</v>
      </c>
      <c r="G799" s="67">
        <f>E799/'Lookup Tables'!$C$48</f>
        <v>0.71125025609978731</v>
      </c>
      <c r="H799" s="70">
        <f t="shared" si="80"/>
        <v>6.2463859393977722E-5</v>
      </c>
      <c r="I799" s="71">
        <f t="shared" si="84"/>
        <v>1.0242003687836938E-3</v>
      </c>
      <c r="L799" s="74"/>
      <c r="M799" s="74"/>
      <c r="N799" s="74"/>
      <c r="O799" s="74"/>
      <c r="P799" s="74"/>
      <c r="Q799" s="74"/>
      <c r="R799" s="74"/>
      <c r="S799" s="74"/>
      <c r="T799" s="74"/>
      <c r="U799" s="74"/>
      <c r="V799" s="74"/>
      <c r="W799" s="74"/>
      <c r="X799" s="74"/>
      <c r="Y799" s="74"/>
    </row>
    <row r="800" spans="1:25" x14ac:dyDescent="0.3">
      <c r="A800" s="66">
        <f t="shared" si="82"/>
        <v>2069.2999999999279</v>
      </c>
      <c r="B800" s="67">
        <f>LOOKUP(A800+0.01,Amounts!$A$4:$A$103,Amounts!$B$4:$B$103)*0.1*$A$2</f>
        <v>0</v>
      </c>
      <c r="C800" s="68">
        <f t="shared" si="81"/>
        <v>2992395.4285963499</v>
      </c>
      <c r="D800" s="67">
        <f t="array" ref="D800">SUM($B$7:$B795*$F$1009*EXP(-$F$1009*($A800-$A$7:$A795)))*$F$1010</f>
        <v>183948.23205313156</v>
      </c>
      <c r="E800" s="67">
        <f t="shared" si="79"/>
        <v>0.3506810654481704</v>
      </c>
      <c r="F800" s="70">
        <f t="shared" si="83"/>
        <v>2.1293354294012908E-2</v>
      </c>
      <c r="G800" s="67">
        <f>E800/'Lookup Tables'!$C$48</f>
        <v>0.70136213089634081</v>
      </c>
      <c r="H800" s="70">
        <f t="shared" si="80"/>
        <v>6.1595458353582921E-5</v>
      </c>
      <c r="I800" s="71">
        <f t="shared" si="84"/>
        <v>1.0099614684907308E-3</v>
      </c>
      <c r="L800" s="74"/>
      <c r="M800" s="74"/>
      <c r="N800" s="74"/>
      <c r="O800" s="74"/>
      <c r="P800" s="74"/>
      <c r="Q800" s="74"/>
      <c r="R800" s="74"/>
      <c r="S800" s="74"/>
      <c r="T800" s="74"/>
      <c r="U800" s="74"/>
      <c r="V800" s="74"/>
      <c r="W800" s="74"/>
      <c r="X800" s="74"/>
      <c r="Y800" s="74"/>
    </row>
    <row r="801" spans="1:25" x14ac:dyDescent="0.3">
      <c r="A801" s="66">
        <f t="shared" si="82"/>
        <v>2069.3999999999278</v>
      </c>
      <c r="B801" s="67">
        <f>LOOKUP(A801+0.01,Amounts!$A$4:$A$103,Amounts!$B$4:$B$103)*0.1*$A$2</f>
        <v>0</v>
      </c>
      <c r="C801" s="68">
        <f t="shared" si="81"/>
        <v>2992395.4285963499</v>
      </c>
      <c r="D801" s="67">
        <f t="array" ref="D801">SUM($B$7:$B796*$F$1009*EXP(-$F$1009*($A801-$A$7:$A796)))*$F$1010</f>
        <v>181390.89989909035</v>
      </c>
      <c r="E801" s="67">
        <f t="shared" si="79"/>
        <v>0.34580573745792909</v>
      </c>
      <c r="F801" s="70">
        <f t="shared" si="83"/>
        <v>2.0997324378445453E-2</v>
      </c>
      <c r="G801" s="67">
        <f>E801/'Lookup Tables'!$C$48</f>
        <v>0.69161147491585817</v>
      </c>
      <c r="H801" s="70">
        <f t="shared" si="80"/>
        <v>6.073913022021426E-5</v>
      </c>
      <c r="I801" s="71">
        <f t="shared" si="84"/>
        <v>9.9592052387883589E-4</v>
      </c>
      <c r="L801" s="74"/>
      <c r="M801" s="74"/>
      <c r="N801" s="74"/>
      <c r="O801" s="74"/>
      <c r="P801" s="74"/>
      <c r="Q801" s="74"/>
      <c r="R801" s="74"/>
      <c r="S801" s="74"/>
      <c r="T801" s="74"/>
      <c r="U801" s="74"/>
      <c r="V801" s="74"/>
      <c r="W801" s="74"/>
      <c r="X801" s="74"/>
      <c r="Y801" s="74"/>
    </row>
    <row r="802" spans="1:25" x14ac:dyDescent="0.3">
      <c r="A802" s="66">
        <f t="shared" si="82"/>
        <v>2069.4999999999277</v>
      </c>
      <c r="B802" s="67">
        <f>LOOKUP(A802+0.01,Amounts!$A$4:$A$103,Amounts!$B$4:$B$103)*0.1*$A$2</f>
        <v>0</v>
      </c>
      <c r="C802" s="68">
        <f t="shared" si="81"/>
        <v>2992395.4285963499</v>
      </c>
      <c r="D802" s="67">
        <f t="array" ref="D802">SUM($B$7:$B797*$F$1009*EXP(-$F$1009*($A802-$A$7:$A797)))*$F$1010</f>
        <v>178869.12094212594</v>
      </c>
      <c r="E802" s="67">
        <f t="shared" si="79"/>
        <v>0.34099818849927632</v>
      </c>
      <c r="F802" s="70">
        <f t="shared" si="83"/>
        <v>2.0705410005676057E-2</v>
      </c>
      <c r="G802" s="67">
        <f>E802/'Lookup Tables'!$C$48</f>
        <v>0.68199637699855264</v>
      </c>
      <c r="H802" s="70">
        <f t="shared" si="80"/>
        <v>5.9894707150816249E-5</v>
      </c>
      <c r="I802" s="71">
        <f t="shared" si="84"/>
        <v>9.820747828779158E-4</v>
      </c>
      <c r="L802" s="74"/>
      <c r="M802" s="74"/>
      <c r="N802" s="74"/>
      <c r="O802" s="74"/>
      <c r="P802" s="74"/>
      <c r="Q802" s="74"/>
      <c r="R802" s="74"/>
      <c r="S802" s="74"/>
      <c r="T802" s="74"/>
      <c r="U802" s="74"/>
      <c r="V802" s="74"/>
      <c r="W802" s="74"/>
      <c r="X802" s="74"/>
      <c r="Y802" s="74"/>
    </row>
    <row r="803" spans="1:25" x14ac:dyDescent="0.3">
      <c r="A803" s="66">
        <f t="shared" si="82"/>
        <v>2069.5999999999276</v>
      </c>
      <c r="B803" s="67">
        <f>LOOKUP(A803+0.01,Amounts!$A$4:$A$103,Amounts!$B$4:$B$103)*0.1*$A$2</f>
        <v>0</v>
      </c>
      <c r="C803" s="68">
        <f t="shared" si="81"/>
        <v>2992395.4285963499</v>
      </c>
      <c r="D803" s="67">
        <f t="array" ref="D803">SUM($B$7:$B798*$F$1009*EXP(-$F$1009*($A803-$A$7:$A798)))*$F$1010</f>
        <v>176382.40090548946</v>
      </c>
      <c r="E803" s="67">
        <f t="shared" si="79"/>
        <v>0.33625747627722508</v>
      </c>
      <c r="F803" s="70">
        <f t="shared" si="83"/>
        <v>2.0417553959553105E-2</v>
      </c>
      <c r="G803" s="67">
        <f>E803/'Lookup Tables'!$C$48</f>
        <v>0.67251495255445015</v>
      </c>
      <c r="H803" s="70">
        <f t="shared" si="80"/>
        <v>5.906202363576391E-5</v>
      </c>
      <c r="I803" s="71">
        <f t="shared" si="84"/>
        <v>9.6842153167840824E-4</v>
      </c>
      <c r="L803" s="74"/>
      <c r="M803" s="74"/>
      <c r="N803" s="74"/>
      <c r="O803" s="74"/>
      <c r="P803" s="74"/>
      <c r="Q803" s="74"/>
      <c r="R803" s="74"/>
      <c r="S803" s="74"/>
      <c r="T803" s="74"/>
      <c r="U803" s="74"/>
      <c r="V803" s="74"/>
      <c r="W803" s="74"/>
      <c r="X803" s="74"/>
      <c r="Y803" s="74"/>
    </row>
    <row r="804" spans="1:25" x14ac:dyDescent="0.3">
      <c r="A804" s="66">
        <f t="shared" si="82"/>
        <v>2069.6999999999275</v>
      </c>
      <c r="B804" s="67">
        <f>LOOKUP(A804+0.01,Amounts!$A$4:$A$103,Amounts!$B$4:$B$103)*0.1*$A$2</f>
        <v>0</v>
      </c>
      <c r="C804" s="68">
        <f t="shared" si="81"/>
        <v>2992395.4285963499</v>
      </c>
      <c r="D804" s="67">
        <f t="array" ref="D804">SUM($B$7:$B799*$F$1009*EXP(-$F$1009*($A804-$A$7:$A799)))*$F$1010</f>
        <v>173930.25238409295</v>
      </c>
      <c r="E804" s="67">
        <f t="shared" si="79"/>
        <v>0.33158267159700339</v>
      </c>
      <c r="F804" s="70">
        <f t="shared" si="83"/>
        <v>2.0133699819370049E-2</v>
      </c>
      <c r="G804" s="67">
        <f>E804/'Lookup Tables'!$C$48</f>
        <v>0.66316534319400677</v>
      </c>
      <c r="H804" s="70">
        <f t="shared" si="80"/>
        <v>5.8240916466422647E-5</v>
      </c>
      <c r="I804" s="71">
        <f t="shared" si="84"/>
        <v>9.5495809419936988E-4</v>
      </c>
      <c r="L804" s="74"/>
      <c r="M804" s="74"/>
      <c r="N804" s="74"/>
      <c r="O804" s="74"/>
      <c r="P804" s="74"/>
      <c r="Q804" s="74"/>
      <c r="R804" s="74"/>
      <c r="S804" s="74"/>
      <c r="T804" s="74"/>
      <c r="U804" s="74"/>
      <c r="V804" s="74"/>
      <c r="W804" s="74"/>
      <c r="X804" s="74"/>
      <c r="Y804" s="74"/>
    </row>
    <row r="805" spans="1:25" x14ac:dyDescent="0.3">
      <c r="A805" s="66">
        <f t="shared" si="82"/>
        <v>2069.7999999999274</v>
      </c>
      <c r="B805" s="67">
        <f>LOOKUP(A805+0.01,Amounts!$A$4:$A$103,Amounts!$B$4:$B$103)*0.1*$A$2</f>
        <v>0</v>
      </c>
      <c r="C805" s="68">
        <f t="shared" si="81"/>
        <v>2992395.4285963499</v>
      </c>
      <c r="D805" s="67">
        <f t="array" ref="D805">SUM($B$7:$B800*$F$1009*EXP(-$F$1009*($A805-$A$7:$A800)))*$F$1010</f>
        <v>171512.19474897604</v>
      </c>
      <c r="E805" s="67">
        <f t="shared" si="79"/>
        <v>0.32697285818192823</v>
      </c>
      <c r="F805" s="70">
        <f t="shared" si="83"/>
        <v>1.9853791948806682E-2</v>
      </c>
      <c r="G805" s="67">
        <f>E805/'Lookup Tables'!$C$48</f>
        <v>0.65394571636385646</v>
      </c>
      <c r="H805" s="70">
        <f t="shared" si="80"/>
        <v>5.7431224703158573E-5</v>
      </c>
      <c r="I805" s="71">
        <f t="shared" si="84"/>
        <v>9.4168183156395321E-4</v>
      </c>
      <c r="L805" s="74"/>
      <c r="M805" s="74"/>
      <c r="N805" s="74"/>
      <c r="O805" s="74"/>
      <c r="P805" s="74"/>
      <c r="Q805" s="74"/>
      <c r="R805" s="74"/>
      <c r="S805" s="74"/>
      <c r="T805" s="74"/>
      <c r="U805" s="74"/>
      <c r="V805" s="74"/>
      <c r="W805" s="74"/>
      <c r="X805" s="74"/>
      <c r="Y805" s="74"/>
    </row>
    <row r="806" spans="1:25" x14ac:dyDescent="0.3">
      <c r="A806" s="66">
        <f t="shared" si="82"/>
        <v>2069.8999999999273</v>
      </c>
      <c r="B806" s="67">
        <f>LOOKUP(A806+0.01,Amounts!$A$4:$A$103,Amounts!$B$4:$B$103)*0.1*$A$2</f>
        <v>0</v>
      </c>
      <c r="C806" s="68">
        <f t="shared" si="81"/>
        <v>2992395.4285963499</v>
      </c>
      <c r="D806" s="67">
        <f t="array" ref="D806">SUM($B$7:$B801*$F$1009*EXP(-$F$1009*($A806-$A$7:$A801)))*$F$1010</f>
        <v>169127.75405310109</v>
      </c>
      <c r="E806" s="67">
        <f t="shared" si="79"/>
        <v>0.3224271324938125</v>
      </c>
      <c r="F806" s="70">
        <f t="shared" si="83"/>
        <v>1.9577775485024294E-2</v>
      </c>
      <c r="G806" s="67">
        <f>E806/'Lookup Tables'!$C$48</f>
        <v>0.64485426498762499</v>
      </c>
      <c r="H806" s="70">
        <f t="shared" si="80"/>
        <v>5.6632789643793993E-5</v>
      </c>
      <c r="I806" s="71">
        <f t="shared" si="84"/>
        <v>9.2859014158217998E-4</v>
      </c>
      <c r="L806" s="74"/>
      <c r="M806" s="74"/>
      <c r="N806" s="74"/>
      <c r="O806" s="74"/>
      <c r="P806" s="74"/>
      <c r="Q806" s="74"/>
      <c r="R806" s="74"/>
      <c r="S806" s="74"/>
      <c r="T806" s="74"/>
      <c r="U806" s="74"/>
      <c r="V806" s="74"/>
      <c r="W806" s="74"/>
      <c r="X806" s="74"/>
      <c r="Y806" s="74"/>
    </row>
    <row r="807" spans="1:25" x14ac:dyDescent="0.3">
      <c r="A807" s="66">
        <f t="shared" si="82"/>
        <v>2069.9999999999272</v>
      </c>
      <c r="B807" s="67">
        <f>LOOKUP(A807+0.01,Amounts!$A$4:$A$103,Amounts!$B$4:$B$103)*0.1*$A$2</f>
        <v>0</v>
      </c>
      <c r="C807" s="68">
        <f t="shared" si="81"/>
        <v>2992395.4285963499</v>
      </c>
      <c r="D807" s="67">
        <f t="array" ref="D807">SUM($B$7:$B802*$F$1009*EXP(-$F$1009*($A807-$A$7:$A802)))*$F$1010</f>
        <v>166776.46293845843</v>
      </c>
      <c r="E807" s="67">
        <f t="shared" si="79"/>
        <v>0.31794460355586895</v>
      </c>
      <c r="F807" s="70">
        <f t="shared" si="83"/>
        <v>1.9305596327912362E-2</v>
      </c>
      <c r="G807" s="67">
        <f>E807/'Lookup Tables'!$C$48</f>
        <v>0.63588920711173791</v>
      </c>
      <c r="H807" s="70">
        <f t="shared" si="80"/>
        <v>5.584545479250121E-5</v>
      </c>
      <c r="I807" s="71">
        <f t="shared" si="84"/>
        <v>9.1568045824090257E-4</v>
      </c>
      <c r="L807" s="74"/>
      <c r="M807" s="74"/>
      <c r="N807" s="74"/>
      <c r="O807" s="74"/>
      <c r="P807" s="74"/>
      <c r="Q807" s="74"/>
      <c r="R807" s="74"/>
      <c r="S807" s="74"/>
      <c r="T807" s="74"/>
      <c r="U807" s="74"/>
      <c r="V807" s="74"/>
      <c r="W807" s="74"/>
      <c r="X807" s="74"/>
      <c r="Y807" s="74"/>
    </row>
    <row r="808" spans="1:25" x14ac:dyDescent="0.3">
      <c r="A808" s="66">
        <f t="shared" si="82"/>
        <v>2070.0999999999271</v>
      </c>
      <c r="B808" s="67">
        <f>LOOKUP(A808+0.01,Amounts!$A$4:$A$103,Amounts!$B$4:$B$103)*0.1*$A$2</f>
        <v>0</v>
      </c>
      <c r="C808" s="68">
        <f t="shared" si="81"/>
        <v>2992395.4285963499</v>
      </c>
      <c r="D808" s="67">
        <f t="array" ref="D808">SUM($B$7:$B803*$F$1009*EXP(-$F$1009*($A808-$A$7:$A803)))*$F$1010</f>
        <v>164457.86054446214</v>
      </c>
      <c r="E808" s="67">
        <f t="shared" si="79"/>
        <v>0.31352439277807553</v>
      </c>
      <c r="F808" s="70">
        <f t="shared" si="83"/>
        <v>1.9037201129484742E-2</v>
      </c>
      <c r="G808" s="67">
        <f>E808/'Lookup Tables'!$C$48</f>
        <v>0.62704878555615107</v>
      </c>
      <c r="H808" s="70">
        <f t="shared" si="80"/>
        <v>5.5069065829128807E-5</v>
      </c>
      <c r="I808" s="71">
        <f t="shared" si="84"/>
        <v>9.0295025120085744E-4</v>
      </c>
      <c r="L808" s="74"/>
      <c r="M808" s="74"/>
      <c r="N808" s="74"/>
      <c r="O808" s="74"/>
      <c r="P808" s="74"/>
      <c r="Q808" s="74"/>
      <c r="R808" s="74"/>
      <c r="S808" s="74"/>
      <c r="T808" s="74"/>
      <c r="U808" s="74"/>
      <c r="V808" s="74"/>
      <c r="W808" s="74"/>
      <c r="X808" s="74"/>
      <c r="Y808" s="74"/>
    </row>
    <row r="809" spans="1:25" x14ac:dyDescent="0.3">
      <c r="A809" s="66">
        <f t="shared" si="82"/>
        <v>2070.1999999999271</v>
      </c>
      <c r="B809" s="67">
        <f>LOOKUP(A809+0.01,Amounts!$A$4:$A$103,Amounts!$B$4:$B$103)*0.1*$A$2</f>
        <v>0</v>
      </c>
      <c r="C809" s="68">
        <f t="shared" si="81"/>
        <v>2992395.4285963499</v>
      </c>
      <c r="D809" s="67">
        <f t="array" ref="D809">SUM($B$7:$B804*$F$1009*EXP(-$F$1009*($A809-$A$7:$A804)))*$F$1010</f>
        <v>162171.49241762035</v>
      </c>
      <c r="E809" s="67">
        <f t="shared" si="79"/>
        <v>0.30916563378496914</v>
      </c>
      <c r="F809" s="70">
        <f t="shared" si="83"/>
        <v>1.8772537283423325E-2</v>
      </c>
      <c r="G809" s="67">
        <f>E809/'Lookup Tables'!$C$48</f>
        <v>0.61833126756993828</v>
      </c>
      <c r="H809" s="70">
        <f t="shared" si="80"/>
        <v>5.4303470578954477E-5</v>
      </c>
      <c r="I809" s="71">
        <f t="shared" si="84"/>
        <v>8.9039702530071098E-4</v>
      </c>
      <c r="L809" s="74"/>
      <c r="M809" s="74"/>
      <c r="N809" s="74"/>
      <c r="O809" s="74"/>
      <c r="P809" s="74"/>
      <c r="Q809" s="74"/>
      <c r="R809" s="74"/>
      <c r="S809" s="74"/>
      <c r="T809" s="74"/>
      <c r="U809" s="74"/>
      <c r="V809" s="74"/>
      <c r="W809" s="74"/>
      <c r="X809" s="74"/>
      <c r="Y809" s="74"/>
    </row>
    <row r="810" spans="1:25" x14ac:dyDescent="0.3">
      <c r="A810" s="66">
        <f t="shared" si="82"/>
        <v>2070.299999999927</v>
      </c>
      <c r="B810" s="67">
        <f>LOOKUP(A810+0.01,Amounts!$A$4:$A$103,Amounts!$B$4:$B$103)*0.1*$A$2</f>
        <v>0</v>
      </c>
      <c r="C810" s="68">
        <f t="shared" si="81"/>
        <v>2992395.4285963499</v>
      </c>
      <c r="D810" s="67">
        <f t="array" ref="D810">SUM($B$7:$B805*$F$1009*EXP(-$F$1009*($A810-$A$7:$A805)))*$F$1010</f>
        <v>159916.91042246079</v>
      </c>
      <c r="E810" s="67">
        <f t="shared" si="79"/>
        <v>0.30486747224583322</v>
      </c>
      <c r="F810" s="70">
        <f t="shared" si="83"/>
        <v>1.8511552914766992E-2</v>
      </c>
      <c r="G810" s="67">
        <f>E810/'Lookup Tables'!$C$48</f>
        <v>0.60973494449166643</v>
      </c>
      <c r="H810" s="70">
        <f t="shared" si="80"/>
        <v>5.3548518982858272E-5</v>
      </c>
      <c r="I810" s="71">
        <f t="shared" si="84"/>
        <v>8.7801832006799961E-4</v>
      </c>
      <c r="L810" s="74"/>
      <c r="M810" s="74"/>
      <c r="N810" s="74"/>
      <c r="O810" s="74"/>
      <c r="P810" s="74"/>
      <c r="Q810" s="74"/>
      <c r="R810" s="74"/>
      <c r="S810" s="74"/>
      <c r="T810" s="74"/>
      <c r="U810" s="74"/>
      <c r="V810" s="74"/>
      <c r="W810" s="74"/>
      <c r="X810" s="74"/>
      <c r="Y810" s="74"/>
    </row>
    <row r="811" spans="1:25" x14ac:dyDescent="0.3">
      <c r="A811" s="66">
        <f t="shared" si="82"/>
        <v>2070.3999999999269</v>
      </c>
      <c r="B811" s="67">
        <f>LOOKUP(A811+0.01,Amounts!$A$4:$A$103,Amounts!$B$4:$B$103)*0.1*$A$2</f>
        <v>0</v>
      </c>
      <c r="C811" s="68">
        <f t="shared" si="81"/>
        <v>2992395.4285963499</v>
      </c>
      <c r="D811" s="67">
        <f t="array" ref="D811">SUM($B$7:$B806*$F$1009*EXP(-$F$1009*($A811-$A$7:$A806)))*$F$1010</f>
        <v>157693.67265369467</v>
      </c>
      <c r="E811" s="67">
        <f t="shared" si="79"/>
        <v>0.30062906570724618</v>
      </c>
      <c r="F811" s="70">
        <f t="shared" si="83"/>
        <v>1.8254196869743989E-2</v>
      </c>
      <c r="G811" s="67">
        <f>E811/'Lookup Tables'!$C$48</f>
        <v>0.60125813141449236</v>
      </c>
      <c r="H811" s="70">
        <f t="shared" si="80"/>
        <v>5.280406306791045E-5</v>
      </c>
      <c r="I811" s="71">
        <f t="shared" si="84"/>
        <v>8.6581170923686885E-4</v>
      </c>
      <c r="L811" s="74"/>
      <c r="M811" s="74"/>
      <c r="N811" s="74"/>
      <c r="O811" s="74"/>
      <c r="P811" s="74"/>
      <c r="Q811" s="74"/>
      <c r="R811" s="74"/>
      <c r="S811" s="74"/>
      <c r="T811" s="74"/>
      <c r="U811" s="74"/>
      <c r="V811" s="74"/>
      <c r="W811" s="74"/>
      <c r="X811" s="74"/>
      <c r="Y811" s="74"/>
    </row>
    <row r="812" spans="1:25" x14ac:dyDescent="0.3">
      <c r="A812" s="66">
        <f t="shared" si="82"/>
        <v>2070.4999999999268</v>
      </c>
      <c r="B812" s="67">
        <f>LOOKUP(A812+0.01,Amounts!$A$4:$A$103,Amounts!$B$4:$B$103)*0.1*$A$2</f>
        <v>0</v>
      </c>
      <c r="C812" s="68">
        <f t="shared" si="81"/>
        <v>2992395.4285963499</v>
      </c>
      <c r="D812" s="67">
        <f t="array" ref="D812">SUM($B$7:$B807*$F$1009*EXP(-$F$1009*($A812-$A$7:$A807)))*$F$1010</f>
        <v>155501.34334960187</v>
      </c>
      <c r="E812" s="67">
        <f t="shared" si="79"/>
        <v>0.29644958342795774</v>
      </c>
      <c r="F812" s="70">
        <f t="shared" si="83"/>
        <v>1.8000418705745598E-2</v>
      </c>
      <c r="G812" s="67">
        <f>E812/'Lookup Tables'!$C$48</f>
        <v>0.59289916685591548</v>
      </c>
      <c r="H812" s="70">
        <f t="shared" si="80"/>
        <v>5.206995691836845E-5</v>
      </c>
      <c r="I812" s="71">
        <f t="shared" si="84"/>
        <v>8.5377480027251835E-4</v>
      </c>
      <c r="L812" s="74"/>
      <c r="M812" s="74"/>
      <c r="N812" s="74"/>
      <c r="O812" s="74"/>
      <c r="P812" s="74"/>
      <c r="Q812" s="74"/>
      <c r="R812" s="74"/>
      <c r="S812" s="74"/>
      <c r="T812" s="74"/>
      <c r="U812" s="74"/>
      <c r="V812" s="74"/>
      <c r="W812" s="74"/>
      <c r="X812" s="74"/>
      <c r="Y812" s="74"/>
    </row>
    <row r="813" spans="1:25" x14ac:dyDescent="0.3">
      <c r="A813" s="66">
        <f t="shared" si="82"/>
        <v>2070.5999999999267</v>
      </c>
      <c r="B813" s="67">
        <f>LOOKUP(A813+0.01,Amounts!$A$4:$A$103,Amounts!$B$4:$B$103)*0.1*$A$2</f>
        <v>0</v>
      </c>
      <c r="C813" s="68">
        <f t="shared" si="81"/>
        <v>2992395.4285963499</v>
      </c>
      <c r="D813" s="67">
        <f t="array" ref="D813">SUM($B$7:$B808*$F$1009*EXP(-$F$1009*($A813-$A$7:$A808)))*$F$1010</f>
        <v>153339.49280662049</v>
      </c>
      <c r="E813" s="67">
        <f t="shared" si="79"/>
        <v>0.29232820621606126</v>
      </c>
      <c r="F813" s="70">
        <f t="shared" si="83"/>
        <v>1.7750168681439239E-2</v>
      </c>
      <c r="G813" s="67">
        <f>E813/'Lookup Tables'!$C$48</f>
        <v>0.58465641243212252</v>
      </c>
      <c r="H813" s="70">
        <f t="shared" si="80"/>
        <v>5.1346056647076792E-5</v>
      </c>
      <c r="I813" s="71">
        <f t="shared" si="84"/>
        <v>8.4190523390225639E-4</v>
      </c>
      <c r="L813" s="74"/>
      <c r="M813" s="74"/>
      <c r="N813" s="74"/>
      <c r="O813" s="74"/>
      <c r="P813" s="74"/>
      <c r="Q813" s="74"/>
      <c r="R813" s="74"/>
      <c r="S813" s="74"/>
      <c r="T813" s="74"/>
      <c r="U813" s="74"/>
      <c r="V813" s="74"/>
      <c r="W813" s="74"/>
      <c r="X813" s="74"/>
      <c r="Y813" s="74"/>
    </row>
    <row r="814" spans="1:25" x14ac:dyDescent="0.3">
      <c r="A814" s="66">
        <f t="shared" si="82"/>
        <v>2070.6999999999266</v>
      </c>
      <c r="B814" s="67">
        <f>LOOKUP(A814+0.01,Amounts!$A$4:$A$103,Amounts!$B$4:$B$103)*0.1*$A$2</f>
        <v>0</v>
      </c>
      <c r="C814" s="68">
        <f t="shared" si="81"/>
        <v>2992395.4285963499</v>
      </c>
      <c r="D814" s="67">
        <f t="array" ref="D814">SUM($B$7:$B809*$F$1009*EXP(-$F$1009*($A814-$A$7:$A809)))*$F$1010</f>
        <v>151207.69729512322</v>
      </c>
      <c r="E814" s="67">
        <f t="shared" si="79"/>
        <v>0.28826412626842923</v>
      </c>
      <c r="F814" s="70">
        <f t="shared" si="83"/>
        <v>1.7503397747019023E-2</v>
      </c>
      <c r="G814" s="67">
        <f>E814/'Lookup Tables'!$C$48</f>
        <v>0.57652825253685847</v>
      </c>
      <c r="H814" s="70">
        <f t="shared" si="80"/>
        <v>5.0632220367264867E-5</v>
      </c>
      <c r="I814" s="71">
        <f t="shared" si="84"/>
        <v>8.3020068365307611E-4</v>
      </c>
      <c r="L814" s="74"/>
      <c r="M814" s="74"/>
      <c r="N814" s="74"/>
      <c r="O814" s="74"/>
      <c r="P814" s="74"/>
      <c r="Q814" s="74"/>
      <c r="R814" s="74"/>
      <c r="S814" s="74"/>
      <c r="T814" s="74"/>
      <c r="U814" s="74"/>
      <c r="V814" s="74"/>
      <c r="W814" s="74"/>
      <c r="X814" s="74"/>
      <c r="Y814" s="74"/>
    </row>
    <row r="815" spans="1:25" x14ac:dyDescent="0.3">
      <c r="A815" s="66">
        <f t="shared" si="82"/>
        <v>2070.7999999999265</v>
      </c>
      <c r="B815" s="67">
        <f>LOOKUP(A815+0.01,Amounts!$A$4:$A$103,Amounts!$B$4:$B$103)*0.1*$A$2</f>
        <v>0</v>
      </c>
      <c r="C815" s="68">
        <f t="shared" si="81"/>
        <v>2992395.4285963499</v>
      </c>
      <c r="D815" s="67">
        <f t="array" ref="D815">SUM($B$7:$B810*$F$1009*EXP(-$F$1009*($A815-$A$7:$A810)))*$F$1010</f>
        <v>149105.53897636509</v>
      </c>
      <c r="E815" s="67">
        <f t="shared" si="79"/>
        <v>0.28425654701238129</v>
      </c>
      <c r="F815" s="70">
        <f t="shared" si="83"/>
        <v>1.7260057534591793E-2</v>
      </c>
      <c r="G815" s="67">
        <f>E815/'Lookup Tables'!$C$48</f>
        <v>0.56851309402476258</v>
      </c>
      <c r="H815" s="70">
        <f t="shared" si="80"/>
        <v>4.9928308164736595E-5</v>
      </c>
      <c r="I815" s="71">
        <f t="shared" si="84"/>
        <v>8.1865885539565805E-4</v>
      </c>
      <c r="L815" s="74"/>
      <c r="M815" s="74"/>
      <c r="N815" s="74"/>
      <c r="O815" s="74"/>
      <c r="P815" s="74"/>
      <c r="Q815" s="74"/>
      <c r="R815" s="74"/>
      <c r="S815" s="74"/>
      <c r="T815" s="74"/>
      <c r="U815" s="74"/>
      <c r="V815" s="74"/>
      <c r="W815" s="74"/>
      <c r="X815" s="74"/>
      <c r="Y815" s="74"/>
    </row>
    <row r="816" spans="1:25" x14ac:dyDescent="0.3">
      <c r="A816" s="66">
        <f t="shared" si="82"/>
        <v>2070.8999999999264</v>
      </c>
      <c r="B816" s="67">
        <f>LOOKUP(A816+0.01,Amounts!$A$4:$A$103,Amounts!$B$4:$B$103)*0.1*$A$2</f>
        <v>0</v>
      </c>
      <c r="C816" s="68">
        <f t="shared" si="81"/>
        <v>2992395.4285963499</v>
      </c>
      <c r="D816" s="67">
        <f t="array" ref="D816">SUM($B$7:$B811*$F$1009*EXP(-$F$1009*($A816-$A$7:$A811)))*$F$1010</f>
        <v>147032.60582058589</v>
      </c>
      <c r="E816" s="67">
        <f t="shared" si="79"/>
        <v>0.28030468294955341</v>
      </c>
      <c r="F816" s="70">
        <f t="shared" si="83"/>
        <v>1.7020100348696884E-2</v>
      </c>
      <c r="G816" s="67">
        <f>E816/'Lookup Tables'!$C$48</f>
        <v>0.56060936589910682</v>
      </c>
      <c r="H816" s="70">
        <f t="shared" si="80"/>
        <v>4.9234182070446776E-5</v>
      </c>
      <c r="I816" s="71">
        <f t="shared" si="84"/>
        <v>8.0727748689471391E-4</v>
      </c>
      <c r="L816" s="74"/>
      <c r="M816" s="74"/>
      <c r="N816" s="74"/>
      <c r="O816" s="74"/>
      <c r="P816" s="74"/>
      <c r="Q816" s="74"/>
      <c r="R816" s="74"/>
      <c r="S816" s="74"/>
      <c r="T816" s="74"/>
      <c r="U816" s="74"/>
      <c r="V816" s="74"/>
      <c r="W816" s="74"/>
      <c r="X816" s="74"/>
      <c r="Y816" s="74"/>
    </row>
    <row r="817" spans="1:25" x14ac:dyDescent="0.3">
      <c r="A817" s="66">
        <f t="shared" si="82"/>
        <v>2070.9999999999263</v>
      </c>
      <c r="B817" s="67">
        <f>LOOKUP(A817+0.01,Amounts!$A$4:$A$103,Amounts!$B$4:$B$103)*0.1*$A$2</f>
        <v>0</v>
      </c>
      <c r="C817" s="68">
        <f t="shared" si="81"/>
        <v>2992395.4285963499</v>
      </c>
      <c r="D817" s="67">
        <f t="array" ref="D817">SUM($B$7:$B812*$F$1009*EXP(-$F$1009*($A817-$A$7:$A812)))*$F$1010</f>
        <v>144988.49152625099</v>
      </c>
      <c r="E817" s="67">
        <f t="shared" si="79"/>
        <v>0.27640775950193824</v>
      </c>
      <c r="F817" s="70">
        <f t="shared" si="83"/>
        <v>1.6783479156957687E-2</v>
      </c>
      <c r="G817" s="67">
        <f>E817/'Lookup Tables'!$C$48</f>
        <v>0.55281551900387649</v>
      </c>
      <c r="H817" s="70">
        <f t="shared" si="80"/>
        <v>4.8549706033458794E-5</v>
      </c>
      <c r="I817" s="71">
        <f t="shared" si="84"/>
        <v>7.9605434736558208E-4</v>
      </c>
      <c r="L817" s="74"/>
      <c r="M817" s="74"/>
      <c r="N817" s="74"/>
      <c r="O817" s="74"/>
      <c r="P817" s="74"/>
      <c r="Q817" s="74"/>
      <c r="R817" s="74"/>
      <c r="S817" s="74"/>
      <c r="T817" s="74"/>
      <c r="U817" s="74"/>
      <c r="V817" s="74"/>
      <c r="W817" s="74"/>
      <c r="X817" s="74"/>
      <c r="Y817" s="74"/>
    </row>
    <row r="818" spans="1:25" x14ac:dyDescent="0.3">
      <c r="A818" s="66">
        <f t="shared" si="82"/>
        <v>2071.0999999999262</v>
      </c>
      <c r="B818" s="67">
        <f>LOOKUP(A818+0.01,Amounts!$A$4:$A$103,Amounts!$B$4:$B$103)*0.1*$A$2</f>
        <v>0</v>
      </c>
      <c r="C818" s="68">
        <f t="shared" si="81"/>
        <v>2992395.4285963499</v>
      </c>
      <c r="D818" s="67">
        <f t="array" ref="D818">SUM($B$7:$B813*$F$1009*EXP(-$F$1009*($A818-$A$7:$A813)))*$F$1010</f>
        <v>142972.79544041469</v>
      </c>
      <c r="E818" s="67">
        <f t="shared" si="79"/>
        <v>0.27256501286006457</v>
      </c>
      <c r="F818" s="70">
        <f t="shared" si="83"/>
        <v>1.6550147580863123E-2</v>
      </c>
      <c r="G818" s="67">
        <f>E818/'Lookup Tables'!$C$48</f>
        <v>0.54513002572012914</v>
      </c>
      <c r="H818" s="70">
        <f t="shared" si="80"/>
        <v>4.7874745894278196E-5</v>
      </c>
      <c r="I818" s="71">
        <f t="shared" si="84"/>
        <v>7.8498723703698597E-4</v>
      </c>
      <c r="L818" s="74"/>
      <c r="M818" s="74"/>
      <c r="N818" s="74"/>
      <c r="O818" s="74"/>
      <c r="P818" s="74"/>
      <c r="Q818" s="74"/>
      <c r="R818" s="74"/>
      <c r="S818" s="74"/>
      <c r="T818" s="74"/>
      <c r="U818" s="74"/>
      <c r="V818" s="74"/>
      <c r="W818" s="74"/>
      <c r="X818" s="74"/>
      <c r="Y818" s="74"/>
    </row>
    <row r="819" spans="1:25" x14ac:dyDescent="0.3">
      <c r="A819" s="66">
        <f t="shared" si="82"/>
        <v>2071.1999999999261</v>
      </c>
      <c r="B819" s="67">
        <f>LOOKUP(A819+0.01,Amounts!$A$4:$A$103,Amounts!$B$4:$B$103)*0.1*$A$2</f>
        <v>0</v>
      </c>
      <c r="C819" s="68">
        <f t="shared" si="81"/>
        <v>2992395.4285963499</v>
      </c>
      <c r="D819" s="67">
        <f t="array" ref="D819">SUM($B$7:$B814*$F$1009*EXP(-$F$1009*($A819-$A$7:$A814)))*$F$1010</f>
        <v>140985.12248019123</v>
      </c>
      <c r="E819" s="67">
        <f t="shared" si="79"/>
        <v>0.26877568983328848</v>
      </c>
      <c r="F819" s="70">
        <f t="shared" si="83"/>
        <v>1.6320059886677275E-2</v>
      </c>
      <c r="G819" s="67">
        <f>E819/'Lookup Tables'!$C$48</f>
        <v>0.53755137966657696</v>
      </c>
      <c r="H819" s="70">
        <f t="shared" si="80"/>
        <v>4.7209169358556857E-5</v>
      </c>
      <c r="I819" s="71">
        <f t="shared" si="84"/>
        <v>7.7407398671987075E-4</v>
      </c>
      <c r="L819" s="74"/>
      <c r="M819" s="74"/>
      <c r="N819" s="74"/>
      <c r="O819" s="74"/>
      <c r="P819" s="74"/>
      <c r="Q819" s="74"/>
      <c r="R819" s="74"/>
      <c r="S819" s="74"/>
      <c r="T819" s="74"/>
      <c r="U819" s="74"/>
      <c r="V819" s="74"/>
      <c r="W819" s="74"/>
      <c r="X819" s="74"/>
      <c r="Y819" s="74"/>
    </row>
    <row r="820" spans="1:25" x14ac:dyDescent="0.3">
      <c r="A820" s="66">
        <f t="shared" si="82"/>
        <v>2071.2999999999261</v>
      </c>
      <c r="B820" s="67">
        <f>LOOKUP(A820+0.01,Amounts!$A$4:$A$103,Amounts!$B$4:$B$103)*0.1*$A$2</f>
        <v>0</v>
      </c>
      <c r="C820" s="68">
        <f t="shared" si="81"/>
        <v>2992395.4285963499</v>
      </c>
      <c r="D820" s="67">
        <f t="array" ref="D820">SUM($B$7:$B815*$F$1009*EXP(-$F$1009*($A820-$A$7:$A815)))*$F$1010</f>
        <v>139025.08305531717</v>
      </c>
      <c r="E820" s="67">
        <f t="shared" si="79"/>
        <v>0.26503904770216585</v>
      </c>
      <c r="F820" s="70">
        <f t="shared" si="83"/>
        <v>1.6093170976475512E-2</v>
      </c>
      <c r="G820" s="67">
        <f>E820/'Lookup Tables'!$C$48</f>
        <v>0.53007809540433171</v>
      </c>
      <c r="H820" s="70">
        <f t="shared" si="80"/>
        <v>4.6552845971163073E-5</v>
      </c>
      <c r="I820" s="71">
        <f t="shared" si="84"/>
        <v>7.633124573822377E-4</v>
      </c>
      <c r="L820" s="74"/>
      <c r="M820" s="74"/>
      <c r="N820" s="74"/>
      <c r="O820" s="74"/>
      <c r="P820" s="74"/>
      <c r="Q820" s="74"/>
      <c r="R820" s="74"/>
      <c r="S820" s="74"/>
      <c r="T820" s="74"/>
      <c r="U820" s="74"/>
      <c r="V820" s="74"/>
      <c r="W820" s="74"/>
      <c r="X820" s="74"/>
      <c r="Y820" s="74"/>
    </row>
    <row r="821" spans="1:25" x14ac:dyDescent="0.3">
      <c r="A821" s="66">
        <f t="shared" si="82"/>
        <v>2071.399999999926</v>
      </c>
      <c r="B821" s="67">
        <f>LOOKUP(A821+0.01,Amounts!$A$4:$A$103,Amounts!$B$4:$B$103)*0.1*$A$2</f>
        <v>0</v>
      </c>
      <c r="C821" s="68">
        <f t="shared" si="81"/>
        <v>2992395.4285963499</v>
      </c>
      <c r="D821" s="67">
        <f t="array" ref="D821">SUM($B$7:$B816*$F$1009*EXP(-$F$1009*($A821-$A$7:$A816)))*$F$1010</f>
        <v>137092.2929917904</v>
      </c>
      <c r="E821" s="67">
        <f t="shared" si="79"/>
        <v>0.26135435407287655</v>
      </c>
      <c r="F821" s="70">
        <f t="shared" si="83"/>
        <v>1.5869436379305064E-2</v>
      </c>
      <c r="G821" s="67">
        <f>E821/'Lookup Tables'!$C$48</f>
        <v>0.5227087081457531</v>
      </c>
      <c r="H821" s="70">
        <f t="shared" si="80"/>
        <v>4.5905647090611741E-5</v>
      </c>
      <c r="I821" s="71">
        <f t="shared" si="84"/>
        <v>7.527005397298844E-4</v>
      </c>
      <c r="L821" s="74"/>
      <c r="M821" s="74"/>
      <c r="N821" s="74"/>
      <c r="O821" s="74"/>
      <c r="P821" s="74"/>
      <c r="Q821" s="74"/>
      <c r="R821" s="74"/>
      <c r="S821" s="74"/>
      <c r="T821" s="74"/>
      <c r="U821" s="74"/>
      <c r="V821" s="74"/>
      <c r="W821" s="74"/>
      <c r="X821" s="74"/>
      <c r="Y821" s="74"/>
    </row>
    <row r="822" spans="1:25" x14ac:dyDescent="0.3">
      <c r="A822" s="66">
        <f t="shared" si="82"/>
        <v>2071.4999999999259</v>
      </c>
      <c r="B822" s="67">
        <f>LOOKUP(A822+0.01,Amounts!$A$4:$A$103,Amounts!$B$4:$B$103)*0.1*$A$2</f>
        <v>0</v>
      </c>
      <c r="C822" s="68">
        <f t="shared" si="81"/>
        <v>2992395.4285963499</v>
      </c>
      <c r="D822" s="67">
        <f t="array" ref="D822">SUM($B$7:$B817*$F$1009*EXP(-$F$1009*($A822-$A$7:$A817)))*$F$1010</f>
        <v>135186.37345657099</v>
      </c>
      <c r="E822" s="67">
        <f t="shared" si="79"/>
        <v>0.25772088673367333</v>
      </c>
      <c r="F822" s="70">
        <f t="shared" si="83"/>
        <v>1.5648812242468644E-2</v>
      </c>
      <c r="G822" s="67">
        <f>E822/'Lookup Tables'!$C$48</f>
        <v>0.51544177346734665</v>
      </c>
      <c r="H822" s="70">
        <f t="shared" si="80"/>
        <v>4.526744586385041E-5</v>
      </c>
      <c r="I822" s="71">
        <f t="shared" si="84"/>
        <v>7.4223615379297918E-4</v>
      </c>
      <c r="L822" s="74"/>
      <c r="M822" s="74"/>
      <c r="N822" s="74"/>
      <c r="O822" s="74"/>
      <c r="P822" s="74"/>
      <c r="Q822" s="74"/>
      <c r="R822" s="74"/>
      <c r="S822" s="74"/>
      <c r="T822" s="74"/>
      <c r="U822" s="74"/>
      <c r="V822" s="74"/>
      <c r="W822" s="74"/>
      <c r="X822" s="74"/>
      <c r="Y822" s="74"/>
    </row>
    <row r="823" spans="1:25" x14ac:dyDescent="0.3">
      <c r="A823" s="66">
        <f t="shared" si="82"/>
        <v>2071.5999999999258</v>
      </c>
      <c r="B823" s="67">
        <f>LOOKUP(A823+0.01,Amounts!$A$4:$A$103,Amounts!$B$4:$B$103)*0.1*$A$2</f>
        <v>0</v>
      </c>
      <c r="C823" s="68">
        <f t="shared" si="81"/>
        <v>2992395.4285963499</v>
      </c>
      <c r="D823" s="67">
        <f t="array" ref="D823">SUM($B$7:$B818*$F$1009*EXP(-$F$1009*($A823-$A$7:$A818)))*$F$1010</f>
        <v>133306.95088332851</v>
      </c>
      <c r="E823" s="67">
        <f t="shared" si="79"/>
        <v>0.25413793351332575</v>
      </c>
      <c r="F823" s="70">
        <f t="shared" si="83"/>
        <v>1.543125532292914E-2</v>
      </c>
      <c r="G823" s="67">
        <f>E823/'Lookup Tables'!$C$48</f>
        <v>0.50827586702665151</v>
      </c>
      <c r="H823" s="70">
        <f t="shared" si="80"/>
        <v>4.4638117201395516E-5</v>
      </c>
      <c r="I823" s="71">
        <f t="shared" si="84"/>
        <v>7.3191724851837819E-4</v>
      </c>
      <c r="L823" s="74"/>
      <c r="M823" s="74"/>
      <c r="N823" s="74"/>
      <c r="O823" s="74"/>
      <c r="P823" s="74"/>
      <c r="Q823" s="74"/>
      <c r="R823" s="74"/>
      <c r="S823" s="74"/>
      <c r="T823" s="74"/>
      <c r="U823" s="74"/>
      <c r="V823" s="74"/>
      <c r="W823" s="74"/>
      <c r="X823" s="74"/>
      <c r="Y823" s="74"/>
    </row>
    <row r="824" spans="1:25" x14ac:dyDescent="0.3">
      <c r="A824" s="66">
        <f t="shared" si="82"/>
        <v>2071.6999999999257</v>
      </c>
      <c r="B824" s="67">
        <f>LOOKUP(A824+0.01,Amounts!$A$4:$A$103,Amounts!$B$4:$B$103)*0.1*$A$2</f>
        <v>0</v>
      </c>
      <c r="C824" s="68">
        <f t="shared" si="81"/>
        <v>2992395.4285963499</v>
      </c>
      <c r="D824" s="67">
        <f t="array" ref="D824">SUM($B$7:$B819*$F$1009*EXP(-$F$1009*($A824-$A$7:$A819)))*$F$1010</f>
        <v>131453.65689922182</v>
      </c>
      <c r="E824" s="67">
        <f t="shared" si="79"/>
        <v>0.25060479214153208</v>
      </c>
      <c r="F824" s="70">
        <f t="shared" si="83"/>
        <v>1.5216722978833828E-2</v>
      </c>
      <c r="G824" s="67">
        <f>E824/'Lookup Tables'!$C$48</f>
        <v>0.50120958428306417</v>
      </c>
      <c r="H824" s="70">
        <f t="shared" si="80"/>
        <v>4.4017537752814468E-5</v>
      </c>
      <c r="I824" s="71">
        <f t="shared" si="84"/>
        <v>7.2174180136761238E-4</v>
      </c>
      <c r="L824" s="74"/>
      <c r="M824" s="74"/>
      <c r="N824" s="74"/>
      <c r="O824" s="74"/>
      <c r="P824" s="74"/>
      <c r="Q824" s="74"/>
      <c r="R824" s="74"/>
      <c r="S824" s="74"/>
      <c r="T824" s="74"/>
      <c r="U824" s="74"/>
      <c r="V824" s="74"/>
      <c r="W824" s="74"/>
      <c r="X824" s="74"/>
      <c r="Y824" s="74"/>
    </row>
    <row r="825" spans="1:25" x14ac:dyDescent="0.3">
      <c r="A825" s="66">
        <f t="shared" si="82"/>
        <v>2071.7999999999256</v>
      </c>
      <c r="B825" s="67">
        <f>LOOKUP(A825+0.01,Amounts!$A$4:$A$103,Amounts!$B$4:$B$103)*0.1*$A$2</f>
        <v>0</v>
      </c>
      <c r="C825" s="68">
        <f t="shared" si="81"/>
        <v>2992395.4285963499</v>
      </c>
      <c r="D825" s="67">
        <f t="array" ref="D825">SUM($B$7:$B820*$F$1009*EXP(-$F$1009*($A825-$A$7:$A820)))*$F$1010</f>
        <v>129626.12825269715</v>
      </c>
      <c r="E825" s="67">
        <f t="shared" si="79"/>
        <v>0.24712077011127298</v>
      </c>
      <c r="F825" s="70">
        <f t="shared" si="83"/>
        <v>1.5005173161156495E-2</v>
      </c>
      <c r="G825" s="67">
        <f>E825/'Lookup Tables'!$C$48</f>
        <v>0.49424154022254596</v>
      </c>
      <c r="H825" s="70">
        <f t="shared" si="80"/>
        <v>4.3405585882548729E-5</v>
      </c>
      <c r="I825" s="71">
        <f t="shared" si="84"/>
        <v>7.1170781792046617E-4</v>
      </c>
      <c r="L825" s="74"/>
      <c r="M825" s="74"/>
      <c r="N825" s="74"/>
      <c r="O825" s="74"/>
      <c r="P825" s="74"/>
      <c r="Q825" s="74"/>
      <c r="R825" s="74"/>
      <c r="S825" s="74"/>
      <c r="T825" s="74"/>
      <c r="U825" s="74"/>
      <c r="V825" s="74"/>
      <c r="W825" s="74"/>
      <c r="X825" s="74"/>
      <c r="Y825" s="74"/>
    </row>
    <row r="826" spans="1:25" x14ac:dyDescent="0.3">
      <c r="A826" s="66">
        <f t="shared" si="82"/>
        <v>2071.8999999999255</v>
      </c>
      <c r="B826" s="67">
        <f>LOOKUP(A826+0.01,Amounts!$A$4:$A$103,Amounts!$B$4:$B$103)*0.1*$A$2</f>
        <v>0</v>
      </c>
      <c r="C826" s="68">
        <f t="shared" si="81"/>
        <v>2992395.4285963499</v>
      </c>
      <c r="D826" s="67">
        <f t="array" ref="D826">SUM($B$7:$B821*$F$1009*EXP(-$F$1009*($A826-$A$7:$A821)))*$F$1010</f>
        <v>127824.00674228907</v>
      </c>
      <c r="E826" s="67">
        <f t="shared" si="79"/>
        <v>0.24368518454307664</v>
      </c>
      <c r="F826" s="70">
        <f t="shared" si="83"/>
        <v>1.4796564405455613E-2</v>
      </c>
      <c r="G826" s="67">
        <f>E826/'Lookup Tables'!$C$48</f>
        <v>0.48737036908615328</v>
      </c>
      <c r="H826" s="70">
        <f t="shared" si="80"/>
        <v>4.2802141646072605E-5</v>
      </c>
      <c r="I826" s="71">
        <f t="shared" si="84"/>
        <v>7.0181333148406082E-4</v>
      </c>
      <c r="L826" s="74"/>
      <c r="M826" s="74"/>
      <c r="N826" s="74"/>
      <c r="O826" s="74"/>
      <c r="P826" s="74"/>
      <c r="Q826" s="74"/>
      <c r="R826" s="74"/>
      <c r="S826" s="74"/>
      <c r="T826" s="74"/>
      <c r="U826" s="74"/>
      <c r="V826" s="74"/>
      <c r="W826" s="74"/>
      <c r="X826" s="74"/>
      <c r="Y826" s="74"/>
    </row>
    <row r="827" spans="1:25" x14ac:dyDescent="0.3">
      <c r="A827" s="66">
        <f t="shared" si="82"/>
        <v>2071.9999999999254</v>
      </c>
      <c r="B827" s="67">
        <f>LOOKUP(A827+0.01,Amounts!$A$4:$A$103,Amounts!$B$4:$B$103)*0.1*$A$2</f>
        <v>0</v>
      </c>
      <c r="C827" s="68">
        <f t="shared" si="81"/>
        <v>2992395.4285963499</v>
      </c>
      <c r="D827" s="67">
        <f t="array" ref="D827">SUM($B$7:$B822*$F$1009*EXP(-$F$1009*($A827-$A$7:$A822)))*$F$1010</f>
        <v>126046.93914641235</v>
      </c>
      <c r="E827" s="67">
        <f t="shared" si="79"/>
        <v>0.24029736205117322</v>
      </c>
      <c r="F827" s="70">
        <f t="shared" si="83"/>
        <v>1.4590855823747239E-2</v>
      </c>
      <c r="G827" s="67">
        <f>E827/'Lookup Tables'!$C$48</f>
        <v>0.48059472410234644</v>
      </c>
      <c r="H827" s="70">
        <f t="shared" si="80"/>
        <v>4.2207086766383891E-5</v>
      </c>
      <c r="I827" s="71">
        <f t="shared" si="84"/>
        <v>6.9205640270737887E-4</v>
      </c>
      <c r="L827" s="74"/>
      <c r="M827" s="74"/>
      <c r="N827" s="74"/>
      <c r="O827" s="74"/>
      <c r="P827" s="74"/>
      <c r="Q827" s="74"/>
      <c r="R827" s="74"/>
      <c r="S827" s="74"/>
      <c r="T827" s="74"/>
      <c r="U827" s="74"/>
      <c r="V827" s="74"/>
      <c r="W827" s="74"/>
      <c r="X827" s="74"/>
      <c r="Y827" s="74"/>
    </row>
    <row r="828" spans="1:25" x14ac:dyDescent="0.3">
      <c r="A828" s="66">
        <f t="shared" si="82"/>
        <v>2072.0999999999253</v>
      </c>
      <c r="B828" s="67">
        <f>LOOKUP(A828+0.01,Amounts!$A$4:$A$103,Amounts!$B$4:$B$103)*0.1*$A$2</f>
        <v>0</v>
      </c>
      <c r="C828" s="68">
        <f t="shared" si="81"/>
        <v>2992395.4285963499</v>
      </c>
      <c r="D828" s="67">
        <f t="array" ref="D828">SUM($B$7:$B823*$F$1009*EXP(-$F$1009*($A828-$A$7:$A823)))*$F$1010</f>
        <v>124294.57715412918</v>
      </c>
      <c r="E828" s="67">
        <f t="shared" si="79"/>
        <v>0.2369566386115087</v>
      </c>
      <c r="F828" s="70">
        <f t="shared" si="83"/>
        <v>1.4388007096490808E-2</v>
      </c>
      <c r="G828" s="67">
        <f>E828/'Lookup Tables'!$C$48</f>
        <v>0.4739132772230174</v>
      </c>
      <c r="H828" s="70">
        <f t="shared" si="80"/>
        <v>4.1620304610821218E-5</v>
      </c>
      <c r="I828" s="71">
        <f t="shared" si="84"/>
        <v>6.8243511920114506E-4</v>
      </c>
      <c r="L828" s="74"/>
      <c r="M828" s="74"/>
      <c r="N828" s="74"/>
      <c r="O828" s="74"/>
      <c r="P828" s="74"/>
      <c r="Q828" s="74"/>
      <c r="R828" s="74"/>
      <c r="S828" s="74"/>
      <c r="T828" s="74"/>
      <c r="U828" s="74"/>
      <c r="V828" s="74"/>
      <c r="W828" s="74"/>
      <c r="X828" s="74"/>
      <c r="Y828" s="74"/>
    </row>
    <row r="829" spans="1:25" x14ac:dyDescent="0.3">
      <c r="A829" s="66">
        <f t="shared" si="82"/>
        <v>2072.1999999999252</v>
      </c>
      <c r="B829" s="67">
        <f>LOOKUP(A829+0.01,Amounts!$A$4:$A$103,Amounts!$B$4:$B$103)*0.1*$A$2</f>
        <v>0</v>
      </c>
      <c r="C829" s="68">
        <f t="shared" si="81"/>
        <v>2992395.4285963499</v>
      </c>
      <c r="D829" s="67">
        <f t="array" ref="D829">SUM($B$7:$B824*$F$1009*EXP(-$F$1009*($A829-$A$7:$A824)))*$F$1010</f>
        <v>122566.57729687919</v>
      </c>
      <c r="E829" s="67">
        <f t="shared" si="79"/>
        <v>0.23366235943159422</v>
      </c>
      <c r="F829" s="70">
        <f t="shared" si="83"/>
        <v>1.4187978464686401E-2</v>
      </c>
      <c r="G829" s="67">
        <f>E829/'Lookup Tables'!$C$48</f>
        <v>0.46732471886318844</v>
      </c>
      <c r="H829" s="70">
        <f t="shared" si="80"/>
        <v>4.1041680168203602E-5</v>
      </c>
      <c r="I829" s="71">
        <f t="shared" si="84"/>
        <v>6.7294759516299128E-4</v>
      </c>
      <c r="L829" s="74"/>
      <c r="M829" s="74"/>
      <c r="N829" s="74"/>
      <c r="O829" s="74"/>
      <c r="P829" s="74"/>
      <c r="Q829" s="74"/>
      <c r="R829" s="74"/>
      <c r="S829" s="74"/>
      <c r="T829" s="74"/>
      <c r="U829" s="74"/>
      <c r="V829" s="74"/>
      <c r="W829" s="74"/>
      <c r="X829" s="74"/>
      <c r="Y829" s="74"/>
    </row>
    <row r="830" spans="1:25" x14ac:dyDescent="0.3">
      <c r="A830" s="66">
        <f t="shared" si="82"/>
        <v>2072.2999999999251</v>
      </c>
      <c r="B830" s="67">
        <f>LOOKUP(A830+0.01,Amounts!$A$4:$A$103,Amounts!$B$4:$B$103)*0.1*$A$2</f>
        <v>0</v>
      </c>
      <c r="C830" s="68">
        <f t="shared" si="81"/>
        <v>2992395.4285963499</v>
      </c>
      <c r="D830" s="67">
        <f t="array" ref="D830">SUM($B$7:$B825*$F$1009*EXP(-$F$1009*($A830-$A$7:$A825)))*$F$1010</f>
        <v>120862.60088115835</v>
      </c>
      <c r="E830" s="67">
        <f t="shared" si="79"/>
        <v>0.23041387882216416</v>
      </c>
      <c r="F830" s="70">
        <f t="shared" si="83"/>
        <v>1.3990730722081807E-2</v>
      </c>
      <c r="G830" s="67">
        <f>E830/'Lookup Tables'!$C$48</f>
        <v>0.46082775764432832</v>
      </c>
      <c r="H830" s="70">
        <f t="shared" si="80"/>
        <v>4.0471100026287884E-5</v>
      </c>
      <c r="I830" s="71">
        <f t="shared" si="84"/>
        <v>6.6359197100783278E-4</v>
      </c>
      <c r="L830" s="74"/>
      <c r="M830" s="74"/>
      <c r="N830" s="74"/>
      <c r="O830" s="74"/>
      <c r="P830" s="74"/>
      <c r="Q830" s="74"/>
      <c r="R830" s="74"/>
      <c r="S830" s="74"/>
      <c r="T830" s="74"/>
      <c r="U830" s="74"/>
      <c r="V830" s="74"/>
      <c r="W830" s="74"/>
      <c r="X830" s="74"/>
      <c r="Y830" s="74"/>
    </row>
    <row r="831" spans="1:25" x14ac:dyDescent="0.3">
      <c r="A831" s="66">
        <f t="shared" si="82"/>
        <v>2072.3999999999251</v>
      </c>
      <c r="B831" s="67">
        <f>LOOKUP(A831+0.01,Amounts!$A$4:$A$103,Amounts!$B$4:$B$103)*0.1*$A$2</f>
        <v>0</v>
      </c>
      <c r="C831" s="68">
        <f t="shared" si="81"/>
        <v>2992395.4285963499</v>
      </c>
      <c r="D831" s="67">
        <f t="array" ref="D831">SUM($B$7:$B826*$F$1009*EXP(-$F$1009*($A831-$A$7:$A826)))*$F$1010</f>
        <v>119182.31392213418</v>
      </c>
      <c r="E831" s="67">
        <f t="shared" si="79"/>
        <v>0.22721056007061963</v>
      </c>
      <c r="F831" s="70">
        <f t="shared" si="83"/>
        <v>1.3796225207488024E-2</v>
      </c>
      <c r="G831" s="67">
        <f>E831/'Lookup Tables'!$C$48</f>
        <v>0.45442112014123925</v>
      </c>
      <c r="H831" s="70">
        <f t="shared" si="80"/>
        <v>3.9908452349539639E-5</v>
      </c>
      <c r="I831" s="71">
        <f t="shared" si="84"/>
        <v>6.5436641300338451E-4</v>
      </c>
      <c r="L831" s="74"/>
      <c r="M831" s="74"/>
      <c r="N831" s="74"/>
      <c r="O831" s="74"/>
      <c r="P831" s="74"/>
      <c r="Q831" s="74"/>
      <c r="R831" s="74"/>
      <c r="S831" s="74"/>
      <c r="T831" s="74"/>
      <c r="U831" s="74"/>
      <c r="V831" s="74"/>
      <c r="W831" s="74"/>
      <c r="X831" s="74"/>
      <c r="Y831" s="74"/>
    </row>
    <row r="832" spans="1:25" x14ac:dyDescent="0.3">
      <c r="A832" s="66">
        <f t="shared" si="82"/>
        <v>2072.499999999925</v>
      </c>
      <c r="B832" s="67">
        <f>LOOKUP(A832+0.01,Amounts!$A$4:$A$103,Amounts!$B$4:$B$103)*0.1*$A$2</f>
        <v>0</v>
      </c>
      <c r="C832" s="68">
        <f t="shared" si="81"/>
        <v>2992395.4285963499</v>
      </c>
      <c r="D832" s="67">
        <f t="array" ref="D832">SUM($B$7:$B827*$F$1009*EXP(-$F$1009*($A832-$A$7:$A827)))*$F$1010</f>
        <v>117525.38707818351</v>
      </c>
      <c r="E832" s="67">
        <f t="shared" si="79"/>
        <v>0.22405177531623036</v>
      </c>
      <c r="F832" s="70">
        <f t="shared" si="83"/>
        <v>1.3604423797201507E-2</v>
      </c>
      <c r="G832" s="67">
        <f>E832/'Lookup Tables'!$C$48</f>
        <v>0.44810355063246071</v>
      </c>
      <c r="H832" s="70">
        <f t="shared" si="80"/>
        <v>3.9353626857212989E-5</v>
      </c>
      <c r="I832" s="71">
        <f t="shared" si="84"/>
        <v>6.4526911291074344E-4</v>
      </c>
      <c r="L832" s="74"/>
      <c r="M832" s="74"/>
      <c r="N832" s="74"/>
      <c r="O832" s="74"/>
      <c r="P832" s="74"/>
      <c r="Q832" s="74"/>
      <c r="R832" s="74"/>
      <c r="S832" s="74"/>
      <c r="T832" s="74"/>
      <c r="U832" s="74"/>
      <c r="V832" s="74"/>
      <c r="W832" s="74"/>
      <c r="X832" s="74"/>
      <c r="Y832" s="74"/>
    </row>
    <row r="833" spans="1:25" x14ac:dyDescent="0.3">
      <c r="A833" s="66">
        <f t="shared" si="82"/>
        <v>2072.5999999999249</v>
      </c>
      <c r="B833" s="67">
        <f>LOOKUP(A833+0.01,Amounts!$A$4:$A$103,Amounts!$B$4:$B$103)*0.1*$A$2</f>
        <v>0</v>
      </c>
      <c r="C833" s="68">
        <f t="shared" si="81"/>
        <v>2992395.4285963499</v>
      </c>
      <c r="D833" s="67">
        <f t="array" ref="D833">SUM($B$7:$B828*$F$1009*EXP(-$F$1009*($A833-$A$7:$A828)))*$F$1010</f>
        <v>115891.49558634055</v>
      </c>
      <c r="E833" s="67">
        <f t="shared" si="79"/>
        <v>0.22093690542707212</v>
      </c>
      <c r="F833" s="70">
        <f t="shared" si="83"/>
        <v>1.3415288897531821E-2</v>
      </c>
      <c r="G833" s="67">
        <f>E833/'Lookup Tables'!$C$48</f>
        <v>0.44187381085414423</v>
      </c>
      <c r="H833" s="70">
        <f t="shared" si="80"/>
        <v>3.8806514801735238E-5</v>
      </c>
      <c r="I833" s="71">
        <f t="shared" si="84"/>
        <v>6.3629828762996768E-4</v>
      </c>
      <c r="L833" s="74"/>
      <c r="M833" s="74"/>
      <c r="N833" s="74"/>
      <c r="O833" s="74"/>
      <c r="P833" s="74"/>
      <c r="Q833" s="74"/>
      <c r="R833" s="74"/>
      <c r="S833" s="74"/>
      <c r="T833" s="74"/>
      <c r="U833" s="74"/>
      <c r="V833" s="74"/>
      <c r="W833" s="74"/>
      <c r="X833" s="74"/>
      <c r="Y833" s="74"/>
    </row>
    <row r="834" spans="1:25" x14ac:dyDescent="0.3">
      <c r="A834" s="66">
        <f t="shared" si="82"/>
        <v>2072.6999999999248</v>
      </c>
      <c r="B834" s="67">
        <f>LOOKUP(A834+0.01,Amounts!$A$4:$A$103,Amounts!$B$4:$B$103)*0.1*$A$2</f>
        <v>0</v>
      </c>
      <c r="C834" s="68">
        <f t="shared" si="81"/>
        <v>2992395.4285963499</v>
      </c>
      <c r="D834" s="67">
        <f t="array" ref="D834">SUM($B$7:$B829*$F$1009*EXP(-$F$1009*($A834-$A$7:$A829)))*$F$1010</f>
        <v>114280.31919864214</v>
      </c>
      <c r="E834" s="67">
        <f t="shared" si="79"/>
        <v>0.21786533987867471</v>
      </c>
      <c r="F834" s="70">
        <f t="shared" si="83"/>
        <v>1.3228783437433129E-2</v>
      </c>
      <c r="G834" s="67">
        <f>E834/'Lookup Tables'!$C$48</f>
        <v>0.43573067975734942</v>
      </c>
      <c r="H834" s="70">
        <f t="shared" si="80"/>
        <v>3.8267008947391993E-5</v>
      </c>
      <c r="I834" s="71">
        <f t="shared" si="84"/>
        <v>6.2745217885058313E-4</v>
      </c>
      <c r="L834" s="74"/>
      <c r="M834" s="74"/>
      <c r="N834" s="74"/>
      <c r="O834" s="74"/>
      <c r="P834" s="74"/>
      <c r="Q834" s="74"/>
      <c r="R834" s="74"/>
      <c r="S834" s="74"/>
      <c r="T834" s="74"/>
      <c r="U834" s="74"/>
      <c r="V834" s="74"/>
      <c r="W834" s="74"/>
      <c r="X834" s="74"/>
      <c r="Y834" s="74"/>
    </row>
    <row r="835" spans="1:25" x14ac:dyDescent="0.3">
      <c r="A835" s="66">
        <f t="shared" si="82"/>
        <v>2072.7999999999247</v>
      </c>
      <c r="B835" s="67">
        <f>LOOKUP(A835+0.01,Amounts!$A$4:$A$103,Amounts!$B$4:$B$103)*0.1*$A$2</f>
        <v>0</v>
      </c>
      <c r="C835" s="68">
        <f t="shared" si="81"/>
        <v>2992395.4285963499</v>
      </c>
      <c r="D835" s="67">
        <f t="array" ref="D835">SUM($B$7:$B830*$F$1009*EXP(-$F$1009*($A835-$A$7:$A830)))*$F$1010</f>
        <v>112691.54211935843</v>
      </c>
      <c r="E835" s="67">
        <f t="shared" si="79"/>
        <v>0.21483647663435759</v>
      </c>
      <c r="F835" s="70">
        <f t="shared" si="83"/>
        <v>1.3044870861238192E-2</v>
      </c>
      <c r="G835" s="67">
        <f>E835/'Lookup Tables'!$C$48</f>
        <v>0.42967295326871519</v>
      </c>
      <c r="H835" s="70">
        <f t="shared" si="80"/>
        <v>3.7735003549308685E-5</v>
      </c>
      <c r="I835" s="71">
        <f t="shared" si="84"/>
        <v>6.1872905270694985E-4</v>
      </c>
      <c r="L835" s="74"/>
      <c r="M835" s="74"/>
      <c r="N835" s="74"/>
      <c r="O835" s="74"/>
      <c r="P835" s="74"/>
      <c r="Q835" s="74"/>
      <c r="R835" s="74"/>
      <c r="S835" s="74"/>
      <c r="T835" s="74"/>
      <c r="U835" s="74"/>
      <c r="V835" s="74"/>
      <c r="W835" s="74"/>
      <c r="X835" s="74"/>
      <c r="Y835" s="74"/>
    </row>
    <row r="836" spans="1:25" x14ac:dyDescent="0.3">
      <c r="A836" s="66">
        <f t="shared" si="82"/>
        <v>2072.8999999999246</v>
      </c>
      <c r="B836" s="67">
        <f>LOOKUP(A836+0.01,Amounts!$A$4:$A$103,Amounts!$B$4:$B$103)*0.1*$A$2</f>
        <v>0</v>
      </c>
      <c r="C836" s="68">
        <f t="shared" si="81"/>
        <v>2992395.4285963499</v>
      </c>
      <c r="D836" s="67">
        <f t="array" ref="D836">SUM($B$7:$B831*$F$1009*EXP(-$F$1009*($A836-$A$7:$A831)))*$F$1010</f>
        <v>111124.85294309564</v>
      </c>
      <c r="E836" s="67">
        <f t="shared" si="79"/>
        <v>0.21184972202722846</v>
      </c>
      <c r="F836" s="70">
        <f t="shared" si="83"/>
        <v>1.2863515121493313E-2</v>
      </c>
      <c r="G836" s="67">
        <f>E836/'Lookup Tables'!$C$48</f>
        <v>0.42369944405445692</v>
      </c>
      <c r="H836" s="70">
        <f t="shared" si="80"/>
        <v>3.7210394332724153E-5</v>
      </c>
      <c r="I836" s="71">
        <f t="shared" si="84"/>
        <v>6.1012719943841795E-4</v>
      </c>
      <c r="L836" s="74"/>
      <c r="M836" s="74"/>
      <c r="N836" s="74"/>
      <c r="O836" s="74"/>
      <c r="P836" s="74"/>
      <c r="Q836" s="74"/>
      <c r="R836" s="74"/>
      <c r="S836" s="74"/>
      <c r="T836" s="74"/>
      <c r="U836" s="74"/>
      <c r="V836" s="74"/>
      <c r="W836" s="74"/>
      <c r="X836" s="74"/>
      <c r="Y836" s="74"/>
    </row>
    <row r="837" spans="1:25" x14ac:dyDescent="0.3">
      <c r="A837" s="66">
        <f t="shared" si="82"/>
        <v>2072.9999999999245</v>
      </c>
      <c r="B837" s="67">
        <f>LOOKUP(A837+0.01,Amounts!$A$4:$A$103,Amounts!$B$4:$B$103)*0.1*$A$2</f>
        <v>0</v>
      </c>
      <c r="C837" s="68">
        <f t="shared" si="81"/>
        <v>2992395.4285963499</v>
      </c>
      <c r="D837" s="67">
        <f t="array" ref="D837">SUM($B$7:$B832*$F$1009*EXP(-$F$1009*($A837-$A$7:$A832)))*$F$1010</f>
        <v>109579.94459375965</v>
      </c>
      <c r="E837" s="67">
        <f t="shared" si="79"/>
        <v>0.20890449064382252</v>
      </c>
      <c r="F837" s="70">
        <f t="shared" si="83"/>
        <v>1.2684680671892904E-2</v>
      </c>
      <c r="G837" s="67">
        <f>E837/'Lookup Tables'!$C$48</f>
        <v>0.41780898128764504</v>
      </c>
      <c r="H837" s="70">
        <f t="shared" si="80"/>
        <v>3.6693078472552467E-5</v>
      </c>
      <c r="I837" s="71">
        <f t="shared" si="84"/>
        <v>6.016449330542089E-4</v>
      </c>
      <c r="L837" s="74"/>
      <c r="M837" s="74"/>
      <c r="N837" s="74"/>
      <c r="O837" s="74"/>
      <c r="P837" s="74"/>
      <c r="Q837" s="74"/>
      <c r="R837" s="74"/>
      <c r="S837" s="74"/>
      <c r="T837" s="74"/>
      <c r="U837" s="74"/>
      <c r="V837" s="74"/>
      <c r="W837" s="74"/>
      <c r="X837" s="74"/>
      <c r="Y837" s="74"/>
    </row>
    <row r="838" spans="1:25" x14ac:dyDescent="0.3">
      <c r="A838" s="66">
        <f t="shared" si="82"/>
        <v>2073.0999999999244</v>
      </c>
      <c r="B838" s="67">
        <f>LOOKUP(A838+0.01,Amounts!$A$4:$A$103,Amounts!$B$4:$B$103)*0.1*$A$2</f>
        <v>0</v>
      </c>
      <c r="C838" s="68">
        <f t="shared" si="81"/>
        <v>2992395.4285963499</v>
      </c>
      <c r="D838" s="67">
        <f t="array" ref="D838">SUM($B$7:$B833*$F$1009*EXP(-$F$1009*($A838-$A$7:$A833)))*$F$1010</f>
        <v>108056.51426436822</v>
      </c>
      <c r="E838" s="67">
        <f t="shared" si="79"/>
        <v>0.20600020520935997</v>
      </c>
      <c r="F838" s="70">
        <f t="shared" si="83"/>
        <v>1.2508332460312337E-2</v>
      </c>
      <c r="G838" s="67">
        <f>E838/'Lookup Tables'!$C$48</f>
        <v>0.41200041041871993</v>
      </c>
      <c r="H838" s="70">
        <f t="shared" si="80"/>
        <v>3.618295457322892E-5</v>
      </c>
      <c r="I838" s="71">
        <f t="shared" si="84"/>
        <v>5.9328059100295671E-4</v>
      </c>
      <c r="L838" s="74"/>
      <c r="M838" s="74"/>
      <c r="N838" s="74"/>
      <c r="O838" s="74"/>
      <c r="P838" s="74"/>
      <c r="Q838" s="74"/>
      <c r="R838" s="74"/>
      <c r="S838" s="74"/>
      <c r="T838" s="74"/>
      <c r="U838" s="74"/>
      <c r="V838" s="74"/>
      <c r="W838" s="74"/>
      <c r="X838" s="74"/>
      <c r="Y838" s="74"/>
    </row>
    <row r="839" spans="1:25" x14ac:dyDescent="0.3">
      <c r="A839" s="66">
        <f t="shared" si="82"/>
        <v>2073.1999999999243</v>
      </c>
      <c r="B839" s="67">
        <f>LOOKUP(A839+0.01,Amounts!$A$4:$A$103,Amounts!$B$4:$B$103)*0.1*$A$2</f>
        <v>0</v>
      </c>
      <c r="C839" s="68">
        <f t="shared" si="81"/>
        <v>2992395.4285963499</v>
      </c>
      <c r="D839" s="67">
        <f t="array" ref="D839">SUM($B$7:$B834*$F$1009*EXP(-$F$1009*($A839-$A$7:$A834)))*$F$1010</f>
        <v>106554.26335769975</v>
      </c>
      <c r="E839" s="67">
        <f t="shared" ref="E839:E902" si="85">D839/(365*24*60)*1.00201</f>
        <v>0.20313629647459802</v>
      </c>
      <c r="F839" s="70">
        <f t="shared" si="83"/>
        <v>1.2334435921937593E-2</v>
      </c>
      <c r="G839" s="67">
        <f>E839/'Lookup Tables'!$C$48</f>
        <v>0.40627259294919604</v>
      </c>
      <c r="H839" s="70">
        <f t="shared" ref="H839:H902" si="86">G839*60*24*365/(C839*2000)</f>
        <v>3.5679922648836173E-5</v>
      </c>
      <c r="I839" s="71">
        <f t="shared" si="84"/>
        <v>5.8503253384684225E-4</v>
      </c>
      <c r="L839" s="74"/>
      <c r="M839" s="74"/>
      <c r="N839" s="74"/>
      <c r="O839" s="74"/>
      <c r="P839" s="74"/>
      <c r="Q839" s="74"/>
      <c r="R839" s="74"/>
      <c r="S839" s="74"/>
      <c r="T839" s="74"/>
      <c r="U839" s="74"/>
      <c r="V839" s="74"/>
      <c r="W839" s="74"/>
      <c r="X839" s="74"/>
      <c r="Y839" s="74"/>
    </row>
    <row r="840" spans="1:25" x14ac:dyDescent="0.3">
      <c r="A840" s="66">
        <f t="shared" si="82"/>
        <v>2073.2999999999242</v>
      </c>
      <c r="B840" s="67">
        <f>LOOKUP(A840+0.01,Amounts!$A$4:$A$103,Amounts!$B$4:$B$103)*0.1*$A$2</f>
        <v>0</v>
      </c>
      <c r="C840" s="68">
        <f t="shared" si="81"/>
        <v>2992395.4285963499</v>
      </c>
      <c r="D840" s="67">
        <f t="array" ref="D840">SUM($B$7:$B835*$F$1009*EXP(-$F$1009*($A840-$A$7:$A835)))*$F$1010</f>
        <v>105072.89742776731</v>
      </c>
      <c r="E840" s="67">
        <f t="shared" si="85"/>
        <v>0.20031220310425635</v>
      </c>
      <c r="F840" s="70">
        <f t="shared" si="83"/>
        <v>1.2162956972490445E-2</v>
      </c>
      <c r="G840" s="67">
        <f>E840/'Lookup Tables'!$C$48</f>
        <v>0.4006244062085127</v>
      </c>
      <c r="H840" s="70">
        <f t="shared" si="86"/>
        <v>3.5183884103506671E-5</v>
      </c>
      <c r="I840" s="71">
        <f t="shared" si="84"/>
        <v>5.7689914494025833E-4</v>
      </c>
      <c r="L840" s="74"/>
      <c r="M840" s="74"/>
      <c r="N840" s="74"/>
      <c r="O840" s="74"/>
      <c r="P840" s="74"/>
      <c r="Q840" s="74"/>
      <c r="R840" s="74"/>
      <c r="S840" s="74"/>
      <c r="T840" s="74"/>
      <c r="U840" s="74"/>
      <c r="V840" s="74"/>
      <c r="W840" s="74"/>
      <c r="X840" s="74"/>
      <c r="Y840" s="74"/>
    </row>
    <row r="841" spans="1:25" x14ac:dyDescent="0.3">
      <c r="A841" s="66">
        <f t="shared" si="82"/>
        <v>2073.3999999999241</v>
      </c>
      <c r="B841" s="67">
        <f>LOOKUP(A841+0.01,Amounts!$A$4:$A$103,Amounts!$B$4:$B$103)*0.1*$A$2</f>
        <v>0</v>
      </c>
      <c r="C841" s="68">
        <f t="shared" ref="C841:C904" si="87">C840+B841</f>
        <v>2992395.4285963499</v>
      </c>
      <c r="D841" s="67">
        <f t="array" ref="D841">SUM($B$7:$B836*$F$1009*EXP(-$F$1009*($A841-$A$7:$A836)))*$F$1010</f>
        <v>103612.12612210623</v>
      </c>
      <c r="E841" s="67">
        <f t="shared" si="85"/>
        <v>0.19752737156699329</v>
      </c>
      <c r="F841" s="70">
        <f t="shared" si="83"/>
        <v>1.1993862001547834E-2</v>
      </c>
      <c r="G841" s="67">
        <f>E841/'Lookup Tables'!$C$48</f>
        <v>0.39505474313398659</v>
      </c>
      <c r="H841" s="70">
        <f t="shared" si="86"/>
        <v>3.4694741712097506E-5</v>
      </c>
      <c r="I841" s="71">
        <f t="shared" si="84"/>
        <v>5.6887883011294072E-4</v>
      </c>
      <c r="L841" s="74"/>
      <c r="M841" s="74"/>
      <c r="N841" s="74"/>
      <c r="O841" s="74"/>
      <c r="P841" s="74"/>
      <c r="Q841" s="74"/>
      <c r="R841" s="74"/>
      <c r="S841" s="74"/>
      <c r="T841" s="74"/>
      <c r="U841" s="74"/>
      <c r="V841" s="74"/>
      <c r="W841" s="74"/>
      <c r="X841" s="74"/>
      <c r="Y841" s="74"/>
    </row>
    <row r="842" spans="1:25" x14ac:dyDescent="0.3">
      <c r="A842" s="66">
        <f t="shared" si="82"/>
        <v>2073.4999999999241</v>
      </c>
      <c r="B842" s="67">
        <f>LOOKUP(A842+0.01,Amounts!$A$4:$A$103,Amounts!$B$4:$B$103)*0.1*$A$2</f>
        <v>0</v>
      </c>
      <c r="C842" s="68">
        <f t="shared" si="87"/>
        <v>2992395.4285963499</v>
      </c>
      <c r="D842" s="67">
        <f t="array" ref="D842">SUM($B$7:$B837*$F$1009*EXP(-$F$1009*($A842-$A$7:$A837)))*$F$1010</f>
        <v>102171.66312486419</v>
      </c>
      <c r="E842" s="67">
        <f t="shared" si="85"/>
        <v>0.19478125602691243</v>
      </c>
      <c r="F842" s="70">
        <f t="shared" si="83"/>
        <v>1.1827117865954122E-2</v>
      </c>
      <c r="G842" s="67">
        <f>E842/'Lookup Tables'!$C$48</f>
        <v>0.38956251205382486</v>
      </c>
      <c r="H842" s="70">
        <f t="shared" si="86"/>
        <v>3.4212399601134074E-5</v>
      </c>
      <c r="I842" s="71">
        <f t="shared" si="84"/>
        <v>5.6097001735750784E-4</v>
      </c>
      <c r="L842" s="74"/>
      <c r="M842" s="74"/>
      <c r="N842" s="74"/>
      <c r="O842" s="74"/>
      <c r="P842" s="74"/>
      <c r="Q842" s="74"/>
      <c r="R842" s="74"/>
      <c r="S842" s="74"/>
      <c r="T842" s="74"/>
      <c r="U842" s="74"/>
      <c r="V842" s="74"/>
      <c r="W842" s="74"/>
      <c r="X842" s="74"/>
      <c r="Y842" s="74"/>
    </row>
    <row r="843" spans="1:25" x14ac:dyDescent="0.3">
      <c r="A843" s="66">
        <f t="shared" si="82"/>
        <v>2073.599999999924</v>
      </c>
      <c r="B843" s="67">
        <f>LOOKUP(A843+0.01,Amounts!$A$4:$A$103,Amounts!$B$4:$B$103)*0.1*$A$2</f>
        <v>0</v>
      </c>
      <c r="C843" s="68">
        <f t="shared" si="87"/>
        <v>2992395.4285963499</v>
      </c>
      <c r="D843" s="67">
        <f t="array" ref="D843">SUM($B$7:$B838*$F$1009*EXP(-$F$1009*($A843-$A$7:$A838)))*$F$1010</f>
        <v>100751.22610068225</v>
      </c>
      <c r="E843" s="67">
        <f t="shared" si="85"/>
        <v>0.19207331823657656</v>
      </c>
      <c r="F843" s="70">
        <f t="shared" si="83"/>
        <v>1.166269188332493E-2</v>
      </c>
      <c r="G843" s="67">
        <f>E843/'Lookup Tables'!$C$48</f>
        <v>0.38414663647315311</v>
      </c>
      <c r="H843" s="70">
        <f t="shared" si="86"/>
        <v>3.3736763230018455E-5</v>
      </c>
      <c r="I843" s="71">
        <f t="shared" si="84"/>
        <v>5.5317115652134057E-4</v>
      </c>
      <c r="L843" s="74"/>
      <c r="M843" s="74"/>
      <c r="N843" s="74"/>
      <c r="O843" s="74"/>
      <c r="P843" s="74"/>
      <c r="Q843" s="74"/>
      <c r="R843" s="74"/>
      <c r="S843" s="74"/>
      <c r="T843" s="74"/>
      <c r="U843" s="74"/>
      <c r="V843" s="74"/>
      <c r="W843" s="74"/>
      <c r="X843" s="74"/>
      <c r="Y843" s="74"/>
    </row>
    <row r="844" spans="1:25" x14ac:dyDescent="0.3">
      <c r="A844" s="66">
        <f t="shared" si="82"/>
        <v>2073.6999999999239</v>
      </c>
      <c r="B844" s="67">
        <f>LOOKUP(A844+0.01,Amounts!$A$4:$A$103,Amounts!$B$4:$B$103)*0.1*$A$2</f>
        <v>0</v>
      </c>
      <c r="C844" s="68">
        <f t="shared" si="87"/>
        <v>2992395.4285963499</v>
      </c>
      <c r="D844" s="67">
        <f t="array" ref="D844">SUM($B$7:$B839*$F$1009*EXP(-$F$1009*($A844-$A$7:$A839)))*$F$1010</f>
        <v>99350.536639356433</v>
      </c>
      <c r="E844" s="67">
        <f t="shared" si="85"/>
        <v>0.18940302743150977</v>
      </c>
      <c r="F844" s="70">
        <f t="shared" si="83"/>
        <v>1.1500551825641272E-2</v>
      </c>
      <c r="G844" s="67">
        <f>E844/'Lookup Tables'!$C$48</f>
        <v>0.37880605486301955</v>
      </c>
      <c r="H844" s="70">
        <f t="shared" si="86"/>
        <v>3.3267739372499246E-5</v>
      </c>
      <c r="I844" s="71">
        <f t="shared" si="84"/>
        <v>5.4548071900274817E-4</v>
      </c>
      <c r="L844" s="74"/>
      <c r="M844" s="74"/>
      <c r="N844" s="74"/>
      <c r="O844" s="74"/>
      <c r="P844" s="74"/>
      <c r="Q844" s="74"/>
      <c r="R844" s="74"/>
      <c r="S844" s="74"/>
      <c r="T844" s="74"/>
      <c r="U844" s="74"/>
      <c r="V844" s="74"/>
      <c r="W844" s="74"/>
      <c r="X844" s="74"/>
      <c r="Y844" s="74"/>
    </row>
    <row r="845" spans="1:25" x14ac:dyDescent="0.3">
      <c r="A845" s="66">
        <f t="shared" si="82"/>
        <v>2073.7999999999238</v>
      </c>
      <c r="B845" s="67">
        <f>LOOKUP(A845+0.01,Amounts!$A$4:$A$103,Amounts!$B$4:$B$103)*0.1*$A$2</f>
        <v>0</v>
      </c>
      <c r="C845" s="68">
        <f t="shared" si="87"/>
        <v>2992395.4285963499</v>
      </c>
      <c r="D845" s="67">
        <f t="array" ref="D845">SUM($B$7:$B840*$F$1009*EXP(-$F$1009*($A845-$A$7:$A840)))*$F$1010</f>
        <v>97969.320201268099</v>
      </c>
      <c r="E845" s="67">
        <f t="shared" si="85"/>
        <v>0.18676986022616562</v>
      </c>
      <c r="F845" s="70">
        <f t="shared" si="83"/>
        <v>1.1340665912932776E-2</v>
      </c>
      <c r="G845" s="67">
        <f>E845/'Lookup Tables'!$C$48</f>
        <v>0.37353972045233125</v>
      </c>
      <c r="H845" s="70">
        <f t="shared" si="86"/>
        <v>3.2805236098398842E-5</v>
      </c>
      <c r="I845" s="71">
        <f t="shared" si="84"/>
        <v>5.3789719745135699E-4</v>
      </c>
      <c r="L845" s="74"/>
      <c r="M845" s="74"/>
      <c r="N845" s="74"/>
      <c r="O845" s="74"/>
      <c r="P845" s="74"/>
      <c r="Q845" s="74"/>
      <c r="R845" s="74"/>
      <c r="S845" s="74"/>
      <c r="T845" s="74"/>
      <c r="U845" s="74"/>
      <c r="V845" s="74"/>
      <c r="W845" s="74"/>
      <c r="X845" s="74"/>
      <c r="Y845" s="74"/>
    </row>
    <row r="846" spans="1:25" x14ac:dyDescent="0.3">
      <c r="A846" s="66">
        <f t="shared" si="82"/>
        <v>2073.8999999999237</v>
      </c>
      <c r="B846" s="67">
        <f>LOOKUP(A846+0.01,Amounts!$A$4:$A$103,Amounts!$B$4:$B$103)*0.1*$A$2</f>
        <v>0</v>
      </c>
      <c r="C846" s="68">
        <f t="shared" si="87"/>
        <v>2992395.4285963499</v>
      </c>
      <c r="D846" s="67">
        <f t="array" ref="D846">SUM($B$7:$B841*$F$1009*EXP(-$F$1009*($A846-$A$7:$A841)))*$F$1010</f>
        <v>96607.306063573706</v>
      </c>
      <c r="E846" s="67">
        <f t="shared" si="85"/>
        <v>0.18417330051134226</v>
      </c>
      <c r="F846" s="70">
        <f t="shared" si="83"/>
        <v>1.1183002807048701E-2</v>
      </c>
      <c r="G846" s="67">
        <f>E846/'Lookup Tables'!$C$48</f>
        <v>0.36834660102268452</v>
      </c>
      <c r="H846" s="70">
        <f t="shared" si="86"/>
        <v>3.2349162755594908E-5</v>
      </c>
      <c r="I846" s="71">
        <f t="shared" si="84"/>
        <v>5.3041910547266572E-4</v>
      </c>
      <c r="L846" s="74"/>
      <c r="M846" s="74"/>
      <c r="N846" s="74"/>
      <c r="O846" s="74"/>
      <c r="P846" s="74"/>
      <c r="Q846" s="74"/>
      <c r="R846" s="74"/>
      <c r="S846" s="74"/>
      <c r="T846" s="74"/>
      <c r="U846" s="74"/>
      <c r="V846" s="74"/>
      <c r="W846" s="74"/>
      <c r="X846" s="74"/>
      <c r="Y846" s="74"/>
    </row>
    <row r="847" spans="1:25" x14ac:dyDescent="0.3">
      <c r="A847" s="66">
        <f t="shared" si="82"/>
        <v>2073.9999999999236</v>
      </c>
      <c r="B847" s="67">
        <f>LOOKUP(A847+0.01,Amounts!$A$4:$A$103,Amounts!$B$4:$B$103)*0.1*$A$2</f>
        <v>0</v>
      </c>
      <c r="C847" s="68">
        <f t="shared" si="87"/>
        <v>2992395.4285963499</v>
      </c>
      <c r="D847" s="67">
        <f t="array" ref="D847">SUM($B$7:$B842*$F$1009*EXP(-$F$1009*($A847-$A$7:$A842)))*$F$1010</f>
        <v>95264.227267141934</v>
      </c>
      <c r="E847" s="67">
        <f t="shared" si="85"/>
        <v>0.18161283935302303</v>
      </c>
      <c r="F847" s="70">
        <f t="shared" si="83"/>
        <v>1.1027531605515558E-2</v>
      </c>
      <c r="G847" s="67">
        <f>E847/'Lookup Tables'!$C$48</f>
        <v>0.36322567870604605</v>
      </c>
      <c r="H847" s="70">
        <f t="shared" si="86"/>
        <v>3.189942995225218E-5</v>
      </c>
      <c r="I847" s="71">
        <f t="shared" si="84"/>
        <v>5.2304497733670632E-4</v>
      </c>
      <c r="L847" s="74"/>
      <c r="M847" s="74"/>
      <c r="N847" s="74"/>
      <c r="O847" s="74"/>
      <c r="P847" s="74"/>
      <c r="Q847" s="74"/>
      <c r="R847" s="74"/>
      <c r="S847" s="74"/>
      <c r="T847" s="74"/>
      <c r="U847" s="74"/>
      <c r="V847" s="74"/>
      <c r="W847" s="74"/>
      <c r="X847" s="74"/>
      <c r="Y847" s="74"/>
    </row>
    <row r="848" spans="1:25" x14ac:dyDescent="0.3">
      <c r="A848" s="66">
        <f t="shared" si="82"/>
        <v>2074.0999999999235</v>
      </c>
      <c r="B848" s="67">
        <f>LOOKUP(A848+0.01,Amounts!$A$4:$A$103,Amounts!$B$4:$B$103)*0.1*$A$2</f>
        <v>0</v>
      </c>
      <c r="C848" s="68">
        <f t="shared" si="87"/>
        <v>2992395.4285963499</v>
      </c>
      <c r="D848" s="67">
        <f t="array" ref="D848">SUM($B$7:$B843*$F$1009*EXP(-$F$1009*($A848-$A$7:$A843)))*$F$1010</f>
        <v>93939.820564229085</v>
      </c>
      <c r="E848" s="67">
        <f t="shared" si="85"/>
        <v>0.17908797489262404</v>
      </c>
      <c r="F848" s="70">
        <f t="shared" si="83"/>
        <v>1.0874221835480131E-2</v>
      </c>
      <c r="G848" s="67">
        <f>E848/'Lookup Tables'!$C$48</f>
        <v>0.35817594978524808</v>
      </c>
      <c r="H848" s="70">
        <f t="shared" si="86"/>
        <v>3.1455949539301479E-5</v>
      </c>
      <c r="I848" s="71">
        <f t="shared" si="84"/>
        <v>5.1577336769075726E-4</v>
      </c>
      <c r="L848" s="74"/>
      <c r="M848" s="74"/>
      <c r="N848" s="74"/>
      <c r="O848" s="74"/>
      <c r="P848" s="74"/>
      <c r="Q848" s="74"/>
      <c r="R848" s="74"/>
      <c r="S848" s="74"/>
      <c r="T848" s="74"/>
      <c r="U848" s="74"/>
      <c r="V848" s="74"/>
      <c r="W848" s="74"/>
      <c r="X848" s="74"/>
      <c r="Y848" s="74"/>
    </row>
    <row r="849" spans="1:25" x14ac:dyDescent="0.3">
      <c r="A849" s="66">
        <f t="shared" si="82"/>
        <v>2074.1999999999234</v>
      </c>
      <c r="B849" s="67">
        <f>LOOKUP(A849+0.01,Amounts!$A$4:$A$103,Amounts!$B$4:$B$103)*0.1*$A$2</f>
        <v>0</v>
      </c>
      <c r="C849" s="68">
        <f t="shared" si="87"/>
        <v>2992395.4285963499</v>
      </c>
      <c r="D849" s="67">
        <f t="array" ref="D849">SUM($B$7:$B844*$F$1009*EXP(-$F$1009*($A849-$A$7:$A844)))*$F$1010</f>
        <v>92633.826366881374</v>
      </c>
      <c r="E849" s="67">
        <f t="shared" si="85"/>
        <v>0.17659821224862787</v>
      </c>
      <c r="F849" s="70">
        <f t="shared" si="83"/>
        <v>1.0723043447736686E-2</v>
      </c>
      <c r="G849" s="67">
        <f>E849/'Lookup Tables'!$C$48</f>
        <v>0.35319642449725575</v>
      </c>
      <c r="H849" s="70">
        <f t="shared" si="86"/>
        <v>3.1018634593162083E-5</v>
      </c>
      <c r="I849" s="71">
        <f t="shared" si="84"/>
        <v>5.0860285127604828E-4</v>
      </c>
      <c r="L849" s="74"/>
      <c r="M849" s="74"/>
      <c r="N849" s="74"/>
      <c r="O849" s="74"/>
      <c r="P849" s="74"/>
      <c r="Q849" s="74"/>
      <c r="R849" s="74"/>
      <c r="S849" s="74"/>
      <c r="T849" s="74"/>
      <c r="U849" s="74"/>
      <c r="V849" s="74"/>
      <c r="W849" s="74"/>
      <c r="X849" s="74"/>
      <c r="Y849" s="74"/>
    </row>
    <row r="850" spans="1:25" x14ac:dyDescent="0.3">
      <c r="A850" s="66">
        <f t="shared" si="82"/>
        <v>2074.2999999999233</v>
      </c>
      <c r="B850" s="67">
        <f>LOOKUP(A850+0.01,Amounts!$A$4:$A$103,Amounts!$B$4:$B$103)*0.1*$A$2</f>
        <v>0</v>
      </c>
      <c r="C850" s="68">
        <f t="shared" si="87"/>
        <v>2992395.4285963499</v>
      </c>
      <c r="D850" s="67">
        <f t="array" ref="D850">SUM($B$7:$B845*$F$1009*EXP(-$F$1009*($A850-$A$7:$A845)))*$F$1010</f>
        <v>91345.988696055225</v>
      </c>
      <c r="E850" s="67">
        <f t="shared" si="85"/>
        <v>0.17414306341958583</v>
      </c>
      <c r="F850" s="70">
        <f t="shared" si="83"/>
        <v>1.0573966810837252E-2</v>
      </c>
      <c r="G850" s="67">
        <f>E850/'Lookup Tables'!$C$48</f>
        <v>0.34828612683917165</v>
      </c>
      <c r="H850" s="70">
        <f t="shared" si="86"/>
        <v>3.0587399398704577E-5</v>
      </c>
      <c r="I850" s="71">
        <f t="shared" si="84"/>
        <v>5.0153202264840719E-4</v>
      </c>
      <c r="L850" s="74"/>
      <c r="M850" s="74"/>
      <c r="N850" s="74"/>
      <c r="O850" s="74"/>
      <c r="P850" s="74"/>
      <c r="Q850" s="74"/>
      <c r="R850" s="74"/>
      <c r="S850" s="74"/>
      <c r="T850" s="74"/>
      <c r="U850" s="74"/>
      <c r="V850" s="74"/>
      <c r="W850" s="74"/>
      <c r="X850" s="74"/>
      <c r="Y850" s="74"/>
    </row>
    <row r="851" spans="1:25" x14ac:dyDescent="0.3">
      <c r="A851" s="66">
        <f t="shared" ref="A851:A914" si="88">A850+0.1</f>
        <v>2074.3999999999232</v>
      </c>
      <c r="B851" s="67">
        <f>LOOKUP(A851+0.01,Amounts!$A$4:$A$103,Amounts!$B$4:$B$103)*0.1*$A$2</f>
        <v>0</v>
      </c>
      <c r="C851" s="68">
        <f t="shared" si="87"/>
        <v>2992395.4285963499</v>
      </c>
      <c r="D851" s="67">
        <f t="array" ref="D851">SUM($B$7:$B846*$F$1009*EXP(-$F$1009*($A851-$A$7:$A846)))*$F$1010</f>
        <v>90076.055131444358</v>
      </c>
      <c r="E851" s="67">
        <f t="shared" si="85"/>
        <v>0.17172204718846759</v>
      </c>
      <c r="F851" s="70">
        <f t="shared" ref="F851:F914" si="89">E851*60*1012/1000000</f>
        <v>1.0426962705283751E-2</v>
      </c>
      <c r="G851" s="67">
        <f>E851/'Lookup Tables'!$C$48</f>
        <v>0.34344409437693518</v>
      </c>
      <c r="H851" s="70">
        <f t="shared" si="86"/>
        <v>3.0162159432450305E-5</v>
      </c>
      <c r="I851" s="71">
        <f t="shared" ref="I851:I914" si="90">G851*60*24/1000000</f>
        <v>4.945594959027866E-4</v>
      </c>
      <c r="L851" s="74"/>
      <c r="M851" s="74"/>
      <c r="N851" s="74"/>
      <c r="O851" s="74"/>
      <c r="P851" s="74"/>
      <c r="Q851" s="74"/>
      <c r="R851" s="74"/>
      <c r="S851" s="74"/>
      <c r="T851" s="74"/>
      <c r="U851" s="74"/>
      <c r="V851" s="74"/>
      <c r="W851" s="74"/>
      <c r="X851" s="74"/>
      <c r="Y851" s="74"/>
    </row>
    <row r="852" spans="1:25" x14ac:dyDescent="0.3">
      <c r="A852" s="66">
        <f t="shared" si="88"/>
        <v>2074.4999999999231</v>
      </c>
      <c r="B852" s="67">
        <f>LOOKUP(A852+0.01,Amounts!$A$4:$A$103,Amounts!$B$4:$B$103)*0.1*$A$2</f>
        <v>0</v>
      </c>
      <c r="C852" s="68">
        <f t="shared" si="87"/>
        <v>2992395.4285963499</v>
      </c>
      <c r="D852" s="67">
        <f t="array" ref="D852">SUM($B$7:$B847*$F$1009*EXP(-$F$1009*($A852-$A$7:$A847)))*$F$1010</f>
        <v>88823.776762004578</v>
      </c>
      <c r="E852" s="67">
        <f t="shared" si="85"/>
        <v>0.16933468902834137</v>
      </c>
      <c r="F852" s="70">
        <f t="shared" si="89"/>
        <v>1.0282002317800888E-2</v>
      </c>
      <c r="G852" s="67">
        <f>E852/'Lookup Tables'!$C$48</f>
        <v>0.33866937805668273</v>
      </c>
      <c r="H852" s="70">
        <f t="shared" si="86"/>
        <v>2.974283134600455E-5</v>
      </c>
      <c r="I852" s="71">
        <f t="shared" si="90"/>
        <v>4.8768390440162318E-4</v>
      </c>
      <c r="L852" s="74"/>
      <c r="M852" s="74"/>
      <c r="N852" s="74"/>
      <c r="O852" s="74"/>
      <c r="P852" s="74"/>
      <c r="Q852" s="74"/>
      <c r="R852" s="74"/>
      <c r="S852" s="74"/>
      <c r="T852" s="74"/>
      <c r="U852" s="74"/>
      <c r="V852" s="74"/>
      <c r="W852" s="74"/>
      <c r="X852" s="74"/>
      <c r="Y852" s="74"/>
    </row>
    <row r="853" spans="1:25" x14ac:dyDescent="0.3">
      <c r="A853" s="66">
        <f t="shared" si="88"/>
        <v>2074.5999999999231</v>
      </c>
      <c r="B853" s="67">
        <f>LOOKUP(A853+0.01,Amounts!$A$4:$A$103,Amounts!$B$4:$B$103)*0.1*$A$2</f>
        <v>0</v>
      </c>
      <c r="C853" s="68">
        <f t="shared" si="87"/>
        <v>2992395.4285963499</v>
      </c>
      <c r="D853" s="67">
        <f t="array" ref="D853">SUM($B$7:$B848*$F$1009*EXP(-$F$1009*($A853-$A$7:$A848)))*$F$1010</f>
        <v>87588.90813716648</v>
      </c>
      <c r="E853" s="67">
        <f t="shared" si="85"/>
        <v>0.16698052100936489</v>
      </c>
      <c r="F853" s="70">
        <f t="shared" si="89"/>
        <v>1.0139057235688635E-2</v>
      </c>
      <c r="G853" s="67">
        <f>E853/'Lookup Tables'!$C$48</f>
        <v>0.33396104201872978</v>
      </c>
      <c r="H853" s="70">
        <f t="shared" si="86"/>
        <v>2.9329332949719922E-5</v>
      </c>
      <c r="I853" s="71">
        <f t="shared" si="90"/>
        <v>4.8090390050697083E-4</v>
      </c>
      <c r="L853" s="74"/>
      <c r="M853" s="74"/>
      <c r="N853" s="74"/>
      <c r="O853" s="74"/>
      <c r="P853" s="74"/>
      <c r="Q853" s="74"/>
      <c r="R853" s="74"/>
      <c r="S853" s="74"/>
      <c r="T853" s="74"/>
      <c r="U853" s="74"/>
      <c r="V853" s="74"/>
      <c r="W853" s="74"/>
      <c r="X853" s="74"/>
      <c r="Y853" s="74"/>
    </row>
    <row r="854" spans="1:25" x14ac:dyDescent="0.3">
      <c r="A854" s="66">
        <f t="shared" si="88"/>
        <v>2074.699999999923</v>
      </c>
      <c r="B854" s="67">
        <f>LOOKUP(A854+0.01,Amounts!$A$4:$A$103,Amounts!$B$4:$B$103)*0.1*$A$2</f>
        <v>0</v>
      </c>
      <c r="C854" s="68">
        <f t="shared" si="87"/>
        <v>2992395.4285963499</v>
      </c>
      <c r="D854" s="67">
        <f t="array" ref="D854">SUM($B$7:$B849*$F$1009*EXP(-$F$1009*($A854-$A$7:$A849)))*$F$1010</f>
        <v>86371.207218726355</v>
      </c>
      <c r="E854" s="67">
        <f t="shared" si="85"/>
        <v>0.16465908170707003</v>
      </c>
      <c r="F854" s="70">
        <f t="shared" si="89"/>
        <v>9.9980994412532925E-3</v>
      </c>
      <c r="G854" s="67">
        <f>E854/'Lookup Tables'!$C$48</f>
        <v>0.32931816341414005</v>
      </c>
      <c r="H854" s="70">
        <f t="shared" si="86"/>
        <v>2.8921583196587028E-5</v>
      </c>
      <c r="I854" s="71">
        <f t="shared" si="90"/>
        <v>4.7421815531636171E-4</v>
      </c>
      <c r="L854" s="74"/>
      <c r="M854" s="74"/>
      <c r="N854" s="74"/>
      <c r="O854" s="74"/>
      <c r="P854" s="74"/>
      <c r="Q854" s="74"/>
      <c r="R854" s="74"/>
      <c r="S854" s="74"/>
      <c r="T854" s="74"/>
      <c r="U854" s="74"/>
      <c r="V854" s="74"/>
      <c r="W854" s="74"/>
      <c r="X854" s="74"/>
      <c r="Y854" s="74"/>
    </row>
    <row r="855" spans="1:25" x14ac:dyDescent="0.3">
      <c r="A855" s="66">
        <f t="shared" si="88"/>
        <v>2074.7999999999229</v>
      </c>
      <c r="B855" s="67">
        <f>LOOKUP(A855+0.01,Amounts!$A$4:$A$103,Amounts!$B$4:$B$103)*0.1*$A$2</f>
        <v>0</v>
      </c>
      <c r="C855" s="68">
        <f t="shared" si="87"/>
        <v>2992395.4285963499</v>
      </c>
      <c r="D855" s="67">
        <f t="array" ref="D855">SUM($B$7:$B850*$F$1009*EXP(-$F$1009*($A855-$A$7:$A850)))*$F$1010</f>
        <v>85170.435333405898</v>
      </c>
      <c r="E855" s="67">
        <f t="shared" si="85"/>
        <v>0.1623699161119217</v>
      </c>
      <c r="F855" s="70">
        <f t="shared" si="89"/>
        <v>9.8591013063158844E-3</v>
      </c>
      <c r="G855" s="67">
        <f>E855/'Lookup Tables'!$C$48</f>
        <v>0.32473983222384339</v>
      </c>
      <c r="H855" s="70">
        <f t="shared" si="86"/>
        <v>2.8519502166348864E-5</v>
      </c>
      <c r="I855" s="71">
        <f t="shared" si="90"/>
        <v>4.6762535840233444E-4</v>
      </c>
      <c r="L855" s="74"/>
      <c r="M855" s="74"/>
      <c r="N855" s="74"/>
      <c r="O855" s="74"/>
      <c r="P855" s="74"/>
      <c r="Q855" s="74"/>
      <c r="R855" s="74"/>
      <c r="S855" s="74"/>
      <c r="T855" s="74"/>
      <c r="U855" s="74"/>
      <c r="V855" s="74"/>
      <c r="W855" s="74"/>
      <c r="X855" s="74"/>
      <c r="Y855" s="74"/>
    </row>
    <row r="856" spans="1:25" x14ac:dyDescent="0.3">
      <c r="A856" s="66">
        <f t="shared" si="88"/>
        <v>2074.8999999999228</v>
      </c>
      <c r="B856" s="67">
        <f>LOOKUP(A856+0.01,Amounts!$A$4:$A$103,Amounts!$B$4:$B$103)*0.1*$A$2</f>
        <v>0</v>
      </c>
      <c r="C856" s="68">
        <f t="shared" si="87"/>
        <v>2992395.4285963499</v>
      </c>
      <c r="D856" s="67">
        <f t="array" ref="D856">SUM($B$7:$B851*$F$1009*EXP(-$F$1009*($A856-$A$7:$A851)))*$F$1010</f>
        <v>83986.357126071496</v>
      </c>
      <c r="E856" s="67">
        <f t="shared" si="85"/>
        <v>0.16011257554013492</v>
      </c>
      <c r="F856" s="70">
        <f t="shared" si="89"/>
        <v>9.7220355867969916E-3</v>
      </c>
      <c r="G856" s="67">
        <f>E856/'Lookup Tables'!$C$48</f>
        <v>0.32022515108026983</v>
      </c>
      <c r="H856" s="70">
        <f t="shared" si="86"/>
        <v>2.8123011049836344E-5</v>
      </c>
      <c r="I856" s="71">
        <f t="shared" si="90"/>
        <v>4.6112421755558855E-4</v>
      </c>
      <c r="L856" s="74"/>
      <c r="M856" s="74"/>
      <c r="N856" s="74"/>
      <c r="O856" s="74"/>
      <c r="P856" s="74"/>
      <c r="Q856" s="74"/>
      <c r="R856" s="74"/>
      <c r="S856" s="74"/>
      <c r="T856" s="74"/>
      <c r="U856" s="74"/>
      <c r="V856" s="74"/>
      <c r="W856" s="74"/>
      <c r="X856" s="74"/>
      <c r="Y856" s="74"/>
    </row>
    <row r="857" spans="1:25" x14ac:dyDescent="0.3">
      <c r="A857" s="66">
        <f t="shared" si="88"/>
        <v>2074.9999999999227</v>
      </c>
      <c r="B857" s="67">
        <f>LOOKUP(A857+0.01,Amounts!$A$4:$A$103,Amounts!$B$4:$B$103)*0.1*$A$2</f>
        <v>0</v>
      </c>
      <c r="C857" s="68">
        <f t="shared" si="87"/>
        <v>2992395.4285963499</v>
      </c>
      <c r="D857" s="67">
        <f t="array" ref="D857">SUM($B$7:$B852*$F$1009*EXP(-$F$1009*($A857-$A$7:$A852)))*$F$1010</f>
        <v>82818.740513603858</v>
      </c>
      <c r="E857" s="67">
        <f t="shared" si="85"/>
        <v>0.157886617545731</v>
      </c>
      <c r="F857" s="70">
        <f t="shared" si="89"/>
        <v>9.5868754173767858E-3</v>
      </c>
      <c r="G857" s="67">
        <f>E857/'Lookup Tables'!$C$48</f>
        <v>0.31577323509146199</v>
      </c>
      <c r="H857" s="70">
        <f t="shared" si="86"/>
        <v>2.7732032133521299E-5</v>
      </c>
      <c r="I857" s="71">
        <f t="shared" si="90"/>
        <v>4.5471345853170526E-4</v>
      </c>
      <c r="L857" s="74"/>
      <c r="M857" s="74"/>
      <c r="N857" s="74"/>
      <c r="O857" s="74"/>
      <c r="P857" s="74"/>
      <c r="Q857" s="74"/>
      <c r="R857" s="74"/>
      <c r="S857" s="74"/>
      <c r="T857" s="74"/>
      <c r="U857" s="74"/>
      <c r="V857" s="74"/>
      <c r="W857" s="74"/>
      <c r="X857" s="74"/>
      <c r="Y857" s="74"/>
    </row>
    <row r="858" spans="1:25" x14ac:dyDescent="0.3">
      <c r="A858" s="66">
        <f t="shared" si="88"/>
        <v>2075.0999999999226</v>
      </c>
      <c r="B858" s="67">
        <f>LOOKUP(A858+0.01,Amounts!$A$4:$A$103,Amounts!$B$4:$B$103)*0.1*$A$2</f>
        <v>0</v>
      </c>
      <c r="C858" s="68">
        <f t="shared" si="87"/>
        <v>2992395.4285963499</v>
      </c>
      <c r="D858" s="67">
        <f t="array" ref="D858">SUM($B$7:$B853*$F$1009*EXP(-$F$1009*($A858-$A$7:$A853)))*$F$1010</f>
        <v>81667.356639408987</v>
      </c>
      <c r="E858" s="67">
        <f t="shared" si="85"/>
        <v>0.15569160583381697</v>
      </c>
      <c r="F858" s="70">
        <f t="shared" si="89"/>
        <v>9.4535943062293657E-3</v>
      </c>
      <c r="G858" s="67">
        <f>E858/'Lookup Tables'!$C$48</f>
        <v>0.31138321166763394</v>
      </c>
      <c r="H858" s="70">
        <f t="shared" si="86"/>
        <v>2.7346488784284472E-5</v>
      </c>
      <c r="I858" s="71">
        <f t="shared" si="90"/>
        <v>4.483918248013929E-4</v>
      </c>
      <c r="L858" s="74"/>
      <c r="M858" s="74"/>
      <c r="N858" s="74"/>
      <c r="O858" s="74"/>
      <c r="P858" s="74"/>
      <c r="Q858" s="74"/>
      <c r="R858" s="74"/>
      <c r="S858" s="74"/>
      <c r="T858" s="74"/>
      <c r="U858" s="74"/>
      <c r="V858" s="74"/>
      <c r="W858" s="74"/>
      <c r="X858" s="74"/>
      <c r="Y858" s="74"/>
    </row>
    <row r="859" spans="1:25" x14ac:dyDescent="0.3">
      <c r="A859" s="66">
        <f t="shared" si="88"/>
        <v>2075.1999999999225</v>
      </c>
      <c r="B859" s="67">
        <f>LOOKUP(A859+0.01,Amounts!$A$4:$A$103,Amounts!$B$4:$B$103)*0.1*$A$2</f>
        <v>0</v>
      </c>
      <c r="C859" s="68">
        <f t="shared" si="87"/>
        <v>2992395.4285963499</v>
      </c>
      <c r="D859" s="67">
        <f t="array" ref="D859">SUM($B$7:$B854*$F$1009*EXP(-$F$1009*($A859-$A$7:$A854)))*$F$1010</f>
        <v>80531.979828561569</v>
      </c>
      <c r="E859" s="67">
        <f t="shared" si="85"/>
        <v>0.15352711017507037</v>
      </c>
      <c r="F859" s="70">
        <f t="shared" si="89"/>
        <v>9.3221661298302731E-3</v>
      </c>
      <c r="G859" s="67">
        <f>E859/'Lookup Tables'!$C$48</f>
        <v>0.30705422035014074</v>
      </c>
      <c r="H859" s="70">
        <f t="shared" si="86"/>
        <v>2.6966305434395165E-5</v>
      </c>
      <c r="I859" s="71">
        <f t="shared" si="90"/>
        <v>4.4215807730420265E-4</v>
      </c>
      <c r="L859" s="74"/>
      <c r="M859" s="74"/>
      <c r="N859" s="74"/>
      <c r="O859" s="74"/>
      <c r="P859" s="74"/>
      <c r="Q859" s="74"/>
      <c r="R859" s="74"/>
      <c r="S859" s="74"/>
      <c r="T859" s="74"/>
      <c r="U859" s="74"/>
      <c r="V859" s="74"/>
      <c r="W859" s="74"/>
      <c r="X859" s="74"/>
      <c r="Y859" s="74"/>
    </row>
    <row r="860" spans="1:25" x14ac:dyDescent="0.3">
      <c r="A860" s="66">
        <f t="shared" si="88"/>
        <v>2075.2999999999224</v>
      </c>
      <c r="B860" s="67">
        <f>LOOKUP(A860+0.01,Amounts!$A$4:$A$103,Amounts!$B$4:$B$103)*0.1*$A$2</f>
        <v>0</v>
      </c>
      <c r="C860" s="68">
        <f t="shared" si="87"/>
        <v>2992395.4285963499</v>
      </c>
      <c r="D860" s="67">
        <f t="array" ref="D860">SUM($B$7:$B855*$F$1009*EXP(-$F$1009*($A860-$A$7:$A855)))*$F$1010</f>
        <v>79412.38754357188</v>
      </c>
      <c r="E860" s="67">
        <f t="shared" si="85"/>
        <v>0.15139270632141261</v>
      </c>
      <c r="F860" s="70">
        <f t="shared" si="89"/>
        <v>9.1925651278361754E-3</v>
      </c>
      <c r="G860" s="67">
        <f>E860/'Lookup Tables'!$C$48</f>
        <v>0.30278541264282521</v>
      </c>
      <c r="H860" s="70">
        <f t="shared" si="86"/>
        <v>2.6591407566699668E-5</v>
      </c>
      <c r="I860" s="71">
        <f t="shared" si="90"/>
        <v>4.3601099420566833E-4</v>
      </c>
      <c r="L860" s="74"/>
      <c r="M860" s="74"/>
      <c r="N860" s="74"/>
      <c r="O860" s="74"/>
      <c r="P860" s="74"/>
      <c r="Q860" s="74"/>
      <c r="R860" s="74"/>
      <c r="S860" s="74"/>
      <c r="T860" s="74"/>
      <c r="U860" s="74"/>
      <c r="V860" s="74"/>
      <c r="W860" s="74"/>
      <c r="X860" s="74"/>
      <c r="Y860" s="74"/>
    </row>
    <row r="861" spans="1:25" x14ac:dyDescent="0.3">
      <c r="A861" s="66">
        <f t="shared" si="88"/>
        <v>2075.3999999999223</v>
      </c>
      <c r="B861" s="67">
        <f>LOOKUP(A861+0.01,Amounts!$A$4:$A$103,Amounts!$B$4:$B$103)*0.1*$A$2</f>
        <v>0</v>
      </c>
      <c r="C861" s="68">
        <f t="shared" si="87"/>
        <v>2992395.4285963499</v>
      </c>
      <c r="D861" s="67">
        <f t="array" ref="D861">SUM($B$7:$B856*$F$1009*EXP(-$F$1009*($A861-$A$7:$A856)))*$F$1010</f>
        <v>78308.360340767933</v>
      </c>
      <c r="E861" s="67">
        <f t="shared" si="85"/>
        <v>0.14928797592285556</v>
      </c>
      <c r="F861" s="70">
        <f t="shared" si="89"/>
        <v>9.0647658980357905E-3</v>
      </c>
      <c r="G861" s="67">
        <f>E861/'Lookup Tables'!$C$48</f>
        <v>0.29857595184571112</v>
      </c>
      <c r="H861" s="70">
        <f t="shared" si="86"/>
        <v>2.6221721700015767E-5</v>
      </c>
      <c r="I861" s="71">
        <f t="shared" si="90"/>
        <v>4.2994937065782404E-4</v>
      </c>
      <c r="L861" s="74"/>
      <c r="M861" s="74"/>
      <c r="N861" s="74"/>
      <c r="O861" s="74"/>
      <c r="P861" s="74"/>
      <c r="Q861" s="74"/>
      <c r="R861" s="74"/>
      <c r="S861" s="74"/>
      <c r="T861" s="74"/>
      <c r="U861" s="74"/>
      <c r="V861" s="74"/>
      <c r="W861" s="74"/>
      <c r="X861" s="74"/>
      <c r="Y861" s="74"/>
    </row>
    <row r="862" spans="1:25" x14ac:dyDescent="0.3">
      <c r="A862" s="66">
        <f t="shared" si="88"/>
        <v>2075.4999999999222</v>
      </c>
      <c r="B862" s="67">
        <f>LOOKUP(A862+0.01,Amounts!$A$4:$A$103,Amounts!$B$4:$B$103)*0.1*$A$2</f>
        <v>0</v>
      </c>
      <c r="C862" s="68">
        <f t="shared" si="87"/>
        <v>2992395.4285963499</v>
      </c>
      <c r="D862" s="67">
        <f t="array" ref="D862">SUM($B$7:$B857*$F$1009*EXP(-$F$1009*($A862-$A$7:$A857)))*$F$1010</f>
        <v>77219.681827283537</v>
      </c>
      <c r="E862" s="67">
        <f t="shared" si="85"/>
        <v>0.14721250644550302</v>
      </c>
      <c r="F862" s="70">
        <f t="shared" si="89"/>
        <v>8.9387433913709433E-3</v>
      </c>
      <c r="G862" s="67">
        <f>E862/'Lookup Tables'!$C$48</f>
        <v>0.29442501289100603</v>
      </c>
      <c r="H862" s="70">
        <f t="shared" si="86"/>
        <v>2.5857175374730075E-5</v>
      </c>
      <c r="I862" s="71">
        <f t="shared" si="90"/>
        <v>4.2397201856304867E-4</v>
      </c>
      <c r="L862" s="74"/>
      <c r="M862" s="74"/>
      <c r="N862" s="74"/>
      <c r="O862" s="74"/>
      <c r="P862" s="74"/>
      <c r="Q862" s="74"/>
      <c r="R862" s="74"/>
      <c r="S862" s="74"/>
      <c r="T862" s="74"/>
      <c r="U862" s="74"/>
      <c r="V862" s="74"/>
      <c r="W862" s="74"/>
      <c r="X862" s="74"/>
      <c r="Y862" s="74"/>
    </row>
    <row r="863" spans="1:25" x14ac:dyDescent="0.3">
      <c r="A863" s="66">
        <f t="shared" si="88"/>
        <v>2075.5999999999221</v>
      </c>
      <c r="B863" s="67">
        <f>LOOKUP(A863+0.01,Amounts!$A$4:$A$103,Amounts!$B$4:$B$103)*0.1*$A$2</f>
        <v>0</v>
      </c>
      <c r="C863" s="68">
        <f t="shared" si="87"/>
        <v>2992395.4285963499</v>
      </c>
      <c r="D863" s="67">
        <f t="array" ref="D863">SUM($B$7:$B858*$F$1009*EXP(-$F$1009*($A863-$A$7:$A858)))*$F$1010</f>
        <v>76146.138618644807</v>
      </c>
      <c r="E863" s="67">
        <f t="shared" si="85"/>
        <v>0.14516589109069308</v>
      </c>
      <c r="F863" s="70">
        <f t="shared" si="89"/>
        <v>8.8144729070268844E-3</v>
      </c>
      <c r="G863" s="67">
        <f>E863/'Lookup Tables'!$C$48</f>
        <v>0.29033178218138617</v>
      </c>
      <c r="H863" s="70">
        <f t="shared" si="86"/>
        <v>2.549769713859579E-5</v>
      </c>
      <c r="I863" s="71">
        <f t="shared" si="90"/>
        <v>4.18077766341196E-4</v>
      </c>
      <c r="L863" s="74"/>
      <c r="M863" s="74"/>
      <c r="N863" s="74"/>
      <c r="O863" s="74"/>
      <c r="P863" s="74"/>
      <c r="Q863" s="74"/>
      <c r="R863" s="74"/>
      <c r="S863" s="74"/>
      <c r="T863" s="74"/>
      <c r="U863" s="74"/>
      <c r="V863" s="74"/>
      <c r="W863" s="74"/>
      <c r="X863" s="74"/>
      <c r="Y863" s="74"/>
    </row>
    <row r="864" spans="1:25" x14ac:dyDescent="0.3">
      <c r="A864" s="66">
        <f t="shared" si="88"/>
        <v>2075.6999999999221</v>
      </c>
      <c r="B864" s="67">
        <f>LOOKUP(A864+0.01,Amounts!$A$4:$A$103,Amounts!$B$4:$B$103)*0.1*$A$2</f>
        <v>0</v>
      </c>
      <c r="C864" s="68">
        <f t="shared" si="87"/>
        <v>2992395.4285963499</v>
      </c>
      <c r="D864" s="67">
        <f t="array" ref="D864">SUM($B$7:$B859*$F$1009*EXP(-$F$1009*($A864-$A$7:$A859)))*$F$1010</f>
        <v>75087.520296946066</v>
      </c>
      <c r="E864" s="67">
        <f t="shared" si="85"/>
        <v>0.14314772871526435</v>
      </c>
      <c r="F864" s="70">
        <f t="shared" si="89"/>
        <v>8.69193008759085E-3</v>
      </c>
      <c r="G864" s="67">
        <f>E864/'Lookup Tables'!$C$48</f>
        <v>0.2862954574305287</v>
      </c>
      <c r="H864" s="70">
        <f t="shared" si="86"/>
        <v>2.5143216532727837E-5</v>
      </c>
      <c r="I864" s="71">
        <f t="shared" si="90"/>
        <v>4.122654586999613E-4</v>
      </c>
      <c r="L864" s="74"/>
      <c r="M864" s="74"/>
      <c r="N864" s="74"/>
      <c r="O864" s="74"/>
      <c r="P864" s="74"/>
      <c r="Q864" s="74"/>
      <c r="R864" s="74"/>
      <c r="S864" s="74"/>
      <c r="T864" s="74"/>
      <c r="U864" s="74"/>
      <c r="V864" s="74"/>
      <c r="W864" s="74"/>
      <c r="X864" s="74"/>
      <c r="Y864" s="74"/>
    </row>
    <row r="865" spans="1:25" x14ac:dyDescent="0.3">
      <c r="A865" s="66">
        <f t="shared" si="88"/>
        <v>2075.799999999922</v>
      </c>
      <c r="B865" s="67">
        <f>LOOKUP(A865+0.01,Amounts!$A$4:$A$103,Amounts!$B$4:$B$103)*0.1*$A$2</f>
        <v>0</v>
      </c>
      <c r="C865" s="68">
        <f t="shared" si="87"/>
        <v>2992395.4285963499</v>
      </c>
      <c r="D865" s="67">
        <f t="array" ref="D865">SUM($B$7:$B860*$F$1009*EXP(-$F$1009*($A865-$A$7:$A860)))*$F$1010</f>
        <v>74043.619369607259</v>
      </c>
      <c r="E865" s="67">
        <f t="shared" si="85"/>
        <v>0.14115762375293031</v>
      </c>
      <c r="F865" s="70">
        <f t="shared" si="89"/>
        <v>8.5710909142779276E-3</v>
      </c>
      <c r="G865" s="67">
        <f>E865/'Lookup Tables'!$C$48</f>
        <v>0.28231524750586062</v>
      </c>
      <c r="H865" s="70">
        <f t="shared" si="86"/>
        <v>2.4793664077792622E-5</v>
      </c>
      <c r="I865" s="71">
        <f t="shared" si="90"/>
        <v>4.0653395640843925E-4</v>
      </c>
      <c r="L865" s="74"/>
      <c r="M865" s="74"/>
      <c r="N865" s="74"/>
      <c r="O865" s="74"/>
      <c r="P865" s="74"/>
      <c r="Q865" s="74"/>
      <c r="R865" s="74"/>
      <c r="S865" s="74"/>
      <c r="T865" s="74"/>
      <c r="U865" s="74"/>
      <c r="V865" s="74"/>
      <c r="W865" s="74"/>
      <c r="X865" s="74"/>
      <c r="Y865" s="74"/>
    </row>
    <row r="866" spans="1:25" x14ac:dyDescent="0.3">
      <c r="A866" s="66">
        <f t="shared" si="88"/>
        <v>2075.8999999999219</v>
      </c>
      <c r="B866" s="67">
        <f>LOOKUP(A866+0.01,Amounts!$A$4:$A$103,Amounts!$B$4:$B$103)*0.1*$A$2</f>
        <v>0</v>
      </c>
      <c r="C866" s="68">
        <f t="shared" si="87"/>
        <v>2992395.4285963499</v>
      </c>
      <c r="D866" s="67">
        <f t="array" ref="D866">SUM($B$7:$B861*$F$1009*EXP(-$F$1009*($A866-$A$7:$A861)))*$F$1010</f>
        <v>73014.231228704724</v>
      </c>
      <c r="E866" s="67">
        <f t="shared" si="85"/>
        <v>0.13919518613674739</v>
      </c>
      <c r="F866" s="70">
        <f t="shared" si="89"/>
        <v>8.4519317022233031E-3</v>
      </c>
      <c r="G866" s="67">
        <f>E866/'Lookup Tables'!$C$48</f>
        <v>0.27839037227349478</v>
      </c>
      <c r="H866" s="70">
        <f t="shared" si="86"/>
        <v>2.4448971260389956E-5</v>
      </c>
      <c r="I866" s="71">
        <f t="shared" si="90"/>
        <v>4.0088213607383251E-4</v>
      </c>
      <c r="L866" s="74"/>
      <c r="M866" s="74"/>
      <c r="N866" s="74"/>
      <c r="O866" s="74"/>
      <c r="P866" s="74"/>
      <c r="Q866" s="74"/>
      <c r="R866" s="74"/>
      <c r="S866" s="74"/>
      <c r="T866" s="74"/>
      <c r="U866" s="74"/>
      <c r="V866" s="74"/>
      <c r="W866" s="74"/>
      <c r="X866" s="74"/>
      <c r="Y866" s="74"/>
    </row>
    <row r="867" spans="1:25" x14ac:dyDescent="0.3">
      <c r="A867" s="66">
        <f t="shared" si="88"/>
        <v>2075.9999999999218</v>
      </c>
      <c r="B867" s="67">
        <f>LOOKUP(A867+0.01,Amounts!$A$4:$A$103,Amounts!$B$4:$B$103)*0.1*$A$2</f>
        <v>0</v>
      </c>
      <c r="C867" s="68">
        <f t="shared" si="87"/>
        <v>2992395.4285963499</v>
      </c>
      <c r="D867" s="67">
        <f t="array" ref="D867">SUM($B$7:$B862*$F$1009*EXP(-$F$1009*($A867-$A$7:$A862)))*$F$1010</f>
        <v>71999.154110867414</v>
      </c>
      <c r="E867" s="67">
        <f t="shared" si="85"/>
        <v>0.13726003122266031</v>
      </c>
      <c r="F867" s="70">
        <f t="shared" si="89"/>
        <v>8.334429095839934E-3</v>
      </c>
      <c r="G867" s="67">
        <f>E867/'Lookup Tables'!$C$48</f>
        <v>0.27452006244532062</v>
      </c>
      <c r="H867" s="70">
        <f t="shared" si="86"/>
        <v>2.4109070519624126E-5</v>
      </c>
      <c r="I867" s="71">
        <f t="shared" si="90"/>
        <v>3.9530888992126166E-4</v>
      </c>
      <c r="L867" s="74"/>
      <c r="M867" s="74"/>
      <c r="N867" s="74"/>
      <c r="O867" s="74"/>
      <c r="P867" s="74"/>
      <c r="Q867" s="74"/>
      <c r="R867" s="74"/>
      <c r="S867" s="74"/>
      <c r="T867" s="74"/>
      <c r="U867" s="74"/>
      <c r="V867" s="74"/>
      <c r="W867" s="74"/>
      <c r="X867" s="74"/>
      <c r="Y867" s="74"/>
    </row>
    <row r="868" spans="1:25" x14ac:dyDescent="0.3">
      <c r="A868" s="66">
        <f t="shared" si="88"/>
        <v>2076.0999999999217</v>
      </c>
      <c r="B868" s="67">
        <f>LOOKUP(A868+0.01,Amounts!$A$4:$A$103,Amounts!$B$4:$B$103)*0.1*$A$2</f>
        <v>0</v>
      </c>
      <c r="C868" s="68">
        <f t="shared" si="87"/>
        <v>2992395.4285963499</v>
      </c>
      <c r="D868" s="67">
        <f t="array" ref="D868">SUM($B$7:$B863*$F$1009*EXP(-$F$1009*($A868-$A$7:$A863)))*$F$1010</f>
        <v>70998.18905773056</v>
      </c>
      <c r="E868" s="67">
        <f t="shared" si="85"/>
        <v>0.13535177971411075</v>
      </c>
      <c r="F868" s="70">
        <f t="shared" si="89"/>
        <v>8.2185600642408051E-3</v>
      </c>
      <c r="G868" s="67">
        <f>E868/'Lookup Tables'!$C$48</f>
        <v>0.2707035594282215</v>
      </c>
      <c r="H868" s="70">
        <f t="shared" si="86"/>
        <v>2.3773895233861805E-5</v>
      </c>
      <c r="I868" s="71">
        <f t="shared" si="90"/>
        <v>3.8981312557663896E-4</v>
      </c>
      <c r="L868" s="74"/>
      <c r="M868" s="74"/>
      <c r="N868" s="74"/>
      <c r="O868" s="74"/>
      <c r="P868" s="74"/>
      <c r="Q868" s="74"/>
      <c r="R868" s="74"/>
      <c r="S868" s="74"/>
      <c r="T868" s="74"/>
      <c r="U868" s="74"/>
      <c r="V868" s="74"/>
      <c r="W868" s="74"/>
      <c r="X868" s="74"/>
      <c r="Y868" s="74"/>
    </row>
    <row r="869" spans="1:25" x14ac:dyDescent="0.3">
      <c r="A869" s="66">
        <f t="shared" si="88"/>
        <v>2076.1999999999216</v>
      </c>
      <c r="B869" s="67">
        <f>LOOKUP(A869+0.01,Amounts!$A$4:$A$103,Amounts!$B$4:$B$103)*0.1*$A$2</f>
        <v>0</v>
      </c>
      <c r="C869" s="68">
        <f t="shared" si="87"/>
        <v>2992395.4285963499</v>
      </c>
      <c r="D869" s="67">
        <f t="array" ref="D869">SUM($B$7:$B864*$F$1009*EXP(-$F$1009*($A869-$A$7:$A864)))*$F$1010</f>
        <v>70011.1398769394</v>
      </c>
      <c r="E869" s="67">
        <f t="shared" si="85"/>
        <v>0.13347005758769415</v>
      </c>
      <c r="F869" s="70">
        <f t="shared" si="89"/>
        <v>8.1043018967247894E-3</v>
      </c>
      <c r="G869" s="67">
        <f>E869/'Lookup Tables'!$C$48</f>
        <v>0.26694011517538829</v>
      </c>
      <c r="H869" s="70">
        <f t="shared" si="86"/>
        <v>2.3443379707673977E-5</v>
      </c>
      <c r="I869" s="71">
        <f t="shared" si="90"/>
        <v>3.8439376585255912E-4</v>
      </c>
      <c r="L869" s="74"/>
      <c r="M869" s="74"/>
      <c r="N869" s="74"/>
      <c r="O869" s="74"/>
      <c r="P869" s="74"/>
      <c r="Q869" s="74"/>
      <c r="R869" s="74"/>
      <c r="S869" s="74"/>
      <c r="T869" s="74"/>
      <c r="U869" s="74"/>
      <c r="V869" s="74"/>
      <c r="W869" s="74"/>
      <c r="X869" s="74"/>
      <c r="Y869" s="74"/>
    </row>
    <row r="870" spans="1:25" x14ac:dyDescent="0.3">
      <c r="A870" s="66">
        <f t="shared" si="88"/>
        <v>2076.2999999999215</v>
      </c>
      <c r="B870" s="67">
        <f>LOOKUP(A870+0.01,Amounts!$A$4:$A$103,Amounts!$B$4:$B$103)*0.1*$A$2</f>
        <v>0</v>
      </c>
      <c r="C870" s="68">
        <f t="shared" si="87"/>
        <v>2992395.4285963499</v>
      </c>
      <c r="D870" s="67">
        <f t="array" ref="D870">SUM($B$7:$B865*$F$1009*EXP(-$F$1009*($A870-$A$7:$A865)))*$F$1010</f>
        <v>69037.813103694556</v>
      </c>
      <c r="E870" s="67">
        <f t="shared" si="85"/>
        <v>0.13161449601984965</v>
      </c>
      <c r="F870" s="70">
        <f t="shared" si="89"/>
        <v>7.9916321983252714E-3</v>
      </c>
      <c r="G870" s="67">
        <f>E870/'Lookup Tables'!$C$48</f>
        <v>0.26322899203969929</v>
      </c>
      <c r="H870" s="70">
        <f t="shared" si="86"/>
        <v>2.3117459158959419E-5</v>
      </c>
      <c r="I870" s="71">
        <f t="shared" si="90"/>
        <v>3.7904974853716705E-4</v>
      </c>
      <c r="L870" s="74"/>
      <c r="M870" s="74"/>
      <c r="N870" s="74"/>
      <c r="O870" s="74"/>
      <c r="P870" s="74"/>
      <c r="Q870" s="74"/>
      <c r="R870" s="74"/>
      <c r="S870" s="74"/>
      <c r="T870" s="74"/>
      <c r="U870" s="74"/>
      <c r="V870" s="74"/>
      <c r="W870" s="74"/>
      <c r="X870" s="74"/>
      <c r="Y870" s="74"/>
    </row>
    <row r="871" spans="1:25" x14ac:dyDescent="0.3">
      <c r="A871" s="66">
        <f t="shared" si="88"/>
        <v>2076.3999999999214</v>
      </c>
      <c r="B871" s="67">
        <f>LOOKUP(A871+0.01,Amounts!$A$4:$A$103,Amounts!$B$4:$B$103)*0.1*$A$2</f>
        <v>0</v>
      </c>
      <c r="C871" s="68">
        <f t="shared" si="87"/>
        <v>2992395.4285963499</v>
      </c>
      <c r="D871" s="67">
        <f t="array" ref="D871">SUM($B$7:$B866*$F$1009*EXP(-$F$1009*($A871-$A$7:$A866)))*$F$1010</f>
        <v>68078.017962832484</v>
      </c>
      <c r="E871" s="67">
        <f t="shared" si="85"/>
        <v>0.12978473131456958</v>
      </c>
      <c r="F871" s="70">
        <f t="shared" si="89"/>
        <v>7.8805288854206651E-3</v>
      </c>
      <c r="G871" s="67">
        <f>E871/'Lookup Tables'!$C$48</f>
        <v>0.25956946262913916</v>
      </c>
      <c r="H871" s="70">
        <f t="shared" si="86"/>
        <v>2.2796069706247169E-5</v>
      </c>
      <c r="I871" s="71">
        <f t="shared" si="90"/>
        <v>3.7378002618596034E-4</v>
      </c>
      <c r="L871" s="74"/>
      <c r="M871" s="74"/>
      <c r="N871" s="74"/>
      <c r="O871" s="74"/>
      <c r="P871" s="74"/>
      <c r="Q871" s="74"/>
      <c r="R871" s="74"/>
      <c r="S871" s="74"/>
      <c r="T871" s="74"/>
      <c r="U871" s="74"/>
      <c r="V871" s="74"/>
      <c r="W871" s="74"/>
      <c r="X871" s="74"/>
      <c r="Y871" s="74"/>
    </row>
    <row r="872" spans="1:25" x14ac:dyDescent="0.3">
      <c r="A872" s="66">
        <f t="shared" si="88"/>
        <v>2076.4999999999213</v>
      </c>
      <c r="B872" s="67">
        <f>LOOKUP(A872+0.01,Amounts!$A$4:$A$103,Amounts!$B$4:$B$103)*0.1*$A$2</f>
        <v>0</v>
      </c>
      <c r="C872" s="68">
        <f t="shared" si="87"/>
        <v>2992395.4285963499</v>
      </c>
      <c r="D872" s="67">
        <f t="array" ref="D872">SUM($B$7:$B867*$F$1009*EXP(-$F$1009*($A872-$A$7:$A867)))*$F$1010</f>
        <v>67131.566331432958</v>
      </c>
      <c r="E872" s="67">
        <f t="shared" si="85"/>
        <v>0.12798040483211406</v>
      </c>
      <c r="F872" s="70">
        <f t="shared" si="89"/>
        <v>7.7709701814059661E-3</v>
      </c>
      <c r="G872" s="67">
        <f>E872/'Lookup Tables'!$C$48</f>
        <v>0.25596080966422813</v>
      </c>
      <c r="H872" s="70">
        <f t="shared" si="86"/>
        <v>2.2479148356175648E-5</v>
      </c>
      <c r="I872" s="71">
        <f t="shared" si="90"/>
        <v>3.6858356591648849E-4</v>
      </c>
      <c r="L872" s="74"/>
      <c r="M872" s="74"/>
      <c r="N872" s="74"/>
      <c r="O872" s="74"/>
      <c r="P872" s="74"/>
      <c r="Q872" s="74"/>
      <c r="R872" s="74"/>
      <c r="S872" s="74"/>
      <c r="T872" s="74"/>
      <c r="U872" s="74"/>
      <c r="V872" s="74"/>
      <c r="W872" s="74"/>
      <c r="X872" s="74"/>
      <c r="Y872" s="74"/>
    </row>
    <row r="873" spans="1:25" x14ac:dyDescent="0.3">
      <c r="A873" s="66">
        <f t="shared" si="88"/>
        <v>2076.5999999999212</v>
      </c>
      <c r="B873" s="67">
        <f>LOOKUP(A873+0.01,Amounts!$A$4:$A$103,Amounts!$B$4:$B$103)*0.1*$A$2</f>
        <v>0</v>
      </c>
      <c r="C873" s="68">
        <f t="shared" si="87"/>
        <v>2992395.4285963499</v>
      </c>
      <c r="D873" s="67">
        <f t="array" ref="D873">SUM($B$7:$B868*$F$1009*EXP(-$F$1009*($A873-$A$7:$A868)))*$F$1010</f>
        <v>66198.272701946305</v>
      </c>
      <c r="E873" s="67">
        <f t="shared" si="85"/>
        <v>0.12620116291871616</v>
      </c>
      <c r="F873" s="70">
        <f t="shared" si="89"/>
        <v>7.6629346124244459E-3</v>
      </c>
      <c r="G873" s="67">
        <f>E873/'Lookup Tables'!$C$48</f>
        <v>0.25240232583743233</v>
      </c>
      <c r="H873" s="70">
        <f t="shared" si="86"/>
        <v>2.2166632991145635E-5</v>
      </c>
      <c r="I873" s="71">
        <f t="shared" si="90"/>
        <v>3.6345934920590259E-4</v>
      </c>
      <c r="L873" s="74"/>
      <c r="M873" s="74"/>
      <c r="N873" s="74"/>
      <c r="O873" s="74"/>
      <c r="P873" s="74"/>
      <c r="Q873" s="74"/>
      <c r="R873" s="74"/>
      <c r="S873" s="74"/>
      <c r="T873" s="74"/>
      <c r="U873" s="74"/>
      <c r="V873" s="74"/>
      <c r="W873" s="74"/>
      <c r="X873" s="74"/>
      <c r="Y873" s="74"/>
    </row>
    <row r="874" spans="1:25" x14ac:dyDescent="0.3">
      <c r="A874" s="66">
        <f t="shared" si="88"/>
        <v>2076.6999999999211</v>
      </c>
      <c r="B874" s="67">
        <f>LOOKUP(A874+0.01,Amounts!$A$4:$A$103,Amounts!$B$4:$B$103)*0.1*$A$2</f>
        <v>0</v>
      </c>
      <c r="C874" s="68">
        <f t="shared" si="87"/>
        <v>2992395.4285963499</v>
      </c>
      <c r="D874" s="67">
        <f t="array" ref="D874">SUM($B$7:$B869*$F$1009*EXP(-$F$1009*($A874-$A$7:$A869)))*$F$1010</f>
        <v>65277.954145833326</v>
      </c>
      <c r="E874" s="67">
        <f t="shared" si="85"/>
        <v>0.12444665683726495</v>
      </c>
      <c r="F874" s="70">
        <f t="shared" si="89"/>
        <v>7.5564010031587284E-3</v>
      </c>
      <c r="G874" s="67">
        <f>E874/'Lookup Tables'!$C$48</f>
        <v>0.24889331367452991</v>
      </c>
      <c r="H874" s="70">
        <f t="shared" si="86"/>
        <v>2.1858462357145127E-5</v>
      </c>
      <c r="I874" s="71">
        <f t="shared" si="90"/>
        <v>3.5840637169132309E-4</v>
      </c>
      <c r="L874" s="74"/>
      <c r="M874" s="74"/>
      <c r="N874" s="74"/>
      <c r="O874" s="74"/>
      <c r="P874" s="74"/>
      <c r="Q874" s="74"/>
      <c r="R874" s="74"/>
      <c r="S874" s="74"/>
      <c r="T874" s="74"/>
      <c r="U874" s="74"/>
      <c r="V874" s="74"/>
      <c r="W874" s="74"/>
      <c r="X874" s="74"/>
      <c r="Y874" s="74"/>
    </row>
    <row r="875" spans="1:25" x14ac:dyDescent="0.3">
      <c r="A875" s="66">
        <f t="shared" si="88"/>
        <v>2076.7999999999211</v>
      </c>
      <c r="B875" s="67">
        <f>LOOKUP(A875+0.01,Amounts!$A$4:$A$103,Amounts!$B$4:$B$103)*0.1*$A$2</f>
        <v>0</v>
      </c>
      <c r="C875" s="68">
        <f t="shared" si="87"/>
        <v>2992395.4285963499</v>
      </c>
      <c r="D875" s="67">
        <f t="array" ref="D875">SUM($B$7:$B870*$F$1009*EXP(-$F$1009*($A875-$A$7:$A870)))*$F$1010</f>
        <v>64370.430277710766</v>
      </c>
      <c r="E875" s="67">
        <f t="shared" si="85"/>
        <v>0.12271654269895162</v>
      </c>
      <c r="F875" s="70">
        <f t="shared" si="89"/>
        <v>7.4513484726803428E-3</v>
      </c>
      <c r="G875" s="67">
        <f>E875/'Lookup Tables'!$C$48</f>
        <v>0.24543308539790323</v>
      </c>
      <c r="H875" s="70">
        <f t="shared" si="86"/>
        <v>2.1554576051743287E-5</v>
      </c>
      <c r="I875" s="71">
        <f t="shared" si="90"/>
        <v>3.5342364297298064E-4</v>
      </c>
      <c r="L875" s="74"/>
      <c r="M875" s="74"/>
      <c r="N875" s="74"/>
      <c r="O875" s="74"/>
      <c r="P875" s="74"/>
      <c r="Q875" s="74"/>
      <c r="R875" s="74"/>
      <c r="S875" s="74"/>
      <c r="T875" s="74"/>
      <c r="U875" s="74"/>
      <c r="V875" s="74"/>
      <c r="W875" s="74"/>
      <c r="X875" s="74"/>
      <c r="Y875" s="74"/>
    </row>
    <row r="876" spans="1:25" x14ac:dyDescent="0.3">
      <c r="A876" s="66">
        <f t="shared" si="88"/>
        <v>2076.899999999921</v>
      </c>
      <c r="B876" s="67">
        <f>LOOKUP(A876+0.01,Amounts!$A$4:$A$103,Amounts!$B$4:$B$103)*0.1*$A$2</f>
        <v>0</v>
      </c>
      <c r="C876" s="68">
        <f t="shared" si="87"/>
        <v>2992395.4285963499</v>
      </c>
      <c r="D876" s="67">
        <f t="array" ref="D876">SUM($B$7:$B871*$F$1009*EXP(-$F$1009*($A876-$A$7:$A871)))*$F$1010</f>
        <v>63475.523219995172</v>
      </c>
      <c r="E876" s="67">
        <f t="shared" si="85"/>
        <v>0.12101048139586637</v>
      </c>
      <c r="F876" s="70">
        <f t="shared" si="89"/>
        <v>7.3477564303570065E-3</v>
      </c>
      <c r="G876" s="67">
        <f>E876/'Lookup Tables'!$C$48</f>
        <v>0.24202096279173274</v>
      </c>
      <c r="H876" s="70">
        <f t="shared" si="86"/>
        <v>2.1254914512251419E-5</v>
      </c>
      <c r="I876" s="71">
        <f t="shared" si="90"/>
        <v>3.4851018642009514E-4</v>
      </c>
      <c r="L876" s="74"/>
      <c r="M876" s="74"/>
      <c r="N876" s="74"/>
      <c r="O876" s="74"/>
      <c r="P876" s="74"/>
      <c r="Q876" s="74"/>
      <c r="R876" s="74"/>
      <c r="S876" s="74"/>
      <c r="T876" s="74"/>
      <c r="U876" s="74"/>
      <c r="V876" s="74"/>
      <c r="W876" s="74"/>
      <c r="X876" s="74"/>
      <c r="Y876" s="74"/>
    </row>
    <row r="877" spans="1:25" x14ac:dyDescent="0.3">
      <c r="A877" s="66">
        <f t="shared" si="88"/>
        <v>2076.9999999999209</v>
      </c>
      <c r="B877" s="67">
        <f>LOOKUP(A877+0.01,Amounts!$A$4:$A$103,Amounts!$B$4:$B$103)*0.1*$A$2</f>
        <v>0</v>
      </c>
      <c r="C877" s="68">
        <f t="shared" si="87"/>
        <v>2992395.4285963499</v>
      </c>
      <c r="D877" s="67">
        <f t="array" ref="D877">SUM($B$7:$B872*$F$1009*EXP(-$F$1009*($A877-$A$7:$A872)))*$F$1010</f>
        <v>62593.057568038312</v>
      </c>
      <c r="E877" s="67">
        <f t="shared" si="85"/>
        <v>0.1193281385345321</v>
      </c>
      <c r="F877" s="70">
        <f t="shared" si="89"/>
        <v>7.2456045718167885E-3</v>
      </c>
      <c r="G877" s="67">
        <f>E877/'Lookup Tables'!$C$48</f>
        <v>0.2386562770690642</v>
      </c>
      <c r="H877" s="70">
        <f t="shared" si="86"/>
        <v>2.0959419004048462E-5</v>
      </c>
      <c r="I877" s="71">
        <f t="shared" si="90"/>
        <v>3.4366503897945242E-4</v>
      </c>
      <c r="L877" s="74"/>
      <c r="M877" s="74"/>
      <c r="N877" s="74"/>
      <c r="O877" s="74"/>
      <c r="P877" s="74"/>
      <c r="Q877" s="74"/>
      <c r="R877" s="74"/>
      <c r="S877" s="74"/>
      <c r="T877" s="74"/>
      <c r="U877" s="74"/>
      <c r="V877" s="74"/>
      <c r="W877" s="74"/>
      <c r="X877" s="74"/>
      <c r="Y877" s="74"/>
    </row>
    <row r="878" spans="1:25" x14ac:dyDescent="0.3">
      <c r="A878" s="66">
        <f t="shared" si="88"/>
        <v>2077.0999999999208</v>
      </c>
      <c r="B878" s="67">
        <f>LOOKUP(A878+0.01,Amounts!$A$4:$A$103,Amounts!$B$4:$B$103)*0.1*$A$2</f>
        <v>0</v>
      </c>
      <c r="C878" s="68">
        <f t="shared" si="87"/>
        <v>2992395.4285963499</v>
      </c>
      <c r="D878" s="67">
        <f t="array" ref="D878">SUM($B$7:$B873*$F$1009*EXP(-$F$1009*($A878-$A$7:$A873)))*$F$1010</f>
        <v>61722.860355747303</v>
      </c>
      <c r="E878" s="67">
        <f t="shared" si="85"/>
        <v>0.11766918437036217</v>
      </c>
      <c r="F878" s="70">
        <f t="shared" si="89"/>
        <v>7.1448728749683912E-3</v>
      </c>
      <c r="G878" s="67">
        <f>E878/'Lookup Tables'!$C$48</f>
        <v>0.23533836874072434</v>
      </c>
      <c r="H878" s="70">
        <f t="shared" si="86"/>
        <v>2.0668031609068806E-5</v>
      </c>
      <c r="I878" s="71">
        <f t="shared" si="90"/>
        <v>3.3888725098664305E-4</v>
      </c>
      <c r="L878" s="74"/>
      <c r="M878" s="74"/>
      <c r="N878" s="74"/>
      <c r="O878" s="74"/>
      <c r="P878" s="74"/>
      <c r="Q878" s="74"/>
      <c r="R878" s="74"/>
      <c r="S878" s="74"/>
      <c r="T878" s="74"/>
      <c r="U878" s="74"/>
      <c r="V878" s="74"/>
      <c r="W878" s="74"/>
      <c r="X878" s="74"/>
      <c r="Y878" s="74"/>
    </row>
    <row r="879" spans="1:25" x14ac:dyDescent="0.3">
      <c r="A879" s="66">
        <f t="shared" si="88"/>
        <v>2077.1999999999207</v>
      </c>
      <c r="B879" s="67">
        <f>LOOKUP(A879+0.01,Amounts!$A$4:$A$103,Amounts!$B$4:$B$103)*0.1*$A$2</f>
        <v>0</v>
      </c>
      <c r="C879" s="68">
        <f t="shared" si="87"/>
        <v>2992395.4285963499</v>
      </c>
      <c r="D879" s="67">
        <f t="array" ref="D879">SUM($B$7:$B874*$F$1009*EXP(-$F$1009*($A879-$A$7:$A874)))*$F$1010</f>
        <v>60864.761021682752</v>
      </c>
      <c r="E879" s="67">
        <f t="shared" si="85"/>
        <v>0.11603329374302956</v>
      </c>
      <c r="F879" s="70">
        <f t="shared" si="89"/>
        <v>7.0455415960767554E-3</v>
      </c>
      <c r="G879" s="67">
        <f>E879/'Lookup Tables'!$C$48</f>
        <v>0.23206658748605913</v>
      </c>
      <c r="H879" s="70">
        <f t="shared" si="86"/>
        <v>2.0380695214450222E-5</v>
      </c>
      <c r="I879" s="71">
        <f t="shared" si="90"/>
        <v>3.3417588597992514E-4</v>
      </c>
      <c r="L879" s="74"/>
      <c r="M879" s="74"/>
      <c r="N879" s="74"/>
      <c r="O879" s="74"/>
      <c r="P879" s="74"/>
      <c r="Q879" s="74"/>
      <c r="R879" s="74"/>
      <c r="S879" s="74"/>
      <c r="T879" s="74"/>
      <c r="U879" s="74"/>
      <c r="V879" s="74"/>
      <c r="W879" s="74"/>
      <c r="X879" s="74"/>
      <c r="Y879" s="74"/>
    </row>
    <row r="880" spans="1:25" x14ac:dyDescent="0.3">
      <c r="A880" s="66">
        <f t="shared" si="88"/>
        <v>2077.2999999999206</v>
      </c>
      <c r="B880" s="67">
        <f>LOOKUP(A880+0.01,Amounts!$A$4:$A$103,Amounts!$B$4:$B$103)*0.1*$A$2</f>
        <v>0</v>
      </c>
      <c r="C880" s="68">
        <f t="shared" si="87"/>
        <v>2992395.4285963499</v>
      </c>
      <c r="D880" s="67">
        <f t="array" ref="D880">SUM($B$7:$B875*$F$1009*EXP(-$F$1009*($A880-$A$7:$A875)))*$F$1010</f>
        <v>60018.591375628086</v>
      </c>
      <c r="E880" s="67">
        <f t="shared" si="85"/>
        <v>0.11442014601273422</v>
      </c>
      <c r="F880" s="70">
        <f t="shared" si="89"/>
        <v>6.947591265893221E-3</v>
      </c>
      <c r="G880" s="67">
        <f>E880/'Lookup Tables'!$C$48</f>
        <v>0.22884029202546843</v>
      </c>
      <c r="H880" s="70">
        <f t="shared" si="86"/>
        <v>2.0097353501339482E-5</v>
      </c>
      <c r="I880" s="71">
        <f t="shared" si="90"/>
        <v>3.2953002051667454E-4</v>
      </c>
      <c r="L880" s="74"/>
      <c r="M880" s="74"/>
      <c r="N880" s="74"/>
      <c r="O880" s="74"/>
      <c r="P880" s="74"/>
      <c r="Q880" s="74"/>
      <c r="R880" s="74"/>
      <c r="S880" s="74"/>
      <c r="T880" s="74"/>
      <c r="U880" s="74"/>
      <c r="V880" s="74"/>
      <c r="W880" s="74"/>
      <c r="X880" s="74"/>
      <c r="Y880" s="74"/>
    </row>
    <row r="881" spans="1:25" x14ac:dyDescent="0.3">
      <c r="A881" s="66">
        <f t="shared" si="88"/>
        <v>2077.3999999999205</v>
      </c>
      <c r="B881" s="67">
        <f>LOOKUP(A881+0.01,Amounts!$A$4:$A$103,Amounts!$B$4:$B$103)*0.1*$A$2</f>
        <v>0</v>
      </c>
      <c r="C881" s="68">
        <f t="shared" si="87"/>
        <v>2992395.4285963499</v>
      </c>
      <c r="D881" s="67">
        <f t="array" ref="D881">SUM($B$7:$B876*$F$1009*EXP(-$F$1009*($A881-$A$7:$A876)))*$F$1010</f>
        <v>59184.185565623782</v>
      </c>
      <c r="E881" s="67">
        <f t="shared" si="85"/>
        <v>0.11282942499735671</v>
      </c>
      <c r="F881" s="70">
        <f t="shared" si="89"/>
        <v>6.851002685839499E-3</v>
      </c>
      <c r="G881" s="67">
        <f>E881/'Lookup Tables'!$C$48</f>
        <v>0.22565884999471342</v>
      </c>
      <c r="H881" s="70">
        <f t="shared" si="86"/>
        <v>1.9817950933853739E-5</v>
      </c>
      <c r="I881" s="71">
        <f t="shared" si="90"/>
        <v>3.2494874399238732E-4</v>
      </c>
      <c r="L881" s="74"/>
      <c r="M881" s="74"/>
      <c r="N881" s="74"/>
      <c r="O881" s="74"/>
      <c r="P881" s="74"/>
      <c r="Q881" s="74"/>
      <c r="R881" s="74"/>
      <c r="S881" s="74"/>
      <c r="T881" s="74"/>
      <c r="U881" s="74"/>
      <c r="V881" s="74"/>
      <c r="W881" s="74"/>
      <c r="X881" s="74"/>
      <c r="Y881" s="74"/>
    </row>
    <row r="882" spans="1:25" x14ac:dyDescent="0.3">
      <c r="A882" s="66">
        <f t="shared" si="88"/>
        <v>2077.4999999999204</v>
      </c>
      <c r="B882" s="67">
        <f>LOOKUP(A882+0.01,Amounts!$A$4:$A$103,Amounts!$B$4:$B$103)*0.1*$A$2</f>
        <v>0</v>
      </c>
      <c r="C882" s="68">
        <f t="shared" si="87"/>
        <v>2992395.4285963499</v>
      </c>
      <c r="D882" s="67">
        <f t="array" ref="D882">SUM($B$7:$B877*$F$1009*EXP(-$F$1009*($A882-$A$7:$A877)))*$F$1010</f>
        <v>58361.380045459868</v>
      </c>
      <c r="E882" s="67">
        <f t="shared" si="85"/>
        <v>0.11126081891048561</v>
      </c>
      <c r="F882" s="70">
        <f t="shared" si="89"/>
        <v>6.7557569242446868E-3</v>
      </c>
      <c r="G882" s="67">
        <f>E882/'Lookup Tables'!$C$48</f>
        <v>0.22252163782097123</v>
      </c>
      <c r="H882" s="70">
        <f t="shared" si="86"/>
        <v>1.9542432748195311E-5</v>
      </c>
      <c r="I882" s="71">
        <f t="shared" si="90"/>
        <v>3.2043115846219859E-4</v>
      </c>
      <c r="L882" s="74"/>
      <c r="M882" s="74"/>
      <c r="N882" s="74"/>
      <c r="O882" s="74"/>
      <c r="P882" s="74"/>
      <c r="Q882" s="74"/>
      <c r="R882" s="74"/>
      <c r="S882" s="74"/>
      <c r="T882" s="74"/>
      <c r="U882" s="74"/>
      <c r="V882" s="74"/>
      <c r="W882" s="74"/>
      <c r="X882" s="74"/>
      <c r="Y882" s="74"/>
    </row>
    <row r="883" spans="1:25" x14ac:dyDescent="0.3">
      <c r="A883" s="66">
        <f t="shared" si="88"/>
        <v>2077.5999999999203</v>
      </c>
      <c r="B883" s="67">
        <f>LOOKUP(A883+0.01,Amounts!$A$4:$A$103,Amounts!$B$4:$B$103)*0.1*$A$2</f>
        <v>0</v>
      </c>
      <c r="C883" s="68">
        <f t="shared" si="87"/>
        <v>2992395.4285963499</v>
      </c>
      <c r="D883" s="67">
        <f t="array" ref="D883">SUM($B$7:$B878*$F$1009*EXP(-$F$1009*($A883-$A$7:$A878)))*$F$1010</f>
        <v>57550.013542620305</v>
      </c>
      <c r="E883" s="67">
        <f t="shared" si="85"/>
        <v>0.10971402030030626</v>
      </c>
      <c r="F883" s="70">
        <f t="shared" si="89"/>
        <v>6.6618353126345967E-3</v>
      </c>
      <c r="G883" s="67">
        <f>E883/'Lookup Tables'!$C$48</f>
        <v>0.21942804060061252</v>
      </c>
      <c r="H883" s="70">
        <f t="shared" si="86"/>
        <v>1.9270744941917773E-5</v>
      </c>
      <c r="I883" s="71">
        <f t="shared" si="90"/>
        <v>3.1597637846488203E-4</v>
      </c>
      <c r="L883" s="74"/>
      <c r="M883" s="74"/>
      <c r="N883" s="74"/>
      <c r="O883" s="74"/>
      <c r="P883" s="74"/>
      <c r="Q883" s="74"/>
      <c r="R883" s="74"/>
      <c r="S883" s="74"/>
      <c r="T883" s="74"/>
      <c r="U883" s="74"/>
      <c r="V883" s="74"/>
      <c r="W883" s="74"/>
      <c r="X883" s="74"/>
      <c r="Y883" s="74"/>
    </row>
    <row r="884" spans="1:25" x14ac:dyDescent="0.3">
      <c r="A884" s="66">
        <f t="shared" si="88"/>
        <v>2077.6999999999202</v>
      </c>
      <c r="B884" s="67">
        <f>LOOKUP(A884+0.01,Amounts!$A$4:$A$103,Amounts!$B$4:$B$103)*0.1*$A$2</f>
        <v>0</v>
      </c>
      <c r="C884" s="68">
        <f t="shared" si="87"/>
        <v>2992395.4285963499</v>
      </c>
      <c r="D884" s="67">
        <f t="array" ref="D884">SUM($B$7:$B879*$F$1009*EXP(-$F$1009*($A884-$A$7:$A879)))*$F$1010</f>
        <v>56749.927026673053</v>
      </c>
      <c r="E884" s="67">
        <f t="shared" si="85"/>
        <v>0.10818872598933917</v>
      </c>
      <c r="F884" s="70">
        <f t="shared" si="89"/>
        <v>6.5692194420726739E-3</v>
      </c>
      <c r="G884" s="67">
        <f>E884/'Lookup Tables'!$C$48</f>
        <v>0.21637745197867833</v>
      </c>
      <c r="H884" s="70">
        <f t="shared" si="86"/>
        <v>1.9002834263341324E-5</v>
      </c>
      <c r="I884" s="71">
        <f t="shared" si="90"/>
        <v>3.115835308492968E-4</v>
      </c>
      <c r="L884" s="74"/>
      <c r="M884" s="74"/>
      <c r="N884" s="74"/>
      <c r="O884" s="74"/>
      <c r="P884" s="74"/>
      <c r="Q884" s="74"/>
      <c r="R884" s="74"/>
      <c r="S884" s="74"/>
      <c r="T884" s="74"/>
      <c r="U884" s="74"/>
      <c r="V884" s="74"/>
      <c r="W884" s="74"/>
      <c r="X884" s="74"/>
      <c r="Y884" s="74"/>
    </row>
    <row r="885" spans="1:25" x14ac:dyDescent="0.3">
      <c r="A885" s="66">
        <f t="shared" si="88"/>
        <v>2077.7999999999201</v>
      </c>
      <c r="B885" s="67">
        <f>LOOKUP(A885+0.01,Amounts!$A$4:$A$103,Amounts!$B$4:$B$103)*0.1*$A$2</f>
        <v>0</v>
      </c>
      <c r="C885" s="68">
        <f t="shared" si="87"/>
        <v>2992395.4285963499</v>
      </c>
      <c r="D885" s="67">
        <f t="array" ref="D885">SUM($B$7:$B880*$F$1009*EXP(-$F$1009*($A885-$A$7:$A880)))*$F$1010</f>
        <v>55960.963678099644</v>
      </c>
      <c r="E885" s="67">
        <f t="shared" si="85"/>
        <v>0.10668463701501642</v>
      </c>
      <c r="F885" s="70">
        <f t="shared" si="89"/>
        <v>6.4778911595517966E-3</v>
      </c>
      <c r="G885" s="67">
        <f>E885/'Lookup Tables'!$C$48</f>
        <v>0.21336927403003283</v>
      </c>
      <c r="H885" s="70">
        <f t="shared" si="86"/>
        <v>1.8738648201115297E-5</v>
      </c>
      <c r="I885" s="71">
        <f t="shared" si="90"/>
        <v>3.0725175460324727E-4</v>
      </c>
      <c r="L885" s="74"/>
      <c r="M885" s="74"/>
      <c r="N885" s="74"/>
      <c r="O885" s="74"/>
      <c r="P885" s="74"/>
      <c r="Q885" s="74"/>
      <c r="R885" s="74"/>
      <c r="S885" s="74"/>
      <c r="T885" s="74"/>
      <c r="U885" s="74"/>
      <c r="V885" s="74"/>
      <c r="W885" s="74"/>
      <c r="X885" s="74"/>
      <c r="Y885" s="74"/>
    </row>
    <row r="886" spans="1:25" x14ac:dyDescent="0.3">
      <c r="A886" s="66">
        <f t="shared" si="88"/>
        <v>2077.8999999999201</v>
      </c>
      <c r="B886" s="67">
        <f>LOOKUP(A886+0.01,Amounts!$A$4:$A$103,Amounts!$B$4:$B$103)*0.1*$A$2</f>
        <v>0</v>
      </c>
      <c r="C886" s="68">
        <f t="shared" si="87"/>
        <v>2992395.4285963499</v>
      </c>
      <c r="D886" s="67">
        <f t="array" ref="D886">SUM($B$7:$B881*$F$1009*EXP(-$F$1009*($A886-$A$7:$A881)))*$F$1010</f>
        <v>55182.968857557964</v>
      </c>
      <c r="E886" s="67">
        <f t="shared" si="85"/>
        <v>0.10520145857108383</v>
      </c>
      <c r="F886" s="70">
        <f t="shared" si="89"/>
        <v>6.38783256443621E-3</v>
      </c>
      <c r="G886" s="67">
        <f>E886/'Lookup Tables'!$C$48</f>
        <v>0.21040291714216766</v>
      </c>
      <c r="H886" s="70">
        <f t="shared" si="86"/>
        <v>1.8478134973925721E-5</v>
      </c>
      <c r="I886" s="71">
        <f t="shared" si="90"/>
        <v>3.0298020068472139E-4</v>
      </c>
      <c r="L886" s="74"/>
      <c r="M886" s="74"/>
      <c r="N886" s="74"/>
      <c r="O886" s="74"/>
      <c r="P886" s="74"/>
      <c r="Q886" s="74"/>
      <c r="R886" s="74"/>
      <c r="S886" s="74"/>
      <c r="T886" s="74"/>
      <c r="U886" s="74"/>
      <c r="V886" s="74"/>
      <c r="W886" s="74"/>
      <c r="X886" s="74"/>
      <c r="Y886" s="74"/>
    </row>
    <row r="887" spans="1:25" x14ac:dyDescent="0.3">
      <c r="A887" s="66">
        <f t="shared" si="88"/>
        <v>2077.99999999992</v>
      </c>
      <c r="B887" s="67">
        <f>LOOKUP(A887+0.01,Amounts!$A$4:$A$103,Amounts!$B$4:$B$103)*0.1*$A$2</f>
        <v>0</v>
      </c>
      <c r="C887" s="68">
        <f t="shared" si="87"/>
        <v>2992395.4285963499</v>
      </c>
      <c r="D887" s="67">
        <f t="array" ref="D887">SUM($B$7:$B882*$F$1009*EXP(-$F$1009*($A887-$A$7:$A882)))*$F$1010</f>
        <v>54415.790075572586</v>
      </c>
      <c r="E887" s="67">
        <f t="shared" si="85"/>
        <v>0.10373889994981829</v>
      </c>
      <c r="F887" s="70">
        <f t="shared" si="89"/>
        <v>6.2990260049529661E-3</v>
      </c>
      <c r="G887" s="67">
        <f>E887/'Lookup Tables'!$C$48</f>
        <v>0.20747779989963658</v>
      </c>
      <c r="H887" s="70">
        <f t="shared" si="86"/>
        <v>1.822124352034609E-5</v>
      </c>
      <c r="I887" s="71">
        <f t="shared" si="90"/>
        <v>2.9876803185547668E-4</v>
      </c>
      <c r="L887" s="74"/>
      <c r="M887" s="74"/>
      <c r="N887" s="74"/>
      <c r="O887" s="74"/>
      <c r="P887" s="74"/>
      <c r="Q887" s="74"/>
      <c r="R887" s="74"/>
      <c r="S887" s="74"/>
      <c r="T887" s="74"/>
      <c r="U887" s="74"/>
      <c r="V887" s="74"/>
      <c r="W887" s="74"/>
      <c r="X887" s="74"/>
      <c r="Y887" s="74"/>
    </row>
    <row r="888" spans="1:25" x14ac:dyDescent="0.3">
      <c r="A888" s="66">
        <f t="shared" si="88"/>
        <v>2078.0999999999199</v>
      </c>
      <c r="B888" s="67">
        <f>LOOKUP(A888+0.01,Amounts!$A$4:$A$103,Amounts!$B$4:$B$103)*0.1*$A$2</f>
        <v>0</v>
      </c>
      <c r="C888" s="68">
        <f t="shared" si="87"/>
        <v>2992395.4285963499</v>
      </c>
      <c r="D888" s="67">
        <f t="array" ref="D888">SUM($B$7:$B883*$F$1009*EXP(-$F$1009*($A888-$A$7:$A883)))*$F$1010</f>
        <v>53659.276962646232</v>
      </c>
      <c r="E888" s="67">
        <f t="shared" si="85"/>
        <v>0.10229667448504787</v>
      </c>
      <c r="F888" s="70">
        <f t="shared" si="89"/>
        <v>6.2114540747321067E-3</v>
      </c>
      <c r="G888" s="67">
        <f>E888/'Lookup Tables'!$C$48</f>
        <v>0.20459334897009573</v>
      </c>
      <c r="H888" s="70">
        <f t="shared" si="86"/>
        <v>1.7967923488829098E-5</v>
      </c>
      <c r="I888" s="71">
        <f t="shared" si="90"/>
        <v>2.946144225169379E-4</v>
      </c>
      <c r="L888" s="74"/>
      <c r="M888" s="74"/>
      <c r="N888" s="74"/>
      <c r="O888" s="74"/>
      <c r="P888" s="74"/>
      <c r="Q888" s="74"/>
      <c r="R888" s="74"/>
      <c r="S888" s="74"/>
      <c r="T888" s="74"/>
      <c r="U888" s="74"/>
      <c r="V888" s="74"/>
      <c r="W888" s="74"/>
      <c r="X888" s="74"/>
      <c r="Y888" s="74"/>
    </row>
    <row r="889" spans="1:25" x14ac:dyDescent="0.3">
      <c r="A889" s="66">
        <f t="shared" si="88"/>
        <v>2078.1999999999198</v>
      </c>
      <c r="B889" s="67">
        <f>LOOKUP(A889+0.01,Amounts!$A$4:$A$103,Amounts!$B$4:$B$103)*0.1*$A$2</f>
        <v>0</v>
      </c>
      <c r="C889" s="68">
        <f t="shared" si="87"/>
        <v>2992395.4285963499</v>
      </c>
      <c r="D889" s="67">
        <f t="array" ref="D889">SUM($B$7:$B884*$F$1009*EXP(-$F$1009*($A889-$A$7:$A884)))*$F$1010</f>
        <v>52913.281239786877</v>
      </c>
      <c r="E889" s="67">
        <f t="shared" si="85"/>
        <v>0.10087449949596433</v>
      </c>
      <c r="F889" s="70">
        <f t="shared" si="89"/>
        <v>6.1250996093949539E-3</v>
      </c>
      <c r="G889" s="67">
        <f>E889/'Lookup Tables'!$C$48</f>
        <v>0.20174899899192866</v>
      </c>
      <c r="H889" s="70">
        <f t="shared" si="86"/>
        <v>1.7718125227837589E-5</v>
      </c>
      <c r="I889" s="71">
        <f t="shared" si="90"/>
        <v>2.9051855854837733E-4</v>
      </c>
      <c r="L889" s="74"/>
      <c r="M889" s="74"/>
      <c r="N889" s="74"/>
      <c r="O889" s="74"/>
      <c r="P889" s="74"/>
      <c r="Q889" s="74"/>
      <c r="R889" s="74"/>
      <c r="S889" s="74"/>
      <c r="T889" s="74"/>
      <c r="U889" s="74"/>
      <c r="V889" s="74"/>
      <c r="W889" s="74"/>
      <c r="X889" s="74"/>
      <c r="Y889" s="74"/>
    </row>
    <row r="890" spans="1:25" x14ac:dyDescent="0.3">
      <c r="A890" s="66">
        <f t="shared" si="88"/>
        <v>2078.2999999999197</v>
      </c>
      <c r="B890" s="67">
        <f>LOOKUP(A890+0.01,Amounts!$A$4:$A$103,Amounts!$B$4:$B$103)*0.1*$A$2</f>
        <v>0</v>
      </c>
      <c r="C890" s="68">
        <f t="shared" si="87"/>
        <v>2992395.4285963499</v>
      </c>
      <c r="D890" s="67">
        <f t="array" ref="D890">SUM($B$7:$B885*$F$1009*EXP(-$F$1009*($A890-$A$7:$A885)))*$F$1010</f>
        <v>52177.656689444673</v>
      </c>
      <c r="E890" s="67">
        <f t="shared" si="85"/>
        <v>9.9472096231717017E-2</v>
      </c>
      <c r="F890" s="70">
        <f t="shared" si="89"/>
        <v>6.0399456831898568E-3</v>
      </c>
      <c r="G890" s="67">
        <f>E890/'Lookup Tables'!$C$48</f>
        <v>0.19894419246343403</v>
      </c>
      <c r="H890" s="70">
        <f t="shared" si="86"/>
        <v>1.747179977611273E-5</v>
      </c>
      <c r="I890" s="71">
        <f t="shared" si="90"/>
        <v>2.8647963714734499E-4</v>
      </c>
      <c r="L890" s="74"/>
      <c r="M890" s="74"/>
      <c r="N890" s="74"/>
      <c r="O890" s="74"/>
      <c r="P890" s="74"/>
      <c r="Q890" s="74"/>
      <c r="R890" s="74"/>
      <c r="S890" s="74"/>
      <c r="T890" s="74"/>
      <c r="U890" s="74"/>
      <c r="V890" s="74"/>
      <c r="W890" s="74"/>
      <c r="X890" s="74"/>
      <c r="Y890" s="74"/>
    </row>
    <row r="891" spans="1:25" x14ac:dyDescent="0.3">
      <c r="A891" s="66">
        <f t="shared" si="88"/>
        <v>2078.3999999999196</v>
      </c>
      <c r="B891" s="67">
        <f>LOOKUP(A891+0.01,Amounts!$A$4:$A$103,Amounts!$B$4:$B$103)*0.1*$A$2</f>
        <v>0</v>
      </c>
      <c r="C891" s="68">
        <f t="shared" si="87"/>
        <v>2992395.4285963499</v>
      </c>
      <c r="D891" s="67">
        <f t="array" ref="D891">SUM($B$7:$B886*$F$1009*EXP(-$F$1009*($A891-$A$7:$A886)))*$F$1010</f>
        <v>51452.259126852725</v>
      </c>
      <c r="E891" s="67">
        <f t="shared" si="85"/>
        <v>9.8089189816776459E-2</v>
      </c>
      <c r="F891" s="70">
        <f t="shared" si="89"/>
        <v>5.9559756056746663E-3</v>
      </c>
      <c r="G891" s="67">
        <f>E891/'Lookup Tables'!$C$48</f>
        <v>0.19617837963355292</v>
      </c>
      <c r="H891" s="70">
        <f t="shared" si="86"/>
        <v>1.7228898853077403E-5</v>
      </c>
      <c r="I891" s="71">
        <f t="shared" si="90"/>
        <v>2.8249686667231624E-4</v>
      </c>
      <c r="L891" s="74"/>
      <c r="M891" s="74"/>
      <c r="N891" s="74"/>
      <c r="O891" s="74"/>
      <c r="P891" s="74"/>
      <c r="Q891" s="74"/>
      <c r="R891" s="74"/>
      <c r="S891" s="74"/>
      <c r="T891" s="74"/>
      <c r="U891" s="74"/>
      <c r="V891" s="74"/>
      <c r="W891" s="74"/>
      <c r="X891" s="74"/>
      <c r="Y891" s="74"/>
    </row>
    <row r="892" spans="1:25" x14ac:dyDescent="0.3">
      <c r="A892" s="66">
        <f t="shared" si="88"/>
        <v>2078.4999999999195</v>
      </c>
      <c r="B892" s="67">
        <f>LOOKUP(A892+0.01,Amounts!$A$4:$A$103,Amounts!$B$4:$B$103)*0.1*$A$2</f>
        <v>0</v>
      </c>
      <c r="C892" s="68">
        <f t="shared" si="87"/>
        <v>2992395.4285963499</v>
      </c>
      <c r="D892" s="67">
        <f t="array" ref="D892">SUM($B$7:$B887*$F$1009*EXP(-$F$1009*($A892-$A$7:$A887)))*$F$1010</f>
        <v>50736.946371766542</v>
      </c>
      <c r="E892" s="67">
        <f t="shared" si="85"/>
        <v>9.6725509197058204E-2</v>
      </c>
      <c r="F892" s="70">
        <f t="shared" si="89"/>
        <v>5.8731729184453747E-3</v>
      </c>
      <c r="G892" s="67">
        <f>E892/'Lookup Tables'!$C$48</f>
        <v>0.19345101839411641</v>
      </c>
      <c r="H892" s="70">
        <f t="shared" si="86"/>
        <v>1.6989374849373075E-5</v>
      </c>
      <c r="I892" s="71">
        <f t="shared" si="90"/>
        <v>2.7856946648752764E-4</v>
      </c>
      <c r="L892" s="74"/>
      <c r="M892" s="74"/>
      <c r="N892" s="74"/>
      <c r="O892" s="74"/>
      <c r="P892" s="74"/>
      <c r="Q892" s="74"/>
      <c r="R892" s="74"/>
      <c r="S892" s="74"/>
      <c r="T892" s="74"/>
      <c r="U892" s="74"/>
      <c r="V892" s="74"/>
      <c r="W892" s="74"/>
      <c r="X892" s="74"/>
      <c r="Y892" s="74"/>
    </row>
    <row r="893" spans="1:25" x14ac:dyDescent="0.3">
      <c r="A893" s="66">
        <f t="shared" si="88"/>
        <v>2078.5999999999194</v>
      </c>
      <c r="B893" s="67">
        <f>LOOKUP(A893+0.01,Amounts!$A$4:$A$103,Amounts!$B$4:$B$103)*0.1*$A$2</f>
        <v>0</v>
      </c>
      <c r="C893" s="68">
        <f t="shared" si="87"/>
        <v>2992395.4285963499</v>
      </c>
      <c r="D893" s="67">
        <f t="array" ref="D893">SUM($B$7:$B888*$F$1009*EXP(-$F$1009*($A893-$A$7:$A888)))*$F$1010</f>
        <v>50031.578220596159</v>
      </c>
      <c r="E893" s="67">
        <f t="shared" si="85"/>
        <v>9.5380787086795205E-2</v>
      </c>
      <c r="F893" s="70">
        <f t="shared" si="89"/>
        <v>5.7915213919102039E-3</v>
      </c>
      <c r="G893" s="67">
        <f>E893/'Lookup Tables'!$C$48</f>
        <v>0.19076157417359041</v>
      </c>
      <c r="H893" s="70">
        <f t="shared" si="86"/>
        <v>1.6753180817528238E-5</v>
      </c>
      <c r="I893" s="71">
        <f t="shared" si="90"/>
        <v>2.7469666680997014E-4</v>
      </c>
      <c r="L893" s="74"/>
      <c r="M893" s="74"/>
      <c r="N893" s="74"/>
      <c r="O893" s="74"/>
      <c r="P893" s="74"/>
      <c r="Q893" s="74"/>
      <c r="R893" s="74"/>
      <c r="S893" s="74"/>
      <c r="T893" s="74"/>
      <c r="U893" s="74"/>
      <c r="V893" s="74"/>
      <c r="W893" s="74"/>
      <c r="X893" s="74"/>
      <c r="Y893" s="74"/>
    </row>
    <row r="894" spans="1:25" x14ac:dyDescent="0.3">
      <c r="A894" s="66">
        <f t="shared" si="88"/>
        <v>2078.6999999999193</v>
      </c>
      <c r="B894" s="67">
        <f>LOOKUP(A894+0.01,Amounts!$A$4:$A$103,Amounts!$B$4:$B$103)*0.1*$A$2</f>
        <v>0</v>
      </c>
      <c r="C894" s="68">
        <f t="shared" si="87"/>
        <v>2992395.4285963499</v>
      </c>
      <c r="D894" s="67">
        <f t="array" ref="D894">SUM($B$7:$B889*$F$1009*EXP(-$F$1009*($A894-$A$7:$A889)))*$F$1010</f>
        <v>49336.016418925799</v>
      </c>
      <c r="E894" s="67">
        <f t="shared" si="85"/>
        <v>9.4054759916148867E-2</v>
      </c>
      <c r="F894" s="70">
        <f t="shared" si="89"/>
        <v>5.7110050221085588E-3</v>
      </c>
      <c r="G894" s="67">
        <f>E894/'Lookup Tables'!$C$48</f>
        <v>0.18810951983229773</v>
      </c>
      <c r="H894" s="70">
        <f t="shared" si="86"/>
        <v>1.6520270462756498E-5</v>
      </c>
      <c r="I894" s="71">
        <f t="shared" si="90"/>
        <v>2.7087770855850873E-4</v>
      </c>
      <c r="L894" s="74"/>
      <c r="M894" s="74"/>
      <c r="N894" s="74"/>
      <c r="O894" s="74"/>
      <c r="P894" s="74"/>
      <c r="Q894" s="74"/>
      <c r="R894" s="74"/>
      <c r="S894" s="74"/>
      <c r="T894" s="74"/>
      <c r="U894" s="74"/>
      <c r="V894" s="74"/>
      <c r="W894" s="74"/>
      <c r="X894" s="74"/>
      <c r="Y894" s="74"/>
    </row>
    <row r="895" spans="1:25" x14ac:dyDescent="0.3">
      <c r="A895" s="66">
        <f t="shared" si="88"/>
        <v>2078.7999999999192</v>
      </c>
      <c r="B895" s="67">
        <f>LOOKUP(A895+0.01,Amounts!$A$4:$A$103,Amounts!$B$4:$B$103)*0.1*$A$2</f>
        <v>0</v>
      </c>
      <c r="C895" s="68">
        <f t="shared" si="87"/>
        <v>2992395.4285963499</v>
      </c>
      <c r="D895" s="67">
        <f t="array" ref="D895">SUM($B$7:$B890*$F$1009*EXP(-$F$1009*($A895-$A$7:$A890)))*$F$1010</f>
        <v>48650.124634415581</v>
      </c>
      <c r="E895" s="67">
        <f t="shared" si="85"/>
        <v>9.2747167779548625E-2</v>
      </c>
      <c r="F895" s="70">
        <f t="shared" si="89"/>
        <v>5.6316080275741927E-3</v>
      </c>
      <c r="G895" s="67">
        <f>E895/'Lookup Tables'!$C$48</f>
        <v>0.18549433555909725</v>
      </c>
      <c r="H895" s="70">
        <f t="shared" si="86"/>
        <v>1.6290598133882682E-5</v>
      </c>
      <c r="I895" s="71">
        <f t="shared" si="90"/>
        <v>2.6711184320510003E-4</v>
      </c>
      <c r="L895" s="74"/>
      <c r="M895" s="74"/>
      <c r="N895" s="74"/>
      <c r="O895" s="74"/>
      <c r="P895" s="74"/>
      <c r="Q895" s="74"/>
      <c r="R895" s="74"/>
      <c r="S895" s="74"/>
      <c r="T895" s="74"/>
      <c r="U895" s="74"/>
      <c r="V895" s="74"/>
      <c r="W895" s="74"/>
      <c r="X895" s="74"/>
      <c r="Y895" s="74"/>
    </row>
    <row r="896" spans="1:25" x14ac:dyDescent="0.3">
      <c r="A896" s="66">
        <f t="shared" si="88"/>
        <v>2078.8999999999191</v>
      </c>
      <c r="B896" s="67">
        <f>LOOKUP(A896+0.01,Amounts!$A$4:$A$103,Amounts!$B$4:$B$103)*0.1*$A$2</f>
        <v>0</v>
      </c>
      <c r="C896" s="68">
        <f t="shared" si="87"/>
        <v>2992395.4285963499</v>
      </c>
      <c r="D896" s="67">
        <f t="array" ref="D896">SUM($B$7:$B891*$F$1009*EXP(-$F$1009*($A896-$A$7:$A891)))*$F$1010</f>
        <v>47973.768430079974</v>
      </c>
      <c r="E896" s="67">
        <f t="shared" si="85"/>
        <v>9.1457754384749693E-2</v>
      </c>
      <c r="F896" s="70">
        <f t="shared" si="89"/>
        <v>5.5533148462420011E-3</v>
      </c>
      <c r="G896" s="67">
        <f>E896/'Lookup Tables'!$C$48</f>
        <v>0.18291550876949939</v>
      </c>
      <c r="H896" s="70">
        <f t="shared" si="86"/>
        <v>1.6064118814395077E-5</v>
      </c>
      <c r="I896" s="71">
        <f t="shared" si="90"/>
        <v>2.6339833262807913E-4</v>
      </c>
      <c r="L896" s="74"/>
      <c r="M896" s="74"/>
      <c r="N896" s="74"/>
      <c r="O896" s="74"/>
      <c r="P896" s="74"/>
      <c r="Q896" s="74"/>
      <c r="R896" s="74"/>
      <c r="S896" s="74"/>
      <c r="T896" s="74"/>
      <c r="U896" s="74"/>
      <c r="V896" s="74"/>
      <c r="W896" s="74"/>
      <c r="X896" s="74"/>
      <c r="Y896" s="74"/>
    </row>
    <row r="897" spans="1:25" x14ac:dyDescent="0.3">
      <c r="A897" s="66">
        <f t="shared" si="88"/>
        <v>2078.9999999999191</v>
      </c>
      <c r="B897" s="67">
        <f>LOOKUP(A897+0.01,Amounts!$A$4:$A$103,Amounts!$B$4:$B$103)*0.1*$A$2</f>
        <v>0</v>
      </c>
      <c r="C897" s="68">
        <f t="shared" si="87"/>
        <v>2992395.4285963499</v>
      </c>
      <c r="D897" s="67">
        <f t="array" ref="D897">SUM($B$7:$B892*$F$1009*EXP(-$F$1009*($A897-$A$7:$A892)))*$F$1010</f>
        <v>47306.815237937677</v>
      </c>
      <c r="E897" s="67">
        <f t="shared" si="85"/>
        <v>9.0186267002598824E-2</v>
      </c>
      <c r="F897" s="70">
        <f t="shared" si="89"/>
        <v>5.4761101323978012E-3</v>
      </c>
      <c r="G897" s="67">
        <f>E897/'Lookup Tables'!$C$48</f>
        <v>0.18037253400519765</v>
      </c>
      <c r="H897" s="70">
        <f t="shared" si="86"/>
        <v>1.5840788113622026E-5</v>
      </c>
      <c r="I897" s="71">
        <f t="shared" si="90"/>
        <v>2.5973644896748466E-4</v>
      </c>
      <c r="L897" s="74"/>
      <c r="M897" s="74"/>
      <c r="N897" s="74"/>
      <c r="O897" s="74"/>
      <c r="P897" s="74"/>
      <c r="Q897" s="74"/>
      <c r="R897" s="74"/>
      <c r="S897" s="74"/>
      <c r="T897" s="74"/>
      <c r="U897" s="74"/>
      <c r="V897" s="74"/>
      <c r="W897" s="74"/>
      <c r="X897" s="74"/>
      <c r="Y897" s="74"/>
    </row>
    <row r="898" spans="1:25" x14ac:dyDescent="0.3">
      <c r="A898" s="66">
        <f t="shared" si="88"/>
        <v>2079.099999999919</v>
      </c>
      <c r="B898" s="67">
        <f>LOOKUP(A898+0.01,Amounts!$A$4:$A$103,Amounts!$B$4:$B$103)*0.1*$A$2</f>
        <v>0</v>
      </c>
      <c r="C898" s="68">
        <f t="shared" si="87"/>
        <v>2992395.4285963499</v>
      </c>
      <c r="D898" s="67">
        <f t="array" ref="D898">SUM($B$7:$B893*$F$1009*EXP(-$F$1009*($A898-$A$7:$A893)))*$F$1010</f>
        <v>46649.134333027883</v>
      </c>
      <c r="E898" s="67">
        <f t="shared" si="85"/>
        <v>8.8932456417498612E-2</v>
      </c>
      <c r="F898" s="70">
        <f t="shared" si="89"/>
        <v>5.3999787536705155E-3</v>
      </c>
      <c r="G898" s="67">
        <f>E898/'Lookup Tables'!$C$48</f>
        <v>0.17786491283499722</v>
      </c>
      <c r="H898" s="70">
        <f t="shared" si="86"/>
        <v>1.562056225803121E-5</v>
      </c>
      <c r="I898" s="71">
        <f t="shared" si="90"/>
        <v>2.5612547448239598E-4</v>
      </c>
      <c r="L898" s="74"/>
      <c r="M898" s="74"/>
      <c r="N898" s="74"/>
      <c r="O898" s="74"/>
      <c r="P898" s="74"/>
      <c r="Q898" s="74"/>
      <c r="R898" s="74"/>
      <c r="S898" s="74"/>
      <c r="T898" s="74"/>
      <c r="U898" s="74"/>
      <c r="V898" s="74"/>
      <c r="W898" s="74"/>
      <c r="X898" s="74"/>
      <c r="Y898" s="74"/>
    </row>
    <row r="899" spans="1:25" x14ac:dyDescent="0.3">
      <c r="A899" s="66">
        <f t="shared" si="88"/>
        <v>2079.1999999999189</v>
      </c>
      <c r="B899" s="67">
        <f>LOOKUP(A899+0.01,Amounts!$A$4:$A$103,Amounts!$B$4:$B$103)*0.1*$A$2</f>
        <v>0</v>
      </c>
      <c r="C899" s="68">
        <f t="shared" si="87"/>
        <v>2992395.4285963499</v>
      </c>
      <c r="D899" s="67">
        <f t="array" ref="D899">SUM($B$7:$B894*$F$1009*EXP(-$F$1009*($A899-$A$7:$A894)))*$F$1010</f>
        <v>46000.596807787733</v>
      </c>
      <c r="E899" s="67">
        <f t="shared" si="85"/>
        <v>8.7696076878560486E-2</v>
      </c>
      <c r="F899" s="70">
        <f t="shared" si="89"/>
        <v>5.3249057880661935E-3</v>
      </c>
      <c r="G899" s="67">
        <f>E899/'Lookup Tables'!$C$48</f>
        <v>0.17539215375712097</v>
      </c>
      <c r="H899" s="70">
        <f t="shared" si="86"/>
        <v>1.5403398082649918E-5</v>
      </c>
      <c r="I899" s="71">
        <f t="shared" si="90"/>
        <v>2.5256470141025419E-4</v>
      </c>
      <c r="L899" s="74"/>
      <c r="M899" s="74"/>
      <c r="N899" s="74"/>
      <c r="O899" s="74"/>
      <c r="P899" s="74"/>
      <c r="Q899" s="74"/>
      <c r="R899" s="74"/>
      <c r="S899" s="74"/>
      <c r="T899" s="74"/>
      <c r="U899" s="74"/>
      <c r="V899" s="74"/>
      <c r="W899" s="74"/>
      <c r="X899" s="74"/>
      <c r="Y899" s="74"/>
    </row>
    <row r="900" spans="1:25" x14ac:dyDescent="0.3">
      <c r="A900" s="66">
        <f t="shared" si="88"/>
        <v>2079.2999999999188</v>
      </c>
      <c r="B900" s="67">
        <f>LOOKUP(A900+0.01,Amounts!$A$4:$A$103,Amounts!$B$4:$B$103)*0.1*$A$2</f>
        <v>0</v>
      </c>
      <c r="C900" s="68">
        <f t="shared" si="87"/>
        <v>2992395.4285963499</v>
      </c>
      <c r="D900" s="67">
        <f t="array" ref="D900">SUM($B$7:$B895*$F$1009*EXP(-$F$1009*($A900-$A$7:$A895)))*$F$1010</f>
        <v>45361.075546786109</v>
      </c>
      <c r="E900" s="67">
        <f t="shared" si="85"/>
        <v>8.6476886051436733E-2</v>
      </c>
      <c r="F900" s="70">
        <f t="shared" si="89"/>
        <v>5.2508765210432387E-3</v>
      </c>
      <c r="G900" s="67">
        <f>E900/'Lookup Tables'!$C$48</f>
        <v>0.17295377210287347</v>
      </c>
      <c r="H900" s="70">
        <f t="shared" si="86"/>
        <v>1.5189253022604552E-5</v>
      </c>
      <c r="I900" s="71">
        <f t="shared" si="90"/>
        <v>2.4905343182813781E-4</v>
      </c>
      <c r="L900" s="74"/>
      <c r="M900" s="74"/>
      <c r="N900" s="74"/>
      <c r="O900" s="74"/>
      <c r="P900" s="74"/>
      <c r="Q900" s="74"/>
      <c r="R900" s="74"/>
      <c r="S900" s="74"/>
      <c r="T900" s="74"/>
      <c r="U900" s="74"/>
      <c r="V900" s="74"/>
      <c r="W900" s="74"/>
      <c r="X900" s="74"/>
      <c r="Y900" s="74"/>
    </row>
    <row r="901" spans="1:25" x14ac:dyDescent="0.3">
      <c r="A901" s="66">
        <f t="shared" si="88"/>
        <v>2079.3999999999187</v>
      </c>
      <c r="B901" s="67">
        <f>LOOKUP(A901+0.01,Amounts!$A$4:$A$103,Amounts!$B$4:$B$103)*0.1*$A$2</f>
        <v>0</v>
      </c>
      <c r="C901" s="68">
        <f t="shared" si="87"/>
        <v>2992395.4285963499</v>
      </c>
      <c r="D901" s="67">
        <f t="array" ref="D901">SUM($B$7:$B896*$F$1009*EXP(-$F$1009*($A901-$A$7:$A896)))*$F$1010</f>
        <v>44730.445201808507</v>
      </c>
      <c r="E901" s="67">
        <f t="shared" si="85"/>
        <v>8.5274644970822183E-2</v>
      </c>
      <c r="F901" s="70">
        <f t="shared" si="89"/>
        <v>5.1778764426283234E-3</v>
      </c>
      <c r="G901" s="67">
        <f>E901/'Lookup Tables'!$C$48</f>
        <v>0.17054928994164437</v>
      </c>
      <c r="H901" s="70">
        <f t="shared" si="86"/>
        <v>1.4978085104777791E-5</v>
      </c>
      <c r="I901" s="71">
        <f t="shared" si="90"/>
        <v>2.4559097751596787E-4</v>
      </c>
      <c r="L901" s="74"/>
      <c r="M901" s="74"/>
      <c r="N901" s="74"/>
      <c r="O901" s="74"/>
      <c r="P901" s="74"/>
      <c r="Q901" s="74"/>
      <c r="R901" s="74"/>
      <c r="S901" s="74"/>
      <c r="T901" s="74"/>
      <c r="U901" s="74"/>
      <c r="V901" s="74"/>
      <c r="W901" s="74"/>
      <c r="X901" s="74"/>
      <c r="Y901" s="74"/>
    </row>
    <row r="902" spans="1:25" x14ac:dyDescent="0.3">
      <c r="A902" s="66">
        <f t="shared" si="88"/>
        <v>2079.4999999999186</v>
      </c>
      <c r="B902" s="67">
        <f>LOOKUP(A902+0.01,Amounts!$A$4:$A$103,Amounts!$B$4:$B$103)*0.1*$A$2</f>
        <v>0</v>
      </c>
      <c r="C902" s="68">
        <f t="shared" si="87"/>
        <v>2992395.4285963499</v>
      </c>
      <c r="D902" s="67">
        <f t="array" ref="D902">SUM($B$7:$B897*$F$1009*EXP(-$F$1009*($A902-$A$7:$A897)))*$F$1010</f>
        <v>44108.582167288449</v>
      </c>
      <c r="E902" s="67">
        <f t="shared" si="85"/>
        <v>8.408911799361625E-2</v>
      </c>
      <c r="F902" s="70">
        <f t="shared" si="89"/>
        <v>5.1058912445723784E-3</v>
      </c>
      <c r="G902" s="67">
        <f>E902/'Lookup Tables'!$C$48</f>
        <v>0.1681782359872325</v>
      </c>
      <c r="H902" s="70">
        <f t="shared" si="86"/>
        <v>1.4769852939581721E-5</v>
      </c>
      <c r="I902" s="71">
        <f t="shared" si="90"/>
        <v>2.4217665982161481E-4</v>
      </c>
      <c r="L902" s="74"/>
      <c r="M902" s="74"/>
      <c r="N902" s="74"/>
      <c r="O902" s="74"/>
      <c r="P902" s="74"/>
      <c r="Q902" s="74"/>
      <c r="R902" s="74"/>
      <c r="S902" s="74"/>
      <c r="T902" s="74"/>
      <c r="U902" s="74"/>
      <c r="V902" s="74"/>
      <c r="W902" s="74"/>
      <c r="X902" s="74"/>
      <c r="Y902" s="74"/>
    </row>
    <row r="903" spans="1:25" x14ac:dyDescent="0.3">
      <c r="A903" s="66">
        <f t="shared" si="88"/>
        <v>2079.5999999999185</v>
      </c>
      <c r="B903" s="67">
        <f>LOOKUP(A903+0.01,Amounts!$A$4:$A$103,Amounts!$B$4:$B$103)*0.1*$A$2</f>
        <v>0</v>
      </c>
      <c r="C903" s="68">
        <f t="shared" si="87"/>
        <v>2992395.4285963499</v>
      </c>
      <c r="D903" s="67">
        <f t="array" ref="D903">SUM($B$7:$B898*$F$1009*EXP(-$F$1009*($A903-$A$7:$A898)))*$F$1010</f>
        <v>43495.364556080356</v>
      </c>
      <c r="E903" s="67">
        <f t="shared" ref="E903:E966" si="91">D903/(365*24*60)*1.00201</f>
        <v>8.2920072752736079E-2</v>
      </c>
      <c r="F903" s="70">
        <f t="shared" si="89"/>
        <v>5.0349068175461345E-3</v>
      </c>
      <c r="G903" s="67">
        <f>E903/'Lookup Tables'!$C$48</f>
        <v>0.16584014550547216</v>
      </c>
      <c r="H903" s="70">
        <f t="shared" ref="H903:H966" si="92">G903*60*24*365/(C903*2000)</f>
        <v>1.4564515712845334E-5</v>
      </c>
      <c r="I903" s="71">
        <f t="shared" si="90"/>
        <v>2.3880980952787991E-4</v>
      </c>
      <c r="L903" s="74"/>
      <c r="M903" s="74"/>
      <c r="N903" s="74"/>
      <c r="O903" s="74"/>
      <c r="P903" s="74"/>
      <c r="Q903" s="74"/>
      <c r="R903" s="74"/>
      <c r="S903" s="74"/>
      <c r="T903" s="74"/>
      <c r="U903" s="74"/>
      <c r="V903" s="74"/>
      <c r="W903" s="74"/>
      <c r="X903" s="74"/>
      <c r="Y903" s="74"/>
    </row>
    <row r="904" spans="1:25" x14ac:dyDescent="0.3">
      <c r="A904" s="66">
        <f t="shared" si="88"/>
        <v>2079.6999999999184</v>
      </c>
      <c r="B904" s="67">
        <f>LOOKUP(A904+0.01,Amounts!$A$4:$A$103,Amounts!$B$4:$B$103)*0.1*$A$2</f>
        <v>0</v>
      </c>
      <c r="C904" s="68">
        <f t="shared" si="87"/>
        <v>2992395.4285963499</v>
      </c>
      <c r="D904" s="67">
        <f t="array" ref="D904">SUM($B$7:$B899*$F$1009*EXP(-$F$1009*($A904-$A$7:$A899)))*$F$1010</f>
        <v>42890.672175569307</v>
      </c>
      <c r="E904" s="67">
        <f t="shared" si="91"/>
        <v>8.176728011157193E-2</v>
      </c>
      <c r="F904" s="70">
        <f t="shared" si="89"/>
        <v>4.9649092483746481E-3</v>
      </c>
      <c r="G904" s="67">
        <f>E904/'Lookup Tables'!$C$48</f>
        <v>0.16353456022314386</v>
      </c>
      <c r="H904" s="70">
        <f t="shared" si="92"/>
        <v>1.4362033177814832E-5</v>
      </c>
      <c r="I904" s="71">
        <f t="shared" si="90"/>
        <v>2.3548976672132716E-4</v>
      </c>
      <c r="L904" s="74"/>
      <c r="M904" s="74"/>
      <c r="N904" s="74"/>
      <c r="O904" s="74"/>
      <c r="P904" s="74"/>
      <c r="Q904" s="74"/>
      <c r="R904" s="74"/>
      <c r="S904" s="74"/>
      <c r="T904" s="74"/>
      <c r="U904" s="74"/>
      <c r="V904" s="74"/>
      <c r="W904" s="74"/>
      <c r="X904" s="74"/>
      <c r="Y904" s="74"/>
    </row>
    <row r="905" spans="1:25" x14ac:dyDescent="0.3">
      <c r="A905" s="66">
        <f t="shared" si="88"/>
        <v>2079.7999999999183</v>
      </c>
      <c r="B905" s="67">
        <f>LOOKUP(A905+0.01,Amounts!$A$4:$A$103,Amounts!$B$4:$B$103)*0.1*$A$2</f>
        <v>0</v>
      </c>
      <c r="C905" s="68">
        <f t="shared" ref="C905:C968" si="93">C904+B905</f>
        <v>2992395.4285963499</v>
      </c>
      <c r="D905" s="67">
        <f t="array" ref="D905">SUM($B$7:$B900*$F$1009*EXP(-$F$1009*($A905-$A$7:$A900)))*$F$1010</f>
        <v>42294.386504112881</v>
      </c>
      <c r="E905" s="67">
        <f t="shared" si="91"/>
        <v>8.0630514119075625E-2</v>
      </c>
      <c r="F905" s="70">
        <f t="shared" si="89"/>
        <v>4.8958848173102721E-3</v>
      </c>
      <c r="G905" s="67">
        <f>E905/'Lookup Tables'!$C$48</f>
        <v>0.16126102823815125</v>
      </c>
      <c r="H905" s="70">
        <f t="shared" si="92"/>
        <v>1.4162365647265127E-5</v>
      </c>
      <c r="I905" s="71">
        <f t="shared" si="90"/>
        <v>2.3221588066293781E-4</v>
      </c>
      <c r="L905" s="74"/>
      <c r="M905" s="74"/>
      <c r="N905" s="74"/>
      <c r="O905" s="74"/>
      <c r="P905" s="74"/>
      <c r="Q905" s="74"/>
      <c r="R905" s="74"/>
      <c r="S905" s="74"/>
      <c r="T905" s="74"/>
      <c r="U905" s="74"/>
      <c r="V905" s="74"/>
      <c r="W905" s="74"/>
      <c r="X905" s="74"/>
      <c r="Y905" s="74"/>
    </row>
    <row r="906" spans="1:25" x14ac:dyDescent="0.3">
      <c r="A906" s="66">
        <f t="shared" si="88"/>
        <v>2079.8999999999182</v>
      </c>
      <c r="B906" s="67">
        <f>LOOKUP(A906+0.01,Amounts!$A$4:$A$103,Amounts!$B$4:$B$103)*0.1*$A$2</f>
        <v>0</v>
      </c>
      <c r="C906" s="68">
        <f t="shared" si="93"/>
        <v>2992395.4285963499</v>
      </c>
      <c r="D906" s="67">
        <f t="array" ref="D906">SUM($B$7:$B901*$F$1009*EXP(-$F$1009*($A906-$A$7:$A901)))*$F$1010</f>
        <v>41706.390667810578</v>
      </c>
      <c r="E906" s="67">
        <f t="shared" si="91"/>
        <v>7.9509551965473518E-2</v>
      </c>
      <c r="F906" s="70">
        <f t="shared" si="89"/>
        <v>4.8278199953435512E-3</v>
      </c>
      <c r="G906" s="67">
        <f>E906/'Lookup Tables'!$C$48</f>
        <v>0.15901910393094704</v>
      </c>
      <c r="H906" s="70">
        <f t="shared" si="92"/>
        <v>1.396547398572104E-5</v>
      </c>
      <c r="I906" s="71">
        <f t="shared" si="90"/>
        <v>2.2898750966056372E-4</v>
      </c>
      <c r="L906" s="74"/>
      <c r="M906" s="74"/>
      <c r="N906" s="74"/>
      <c r="O906" s="74"/>
      <c r="P906" s="74"/>
      <c r="Q906" s="74"/>
      <c r="R906" s="74"/>
      <c r="S906" s="74"/>
      <c r="T906" s="74"/>
      <c r="U906" s="74"/>
      <c r="V906" s="74"/>
      <c r="W906" s="74"/>
      <c r="X906" s="74"/>
      <c r="Y906" s="74"/>
    </row>
    <row r="907" spans="1:25" x14ac:dyDescent="0.3">
      <c r="A907" s="66">
        <f t="shared" si="88"/>
        <v>2079.9999999999181</v>
      </c>
      <c r="B907" s="67">
        <f>LOOKUP(A907+0.01,Amounts!$A$4:$A$103,Amounts!$B$4:$B$103)*0.1*$A$2</f>
        <v>0</v>
      </c>
      <c r="C907" s="68">
        <f t="shared" si="93"/>
        <v>2992395.4285963499</v>
      </c>
      <c r="D907" s="67">
        <f t="array" ref="D907">SUM($B$7:$B902*$F$1009*EXP(-$F$1009*($A907-$A$7:$A902)))*$F$1010</f>
        <v>41126.569417596074</v>
      </c>
      <c r="E907" s="67">
        <f t="shared" si="91"/>
        <v>7.8404173938594834E-2</v>
      </c>
      <c r="F907" s="70">
        <f t="shared" si="89"/>
        <v>4.7607014415514785E-3</v>
      </c>
      <c r="G907" s="67">
        <f>E907/'Lookup Tables'!$C$48</f>
        <v>0.15680834787718967</v>
      </c>
      <c r="H907" s="70">
        <f t="shared" si="92"/>
        <v>1.3771319601786573E-5</v>
      </c>
      <c r="I907" s="71">
        <f t="shared" si="90"/>
        <v>2.2580402094315316E-4</v>
      </c>
      <c r="L907" s="74"/>
      <c r="M907" s="74"/>
      <c r="N907" s="74"/>
      <c r="O907" s="74"/>
      <c r="P907" s="74"/>
      <c r="Q907" s="74"/>
      <c r="R907" s="74"/>
      <c r="S907" s="74"/>
      <c r="T907" s="74"/>
      <c r="U907" s="74"/>
      <c r="V907" s="74"/>
      <c r="W907" s="74"/>
      <c r="X907" s="74"/>
      <c r="Y907" s="74"/>
    </row>
    <row r="908" spans="1:25" x14ac:dyDescent="0.3">
      <c r="A908" s="66">
        <f t="shared" si="88"/>
        <v>2080.0999999999181</v>
      </c>
      <c r="B908" s="67">
        <f>LOOKUP(A908+0.01,Amounts!$A$4:$A$103,Amounts!$B$4:$B$103)*0.1*$A$2</f>
        <v>0</v>
      </c>
      <c r="C908" s="68">
        <f t="shared" si="93"/>
        <v>2992395.4285963499</v>
      </c>
      <c r="D908" s="67">
        <f t="array" ref="D908">SUM($B$7:$B903*$F$1009*EXP(-$F$1009*($A908-$A$7:$A903)))*$F$1010</f>
        <v>40554.809106648114</v>
      </c>
      <c r="E908" s="67">
        <f t="shared" si="91"/>
        <v>7.7314163380807613E-2</v>
      </c>
      <c r="F908" s="70">
        <f t="shared" si="89"/>
        <v>4.6945160004826384E-3</v>
      </c>
      <c r="G908" s="67">
        <f>E908/'Lookup Tables'!$C$48</f>
        <v>0.15462832676161523</v>
      </c>
      <c r="H908" s="70">
        <f t="shared" si="92"/>
        <v>1.3579864440580923E-5</v>
      </c>
      <c r="I908" s="71">
        <f t="shared" si="90"/>
        <v>2.2266479053672592E-4</v>
      </c>
      <c r="L908" s="74"/>
      <c r="M908" s="74"/>
      <c r="N908" s="74"/>
      <c r="O908" s="74"/>
      <c r="P908" s="74"/>
      <c r="Q908" s="74"/>
      <c r="R908" s="74"/>
      <c r="S908" s="74"/>
      <c r="T908" s="74"/>
      <c r="U908" s="74"/>
      <c r="V908" s="74"/>
      <c r="W908" s="74"/>
      <c r="X908" s="74"/>
      <c r="Y908" s="74"/>
    </row>
    <row r="909" spans="1:25" x14ac:dyDescent="0.3">
      <c r="A909" s="66">
        <f t="shared" si="88"/>
        <v>2080.199999999918</v>
      </c>
      <c r="B909" s="67">
        <f>LOOKUP(A909+0.01,Amounts!$A$4:$A$103,Amounts!$B$4:$B$103)*0.1*$A$2</f>
        <v>0</v>
      </c>
      <c r="C909" s="68">
        <f t="shared" si="93"/>
        <v>2992395.4285963499</v>
      </c>
      <c r="D909" s="67">
        <f t="array" ref="D909">SUM($B$7:$B904*$F$1009*EXP(-$F$1009*($A909-$A$7:$A904)))*$F$1010</f>
        <v>39990.997668115371</v>
      </c>
      <c r="E909" s="67">
        <f t="shared" si="91"/>
        <v>7.6239306646553054E-2</v>
      </c>
      <c r="F909" s="70">
        <f t="shared" si="89"/>
        <v>4.6292506995787019E-3</v>
      </c>
      <c r="G909" s="67">
        <f>E909/'Lookup Tables'!$C$48</f>
        <v>0.15247861329310611</v>
      </c>
      <c r="H909" s="70">
        <f t="shared" si="92"/>
        <v>1.3391070976279586E-5</v>
      </c>
      <c r="I909" s="71">
        <f t="shared" si="90"/>
        <v>2.195692031420728E-4</v>
      </c>
      <c r="L909" s="74"/>
      <c r="M909" s="74"/>
      <c r="N909" s="74"/>
      <c r="O909" s="74"/>
      <c r="P909" s="74"/>
      <c r="Q909" s="74"/>
      <c r="R909" s="74"/>
      <c r="S909" s="74"/>
      <c r="T909" s="74"/>
      <c r="U909" s="74"/>
      <c r="V909" s="74"/>
      <c r="W909" s="74"/>
      <c r="X909" s="74"/>
      <c r="Y909" s="74"/>
    </row>
    <row r="910" spans="1:25" x14ac:dyDescent="0.3">
      <c r="A910" s="66">
        <f t="shared" si="88"/>
        <v>2080.2999999999179</v>
      </c>
      <c r="B910" s="67">
        <f>LOOKUP(A910+0.01,Amounts!$A$4:$A$103,Amounts!$B$4:$B$103)*0.1*$A$2</f>
        <v>0</v>
      </c>
      <c r="C910" s="68">
        <f t="shared" si="93"/>
        <v>2992395.4285963499</v>
      </c>
      <c r="D910" s="67">
        <f t="array" ref="D910">SUM($B$7:$B905*$F$1009*EXP(-$F$1009*($A910-$A$7:$A905)))*$F$1010</f>
        <v>39435.024593150891</v>
      </c>
      <c r="E910" s="67">
        <f t="shared" si="91"/>
        <v>7.5179393060470182E-2</v>
      </c>
      <c r="F910" s="70">
        <f t="shared" si="89"/>
        <v>4.5648927466317487E-3</v>
      </c>
      <c r="G910" s="67">
        <f>E910/'Lookup Tables'!$C$48</f>
        <v>0.15035878612094036</v>
      </c>
      <c r="H910" s="70">
        <f t="shared" si="92"/>
        <v>1.3204902204759143E-5</v>
      </c>
      <c r="I910" s="71">
        <f t="shared" si="90"/>
        <v>2.1651665201415408E-4</v>
      </c>
      <c r="L910" s="74"/>
      <c r="M910" s="74"/>
      <c r="N910" s="74"/>
      <c r="O910" s="74"/>
      <c r="P910" s="74"/>
      <c r="Q910" s="74"/>
      <c r="R910" s="74"/>
      <c r="S910" s="74"/>
      <c r="T910" s="74"/>
      <c r="U910" s="74"/>
      <c r="V910" s="74"/>
      <c r="W910" s="74"/>
      <c r="X910" s="74"/>
      <c r="Y910" s="74"/>
    </row>
    <row r="911" spans="1:25" x14ac:dyDescent="0.3">
      <c r="A911" s="66">
        <f t="shared" si="88"/>
        <v>2080.3999999999178</v>
      </c>
      <c r="B911" s="67">
        <f>LOOKUP(A911+0.01,Amounts!$A$4:$A$103,Amounts!$B$4:$B$103)*0.1*$A$2</f>
        <v>0</v>
      </c>
      <c r="C911" s="68">
        <f t="shared" si="93"/>
        <v>2992395.4285963499</v>
      </c>
      <c r="D911" s="67">
        <f t="array" ref="D911">SUM($B$7:$B906*$F$1009*EXP(-$F$1009*($A911-$A$7:$A906)))*$F$1010</f>
        <v>38886.780909252149</v>
      </c>
      <c r="E911" s="67">
        <f t="shared" si="91"/>
        <v>7.4134214876103027E-2</v>
      </c>
      <c r="F911" s="70">
        <f t="shared" si="89"/>
        <v>4.5014295272769759E-3</v>
      </c>
      <c r="G911" s="67">
        <f>E911/'Lookup Tables'!$C$48</f>
        <v>0.14826842975220605</v>
      </c>
      <c r="H911" s="70">
        <f t="shared" si="92"/>
        <v>1.3021321636344409E-5</v>
      </c>
      <c r="I911" s="71">
        <f t="shared" si="90"/>
        <v>2.135065388431767E-4</v>
      </c>
      <c r="L911" s="74"/>
      <c r="M911" s="74"/>
      <c r="N911" s="74"/>
      <c r="O911" s="74"/>
      <c r="P911" s="74"/>
      <c r="Q911" s="74"/>
      <c r="R911" s="74"/>
      <c r="S911" s="74"/>
      <c r="T911" s="74"/>
      <c r="U911" s="74"/>
      <c r="V911" s="74"/>
      <c r="W911" s="74"/>
      <c r="X911" s="74"/>
      <c r="Y911" s="74"/>
    </row>
    <row r="912" spans="1:25" x14ac:dyDescent="0.3">
      <c r="A912" s="66">
        <f t="shared" si="88"/>
        <v>2080.4999999999177</v>
      </c>
      <c r="B912" s="67">
        <f>LOOKUP(A912+0.01,Amounts!$A$4:$A$103,Amounts!$B$4:$B$103)*0.1*$A$2</f>
        <v>0</v>
      </c>
      <c r="C912" s="68">
        <f t="shared" si="93"/>
        <v>2992395.4285963499</v>
      </c>
      <c r="D912" s="67">
        <f t="array" ref="D912">SUM($B$7:$B907*$F$1009*EXP(-$F$1009*($A912-$A$7:$A907)))*$F$1010</f>
        <v>38346.159158901974</v>
      </c>
      <c r="E912" s="67">
        <f t="shared" si="91"/>
        <v>7.3103567235181452E-2</v>
      </c>
      <c r="F912" s="70">
        <f t="shared" si="89"/>
        <v>4.4388486025202182E-3</v>
      </c>
      <c r="G912" s="67">
        <f>E912/'Lookup Tables'!$C$48</f>
        <v>0.1462071344703629</v>
      </c>
      <c r="H912" s="70">
        <f t="shared" si="92"/>
        <v>1.2840293288656257E-5</v>
      </c>
      <c r="I912" s="71">
        <f t="shared" si="90"/>
        <v>2.1053827363732259E-4</v>
      </c>
      <c r="L912" s="74"/>
      <c r="M912" s="74"/>
      <c r="N912" s="74"/>
      <c r="O912" s="74"/>
      <c r="P912" s="74"/>
      <c r="Q912" s="74"/>
      <c r="R912" s="74"/>
      <c r="S912" s="74"/>
      <c r="T912" s="74"/>
      <c r="U912" s="74"/>
      <c r="V912" s="74"/>
      <c r="W912" s="74"/>
      <c r="X912" s="74"/>
      <c r="Y912" s="74"/>
    </row>
    <row r="913" spans="1:25" x14ac:dyDescent="0.3">
      <c r="A913" s="66">
        <f t="shared" si="88"/>
        <v>2080.5999999999176</v>
      </c>
      <c r="B913" s="67">
        <f>LOOKUP(A913+0.01,Amounts!$A$4:$A$103,Amounts!$B$4:$B$103)*0.1*$A$2</f>
        <v>0</v>
      </c>
      <c r="C913" s="68">
        <f t="shared" si="93"/>
        <v>2992395.4285963499</v>
      </c>
      <c r="D913" s="67">
        <f t="array" ref="D913">SUM($B$7:$B908*$F$1009*EXP(-$F$1009*($A913-$A$7:$A908)))*$F$1010</f>
        <v>37813.053378506571</v>
      </c>
      <c r="E913" s="67">
        <f t="shared" si="91"/>
        <v>7.2087248127468362E-2</v>
      </c>
      <c r="F913" s="70">
        <f t="shared" si="89"/>
        <v>4.3771377062998794E-3</v>
      </c>
      <c r="G913" s="67">
        <f>E913/'Lookup Tables'!$C$48</f>
        <v>0.14417449625493672</v>
      </c>
      <c r="H913" s="70">
        <f t="shared" si="92"/>
        <v>1.2661781679559002E-5</v>
      </c>
      <c r="I913" s="71">
        <f t="shared" si="90"/>
        <v>2.076112746071089E-4</v>
      </c>
      <c r="L913" s="74"/>
      <c r="M913" s="74"/>
      <c r="N913" s="74"/>
      <c r="O913" s="74"/>
      <c r="P913" s="74"/>
      <c r="Q913" s="74"/>
      <c r="R913" s="74"/>
      <c r="S913" s="74"/>
      <c r="T913" s="74"/>
      <c r="U913" s="74"/>
      <c r="V913" s="74"/>
      <c r="W913" s="74"/>
      <c r="X913" s="74"/>
      <c r="Y913" s="74"/>
    </row>
    <row r="914" spans="1:25" x14ac:dyDescent="0.3">
      <c r="A914" s="66">
        <f t="shared" si="88"/>
        <v>2080.6999999999175</v>
      </c>
      <c r="B914" s="67">
        <f>LOOKUP(A914+0.01,Amounts!$A$4:$A$103,Amounts!$B$4:$B$103)*0.1*$A$2</f>
        <v>0</v>
      </c>
      <c r="C914" s="68">
        <f t="shared" si="93"/>
        <v>2992395.4285963499</v>
      </c>
      <c r="D914" s="67">
        <f t="array" ref="D914">SUM($B$7:$B909*$F$1009*EXP(-$F$1009*($A914-$A$7:$A909)))*$F$1010</f>
        <v>37287.359077626315</v>
      </c>
      <c r="E914" s="67">
        <f t="shared" si="91"/>
        <v>7.1085058351165034E-2</v>
      </c>
      <c r="F914" s="70">
        <f t="shared" si="89"/>
        <v>4.3162847430827404E-3</v>
      </c>
      <c r="G914" s="67">
        <f>E914/'Lookup Tables'!$C$48</f>
        <v>0.14217011670233007</v>
      </c>
      <c r="H914" s="70">
        <f t="shared" si="92"/>
        <v>1.2485751820205783E-5</v>
      </c>
      <c r="I914" s="71">
        <f t="shared" si="90"/>
        <v>2.0472496805135529E-4</v>
      </c>
      <c r="L914" s="74"/>
      <c r="M914" s="74"/>
      <c r="N914" s="74"/>
      <c r="O914" s="74"/>
      <c r="P914" s="74"/>
      <c r="Q914" s="74"/>
      <c r="R914" s="74"/>
      <c r="S914" s="74"/>
      <c r="T914" s="74"/>
      <c r="U914" s="74"/>
      <c r="V914" s="74"/>
      <c r="W914" s="74"/>
      <c r="X914" s="74"/>
      <c r="Y914" s="74"/>
    </row>
    <row r="915" spans="1:25" x14ac:dyDescent="0.3">
      <c r="A915" s="66">
        <f t="shared" ref="A915:A978" si="94">A914+0.1</f>
        <v>2080.7999999999174</v>
      </c>
      <c r="B915" s="67">
        <f>LOOKUP(A915+0.01,Amounts!$A$4:$A$103,Amounts!$B$4:$B$103)*0.1*$A$2</f>
        <v>0</v>
      </c>
      <c r="C915" s="68">
        <f t="shared" si="93"/>
        <v>2992395.4285963499</v>
      </c>
      <c r="D915" s="67">
        <f t="array" ref="D915">SUM($B$7:$B910*$F$1009*EXP(-$F$1009*($A915-$A$7:$A910)))*$F$1010</f>
        <v>36768.973218495303</v>
      </c>
      <c r="E915" s="67">
        <f t="shared" si="91"/>
        <v>7.0096801473866974E-2</v>
      </c>
      <c r="F915" s="70">
        <f t="shared" ref="F915:F978" si="95">E915*60*1012/1000000</f>
        <v>4.2562777854932028E-3</v>
      </c>
      <c r="G915" s="67">
        <f>E915/'Lookup Tables'!$C$48</f>
        <v>0.14019360294773395</v>
      </c>
      <c r="H915" s="70">
        <f t="shared" si="92"/>
        <v>1.2312169208180638E-5</v>
      </c>
      <c r="I915" s="71">
        <f t="shared" ref="I915:I978" si="96">G915*60*24/1000000</f>
        <v>2.0187878824473688E-4</v>
      </c>
      <c r="L915" s="74"/>
      <c r="M915" s="74"/>
      <c r="N915" s="74"/>
      <c r="O915" s="74"/>
      <c r="P915" s="74"/>
      <c r="Q915" s="74"/>
      <c r="R915" s="74"/>
      <c r="S915" s="74"/>
      <c r="T915" s="74"/>
      <c r="U915" s="74"/>
      <c r="V915" s="74"/>
      <c r="W915" s="74"/>
      <c r="X915" s="74"/>
      <c r="Y915" s="74"/>
    </row>
    <row r="916" spans="1:25" x14ac:dyDescent="0.3">
      <c r="A916" s="66">
        <f t="shared" si="94"/>
        <v>2080.8999999999173</v>
      </c>
      <c r="B916" s="67">
        <f>LOOKUP(A916+0.01,Amounts!$A$4:$A$103,Amounts!$B$4:$B$103)*0.1*$A$2</f>
        <v>0</v>
      </c>
      <c r="C916" s="68">
        <f t="shared" si="93"/>
        <v>2992395.4285963499</v>
      </c>
      <c r="D916" s="67">
        <f t="array" ref="D916">SUM($B$7:$B911*$F$1009*EXP(-$F$1009*($A916-$A$7:$A911)))*$F$1010</f>
        <v>36257.79419582562</v>
      </c>
      <c r="E916" s="67">
        <f t="shared" si="91"/>
        <v>6.9122283794062461E-2</v>
      </c>
      <c r="F916" s="70">
        <f t="shared" si="95"/>
        <v>4.1971050719754729E-3</v>
      </c>
      <c r="G916" s="67">
        <f>E916/'Lookup Tables'!$C$48</f>
        <v>0.13824456758812492</v>
      </c>
      <c r="H916" s="70">
        <f t="shared" si="92"/>
        <v>1.2140999820735908E-5</v>
      </c>
      <c r="I916" s="71">
        <f t="shared" si="96"/>
        <v>1.9907217732689992E-4</v>
      </c>
      <c r="L916" s="74"/>
      <c r="M916" s="74"/>
      <c r="N916" s="74"/>
      <c r="O916" s="74"/>
      <c r="P916" s="74"/>
      <c r="Q916" s="74"/>
      <c r="R916" s="74"/>
      <c r="S916" s="74"/>
      <c r="T916" s="74"/>
      <c r="U916" s="74"/>
      <c r="V916" s="74"/>
      <c r="W916" s="74"/>
      <c r="X916" s="74"/>
      <c r="Y916" s="74"/>
    </row>
    <row r="917" spans="1:25" x14ac:dyDescent="0.3">
      <c r="A917" s="66">
        <f t="shared" si="94"/>
        <v>2080.9999999999172</v>
      </c>
      <c r="B917" s="67">
        <f>LOOKUP(A917+0.01,Amounts!$A$4:$A$103,Amounts!$B$4:$B$103)*0.1*$A$2</f>
        <v>0</v>
      </c>
      <c r="C917" s="68">
        <f t="shared" si="93"/>
        <v>2992395.4285963499</v>
      </c>
      <c r="D917" s="67">
        <f t="array" ref="D917">SUM($B$7:$B912*$F$1009*EXP(-$F$1009*($A917-$A$7:$A912)))*$F$1010</f>
        <v>35753.721816892357</v>
      </c>
      <c r="E917" s="67">
        <f t="shared" si="91"/>
        <v>6.8161314303166506E-2</v>
      </c>
      <c r="F917" s="70">
        <f t="shared" si="95"/>
        <v>4.13875500448827E-3</v>
      </c>
      <c r="G917" s="67">
        <f>E917/'Lookup Tables'!$C$48</f>
        <v>0.13632262860633301</v>
      </c>
      <c r="H917" s="70">
        <f t="shared" si="92"/>
        <v>1.1972210108123681E-5</v>
      </c>
      <c r="I917" s="71">
        <f t="shared" si="96"/>
        <v>1.9630458519311953E-4</v>
      </c>
      <c r="L917" s="74"/>
      <c r="M917" s="74"/>
      <c r="N917" s="74"/>
      <c r="O917" s="74"/>
      <c r="P917" s="74"/>
      <c r="Q917" s="74"/>
      <c r="R917" s="74"/>
      <c r="S917" s="74"/>
      <c r="T917" s="74"/>
      <c r="U917" s="74"/>
      <c r="V917" s="74"/>
      <c r="W917" s="74"/>
      <c r="X917" s="74"/>
      <c r="Y917" s="74"/>
    </row>
    <row r="918" spans="1:25" x14ac:dyDescent="0.3">
      <c r="A918" s="66">
        <f t="shared" si="94"/>
        <v>2081.0999999999171</v>
      </c>
      <c r="B918" s="67">
        <f>LOOKUP(A918+0.01,Amounts!$A$4:$A$103,Amounts!$B$4:$B$103)*0.1*$A$2</f>
        <v>0</v>
      </c>
      <c r="C918" s="68">
        <f t="shared" si="93"/>
        <v>2992395.4285963499</v>
      </c>
      <c r="D918" s="67">
        <f t="array" ref="D918">SUM($B$7:$B913*$F$1009*EXP(-$F$1009*($A918-$A$7:$A913)))*$F$1010</f>
        <v>35256.65728189551</v>
      </c>
      <c r="E918" s="67">
        <f t="shared" si="91"/>
        <v>6.7213704648082434E-2</v>
      </c>
      <c r="F918" s="70">
        <f t="shared" si="95"/>
        <v>4.0812161462315645E-3</v>
      </c>
      <c r="G918" s="67">
        <f>E918/'Lookup Tables'!$C$48</f>
        <v>0.13442740929616487</v>
      </c>
      <c r="H918" s="70">
        <f t="shared" si="92"/>
        <v>1.1805766987019924E-5</v>
      </c>
      <c r="I918" s="71">
        <f t="shared" si="96"/>
        <v>1.9357546938647739E-4</v>
      </c>
      <c r="L918" s="74"/>
      <c r="M918" s="74"/>
      <c r="N918" s="74"/>
      <c r="O918" s="74"/>
      <c r="P918" s="74"/>
      <c r="Q918" s="74"/>
      <c r="R918" s="74"/>
      <c r="S918" s="74"/>
      <c r="T918" s="74"/>
      <c r="U918" s="74"/>
      <c r="V918" s="74"/>
      <c r="W918" s="74"/>
      <c r="X918" s="74"/>
      <c r="Y918" s="74"/>
    </row>
    <row r="919" spans="1:25" x14ac:dyDescent="0.3">
      <c r="A919" s="66">
        <f t="shared" si="94"/>
        <v>2081.1999999999171</v>
      </c>
      <c r="B919" s="67">
        <f>LOOKUP(A919+0.01,Amounts!$A$4:$A$103,Amounts!$B$4:$B$103)*0.1*$A$2</f>
        <v>0</v>
      </c>
      <c r="C919" s="68">
        <f t="shared" si="93"/>
        <v>2992395.4285963499</v>
      </c>
      <c r="D919" s="67">
        <f t="array" ref="D919">SUM($B$7:$B914*$F$1009*EXP(-$F$1009*($A919-$A$7:$A914)))*$F$1010</f>
        <v>34766.503164594949</v>
      </c>
      <c r="E919" s="67">
        <f t="shared" si="91"/>
        <v>6.6279269094284221E-2</v>
      </c>
      <c r="F919" s="70">
        <f t="shared" si="95"/>
        <v>4.0244772194049381E-3</v>
      </c>
      <c r="G919" s="67">
        <f>E919/'Lookup Tables'!$C$48</f>
        <v>0.13255853818856844</v>
      </c>
      <c r="H919" s="70">
        <f t="shared" si="92"/>
        <v>1.1641637834040062E-5</v>
      </c>
      <c r="I919" s="71">
        <f t="shared" si="96"/>
        <v>1.9088429499153857E-4</v>
      </c>
      <c r="L919" s="74"/>
      <c r="M919" s="74"/>
      <c r="N919" s="74"/>
      <c r="O919" s="74"/>
      <c r="P919" s="74"/>
      <c r="Q919" s="74"/>
      <c r="R919" s="74"/>
      <c r="S919" s="74"/>
      <c r="T919" s="74"/>
      <c r="U919" s="74"/>
      <c r="V919" s="74"/>
      <c r="W919" s="74"/>
      <c r="X919" s="74"/>
      <c r="Y919" s="74"/>
    </row>
    <row r="920" spans="1:25" x14ac:dyDescent="0.3">
      <c r="A920" s="66">
        <f t="shared" si="94"/>
        <v>2081.299999999917</v>
      </c>
      <c r="B920" s="67">
        <f>LOOKUP(A920+0.01,Amounts!$A$4:$A$103,Amounts!$B$4:$B$103)*0.1*$A$2</f>
        <v>0</v>
      </c>
      <c r="C920" s="68">
        <f t="shared" si="93"/>
        <v>2992395.4285963499</v>
      </c>
      <c r="D920" s="67">
        <f t="array" ref="D920">SUM($B$7:$B915*$F$1009*EXP(-$F$1009*($A920-$A$7:$A915)))*$F$1010</f>
        <v>34283.163393214541</v>
      </c>
      <c r="E920" s="67">
        <f t="shared" si="91"/>
        <v>6.5357824489411923E-2</v>
      </c>
      <c r="F920" s="70">
        <f t="shared" si="95"/>
        <v>3.9685271029970921E-3</v>
      </c>
      <c r="G920" s="67">
        <f>E920/'Lookup Tables'!$C$48</f>
        <v>0.13071564897882385</v>
      </c>
      <c r="H920" s="70">
        <f t="shared" si="92"/>
        <v>1.1479790479344675E-5</v>
      </c>
      <c r="I920" s="71">
        <f t="shared" si="96"/>
        <v>1.882305345295063E-4</v>
      </c>
      <c r="L920" s="74"/>
      <c r="M920" s="74"/>
      <c r="N920" s="74"/>
      <c r="O920" s="74"/>
      <c r="P920" s="74"/>
      <c r="Q920" s="74"/>
      <c r="R920" s="74"/>
      <c r="S920" s="74"/>
      <c r="T920" s="74"/>
      <c r="U920" s="74"/>
      <c r="V920" s="74"/>
      <c r="W920" s="74"/>
      <c r="X920" s="74"/>
      <c r="Y920" s="74"/>
    </row>
    <row r="921" spans="1:25" x14ac:dyDescent="0.3">
      <c r="A921" s="66">
        <f t="shared" si="94"/>
        <v>2081.3999999999169</v>
      </c>
      <c r="B921" s="67">
        <f>LOOKUP(A921+0.01,Amounts!$A$4:$A$103,Amounts!$B$4:$B$103)*0.1*$A$2</f>
        <v>0</v>
      </c>
      <c r="C921" s="68">
        <f t="shared" si="93"/>
        <v>2992395.4285963499</v>
      </c>
      <c r="D921" s="67">
        <f t="array" ref="D921">SUM($B$7:$B916*$F$1009*EXP(-$F$1009*($A921-$A$7:$A916)))*$F$1010</f>
        <v>33806.543231611729</v>
      </c>
      <c r="E921" s="67">
        <f t="shared" si="91"/>
        <v>6.444919022737304E-2</v>
      </c>
      <c r="F921" s="70">
        <f t="shared" si="95"/>
        <v>3.9133548306060908E-3</v>
      </c>
      <c r="G921" s="67">
        <f>E921/'Lookup Tables'!$C$48</f>
        <v>0.12889838045474608</v>
      </c>
      <c r="H921" s="70">
        <f t="shared" si="92"/>
        <v>1.1320193200334108E-5</v>
      </c>
      <c r="I921" s="71">
        <f t="shared" si="96"/>
        <v>1.8561366785483434E-4</v>
      </c>
      <c r="L921" s="74"/>
      <c r="M921" s="74"/>
      <c r="N921" s="74"/>
      <c r="O921" s="74"/>
      <c r="P921" s="74"/>
      <c r="Q921" s="74"/>
      <c r="R921" s="74"/>
      <c r="S921" s="74"/>
      <c r="T921" s="74"/>
      <c r="U921" s="74"/>
      <c r="V921" s="74"/>
      <c r="W921" s="74"/>
      <c r="X921" s="74"/>
      <c r="Y921" s="74"/>
    </row>
    <row r="922" spans="1:25" x14ac:dyDescent="0.3">
      <c r="A922" s="66">
        <f t="shared" si="94"/>
        <v>2081.4999999999168</v>
      </c>
      <c r="B922" s="67">
        <f>LOOKUP(A922+0.01,Amounts!$A$4:$A$103,Amounts!$B$4:$B$103)*0.1*$A$2</f>
        <v>0</v>
      </c>
      <c r="C922" s="68">
        <f t="shared" si="93"/>
        <v>2992395.4285963499</v>
      </c>
      <c r="D922" s="67">
        <f t="array" ref="D922">SUM($B$7:$B917*$F$1009*EXP(-$F$1009*($A922-$A$7:$A917)))*$F$1010</f>
        <v>33336.549260709035</v>
      </c>
      <c r="E922" s="67">
        <f t="shared" si="91"/>
        <v>6.3553188212943423E-2</v>
      </c>
      <c r="F922" s="70">
        <f t="shared" si="95"/>
        <v>3.8589495882899246E-3</v>
      </c>
      <c r="G922" s="67">
        <f>E922/'Lookup Tables'!$C$48</f>
        <v>0.12710637642588685</v>
      </c>
      <c r="H922" s="70">
        <f t="shared" si="92"/>
        <v>1.1162814715430761E-5</v>
      </c>
      <c r="I922" s="71">
        <f t="shared" si="96"/>
        <v>1.8303318205327708E-4</v>
      </c>
      <c r="L922" s="74"/>
      <c r="M922" s="74"/>
      <c r="N922" s="74"/>
      <c r="O922" s="74"/>
      <c r="P922" s="74"/>
      <c r="Q922" s="74"/>
      <c r="R922" s="74"/>
      <c r="S922" s="74"/>
      <c r="T922" s="74"/>
      <c r="U922" s="74"/>
      <c r="V922" s="74"/>
      <c r="W922" s="74"/>
      <c r="X922" s="74"/>
      <c r="Y922" s="74"/>
    </row>
    <row r="923" spans="1:25" x14ac:dyDescent="0.3">
      <c r="A923" s="66">
        <f t="shared" si="94"/>
        <v>2081.5999999999167</v>
      </c>
      <c r="B923" s="67">
        <f>LOOKUP(A923+0.01,Amounts!$A$4:$A$103,Amounts!$B$4:$B$103)*0.1*$A$2</f>
        <v>0</v>
      </c>
      <c r="C923" s="68">
        <f t="shared" si="93"/>
        <v>2992395.4285963499</v>
      </c>
      <c r="D923" s="67">
        <f t="array" ref="D923">SUM($B$7:$B918*$F$1009*EXP(-$F$1009*($A923-$A$7:$A918)))*$F$1010</f>
        <v>32873.08936018352</v>
      </c>
      <c r="E923" s="67">
        <f t="shared" si="91"/>
        <v>6.2669642826859759E-2</v>
      </c>
      <c r="F923" s="70">
        <f t="shared" si="95"/>
        <v>3.8053007124469245E-3</v>
      </c>
      <c r="G923" s="67">
        <f>E923/'Lookup Tables'!$C$48</f>
        <v>0.12533928565371952</v>
      </c>
      <c r="H923" s="70">
        <f t="shared" si="92"/>
        <v>1.1007624177947746E-5</v>
      </c>
      <c r="I923" s="71">
        <f t="shared" si="96"/>
        <v>1.8048857134135611E-4</v>
      </c>
      <c r="L923" s="74"/>
      <c r="M923" s="74"/>
      <c r="N923" s="74"/>
      <c r="O923" s="74"/>
      <c r="P923" s="74"/>
      <c r="Q923" s="74"/>
      <c r="R923" s="74"/>
      <c r="S923" s="74"/>
      <c r="T923" s="74"/>
      <c r="U923" s="74"/>
      <c r="V923" s="74"/>
      <c r="W923" s="74"/>
      <c r="X923" s="74"/>
      <c r="Y923" s="74"/>
    </row>
    <row r="924" spans="1:25" x14ac:dyDescent="0.3">
      <c r="A924" s="66">
        <f t="shared" si="94"/>
        <v>2081.6999999999166</v>
      </c>
      <c r="B924" s="67">
        <f>LOOKUP(A924+0.01,Amounts!$A$4:$A$103,Amounts!$B$4:$B$103)*0.1*$A$2</f>
        <v>0</v>
      </c>
      <c r="C924" s="68">
        <f t="shared" si="93"/>
        <v>2992395.4285963499</v>
      </c>
      <c r="D924" s="67">
        <f t="array" ref="D924">SUM($B$7:$B919*$F$1009*EXP(-$F$1009*($A924-$A$7:$A919)))*$F$1010</f>
        <v>32416.072690410998</v>
      </c>
      <c r="E924" s="67">
        <f t="shared" si="91"/>
        <v>6.1798380891397886E-2</v>
      </c>
      <c r="F924" s="70">
        <f t="shared" si="95"/>
        <v>3.7523976877256796E-3</v>
      </c>
      <c r="G924" s="67">
        <f>E924/'Lookup Tables'!$C$48</f>
        <v>0.12359676178279577</v>
      </c>
      <c r="H924" s="70">
        <f t="shared" si="92"/>
        <v>1.0854591170042918E-5</v>
      </c>
      <c r="I924" s="71">
        <f t="shared" si="96"/>
        <v>1.7797933696722592E-4</v>
      </c>
      <c r="L924" s="74"/>
      <c r="M924" s="74"/>
      <c r="N924" s="74"/>
      <c r="O924" s="74"/>
      <c r="P924" s="74"/>
      <c r="Q924" s="74"/>
      <c r="R924" s="74"/>
      <c r="S924" s="74"/>
      <c r="T924" s="74"/>
      <c r="U924" s="74"/>
      <c r="V924" s="74"/>
      <c r="W924" s="74"/>
      <c r="X924" s="74"/>
      <c r="Y924" s="74"/>
    </row>
    <row r="925" spans="1:25" x14ac:dyDescent="0.3">
      <c r="A925" s="66">
        <f t="shared" si="94"/>
        <v>2081.7999999999165</v>
      </c>
      <c r="B925" s="67">
        <f>LOOKUP(A925+0.01,Amounts!$A$4:$A$103,Amounts!$B$4:$B$103)*0.1*$A$2</f>
        <v>0</v>
      </c>
      <c r="C925" s="68">
        <f t="shared" si="93"/>
        <v>2992395.4285963499</v>
      </c>
      <c r="D925" s="67">
        <f t="array" ref="D925">SUM($B$7:$B920*$F$1009*EXP(-$F$1009*($A925-$A$7:$A920)))*$F$1010</f>
        <v>31965.409674661118</v>
      </c>
      <c r="E925" s="67">
        <f t="shared" si="91"/>
        <v>6.0939231636429204E-2</v>
      </c>
      <c r="F925" s="70">
        <f t="shared" si="95"/>
        <v>3.7002301449639815E-3</v>
      </c>
      <c r="G925" s="67">
        <f>E925/'Lookup Tables'!$C$48</f>
        <v>0.12187846327285841</v>
      </c>
      <c r="H925" s="70">
        <f t="shared" si="92"/>
        <v>1.0703685696756801E-5</v>
      </c>
      <c r="I925" s="71">
        <f t="shared" si="96"/>
        <v>1.7550498711291611E-4</v>
      </c>
      <c r="L925" s="74"/>
      <c r="M925" s="74"/>
      <c r="N925" s="74"/>
      <c r="O925" s="74"/>
      <c r="P925" s="74"/>
      <c r="Q925" s="74"/>
      <c r="R925" s="74"/>
      <c r="S925" s="74"/>
      <c r="T925" s="74"/>
      <c r="U925" s="74"/>
      <c r="V925" s="74"/>
      <c r="W925" s="74"/>
      <c r="X925" s="74"/>
      <c r="Y925" s="74"/>
    </row>
    <row r="926" spans="1:25" x14ac:dyDescent="0.3">
      <c r="A926" s="66">
        <f t="shared" si="94"/>
        <v>2081.8999999999164</v>
      </c>
      <c r="B926" s="67">
        <f>LOOKUP(A926+0.01,Amounts!$A$4:$A$103,Amounts!$B$4:$B$103)*0.1*$A$2</f>
        <v>0</v>
      </c>
      <c r="C926" s="68">
        <f t="shared" si="93"/>
        <v>2992395.4285963499</v>
      </c>
      <c r="D926" s="67">
        <f t="array" ref="D926">SUM($B$7:$B921*$F$1009*EXP(-$F$1009*($A926-$A$7:$A921)))*$F$1010</f>
        <v>31521.011981540058</v>
      </c>
      <c r="E926" s="67">
        <f t="shared" si="91"/>
        <v>6.0092026665949302E-2</v>
      </c>
      <c r="F926" s="70">
        <f t="shared" si="95"/>
        <v>3.6487878591564419E-3</v>
      </c>
      <c r="G926" s="67">
        <f>E926/'Lookup Tables'!$C$48</f>
        <v>0.1201840533318986</v>
      </c>
      <c r="H926" s="70">
        <f t="shared" si="92"/>
        <v>1.0554878180133538E-5</v>
      </c>
      <c r="I926" s="71">
        <f t="shared" si="96"/>
        <v>1.73065036797934E-4</v>
      </c>
      <c r="L926" s="74"/>
      <c r="M926" s="74"/>
      <c r="N926" s="74"/>
      <c r="O926" s="74"/>
      <c r="P926" s="74"/>
      <c r="Q926" s="74"/>
      <c r="R926" s="74"/>
      <c r="S926" s="74"/>
      <c r="T926" s="74"/>
      <c r="U926" s="74"/>
      <c r="V926" s="74"/>
      <c r="W926" s="74"/>
      <c r="X926" s="74"/>
      <c r="Y926" s="74"/>
    </row>
    <row r="927" spans="1:25" x14ac:dyDescent="0.3">
      <c r="A927" s="66">
        <f t="shared" si="94"/>
        <v>2081.9999999999163</v>
      </c>
      <c r="B927" s="67">
        <f>LOOKUP(A927+0.01,Amounts!$A$4:$A$103,Amounts!$B$4:$B$103)*0.1*$A$2</f>
        <v>0</v>
      </c>
      <c r="C927" s="68">
        <f t="shared" si="93"/>
        <v>2992395.4285963499</v>
      </c>
      <c r="D927" s="67">
        <f t="array" ref="D927">SUM($B$7:$B922*$F$1009*EXP(-$F$1009*($A927-$A$7:$A922)))*$F$1010</f>
        <v>31082.792507677292</v>
      </c>
      <c r="E927" s="67">
        <f t="shared" si="91"/>
        <v>5.9256599925071776E-2</v>
      </c>
      <c r="F927" s="70">
        <f t="shared" si="95"/>
        <v>3.5980607474503583E-3</v>
      </c>
      <c r="G927" s="67">
        <f>E927/'Lookup Tables'!$C$48</f>
        <v>0.11851319985014355</v>
      </c>
      <c r="H927" s="70">
        <f t="shared" si="92"/>
        <v>1.0408139453423479E-5</v>
      </c>
      <c r="I927" s="71">
        <f t="shared" si="96"/>
        <v>1.7065900778420672E-4</v>
      </c>
      <c r="L927" s="74"/>
      <c r="M927" s="74"/>
      <c r="N927" s="74"/>
      <c r="O927" s="74"/>
      <c r="P927" s="74"/>
      <c r="Q927" s="74"/>
      <c r="R927" s="74"/>
      <c r="S927" s="74"/>
      <c r="T927" s="74"/>
      <c r="U927" s="74"/>
      <c r="V927" s="74"/>
      <c r="W927" s="74"/>
      <c r="X927" s="74"/>
      <c r="Y927" s="74"/>
    </row>
    <row r="928" spans="1:25" x14ac:dyDescent="0.3">
      <c r="A928" s="66">
        <f t="shared" si="94"/>
        <v>2082.0999999999162</v>
      </c>
      <c r="B928" s="67">
        <f>LOOKUP(A928+0.01,Amounts!$A$4:$A$103,Amounts!$B$4:$B$103)*0.1*$A$2</f>
        <v>0</v>
      </c>
      <c r="C928" s="68">
        <f t="shared" si="93"/>
        <v>2992395.4285963499</v>
      </c>
      <c r="D928" s="67">
        <f t="array" ref="D928">SUM($B$7:$B923*$F$1009*EXP(-$F$1009*($A928-$A$7:$A923)))*$F$1010</f>
        <v>30650.665360653056</v>
      </c>
      <c r="E928" s="67">
        <f t="shared" si="91"/>
        <v>5.8432787667480918E-2</v>
      </c>
      <c r="F928" s="70">
        <f t="shared" si="95"/>
        <v>3.5480388671694412E-3</v>
      </c>
      <c r="G928" s="67">
        <f>E928/'Lookup Tables'!$C$48</f>
        <v>0.11686557533496184</v>
      </c>
      <c r="H928" s="70">
        <f t="shared" si="92"/>
        <v>1.0263440755366429E-5</v>
      </c>
      <c r="I928" s="71">
        <f t="shared" si="96"/>
        <v>1.6828642848234503E-4</v>
      </c>
      <c r="L928" s="74"/>
      <c r="M928" s="74"/>
      <c r="N928" s="74"/>
      <c r="O928" s="74"/>
      <c r="P928" s="74"/>
      <c r="Q928" s="74"/>
      <c r="R928" s="74"/>
      <c r="S928" s="74"/>
      <c r="T928" s="74"/>
      <c r="U928" s="74"/>
      <c r="V928" s="74"/>
      <c r="W928" s="74"/>
      <c r="X928" s="74"/>
      <c r="Y928" s="74"/>
    </row>
    <row r="929" spans="1:25" x14ac:dyDescent="0.3">
      <c r="A929" s="66">
        <f t="shared" si="94"/>
        <v>2082.1999999999161</v>
      </c>
      <c r="B929" s="67">
        <f>LOOKUP(A929+0.01,Amounts!$A$4:$A$103,Amounts!$B$4:$B$103)*0.1*$A$2</f>
        <v>0</v>
      </c>
      <c r="C929" s="68">
        <f t="shared" si="93"/>
        <v>2992395.4285963499</v>
      </c>
      <c r="D929" s="67">
        <f t="array" ref="D929">SUM($B$7:$B924*$F$1009*EXP(-$F$1009*($A929-$A$7:$A924)))*$F$1010</f>
        <v>30224.545842163127</v>
      </c>
      <c r="E929" s="67">
        <f t="shared" si="91"/>
        <v>5.7620428423336902E-2</v>
      </c>
      <c r="F929" s="70">
        <f t="shared" si="95"/>
        <v>3.4987124138650167E-3</v>
      </c>
      <c r="G929" s="67">
        <f>E929/'Lookup Tables'!$C$48</f>
        <v>0.1152408568466738</v>
      </c>
      <c r="H929" s="70">
        <f t="shared" si="92"/>
        <v>1.0120753724554336E-5</v>
      </c>
      <c r="I929" s="71">
        <f t="shared" si="96"/>
        <v>1.6594683385921026E-4</v>
      </c>
      <c r="L929" s="74"/>
      <c r="M929" s="74"/>
      <c r="N929" s="74"/>
      <c r="O929" s="74"/>
      <c r="P929" s="74"/>
      <c r="Q929" s="74"/>
      <c r="R929" s="74"/>
      <c r="S929" s="74"/>
      <c r="T929" s="74"/>
      <c r="U929" s="74"/>
      <c r="V929" s="74"/>
      <c r="W929" s="74"/>
      <c r="X929" s="74"/>
      <c r="Y929" s="74"/>
    </row>
    <row r="930" spans="1:25" x14ac:dyDescent="0.3">
      <c r="A930" s="66">
        <f t="shared" si="94"/>
        <v>2082.2999999999161</v>
      </c>
      <c r="B930" s="67">
        <f>LOOKUP(A930+0.01,Amounts!$A$4:$A$103,Amounts!$B$4:$B$103)*0.1*$A$2</f>
        <v>0</v>
      </c>
      <c r="C930" s="68">
        <f t="shared" si="93"/>
        <v>2992395.4285963499</v>
      </c>
      <c r="D930" s="67">
        <f t="array" ref="D930">SUM($B$7:$B925*$F$1009*EXP(-$F$1009*($A930-$A$7:$A925)))*$F$1010</f>
        <v>29804.350431417733</v>
      </c>
      <c r="E930" s="67">
        <f t="shared" si="91"/>
        <v>5.6819362967627254E-2</v>
      </c>
      <c r="F930" s="70">
        <f t="shared" si="95"/>
        <v>3.450071719394327E-3</v>
      </c>
      <c r="G930" s="67">
        <f>E930/'Lookup Tables'!$C$48</f>
        <v>0.11363872593525451</v>
      </c>
      <c r="H930" s="70">
        <f t="shared" si="92"/>
        <v>9.9800503938723714E-6</v>
      </c>
      <c r="I930" s="71">
        <f t="shared" si="96"/>
        <v>1.636397653467665E-4</v>
      </c>
      <c r="L930" s="74"/>
      <c r="M930" s="74"/>
      <c r="N930" s="74"/>
      <c r="O930" s="74"/>
      <c r="P930" s="74"/>
      <c r="Q930" s="74"/>
      <c r="R930" s="74"/>
      <c r="S930" s="74"/>
      <c r="T930" s="74"/>
      <c r="U930" s="74"/>
      <c r="V930" s="74"/>
      <c r="W930" s="74"/>
      <c r="X930" s="74"/>
      <c r="Y930" s="74"/>
    </row>
    <row r="931" spans="1:25" x14ac:dyDescent="0.3">
      <c r="A931" s="66">
        <f t="shared" si="94"/>
        <v>2082.399999999916</v>
      </c>
      <c r="B931" s="67">
        <f>LOOKUP(A931+0.01,Amounts!$A$4:$A$103,Amounts!$B$4:$B$103)*0.1*$A$2</f>
        <v>0</v>
      </c>
      <c r="C931" s="68">
        <f t="shared" si="93"/>
        <v>2992395.4285963499</v>
      </c>
      <c r="D931" s="67">
        <f t="array" ref="D931">SUM($B$7:$B926*$F$1009*EXP(-$F$1009*($A931-$A$7:$A926)))*$F$1010</f>
        <v>29389.996768771169</v>
      </c>
      <c r="E931" s="67">
        <f t="shared" si="91"/>
        <v>5.6029434288958145E-2</v>
      </c>
      <c r="F931" s="70">
        <f t="shared" si="95"/>
        <v>3.4021072500255386E-3</v>
      </c>
      <c r="G931" s="67">
        <f>E931/'Lookup Tables'!$C$48</f>
        <v>0.11205886857791629</v>
      </c>
      <c r="H931" s="70">
        <f t="shared" si="92"/>
        <v>9.8413031850172779E-6</v>
      </c>
      <c r="I931" s="71">
        <f t="shared" si="96"/>
        <v>1.6136477075219947E-4</v>
      </c>
      <c r="L931" s="74"/>
      <c r="M931" s="74"/>
      <c r="N931" s="74"/>
      <c r="O931" s="74"/>
      <c r="P931" s="74"/>
      <c r="Q931" s="74"/>
      <c r="R931" s="74"/>
      <c r="S931" s="74"/>
      <c r="T931" s="74"/>
      <c r="U931" s="74"/>
      <c r="V931" s="74"/>
      <c r="W931" s="74"/>
      <c r="X931" s="74"/>
      <c r="Y931" s="74"/>
    </row>
    <row r="932" spans="1:25" x14ac:dyDescent="0.3">
      <c r="A932" s="66">
        <f t="shared" si="94"/>
        <v>2082.4999999999159</v>
      </c>
      <c r="B932" s="67">
        <f>LOOKUP(A932+0.01,Amounts!$A$4:$A$103,Amounts!$B$4:$B$103)*0.1*$A$2</f>
        <v>0</v>
      </c>
      <c r="C932" s="68">
        <f t="shared" si="93"/>
        <v>2992395.4285963499</v>
      </c>
      <c r="D932" s="67">
        <f t="array" ref="D932">SUM($B$7:$B927*$F$1009*EXP(-$F$1009*($A932-$A$7:$A927)))*$F$1010</f>
        <v>28981.403639579061</v>
      </c>
      <c r="E932" s="67">
        <f t="shared" si="91"/>
        <v>5.5250487558779711E-2</v>
      </c>
      <c r="F932" s="70">
        <f t="shared" si="95"/>
        <v>3.3548096045691042E-3</v>
      </c>
      <c r="G932" s="67">
        <f>E932/'Lookup Tables'!$C$48</f>
        <v>0.11050097511755942</v>
      </c>
      <c r="H932" s="70">
        <f t="shared" si="92"/>
        <v>9.704484903091942E-6</v>
      </c>
      <c r="I932" s="71">
        <f t="shared" si="96"/>
        <v>1.5912140416928557E-4</v>
      </c>
      <c r="L932" s="74"/>
      <c r="M932" s="74"/>
      <c r="N932" s="74"/>
      <c r="O932" s="74"/>
      <c r="P932" s="74"/>
      <c r="Q932" s="74"/>
      <c r="R932" s="74"/>
      <c r="S932" s="74"/>
      <c r="T932" s="74"/>
      <c r="U932" s="74"/>
      <c r="V932" s="74"/>
      <c r="W932" s="74"/>
      <c r="X932" s="74"/>
      <c r="Y932" s="74"/>
    </row>
    <row r="933" spans="1:25" x14ac:dyDescent="0.3">
      <c r="A933" s="66">
        <f t="shared" si="94"/>
        <v>2082.5999999999158</v>
      </c>
      <c r="B933" s="67">
        <f>LOOKUP(A933+0.01,Amounts!$A$4:$A$103,Amounts!$B$4:$B$103)*0.1*$A$2</f>
        <v>0</v>
      </c>
      <c r="C933" s="68">
        <f t="shared" si="93"/>
        <v>2992395.4285963499</v>
      </c>
      <c r="D933" s="67">
        <f t="array" ref="D933">SUM($B$7:$B928*$F$1009*EXP(-$F$1009*($A933-$A$7:$A928)))*$F$1010</f>
        <v>28578.490958280043</v>
      </c>
      <c r="E933" s="67">
        <f t="shared" si="91"/>
        <v>5.4482370101039165E-2</v>
      </c>
      <c r="F933" s="70">
        <f t="shared" si="95"/>
        <v>3.3081695125350978E-3</v>
      </c>
      <c r="G933" s="67">
        <f>E933/'Lookup Tables'!$C$48</f>
        <v>0.10896474020207833</v>
      </c>
      <c r="H933" s="70">
        <f t="shared" si="92"/>
        <v>9.5695687312751019E-6</v>
      </c>
      <c r="I933" s="71">
        <f t="shared" si="96"/>
        <v>1.5690922589099279E-4</v>
      </c>
      <c r="L933" s="74"/>
      <c r="M933" s="74"/>
      <c r="N933" s="74"/>
      <c r="O933" s="74"/>
      <c r="P933" s="74"/>
      <c r="Q933" s="74"/>
      <c r="R933" s="74"/>
      <c r="S933" s="74"/>
      <c r="T933" s="74"/>
      <c r="U933" s="74"/>
      <c r="V933" s="74"/>
      <c r="W933" s="74"/>
      <c r="X933" s="74"/>
      <c r="Y933" s="74"/>
    </row>
    <row r="934" spans="1:25" x14ac:dyDescent="0.3">
      <c r="A934" s="66">
        <f t="shared" si="94"/>
        <v>2082.6999999999157</v>
      </c>
      <c r="B934" s="67">
        <f>LOOKUP(A934+0.01,Amounts!$A$4:$A$103,Amounts!$B$4:$B$103)*0.1*$A$2</f>
        <v>0</v>
      </c>
      <c r="C934" s="68">
        <f t="shared" si="93"/>
        <v>2992395.4285963499</v>
      </c>
      <c r="D934" s="67">
        <f t="array" ref="D934">SUM($B$7:$B929*$F$1009*EXP(-$F$1009*($A934-$A$7:$A929)))*$F$1010</f>
        <v>28181.179752698714</v>
      </c>
      <c r="E934" s="67">
        <f t="shared" si="91"/>
        <v>5.3724931362255784E-2</v>
      </c>
      <c r="F934" s="70">
        <f t="shared" si="95"/>
        <v>3.2621778323161711E-3</v>
      </c>
      <c r="G934" s="67">
        <f>E934/'Lookup Tables'!$C$48</f>
        <v>0.10744986272451157</v>
      </c>
      <c r="H934" s="70">
        <f t="shared" si="92"/>
        <v>9.4365282255651704E-6</v>
      </c>
      <c r="I934" s="71">
        <f t="shared" si="96"/>
        <v>1.5472780232329665E-4</v>
      </c>
      <c r="L934" s="74"/>
      <c r="M934" s="74"/>
      <c r="N934" s="74"/>
      <c r="O934" s="74"/>
      <c r="P934" s="74"/>
      <c r="Q934" s="74"/>
      <c r="R934" s="74"/>
      <c r="S934" s="74"/>
      <c r="T934" s="74"/>
      <c r="U934" s="74"/>
      <c r="V934" s="74"/>
      <c r="W934" s="74"/>
      <c r="X934" s="74"/>
      <c r="Y934" s="74"/>
    </row>
    <row r="935" spans="1:25" x14ac:dyDescent="0.3">
      <c r="A935" s="66">
        <f t="shared" si="94"/>
        <v>2082.7999999999156</v>
      </c>
      <c r="B935" s="67">
        <f>LOOKUP(A935+0.01,Amounts!$A$4:$A$103,Amounts!$B$4:$B$103)*0.1*$A$2</f>
        <v>0</v>
      </c>
      <c r="C935" s="68">
        <f t="shared" si="93"/>
        <v>2992395.4285963499</v>
      </c>
      <c r="D935" s="67">
        <f t="array" ref="D935">SUM($B$7:$B930*$F$1009*EXP(-$F$1009*($A935-$A$7:$A930)))*$F$1010</f>
        <v>27789.39214856684</v>
      </c>
      <c r="E935" s="67">
        <f t="shared" si="91"/>
        <v>5.2978022882011908E-2</v>
      </c>
      <c r="F935" s="70">
        <f t="shared" si="95"/>
        <v>3.2168255493957632E-3</v>
      </c>
      <c r="G935" s="67">
        <f>E935/'Lookup Tables'!$C$48</f>
        <v>0.10595604576402382</v>
      </c>
      <c r="H935" s="70">
        <f t="shared" si="92"/>
        <v>9.3053373095971135E-6</v>
      </c>
      <c r="I935" s="71">
        <f t="shared" si="96"/>
        <v>1.5257670590019431E-4</v>
      </c>
      <c r="L935" s="74"/>
      <c r="M935" s="74"/>
      <c r="N935" s="74"/>
      <c r="O935" s="74"/>
      <c r="P935" s="74"/>
      <c r="Q935" s="74"/>
      <c r="R935" s="74"/>
      <c r="S935" s="74"/>
      <c r="T935" s="74"/>
      <c r="U935" s="74"/>
      <c r="V935" s="74"/>
      <c r="W935" s="74"/>
      <c r="X935" s="74"/>
      <c r="Y935" s="74"/>
    </row>
    <row r="936" spans="1:25" x14ac:dyDescent="0.3">
      <c r="A936" s="66">
        <f t="shared" si="94"/>
        <v>2082.8999999999155</v>
      </c>
      <c r="B936" s="67">
        <f>LOOKUP(A936+0.01,Amounts!$A$4:$A$103,Amounts!$B$4:$B$103)*0.1*$A$2</f>
        <v>0</v>
      </c>
      <c r="C936" s="68">
        <f t="shared" si="93"/>
        <v>2992395.4285963499</v>
      </c>
      <c r="D936" s="67">
        <f t="array" ref="D936">SUM($B$7:$B931*$F$1009*EXP(-$F$1009*($A936-$A$7:$A931)))*$F$1010</f>
        <v>27403.051354259769</v>
      </c>
      <c r="E936" s="67">
        <f t="shared" si="91"/>
        <v>5.2241498263854325E-2</v>
      </c>
      <c r="F936" s="70">
        <f t="shared" si="95"/>
        <v>3.1721037745812346E-3</v>
      </c>
      <c r="G936" s="67">
        <f>E936/'Lookup Tables'!$C$48</f>
        <v>0.10448299652770865</v>
      </c>
      <c r="H936" s="70">
        <f t="shared" si="92"/>
        <v>9.1759702695314195E-6</v>
      </c>
      <c r="I936" s="71">
        <f t="shared" si="96"/>
        <v>1.5045551499990047E-4</v>
      </c>
      <c r="L936" s="74"/>
      <c r="M936" s="74"/>
      <c r="N936" s="74"/>
      <c r="O936" s="74"/>
      <c r="P936" s="74"/>
      <c r="Q936" s="74"/>
      <c r="R936" s="74"/>
      <c r="S936" s="74"/>
      <c r="T936" s="74"/>
      <c r="U936" s="74"/>
      <c r="V936" s="74"/>
      <c r="W936" s="74"/>
      <c r="X936" s="74"/>
      <c r="Y936" s="74"/>
    </row>
    <row r="937" spans="1:25" x14ac:dyDescent="0.3">
      <c r="A937" s="66">
        <f t="shared" si="94"/>
        <v>2082.9999999999154</v>
      </c>
      <c r="B937" s="67">
        <f>LOOKUP(A937+0.01,Amounts!$A$4:$A$103,Amounts!$B$4:$B$103)*0.1*$A$2</f>
        <v>0</v>
      </c>
      <c r="C937" s="68">
        <f t="shared" si="93"/>
        <v>2992395.4285963499</v>
      </c>
      <c r="D937" s="67">
        <f t="array" ref="D937">SUM($B$7:$B932*$F$1009*EXP(-$F$1009*($A937-$A$7:$A932)))*$F$1010</f>
        <v>27022.081645744995</v>
      </c>
      <c r="E937" s="67">
        <f t="shared" si="91"/>
        <v>5.1515213146599972E-2</v>
      </c>
      <c r="F937" s="70">
        <f t="shared" si="95"/>
        <v>3.1280037422615503E-3</v>
      </c>
      <c r="G937" s="67">
        <f>E937/'Lookup Tables'!$C$48</f>
        <v>0.10303042629319994</v>
      </c>
      <c r="H937" s="70">
        <f t="shared" si="92"/>
        <v>9.0484017490140785E-6</v>
      </c>
      <c r="I937" s="71">
        <f t="shared" si="96"/>
        <v>1.4836381386220789E-4</v>
      </c>
      <c r="L937" s="74"/>
      <c r="M937" s="74"/>
      <c r="N937" s="74"/>
      <c r="O937" s="74"/>
      <c r="P937" s="74"/>
      <c r="Q937" s="74"/>
      <c r="R937" s="74"/>
      <c r="S937" s="74"/>
      <c r="T937" s="74"/>
      <c r="U937" s="74"/>
      <c r="V937" s="74"/>
      <c r="W937" s="74"/>
      <c r="X937" s="74"/>
      <c r="Y937" s="74"/>
    </row>
    <row r="938" spans="1:25" x14ac:dyDescent="0.3">
      <c r="A938" s="66">
        <f t="shared" si="94"/>
        <v>2083.0999999999153</v>
      </c>
      <c r="B938" s="67">
        <f>LOOKUP(A938+0.01,Amounts!$A$4:$A$103,Amounts!$B$4:$B$103)*0.1*$A$2</f>
        <v>0</v>
      </c>
      <c r="C938" s="68">
        <f t="shared" si="93"/>
        <v>2992395.4285963499</v>
      </c>
      <c r="D938" s="67">
        <f t="array" ref="D938">SUM($B$7:$B933*$F$1009*EXP(-$F$1009*($A938-$A$7:$A933)))*$F$1010</f>
        <v>26646.408351740032</v>
      </c>
      <c r="E938" s="67">
        <f t="shared" si="91"/>
        <v>5.0799025176040777E-2</v>
      </c>
      <c r="F938" s="70">
        <f t="shared" si="95"/>
        <v>3.0845168086891962E-3</v>
      </c>
      <c r="G938" s="67">
        <f>E938/'Lookup Tables'!$C$48</f>
        <v>0.10159805035208155</v>
      </c>
      <c r="H938" s="70">
        <f t="shared" si="92"/>
        <v>8.9226067442066809E-6</v>
      </c>
      <c r="I938" s="71">
        <f t="shared" si="96"/>
        <v>1.4630119250699745E-4</v>
      </c>
      <c r="L938" s="74"/>
      <c r="M938" s="74"/>
      <c r="N938" s="74"/>
      <c r="O938" s="74"/>
      <c r="P938" s="74"/>
      <c r="Q938" s="74"/>
      <c r="R938" s="74"/>
      <c r="S938" s="74"/>
      <c r="T938" s="74"/>
      <c r="U938" s="74"/>
      <c r="V938" s="74"/>
      <c r="W938" s="74"/>
      <c r="X938" s="74"/>
      <c r="Y938" s="74"/>
    </row>
    <row r="939" spans="1:25" x14ac:dyDescent="0.3">
      <c r="A939" s="66">
        <f t="shared" si="94"/>
        <v>2083.1999999999152</v>
      </c>
      <c r="B939" s="67">
        <f>LOOKUP(A939+0.01,Amounts!$A$4:$A$103,Amounts!$B$4:$B$103)*0.1*$A$2</f>
        <v>0</v>
      </c>
      <c r="C939" s="68">
        <f t="shared" si="93"/>
        <v>2992395.4285963499</v>
      </c>
      <c r="D939" s="67">
        <f t="array" ref="D939">SUM($B$7:$B934*$F$1009*EXP(-$F$1009*($A939-$A$7:$A934)))*$F$1010</f>
        <v>26275.957839076593</v>
      </c>
      <c r="E939" s="67">
        <f t="shared" si="91"/>
        <v>5.0092793977041736E-2</v>
      </c>
      <c r="F939" s="70">
        <f t="shared" si="95"/>
        <v>3.0416344502859744E-3</v>
      </c>
      <c r="G939" s="67">
        <f>E939/'Lookup Tables'!$C$48</f>
        <v>0.10018558795408347</v>
      </c>
      <c r="H939" s="70">
        <f t="shared" si="92"/>
        <v>8.7985605988855682E-6</v>
      </c>
      <c r="I939" s="71">
        <f t="shared" si="96"/>
        <v>1.4426724665388019E-4</v>
      </c>
      <c r="L939" s="74"/>
      <c r="M939" s="74"/>
      <c r="N939" s="74"/>
      <c r="O939" s="74"/>
      <c r="P939" s="74"/>
      <c r="Q939" s="74"/>
      <c r="R939" s="74"/>
      <c r="S939" s="74"/>
      <c r="T939" s="74"/>
      <c r="U939" s="74"/>
      <c r="V939" s="74"/>
      <c r="W939" s="74"/>
      <c r="X939" s="74"/>
      <c r="Y939" s="74"/>
    </row>
    <row r="940" spans="1:25" x14ac:dyDescent="0.3">
      <c r="A940" s="66">
        <f t="shared" si="94"/>
        <v>2083.2999999999151</v>
      </c>
      <c r="B940" s="67">
        <f>LOOKUP(A940+0.01,Amounts!$A$4:$A$103,Amounts!$B$4:$B$103)*0.1*$A$2</f>
        <v>0</v>
      </c>
      <c r="C940" s="68">
        <f t="shared" si="93"/>
        <v>2992395.4285963499</v>
      </c>
      <c r="D940" s="67">
        <f t="array" ref="D940">SUM($B$7:$B935*$F$1009*EXP(-$F$1009*($A940-$A$7:$A935)))*$F$1010</f>
        <v>25910.65749826825</v>
      </c>
      <c r="E940" s="67">
        <f t="shared" si="91"/>
        <v>4.9396381126026963E-2</v>
      </c>
      <c r="F940" s="70">
        <f t="shared" si="95"/>
        <v>2.9993482619723572E-3</v>
      </c>
      <c r="G940" s="67">
        <f>E940/'Lookup Tables'!$C$48</f>
        <v>9.8792762252053926E-2</v>
      </c>
      <c r="H940" s="70">
        <f t="shared" si="92"/>
        <v>8.6762389996091452E-6</v>
      </c>
      <c r="I940" s="71">
        <f t="shared" si="96"/>
        <v>1.4226157764295766E-4</v>
      </c>
      <c r="L940" s="74"/>
      <c r="M940" s="74"/>
      <c r="N940" s="74"/>
      <c r="O940" s="74"/>
      <c r="P940" s="74"/>
      <c r="Q940" s="74"/>
      <c r="R940" s="74"/>
      <c r="S940" s="74"/>
      <c r="T940" s="74"/>
      <c r="U940" s="74"/>
      <c r="V940" s="74"/>
      <c r="W940" s="74"/>
      <c r="X940" s="74"/>
      <c r="Y940" s="74"/>
    </row>
    <row r="941" spans="1:25" x14ac:dyDescent="0.3">
      <c r="A941" s="66">
        <f t="shared" si="94"/>
        <v>2083.3999999999151</v>
      </c>
      <c r="B941" s="67">
        <f>LOOKUP(A941+0.01,Amounts!$A$4:$A$103,Amounts!$B$4:$B$103)*0.1*$A$2</f>
        <v>0</v>
      </c>
      <c r="C941" s="68">
        <f t="shared" si="93"/>
        <v>2992395.4285963499</v>
      </c>
      <c r="D941" s="67">
        <f t="array" ref="D941">SUM($B$7:$B936*$F$1009*EXP(-$F$1009*($A941-$A$7:$A936)))*$F$1010</f>
        <v>25550.43572927875</v>
      </c>
      <c r="E941" s="67">
        <f t="shared" si="91"/>
        <v>4.8709650123848175E-2</v>
      </c>
      <c r="F941" s="70">
        <f t="shared" si="95"/>
        <v>2.9576499555200612E-3</v>
      </c>
      <c r="G941" s="67">
        <f>E941/'Lookup Tables'!$C$48</f>
        <v>9.741930024769635E-2</v>
      </c>
      <c r="H941" s="70">
        <f t="shared" si="92"/>
        <v>8.5556179709523527E-6</v>
      </c>
      <c r="I941" s="71">
        <f t="shared" si="96"/>
        <v>1.4028379235668273E-4</v>
      </c>
      <c r="L941" s="74"/>
      <c r="M941" s="74"/>
      <c r="N941" s="74"/>
      <c r="O941" s="74"/>
      <c r="P941" s="74"/>
      <c r="Q941" s="74"/>
      <c r="R941" s="74"/>
      <c r="S941" s="74"/>
      <c r="T941" s="74"/>
      <c r="U941" s="74"/>
      <c r="V941" s="74"/>
      <c r="W941" s="74"/>
      <c r="X941" s="74"/>
      <c r="Y941" s="74"/>
    </row>
    <row r="942" spans="1:25" x14ac:dyDescent="0.3">
      <c r="A942" s="66">
        <f t="shared" si="94"/>
        <v>2083.499999999915</v>
      </c>
      <c r="B942" s="67">
        <f>LOOKUP(A942+0.01,Amounts!$A$4:$A$103,Amounts!$B$4:$B$103)*0.1*$A$2</f>
        <v>0</v>
      </c>
      <c r="C942" s="68">
        <f t="shared" si="93"/>
        <v>2992395.4285963499</v>
      </c>
      <c r="D942" s="67">
        <f t="array" ref="D942">SUM($B$7:$B937*$F$1009*EXP(-$F$1009*($A942-$A$7:$A937)))*$F$1010</f>
        <v>25195.221927488183</v>
      </c>
      <c r="E942" s="67">
        <f t="shared" si="91"/>
        <v>4.803246636903051E-2</v>
      </c>
      <c r="F942" s="70">
        <f t="shared" si="95"/>
        <v>2.9165313579275326E-3</v>
      </c>
      <c r="G942" s="67">
        <f>E942/'Lookup Tables'!$C$48</f>
        <v>9.6064932738061021E-2</v>
      </c>
      <c r="H942" s="70">
        <f t="shared" si="92"/>
        <v>8.4366738708074337E-6</v>
      </c>
      <c r="I942" s="71">
        <f t="shared" si="96"/>
        <v>1.3833350314280786E-4</v>
      </c>
      <c r="L942" s="74"/>
      <c r="M942" s="74"/>
      <c r="N942" s="74"/>
      <c r="O942" s="74"/>
      <c r="P942" s="74"/>
      <c r="Q942" s="74"/>
      <c r="R942" s="74"/>
      <c r="S942" s="74"/>
      <c r="T942" s="74"/>
      <c r="U942" s="74"/>
      <c r="V942" s="74"/>
      <c r="W942" s="74"/>
      <c r="X942" s="74"/>
      <c r="Y942" s="74"/>
    </row>
    <row r="943" spans="1:25" x14ac:dyDescent="0.3">
      <c r="A943" s="66">
        <f t="shared" si="94"/>
        <v>2083.5999999999149</v>
      </c>
      <c r="B943" s="67">
        <f>LOOKUP(A943+0.01,Amounts!$A$4:$A$103,Amounts!$B$4:$B$103)*0.1*$A$2</f>
        <v>0</v>
      </c>
      <c r="C943" s="68">
        <f t="shared" si="93"/>
        <v>2992395.4285963499</v>
      </c>
      <c r="D943" s="67">
        <f t="array" ref="D943">SUM($B$7:$B938*$F$1009*EXP(-$F$1009*($A943-$A$7:$A938)))*$F$1010</f>
        <v>24844.946469854225</v>
      </c>
      <c r="E943" s="67">
        <f t="shared" si="91"/>
        <v>4.7364697131390097E-2</v>
      </c>
      <c r="F943" s="70">
        <f t="shared" si="95"/>
        <v>2.8759844098180066E-3</v>
      </c>
      <c r="G943" s="67">
        <f>E943/'Lookup Tables'!$C$48</f>
        <v>9.4729394262780195E-2</v>
      </c>
      <c r="H943" s="70">
        <f t="shared" si="92"/>
        <v>8.3193833857499703E-6</v>
      </c>
      <c r="I943" s="71">
        <f t="shared" si="96"/>
        <v>1.3641032773840348E-4</v>
      </c>
      <c r="L943" s="74"/>
      <c r="M943" s="74"/>
      <c r="N943" s="74"/>
      <c r="O943" s="74"/>
      <c r="P943" s="74"/>
      <c r="Q943" s="74"/>
      <c r="R943" s="74"/>
      <c r="S943" s="74"/>
      <c r="T943" s="74"/>
      <c r="U943" s="74"/>
      <c r="V943" s="74"/>
      <c r="W943" s="74"/>
      <c r="X943" s="74"/>
      <c r="Y943" s="74"/>
    </row>
    <row r="944" spans="1:25" x14ac:dyDescent="0.3">
      <c r="A944" s="66">
        <f t="shared" si="94"/>
        <v>2083.6999999999148</v>
      </c>
      <c r="B944" s="67">
        <f>LOOKUP(A944+0.01,Amounts!$A$4:$A$103,Amounts!$B$4:$B$103)*0.1*$A$2</f>
        <v>0</v>
      </c>
      <c r="C944" s="68">
        <f t="shared" si="93"/>
        <v>2992395.4285963499</v>
      </c>
      <c r="D944" s="67">
        <f t="array" ref="D944">SUM($B$7:$B939*$F$1009*EXP(-$F$1009*($A944-$A$7:$A939)))*$F$1010</f>
        <v>24499.540701265825</v>
      </c>
      <c r="E944" s="67">
        <f t="shared" si="91"/>
        <v>4.6706211526018594E-2</v>
      </c>
      <c r="F944" s="70">
        <f t="shared" si="95"/>
        <v>2.8360011638598488E-3</v>
      </c>
      <c r="G944" s="67">
        <f>E944/'Lookup Tables'!$C$48</f>
        <v>9.3412423052037188E-2</v>
      </c>
      <c r="H944" s="70">
        <f t="shared" si="92"/>
        <v>8.2037235264694052E-6</v>
      </c>
      <c r="I944" s="71">
        <f t="shared" si="96"/>
        <v>1.3451388919493354E-4</v>
      </c>
      <c r="L944" s="74"/>
      <c r="M944" s="74"/>
      <c r="N944" s="74"/>
      <c r="O944" s="74"/>
      <c r="P944" s="74"/>
      <c r="Q944" s="74"/>
      <c r="R944" s="74"/>
      <c r="S944" s="74"/>
      <c r="T944" s="74"/>
      <c r="U944" s="74"/>
      <c r="V944" s="74"/>
      <c r="W944" s="74"/>
      <c r="X944" s="74"/>
      <c r="Y944" s="74"/>
    </row>
    <row r="945" spans="1:25" x14ac:dyDescent="0.3">
      <c r="A945" s="66">
        <f t="shared" si="94"/>
        <v>2083.7999999999147</v>
      </c>
      <c r="B945" s="67">
        <f>LOOKUP(A945+0.01,Amounts!$A$4:$A$103,Amounts!$B$4:$B$103)*0.1*$A$2</f>
        <v>0</v>
      </c>
      <c r="C945" s="68">
        <f t="shared" si="93"/>
        <v>2992395.4285963499</v>
      </c>
      <c r="D945" s="67">
        <f t="array" ref="D945">SUM($B$7:$B940*$F$1009*EXP(-$F$1009*($A945-$A$7:$A940)))*$F$1010</f>
        <v>24158.936921086566</v>
      </c>
      <c r="E945" s="67">
        <f t="shared" si="91"/>
        <v>4.6056880487629286E-2</v>
      </c>
      <c r="F945" s="70">
        <f t="shared" si="95"/>
        <v>2.7965737832088503E-3</v>
      </c>
      <c r="G945" s="67">
        <f>E945/'Lookup Tables'!$C$48</f>
        <v>9.2113760975258571E-2</v>
      </c>
      <c r="H945" s="70">
        <f t="shared" si="92"/>
        <v>8.0896716232630485E-6</v>
      </c>
      <c r="I945" s="71">
        <f t="shared" si="96"/>
        <v>1.3264381580437238E-4</v>
      </c>
      <c r="L945" s="74"/>
      <c r="M945" s="74"/>
      <c r="N945" s="74"/>
      <c r="O945" s="74"/>
      <c r="P945" s="74"/>
      <c r="Q945" s="74"/>
      <c r="R945" s="74"/>
      <c r="S945" s="74"/>
      <c r="T945" s="74"/>
      <c r="U945" s="74"/>
      <c r="V945" s="74"/>
      <c r="W945" s="74"/>
      <c r="X945" s="74"/>
      <c r="Y945" s="74"/>
    </row>
    <row r="946" spans="1:25" x14ac:dyDescent="0.3">
      <c r="A946" s="66">
        <f t="shared" si="94"/>
        <v>2083.8999999999146</v>
      </c>
      <c r="B946" s="67">
        <f>LOOKUP(A946+0.01,Amounts!$A$4:$A$103,Amounts!$B$4:$B$103)*0.1*$A$2</f>
        <v>0</v>
      </c>
      <c r="C946" s="68">
        <f t="shared" si="93"/>
        <v>2992395.4285963499</v>
      </c>
      <c r="D946" s="67">
        <f t="array" ref="D946">SUM($B$7:$B941*$F$1009*EXP(-$F$1009*($A946-$A$7:$A941)))*$F$1010</f>
        <v>23823.068369885146</v>
      </c>
      <c r="E946" s="67">
        <f t="shared" si="91"/>
        <v>4.5416576745259923E-2</v>
      </c>
      <c r="F946" s="70">
        <f t="shared" si="95"/>
        <v>2.7576945399721826E-3</v>
      </c>
      <c r="G946" s="67">
        <f>E946/'Lookup Tables'!$C$48</f>
        <v>9.0833153490519847E-2</v>
      </c>
      <c r="H946" s="70">
        <f t="shared" si="92"/>
        <v>7.9772053215927492E-6</v>
      </c>
      <c r="I946" s="71">
        <f t="shared" si="96"/>
        <v>1.3079974102634859E-4</v>
      </c>
      <c r="L946" s="74"/>
      <c r="M946" s="74"/>
      <c r="N946" s="74"/>
      <c r="O946" s="74"/>
      <c r="P946" s="74"/>
      <c r="Q946" s="74"/>
      <c r="R946" s="74"/>
      <c r="S946" s="74"/>
      <c r="T946" s="74"/>
      <c r="U946" s="74"/>
      <c r="V946" s="74"/>
      <c r="W946" s="74"/>
      <c r="X946" s="74"/>
      <c r="Y946" s="74"/>
    </row>
    <row r="947" spans="1:25" x14ac:dyDescent="0.3">
      <c r="A947" s="66">
        <f t="shared" si="94"/>
        <v>2083.9999999999145</v>
      </c>
      <c r="B947" s="67">
        <f>LOOKUP(A947+0.01,Amounts!$A$4:$A$103,Amounts!$B$4:$B$103)*0.1*$A$2</f>
        <v>0</v>
      </c>
      <c r="C947" s="68">
        <f t="shared" si="93"/>
        <v>2992395.4285963499</v>
      </c>
      <c r="D947" s="67">
        <f t="array" ref="D947">SUM($B$7:$B942*$F$1009*EXP(-$F$1009*($A947-$A$7:$A942)))*$F$1010</f>
        <v>23491.8692163503</v>
      </c>
      <c r="E947" s="67">
        <f t="shared" si="91"/>
        <v>4.478517479732718E-2</v>
      </c>
      <c r="F947" s="70">
        <f t="shared" si="95"/>
        <v>2.7193558136937067E-3</v>
      </c>
      <c r="G947" s="67">
        <f>E947/'Lookup Tables'!$C$48</f>
        <v>8.9570349594654361E-2</v>
      </c>
      <c r="H947" s="70">
        <f t="shared" si="92"/>
        <v>7.866302577703343E-6</v>
      </c>
      <c r="I947" s="71">
        <f t="shared" si="96"/>
        <v>1.289813034163023E-4</v>
      </c>
      <c r="L947" s="74"/>
      <c r="M947" s="74"/>
      <c r="N947" s="74"/>
      <c r="O947" s="74"/>
      <c r="P947" s="74"/>
      <c r="Q947" s="74"/>
      <c r="R947" s="74"/>
      <c r="S947" s="74"/>
      <c r="T947" s="74"/>
      <c r="U947" s="74"/>
      <c r="V947" s="74"/>
      <c r="W947" s="74"/>
      <c r="X947" s="74"/>
      <c r="Y947" s="74"/>
    </row>
    <row r="948" spans="1:25" x14ac:dyDescent="0.3">
      <c r="A948" s="66">
        <f t="shared" si="94"/>
        <v>2084.0999999999144</v>
      </c>
      <c r="B948" s="67">
        <f>LOOKUP(A948+0.01,Amounts!$A$4:$A$103,Amounts!$B$4:$B$103)*0.1*$A$2</f>
        <v>0</v>
      </c>
      <c r="C948" s="68">
        <f t="shared" si="93"/>
        <v>2992395.4285963499</v>
      </c>
      <c r="D948" s="67">
        <f t="array" ref="D948">SUM($B$7:$B943*$F$1009*EXP(-$F$1009*($A948-$A$7:$A943)))*$F$1010</f>
        <v>23165.274544387645</v>
      </c>
      <c r="E948" s="67">
        <f t="shared" si="91"/>
        <v>4.4162550887027904E-2</v>
      </c>
      <c r="F948" s="70">
        <f t="shared" si="95"/>
        <v>2.681550089860334E-3</v>
      </c>
      <c r="G948" s="67">
        <f>E948/'Lookup Tables'!$C$48</f>
        <v>8.8325101774055809E-2</v>
      </c>
      <c r="H948" s="70">
        <f t="shared" si="92"/>
        <v>7.7569416543019833E-6</v>
      </c>
      <c r="I948" s="71">
        <f t="shared" si="96"/>
        <v>1.2718814655464036E-4</v>
      </c>
      <c r="L948" s="74"/>
      <c r="M948" s="74"/>
      <c r="N948" s="74"/>
      <c r="O948" s="74"/>
      <c r="P948" s="74"/>
      <c r="Q948" s="74"/>
      <c r="R948" s="74"/>
      <c r="S948" s="74"/>
      <c r="T948" s="74"/>
      <c r="U948" s="74"/>
      <c r="V948" s="74"/>
      <c r="W948" s="74"/>
      <c r="X948" s="74"/>
      <c r="Y948" s="74"/>
    </row>
    <row r="949" spans="1:25" x14ac:dyDescent="0.3">
      <c r="A949" s="66">
        <f t="shared" si="94"/>
        <v>2084.1999999999143</v>
      </c>
      <c r="B949" s="67">
        <f>LOOKUP(A949+0.01,Amounts!$A$4:$A$103,Amounts!$B$4:$B$103)*0.1*$A$2</f>
        <v>0</v>
      </c>
      <c r="C949" s="68">
        <f t="shared" si="93"/>
        <v>2992395.4285963499</v>
      </c>
      <c r="D949" s="67">
        <f t="array" ref="D949">SUM($B$7:$B944*$F$1009*EXP(-$F$1009*($A949-$A$7:$A944)))*$F$1010</f>
        <v>22843.220340395932</v>
      </c>
      <c r="E949" s="67">
        <f t="shared" si="91"/>
        <v>4.3548582978082437E-2</v>
      </c>
      <c r="F949" s="70">
        <f t="shared" si="95"/>
        <v>2.6442699584291658E-3</v>
      </c>
      <c r="G949" s="67">
        <f>E949/'Lookup Tables'!$C$48</f>
        <v>8.7097165956164874E-2</v>
      </c>
      <c r="H949" s="70">
        <f t="shared" si="92"/>
        <v>7.6491011162975851E-6</v>
      </c>
      <c r="I949" s="71">
        <f t="shared" si="96"/>
        <v>1.2541991897687744E-4</v>
      </c>
      <c r="L949" s="74"/>
      <c r="M949" s="74"/>
      <c r="N949" s="74"/>
      <c r="O949" s="74"/>
      <c r="P949" s="74"/>
      <c r="Q949" s="74"/>
      <c r="R949" s="74"/>
      <c r="S949" s="74"/>
      <c r="T949" s="74"/>
      <c r="U949" s="74"/>
      <c r="V949" s="74"/>
      <c r="W949" s="74"/>
      <c r="X949" s="74"/>
      <c r="Y949" s="74"/>
    </row>
    <row r="950" spans="1:25" x14ac:dyDescent="0.3">
      <c r="A950" s="66">
        <f t="shared" si="94"/>
        <v>2084.2999999999142</v>
      </c>
      <c r="B950" s="67">
        <f>LOOKUP(A950+0.01,Amounts!$A$4:$A$103,Amounts!$B$4:$B$103)*0.1*$A$2</f>
        <v>0</v>
      </c>
      <c r="C950" s="68">
        <f t="shared" si="93"/>
        <v>2992395.4285963499</v>
      </c>
      <c r="D950" s="67">
        <f t="array" ref="D950">SUM($B$7:$B945*$F$1009*EXP(-$F$1009*($A950-$A$7:$A945)))*$F$1010</f>
        <v>22525.643480720173</v>
      </c>
      <c r="E950" s="67">
        <f t="shared" si="91"/>
        <v>4.2943150730815109E-2</v>
      </c>
      <c r="F950" s="70">
        <f t="shared" si="95"/>
        <v>2.6075081123750933E-3</v>
      </c>
      <c r="G950" s="67">
        <f>E950/'Lookup Tables'!$C$48</f>
        <v>8.5886301461630218E-2</v>
      </c>
      <c r="H950" s="70">
        <f t="shared" si="92"/>
        <v>7.5427598265994594E-6</v>
      </c>
      <c r="I950" s="71">
        <f t="shared" si="96"/>
        <v>1.236762741047475E-4</v>
      </c>
      <c r="L950" s="74"/>
      <c r="M950" s="74"/>
      <c r="N950" s="74"/>
      <c r="O950" s="74"/>
      <c r="P950" s="74"/>
      <c r="Q950" s="74"/>
      <c r="R950" s="74"/>
      <c r="S950" s="74"/>
      <c r="T950" s="74"/>
      <c r="U950" s="74"/>
      <c r="V950" s="74"/>
      <c r="W950" s="74"/>
      <c r="X950" s="74"/>
      <c r="Y950" s="74"/>
    </row>
    <row r="951" spans="1:25" x14ac:dyDescent="0.3">
      <c r="A951" s="66">
        <f t="shared" si="94"/>
        <v>2084.3999999999141</v>
      </c>
      <c r="B951" s="67">
        <f>LOOKUP(A951+0.01,Amounts!$A$4:$A$103,Amounts!$B$4:$B$103)*0.1*$A$2</f>
        <v>0</v>
      </c>
      <c r="C951" s="68">
        <f t="shared" si="93"/>
        <v>2992395.4285963499</v>
      </c>
      <c r="D951" s="67">
        <f t="array" ref="D951">SUM($B$7:$B946*$F$1009*EXP(-$F$1009*($A951-$A$7:$A946)))*$F$1010</f>
        <v>22212.481719279196</v>
      </c>
      <c r="E951" s="67">
        <f t="shared" si="91"/>
        <v>4.2346135478567255E-2</v>
      </c>
      <c r="F951" s="70">
        <f t="shared" si="95"/>
        <v>2.5712573462586038E-3</v>
      </c>
      <c r="G951" s="67">
        <f>E951/'Lookup Tables'!$C$48</f>
        <v>8.4692270957134511E-2</v>
      </c>
      <c r="H951" s="70">
        <f t="shared" si="92"/>
        <v>7.4378969419743956E-6</v>
      </c>
      <c r="I951" s="71">
        <f t="shared" si="96"/>
        <v>1.219568701782737E-4</v>
      </c>
      <c r="L951" s="74"/>
      <c r="M951" s="74"/>
      <c r="N951" s="74"/>
      <c r="O951" s="74"/>
      <c r="P951" s="74"/>
      <c r="Q951" s="74"/>
      <c r="R951" s="74"/>
      <c r="S951" s="74"/>
      <c r="T951" s="74"/>
      <c r="U951" s="74"/>
      <c r="V951" s="74"/>
      <c r="W951" s="74"/>
      <c r="X951" s="74"/>
      <c r="Y951" s="74"/>
    </row>
    <row r="952" spans="1:25" x14ac:dyDescent="0.3">
      <c r="A952" s="66">
        <f t="shared" si="94"/>
        <v>2084.4999999999141</v>
      </c>
      <c r="B952" s="67">
        <f>LOOKUP(A952+0.01,Amounts!$A$4:$A$103,Amounts!$B$4:$B$103)*0.1*$A$2</f>
        <v>0</v>
      </c>
      <c r="C952" s="68">
        <f t="shared" si="93"/>
        <v>2992395.4285963499</v>
      </c>
      <c r="D952" s="67">
        <f t="array" ref="D952">SUM($B$7:$B947*$F$1009*EXP(-$F$1009*($A952-$A$7:$A947)))*$F$1010</f>
        <v>21903.673675365211</v>
      </c>
      <c r="E952" s="67">
        <f t="shared" si="91"/>
        <v>4.1757420204438164E-2</v>
      </c>
      <c r="F952" s="70">
        <f t="shared" si="95"/>
        <v>2.535510554813485E-3</v>
      </c>
      <c r="G952" s="67">
        <f>E952/'Lookup Tables'!$C$48</f>
        <v>8.3514840408876329E-2</v>
      </c>
      <c r="H952" s="70">
        <f t="shared" si="92"/>
        <v>7.3344919089612965E-6</v>
      </c>
      <c r="I952" s="71">
        <f t="shared" si="96"/>
        <v>1.2026137018878191E-4</v>
      </c>
      <c r="L952" s="74"/>
      <c r="M952" s="74"/>
      <c r="N952" s="74"/>
      <c r="O952" s="74"/>
      <c r="P952" s="74"/>
      <c r="Q952" s="74"/>
      <c r="R952" s="74"/>
      <c r="S952" s="74"/>
      <c r="T952" s="74"/>
      <c r="U952" s="74"/>
      <c r="V952" s="74"/>
      <c r="W952" s="74"/>
      <c r="X952" s="74"/>
      <c r="Y952" s="74"/>
    </row>
    <row r="953" spans="1:25" x14ac:dyDescent="0.3">
      <c r="A953" s="66">
        <f t="shared" si="94"/>
        <v>2084.599999999914</v>
      </c>
      <c r="B953" s="67">
        <f>LOOKUP(A953+0.01,Amounts!$A$4:$A$103,Amounts!$B$4:$B$103)*0.1*$A$2</f>
        <v>0</v>
      </c>
      <c r="C953" s="68">
        <f t="shared" si="93"/>
        <v>2992395.4285963499</v>
      </c>
      <c r="D953" s="67">
        <f t="array" ref="D953">SUM($B$7:$B948*$F$1009*EXP(-$F$1009*($A953-$A$7:$A948)))*$F$1010</f>
        <v>21599.158821613004</v>
      </c>
      <c r="E953" s="67">
        <f t="shared" si="91"/>
        <v>4.1176889518349406E-2</v>
      </c>
      <c r="F953" s="70">
        <f t="shared" si="95"/>
        <v>2.500260731554176E-3</v>
      </c>
      <c r="G953" s="67">
        <f>E953/'Lookup Tables'!$C$48</f>
        <v>8.2353779036698813E-2</v>
      </c>
      <c r="H953" s="70">
        <f t="shared" si="92"/>
        <v>7.232524459842656E-6</v>
      </c>
      <c r="I953" s="71">
        <f t="shared" si="96"/>
        <v>1.1858944181284629E-4</v>
      </c>
      <c r="L953" s="74"/>
      <c r="M953" s="74"/>
      <c r="N953" s="74"/>
      <c r="O953" s="74"/>
      <c r="P953" s="74"/>
      <c r="Q953" s="74"/>
      <c r="R953" s="74"/>
      <c r="S953" s="74"/>
      <c r="T953" s="74"/>
      <c r="U953" s="74"/>
      <c r="V953" s="74"/>
      <c r="W953" s="74"/>
      <c r="X953" s="74"/>
      <c r="Y953" s="74"/>
    </row>
    <row r="954" spans="1:25" x14ac:dyDescent="0.3">
      <c r="A954" s="66">
        <f t="shared" si="94"/>
        <v>2084.6999999999139</v>
      </c>
      <c r="B954" s="67">
        <f>LOOKUP(A954+0.01,Amounts!$A$4:$A$103,Amounts!$B$4:$B$103)*0.1*$A$2</f>
        <v>0</v>
      </c>
      <c r="C954" s="68">
        <f t="shared" si="93"/>
        <v>2992395.4285963499</v>
      </c>
      <c r="D954" s="67">
        <f t="array" ref="D954">SUM($B$7:$B949*$F$1009*EXP(-$F$1009*($A954-$A$7:$A949)))*$F$1010</f>
        <v>21298.877472136381</v>
      </c>
      <c r="E954" s="67">
        <f t="shared" si="91"/>
        <v>4.0604429634428035E-2</v>
      </c>
      <c r="F954" s="70">
        <f t="shared" si="95"/>
        <v>2.4655009674024704E-3</v>
      </c>
      <c r="G954" s="67">
        <f>E954/'Lookup Tables'!$C$48</f>
        <v>8.1208859268856071E-2</v>
      </c>
      <c r="H954" s="70">
        <f t="shared" si="92"/>
        <v>7.1319746086720155E-6</v>
      </c>
      <c r="I954" s="71">
        <f t="shared" si="96"/>
        <v>1.1694075734715275E-4</v>
      </c>
      <c r="L954" s="74"/>
      <c r="M954" s="74"/>
      <c r="N954" s="74"/>
      <c r="O954" s="74"/>
      <c r="P954" s="74"/>
      <c r="Q954" s="74"/>
      <c r="R954" s="74"/>
      <c r="S954" s="74"/>
      <c r="T954" s="74"/>
      <c r="U954" s="74"/>
      <c r="V954" s="74"/>
      <c r="W954" s="74"/>
      <c r="X954" s="74"/>
      <c r="Y954" s="74"/>
    </row>
    <row r="955" spans="1:25" x14ac:dyDescent="0.3">
      <c r="A955" s="66">
        <f t="shared" si="94"/>
        <v>2084.7999999999138</v>
      </c>
      <c r="B955" s="67">
        <f>LOOKUP(A955+0.01,Amounts!$A$4:$A$103,Amounts!$B$4:$B$103)*0.1*$A$2</f>
        <v>0</v>
      </c>
      <c r="C955" s="68">
        <f t="shared" si="93"/>
        <v>2992395.4285963499</v>
      </c>
      <c r="D955" s="67">
        <f t="array" ref="D955">SUM($B$7:$B950*$F$1009*EXP(-$F$1009*($A955-$A$7:$A950)))*$F$1010</f>
        <v>21002.770770829542</v>
      </c>
      <c r="E955" s="67">
        <f t="shared" si="91"/>
        <v>4.0039928348704165E-2</v>
      </c>
      <c r="F955" s="70">
        <f t="shared" si="95"/>
        <v>2.4312244493333167E-3</v>
      </c>
      <c r="G955" s="67">
        <f>E955/'Lookup Tables'!$C$48</f>
        <v>8.007985669740833E-2</v>
      </c>
      <c r="H955" s="70">
        <f t="shared" si="92"/>
        <v>7.0328226473566469E-6</v>
      </c>
      <c r="I955" s="71">
        <f t="shared" si="96"/>
        <v>1.1531499364426798E-4</v>
      </c>
      <c r="L955" s="74"/>
      <c r="M955" s="74"/>
      <c r="N955" s="74"/>
      <c r="O955" s="74"/>
      <c r="P955" s="74"/>
      <c r="Q955" s="74"/>
      <c r="R955" s="74"/>
      <c r="S955" s="74"/>
      <c r="T955" s="74"/>
      <c r="U955" s="74"/>
      <c r="V955" s="74"/>
      <c r="W955" s="74"/>
      <c r="X955" s="74"/>
      <c r="Y955" s="74"/>
    </row>
    <row r="956" spans="1:25" x14ac:dyDescent="0.3">
      <c r="A956" s="66">
        <f t="shared" si="94"/>
        <v>2084.8999999999137</v>
      </c>
      <c r="B956" s="67">
        <f>LOOKUP(A956+0.01,Amounts!$A$4:$A$103,Amounts!$B$4:$B$103)*0.1*$A$2</f>
        <v>0</v>
      </c>
      <c r="C956" s="68">
        <f t="shared" si="93"/>
        <v>2992395.4285963499</v>
      </c>
      <c r="D956" s="67">
        <f t="array" ref="D956">SUM($B$7:$B951*$F$1009*EXP(-$F$1009*($A956-$A$7:$A951)))*$F$1010</f>
        <v>20710.780679831099</v>
      </c>
      <c r="E956" s="67">
        <f t="shared" si="91"/>
        <v>3.9483275017118645E-2</v>
      </c>
      <c r="F956" s="70">
        <f t="shared" si="95"/>
        <v>2.397424459039444E-3</v>
      </c>
      <c r="G956" s="67">
        <f>E956/'Lookup Tables'!$C$48</f>
        <v>7.896655003423729E-2</v>
      </c>
      <c r="H956" s="70">
        <f t="shared" si="92"/>
        <v>6.935049141794721E-6</v>
      </c>
      <c r="I956" s="71">
        <f t="shared" si="96"/>
        <v>1.1371183204930169E-4</v>
      </c>
      <c r="L956" s="74"/>
      <c r="M956" s="74"/>
      <c r="N956" s="74"/>
      <c r="O956" s="74"/>
      <c r="P956" s="74"/>
      <c r="Q956" s="74"/>
      <c r="R956" s="74"/>
      <c r="S956" s="74"/>
      <c r="T956" s="74"/>
      <c r="U956" s="74"/>
      <c r="V956" s="74"/>
      <c r="W956" s="74"/>
      <c r="X956" s="74"/>
      <c r="Y956" s="74"/>
    </row>
    <row r="957" spans="1:25" x14ac:dyDescent="0.3">
      <c r="A957" s="66">
        <f t="shared" si="94"/>
        <v>2084.9999999999136</v>
      </c>
      <c r="B957" s="67">
        <f>LOOKUP(A957+0.01,Amounts!$A$4:$A$103,Amounts!$B$4:$B$103)*0.1*$A$2</f>
        <v>0</v>
      </c>
      <c r="C957" s="68">
        <f t="shared" si="93"/>
        <v>2992395.4285963499</v>
      </c>
      <c r="D957" s="67">
        <f t="array" ref="D957">SUM($B$7:$B952*$F$1009*EXP(-$F$1009*($A957-$A$7:$A952)))*$F$1010</f>
        <v>20422.849968148435</v>
      </c>
      <c r="E957" s="67">
        <f t="shared" si="91"/>
        <v>3.8934360533836407E-2</v>
      </c>
      <c r="F957" s="70">
        <f t="shared" si="95"/>
        <v>2.3640943716145466E-3</v>
      </c>
      <c r="G957" s="67">
        <f>E957/'Lookup Tables'!$C$48</f>
        <v>7.7868721067672814E-2</v>
      </c>
      <c r="H957" s="70">
        <f t="shared" si="92"/>
        <v>6.8386349280661318E-6</v>
      </c>
      <c r="I957" s="71">
        <f t="shared" si="96"/>
        <v>1.1213095833744887E-4</v>
      </c>
      <c r="L957" s="74"/>
      <c r="M957" s="74"/>
      <c r="N957" s="74"/>
      <c r="O957" s="74"/>
      <c r="P957" s="74"/>
      <c r="Q957" s="74"/>
      <c r="R957" s="74"/>
      <c r="S957" s="74"/>
      <c r="T957" s="74"/>
      <c r="U957" s="74"/>
      <c r="V957" s="74"/>
      <c r="W957" s="74"/>
      <c r="X957" s="74"/>
      <c r="Y957" s="74"/>
    </row>
    <row r="958" spans="1:25" x14ac:dyDescent="0.3">
      <c r="A958" s="66">
        <f t="shared" si="94"/>
        <v>2085.0999999999135</v>
      </c>
      <c r="B958" s="67">
        <f>LOOKUP(A958+0.01,Amounts!$A$4:$A$103,Amounts!$B$4:$B$103)*0.1*$A$2</f>
        <v>0</v>
      </c>
      <c r="C958" s="68">
        <f t="shared" si="93"/>
        <v>2992395.4285963499</v>
      </c>
      <c r="D958" s="67">
        <f t="array" ref="D958">SUM($B$7:$B953*$F$1009*EXP(-$F$1009*($A958-$A$7:$A953)))*$F$1010</f>
        <v>20138.922200440295</v>
      </c>
      <c r="E958" s="67">
        <f t="shared" si="91"/>
        <v>3.8393077309861454E-2</v>
      </c>
      <c r="F958" s="70">
        <f t="shared" si="95"/>
        <v>2.3312276542547875E-3</v>
      </c>
      <c r="G958" s="67">
        <f>E958/'Lookup Tables'!$C$48</f>
        <v>7.6786154619722907E-2</v>
      </c>
      <c r="H958" s="70">
        <f t="shared" si="92"/>
        <v>6.7435611086763305E-6</v>
      </c>
      <c r="I958" s="71">
        <f t="shared" si="96"/>
        <v>1.1057206265240101E-4</v>
      </c>
      <c r="L958" s="74"/>
      <c r="M958" s="74"/>
      <c r="N958" s="74"/>
      <c r="O958" s="74"/>
      <c r="P958" s="74"/>
      <c r="Q958" s="74"/>
      <c r="R958" s="74"/>
      <c r="S958" s="74"/>
      <c r="T958" s="74"/>
      <c r="U958" s="74"/>
      <c r="V958" s="74"/>
      <c r="W958" s="74"/>
      <c r="X958" s="74"/>
      <c r="Y958" s="74"/>
    </row>
    <row r="959" spans="1:25" x14ac:dyDescent="0.3">
      <c r="A959" s="66">
        <f t="shared" si="94"/>
        <v>2085.1999999999134</v>
      </c>
      <c r="B959" s="67">
        <f>LOOKUP(A959+0.01,Amounts!$A$4:$A$103,Amounts!$B$4:$B$103)*0.1*$A$2</f>
        <v>0</v>
      </c>
      <c r="C959" s="68">
        <f t="shared" si="93"/>
        <v>2992395.4285963499</v>
      </c>
      <c r="D959" s="67">
        <f t="array" ref="D959">SUM($B$7:$B954*$F$1009*EXP(-$F$1009*($A959-$A$7:$A954)))*$F$1010</f>
        <v>19858.941725955261</v>
      </c>
      <c r="E959" s="67">
        <f t="shared" si="91"/>
        <v>3.7859319251949075E-2</v>
      </c>
      <c r="F959" s="70">
        <f t="shared" si="95"/>
        <v>2.2988178649783475E-3</v>
      </c>
      <c r="G959" s="67">
        <f>E959/'Lookup Tables'!$C$48</f>
        <v>7.571863850389815E-2</v>
      </c>
      <c r="H959" s="70">
        <f t="shared" si="92"/>
        <v>6.6498090488523566E-6</v>
      </c>
      <c r="I959" s="71">
        <f t="shared" si="96"/>
        <v>1.0903483944561334E-4</v>
      </c>
      <c r="L959" s="74"/>
      <c r="M959" s="74"/>
      <c r="N959" s="74"/>
      <c r="O959" s="74"/>
      <c r="P959" s="74"/>
      <c r="Q959" s="74"/>
      <c r="R959" s="74"/>
      <c r="S959" s="74"/>
      <c r="T959" s="74"/>
      <c r="U959" s="74"/>
      <c r="V959" s="74"/>
      <c r="W959" s="74"/>
      <c r="X959" s="74"/>
      <c r="Y959" s="74"/>
    </row>
    <row r="960" spans="1:25" x14ac:dyDescent="0.3">
      <c r="A960" s="66">
        <f t="shared" si="94"/>
        <v>2085.2999999999133</v>
      </c>
      <c r="B960" s="67">
        <f>LOOKUP(A960+0.01,Amounts!$A$4:$A$103,Amounts!$B$4:$B$103)*0.1*$A$2</f>
        <v>0</v>
      </c>
      <c r="C960" s="68">
        <f t="shared" si="93"/>
        <v>2992395.4285963499</v>
      </c>
      <c r="D960" s="67">
        <f t="array" ref="D960">SUM($B$7:$B955*$F$1009*EXP(-$F$1009*($A960-$A$7:$A955)))*$F$1010</f>
        <v>19582.853667624015</v>
      </c>
      <c r="E960" s="67">
        <f t="shared" si="91"/>
        <v>3.7332981741811155E-2</v>
      </c>
      <c r="F960" s="70">
        <f t="shared" si="95"/>
        <v>2.2668586513627737E-3</v>
      </c>
      <c r="G960" s="67">
        <f>E960/'Lookup Tables'!$C$48</f>
        <v>7.4665963483622311E-2</v>
      </c>
      <c r="H960" s="70">
        <f t="shared" si="92"/>
        <v>6.5573603728903518E-6</v>
      </c>
      <c r="I960" s="71">
        <f t="shared" si="96"/>
        <v>1.0751898741641614E-4</v>
      </c>
      <c r="L960" s="74"/>
      <c r="M960" s="74"/>
      <c r="N960" s="74"/>
      <c r="O960" s="74"/>
      <c r="P960" s="74"/>
      <c r="Q960" s="74"/>
      <c r="R960" s="74"/>
      <c r="S960" s="74"/>
      <c r="T960" s="74"/>
      <c r="U960" s="74"/>
      <c r="V960" s="74"/>
      <c r="W960" s="74"/>
      <c r="X960" s="74"/>
      <c r="Y960" s="74"/>
    </row>
    <row r="961" spans="1:25" x14ac:dyDescent="0.3">
      <c r="A961" s="66">
        <f t="shared" si="94"/>
        <v>2085.3999999999132</v>
      </c>
      <c r="B961" s="67">
        <f>LOOKUP(A961+0.01,Amounts!$A$4:$A$103,Amounts!$B$4:$B$103)*0.1*$A$2</f>
        <v>0</v>
      </c>
      <c r="C961" s="68">
        <f t="shared" si="93"/>
        <v>2992395.4285963499</v>
      </c>
      <c r="D961" s="67">
        <f t="array" ref="D961">SUM($B$7:$B956*$F$1009*EXP(-$F$1009*($A961-$A$7:$A956)))*$F$1010</f>
        <v>19310.603911303264</v>
      </c>
      <c r="E961" s="67">
        <f t="shared" si="91"/>
        <v>3.6813961615610701E-2</v>
      </c>
      <c r="F961" s="70">
        <f t="shared" si="95"/>
        <v>2.235343749299882E-3</v>
      </c>
      <c r="G961" s="67">
        <f>E961/'Lookup Tables'!$C$48</f>
        <v>7.3627923231221401E-2</v>
      </c>
      <c r="H961" s="70">
        <f t="shared" si="92"/>
        <v>6.4661969605538605E-6</v>
      </c>
      <c r="I961" s="71">
        <f t="shared" si="96"/>
        <v>1.0602420945295882E-4</v>
      </c>
      <c r="L961" s="74"/>
      <c r="M961" s="74"/>
      <c r="N961" s="74"/>
      <c r="O961" s="74"/>
      <c r="P961" s="74"/>
      <c r="Q961" s="74"/>
      <c r="R961" s="74"/>
      <c r="S961" s="74"/>
      <c r="T961" s="74"/>
      <c r="U961" s="74"/>
      <c r="V961" s="74"/>
      <c r="W961" s="74"/>
      <c r="X961" s="74"/>
      <c r="Y961" s="74"/>
    </row>
    <row r="962" spans="1:25" x14ac:dyDescent="0.3">
      <c r="A962" s="66">
        <f t="shared" si="94"/>
        <v>2085.4999999999131</v>
      </c>
      <c r="B962" s="67">
        <f>LOOKUP(A962+0.01,Amounts!$A$4:$A$103,Amounts!$B$4:$B$103)*0.1*$A$2</f>
        <v>0</v>
      </c>
      <c r="C962" s="68">
        <f t="shared" si="93"/>
        <v>2992395.4285963499</v>
      </c>
      <c r="D962" s="67">
        <f t="array" ref="D962">SUM($B$7:$B957*$F$1009*EXP(-$F$1009*($A962-$A$7:$A957)))*$F$1010</f>
        <v>19042.139095169205</v>
      </c>
      <c r="E962" s="67">
        <f t="shared" si="91"/>
        <v>3.6302157143741437E-2</v>
      </c>
      <c r="F962" s="70">
        <f t="shared" si="95"/>
        <v>2.2042669817679801E-3</v>
      </c>
      <c r="G962" s="67">
        <f>E962/'Lookup Tables'!$C$48</f>
        <v>7.2604314287482874E-2</v>
      </c>
      <c r="H962" s="70">
        <f t="shared" si="92"/>
        <v>6.3763009435222263E-6</v>
      </c>
      <c r="I962" s="71">
        <f t="shared" si="96"/>
        <v>1.0455021257397534E-4</v>
      </c>
      <c r="L962" s="74"/>
      <c r="M962" s="74"/>
      <c r="N962" s="74"/>
      <c r="O962" s="74"/>
      <c r="P962" s="74"/>
      <c r="Q962" s="74"/>
      <c r="R962" s="74"/>
      <c r="S962" s="74"/>
      <c r="T962" s="74"/>
      <c r="U962" s="74"/>
      <c r="V962" s="74"/>
      <c r="W962" s="74"/>
      <c r="X962" s="74"/>
      <c r="Y962" s="74"/>
    </row>
    <row r="963" spans="1:25" x14ac:dyDescent="0.3">
      <c r="A963" s="66">
        <f t="shared" si="94"/>
        <v>2085.5999999999131</v>
      </c>
      <c r="B963" s="67">
        <f>LOOKUP(A963+0.01,Amounts!$A$4:$A$103,Amounts!$B$4:$B$103)*0.1*$A$2</f>
        <v>0</v>
      </c>
      <c r="C963" s="68">
        <f t="shared" si="93"/>
        <v>2992395.4285963499</v>
      </c>
      <c r="D963" s="67">
        <f t="array" ref="D963">SUM($B$7:$B958*$F$1009*EXP(-$F$1009*($A963-$A$7:$A958)))*$F$1010</f>
        <v>18777.406599258429</v>
      </c>
      <c r="E963" s="67">
        <f t="shared" si="91"/>
        <v>3.5797468010888393E-2</v>
      </c>
      <c r="F963" s="70">
        <f t="shared" si="95"/>
        <v>2.1736222576211437E-3</v>
      </c>
      <c r="G963" s="67">
        <f>E963/'Lookup Tables'!$C$48</f>
        <v>7.1594936021776787E-2</v>
      </c>
      <c r="H963" s="70">
        <f t="shared" si="92"/>
        <v>6.2876547018883155E-6</v>
      </c>
      <c r="I963" s="71">
        <f t="shared" si="96"/>
        <v>1.0309670787135858E-4</v>
      </c>
      <c r="L963" s="74"/>
      <c r="M963" s="74"/>
      <c r="N963" s="74"/>
      <c r="O963" s="74"/>
      <c r="P963" s="74"/>
      <c r="Q963" s="74"/>
      <c r="R963" s="74"/>
      <c r="S963" s="74"/>
      <c r="T963" s="74"/>
      <c r="U963" s="74"/>
      <c r="V963" s="74"/>
      <c r="W963" s="74"/>
      <c r="X963" s="74"/>
      <c r="Y963" s="74"/>
    </row>
    <row r="964" spans="1:25" x14ac:dyDescent="0.3">
      <c r="A964" s="66">
        <f t="shared" si="94"/>
        <v>2085.699999999913</v>
      </c>
      <c r="B964" s="67">
        <f>LOOKUP(A964+0.01,Amounts!$A$4:$A$103,Amounts!$B$4:$B$103)*0.1*$A$2</f>
        <v>0</v>
      </c>
      <c r="C964" s="68">
        <f t="shared" si="93"/>
        <v>2992395.4285963499</v>
      </c>
      <c r="D964" s="67">
        <f t="array" ref="D964">SUM($B$7:$B959*$F$1009*EXP(-$F$1009*($A964-$A$7:$A959)))*$F$1010</f>
        <v>18516.354535154231</v>
      </c>
      <c r="E964" s="67">
        <f t="shared" si="91"/>
        <v>3.5299795296365857E-2</v>
      </c>
      <c r="F964" s="70">
        <f t="shared" si="95"/>
        <v>2.143403570395335E-3</v>
      </c>
      <c r="G964" s="67">
        <f>E964/'Lookup Tables'!$C$48</f>
        <v>7.0599590592731715E-2</v>
      </c>
      <c r="H964" s="70">
        <f t="shared" si="92"/>
        <v>6.2002408607049855E-6</v>
      </c>
      <c r="I964" s="71">
        <f t="shared" si="96"/>
        <v>1.0166341045353368E-4</v>
      </c>
      <c r="L964" s="74"/>
      <c r="M964" s="74"/>
      <c r="N964" s="74"/>
      <c r="O964" s="74"/>
      <c r="P964" s="74"/>
      <c r="Q964" s="74"/>
      <c r="R964" s="74"/>
      <c r="S964" s="74"/>
      <c r="T964" s="74"/>
      <c r="U964" s="74"/>
      <c r="V964" s="74"/>
      <c r="W964" s="74"/>
      <c r="X964" s="74"/>
      <c r="Y964" s="74"/>
    </row>
    <row r="965" spans="1:25" x14ac:dyDescent="0.3">
      <c r="A965" s="66">
        <f t="shared" si="94"/>
        <v>2085.7999999999129</v>
      </c>
      <c r="B965" s="67">
        <f>LOOKUP(A965+0.01,Amounts!$A$4:$A$103,Amounts!$B$4:$B$103)*0.1*$A$2</f>
        <v>0</v>
      </c>
      <c r="C965" s="68">
        <f t="shared" si="93"/>
        <v>2992395.4285963499</v>
      </c>
      <c r="D965" s="67">
        <f t="array" ref="D965">SUM($B$7:$B960*$F$1009*EXP(-$F$1009*($A965-$A$7:$A960)))*$F$1010</f>
        <v>18258.931735816328</v>
      </c>
      <c r="E965" s="67">
        <f t="shared" si="91"/>
        <v>3.4809041454728538E-2</v>
      </c>
      <c r="F965" s="70">
        <f t="shared" si="95"/>
        <v>2.1136049971311167E-3</v>
      </c>
      <c r="G965" s="67">
        <f>E965/'Lookup Tables'!$C$48</f>
        <v>6.9618082909457077E-2</v>
      </c>
      <c r="H965" s="70">
        <f t="shared" si="92"/>
        <v>6.1140422865795168E-6</v>
      </c>
      <c r="I965" s="71">
        <f t="shared" si="96"/>
        <v>1.0025003938961819E-4</v>
      </c>
      <c r="L965" s="74"/>
      <c r="M965" s="74"/>
      <c r="N965" s="74"/>
      <c r="O965" s="74"/>
      <c r="P965" s="74"/>
      <c r="Q965" s="74"/>
      <c r="R965" s="74"/>
      <c r="S965" s="74"/>
      <c r="T965" s="74"/>
      <c r="U965" s="74"/>
      <c r="V965" s="74"/>
      <c r="W965" s="74"/>
      <c r="X965" s="74"/>
      <c r="Y965" s="74"/>
    </row>
    <row r="966" spans="1:25" x14ac:dyDescent="0.3">
      <c r="A966" s="66">
        <f t="shared" si="94"/>
        <v>2085.8999999999128</v>
      </c>
      <c r="B966" s="67">
        <f>LOOKUP(A966+0.01,Amounts!$A$4:$A$103,Amounts!$B$4:$B$103)*0.1*$A$2</f>
        <v>0</v>
      </c>
      <c r="C966" s="68">
        <f t="shared" si="93"/>
        <v>2992395.4285963499</v>
      </c>
      <c r="D966" s="67">
        <f t="array" ref="D966">SUM($B$7:$B961*$F$1009*EXP(-$F$1009*($A966-$A$7:$A961)))*$F$1010</f>
        <v>18005.087745551944</v>
      </c>
      <c r="E966" s="67">
        <f t="shared" si="91"/>
        <v>3.4325110296652403E-2</v>
      </c>
      <c r="F966" s="70">
        <f t="shared" si="95"/>
        <v>2.0842206972127336E-3</v>
      </c>
      <c r="G966" s="67">
        <f>E966/'Lookup Tables'!$C$48</f>
        <v>6.8650220593304806E-2</v>
      </c>
      <c r="H966" s="70">
        <f t="shared" si="92"/>
        <v>6.0290420843154308E-6</v>
      </c>
      <c r="I966" s="71">
        <f t="shared" si="96"/>
        <v>9.8856317654358916E-5</v>
      </c>
      <c r="L966" s="74"/>
      <c r="M966" s="74"/>
      <c r="N966" s="74"/>
      <c r="O966" s="74"/>
      <c r="P966" s="74"/>
      <c r="Q966" s="74"/>
      <c r="R966" s="74"/>
      <c r="S966" s="74"/>
      <c r="T966" s="74"/>
      <c r="U966" s="74"/>
      <c r="V966" s="74"/>
      <c r="W966" s="74"/>
      <c r="X966" s="74"/>
      <c r="Y966" s="74"/>
    </row>
    <row r="967" spans="1:25" x14ac:dyDescent="0.3">
      <c r="A967" s="66">
        <f t="shared" si="94"/>
        <v>2085.9999999999127</v>
      </c>
      <c r="B967" s="67">
        <f>LOOKUP(A967+0.01,Amounts!$A$4:$A$103,Amounts!$B$4:$B$103)*0.1*$A$2</f>
        <v>0</v>
      </c>
      <c r="C967" s="68">
        <f t="shared" si="93"/>
        <v>2992395.4285963499</v>
      </c>
      <c r="D967" s="67">
        <f t="array" ref="D967">SUM($B$7:$B962*$F$1009*EXP(-$F$1009*($A967-$A$7:$A962)))*$F$1010</f>
        <v>17754.772810126342</v>
      </c>
      <c r="E967" s="67">
        <f t="shared" ref="E967:E1007" si="97">D967/(365*24*60)*1.00201</f>
        <v>3.3847906970081235E-2</v>
      </c>
      <c r="F967" s="70">
        <f t="shared" si="95"/>
        <v>2.0552449112233324E-3</v>
      </c>
      <c r="G967" s="67">
        <f>E967/'Lookup Tables'!$C$48</f>
        <v>6.7695813940162469E-2</v>
      </c>
      <c r="H967" s="70">
        <f t="shared" ref="H967:H1007" si="98">G967*60*24*365/(C967*2000)</f>
        <v>5.9452235936009671E-6</v>
      </c>
      <c r="I967" s="71">
        <f t="shared" si="96"/>
        <v>9.7481972073833954E-5</v>
      </c>
      <c r="L967" s="74"/>
      <c r="M967" s="74"/>
      <c r="N967" s="74"/>
      <c r="O967" s="74"/>
      <c r="P967" s="74"/>
      <c r="Q967" s="74"/>
      <c r="R967" s="74"/>
      <c r="S967" s="74"/>
      <c r="T967" s="74"/>
      <c r="U967" s="74"/>
      <c r="V967" s="74"/>
      <c r="W967" s="74"/>
      <c r="X967" s="74"/>
      <c r="Y967" s="74"/>
    </row>
    <row r="968" spans="1:25" x14ac:dyDescent="0.3">
      <c r="A968" s="66">
        <f t="shared" si="94"/>
        <v>2086.0999999999126</v>
      </c>
      <c r="B968" s="67">
        <f>LOOKUP(A968+0.01,Amounts!$A$4:$A$103,Amounts!$B$4:$B$103)*0.1*$A$2</f>
        <v>0</v>
      </c>
      <c r="C968" s="68">
        <f t="shared" si="93"/>
        <v>2992395.4285963499</v>
      </c>
      <c r="D968" s="67">
        <f t="array" ref="D968">SUM($B$7:$B963*$F$1009*EXP(-$F$1009*($A968-$A$7:$A963)))*$F$1010</f>
        <v>17507.937867010838</v>
      </c>
      <c r="E968" s="67">
        <f t="shared" si="97"/>
        <v>3.3377337941635332E-2</v>
      </c>
      <c r="F968" s="70">
        <f t="shared" si="95"/>
        <v>2.0266719598160975E-3</v>
      </c>
      <c r="G968" s="67">
        <f>E968/'Lookup Tables'!$C$48</f>
        <v>6.6754675883270664E-2</v>
      </c>
      <c r="H968" s="70">
        <f t="shared" si="98"/>
        <v>5.8625703857436145E-6</v>
      </c>
      <c r="I968" s="71">
        <f t="shared" si="96"/>
        <v>9.6126733271909752E-5</v>
      </c>
      <c r="L968" s="74"/>
      <c r="M968" s="74"/>
      <c r="N968" s="74"/>
      <c r="O968" s="74"/>
      <c r="P968" s="74"/>
      <c r="Q968" s="74"/>
      <c r="R968" s="74"/>
      <c r="S968" s="74"/>
      <c r="T968" s="74"/>
      <c r="U968" s="74"/>
      <c r="V968" s="74"/>
      <c r="W968" s="74"/>
      <c r="X968" s="74"/>
      <c r="Y968" s="74"/>
    </row>
    <row r="969" spans="1:25" x14ac:dyDescent="0.3">
      <c r="A969" s="66">
        <f t="shared" si="94"/>
        <v>2086.1999999999125</v>
      </c>
      <c r="B969" s="67">
        <f>LOOKUP(A969+0.01,Amounts!$A$4:$A$103,Amounts!$B$4:$B$103)*0.1*$A$2</f>
        <v>0</v>
      </c>
      <c r="C969" s="68">
        <f t="shared" ref="C969:C1006" si="99">C968+B969</f>
        <v>2992395.4285963499</v>
      </c>
      <c r="D969" s="67">
        <f t="array" ref="D969">SUM($B$7:$B964*$F$1009*EXP(-$F$1009*($A969-$A$7:$A964)))*$F$1010</f>
        <v>17264.534535766375</v>
      </c>
      <c r="E969" s="67">
        <f t="shared" si="97"/>
        <v>3.2913310978278668E-2</v>
      </c>
      <c r="F969" s="70">
        <f t="shared" si="95"/>
        <v>1.9984962426010805E-3</v>
      </c>
      <c r="G969" s="67">
        <f>E969/'Lookup Tables'!$C$48</f>
        <v>6.5826621956557335E-2</v>
      </c>
      <c r="H969" s="70">
        <f t="shared" si="98"/>
        <v>5.7810662604500316E-6</v>
      </c>
      <c r="I969" s="71">
        <f t="shared" si="96"/>
        <v>9.4790335617442561E-5</v>
      </c>
      <c r="L969" s="74"/>
      <c r="M969" s="74"/>
      <c r="N969" s="74"/>
      <c r="O969" s="74"/>
      <c r="P969" s="74"/>
      <c r="Q969" s="74"/>
      <c r="R969" s="74"/>
      <c r="S969" s="74"/>
      <c r="T969" s="74"/>
      <c r="U969" s="74"/>
      <c r="V969" s="74"/>
      <c r="W969" s="74"/>
      <c r="X969" s="74"/>
      <c r="Y969" s="74"/>
    </row>
    <row r="970" spans="1:25" x14ac:dyDescent="0.3">
      <c r="A970" s="66">
        <f t="shared" si="94"/>
        <v>2086.2999999999124</v>
      </c>
      <c r="B970" s="67">
        <f>LOOKUP(A970+0.01,Amounts!$A$4:$A$103,Amounts!$B$4:$B$103)*0.1*$A$2</f>
        <v>0</v>
      </c>
      <c r="C970" s="68">
        <f t="shared" si="99"/>
        <v>2992395.4285963499</v>
      </c>
      <c r="D970" s="67">
        <f t="array" ref="D970">SUM($B$7:$B965*$F$1009*EXP(-$F$1009*($A970-$A$7:$A965)))*$F$1010</f>
        <v>17024.515108560809</v>
      </c>
      <c r="E970" s="67">
        <f t="shared" si="97"/>
        <v>3.2455735129240895E-2</v>
      </c>
      <c r="F970" s="70">
        <f t="shared" si="95"/>
        <v>1.9707122370475074E-3</v>
      </c>
      <c r="G970" s="67">
        <f>E970/'Lookup Tables'!$C$48</f>
        <v>6.491147025848179E-2</v>
      </c>
      <c r="H970" s="70">
        <f t="shared" si="98"/>
        <v>5.7006952426507337E-6</v>
      </c>
      <c r="I970" s="71">
        <f t="shared" si="96"/>
        <v>9.3472517172213789E-5</v>
      </c>
      <c r="L970" s="74"/>
      <c r="M970" s="74"/>
      <c r="N970" s="74"/>
      <c r="O970" s="74"/>
      <c r="P970" s="74"/>
      <c r="Q970" s="74"/>
      <c r="R970" s="74"/>
      <c r="S970" s="74"/>
      <c r="T970" s="74"/>
      <c r="U970" s="74"/>
      <c r="V970" s="74"/>
      <c r="W970" s="74"/>
      <c r="X970" s="74"/>
      <c r="Y970" s="74"/>
    </row>
    <row r="971" spans="1:25" x14ac:dyDescent="0.3">
      <c r="A971" s="66">
        <f t="shared" si="94"/>
        <v>2086.3999999999123</v>
      </c>
      <c r="B971" s="67">
        <f>LOOKUP(A971+0.01,Amounts!$A$4:$A$103,Amounts!$B$4:$B$103)*0.1*$A$2</f>
        <v>0</v>
      </c>
      <c r="C971" s="68">
        <f t="shared" si="99"/>
        <v>2992395.4285963499</v>
      </c>
      <c r="D971" s="67">
        <f t="array" ref="D971">SUM($B$7:$B966*$F$1009*EXP(-$F$1009*($A971-$A$7:$A966)))*$F$1010</f>
        <v>16787.832540818017</v>
      </c>
      <c r="E971" s="67">
        <f t="shared" si="97"/>
        <v>3.2004520708190758E-2</v>
      </c>
      <c r="F971" s="70">
        <f t="shared" si="95"/>
        <v>1.9433144974013428E-3</v>
      </c>
      <c r="G971" s="67">
        <f>E971/'Lookup Tables'!$C$48</f>
        <v>6.4009041416381515E-2</v>
      </c>
      <c r="H971" s="70">
        <f t="shared" si="98"/>
        <v>5.6214415793689415E-6</v>
      </c>
      <c r="I971" s="71">
        <f t="shared" si="96"/>
        <v>9.217301963958938E-5</v>
      </c>
      <c r="L971" s="74"/>
      <c r="M971" s="74"/>
      <c r="N971" s="74"/>
      <c r="O971" s="74"/>
      <c r="P971" s="74"/>
      <c r="Q971" s="74"/>
      <c r="R971" s="74"/>
      <c r="S971" s="74"/>
      <c r="T971" s="74"/>
      <c r="U971" s="74"/>
      <c r="V971" s="74"/>
      <c r="W971" s="74"/>
      <c r="X971" s="74"/>
      <c r="Y971" s="74"/>
    </row>
    <row r="972" spans="1:25" x14ac:dyDescent="0.3">
      <c r="A972" s="66">
        <f t="shared" si="94"/>
        <v>2086.4999999999122</v>
      </c>
      <c r="B972" s="67">
        <f>LOOKUP(A972+0.01,Amounts!$A$4:$A$103,Amounts!$B$4:$B$103)*0.1*$A$2</f>
        <v>0</v>
      </c>
      <c r="C972" s="68">
        <f t="shared" si="99"/>
        <v>2992395.4285963499</v>
      </c>
      <c r="D972" s="67">
        <f t="array" ref="D972">SUM($B$7:$B967*$F$1009*EXP(-$F$1009*($A972-$A$7:$A967)))*$F$1010</f>
        <v>16554.440441997016</v>
      </c>
      <c r="E972" s="67">
        <f t="shared" si="97"/>
        <v>3.1559579275657217E-2</v>
      </c>
      <c r="F972" s="70">
        <f t="shared" si="95"/>
        <v>1.9162976536179063E-3</v>
      </c>
      <c r="G972" s="67">
        <f>E972/'Lookup Tables'!$C$48</f>
        <v>6.3119158551314433E-2</v>
      </c>
      <c r="H972" s="70">
        <f t="shared" si="98"/>
        <v>5.5432897366329276E-6</v>
      </c>
      <c r="I972" s="71">
        <f t="shared" si="96"/>
        <v>9.0891588313892781E-5</v>
      </c>
      <c r="L972" s="74"/>
      <c r="M972" s="74"/>
      <c r="N972" s="74"/>
      <c r="O972" s="74"/>
      <c r="P972" s="74"/>
      <c r="Q972" s="74"/>
      <c r="R972" s="74"/>
      <c r="S972" s="74"/>
      <c r="T972" s="74"/>
      <c r="U972" s="74"/>
      <c r="V972" s="74"/>
      <c r="W972" s="74"/>
      <c r="X972" s="74"/>
      <c r="Y972" s="74"/>
    </row>
    <row r="973" spans="1:25" x14ac:dyDescent="0.3">
      <c r="A973" s="66">
        <f t="shared" si="94"/>
        <v>2086.5999999999121</v>
      </c>
      <c r="B973" s="67">
        <f>LOOKUP(A973+0.01,Amounts!$A$4:$A$103,Amounts!$B$4:$B$103)*0.1*$A$2</f>
        <v>0</v>
      </c>
      <c r="C973" s="68">
        <f t="shared" si="99"/>
        <v>2992395.4285963499</v>
      </c>
      <c r="D973" s="67">
        <f t="array" ref="D973">SUM($B$7:$B968*$F$1009*EXP(-$F$1009*($A973-$A$7:$A968)))*$F$1010</f>
        <v>16324.293066499269</v>
      </c>
      <c r="E973" s="67">
        <f t="shared" si="97"/>
        <v>3.112082362169508E-2</v>
      </c>
      <c r="F973" s="70">
        <f t="shared" si="95"/>
        <v>1.8896564103093251E-3</v>
      </c>
      <c r="G973" s="67">
        <f>E973/'Lookup Tables'!$C$48</f>
        <v>6.2241647243390159E-2</v>
      </c>
      <c r="H973" s="70">
        <f t="shared" si="98"/>
        <v>5.4662243964313238E-6</v>
      </c>
      <c r="I973" s="71">
        <f t="shared" si="96"/>
        <v>8.9627972030481822E-5</v>
      </c>
      <c r="L973" s="74"/>
      <c r="M973" s="74"/>
      <c r="N973" s="74"/>
      <c r="O973" s="74"/>
      <c r="P973" s="74"/>
      <c r="Q973" s="74"/>
      <c r="R973" s="74"/>
      <c r="S973" s="74"/>
      <c r="T973" s="74"/>
      <c r="U973" s="74"/>
      <c r="V973" s="74"/>
      <c r="W973" s="74"/>
      <c r="X973" s="74"/>
      <c r="Y973" s="74"/>
    </row>
    <row r="974" spans="1:25" x14ac:dyDescent="0.3">
      <c r="A974" s="66">
        <f t="shared" si="94"/>
        <v>2086.6999999999121</v>
      </c>
      <c r="B974" s="67">
        <f>LOOKUP(A974+0.01,Amounts!$A$4:$A$103,Amounts!$B$4:$B$103)*0.1*$A$2</f>
        <v>0</v>
      </c>
      <c r="C974" s="68">
        <f t="shared" si="99"/>
        <v>2992395.4285963499</v>
      </c>
      <c r="D974" s="67">
        <f t="array" ref="D974">SUM($B$7:$B969*$F$1009*EXP(-$F$1009*($A974-$A$7:$A969)))*$F$1010</f>
        <v>16097.3453047024</v>
      </c>
      <c r="E974" s="67">
        <f t="shared" si="97"/>
        <v>3.0688167748791576E-2</v>
      </c>
      <c r="F974" s="70">
        <f t="shared" si="95"/>
        <v>1.8633855457066246E-3</v>
      </c>
      <c r="G974" s="67">
        <f>E974/'Lookup Tables'!$C$48</f>
        <v>6.1376335497583152E-2</v>
      </c>
      <c r="H974" s="70">
        <f t="shared" si="98"/>
        <v>5.3902304537107427E-6</v>
      </c>
      <c r="I974" s="71">
        <f t="shared" si="96"/>
        <v>8.8381923116519741E-5</v>
      </c>
      <c r="L974" s="74"/>
      <c r="M974" s="74"/>
      <c r="N974" s="74"/>
      <c r="O974" s="74"/>
      <c r="P974" s="74"/>
      <c r="Q974" s="74"/>
      <c r="R974" s="74"/>
      <c r="S974" s="74"/>
      <c r="T974" s="74"/>
      <c r="U974" s="74"/>
      <c r="V974" s="74"/>
      <c r="W974" s="74"/>
      <c r="X974" s="74"/>
      <c r="Y974" s="74"/>
    </row>
    <row r="975" spans="1:25" x14ac:dyDescent="0.3">
      <c r="A975" s="66">
        <f t="shared" si="94"/>
        <v>2086.799999999912</v>
      </c>
      <c r="B975" s="67">
        <f>LOOKUP(A975+0.01,Amounts!$A$4:$A$103,Amounts!$B$4:$B$103)*0.1*$A$2</f>
        <v>0</v>
      </c>
      <c r="C975" s="68">
        <f t="shared" si="99"/>
        <v>2992395.4285963499</v>
      </c>
      <c r="D975" s="67">
        <f t="array" ref="D975">SUM($B$7:$B970*$F$1009*EXP(-$F$1009*($A975-$A$7:$A970)))*$F$1010</f>
        <v>15873.552674118546</v>
      </c>
      <c r="E975" s="67">
        <f t="shared" si="97"/>
        <v>3.0261526855010511E-2</v>
      </c>
      <c r="F975" s="70">
        <f t="shared" si="95"/>
        <v>1.8374799106362384E-3</v>
      </c>
      <c r="G975" s="67">
        <f>E975/'Lookup Tables'!$C$48</f>
        <v>6.0523053710021021E-2</v>
      </c>
      <c r="H975" s="70">
        <f t="shared" si="98"/>
        <v>5.3152930134151212E-6</v>
      </c>
      <c r="I975" s="71">
        <f t="shared" si="96"/>
        <v>8.7153197342430277E-5</v>
      </c>
      <c r="L975" s="74"/>
      <c r="M975" s="74"/>
      <c r="N975" s="74"/>
      <c r="O975" s="74"/>
      <c r="P975" s="74"/>
      <c r="Q975" s="74"/>
      <c r="R975" s="74"/>
      <c r="S975" s="74"/>
      <c r="T975" s="74"/>
      <c r="U975" s="74"/>
      <c r="V975" s="74"/>
      <c r="W975" s="74"/>
      <c r="X975" s="74"/>
      <c r="Y975" s="74"/>
    </row>
    <row r="976" spans="1:25" x14ac:dyDescent="0.3">
      <c r="A976" s="66">
        <f t="shared" si="94"/>
        <v>2086.8999999999119</v>
      </c>
      <c r="B976" s="67">
        <f>LOOKUP(A976+0.01,Amounts!$A$4:$A$103,Amounts!$B$4:$B$103)*0.1*$A$2</f>
        <v>0</v>
      </c>
      <c r="C976" s="68">
        <f t="shared" si="99"/>
        <v>2992395.4285963499</v>
      </c>
      <c r="D976" s="67">
        <f t="array" ref="D976">SUM($B$7:$B971*$F$1009*EXP(-$F$1009*($A976-$A$7:$A971)))*$F$1010</f>
        <v>15652.871310675686</v>
      </c>
      <c r="E976" s="67">
        <f t="shared" si="97"/>
        <v>2.9840817317370903E-2</v>
      </c>
      <c r="F976" s="70">
        <f t="shared" si="95"/>
        <v>1.811934427510761E-3</v>
      </c>
      <c r="G976" s="67">
        <f>E976/'Lookup Tables'!$C$48</f>
        <v>5.9681634634741805E-2</v>
      </c>
      <c r="H976" s="70">
        <f t="shared" si="98"/>
        <v>5.2413973875662655E-6</v>
      </c>
      <c r="I976" s="71">
        <f t="shared" si="96"/>
        <v>8.5941553874028181E-5</v>
      </c>
      <c r="L976" s="74"/>
      <c r="M976" s="74"/>
      <c r="N976" s="74"/>
      <c r="O976" s="74"/>
      <c r="P976" s="74"/>
      <c r="Q976" s="74"/>
      <c r="R976" s="74"/>
      <c r="S976" s="74"/>
      <c r="T976" s="74"/>
      <c r="U976" s="74"/>
      <c r="V976" s="74"/>
      <c r="W976" s="74"/>
      <c r="X976" s="74"/>
      <c r="Y976" s="74"/>
    </row>
    <row r="977" spans="1:25" x14ac:dyDescent="0.3">
      <c r="A977" s="66">
        <f t="shared" si="94"/>
        <v>2086.9999999999118</v>
      </c>
      <c r="B977" s="67">
        <f>LOOKUP(A977+0.01,Amounts!$A$4:$A$103,Amounts!$B$4:$B$103)*0.1*$A$2</f>
        <v>0</v>
      </c>
      <c r="C977" s="68">
        <f t="shared" si="99"/>
        <v>2992395.4285963499</v>
      </c>
      <c r="D977" s="67">
        <f t="array" ref="D977">SUM($B$7:$B972*$F$1009*EXP(-$F$1009*($A977-$A$7:$A972)))*$F$1010</f>
        <v>15435.257960120096</v>
      </c>
      <c r="E977" s="67">
        <f t="shared" si="97"/>
        <v>2.9425956675456506E-2</v>
      </c>
      <c r="F977" s="70">
        <f t="shared" si="95"/>
        <v>1.7867440893337191E-3</v>
      </c>
      <c r="G977" s="67">
        <f>E977/'Lookup Tables'!$C$48</f>
        <v>5.8851913350913013E-2</v>
      </c>
      <c r="H977" s="70">
        <f t="shared" si="98"/>
        <v>5.1685290923849415E-6</v>
      </c>
      <c r="I977" s="71">
        <f t="shared" si="96"/>
        <v>8.4746755225314745E-5</v>
      </c>
      <c r="L977" s="74"/>
      <c r="M977" s="74"/>
      <c r="N977" s="74"/>
      <c r="O977" s="74"/>
      <c r="P977" s="74"/>
      <c r="Q977" s="74"/>
      <c r="R977" s="74"/>
      <c r="S977" s="74"/>
      <c r="T977" s="74"/>
      <c r="U977" s="74"/>
      <c r="V977" s="74"/>
      <c r="W977" s="74"/>
      <c r="X977" s="74"/>
      <c r="Y977" s="74"/>
    </row>
    <row r="978" spans="1:25" x14ac:dyDescent="0.3">
      <c r="A978" s="66">
        <f t="shared" si="94"/>
        <v>2087.0999999999117</v>
      </c>
      <c r="B978" s="67">
        <f>LOOKUP(A978+0.01,Amounts!$A$4:$A$103,Amounts!$B$4:$B$103)*0.1*$A$2</f>
        <v>0</v>
      </c>
      <c r="C978" s="68">
        <f t="shared" si="99"/>
        <v>2992395.4285963499</v>
      </c>
      <c r="D978" s="67">
        <f t="array" ref="D978">SUM($B$7:$B973*$F$1009*EXP(-$F$1009*($A978-$A$7:$A973)))*$F$1010</f>
        <v>15220.669969538407</v>
      </c>
      <c r="E978" s="67">
        <f t="shared" si="97"/>
        <v>2.9016863615253387E-2</v>
      </c>
      <c r="F978" s="70">
        <f t="shared" si="95"/>
        <v>1.7619039587181856E-3</v>
      </c>
      <c r="G978" s="67">
        <f>E978/'Lookup Tables'!$C$48</f>
        <v>5.8033727230506774E-2</v>
      </c>
      <c r="H978" s="70">
        <f t="shared" si="98"/>
        <v>5.0966738454520121E-6</v>
      </c>
      <c r="I978" s="71">
        <f t="shared" si="96"/>
        <v>8.3568567211929752E-5</v>
      </c>
      <c r="L978" s="74"/>
      <c r="M978" s="74"/>
      <c r="N978" s="74"/>
      <c r="O978" s="74"/>
      <c r="P978" s="74"/>
      <c r="Q978" s="74"/>
      <c r="R978" s="74"/>
      <c r="S978" s="74"/>
      <c r="T978" s="74"/>
      <c r="U978" s="74"/>
      <c r="V978" s="74"/>
      <c r="W978" s="74"/>
      <c r="X978" s="74"/>
      <c r="Y978" s="74"/>
    </row>
    <row r="979" spans="1:25" x14ac:dyDescent="0.3">
      <c r="A979" s="66">
        <f t="shared" ref="A979:A1006" si="100">A978+0.1</f>
        <v>2087.1999999999116</v>
      </c>
      <c r="B979" s="67">
        <f>LOOKUP(A979+0.01,Amounts!$A$4:$A$103,Amounts!$B$4:$B$103)*0.1*$A$2</f>
        <v>0</v>
      </c>
      <c r="C979" s="68">
        <f t="shared" si="99"/>
        <v>2992395.4285963499</v>
      </c>
      <c r="D979" s="67">
        <f t="array" ref="D979">SUM($B$7:$B974*$F$1009*EXP(-$F$1009*($A979-$A$7:$A974)))*$F$1010</f>
        <v>15009.065278997507</v>
      </c>
      <c r="E979" s="67">
        <f t="shared" si="97"/>
        <v>2.8613457953212122E-2</v>
      </c>
      <c r="F979" s="70">
        <f t="shared" ref="F979:F1007" si="101">E979*60*1012/1000000</f>
        <v>1.7374091669190401E-3</v>
      </c>
      <c r="G979" s="67">
        <f>E979/'Lookup Tables'!$C$48</f>
        <v>5.7226915906424244E-2</v>
      </c>
      <c r="H979" s="70">
        <f t="shared" si="98"/>
        <v>5.0258175629090512E-6</v>
      </c>
      <c r="I979" s="71">
        <f t="shared" ref="I979:I1006" si="102">G979*60*24/1000000</f>
        <v>8.2406758905250908E-5</v>
      </c>
      <c r="L979" s="74"/>
      <c r="M979" s="74"/>
      <c r="N979" s="74"/>
      <c r="O979" s="74"/>
      <c r="P979" s="74"/>
      <c r="Q979" s="74"/>
      <c r="R979" s="74"/>
      <c r="S979" s="74"/>
      <c r="T979" s="74"/>
      <c r="U979" s="74"/>
      <c r="V979" s="74"/>
      <c r="W979" s="74"/>
      <c r="X979" s="74"/>
      <c r="Y979" s="74"/>
    </row>
    <row r="980" spans="1:25" x14ac:dyDescent="0.3">
      <c r="A980" s="66">
        <f t="shared" si="100"/>
        <v>2087.2999999999115</v>
      </c>
      <c r="B980" s="67">
        <f>LOOKUP(A980+0.01,Amounts!$A$4:$A$103,Amounts!$B$4:$B$103)*0.1*$A$2</f>
        <v>0</v>
      </c>
      <c r="C980" s="68">
        <f t="shared" si="99"/>
        <v>2992395.4285963499</v>
      </c>
      <c r="D980" s="67">
        <f t="array" ref="D980">SUM($B$7:$B975*$F$1009*EXP(-$F$1009*($A980-$A$7:$A975)))*$F$1010</f>
        <v>14800.402413300611</v>
      </c>
      <c r="E980" s="67">
        <f t="shared" si="97"/>
        <v>2.8215660620531484E-2</v>
      </c>
      <c r="F980" s="70">
        <f t="shared" si="101"/>
        <v>1.7132549128786715E-3</v>
      </c>
      <c r="G980" s="67">
        <f>E980/'Lookup Tables'!$C$48</f>
        <v>5.6431321241062968E-2</v>
      </c>
      <c r="H980" s="70">
        <f t="shared" si="98"/>
        <v>4.9559463566978386E-6</v>
      </c>
      <c r="I980" s="71">
        <f t="shared" si="102"/>
        <v>8.1261102587130665E-5</v>
      </c>
      <c r="L980" s="74"/>
      <c r="M980" s="74"/>
      <c r="N980" s="74"/>
      <c r="O980" s="74"/>
      <c r="P980" s="74"/>
      <c r="Q980" s="74"/>
      <c r="R980" s="74"/>
      <c r="S980" s="74"/>
      <c r="T980" s="74"/>
      <c r="U980" s="74"/>
      <c r="V980" s="74"/>
      <c r="W980" s="74"/>
      <c r="X980" s="74"/>
      <c r="Y980" s="74"/>
    </row>
    <row r="981" spans="1:25" x14ac:dyDescent="0.3">
      <c r="A981" s="66">
        <f t="shared" si="100"/>
        <v>2087.3999999999114</v>
      </c>
      <c r="B981" s="67">
        <f>LOOKUP(A981+0.01,Amounts!$A$4:$A$103,Amounts!$B$4:$B$103)*0.1*$A$2</f>
        <v>0</v>
      </c>
      <c r="C981" s="68">
        <f t="shared" si="99"/>
        <v>2992395.4285963499</v>
      </c>
      <c r="D981" s="67">
        <f t="array" ref="D981">SUM($B$7:$B976*$F$1009*EXP(-$F$1009*($A981-$A$7:$A976)))*$F$1010</f>
        <v>14594.640473858057</v>
      </c>
      <c r="E981" s="67">
        <f t="shared" si="97"/>
        <v>2.7823393647660795E-2</v>
      </c>
      <c r="F981" s="70">
        <f t="shared" si="101"/>
        <v>1.6894364622859635E-3</v>
      </c>
      <c r="G981" s="67">
        <f>E981/'Lookup Tables'!$C$48</f>
        <v>5.564678729532159E-2</v>
      </c>
      <c r="H981" s="70">
        <f t="shared" si="98"/>
        <v>4.8870465318382792E-6</v>
      </c>
      <c r="I981" s="71">
        <f t="shared" si="102"/>
        <v>8.0131373705263087E-5</v>
      </c>
      <c r="L981" s="74"/>
      <c r="M981" s="74"/>
      <c r="N981" s="74"/>
      <c r="O981" s="74"/>
      <c r="P981" s="74"/>
      <c r="Q981" s="74"/>
      <c r="R981" s="74"/>
      <c r="S981" s="74"/>
      <c r="T981" s="74"/>
      <c r="U981" s="74"/>
      <c r="V981" s="74"/>
      <c r="W981" s="74"/>
      <c r="X981" s="74"/>
      <c r="Y981" s="74"/>
    </row>
    <row r="982" spans="1:25" x14ac:dyDescent="0.3">
      <c r="A982" s="66">
        <f t="shared" si="100"/>
        <v>2087.4999999999113</v>
      </c>
      <c r="B982" s="67">
        <f>LOOKUP(A982+0.01,Amounts!$A$4:$A$103,Amounts!$B$4:$B$103)*0.1*$A$2</f>
        <v>0</v>
      </c>
      <c r="C982" s="68">
        <f t="shared" si="99"/>
        <v>2992395.4285963499</v>
      </c>
      <c r="D982" s="67">
        <f t="array" ref="D982">SUM($B$7:$B977*$F$1009*EXP(-$F$1009*($A982-$A$7:$A977)))*$F$1010</f>
        <v>14391.739130670985</v>
      </c>
      <c r="E982" s="67">
        <f t="shared" si="97"/>
        <v>2.7436580149017571E-2</v>
      </c>
      <c r="F982" s="70">
        <f t="shared" si="101"/>
        <v>1.6659491466483468E-3</v>
      </c>
      <c r="G982" s="67">
        <f>E982/'Lookup Tables'!$C$48</f>
        <v>5.4873160298035142E-2</v>
      </c>
      <c r="H982" s="70">
        <f t="shared" si="98"/>
        <v>4.8191045837441256E-6</v>
      </c>
      <c r="I982" s="71">
        <f t="shared" si="102"/>
        <v>7.9017350829170611E-5</v>
      </c>
      <c r="L982" s="74"/>
      <c r="M982" s="74"/>
      <c r="N982" s="74"/>
      <c r="O982" s="74"/>
      <c r="P982" s="74"/>
      <c r="Q982" s="74"/>
      <c r="R982" s="74"/>
      <c r="S982" s="74"/>
      <c r="T982" s="74"/>
      <c r="U982" s="74"/>
      <c r="V982" s="74"/>
      <c r="W982" s="74"/>
      <c r="X982" s="74"/>
      <c r="Y982" s="74"/>
    </row>
    <row r="983" spans="1:25" x14ac:dyDescent="0.3">
      <c r="A983" s="66">
        <f t="shared" si="100"/>
        <v>2087.5999999999112</v>
      </c>
      <c r="B983" s="67">
        <f>LOOKUP(A983+0.01,Amounts!$A$4:$A$103,Amounts!$B$4:$B$103)*0.1*$A$2</f>
        <v>0</v>
      </c>
      <c r="C983" s="68">
        <f t="shared" si="99"/>
        <v>2992395.4285963499</v>
      </c>
      <c r="D983" s="67">
        <f t="array" ref="D983">SUM($B$7:$B978*$F$1009*EXP(-$F$1009*($A983-$A$7:$A978)))*$F$1010</f>
        <v>14191.658614426575</v>
      </c>
      <c r="E983" s="67">
        <f t="shared" si="97"/>
        <v>2.7055144307917757E-2</v>
      </c>
      <c r="F983" s="70">
        <f t="shared" si="101"/>
        <v>1.6427883623767662E-3</v>
      </c>
      <c r="G983" s="67">
        <f>E983/'Lookup Tables'!$C$48</f>
        <v>5.4110288615835514E-2</v>
      </c>
      <c r="H983" s="70">
        <f t="shared" si="98"/>
        <v>4.7521071955760431E-6</v>
      </c>
      <c r="I983" s="71">
        <f t="shared" si="102"/>
        <v>7.7918815606803132E-5</v>
      </c>
      <c r="L983" s="74"/>
      <c r="M983" s="74"/>
      <c r="N983" s="74"/>
      <c r="O983" s="74"/>
      <c r="P983" s="74"/>
      <c r="Q983" s="74"/>
      <c r="R983" s="74"/>
      <c r="S983" s="74"/>
      <c r="T983" s="74"/>
      <c r="U983" s="74"/>
      <c r="V983" s="74"/>
      <c r="W983" s="74"/>
      <c r="X983" s="74"/>
      <c r="Y983" s="74"/>
    </row>
    <row r="984" spans="1:25" x14ac:dyDescent="0.3">
      <c r="A984" s="66">
        <f t="shared" si="100"/>
        <v>2087.6999999999111</v>
      </c>
      <c r="B984" s="67">
        <f>LOOKUP(A984+0.01,Amounts!$A$4:$A$103,Amounts!$B$4:$B$103)*0.1*$A$2</f>
        <v>0</v>
      </c>
      <c r="C984" s="68">
        <f t="shared" si="99"/>
        <v>2992395.4285963499</v>
      </c>
      <c r="D984" s="67">
        <f t="array" ref="D984">SUM($B$7:$B979*$F$1009*EXP(-$F$1009*($A984-$A$7:$A979)))*$F$1010</f>
        <v>13994.359708703112</v>
      </c>
      <c r="E984" s="67">
        <f t="shared" si="97"/>
        <v>2.6679011361715386E-2</v>
      </c>
      <c r="F984" s="70">
        <f t="shared" si="101"/>
        <v>1.6199495698833583E-3</v>
      </c>
      <c r="G984" s="67">
        <f>E984/'Lookup Tables'!$C$48</f>
        <v>5.3358022723430772E-2</v>
      </c>
      <c r="H984" s="70">
        <f t="shared" si="98"/>
        <v>4.6860412356314718E-6</v>
      </c>
      <c r="I984" s="71">
        <f t="shared" si="102"/>
        <v>7.6835552721740303E-5</v>
      </c>
      <c r="L984" s="74"/>
      <c r="M984" s="74"/>
      <c r="N984" s="74"/>
      <c r="O984" s="74"/>
      <c r="P984" s="74"/>
      <c r="Q984" s="74"/>
      <c r="R984" s="74"/>
      <c r="S984" s="74"/>
      <c r="T984" s="74"/>
      <c r="U984" s="74"/>
      <c r="V984" s="74"/>
      <c r="W984" s="74"/>
      <c r="X984" s="74"/>
      <c r="Y984" s="74"/>
    </row>
    <row r="985" spans="1:25" x14ac:dyDescent="0.3">
      <c r="A985" s="66">
        <f t="shared" si="100"/>
        <v>2087.7999999999111</v>
      </c>
      <c r="B985" s="67">
        <f>LOOKUP(A985+0.01,Amounts!$A$4:$A$103,Amounts!$B$4:$B$103)*0.1*$A$2</f>
        <v>0</v>
      </c>
      <c r="C985" s="68">
        <f t="shared" si="99"/>
        <v>2992395.4285963499</v>
      </c>
      <c r="D985" s="67">
        <f t="array" ref="D985">SUM($B$7:$B980*$F$1009*EXP(-$F$1009*($A985-$A$7:$A980)))*$F$1010</f>
        <v>13799.803742283453</v>
      </c>
      <c r="E985" s="67">
        <f t="shared" si="97"/>
        <v>2.6308107587148865E-2</v>
      </c>
      <c r="F985" s="70">
        <f t="shared" si="101"/>
        <v>1.5974282926916792E-3</v>
      </c>
      <c r="G985" s="67">
        <f>E985/'Lookup Tables'!$C$48</f>
        <v>5.261621517429773E-2</v>
      </c>
      <c r="H985" s="70">
        <f t="shared" si="98"/>
        <v>4.6208937547707603E-6</v>
      </c>
      <c r="I985" s="71">
        <f t="shared" si="102"/>
        <v>7.5767349850988736E-5</v>
      </c>
      <c r="L985" s="74"/>
      <c r="M985" s="74"/>
      <c r="N985" s="74"/>
      <c r="O985" s="74"/>
      <c r="P985" s="74"/>
      <c r="Q985" s="74"/>
      <c r="R985" s="74"/>
      <c r="S985" s="74"/>
      <c r="T985" s="74"/>
      <c r="U985" s="74"/>
      <c r="V985" s="74"/>
      <c r="W985" s="74"/>
      <c r="X985" s="74"/>
      <c r="Y985" s="74"/>
    </row>
    <row r="986" spans="1:25" x14ac:dyDescent="0.3">
      <c r="A986" s="66">
        <f t="shared" si="100"/>
        <v>2087.899999999911</v>
      </c>
      <c r="B986" s="67">
        <f>LOOKUP(A986+0.01,Amounts!$A$4:$A$103,Amounts!$B$4:$B$103)*0.1*$A$2</f>
        <v>0</v>
      </c>
      <c r="C986" s="68">
        <f t="shared" si="99"/>
        <v>2992395.4285963499</v>
      </c>
      <c r="D986" s="67">
        <f t="array" ref="D986">SUM($B$7:$B981*$F$1009*EXP(-$F$1009*($A986-$A$7:$A981)))*$F$1010</f>
        <v>13607.952581575339</v>
      </c>
      <c r="E986" s="67">
        <f t="shared" si="97"/>
        <v>2.5942360285890996E-2</v>
      </c>
      <c r="F986" s="70">
        <f t="shared" si="101"/>
        <v>1.5752201165593015E-3</v>
      </c>
      <c r="G986" s="67">
        <f>E986/'Lookup Tables'!$C$48</f>
        <v>5.1884720571781992E-2</v>
      </c>
      <c r="H986" s="70">
        <f t="shared" si="98"/>
        <v>4.5566519838790998E-6</v>
      </c>
      <c r="I986" s="71">
        <f t="shared" si="102"/>
        <v>7.4713997623366066E-5</v>
      </c>
      <c r="L986" s="74"/>
      <c r="M986" s="74"/>
      <c r="N986" s="74"/>
      <c r="O986" s="74"/>
      <c r="P986" s="74"/>
      <c r="Q986" s="74"/>
      <c r="R986" s="74"/>
      <c r="S986" s="74"/>
      <c r="T986" s="74"/>
      <c r="U986" s="74"/>
      <c r="V986" s="74"/>
      <c r="W986" s="74"/>
      <c r="X986" s="74"/>
      <c r="Y986" s="74"/>
    </row>
    <row r="987" spans="1:25" x14ac:dyDescent="0.3">
      <c r="A987" s="66">
        <f t="shared" si="100"/>
        <v>2087.9999999999109</v>
      </c>
      <c r="B987" s="67">
        <f>LOOKUP(A987+0.01,Amounts!$A$4:$A$103,Amounts!$B$4:$B$103)*0.1*$A$2</f>
        <v>0</v>
      </c>
      <c r="C987" s="68">
        <f t="shared" si="99"/>
        <v>2992395.4285963499</v>
      </c>
      <c r="D987" s="67">
        <f t="array" ref="D987">SUM($B$7:$B982*$F$1009*EXP(-$F$1009*($A987-$A$7:$A982)))*$F$1010</f>
        <v>13418.768623137083</v>
      </c>
      <c r="E987" s="67">
        <f t="shared" si="97"/>
        <v>2.5581697770299824E-2</v>
      </c>
      <c r="F987" s="70">
        <f t="shared" si="101"/>
        <v>1.5533206886126053E-3</v>
      </c>
      <c r="G987" s="67">
        <f>E987/'Lookup Tables'!$C$48</f>
        <v>5.1163395540599649E-2</v>
      </c>
      <c r="H987" s="70">
        <f t="shared" si="98"/>
        <v>4.4933033313637339E-6</v>
      </c>
      <c r="I987" s="71">
        <f t="shared" si="102"/>
        <v>7.3675289578463491E-5</v>
      </c>
      <c r="L987" s="74"/>
      <c r="M987" s="74"/>
      <c r="N987" s="74"/>
      <c r="O987" s="74"/>
      <c r="P987" s="74"/>
      <c r="Q987" s="74"/>
      <c r="R987" s="74"/>
      <c r="S987" s="74"/>
      <c r="T987" s="74"/>
      <c r="U987" s="74"/>
      <c r="V987" s="74"/>
      <c r="W987" s="74"/>
      <c r="X987" s="74"/>
      <c r="Y987" s="74"/>
    </row>
    <row r="988" spans="1:25" x14ac:dyDescent="0.3">
      <c r="A988" s="66">
        <f t="shared" si="100"/>
        <v>2088.0999999999108</v>
      </c>
      <c r="B988" s="67">
        <f>LOOKUP(A988+0.01,Amounts!$A$4:$A$103,Amounts!$B$4:$B$103)*0.1*$A$2</f>
        <v>0</v>
      </c>
      <c r="C988" s="68">
        <f t="shared" si="99"/>
        <v>2992395.4285963499</v>
      </c>
      <c r="D988" s="67">
        <f t="array" ref="D988">SUM($B$7:$B983*$F$1009*EXP(-$F$1009*($A988-$A$7:$A983)))*$F$1010</f>
        <v>13232.214786307191</v>
      </c>
      <c r="E988" s="67">
        <f t="shared" si="97"/>
        <v>2.5226049349367712E-2</v>
      </c>
      <c r="F988" s="70">
        <f t="shared" si="101"/>
        <v>1.5317257164936076E-3</v>
      </c>
      <c r="G988" s="67">
        <f>E988/'Lookup Tables'!$C$48</f>
        <v>5.0452098698735424E-2</v>
      </c>
      <c r="H988" s="70">
        <f t="shared" si="98"/>
        <v>4.4308353806859722E-6</v>
      </c>
      <c r="I988" s="71">
        <f t="shared" si="102"/>
        <v>7.2651022126179015E-5</v>
      </c>
      <c r="L988" s="74"/>
      <c r="M988" s="74"/>
      <c r="N988" s="74"/>
      <c r="O988" s="74"/>
      <c r="P988" s="74"/>
      <c r="Q988" s="74"/>
      <c r="R988" s="74"/>
      <c r="S988" s="74"/>
      <c r="T988" s="74"/>
      <c r="U988" s="74"/>
      <c r="V988" s="74"/>
      <c r="W988" s="74"/>
      <c r="X988" s="74"/>
      <c r="Y988" s="74"/>
    </row>
    <row r="989" spans="1:25" x14ac:dyDescent="0.3">
      <c r="A989" s="66">
        <f t="shared" si="100"/>
        <v>2088.1999999999107</v>
      </c>
      <c r="B989" s="67">
        <f>LOOKUP(A989+0.01,Amounts!$A$4:$A$103,Amounts!$B$4:$B$103)*0.1*$A$2</f>
        <v>0</v>
      </c>
      <c r="C989" s="68">
        <f t="shared" si="99"/>
        <v>2992395.4285963499</v>
      </c>
      <c r="D989" s="67">
        <f t="array" ref="D989">SUM($B$7:$B984*$F$1009*EXP(-$F$1009*($A989-$A$7:$A984)))*$F$1010</f>
        <v>13048.25450593642</v>
      </c>
      <c r="E989" s="67">
        <f t="shared" si="97"/>
        <v>2.4875345314865589E-2</v>
      </c>
      <c r="F989" s="70">
        <f t="shared" si="101"/>
        <v>1.5104309675186387E-3</v>
      </c>
      <c r="G989" s="67">
        <f>E989/'Lookup Tables'!$C$48</f>
        <v>4.9750690629731177E-2</v>
      </c>
      <c r="H989" s="70">
        <f t="shared" si="98"/>
        <v>4.3692358879274967E-6</v>
      </c>
      <c r="I989" s="71">
        <f t="shared" si="102"/>
        <v>7.1640994506812905E-5</v>
      </c>
      <c r="L989" s="74"/>
      <c r="M989" s="74"/>
      <c r="N989" s="74"/>
      <c r="O989" s="74"/>
      <c r="P989" s="74"/>
      <c r="Q989" s="74"/>
      <c r="R989" s="74"/>
      <c r="S989" s="74"/>
      <c r="T989" s="74"/>
      <c r="U989" s="74"/>
      <c r="V989" s="74"/>
      <c r="W989" s="74"/>
      <c r="X989" s="74"/>
      <c r="Y989" s="74"/>
    </row>
    <row r="990" spans="1:25" x14ac:dyDescent="0.3">
      <c r="A990" s="66">
        <f t="shared" si="100"/>
        <v>2088.2999999999106</v>
      </c>
      <c r="B990" s="67">
        <f>LOOKUP(A990+0.01,Amounts!$A$4:$A$103,Amounts!$B$4:$B$103)*0.1*$A$2</f>
        <v>0</v>
      </c>
      <c r="C990" s="68">
        <f t="shared" si="99"/>
        <v>2992395.4285963499</v>
      </c>
      <c r="D990" s="67">
        <f t="array" ref="D990">SUM($B$7:$B985*$F$1009*EXP(-$F$1009*($A990-$A$7:$A985)))*$F$1010</f>
        <v>12866.851725220891</v>
      </c>
      <c r="E990" s="67">
        <f t="shared" si="97"/>
        <v>2.4529516927679958E-2</v>
      </c>
      <c r="F990" s="70">
        <f t="shared" si="101"/>
        <v>1.4894322678487269E-3</v>
      </c>
      <c r="G990" s="67">
        <f>E990/'Lookup Tables'!$C$48</f>
        <v>4.9059033855359917E-2</v>
      </c>
      <c r="H990" s="70">
        <f t="shared" si="98"/>
        <v>4.3084927793905242E-6</v>
      </c>
      <c r="I990" s="71">
        <f t="shared" si="102"/>
        <v>7.0645008751718275E-5</v>
      </c>
      <c r="L990" s="74"/>
      <c r="M990" s="74"/>
      <c r="N990" s="74"/>
      <c r="O990" s="74"/>
      <c r="P990" s="74"/>
      <c r="Q990" s="74"/>
      <c r="R990" s="74"/>
      <c r="S990" s="74"/>
      <c r="T990" s="74"/>
      <c r="U990" s="74"/>
      <c r="V990" s="74"/>
      <c r="W990" s="74"/>
      <c r="X990" s="74"/>
      <c r="Y990" s="74"/>
    </row>
    <row r="991" spans="1:25" x14ac:dyDescent="0.3">
      <c r="A991" s="66">
        <f t="shared" si="100"/>
        <v>2088.3999999999105</v>
      </c>
      <c r="B991" s="67">
        <f>LOOKUP(A991+0.01,Amounts!$A$4:$A$103,Amounts!$B$4:$B$103)*0.1*$A$2</f>
        <v>0</v>
      </c>
      <c r="C991" s="68">
        <f t="shared" si="99"/>
        <v>2992395.4285963499</v>
      </c>
      <c r="D991" s="67">
        <f t="array" ref="D991">SUM($B$7:$B986*$F$1009*EXP(-$F$1009*($A991-$A$7:$A986)))*$F$1010</f>
        <v>12687.970888634849</v>
      </c>
      <c r="E991" s="67">
        <f t="shared" si="97"/>
        <v>2.4188496404339815E-2</v>
      </c>
      <c r="F991" s="70">
        <f t="shared" si="101"/>
        <v>1.4687255016715135E-3</v>
      </c>
      <c r="G991" s="67">
        <f>E991/'Lookup Tables'!$C$48</f>
        <v>4.8376992808679631E-2</v>
      </c>
      <c r="H991" s="70">
        <f t="shared" si="98"/>
        <v>4.2485941492313223E-6</v>
      </c>
      <c r="I991" s="71">
        <f t="shared" si="102"/>
        <v>6.9662869644498664E-5</v>
      </c>
      <c r="L991" s="74"/>
      <c r="M991" s="74"/>
      <c r="N991" s="74"/>
      <c r="O991" s="74"/>
      <c r="P991" s="74"/>
      <c r="Q991" s="74"/>
      <c r="R991" s="74"/>
      <c r="S991" s="74"/>
      <c r="T991" s="74"/>
      <c r="U991" s="74"/>
      <c r="V991" s="74"/>
      <c r="W991" s="74"/>
      <c r="X991" s="74"/>
      <c r="Y991" s="74"/>
    </row>
    <row r="992" spans="1:25" x14ac:dyDescent="0.3">
      <c r="A992" s="66">
        <f t="shared" si="100"/>
        <v>2088.4999999999104</v>
      </c>
      <c r="B992" s="67">
        <f>LOOKUP(A992+0.01,Amounts!$A$4:$A$103,Amounts!$B$4:$B$103)*0.1*$A$2</f>
        <v>0</v>
      </c>
      <c r="C992" s="68">
        <f t="shared" si="99"/>
        <v>2992395.4285963499</v>
      </c>
      <c r="D992" s="67">
        <f t="array" ref="D992">SUM($B$7:$B987*$F$1009*EXP(-$F$1009*($A992-$A$7:$A987)))*$F$1010</f>
        <v>12511.576934961666</v>
      </c>
      <c r="E992" s="67">
        <f t="shared" si="97"/>
        <v>2.385221690373086E-2</v>
      </c>
      <c r="F992" s="70">
        <f t="shared" si="101"/>
        <v>1.4483066103945378E-3</v>
      </c>
      <c r="G992" s="67">
        <f>E992/'Lookup Tables'!$C$48</f>
        <v>4.770443380746172E-2</v>
      </c>
      <c r="H992" s="70">
        <f t="shared" si="98"/>
        <v>4.1895282571266236E-6</v>
      </c>
      <c r="I992" s="71">
        <f t="shared" si="102"/>
        <v>6.8694384682744877E-5</v>
      </c>
      <c r="L992" s="74"/>
      <c r="M992" s="74"/>
      <c r="N992" s="74"/>
      <c r="O992" s="74"/>
      <c r="P992" s="74"/>
      <c r="Q992" s="74"/>
      <c r="R992" s="74"/>
      <c r="S992" s="74"/>
      <c r="T992" s="74"/>
      <c r="U992" s="74"/>
      <c r="V992" s="74"/>
      <c r="W992" s="74"/>
      <c r="X992" s="74"/>
      <c r="Y992" s="74"/>
    </row>
    <row r="993" spans="1:25" x14ac:dyDescent="0.3">
      <c r="A993" s="66">
        <f t="shared" si="100"/>
        <v>2088.5999999999103</v>
      </c>
      <c r="B993" s="67">
        <f>LOOKUP(A993+0.01,Amounts!$A$4:$A$103,Amounts!$B$4:$B$103)*0.1*$A$2</f>
        <v>0</v>
      </c>
      <c r="C993" s="68">
        <f t="shared" si="99"/>
        <v>2992395.4285963499</v>
      </c>
      <c r="D993" s="67">
        <f t="array" ref="D993">SUM($B$7:$B988*$F$1009*EXP(-$F$1009*($A993-$A$7:$A988)))*$F$1010</f>
        <v>12337.63529042172</v>
      </c>
      <c r="E993" s="67">
        <f t="shared" si="97"/>
        <v>2.3520612513994423E-2</v>
      </c>
      <c r="F993" s="70">
        <f t="shared" si="101"/>
        <v>1.4281715918497413E-3</v>
      </c>
      <c r="G993" s="67">
        <f>E993/'Lookup Tables'!$C$48</f>
        <v>4.7041225027988846E-2</v>
      </c>
      <c r="H993" s="70">
        <f t="shared" si="98"/>
        <v>4.1312835259724836E-6</v>
      </c>
      <c r="I993" s="71">
        <f t="shared" si="102"/>
        <v>6.7739364040303934E-5</v>
      </c>
      <c r="L993" s="74"/>
      <c r="M993" s="74"/>
      <c r="N993" s="74"/>
      <c r="O993" s="74"/>
      <c r="P993" s="74"/>
      <c r="Q993" s="74"/>
      <c r="R993" s="74"/>
      <c r="S993" s="74"/>
      <c r="T993" s="74"/>
      <c r="U993" s="74"/>
      <c r="V993" s="74"/>
      <c r="W993" s="74"/>
      <c r="X993" s="74"/>
      <c r="Y993" s="74"/>
    </row>
    <row r="994" spans="1:25" x14ac:dyDescent="0.3">
      <c r="A994" s="66">
        <f t="shared" si="100"/>
        <v>2088.6999999999102</v>
      </c>
      <c r="B994" s="67">
        <f>LOOKUP(A994+0.01,Amounts!$A$4:$A$103,Amounts!$B$4:$B$103)*0.1*$A$2</f>
        <v>0</v>
      </c>
      <c r="C994" s="68">
        <f t="shared" si="99"/>
        <v>2992395.4285963499</v>
      </c>
      <c r="D994" s="67">
        <f t="array" ref="D994">SUM($B$7:$B989*$F$1009*EXP(-$F$1009*($A994-$A$7:$A989)))*$F$1010</f>
        <v>12166.111861895833</v>
      </c>
      <c r="E994" s="67">
        <f t="shared" si="97"/>
        <v>2.3193618239608534E-2</v>
      </c>
      <c r="F994" s="70">
        <f t="shared" si="101"/>
        <v>1.40831649950903E-3</v>
      </c>
      <c r="G994" s="67">
        <f>E994/'Lookup Tables'!$C$48</f>
        <v>4.6387236479217067E-2</v>
      </c>
      <c r="H994" s="70">
        <f t="shared" si="98"/>
        <v>4.0738485396151355E-6</v>
      </c>
      <c r="I994" s="71">
        <f t="shared" si="102"/>
        <v>6.6797620530072575E-5</v>
      </c>
      <c r="L994" s="74"/>
      <c r="M994" s="74"/>
      <c r="N994" s="74"/>
      <c r="O994" s="74"/>
      <c r="P994" s="74"/>
      <c r="Q994" s="74"/>
      <c r="R994" s="74"/>
      <c r="S994" s="74"/>
      <c r="T994" s="74"/>
      <c r="U994" s="74"/>
      <c r="V994" s="74"/>
      <c r="W994" s="74"/>
      <c r="X994" s="74"/>
      <c r="Y994" s="74"/>
    </row>
    <row r="995" spans="1:25" x14ac:dyDescent="0.3">
      <c r="A995" s="66">
        <f t="shared" si="100"/>
        <v>2088.7999999999101</v>
      </c>
      <c r="B995" s="67">
        <f>LOOKUP(A995+0.01,Amounts!$A$4:$A$103,Amounts!$B$4:$B$103)*0.1*$A$2</f>
        <v>0</v>
      </c>
      <c r="C995" s="68">
        <f t="shared" si="99"/>
        <v>2992395.4285963499</v>
      </c>
      <c r="D995" s="67">
        <f t="array" ref="D995">SUM($B$7:$B990*$F$1009*EXP(-$F$1009*($A995-$A$7:$A990)))*$F$1010</f>
        <v>11996.973030242909</v>
      </c>
      <c r="E995" s="67">
        <f t="shared" si="97"/>
        <v>2.287116998864859E-2</v>
      </c>
      <c r="F995" s="70">
        <f t="shared" si="101"/>
        <v>1.3887374417107423E-3</v>
      </c>
      <c r="G995" s="67">
        <f>E995/'Lookup Tables'!$C$48</f>
        <v>4.5742339977297181E-2</v>
      </c>
      <c r="H995" s="70">
        <f t="shared" si="98"/>
        <v>4.017212040613383E-6</v>
      </c>
      <c r="I995" s="71">
        <f t="shared" si="102"/>
        <v>6.5868969567307937E-5</v>
      </c>
      <c r="L995" s="74"/>
      <c r="M995" s="74"/>
      <c r="N995" s="74"/>
      <c r="O995" s="74"/>
      <c r="P995" s="74"/>
      <c r="Q995" s="74"/>
      <c r="R995" s="74"/>
      <c r="S995" s="74"/>
      <c r="T995" s="74"/>
      <c r="U995" s="74"/>
      <c r="V995" s="74"/>
      <c r="W995" s="74"/>
      <c r="X995" s="74"/>
      <c r="Y995" s="74"/>
    </row>
    <row r="996" spans="1:25" x14ac:dyDescent="0.3">
      <c r="A996" s="66">
        <f t="shared" si="100"/>
        <v>2088.8999999999101</v>
      </c>
      <c r="B996" s="67">
        <f>LOOKUP(A996+0.01,Amounts!$A$4:$A$103,Amounts!$B$4:$B$103)*0.1*$A$2</f>
        <v>0</v>
      </c>
      <c r="C996" s="68">
        <f t="shared" si="99"/>
        <v>2992395.4285963499</v>
      </c>
      <c r="D996" s="67">
        <f t="array" ref="D996">SUM($B$7:$B991*$F$1009*EXP(-$F$1009*($A996-$A$7:$A991)))*$F$1010</f>
        <v>11830.185643710469</v>
      </c>
      <c r="E996" s="67">
        <f t="shared" si="97"/>
        <v>2.2553204560225127E-2</v>
      </c>
      <c r="F996" s="70">
        <f t="shared" si="101"/>
        <v>1.3694305808968697E-3</v>
      </c>
      <c r="G996" s="67">
        <f>E996/'Lookup Tables'!$C$48</f>
        <v>4.5106409120450254E-2</v>
      </c>
      <c r="H996" s="70">
        <f t="shared" si="98"/>
        <v>3.9613629280321069E-6</v>
      </c>
      <c r="I996" s="71">
        <f t="shared" si="102"/>
        <v>6.4953229133448367E-5</v>
      </c>
      <c r="L996" s="74"/>
      <c r="M996" s="74"/>
      <c r="N996" s="74"/>
      <c r="O996" s="74"/>
      <c r="P996" s="74"/>
      <c r="Q996" s="74"/>
      <c r="R996" s="74"/>
      <c r="S996" s="74"/>
      <c r="T996" s="74"/>
      <c r="U996" s="74"/>
      <c r="V996" s="74"/>
      <c r="W996" s="74"/>
      <c r="X996" s="74"/>
      <c r="Y996" s="74"/>
    </row>
    <row r="997" spans="1:25" x14ac:dyDescent="0.3">
      <c r="A997" s="66">
        <f t="shared" si="100"/>
        <v>2088.99999999991</v>
      </c>
      <c r="B997" s="67">
        <f>LOOKUP(A997+0.01,Amounts!$A$4:$A$103,Amounts!$B$4:$B$103)*0.1*$A$2</f>
        <v>0</v>
      </c>
      <c r="C997" s="68">
        <f t="shared" si="99"/>
        <v>2992395.4285963499</v>
      </c>
      <c r="D997" s="67">
        <f t="array" ref="D997">SUM($B$7:$B992*$F$1009*EXP(-$F$1009*($A997-$A$7:$A992)))*$F$1010</f>
        <v>11665.717011436807</v>
      </c>
      <c r="E997" s="67">
        <f t="shared" si="97"/>
        <v>2.2239659632096266E-2</v>
      </c>
      <c r="F997" s="70">
        <f t="shared" si="101"/>
        <v>1.350392132860885E-3</v>
      </c>
      <c r="G997" s="67">
        <f>E997/'Lookup Tables'!$C$48</f>
        <v>4.4479319264192532E-2</v>
      </c>
      <c r="H997" s="70">
        <f t="shared" si="98"/>
        <v>3.9062902552664513E-6</v>
      </c>
      <c r="I997" s="71">
        <f t="shared" si="102"/>
        <v>6.4050219740437243E-5</v>
      </c>
      <c r="L997" s="74"/>
      <c r="M997" s="74"/>
      <c r="N997" s="74"/>
      <c r="O997" s="74"/>
      <c r="P997" s="74"/>
      <c r="Q997" s="74"/>
      <c r="R997" s="74"/>
      <c r="S997" s="74"/>
      <c r="T997" s="74"/>
      <c r="U997" s="74"/>
      <c r="V997" s="74"/>
      <c r="W997" s="74"/>
      <c r="X997" s="74"/>
      <c r="Y997" s="74"/>
    </row>
    <row r="998" spans="1:25" x14ac:dyDescent="0.3">
      <c r="A998" s="66">
        <f t="shared" si="100"/>
        <v>2089.0999999999099</v>
      </c>
      <c r="B998" s="67">
        <f>LOOKUP(A998+0.01,Amounts!$A$4:$A$103,Amounts!$B$4:$B$103)*0.1*$A$2</f>
        <v>0</v>
      </c>
      <c r="C998" s="68">
        <f t="shared" si="99"/>
        <v>2992395.4285963499</v>
      </c>
      <c r="D998" s="67">
        <f t="array" ref="D998">SUM($B$7:$B993*$F$1009*EXP(-$F$1009*($A998-$A$7:$A993)))*$F$1010</f>
        <v>11503.534897043473</v>
      </c>
      <c r="E998" s="67">
        <f t="shared" si="97"/>
        <v>2.1930473748452306E-2</v>
      </c>
      <c r="F998" s="70">
        <f t="shared" si="101"/>
        <v>1.331618366006024E-3</v>
      </c>
      <c r="G998" s="67">
        <f>E998/'Lookup Tables'!$C$48</f>
        <v>4.3860947496904612E-2</v>
      </c>
      <c r="H998" s="70">
        <f t="shared" si="98"/>
        <v>3.8519832278962438E-6</v>
      </c>
      <c r="I998" s="71">
        <f t="shared" si="102"/>
        <v>6.3159764395542641E-5</v>
      </c>
      <c r="L998" s="74"/>
      <c r="M998" s="74"/>
      <c r="N998" s="74"/>
      <c r="O998" s="74"/>
      <c r="P998" s="74"/>
      <c r="Q998" s="74"/>
      <c r="R998" s="74"/>
      <c r="S998" s="74"/>
      <c r="T998" s="74"/>
      <c r="U998" s="74"/>
      <c r="V998" s="74"/>
      <c r="W998" s="74"/>
      <c r="X998" s="74"/>
      <c r="Y998" s="74"/>
    </row>
    <row r="999" spans="1:25" x14ac:dyDescent="0.3">
      <c r="A999" s="66">
        <f t="shared" si="100"/>
        <v>2089.1999999999098</v>
      </c>
      <c r="B999" s="67">
        <f>LOOKUP(A999+0.01,Amounts!$A$4:$A$103,Amounts!$B$4:$B$103)*0.1*$A$2</f>
        <v>0</v>
      </c>
      <c r="C999" s="68">
        <f t="shared" si="99"/>
        <v>2992395.4285963499</v>
      </c>
      <c r="D999" s="67">
        <f t="array" ref="D999">SUM($B$7:$B994*$F$1009*EXP(-$F$1009*($A999-$A$7:$A994)))*$F$1010</f>
        <v>11343.607512316847</v>
      </c>
      <c r="E999" s="67">
        <f t="shared" si="97"/>
        <v>2.1625586307870252E-2</v>
      </c>
      <c r="F999" s="70">
        <f t="shared" si="101"/>
        <v>1.3131056006138817E-3</v>
      </c>
      <c r="G999" s="67">
        <f>E999/'Lookup Tables'!$C$48</f>
        <v>4.3251172615740505E-2</v>
      </c>
      <c r="H999" s="70">
        <f t="shared" si="98"/>
        <v>3.7984312015702665E-6</v>
      </c>
      <c r="I999" s="71">
        <f t="shared" si="102"/>
        <v>6.2281688566666327E-5</v>
      </c>
      <c r="L999" s="74"/>
      <c r="M999" s="74"/>
      <c r="N999" s="74"/>
      <c r="O999" s="74"/>
      <c r="P999" s="74"/>
      <c r="Q999" s="74"/>
      <c r="R999" s="74"/>
      <c r="S999" s="74"/>
      <c r="T999" s="74"/>
      <c r="U999" s="74"/>
      <c r="V999" s="74"/>
      <c r="W999" s="74"/>
      <c r="X999" s="74"/>
      <c r="Y999" s="74"/>
    </row>
    <row r="1000" spans="1:25" x14ac:dyDescent="0.3">
      <c r="A1000" s="66">
        <f t="shared" si="100"/>
        <v>2089.2999999999097</v>
      </c>
      <c r="B1000" s="67">
        <f>LOOKUP(A1000+0.01,Amounts!$A$4:$A$103,Amounts!$B$4:$B$103)*0.1*$A$2</f>
        <v>0</v>
      </c>
      <c r="C1000" s="68">
        <f t="shared" si="99"/>
        <v>2992395.4285963499</v>
      </c>
      <c r="D1000" s="67">
        <f t="array" ref="D1000">SUM($B$7:$B995*$F$1009*EXP(-$F$1009*($A1000-$A$7:$A995)))*$F$1010</f>
        <v>11185.903510977541</v>
      </c>
      <c r="E1000" s="67">
        <f t="shared" si="97"/>
        <v>2.1324937551435708E-2</v>
      </c>
      <c r="F1000" s="70">
        <f t="shared" si="101"/>
        <v>1.2948502081231762E-3</v>
      </c>
      <c r="G1000" s="67">
        <f>E1000/'Lookup Tables'!$C$48</f>
        <v>4.2649875102871417E-2</v>
      </c>
      <c r="H1000" s="70">
        <f t="shared" si="98"/>
        <v>3.7456236799199212E-6</v>
      </c>
      <c r="I1000" s="71">
        <f t="shared" si="102"/>
        <v>6.1415820148134838E-5</v>
      </c>
      <c r="L1000" s="74"/>
      <c r="M1000" s="74"/>
      <c r="N1000" s="74"/>
      <c r="O1000" s="74"/>
      <c r="P1000" s="74"/>
      <c r="Q1000" s="74"/>
      <c r="R1000" s="74"/>
      <c r="S1000" s="74"/>
      <c r="T1000" s="74"/>
      <c r="U1000" s="74"/>
      <c r="V1000" s="74"/>
      <c r="W1000" s="74"/>
      <c r="X1000" s="74"/>
      <c r="Y1000" s="74"/>
    </row>
    <row r="1001" spans="1:25" x14ac:dyDescent="0.3">
      <c r="A1001" s="66">
        <f t="shared" si="100"/>
        <v>2089.3999999999096</v>
      </c>
      <c r="B1001" s="67">
        <f>LOOKUP(A1001+0.01,Amounts!$A$4:$A$103,Amounts!$B$4:$B$103)*0.1*$A$2</f>
        <v>0</v>
      </c>
      <c r="C1001" s="68">
        <f t="shared" si="99"/>
        <v>2992395.4285963499</v>
      </c>
      <c r="D1001" s="67">
        <f t="array" ref="D1001">SUM($B$7:$B996*$F$1009*EXP(-$F$1009*($A1001-$A$7:$A996)))*$F$1010</f>
        <v>11030.391982536417</v>
      </c>
      <c r="E1001" s="67">
        <f t="shared" si="97"/>
        <v>2.1028468551029904E-2</v>
      </c>
      <c r="F1001" s="70">
        <f t="shared" si="101"/>
        <v>1.2768486104185357E-3</v>
      </c>
      <c r="G1001" s="67">
        <f>E1001/'Lookup Tables'!$C$48</f>
        <v>4.2056937102059808E-2</v>
      </c>
      <c r="H1001" s="70">
        <f t="shared" si="98"/>
        <v>3.6935503125019041E-6</v>
      </c>
      <c r="I1001" s="71">
        <f t="shared" si="102"/>
        <v>6.0561989426966124E-5</v>
      </c>
      <c r="L1001" s="74"/>
      <c r="M1001" s="74"/>
      <c r="N1001" s="74"/>
      <c r="O1001" s="74"/>
      <c r="P1001" s="74"/>
      <c r="Q1001" s="74"/>
      <c r="R1001" s="74"/>
      <c r="S1001" s="74"/>
      <c r="T1001" s="74"/>
      <c r="U1001" s="74"/>
      <c r="V1001" s="74"/>
      <c r="W1001" s="74"/>
      <c r="X1001" s="74"/>
      <c r="Y1001" s="74"/>
    </row>
    <row r="1002" spans="1:25" x14ac:dyDescent="0.3">
      <c r="A1002" s="66">
        <f t="shared" si="100"/>
        <v>2089.4999999999095</v>
      </c>
      <c r="B1002" s="67">
        <f>LOOKUP(A1002+0.01,Amounts!$A$4:$A$103,Amounts!$B$4:$B$103)*0.1*$A$2</f>
        <v>0</v>
      </c>
      <c r="C1002" s="68">
        <f t="shared" si="99"/>
        <v>2992395.4285963499</v>
      </c>
      <c r="D1002" s="67">
        <f t="array" ref="D1002">SUM($B$7:$B997*$F$1009*EXP(-$F$1009*($A1002-$A$7:$A997)))*$F$1010</f>
        <v>10877.042446236061</v>
      </c>
      <c r="E1002" s="67">
        <f t="shared" si="97"/>
        <v>2.0736121197779674E-2</v>
      </c>
      <c r="F1002" s="70">
        <f t="shared" si="101"/>
        <v>1.2590972791291818E-3</v>
      </c>
      <c r="G1002" s="67">
        <f>E1002/'Lookup Tables'!$C$48</f>
        <v>4.1472242395559349E-2</v>
      </c>
      <c r="H1002" s="70">
        <f t="shared" si="98"/>
        <v>3.6422008927695001E-6</v>
      </c>
      <c r="I1002" s="71">
        <f t="shared" si="102"/>
        <v>5.9720029049605458E-5</v>
      </c>
      <c r="L1002" s="74"/>
      <c r="M1002" s="74"/>
      <c r="N1002" s="74"/>
      <c r="O1002" s="74"/>
      <c r="P1002" s="74"/>
      <c r="Q1002" s="74"/>
      <c r="R1002" s="74"/>
      <c r="S1002" s="74"/>
      <c r="T1002" s="74"/>
      <c r="U1002" s="74"/>
      <c r="V1002" s="74"/>
      <c r="W1002" s="74"/>
      <c r="X1002" s="74"/>
      <c r="Y1002" s="74"/>
    </row>
    <row r="1003" spans="1:25" x14ac:dyDescent="0.3">
      <c r="A1003" s="66">
        <f t="shared" si="100"/>
        <v>2089.5999999999094</v>
      </c>
      <c r="B1003" s="67">
        <f>LOOKUP(A1003+0.01,Amounts!$A$4:$A$103,Amounts!$B$4:$B$103)*0.1*$A$2</f>
        <v>0</v>
      </c>
      <c r="C1003" s="68">
        <f t="shared" si="99"/>
        <v>2992395.4285963499</v>
      </c>
      <c r="D1003" s="67">
        <f t="array" ref="D1003">SUM($B$7:$B998*$F$1009*EXP(-$F$1009*($A1003-$A$7:$A998)))*$F$1010</f>
        <v>10725.824845076428</v>
      </c>
      <c r="E1003" s="67">
        <f t="shared" si="97"/>
        <v>2.044783819066787E-2</v>
      </c>
      <c r="F1003" s="70">
        <f t="shared" si="101"/>
        <v>1.2415927349373531E-3</v>
      </c>
      <c r="G1003" s="67">
        <f>E1003/'Lookup Tables'!$C$48</f>
        <v>4.089567638133574E-2</v>
      </c>
      <c r="H1003" s="70">
        <f t="shared" si="98"/>
        <v>3.5915653560720534E-6</v>
      </c>
      <c r="I1003" s="71">
        <f t="shared" si="102"/>
        <v>5.8889773989123469E-5</v>
      </c>
      <c r="L1003" s="74"/>
      <c r="M1003" s="74"/>
      <c r="N1003" s="74"/>
      <c r="O1003" s="74"/>
      <c r="P1003" s="74"/>
      <c r="Q1003" s="74"/>
      <c r="R1003" s="74"/>
      <c r="S1003" s="74"/>
      <c r="T1003" s="74"/>
      <c r="U1003" s="74"/>
      <c r="V1003" s="74"/>
      <c r="W1003" s="74"/>
      <c r="X1003" s="74"/>
      <c r="Y1003" s="74"/>
    </row>
    <row r="1004" spans="1:25" x14ac:dyDescent="0.3">
      <c r="A1004" s="66">
        <f t="shared" si="100"/>
        <v>2089.6999999999093</v>
      </c>
      <c r="B1004" s="67">
        <f>LOOKUP(A1004+0.01,Amounts!$A$4:$A$103,Amounts!$B$4:$B$103)*0.1*$A$2</f>
        <v>0</v>
      </c>
      <c r="C1004" s="68">
        <f t="shared" si="99"/>
        <v>2992395.4285963499</v>
      </c>
      <c r="D1004" s="67">
        <f t="array" ref="D1004">SUM($B$7:$B999*$F$1009*EXP(-$F$1009*($A1004-$A$7:$A999)))*$F$1010</f>
        <v>10576.709539923593</v>
      </c>
      <c r="E1004" s="67">
        <f t="shared" si="97"/>
        <v>2.0163563025302207E-2</v>
      </c>
      <c r="F1004" s="70">
        <f t="shared" si="101"/>
        <v>1.2243315468963502E-3</v>
      </c>
      <c r="G1004" s="67">
        <f>E1004/'Lookup Tables'!$C$48</f>
        <v>4.0327126050604414E-2</v>
      </c>
      <c r="H1004" s="70">
        <f t="shared" si="98"/>
        <v>3.5416337776822687E-6</v>
      </c>
      <c r="I1004" s="71">
        <f t="shared" si="102"/>
        <v>5.8071061512870359E-5</v>
      </c>
      <c r="L1004" s="74"/>
      <c r="M1004" s="74"/>
      <c r="N1004" s="74"/>
      <c r="O1004" s="74"/>
      <c r="P1004" s="74"/>
      <c r="Q1004" s="74"/>
      <c r="R1004" s="74"/>
      <c r="S1004" s="74"/>
      <c r="T1004" s="74"/>
      <c r="U1004" s="74"/>
      <c r="V1004" s="74"/>
      <c r="W1004" s="74"/>
      <c r="X1004" s="74"/>
      <c r="Y1004" s="74"/>
    </row>
    <row r="1005" spans="1:25" x14ac:dyDescent="0.3">
      <c r="A1005" s="66">
        <f t="shared" si="100"/>
        <v>2089.7999999999092</v>
      </c>
      <c r="B1005" s="67">
        <f>LOOKUP(A1005+0.01,Amounts!$A$4:$A$103,Amounts!$B$4:$B$103)*0.1*$A$2</f>
        <v>0</v>
      </c>
      <c r="C1005" s="68">
        <f t="shared" si="99"/>
        <v>2992395.4285963499</v>
      </c>
      <c r="D1005" s="67">
        <f t="array" ref="D1005">SUM($B$7:$B1000*$F$1009*EXP(-$F$1009*($A1005-$A$7:$A1000)))*$F$1010</f>
        <v>10429.667303700371</v>
      </c>
      <c r="E1005" s="67">
        <f t="shared" si="97"/>
        <v>1.9883239982840202E-2</v>
      </c>
      <c r="F1005" s="70">
        <f t="shared" si="101"/>
        <v>1.2073103317580571E-3</v>
      </c>
      <c r="G1005" s="67">
        <f>E1005/'Lookup Tables'!$C$48</f>
        <v>3.9766479965680404E-2</v>
      </c>
      <c r="H1005" s="70">
        <f t="shared" si="98"/>
        <v>3.4923963708509318E-6</v>
      </c>
      <c r="I1005" s="71">
        <f t="shared" si="102"/>
        <v>5.7263731150579788E-5</v>
      </c>
      <c r="L1005" s="74"/>
      <c r="M1005" s="74"/>
      <c r="N1005" s="74"/>
      <c r="O1005" s="74"/>
      <c r="P1005" s="74"/>
      <c r="Q1005" s="74"/>
      <c r="R1005" s="74"/>
      <c r="S1005" s="74"/>
      <c r="T1005" s="74"/>
      <c r="U1005" s="74"/>
      <c r="V1005" s="74"/>
      <c r="W1005" s="74"/>
      <c r="X1005" s="74"/>
      <c r="Y1005" s="74"/>
    </row>
    <row r="1006" spans="1:25" x14ac:dyDescent="0.3">
      <c r="A1006" s="66">
        <f t="shared" si="100"/>
        <v>2089.8999999999091</v>
      </c>
      <c r="B1006" s="67">
        <f>LOOKUP(A1006+0.01,Amounts!$A$4:$A$103,Amounts!$B$4:$B$103)*0.1*$A$2</f>
        <v>0</v>
      </c>
      <c r="C1006" s="68">
        <f t="shared" si="99"/>
        <v>2992395.4285963499</v>
      </c>
      <c r="D1006" s="67">
        <f t="array" ref="D1006">SUM($B$7:$B1001*$F$1009*EXP(-$F$1009*($A1006-$A$7:$A1001)))*$F$1010</f>
        <v>10284.669315657731</v>
      </c>
      <c r="E1006" s="67">
        <f t="shared" si="97"/>
        <v>1.960681411906812E-2</v>
      </c>
      <c r="F1006" s="70">
        <f t="shared" si="101"/>
        <v>1.1905257533098162E-3</v>
      </c>
      <c r="G1006" s="67">
        <f>E1006/'Lookup Tables'!$C$48</f>
        <v>3.921362823813624E-2</v>
      </c>
      <c r="H1006" s="70">
        <f t="shared" si="98"/>
        <v>3.4438434848886783E-6</v>
      </c>
      <c r="I1006" s="71">
        <f t="shared" si="102"/>
        <v>5.6467624662916188E-5</v>
      </c>
      <c r="L1006" s="74"/>
      <c r="M1006" s="74"/>
      <c r="N1006" s="74"/>
      <c r="O1006" s="74"/>
      <c r="P1006" s="74"/>
      <c r="Q1006" s="74"/>
      <c r="R1006" s="74"/>
      <c r="S1006" s="74"/>
      <c r="T1006" s="74"/>
      <c r="U1006" s="74"/>
      <c r="V1006" s="74"/>
      <c r="W1006" s="74"/>
      <c r="X1006" s="74"/>
      <c r="Y1006" s="74"/>
    </row>
    <row r="1007" spans="1:25" x14ac:dyDescent="0.3">
      <c r="A1007" s="66">
        <f>A1006+0.1</f>
        <v>2089.9999999999091</v>
      </c>
      <c r="B1007" s="67">
        <f>LOOKUP(A1007+0.01,Amounts!$A$4:$A$103,Amounts!$B$4:$B$103)*0.1*$A$2</f>
        <v>0</v>
      </c>
      <c r="C1007" s="68">
        <f>C1006+B1007</f>
        <v>2992395.4285963499</v>
      </c>
      <c r="D1007" s="67">
        <f t="array" ref="D1007">SUM($B$7:$B1002*$F$1009*EXP(-$F$1009*($A1007-$A$7:$A1002)))*$F$1010</f>
        <v>10141.687155725827</v>
      </c>
      <c r="E1007" s="67">
        <f t="shared" si="97"/>
        <v>1.9334231253631727E-2</v>
      </c>
      <c r="F1007" s="70">
        <f t="shared" si="101"/>
        <v>1.1739745217205187E-3</v>
      </c>
      <c r="G1007" s="67">
        <f>E1007/'Lookup Tables'!$C$48</f>
        <v>3.8668462507263454E-2</v>
      </c>
      <c r="H1007" s="70">
        <f t="shared" si="98"/>
        <v>3.3959656032744256E-6</v>
      </c>
      <c r="I1007" s="71">
        <f>G1007*60*24/1000000</f>
        <v>5.5682586010459376E-5</v>
      </c>
      <c r="L1007" s="74"/>
      <c r="M1007" s="74"/>
      <c r="N1007" s="74"/>
      <c r="O1007" s="74"/>
      <c r="P1007" s="74"/>
      <c r="Q1007" s="74"/>
      <c r="R1007" s="74"/>
      <c r="S1007" s="74"/>
      <c r="T1007" s="74"/>
      <c r="U1007" s="74"/>
      <c r="V1007" s="74"/>
      <c r="W1007" s="74"/>
      <c r="X1007" s="74"/>
      <c r="Y1007" s="74"/>
    </row>
    <row r="1008" spans="1:25" x14ac:dyDescent="0.3">
      <c r="A1008" s="65" t="s">
        <v>11</v>
      </c>
      <c r="E1008" s="78"/>
      <c r="F1008" s="79">
        <f>'Lookup Tables'!C48</f>
        <v>0.5</v>
      </c>
    </row>
    <row r="1009" spans="1:10" x14ac:dyDescent="0.3">
      <c r="A1009" s="65" t="s">
        <v>36</v>
      </c>
      <c r="E1009" s="78"/>
      <c r="F1009" s="80">
        <f>'Lookup Tables'!F36</f>
        <v>0.14000000000000001</v>
      </c>
    </row>
    <row r="1010" spans="1:10" x14ac:dyDescent="0.3">
      <c r="A1010" s="65" t="s">
        <v>35</v>
      </c>
      <c r="E1010" s="78"/>
      <c r="F1010" s="81">
        <f>'Lookup Tables'!G36/F1011</f>
        <v>2234.7172514164886</v>
      </c>
      <c r="G1010" s="65" t="s">
        <v>12</v>
      </c>
    </row>
    <row r="1011" spans="1:10" x14ac:dyDescent="0.3">
      <c r="F1011" s="82">
        <v>3.1213999999999999E-2</v>
      </c>
      <c r="G1011" s="35" t="s">
        <v>13</v>
      </c>
    </row>
    <row r="1014" spans="1:10" x14ac:dyDescent="0.3">
      <c r="E1014" s="83"/>
      <c r="H1014" s="84"/>
      <c r="I1014" s="84"/>
      <c r="J1014" s="84"/>
    </row>
    <row r="1015" spans="1:10" x14ac:dyDescent="0.3">
      <c r="E1015" s="83"/>
      <c r="H1015" s="84"/>
      <c r="I1015" s="84"/>
      <c r="J1015" s="84"/>
    </row>
  </sheetData>
  <sheetProtection password="8BBD" sheet="1" objects="1" scenarios="1" selectLockedCells="1" selectUnlockedCells="1"/>
  <mergeCells count="1">
    <mergeCell ref="D4:F4"/>
  </mergeCells>
  <phoneticPr fontId="4" type="noConversion"/>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15"/>
  <sheetViews>
    <sheetView showGridLines="0" zoomScale="75" zoomScaleNormal="75" workbookViewId="0">
      <selection activeCell="K34" sqref="K34:M34"/>
    </sheetView>
  </sheetViews>
  <sheetFormatPr defaultColWidth="9" defaultRowHeight="13.5" x14ac:dyDescent="0.3"/>
  <cols>
    <col min="1" max="1" width="8.08203125" style="35" customWidth="1"/>
    <col min="2" max="2" width="14" style="35" customWidth="1"/>
    <col min="3" max="3" width="13.83203125" style="35" customWidth="1"/>
    <col min="4" max="4" width="13.25" style="35" customWidth="1"/>
    <col min="5" max="5" width="9.75" style="35" customWidth="1"/>
    <col min="6" max="6" width="12.5" style="35" bestFit="1" customWidth="1"/>
    <col min="7" max="7" width="14.08203125" style="35" customWidth="1"/>
    <col min="8" max="104" width="13.58203125" style="35" customWidth="1"/>
    <col min="105" max="16384" width="9" style="35"/>
  </cols>
  <sheetData>
    <row r="1" spans="1:26" ht="40.5" customHeight="1" x14ac:dyDescent="0.3">
      <c r="A1" s="34">
        <v>0.5</v>
      </c>
      <c r="B1" s="35" t="s">
        <v>16</v>
      </c>
      <c r="F1" s="34">
        <f>A1</f>
        <v>0.5</v>
      </c>
      <c r="G1" s="35" t="s">
        <v>37</v>
      </c>
    </row>
    <row r="2" spans="1:26" ht="14" thickBot="1" x14ac:dyDescent="0.35">
      <c r="A2" s="36">
        <f>Amounts!E2</f>
        <v>8.2309999999999994E-2</v>
      </c>
      <c r="B2" s="37"/>
      <c r="C2" s="37"/>
    </row>
    <row r="3" spans="1:26" ht="14" thickTop="1" x14ac:dyDescent="0.3">
      <c r="A3" s="38"/>
      <c r="B3" s="39"/>
      <c r="C3" s="39"/>
      <c r="D3" s="40"/>
      <c r="E3" s="41"/>
      <c r="F3" s="42"/>
      <c r="G3" s="43"/>
      <c r="H3" s="41"/>
      <c r="I3" s="44"/>
      <c r="J3" s="35">
        <f>A7</f>
        <v>1990</v>
      </c>
      <c r="K3" s="73">
        <v>0</v>
      </c>
    </row>
    <row r="4" spans="1:26" x14ac:dyDescent="0.3">
      <c r="A4" s="45"/>
      <c r="B4" s="46"/>
      <c r="C4" s="47" t="s">
        <v>1</v>
      </c>
      <c r="D4" s="452" t="s">
        <v>33</v>
      </c>
      <c r="E4" s="453"/>
      <c r="F4" s="454"/>
      <c r="G4" s="48" t="s">
        <v>6</v>
      </c>
      <c r="H4" s="49"/>
      <c r="I4" s="50"/>
      <c r="J4" s="35">
        <f t="shared" ref="J4:J67" si="0">J3+1</f>
        <v>1991</v>
      </c>
      <c r="K4" s="75">
        <f>$G21</f>
        <v>18.82263988668868</v>
      </c>
    </row>
    <row r="5" spans="1:26" x14ac:dyDescent="0.3">
      <c r="A5" s="45"/>
      <c r="B5" s="51" t="s">
        <v>2</v>
      </c>
      <c r="C5" s="52" t="s">
        <v>3</v>
      </c>
      <c r="D5" s="53"/>
      <c r="E5" s="54"/>
      <c r="F5" s="55"/>
      <c r="G5" s="56" t="s">
        <v>34</v>
      </c>
      <c r="H5" s="49"/>
      <c r="I5" s="57"/>
      <c r="J5" s="35">
        <f t="shared" si="0"/>
        <v>1992</v>
      </c>
      <c r="K5" s="75">
        <f>$G31</f>
        <v>36.749543414914875</v>
      </c>
    </row>
    <row r="6" spans="1:26" x14ac:dyDescent="0.3">
      <c r="A6" s="58" t="s">
        <v>0</v>
      </c>
      <c r="B6" s="59" t="s">
        <v>4</v>
      </c>
      <c r="C6" s="59" t="s">
        <v>5</v>
      </c>
      <c r="D6" s="60" t="s">
        <v>14</v>
      </c>
      <c r="E6" s="60" t="s">
        <v>7</v>
      </c>
      <c r="F6" s="61" t="s">
        <v>8</v>
      </c>
      <c r="G6" s="85" t="s">
        <v>7</v>
      </c>
      <c r="H6" s="63" t="s">
        <v>9</v>
      </c>
      <c r="I6" s="64" t="s">
        <v>10</v>
      </c>
      <c r="J6" s="35">
        <f t="shared" si="0"/>
        <v>1993</v>
      </c>
      <c r="K6" s="75">
        <f>$G41</f>
        <v>53.848695666451903</v>
      </c>
      <c r="L6" s="65"/>
    </row>
    <row r="7" spans="1:26" x14ac:dyDescent="0.3">
      <c r="A7" s="66">
        <f>Amounts!A4</f>
        <v>1990</v>
      </c>
      <c r="B7" s="67">
        <f>LOOKUP(A7+0.01,Amounts!$A$4:$A$103,Amounts!$B$4:$B$103)*0.1*$A$2</f>
        <v>2529.1074748750002</v>
      </c>
      <c r="C7" s="68">
        <f>B7</f>
        <v>2529.1074748750002</v>
      </c>
      <c r="D7" s="69">
        <v>0</v>
      </c>
      <c r="E7" s="67">
        <f t="shared" ref="E7:E70" si="1">D7/(365*24*60)*1.00201</f>
        <v>0</v>
      </c>
      <c r="F7" s="70">
        <f>E7*60*1012/1000000</f>
        <v>0</v>
      </c>
      <c r="G7" s="67">
        <f>E7/'Lookup Tables'!$C$48</f>
        <v>0</v>
      </c>
      <c r="H7" s="70">
        <f t="shared" ref="H7:H70" si="2">G7*60*24*365/(C7*2000)</f>
        <v>0</v>
      </c>
      <c r="I7" s="71">
        <f>G7*60*24/1000000</f>
        <v>0</v>
      </c>
      <c r="J7" s="35">
        <f t="shared" si="0"/>
        <v>1994</v>
      </c>
      <c r="K7" s="75">
        <f>$G51</f>
        <v>70.183485511391069</v>
      </c>
      <c r="L7" s="65"/>
    </row>
    <row r="8" spans="1:26" x14ac:dyDescent="0.3">
      <c r="A8" s="66">
        <f>A7+0.1</f>
        <v>1990.1</v>
      </c>
      <c r="B8" s="67">
        <f>LOOKUP(A8+0.01,Amounts!$A$4:$A$103,Amounts!$B$4:$B$103)*0.1*$A$2</f>
        <v>2529.1074748750002</v>
      </c>
      <c r="C8" s="68">
        <f>C7+B8</f>
        <v>5058.2149497500004</v>
      </c>
      <c r="D8" s="67">
        <v>0</v>
      </c>
      <c r="E8" s="67">
        <f t="shared" si="1"/>
        <v>0</v>
      </c>
      <c r="F8" s="70">
        <f>E8*60*1012/1000000</f>
        <v>0</v>
      </c>
      <c r="G8" s="67">
        <f>E8/'Lookup Tables'!$C$48</f>
        <v>0</v>
      </c>
      <c r="H8" s="70">
        <f t="shared" si="2"/>
        <v>0</v>
      </c>
      <c r="I8" s="71">
        <f>G8*60*24/1000000</f>
        <v>0</v>
      </c>
      <c r="J8" s="35">
        <f t="shared" si="0"/>
        <v>1995</v>
      </c>
      <c r="K8" s="75">
        <f>$G61</f>
        <v>85.813691592111482</v>
      </c>
      <c r="L8" s="74"/>
      <c r="M8" s="74"/>
      <c r="N8" s="74"/>
      <c r="O8" s="74"/>
      <c r="P8" s="74"/>
      <c r="Q8" s="74"/>
      <c r="R8" s="74"/>
      <c r="S8" s="74"/>
      <c r="T8" s="74"/>
      <c r="U8" s="74"/>
      <c r="V8" s="74"/>
      <c r="W8" s="74"/>
      <c r="X8" s="74"/>
      <c r="Y8" s="74"/>
      <c r="Z8" s="74"/>
    </row>
    <row r="9" spans="1:26" x14ac:dyDescent="0.3">
      <c r="A9" s="66">
        <f t="shared" ref="A9:A15" si="3">A8+0.1</f>
        <v>1990.1999999999998</v>
      </c>
      <c r="B9" s="67">
        <f>LOOKUP(A9+0.01,Amounts!$A$4:$A$103,Amounts!$B$4:$B$103)*0.1*$A$2</f>
        <v>2529.1074748750002</v>
      </c>
      <c r="C9" s="68">
        <f t="shared" ref="C9:C72" si="4">C8+B9</f>
        <v>7587.3224246250011</v>
      </c>
      <c r="D9" s="67">
        <v>0</v>
      </c>
      <c r="E9" s="67">
        <f t="shared" si="1"/>
        <v>0</v>
      </c>
      <c r="F9" s="70">
        <f t="shared" ref="F9:F16" si="5">E9*60*1012/1000000</f>
        <v>0</v>
      </c>
      <c r="G9" s="67">
        <f>E9/'Lookup Tables'!$C$48</f>
        <v>0</v>
      </c>
      <c r="H9" s="70">
        <f t="shared" si="2"/>
        <v>0</v>
      </c>
      <c r="I9" s="71">
        <f t="shared" ref="I9:I15" si="6">G9*60*24/1000000</f>
        <v>0</v>
      </c>
      <c r="J9" s="35">
        <f t="shared" si="0"/>
        <v>1996</v>
      </c>
      <c r="K9" s="75">
        <f>$G71</f>
        <v>100.79437589367457</v>
      </c>
      <c r="L9" s="74"/>
      <c r="M9" s="74"/>
      <c r="N9" s="74"/>
      <c r="O9" s="74"/>
      <c r="P9" s="74"/>
      <c r="Q9" s="74"/>
      <c r="R9" s="74"/>
      <c r="S9" s="74"/>
      <c r="T9" s="74"/>
      <c r="U9" s="74"/>
      <c r="V9" s="74"/>
      <c r="W9" s="74"/>
      <c r="X9" s="74"/>
      <c r="Y9" s="74"/>
      <c r="Z9" s="74"/>
    </row>
    <row r="10" spans="1:26" x14ac:dyDescent="0.3">
      <c r="A10" s="66">
        <f t="shared" si="3"/>
        <v>1990.2999999999997</v>
      </c>
      <c r="B10" s="67">
        <f>LOOKUP(A10+0.01,Amounts!$A$4:$A$103,Amounts!$B$4:$B$103)*0.1*$A$2</f>
        <v>2529.1074748750002</v>
      </c>
      <c r="C10" s="68">
        <f t="shared" si="4"/>
        <v>10116.429899500001</v>
      </c>
      <c r="D10" s="67">
        <v>0</v>
      </c>
      <c r="E10" s="67">
        <f t="shared" si="1"/>
        <v>0</v>
      </c>
      <c r="F10" s="70">
        <f t="shared" si="5"/>
        <v>0</v>
      </c>
      <c r="G10" s="67">
        <f>E10/'Lookup Tables'!$C$48</f>
        <v>0</v>
      </c>
      <c r="H10" s="70">
        <f t="shared" si="2"/>
        <v>0</v>
      </c>
      <c r="I10" s="71">
        <f t="shared" si="6"/>
        <v>0</v>
      </c>
      <c r="J10" s="35">
        <f t="shared" si="0"/>
        <v>1997</v>
      </c>
      <c r="K10" s="75">
        <f>$G81</f>
        <v>115.17822837397374</v>
      </c>
      <c r="L10" s="74"/>
      <c r="M10" s="74"/>
      <c r="N10" s="74"/>
      <c r="O10" s="74"/>
      <c r="P10" s="74"/>
      <c r="Q10" s="74"/>
      <c r="R10" s="74"/>
      <c r="S10" s="74"/>
      <c r="T10" s="74"/>
      <c r="U10" s="74"/>
      <c r="V10" s="74"/>
      <c r="W10" s="74"/>
      <c r="X10" s="74"/>
      <c r="Y10" s="74"/>
      <c r="Z10" s="74"/>
    </row>
    <row r="11" spans="1:26" x14ac:dyDescent="0.3">
      <c r="A11" s="66">
        <f t="shared" si="3"/>
        <v>1990.3999999999996</v>
      </c>
      <c r="B11" s="67">
        <f>LOOKUP(A11+0.01,Amounts!$A$4:$A$103,Amounts!$B$4:$B$103)*0.1*$A$2</f>
        <v>2529.1074748750002</v>
      </c>
      <c r="C11" s="68">
        <f t="shared" si="4"/>
        <v>12645.537374375001</v>
      </c>
      <c r="D11" s="67">
        <v>0</v>
      </c>
      <c r="E11" s="67">
        <f t="shared" si="1"/>
        <v>0</v>
      </c>
      <c r="F11" s="70">
        <f t="shared" si="5"/>
        <v>0</v>
      </c>
      <c r="G11" s="67">
        <f>E11/'Lookup Tables'!$C$48</f>
        <v>0</v>
      </c>
      <c r="H11" s="70">
        <f t="shared" si="2"/>
        <v>0</v>
      </c>
      <c r="I11" s="71">
        <f t="shared" si="6"/>
        <v>0</v>
      </c>
      <c r="J11" s="35">
        <f t="shared" si="0"/>
        <v>1998</v>
      </c>
      <c r="K11" s="75">
        <f>$G91</f>
        <v>129.0137015724645</v>
      </c>
      <c r="L11" s="74"/>
      <c r="M11" s="74"/>
      <c r="N11" s="74"/>
      <c r="O11" s="74"/>
      <c r="P11" s="74"/>
      <c r="Q11" s="74"/>
      <c r="R11" s="74"/>
      <c r="S11" s="74"/>
      <c r="T11" s="74"/>
      <c r="U11" s="74"/>
      <c r="V11" s="74"/>
      <c r="W11" s="74"/>
      <c r="X11" s="74"/>
      <c r="Y11" s="74"/>
      <c r="Z11" s="74"/>
    </row>
    <row r="12" spans="1:26" x14ac:dyDescent="0.3">
      <c r="A12" s="66">
        <f t="shared" si="3"/>
        <v>1990.4999999999995</v>
      </c>
      <c r="B12" s="67">
        <f>LOOKUP(A12+0.01,Amounts!$A$4:$A$103,Amounts!$B$4:$B$103)*0.1*$A$2</f>
        <v>2529.1074748750002</v>
      </c>
      <c r="C12" s="68">
        <f t="shared" si="4"/>
        <v>15174.64484925</v>
      </c>
      <c r="D12" s="67">
        <f t="array" ref="D12">SUM($B$7:$B7*$F$1009*EXP(-$F$1009*($A12-$A$7:$A7)))*$F$1010</f>
        <v>509361.75892062561</v>
      </c>
      <c r="E12" s="67">
        <f t="shared" si="1"/>
        <v>0.97105322689508389</v>
      </c>
      <c r="F12" s="70">
        <f t="shared" si="5"/>
        <v>5.8962351937069495E-2</v>
      </c>
      <c r="G12" s="67">
        <f>E12/'Lookup Tables'!$C$48</f>
        <v>1.9421064537901678</v>
      </c>
      <c r="H12" s="70">
        <f t="shared" si="2"/>
        <v>3.3634103540899789E-2</v>
      </c>
      <c r="I12" s="71">
        <f t="shared" si="6"/>
        <v>2.796633293457842E-3</v>
      </c>
      <c r="J12" s="35">
        <f t="shared" si="0"/>
        <v>1999</v>
      </c>
      <c r="K12" s="75">
        <f>$G101</f>
        <v>142.34597233749452</v>
      </c>
      <c r="L12" s="74"/>
      <c r="M12" s="74"/>
      <c r="N12" s="74"/>
      <c r="O12" s="74"/>
      <c r="P12" s="74"/>
      <c r="Q12" s="74"/>
      <c r="R12" s="74"/>
      <c r="S12" s="74"/>
      <c r="T12" s="74"/>
      <c r="U12" s="74"/>
      <c r="V12" s="74"/>
      <c r="W12" s="74"/>
      <c r="X12" s="74"/>
      <c r="Y12" s="74"/>
      <c r="Z12" s="74"/>
    </row>
    <row r="13" spans="1:26" x14ac:dyDescent="0.3">
      <c r="A13" s="66">
        <f t="shared" si="3"/>
        <v>1990.5999999999995</v>
      </c>
      <c r="B13" s="67">
        <f>LOOKUP(A13+0.01,Amounts!$A$4:$A$103,Amounts!$B$4:$B$103)*0.1*$A$2</f>
        <v>2529.1074748750002</v>
      </c>
      <c r="C13" s="68">
        <f t="shared" si="4"/>
        <v>17703.752324125002</v>
      </c>
      <c r="D13" s="67">
        <f t="array" ref="D13">SUM($B$7:$B8*$F$1009*EXP(-$F$1009*($A13-$A$7:$A8)))*$F$1010</f>
        <v>1015170.4358242759</v>
      </c>
      <c r="E13" s="67">
        <f t="shared" si="1"/>
        <v>1.9353328165911012</v>
      </c>
      <c r="F13" s="70">
        <f t="shared" si="5"/>
        <v>0.11751340862341167</v>
      </c>
      <c r="G13" s="67">
        <f>E13/'Lookup Tables'!$C$48</f>
        <v>3.8706656331822025</v>
      </c>
      <c r="H13" s="70">
        <f t="shared" si="2"/>
        <v>5.745736326270922E-2</v>
      </c>
      <c r="I13" s="71">
        <f t="shared" si="6"/>
        <v>5.5737585117823715E-3</v>
      </c>
      <c r="J13" s="35">
        <f t="shared" si="0"/>
        <v>2000</v>
      </c>
      <c r="K13" s="75">
        <f>$G111</f>
        <v>155.21783853492036</v>
      </c>
      <c r="L13" s="74"/>
      <c r="M13" s="74"/>
      <c r="N13" s="74"/>
      <c r="O13" s="74"/>
      <c r="P13" s="74"/>
      <c r="Q13" s="74"/>
      <c r="R13" s="74"/>
      <c r="S13" s="74"/>
      <c r="T13" s="74"/>
      <c r="U13" s="74"/>
      <c r="V13" s="74"/>
      <c r="W13" s="74"/>
      <c r="X13" s="74"/>
      <c r="Y13" s="74"/>
      <c r="Z13" s="74"/>
    </row>
    <row r="14" spans="1:26" x14ac:dyDescent="0.3">
      <c r="A14" s="66">
        <f t="shared" si="3"/>
        <v>1990.6999999999994</v>
      </c>
      <c r="B14" s="67">
        <f>LOOKUP(A14+0.01,Amounts!$A$4:$A$103,Amounts!$B$4:$B$103)*0.1*$A$2</f>
        <v>2529.1074748750002</v>
      </c>
      <c r="C14" s="68">
        <f t="shared" si="4"/>
        <v>20232.859799000002</v>
      </c>
      <c r="D14" s="67">
        <f t="array" ref="D14">SUM($B$7:$B9*$F$1009*EXP(-$F$1009*($A14-$A$7:$A9)))*$F$1010</f>
        <v>1517450.8154373234</v>
      </c>
      <c r="E14" s="67">
        <f t="shared" si="1"/>
        <v>2.8928860189808838</v>
      </c>
      <c r="F14" s="70">
        <f t="shared" si="5"/>
        <v>0.17565603907251928</v>
      </c>
      <c r="G14" s="67">
        <f>E14/'Lookup Tables'!$C$48</f>
        <v>5.7857720379617676</v>
      </c>
      <c r="H14" s="70">
        <f t="shared" si="2"/>
        <v>7.5150073033743964E-2</v>
      </c>
      <c r="I14" s="71">
        <f t="shared" si="6"/>
        <v>8.331511734664945E-3</v>
      </c>
      <c r="J14" s="35">
        <f t="shared" si="0"/>
        <v>2001</v>
      </c>
      <c r="K14" s="75">
        <f>$G121</f>
        <v>167.66920463037249</v>
      </c>
      <c r="L14" s="74"/>
      <c r="M14" s="74"/>
      <c r="N14" s="74"/>
      <c r="O14" s="74"/>
      <c r="P14" s="74"/>
      <c r="Q14" s="74"/>
      <c r="R14" s="74"/>
      <c r="S14" s="74"/>
      <c r="T14" s="74"/>
      <c r="U14" s="74"/>
      <c r="V14" s="74"/>
      <c r="W14" s="74"/>
      <c r="X14" s="74"/>
      <c r="Y14" s="74"/>
      <c r="Z14" s="74"/>
    </row>
    <row r="15" spans="1:26" x14ac:dyDescent="0.3">
      <c r="A15" s="66">
        <f t="shared" si="3"/>
        <v>1990.7999999999993</v>
      </c>
      <c r="B15" s="67">
        <f>LOOKUP(A15+0.01,Amounts!$A$4:$A$103,Amounts!$B$4:$B$103)*0.1*$A$2</f>
        <v>2529.1074748750002</v>
      </c>
      <c r="C15" s="68">
        <f t="shared" si="4"/>
        <v>22761.967273875001</v>
      </c>
      <c r="D15" s="67">
        <f t="array" ref="D15">SUM($B$7:$B10*$F$1009*EXP(-$F$1009*($A15-$A$7:$A10)))*$F$1010</f>
        <v>2016227.5095988663</v>
      </c>
      <c r="E15" s="67">
        <f t="shared" si="1"/>
        <v>3.8437597543629378</v>
      </c>
      <c r="F15" s="70">
        <f t="shared" si="5"/>
        <v>0.23339309228491759</v>
      </c>
      <c r="G15" s="67">
        <f>E15/'Lookup Tables'!$C$48</f>
        <v>7.6875195087258756</v>
      </c>
      <c r="H15" s="70">
        <f t="shared" si="2"/>
        <v>8.8756832947911868E-2</v>
      </c>
      <c r="I15" s="71">
        <f t="shared" si="6"/>
        <v>1.1070028092565262E-2</v>
      </c>
      <c r="J15" s="35">
        <f t="shared" si="0"/>
        <v>2002</v>
      </c>
      <c r="K15" s="75">
        <f>$G131</f>
        <v>179.73795255264616</v>
      </c>
      <c r="L15" s="74"/>
      <c r="M15" s="74"/>
      <c r="N15" s="74"/>
      <c r="O15" s="74"/>
      <c r="P15" s="74"/>
      <c r="Q15" s="74"/>
      <c r="R15" s="74"/>
      <c r="S15" s="74"/>
      <c r="T15" s="74"/>
      <c r="U15" s="74"/>
      <c r="V15" s="74"/>
      <c r="W15" s="74"/>
      <c r="X15" s="74"/>
      <c r="Y15" s="74"/>
      <c r="Z15" s="74"/>
    </row>
    <row r="16" spans="1:26" x14ac:dyDescent="0.3">
      <c r="A16" s="66">
        <f>A15+0.1</f>
        <v>1990.8999999999992</v>
      </c>
      <c r="B16" s="67">
        <f>LOOKUP(A16+0.01,Amounts!$A$4:$A$103,Amounts!$B$4:$B$103)*0.1*$A$2</f>
        <v>2529.1074748750002</v>
      </c>
      <c r="C16" s="68">
        <f t="shared" si="4"/>
        <v>25291.074748750001</v>
      </c>
      <c r="D16" s="67">
        <f t="array" ref="D16">SUM($B$7:$B11*$F$1009*EXP(-$F$1009*($A16-$A$7:$A11)))*$F$1010</f>
        <v>2511524.9584667166</v>
      </c>
      <c r="E16" s="67">
        <f t="shared" si="1"/>
        <v>4.788000615740553</v>
      </c>
      <c r="F16" s="70">
        <f t="shared" si="5"/>
        <v>0.29072739738776632</v>
      </c>
      <c r="G16" s="67">
        <f>E16/'Lookup Tables'!$C$48</f>
        <v>9.576001231481106</v>
      </c>
      <c r="H16" s="70">
        <f t="shared" si="2"/>
        <v>9.9504396259696898E-2</v>
      </c>
      <c r="I16" s="71">
        <f>G16*60*24/1000000</f>
        <v>1.3789441773332791E-2</v>
      </c>
      <c r="J16" s="35">
        <f t="shared" si="0"/>
        <v>2003</v>
      </c>
      <c r="K16" s="75">
        <f>$G141</f>
        <v>191.4587279263813</v>
      </c>
      <c r="L16" s="74"/>
      <c r="M16" s="74"/>
      <c r="N16" s="74"/>
      <c r="O16" s="74"/>
      <c r="P16" s="74"/>
      <c r="Q16" s="74"/>
      <c r="R16" s="74"/>
      <c r="S16" s="74"/>
      <c r="T16" s="74"/>
      <c r="U16" s="74"/>
      <c r="V16" s="74"/>
      <c r="W16" s="74"/>
      <c r="X16" s="74"/>
      <c r="Y16" s="74"/>
      <c r="Z16" s="74"/>
    </row>
    <row r="17" spans="1:26" x14ac:dyDescent="0.3">
      <c r="A17" s="66">
        <f>A16+0.1</f>
        <v>1990.9999999999991</v>
      </c>
      <c r="B17" s="67">
        <f>LOOKUP(A17+0.01,Amounts!$A$4:$A$103,Amounts!$B$4:$B$103)*0.1*$A$2</f>
        <v>2579.7349895290004</v>
      </c>
      <c r="C17" s="68">
        <f t="shared" si="4"/>
        <v>27870.809738279</v>
      </c>
      <c r="D17" s="67">
        <f t="array" ref="D17">SUM($B$7:$B12*$F$1009*EXP(-$F$1009*($A17-$A$7:$A12)))*$F$1010</f>
        <v>3003367.4317149692</v>
      </c>
      <c r="E17" s="67">
        <f t="shared" si="1"/>
        <v>5.7256548711048634</v>
      </c>
      <c r="F17" s="70">
        <f>E17*60*1012/1000000</f>
        <v>0.34766176377348729</v>
      </c>
      <c r="G17" s="67">
        <f>E17/'Lookup Tables'!$C$48</f>
        <v>11.451309742209727</v>
      </c>
      <c r="H17" s="70">
        <f t="shared" si="2"/>
        <v>0.10797692024424635</v>
      </c>
      <c r="I17" s="71">
        <f>G17*60*24/1000000</f>
        <v>1.6489886028782007E-2</v>
      </c>
      <c r="J17" s="35">
        <f t="shared" si="0"/>
        <v>2004</v>
      </c>
      <c r="K17" s="75">
        <f>$G151</f>
        <v>202.86450936953372</v>
      </c>
      <c r="L17" s="74"/>
      <c r="M17" s="74"/>
      <c r="N17" s="74"/>
      <c r="O17" s="74"/>
      <c r="P17" s="74"/>
      <c r="Q17" s="74"/>
      <c r="R17" s="74"/>
      <c r="S17" s="74"/>
      <c r="T17" s="74"/>
      <c r="U17" s="74"/>
      <c r="V17" s="74"/>
      <c r="W17" s="74"/>
      <c r="X17" s="74"/>
      <c r="Y17" s="74"/>
      <c r="Z17" s="74"/>
    </row>
    <row r="18" spans="1:26" x14ac:dyDescent="0.3">
      <c r="A18" s="66">
        <f>A17+0.1</f>
        <v>1991.099999999999</v>
      </c>
      <c r="B18" s="67">
        <f>LOOKUP(A18+0.01,Amounts!$A$4:$A$103,Amounts!$B$4:$B$103)*0.1*$A$2</f>
        <v>2579.7349895290004</v>
      </c>
      <c r="C18" s="68">
        <f t="shared" si="4"/>
        <v>30450.544727807999</v>
      </c>
      <c r="D18" s="67">
        <f t="array" ref="D18">SUM($B$7:$B13*$F$1009*EXP(-$F$1009*($A18-$A$7:$A13)))*$F$1010</f>
        <v>3491779.0297232233</v>
      </c>
      <c r="E18" s="67">
        <f t="shared" si="1"/>
        <v>6.6567684657019921</v>
      </c>
      <c r="F18" s="70">
        <f>E18*60*1012/1000000</f>
        <v>0.40419898123742498</v>
      </c>
      <c r="G18" s="67">
        <f>E18/'Lookup Tables'!$C$48</f>
        <v>13.313536931403984</v>
      </c>
      <c r="H18" s="70">
        <f t="shared" si="2"/>
        <v>0.11490098245690171</v>
      </c>
      <c r="I18" s="71">
        <f>G18*60*24/1000000</f>
        <v>1.917149318122174E-2</v>
      </c>
      <c r="J18" s="35">
        <f t="shared" si="0"/>
        <v>2005</v>
      </c>
      <c r="K18" s="75">
        <f>$G161</f>
        <v>213.98604594167489</v>
      </c>
      <c r="L18" s="74"/>
      <c r="M18" s="74"/>
      <c r="N18" s="74"/>
      <c r="O18" s="74"/>
      <c r="P18" s="74"/>
      <c r="Q18" s="74"/>
      <c r="R18" s="74"/>
      <c r="S18" s="74"/>
      <c r="T18" s="74"/>
      <c r="U18" s="74"/>
      <c r="V18" s="74"/>
      <c r="W18" s="74"/>
      <c r="X18" s="74"/>
      <c r="Y18" s="74"/>
      <c r="Z18" s="74"/>
    </row>
    <row r="19" spans="1:26" x14ac:dyDescent="0.3">
      <c r="A19" s="66">
        <f t="shared" ref="A19:A82" si="7">A18+0.1</f>
        <v>1991.1999999999989</v>
      </c>
      <c r="B19" s="67">
        <f>LOOKUP(A19+0.01,Amounts!$A$4:$A$103,Amounts!$B$4:$B$103)*0.1*$A$2</f>
        <v>2579.7349895290004</v>
      </c>
      <c r="C19" s="68">
        <f t="shared" si="4"/>
        <v>33030.279717336998</v>
      </c>
      <c r="D19" s="67">
        <f t="array" ref="D19">SUM($B$7:$B14*$F$1009*EXP(-$F$1009*($A19-$A$7:$A14)))*$F$1010</f>
        <v>3976783.6847575032</v>
      </c>
      <c r="E19" s="67">
        <f t="shared" si="1"/>
        <v>7.5813870242843722</v>
      </c>
      <c r="F19" s="70">
        <f t="shared" ref="F19:F82" si="8">E19*60*1012/1000000</f>
        <v>0.46034182011454711</v>
      </c>
      <c r="G19" s="67">
        <f>E19/'Lookup Tables'!$C$48</f>
        <v>15.162774048568744</v>
      </c>
      <c r="H19" s="70">
        <f t="shared" si="2"/>
        <v>0.12064012336753929</v>
      </c>
      <c r="I19" s="71">
        <f t="shared" ref="I19:I82" si="9">G19*60*24/1000000</f>
        <v>2.1834394629938993E-2</v>
      </c>
      <c r="J19" s="35">
        <f t="shared" si="0"/>
        <v>2006</v>
      </c>
      <c r="K19" s="75">
        <f>$G171</f>
        <v>224.85268312757202</v>
      </c>
      <c r="L19" s="74"/>
      <c r="M19" s="74"/>
      <c r="N19" s="74"/>
      <c r="O19" s="74"/>
      <c r="P19" s="74"/>
      <c r="Q19" s="74"/>
      <c r="R19" s="74"/>
      <c r="S19" s="74"/>
      <c r="T19" s="74"/>
      <c r="U19" s="74"/>
      <c r="V19" s="74"/>
      <c r="W19" s="74"/>
      <c r="X19" s="74"/>
      <c r="Y19" s="74"/>
      <c r="Z19" s="74"/>
    </row>
    <row r="20" spans="1:26" x14ac:dyDescent="0.3">
      <c r="A20" s="66">
        <f t="shared" si="7"/>
        <v>1991.2999999999988</v>
      </c>
      <c r="B20" s="67">
        <f>LOOKUP(A20+0.01,Amounts!$A$4:$A$103,Amounts!$B$4:$B$103)*0.1*$A$2</f>
        <v>2579.7349895290004</v>
      </c>
      <c r="C20" s="68">
        <f t="shared" si="4"/>
        <v>35610.014706866001</v>
      </c>
      <c r="D20" s="67">
        <f t="array" ref="D20">SUM($B$7:$B15*$F$1009*EXP(-$F$1009*($A20-$A$7:$A15)))*$F$1010</f>
        <v>4458405.1621429482</v>
      </c>
      <c r="E20" s="67">
        <f t="shared" si="1"/>
        <v>8.4995558533463775</v>
      </c>
      <c r="F20" s="70">
        <f t="shared" si="8"/>
        <v>0.51609303141519203</v>
      </c>
      <c r="G20" s="67">
        <f>E20/'Lookup Tables'!$C$48</f>
        <v>16.999111706692755</v>
      </c>
      <c r="H20" s="70">
        <f t="shared" si="2"/>
        <v>0.12545253331944001</v>
      </c>
      <c r="I20" s="71">
        <f t="shared" si="9"/>
        <v>2.4478720857637568E-2</v>
      </c>
      <c r="J20" s="35">
        <f t="shared" si="0"/>
        <v>2007</v>
      </c>
      <c r="K20" s="75">
        <f>$G181</f>
        <v>235.49110722420932</v>
      </c>
      <c r="L20" s="74"/>
      <c r="M20" s="74"/>
      <c r="N20" s="74"/>
      <c r="O20" s="74"/>
      <c r="P20" s="74"/>
      <c r="Q20" s="74"/>
      <c r="R20" s="74"/>
      <c r="S20" s="74"/>
      <c r="T20" s="74"/>
      <c r="U20" s="74"/>
      <c r="V20" s="74"/>
      <c r="W20" s="74"/>
      <c r="X20" s="74"/>
      <c r="Y20" s="74"/>
      <c r="Z20" s="74"/>
    </row>
    <row r="21" spans="1:26" x14ac:dyDescent="0.3">
      <c r="A21" s="66">
        <f t="shared" si="7"/>
        <v>1991.3999999999987</v>
      </c>
      <c r="B21" s="67">
        <f>LOOKUP(A21+0.01,Amounts!$A$4:$A$103,Amounts!$B$4:$B$103)*0.1*$A$2</f>
        <v>2579.7349895290004</v>
      </c>
      <c r="C21" s="68">
        <f t="shared" si="4"/>
        <v>38189.749696395003</v>
      </c>
      <c r="D21" s="67">
        <f t="array" ref="D21">SUM($B$7:$B16*$F$1009*EXP(-$F$1009*($A21-$A$7:$A16)))*$F$1010</f>
        <v>4936667.0614283141</v>
      </c>
      <c r="E21" s="67">
        <f t="shared" si="1"/>
        <v>9.4113199433443402</v>
      </c>
      <c r="F21" s="70">
        <f t="shared" si="8"/>
        <v>0.57145534695986833</v>
      </c>
      <c r="G21" s="67">
        <f>E21/'Lookup Tables'!$C$48</f>
        <v>18.82263988668868</v>
      </c>
      <c r="H21" s="70">
        <f t="shared" si="2"/>
        <v>0.12952663480506466</v>
      </c>
      <c r="I21" s="71">
        <f t="shared" si="9"/>
        <v>2.7104601436831698E-2</v>
      </c>
      <c r="J21" s="35">
        <f t="shared" si="0"/>
        <v>2008</v>
      </c>
      <c r="K21" s="75">
        <f>$G191</f>
        <v>245.92687562162567</v>
      </c>
      <c r="L21" s="74"/>
      <c r="M21" s="74"/>
      <c r="N21" s="74"/>
      <c r="O21" s="74"/>
      <c r="P21" s="74"/>
      <c r="Q21" s="74"/>
      <c r="R21" s="74"/>
      <c r="S21" s="74"/>
      <c r="T21" s="74"/>
      <c r="U21" s="74"/>
      <c r="V21" s="74"/>
      <c r="W21" s="74"/>
      <c r="X21" s="74"/>
      <c r="Y21" s="74"/>
      <c r="Z21" s="74"/>
    </row>
    <row r="22" spans="1:26" x14ac:dyDescent="0.3">
      <c r="A22" s="66">
        <f t="shared" si="7"/>
        <v>1991.4999999999986</v>
      </c>
      <c r="B22" s="67">
        <f>LOOKUP(A22+0.01,Amounts!$A$4:$A$103,Amounts!$B$4:$B$103)*0.1*$A$2</f>
        <v>2579.7349895290004</v>
      </c>
      <c r="C22" s="68">
        <f t="shared" si="4"/>
        <v>40769.484685924006</v>
      </c>
      <c r="D22" s="67">
        <f t="array" ref="D22">SUM($B$7:$B17*$F$1009*EXP(-$F$1009*($A22-$A$7:$A17)))*$F$1010</f>
        <v>5421789.1892545652</v>
      </c>
      <c r="E22" s="67">
        <f t="shared" si="1"/>
        <v>10.336162453434108</v>
      </c>
      <c r="F22" s="70">
        <f t="shared" si="8"/>
        <v>0.62761178417251906</v>
      </c>
      <c r="G22" s="67">
        <f>E22/'Lookup Tables'!$C$48</f>
        <v>20.672324906868216</v>
      </c>
      <c r="H22" s="70">
        <f t="shared" si="2"/>
        <v>0.13325375651364674</v>
      </c>
      <c r="I22" s="71">
        <f t="shared" si="9"/>
        <v>2.9768147865890233E-2</v>
      </c>
      <c r="J22" s="35">
        <f t="shared" si="0"/>
        <v>2009</v>
      </c>
      <c r="K22" s="75">
        <f>$G201</f>
        <v>256.18449312400213</v>
      </c>
      <c r="L22" s="74"/>
      <c r="M22" s="74"/>
      <c r="N22" s="74"/>
      <c r="O22" s="74"/>
      <c r="P22" s="74"/>
      <c r="Q22" s="74"/>
      <c r="R22" s="74"/>
      <c r="S22" s="74"/>
      <c r="T22" s="74"/>
      <c r="U22" s="74"/>
      <c r="V22" s="74"/>
      <c r="W22" s="74"/>
      <c r="X22" s="74"/>
      <c r="Y22" s="74"/>
      <c r="Z22" s="74"/>
    </row>
    <row r="23" spans="1:26" x14ac:dyDescent="0.3">
      <c r="A23" s="66">
        <f t="shared" si="7"/>
        <v>1991.5999999999985</v>
      </c>
      <c r="B23" s="67">
        <f>LOOKUP(A23+0.01,Amounts!$A$4:$A$103,Amounts!$B$4:$B$103)*0.1*$A$2</f>
        <v>2579.7349895290004</v>
      </c>
      <c r="C23" s="68">
        <f t="shared" si="4"/>
        <v>43349.219675453009</v>
      </c>
      <c r="D23" s="67">
        <f t="array" ref="D23">SUM($B$7:$B18*$F$1009*EXP(-$F$1009*($A23-$A$7:$A18)))*$F$1010</f>
        <v>5903527.3199938163</v>
      </c>
      <c r="E23" s="67">
        <f t="shared" si="1"/>
        <v>11.254553671816979</v>
      </c>
      <c r="F23" s="70">
        <f t="shared" si="8"/>
        <v>0.6833764989527269</v>
      </c>
      <c r="G23" s="67">
        <f>E23/'Lookup Tables'!$C$48</f>
        <v>22.509107343633957</v>
      </c>
      <c r="H23" s="70">
        <f t="shared" si="2"/>
        <v>0.13645905172444575</v>
      </c>
      <c r="I23" s="71">
        <f t="shared" si="9"/>
        <v>3.2413114574832903E-2</v>
      </c>
      <c r="J23" s="35">
        <f t="shared" si="0"/>
        <v>2010</v>
      </c>
      <c r="K23" s="75">
        <f>$G211</f>
        <v>266.28613260765934</v>
      </c>
      <c r="L23" s="74"/>
      <c r="M23" s="74"/>
      <c r="N23" s="74"/>
      <c r="O23" s="74"/>
      <c r="P23" s="74"/>
      <c r="Q23" s="74"/>
      <c r="R23" s="74"/>
      <c r="S23" s="74"/>
      <c r="T23" s="74"/>
      <c r="U23" s="74"/>
      <c r="V23" s="74"/>
      <c r="W23" s="74"/>
      <c r="X23" s="74"/>
      <c r="Y23" s="74"/>
      <c r="Z23" s="74"/>
    </row>
    <row r="24" spans="1:26" x14ac:dyDescent="0.3">
      <c r="A24" s="66">
        <f t="shared" si="7"/>
        <v>1991.6999999999985</v>
      </c>
      <c r="B24" s="67">
        <f>LOOKUP(A24+0.01,Amounts!$A$4:$A$103,Amounts!$B$4:$B$103)*0.1*$A$2</f>
        <v>2579.7349895290004</v>
      </c>
      <c r="C24" s="68">
        <f t="shared" si="4"/>
        <v>45928.954664982011</v>
      </c>
      <c r="D24" s="67">
        <f t="array" ref="D24">SUM($B$7:$B19*$F$1009*EXP(-$F$1009*($A24-$A$7:$A19)))*$F$1010</f>
        <v>6381905.0589108616</v>
      </c>
      <c r="E24" s="67">
        <f t="shared" si="1"/>
        <v>12.166538599846408</v>
      </c>
      <c r="F24" s="70">
        <f t="shared" si="8"/>
        <v>0.73875222378267391</v>
      </c>
      <c r="G24" s="67">
        <f>E24/'Lookup Tables'!$C$48</f>
        <v>24.333077199692816</v>
      </c>
      <c r="H24" s="70">
        <f t="shared" si="2"/>
        <v>0.13923096518795497</v>
      </c>
      <c r="I24" s="71">
        <f t="shared" si="9"/>
        <v>3.5039631167557657E-2</v>
      </c>
      <c r="J24" s="35">
        <f t="shared" si="0"/>
        <v>2011</v>
      </c>
      <c r="K24" s="75">
        <f>$G221</f>
        <v>276.25314317710371</v>
      </c>
      <c r="L24" s="74"/>
      <c r="M24" s="74"/>
      <c r="N24" s="74"/>
      <c r="O24" s="74"/>
      <c r="P24" s="74"/>
      <c r="Q24" s="74"/>
      <c r="R24" s="74"/>
      <c r="S24" s="74"/>
      <c r="T24" s="74"/>
      <c r="U24" s="74"/>
      <c r="V24" s="74"/>
      <c r="W24" s="74"/>
      <c r="X24" s="74"/>
      <c r="Y24" s="74"/>
      <c r="Z24" s="74"/>
    </row>
    <row r="25" spans="1:26" x14ac:dyDescent="0.3">
      <c r="A25" s="66">
        <f t="shared" si="7"/>
        <v>1991.7999999999984</v>
      </c>
      <c r="B25" s="67">
        <f>LOOKUP(A25+0.01,Amounts!$A$4:$A$103,Amounts!$B$4:$B$103)*0.1*$A$2</f>
        <v>2579.7349895290004</v>
      </c>
      <c r="C25" s="68">
        <f t="shared" si="4"/>
        <v>48508.689654511014</v>
      </c>
      <c r="D25" s="67">
        <f t="array" ref="D25">SUM($B$7:$B20*$F$1009*EXP(-$F$1009*($A25-$A$7:$A20)))*$F$1010</f>
        <v>6856945.8466106243</v>
      </c>
      <c r="E25" s="67">
        <f t="shared" si="1"/>
        <v>13.072161924966347</v>
      </c>
      <c r="F25" s="70">
        <f t="shared" si="8"/>
        <v>0.79374167208395663</v>
      </c>
      <c r="G25" s="67">
        <f>E25/'Lookup Tables'!$C$48</f>
        <v>26.144323849932693</v>
      </c>
      <c r="H25" s="70">
        <f t="shared" si="2"/>
        <v>0.1416391239733967</v>
      </c>
      <c r="I25" s="71">
        <f t="shared" si="9"/>
        <v>3.7647826343903075E-2</v>
      </c>
      <c r="J25" s="35">
        <f t="shared" si="0"/>
        <v>2012</v>
      </c>
      <c r="K25" s="75">
        <f>$G231</f>
        <v>286.10543060543728</v>
      </c>
      <c r="L25" s="74"/>
      <c r="M25" s="74"/>
      <c r="N25" s="74"/>
      <c r="O25" s="74"/>
      <c r="P25" s="74"/>
      <c r="Q25" s="74"/>
      <c r="R25" s="74"/>
      <c r="S25" s="74"/>
      <c r="T25" s="74"/>
      <c r="U25" s="74"/>
      <c r="V25" s="74"/>
      <c r="W25" s="74"/>
      <c r="X25" s="74"/>
      <c r="Y25" s="74"/>
      <c r="Z25" s="74"/>
    </row>
    <row r="26" spans="1:26" x14ac:dyDescent="0.3">
      <c r="A26" s="66">
        <f t="shared" si="7"/>
        <v>1991.8999999999983</v>
      </c>
      <c r="B26" s="67">
        <f>LOOKUP(A26+0.01,Amounts!$A$4:$A$103,Amounts!$B$4:$B$103)*0.1*$A$2</f>
        <v>2579.7349895290004</v>
      </c>
      <c r="C26" s="68">
        <f t="shared" si="4"/>
        <v>51088.424644040017</v>
      </c>
      <c r="D26" s="67">
        <f t="array" ref="D26">SUM($B$7:$B21*$F$1009*EXP(-$F$1009*($A26-$A$7:$A21)))*$F$1010</f>
        <v>7328672.9601867488</v>
      </c>
      <c r="E26" s="67">
        <f t="shared" si="1"/>
        <v>13.971468022900922</v>
      </c>
      <c r="F26" s="70">
        <f t="shared" si="8"/>
        <v>0.84834753835054388</v>
      </c>
      <c r="G26" s="67">
        <f>E26/'Lookup Tables'!$C$48</f>
        <v>27.942936045801844</v>
      </c>
      <c r="H26" s="70">
        <f t="shared" si="2"/>
        <v>0.14373908853134712</v>
      </c>
      <c r="I26" s="71">
        <f t="shared" si="9"/>
        <v>4.0237827905954655E-2</v>
      </c>
      <c r="J26" s="35">
        <f t="shared" si="0"/>
        <v>2013</v>
      </c>
      <c r="K26" s="75">
        <f>$G241</f>
        <v>297.14925981880981</v>
      </c>
      <c r="L26" s="74"/>
      <c r="M26" s="74"/>
      <c r="N26" s="74"/>
      <c r="O26" s="74"/>
      <c r="P26" s="74"/>
      <c r="Q26" s="74"/>
      <c r="R26" s="74"/>
      <c r="S26" s="74"/>
      <c r="T26" s="74"/>
      <c r="U26" s="74"/>
      <c r="V26" s="74"/>
      <c r="W26" s="74"/>
      <c r="X26" s="74"/>
      <c r="Y26" s="74"/>
      <c r="Z26" s="74"/>
    </row>
    <row r="27" spans="1:26" x14ac:dyDescent="0.3">
      <c r="A27" s="66">
        <f t="shared" si="7"/>
        <v>1991.9999999999982</v>
      </c>
      <c r="B27" s="67">
        <f>LOOKUP(A27+0.01,Amounts!$A$4:$A$103,Amounts!$B$4:$B$103)*0.1*$A$2</f>
        <v>2631.3605376260002</v>
      </c>
      <c r="C27" s="68">
        <f t="shared" si="4"/>
        <v>53719.785181666019</v>
      </c>
      <c r="D27" s="67">
        <f t="array" ref="D27">SUM($B$7:$B22*$F$1009*EXP(-$F$1009*($A27-$A$7:$A22)))*$F$1010</f>
        <v>7797109.5143621853</v>
      </c>
      <c r="E27" s="67">
        <f t="shared" si="1"/>
        <v>14.86450095982887</v>
      </c>
      <c r="F27" s="70">
        <f t="shared" si="8"/>
        <v>0.90257249828080899</v>
      </c>
      <c r="G27" s="67">
        <f>E27/'Lookup Tables'!$C$48</f>
        <v>29.72900191965774</v>
      </c>
      <c r="H27" s="70">
        <f t="shared" si="2"/>
        <v>0.14543583296294477</v>
      </c>
      <c r="I27" s="71">
        <f t="shared" si="9"/>
        <v>4.2809762764307147E-2</v>
      </c>
      <c r="J27" s="35">
        <f t="shared" si="0"/>
        <v>2014</v>
      </c>
      <c r="K27" s="75">
        <f>$G251</f>
        <v>308.05418441507101</v>
      </c>
      <c r="L27" s="74"/>
      <c r="M27" s="74"/>
      <c r="N27" s="74"/>
      <c r="O27" s="74"/>
      <c r="P27" s="74"/>
      <c r="Q27" s="74"/>
      <c r="R27" s="74"/>
      <c r="S27" s="74"/>
      <c r="T27" s="74"/>
      <c r="U27" s="74"/>
      <c r="V27" s="74"/>
      <c r="W27" s="74"/>
      <c r="X27" s="74"/>
      <c r="Y27" s="74"/>
      <c r="Z27" s="74"/>
    </row>
    <row r="28" spans="1:26" x14ac:dyDescent="0.3">
      <c r="A28" s="66">
        <f t="shared" si="7"/>
        <v>1992.0999999999981</v>
      </c>
      <c r="B28" s="67">
        <f>LOOKUP(A28+0.01,Amounts!$A$4:$A$103,Amounts!$B$4:$B$103)*0.1*$A$2</f>
        <v>2631.3605376260002</v>
      </c>
      <c r="C28" s="68">
        <f t="shared" si="4"/>
        <v>56351.145719292021</v>
      </c>
      <c r="D28" s="67">
        <f t="array" ref="D28">SUM($B$7:$B23*$F$1009*EXP(-$F$1009*($A28-$A$7:$A23)))*$F$1010</f>
        <v>8262278.4626218183</v>
      </c>
      <c r="E28" s="67">
        <f t="shared" si="1"/>
        <v>15.751304494542788</v>
      </c>
      <c r="F28" s="70">
        <f t="shared" si="8"/>
        <v>0.95641920890863807</v>
      </c>
      <c r="G28" s="67">
        <f>E28/'Lookup Tables'!$C$48</f>
        <v>31.502608989085576</v>
      </c>
      <c r="H28" s="70">
        <f t="shared" si="2"/>
        <v>0.14691601273862623</v>
      </c>
      <c r="I28" s="71">
        <f t="shared" si="9"/>
        <v>4.5363756944283233E-2</v>
      </c>
      <c r="J28" s="35">
        <f t="shared" si="0"/>
        <v>2015</v>
      </c>
      <c r="K28" s="75">
        <f>$G261</f>
        <v>318.84174973457311</v>
      </c>
      <c r="L28" s="74"/>
      <c r="M28" s="74"/>
      <c r="N28" s="74"/>
      <c r="O28" s="74"/>
      <c r="P28" s="74"/>
      <c r="Q28" s="74"/>
      <c r="R28" s="74"/>
      <c r="S28" s="74"/>
      <c r="T28" s="74"/>
      <c r="U28" s="74"/>
      <c r="V28" s="74"/>
      <c r="W28" s="74"/>
      <c r="X28" s="74"/>
      <c r="Y28" s="74"/>
      <c r="Z28" s="74"/>
    </row>
    <row r="29" spans="1:26" x14ac:dyDescent="0.3">
      <c r="A29" s="66">
        <f t="shared" si="7"/>
        <v>1992.199999999998</v>
      </c>
      <c r="B29" s="67">
        <f>LOOKUP(A29+0.01,Amounts!$A$4:$A$103,Amounts!$B$4:$B$103)*0.1*$A$2</f>
        <v>2631.3605376260002</v>
      </c>
      <c r="C29" s="68">
        <f t="shared" si="4"/>
        <v>58982.506256918023</v>
      </c>
      <c r="D29" s="67">
        <f t="array" ref="D29">SUM($B$7:$B24*$F$1009*EXP(-$F$1009*($A29-$A$7:$A24)))*$F$1010</f>
        <v>8724202.5983371809</v>
      </c>
      <c r="E29" s="67">
        <f t="shared" si="1"/>
        <v>16.631922080593302</v>
      </c>
      <c r="F29" s="70">
        <f t="shared" si="8"/>
        <v>1.0098903087336253</v>
      </c>
      <c r="G29" s="67">
        <f>E29/'Lookup Tables'!$C$48</f>
        <v>33.263844161186604</v>
      </c>
      <c r="H29" s="70">
        <f t="shared" si="2"/>
        <v>0.14820899958849285</v>
      </c>
      <c r="I29" s="71">
        <f t="shared" si="9"/>
        <v>4.7899935592108714E-2</v>
      </c>
      <c r="J29" s="35">
        <f t="shared" si="0"/>
        <v>2016</v>
      </c>
      <c r="K29" s="75">
        <f>$G271</f>
        <v>329.53204451950899</v>
      </c>
      <c r="L29" s="74"/>
      <c r="M29" s="74"/>
      <c r="N29" s="74"/>
      <c r="O29" s="74"/>
      <c r="P29" s="74"/>
      <c r="Q29" s="74"/>
      <c r="R29" s="74"/>
      <c r="S29" s="74"/>
      <c r="T29" s="74"/>
      <c r="U29" s="74"/>
      <c r="V29" s="74"/>
      <c r="W29" s="74"/>
      <c r="X29" s="74"/>
      <c r="Y29" s="74"/>
      <c r="Z29" s="74"/>
    </row>
    <row r="30" spans="1:26" x14ac:dyDescent="0.3">
      <c r="A30" s="66">
        <f t="shared" si="7"/>
        <v>1992.2999999999979</v>
      </c>
      <c r="B30" s="67">
        <f>LOOKUP(A30+0.01,Amounts!$A$4:$A$103,Amounts!$B$4:$B$103)*0.1*$A$2</f>
        <v>2631.3605376260002</v>
      </c>
      <c r="C30" s="68">
        <f t="shared" si="4"/>
        <v>61613.866794544025</v>
      </c>
      <c r="D30" s="67">
        <f t="array" ref="D30">SUM($B$7:$B25*$F$1009*EXP(-$F$1009*($A30-$A$7:$A25)))*$F$1010</f>
        <v>9182904.5558833461</v>
      </c>
      <c r="E30" s="67">
        <f t="shared" si="1"/>
        <v>17.506396868418324</v>
      </c>
      <c r="F30" s="70">
        <f t="shared" si="8"/>
        <v>1.0629884178503606</v>
      </c>
      <c r="G30" s="67">
        <f>E30/'Lookup Tables'!$C$48</f>
        <v>35.012793736836649</v>
      </c>
      <c r="H30" s="70">
        <f t="shared" si="2"/>
        <v>0.14933914511035787</v>
      </c>
      <c r="I30" s="71">
        <f t="shared" si="9"/>
        <v>5.0418422981044771E-2</v>
      </c>
      <c r="J30" s="35">
        <f t="shared" si="0"/>
        <v>2017</v>
      </c>
      <c r="K30" s="75">
        <f>$G281</f>
        <v>340.1444746406039</v>
      </c>
      <c r="L30" s="74"/>
      <c r="M30" s="74"/>
      <c r="N30" s="74"/>
      <c r="O30" s="74"/>
      <c r="P30" s="74"/>
      <c r="Q30" s="74"/>
      <c r="R30" s="74"/>
      <c r="S30" s="74"/>
      <c r="T30" s="74"/>
      <c r="U30" s="74"/>
      <c r="V30" s="74"/>
      <c r="W30" s="74"/>
      <c r="X30" s="74"/>
      <c r="Y30" s="74"/>
      <c r="Z30" s="74"/>
    </row>
    <row r="31" spans="1:26" x14ac:dyDescent="0.3">
      <c r="A31" s="66">
        <f t="shared" si="7"/>
        <v>1992.3999999999978</v>
      </c>
      <c r="B31" s="67">
        <f>LOOKUP(A31+0.01,Amounts!$A$4:$A$103,Amounts!$B$4:$B$103)*0.1*$A$2</f>
        <v>2631.3605376260002</v>
      </c>
      <c r="C31" s="68">
        <f t="shared" si="4"/>
        <v>64245.227332170027</v>
      </c>
      <c r="D31" s="67">
        <f t="array" ref="D31">SUM($B$7:$B26*$F$1009*EXP(-$F$1009*($A31-$A$7:$A26)))*$F$1010</f>
        <v>9638406.8117480148</v>
      </c>
      <c r="E31" s="67">
        <f t="shared" si="1"/>
        <v>18.374771707457437</v>
      </c>
      <c r="F31" s="70">
        <f t="shared" si="8"/>
        <v>1.1157161380768155</v>
      </c>
      <c r="G31" s="67">
        <f>E31/'Lookup Tables'!$C$48</f>
        <v>36.749543414914875</v>
      </c>
      <c r="H31" s="70">
        <f t="shared" si="2"/>
        <v>0.15032680886170063</v>
      </c>
      <c r="I31" s="71">
        <f t="shared" si="9"/>
        <v>5.2919342517477416E-2</v>
      </c>
      <c r="J31" s="35">
        <f t="shared" si="0"/>
        <v>2018</v>
      </c>
      <c r="K31" s="75">
        <f>$G291</f>
        <v>317.14860603007457</v>
      </c>
      <c r="L31" s="74"/>
      <c r="M31" s="74"/>
      <c r="N31" s="74"/>
      <c r="O31" s="74"/>
      <c r="P31" s="74"/>
      <c r="Q31" s="74"/>
      <c r="R31" s="74"/>
      <c r="S31" s="74"/>
      <c r="T31" s="74"/>
      <c r="U31" s="74"/>
      <c r="V31" s="74"/>
      <c r="W31" s="74"/>
      <c r="X31" s="74"/>
      <c r="Y31" s="74"/>
      <c r="Z31" s="74"/>
    </row>
    <row r="32" spans="1:26" x14ac:dyDescent="0.3">
      <c r="A32" s="66">
        <f t="shared" si="7"/>
        <v>1992.4999999999977</v>
      </c>
      <c r="B32" s="67">
        <f>LOOKUP(A32+0.01,Amounts!$A$4:$A$103,Amounts!$B$4:$B$103)*0.1*$A$2</f>
        <v>2631.3605376260002</v>
      </c>
      <c r="C32" s="68">
        <f t="shared" si="4"/>
        <v>66876.587869796029</v>
      </c>
      <c r="D32" s="67">
        <f t="array" ref="D32">SUM($B$7:$B27*$F$1009*EXP(-$F$1009*($A32-$A$7:$A27)))*$F$1010</f>
        <v>10101129.061088497</v>
      </c>
      <c r="E32" s="67">
        <f t="shared" si="1"/>
        <v>19.256910826676723</v>
      </c>
      <c r="F32" s="70">
        <f t="shared" si="8"/>
        <v>1.1692796253958104</v>
      </c>
      <c r="G32" s="67">
        <f>E32/'Lookup Tables'!$C$48</f>
        <v>38.513821653353446</v>
      </c>
      <c r="H32" s="70">
        <f t="shared" si="2"/>
        <v>0.1513449273190641</v>
      </c>
      <c r="I32" s="71">
        <f t="shared" si="9"/>
        <v>5.5459903180828961E-2</v>
      </c>
      <c r="J32" s="35">
        <f t="shared" si="0"/>
        <v>2019</v>
      </c>
      <c r="K32" s="75">
        <f>$G301</f>
        <v>295.70740025424675</v>
      </c>
      <c r="L32" s="74"/>
      <c r="M32" s="74"/>
      <c r="N32" s="74"/>
      <c r="O32" s="74"/>
      <c r="P32" s="74"/>
      <c r="Q32" s="74"/>
      <c r="R32" s="74"/>
      <c r="S32" s="74"/>
      <c r="T32" s="74"/>
      <c r="U32" s="74"/>
      <c r="V32" s="74"/>
      <c r="W32" s="74"/>
      <c r="X32" s="74"/>
      <c r="Y32" s="74"/>
      <c r="Z32" s="74"/>
    </row>
    <row r="33" spans="1:26" x14ac:dyDescent="0.3">
      <c r="A33" s="66">
        <f t="shared" si="7"/>
        <v>1992.5999999999976</v>
      </c>
      <c r="B33" s="67">
        <f>LOOKUP(A33+0.01,Amounts!$A$4:$A$103,Amounts!$B$4:$B$103)*0.1*$A$2</f>
        <v>2631.3605376260002</v>
      </c>
      <c r="C33" s="68">
        <f t="shared" si="4"/>
        <v>69507.948407422024</v>
      </c>
      <c r="D33" s="67">
        <f t="array" ref="D33">SUM($B$7:$B28*$F$1009*EXP(-$F$1009*($A33-$A$7:$A28)))*$F$1010</f>
        <v>10560623.564972647</v>
      </c>
      <c r="E33" s="67">
        <f t="shared" si="1"/>
        <v>20.132896534129074</v>
      </c>
      <c r="F33" s="70">
        <f t="shared" si="8"/>
        <v>1.2224694775523173</v>
      </c>
      <c r="G33" s="67">
        <f>E33/'Lookup Tables'!$C$48</f>
        <v>40.265793068258148</v>
      </c>
      <c r="H33" s="70">
        <f t="shared" si="2"/>
        <v>0.15223942960181391</v>
      </c>
      <c r="I33" s="71">
        <f t="shared" si="9"/>
        <v>5.7982742018291726E-2</v>
      </c>
      <c r="J33" s="35">
        <f t="shared" si="0"/>
        <v>2020</v>
      </c>
      <c r="K33" s="75">
        <f>$G311</f>
        <v>275.71575249753192</v>
      </c>
      <c r="L33" s="74"/>
      <c r="M33" s="74"/>
      <c r="N33" s="74"/>
      <c r="O33" s="74"/>
      <c r="P33" s="74"/>
      <c r="Q33" s="74"/>
      <c r="R33" s="74"/>
      <c r="S33" s="74"/>
      <c r="T33" s="74"/>
      <c r="U33" s="74"/>
      <c r="V33" s="74"/>
      <c r="W33" s="74"/>
      <c r="X33" s="74"/>
      <c r="Y33" s="74"/>
      <c r="Z33" s="74"/>
    </row>
    <row r="34" spans="1:26" x14ac:dyDescent="0.3">
      <c r="A34" s="66">
        <f t="shared" si="7"/>
        <v>1992.6999999999975</v>
      </c>
      <c r="B34" s="67">
        <f>LOOKUP(A34+0.01,Amounts!$A$4:$A$103,Amounts!$B$4:$B$103)*0.1*$A$2</f>
        <v>2631.3605376260002</v>
      </c>
      <c r="C34" s="68">
        <f t="shared" si="4"/>
        <v>72139.308945048018</v>
      </c>
      <c r="D34" s="67">
        <f t="array" ref="D34">SUM($B$7:$B29*$F$1009*EXP(-$F$1009*($A34-$A$7:$A29)))*$F$1010</f>
        <v>11016912.838723091</v>
      </c>
      <c r="E34" s="67">
        <f t="shared" si="1"/>
        <v>21.00277175328943</v>
      </c>
      <c r="F34" s="70">
        <f t="shared" si="8"/>
        <v>1.2752883008597342</v>
      </c>
      <c r="G34" s="67">
        <f>E34/'Lookup Tables'!$C$48</f>
        <v>42.00554350657886</v>
      </c>
      <c r="H34" s="70">
        <f t="shared" si="2"/>
        <v>0.15302415555349866</v>
      </c>
      <c r="I34" s="71">
        <f t="shared" si="9"/>
        <v>6.0487982649473561E-2</v>
      </c>
      <c r="J34" s="35">
        <f t="shared" si="0"/>
        <v>2021</v>
      </c>
      <c r="K34" s="75">
        <f>$G321</f>
        <v>257.07566367943309</v>
      </c>
      <c r="L34" s="74"/>
      <c r="M34" s="74"/>
      <c r="N34" s="74"/>
      <c r="O34" s="74"/>
      <c r="P34" s="74"/>
      <c r="Q34" s="74"/>
      <c r="R34" s="74"/>
      <c r="S34" s="74"/>
      <c r="T34" s="74"/>
      <c r="U34" s="74"/>
      <c r="V34" s="74"/>
      <c r="W34" s="74"/>
      <c r="X34" s="74"/>
      <c r="Y34" s="74"/>
      <c r="Z34" s="74"/>
    </row>
    <row r="35" spans="1:26" x14ac:dyDescent="0.3">
      <c r="A35" s="66">
        <f t="shared" si="7"/>
        <v>1992.7999999999975</v>
      </c>
      <c r="B35" s="67">
        <f>LOOKUP(A35+0.01,Amounts!$A$4:$A$103,Amounts!$B$4:$B$103)*0.1*$A$2</f>
        <v>2631.3605376260002</v>
      </c>
      <c r="C35" s="68">
        <f t="shared" si="4"/>
        <v>74770.669482674013</v>
      </c>
      <c r="D35" s="67">
        <f t="array" ref="D35">SUM($B$7:$B30*$F$1009*EXP(-$F$1009*($A35-$A$7:$A30)))*$F$1010</f>
        <v>11470019.240605539</v>
      </c>
      <c r="E35" s="67">
        <f t="shared" si="1"/>
        <v>21.866579108217572</v>
      </c>
      <c r="F35" s="70">
        <f t="shared" si="8"/>
        <v>1.3277386834509708</v>
      </c>
      <c r="G35" s="67">
        <f>E35/'Lookup Tables'!$C$48</f>
        <v>43.733158216435143</v>
      </c>
      <c r="H35" s="70">
        <f t="shared" si="2"/>
        <v>0.1537109946827793</v>
      </c>
      <c r="I35" s="71">
        <f t="shared" si="9"/>
        <v>6.2975747831666595E-2</v>
      </c>
      <c r="J35" s="35">
        <f t="shared" si="0"/>
        <v>2022</v>
      </c>
      <c r="K35" s="75">
        <f>$G331</f>
        <v>239.69576006293872</v>
      </c>
      <c r="L35" s="74"/>
      <c r="M35" s="74"/>
      <c r="N35" s="74"/>
      <c r="O35" s="74"/>
      <c r="P35" s="74"/>
      <c r="Q35" s="74"/>
      <c r="R35" s="74"/>
      <c r="S35" s="74"/>
      <c r="T35" s="74"/>
      <c r="U35" s="74"/>
      <c r="V35" s="74"/>
      <c r="W35" s="74"/>
      <c r="X35" s="74"/>
      <c r="Y35" s="74"/>
      <c r="Z35" s="74"/>
    </row>
    <row r="36" spans="1:26" x14ac:dyDescent="0.3">
      <c r="A36" s="66">
        <f t="shared" si="7"/>
        <v>1992.8999999999974</v>
      </c>
      <c r="B36" s="67">
        <f>LOOKUP(A36+0.01,Amounts!$A$4:$A$103,Amounts!$B$4:$B$103)*0.1*$A$2</f>
        <v>2631.3605376260002</v>
      </c>
      <c r="C36" s="68">
        <f t="shared" si="4"/>
        <v>77402.030020300008</v>
      </c>
      <c r="D36" s="67">
        <f t="array" ref="D36">SUM($B$7:$B31*$F$1009*EXP(-$F$1009*($A36-$A$7:$A31)))*$F$1010</f>
        <v>11919964.972924341</v>
      </c>
      <c r="E36" s="67">
        <f t="shared" si="1"/>
        <v>22.724360925646724</v>
      </c>
      <c r="F36" s="70">
        <f t="shared" si="8"/>
        <v>1.3798231954052691</v>
      </c>
      <c r="G36" s="67">
        <f>E36/'Lookup Tables'!$C$48</f>
        <v>45.448721851293449</v>
      </c>
      <c r="H36" s="70">
        <f t="shared" si="2"/>
        <v>0.15431021769567826</v>
      </c>
      <c r="I36" s="71">
        <f t="shared" si="9"/>
        <v>6.5446159465862561E-2</v>
      </c>
      <c r="J36" s="35">
        <f t="shared" si="0"/>
        <v>2023</v>
      </c>
      <c r="K36" s="75">
        <f>$G341</f>
        <v>223.4908453403574</v>
      </c>
      <c r="L36" s="74"/>
      <c r="M36" s="74"/>
      <c r="N36" s="74"/>
      <c r="O36" s="74"/>
      <c r="P36" s="74"/>
      <c r="Q36" s="74"/>
      <c r="R36" s="74"/>
      <c r="S36" s="74"/>
      <c r="T36" s="74"/>
      <c r="U36" s="74"/>
      <c r="V36" s="74"/>
      <c r="W36" s="74"/>
      <c r="X36" s="74"/>
      <c r="Y36" s="74"/>
      <c r="Z36" s="74"/>
    </row>
    <row r="37" spans="1:26" x14ac:dyDescent="0.3">
      <c r="A37" s="66">
        <f t="shared" si="7"/>
        <v>1992.9999999999973</v>
      </c>
      <c r="B37" s="67">
        <f>LOOKUP(A37+0.01,Amounts!$A$4:$A$103,Amounts!$B$4:$B$103)*0.1*$A$2</f>
        <v>2683.9841191659998</v>
      </c>
      <c r="C37" s="68">
        <f t="shared" si="4"/>
        <v>80086.014139466002</v>
      </c>
      <c r="D37" s="67">
        <f t="array" ref="D37">SUM($B$7:$B32*$F$1009*EXP(-$F$1009*($A37-$A$7:$A32)))*$F$1010</f>
        <v>12366772.083110409</v>
      </c>
      <c r="E37" s="67">
        <f t="shared" si="1"/>
        <v>23.576159237057574</v>
      </c>
      <c r="F37" s="70">
        <f t="shared" si="8"/>
        <v>1.4315443888741359</v>
      </c>
      <c r="G37" s="67">
        <f>E37/'Lookup Tables'!$C$48</f>
        <v>47.152318474115148</v>
      </c>
      <c r="H37" s="70">
        <f t="shared" si="2"/>
        <v>0.15472900515960281</v>
      </c>
      <c r="I37" s="71">
        <f t="shared" si="9"/>
        <v>6.7899338602725803E-2</v>
      </c>
      <c r="J37" s="35">
        <f t="shared" si="0"/>
        <v>2024</v>
      </c>
      <c r="K37" s="75">
        <f>$G351</f>
        <v>208.38148300091845</v>
      </c>
      <c r="L37" s="74"/>
      <c r="M37" s="74"/>
      <c r="N37" s="74"/>
      <c r="O37" s="74"/>
      <c r="P37" s="74"/>
      <c r="Q37" s="74"/>
      <c r="R37" s="74"/>
      <c r="S37" s="74"/>
      <c r="T37" s="74"/>
      <c r="U37" s="74"/>
      <c r="V37" s="74"/>
      <c r="W37" s="74"/>
      <c r="X37" s="74"/>
      <c r="Y37" s="74"/>
      <c r="Z37" s="74"/>
    </row>
    <row r="38" spans="1:26" x14ac:dyDescent="0.3">
      <c r="A38" s="66">
        <f t="shared" si="7"/>
        <v>1993.0999999999972</v>
      </c>
      <c r="B38" s="67">
        <f>LOOKUP(A38+0.01,Amounts!$A$4:$A$103,Amounts!$B$4:$B$103)*0.1*$A$2</f>
        <v>2683.9841191659998</v>
      </c>
      <c r="C38" s="68">
        <f t="shared" si="4"/>
        <v>82769.998258631997</v>
      </c>
      <c r="D38" s="67">
        <f t="array" ref="D38">SUM($B$7:$B33*$F$1009*EXP(-$F$1009*($A38-$A$7:$A33)))*$F$1010</f>
        <v>12810462.464801542</v>
      </c>
      <c r="E38" s="67">
        <f t="shared" si="1"/>
        <v>24.422015780737816</v>
      </c>
      <c r="F38" s="70">
        <f t="shared" si="8"/>
        <v>1.4829047982064001</v>
      </c>
      <c r="G38" s="67">
        <f>E38/'Lookup Tables'!$C$48</f>
        <v>48.844031561475632</v>
      </c>
      <c r="H38" s="70">
        <f t="shared" si="2"/>
        <v>0.1550829015876791</v>
      </c>
      <c r="I38" s="71">
        <f t="shared" si="9"/>
        <v>7.0335405448524901E-2</v>
      </c>
      <c r="J38" s="35">
        <f t="shared" si="0"/>
        <v>2025</v>
      </c>
      <c r="K38" s="75">
        <f>$G361</f>
        <v>194.29360693290519</v>
      </c>
      <c r="L38" s="74"/>
      <c r="M38" s="74"/>
      <c r="N38" s="74"/>
      <c r="O38" s="74"/>
      <c r="P38" s="74"/>
      <c r="Q38" s="74"/>
      <c r="R38" s="74"/>
      <c r="S38" s="74"/>
      <c r="T38" s="74"/>
      <c r="U38" s="74"/>
      <c r="V38" s="74"/>
      <c r="W38" s="74"/>
      <c r="X38" s="74"/>
      <c r="Y38" s="74"/>
      <c r="Z38" s="74"/>
    </row>
    <row r="39" spans="1:26" x14ac:dyDescent="0.3">
      <c r="A39" s="66">
        <f t="shared" si="7"/>
        <v>1993.1999999999971</v>
      </c>
      <c r="B39" s="67">
        <f>LOOKUP(A39+0.01,Amounts!$A$4:$A$103,Amounts!$B$4:$B$103)*0.1*$A$2</f>
        <v>2683.9841191659998</v>
      </c>
      <c r="C39" s="68">
        <f t="shared" si="4"/>
        <v>85453.982377797991</v>
      </c>
      <c r="D39" s="67">
        <f t="array" ref="D39">SUM($B$7:$B34*$F$1009*EXP(-$F$1009*($A39-$A$7:$A34)))*$F$1010</f>
        <v>13251057.858915215</v>
      </c>
      <c r="E39" s="67">
        <f t="shared" si="1"/>
        <v>25.261972003827314</v>
      </c>
      <c r="F39" s="70">
        <f t="shared" si="8"/>
        <v>1.5339069400723944</v>
      </c>
      <c r="G39" s="67">
        <f>E39/'Lookup Tables'!$C$48</f>
        <v>50.523944007654627</v>
      </c>
      <c r="H39" s="70">
        <f t="shared" si="2"/>
        <v>0.15537827630443291</v>
      </c>
      <c r="I39" s="71">
        <f t="shared" si="9"/>
        <v>7.2754479371022668E-2</v>
      </c>
      <c r="J39" s="35">
        <f t="shared" si="0"/>
        <v>2026</v>
      </c>
      <c r="K39" s="75">
        <f>$G371</f>
        <v>181.15815835148783</v>
      </c>
      <c r="L39" s="74"/>
      <c r="M39" s="74"/>
      <c r="N39" s="74"/>
      <c r="O39" s="74"/>
      <c r="P39" s="74"/>
      <c r="Q39" s="74"/>
      <c r="R39" s="74"/>
      <c r="S39" s="74"/>
      <c r="T39" s="74"/>
      <c r="U39" s="74"/>
      <c r="V39" s="74"/>
      <c r="W39" s="74"/>
      <c r="X39" s="74"/>
      <c r="Y39" s="74"/>
      <c r="Z39" s="74"/>
    </row>
    <row r="40" spans="1:26" x14ac:dyDescent="0.3">
      <c r="A40" s="66">
        <f t="shared" si="7"/>
        <v>1993.299999999997</v>
      </c>
      <c r="B40" s="67">
        <f>LOOKUP(A40+0.01,Amounts!$A$4:$A$103,Amounts!$B$4:$B$103)*0.1*$A$2</f>
        <v>2683.9841191659998</v>
      </c>
      <c r="C40" s="68">
        <f t="shared" si="4"/>
        <v>88137.966496963985</v>
      </c>
      <c r="D40" s="67">
        <f t="array" ref="D40">SUM($B$7:$B35*$F$1009*EXP(-$F$1009*($A40-$A$7:$A35)))*$F$1010</f>
        <v>13688579.854713898</v>
      </c>
      <c r="E40" s="67">
        <f t="shared" si="1"/>
        <v>26.096069064349077</v>
      </c>
      <c r="F40" s="70">
        <f t="shared" si="8"/>
        <v>1.584553313587276</v>
      </c>
      <c r="G40" s="67">
        <f>E40/'Lookup Tables'!$C$48</f>
        <v>52.192138128698154</v>
      </c>
      <c r="H40" s="70">
        <f t="shared" si="2"/>
        <v>0.15562072107364019</v>
      </c>
      <c r="I40" s="71">
        <f t="shared" si="9"/>
        <v>7.5156678905325347E-2</v>
      </c>
      <c r="J40" s="35">
        <f t="shared" si="0"/>
        <v>2027</v>
      </c>
      <c r="K40" s="75">
        <f>$G381</f>
        <v>168.91074727248119</v>
      </c>
      <c r="L40" s="74"/>
      <c r="M40" s="74"/>
      <c r="N40" s="74"/>
      <c r="O40" s="74"/>
      <c r="P40" s="74"/>
      <c r="Q40" s="74"/>
      <c r="R40" s="74"/>
      <c r="S40" s="74"/>
      <c r="T40" s="74"/>
      <c r="U40" s="74"/>
      <c r="V40" s="74"/>
      <c r="W40" s="74"/>
      <c r="X40" s="74"/>
      <c r="Y40" s="74"/>
      <c r="Z40" s="74"/>
    </row>
    <row r="41" spans="1:26" x14ac:dyDescent="0.3">
      <c r="A41" s="66">
        <f t="shared" si="7"/>
        <v>1993.3999999999969</v>
      </c>
      <c r="B41" s="67">
        <f>LOOKUP(A41+0.01,Amounts!$A$4:$A$103,Amounts!$B$4:$B$103)*0.1*$A$2</f>
        <v>2683.9841191659998</v>
      </c>
      <c r="C41" s="68">
        <f t="shared" si="4"/>
        <v>90821.95061612998</v>
      </c>
      <c r="D41" s="67">
        <f t="array" ref="D41">SUM($B$7:$B36*$F$1009*EXP(-$F$1009*($A41-$A$7:$A36)))*$F$1010</f>
        <v>14123049.890862925</v>
      </c>
      <c r="E41" s="67">
        <f t="shared" si="1"/>
        <v>26.924347833225951</v>
      </c>
      <c r="F41" s="70">
        <f t="shared" si="8"/>
        <v>1.6348464004334797</v>
      </c>
      <c r="G41" s="67">
        <f>E41/'Lookup Tables'!$C$48</f>
        <v>53.848695666451903</v>
      </c>
      <c r="H41" s="70">
        <f t="shared" si="2"/>
        <v>0.15581516500296641</v>
      </c>
      <c r="I41" s="71">
        <f t="shared" si="9"/>
        <v>7.7542121759690733E-2</v>
      </c>
      <c r="J41" s="35">
        <f t="shared" si="0"/>
        <v>2028</v>
      </c>
      <c r="K41" s="75">
        <f>$G391</f>
        <v>157.49133687256699</v>
      </c>
      <c r="L41" s="74"/>
      <c r="M41" s="74"/>
      <c r="N41" s="74"/>
      <c r="O41" s="74"/>
      <c r="P41" s="74"/>
      <c r="Q41" s="74"/>
      <c r="R41" s="74"/>
      <c r="S41" s="74"/>
      <c r="T41" s="74"/>
      <c r="U41" s="74"/>
      <c r="V41" s="74"/>
      <c r="W41" s="74"/>
      <c r="X41" s="74"/>
      <c r="Y41" s="74"/>
      <c r="Z41" s="74"/>
    </row>
    <row r="42" spans="1:26" x14ac:dyDescent="0.3">
      <c r="A42" s="66">
        <f t="shared" si="7"/>
        <v>1993.4999999999968</v>
      </c>
      <c r="B42" s="67">
        <f>LOOKUP(A42+0.01,Amounts!$A$4:$A$103,Amounts!$B$4:$B$103)*0.1*$A$2</f>
        <v>2683.9841191659998</v>
      </c>
      <c r="C42" s="68">
        <f t="shared" si="4"/>
        <v>93505.934735295974</v>
      </c>
      <c r="D42" s="67">
        <f t="array" ref="D42">SUM($B$7:$B37*$F$1009*EXP(-$F$1009*($A42-$A$7:$A37)))*$F$1010</f>
        <v>14565087.635680063</v>
      </c>
      <c r="E42" s="67">
        <f t="shared" si="1"/>
        <v>27.7670537706008</v>
      </c>
      <c r="F42" s="70">
        <f t="shared" si="8"/>
        <v>1.6860155049508805</v>
      </c>
      <c r="G42" s="67">
        <f>E42/'Lookup Tables'!$C$48</f>
        <v>55.5341075412016</v>
      </c>
      <c r="H42" s="70">
        <f t="shared" si="2"/>
        <v>0.15607954193648418</v>
      </c>
      <c r="I42" s="71">
        <f t="shared" si="9"/>
        <v>7.9969114859330309E-2</v>
      </c>
      <c r="J42" s="35">
        <f t="shared" si="0"/>
        <v>2029</v>
      </c>
      <c r="K42" s="75">
        <f>$G401</f>
        <v>146.84394918871658</v>
      </c>
      <c r="L42" s="74"/>
      <c r="M42" s="74"/>
      <c r="N42" s="74"/>
      <c r="O42" s="74"/>
      <c r="P42" s="74"/>
      <c r="Q42" s="74"/>
      <c r="R42" s="74"/>
      <c r="S42" s="74"/>
      <c r="T42" s="74"/>
      <c r="U42" s="74"/>
      <c r="V42" s="74"/>
      <c r="W42" s="74"/>
      <c r="X42" s="74"/>
      <c r="Y42" s="74"/>
      <c r="Z42" s="74"/>
    </row>
    <row r="43" spans="1:26" x14ac:dyDescent="0.3">
      <c r="A43" s="66">
        <f t="shared" si="7"/>
        <v>1993.5999999999967</v>
      </c>
      <c r="B43" s="67">
        <f>LOOKUP(A43+0.01,Amounts!$A$4:$A$103,Amounts!$B$4:$B$103)*0.1*$A$2</f>
        <v>2683.9841191659998</v>
      </c>
      <c r="C43" s="68">
        <f t="shared" si="4"/>
        <v>96189.918854461968</v>
      </c>
      <c r="D43" s="67">
        <f t="array" ref="D43">SUM($B$7:$B38*$F$1009*EXP(-$F$1009*($A43-$A$7:$A38)))*$F$1010</f>
        <v>15004041.920982569</v>
      </c>
      <c r="E43" s="67">
        <f t="shared" si="1"/>
        <v>28.603881364618999</v>
      </c>
      <c r="F43" s="70">
        <f t="shared" si="8"/>
        <v>1.7368276764596657</v>
      </c>
      <c r="G43" s="67">
        <f>E43/'Lookup Tables'!$C$48</f>
        <v>57.207762729237999</v>
      </c>
      <c r="H43" s="70">
        <f t="shared" si="2"/>
        <v>0.15629704468293512</v>
      </c>
      <c r="I43" s="71">
        <f t="shared" si="9"/>
        <v>8.237917833010272E-2</v>
      </c>
      <c r="J43" s="35">
        <f t="shared" si="0"/>
        <v>2030</v>
      </c>
      <c r="K43" s="75">
        <f>$G411</f>
        <v>136.91639071415116</v>
      </c>
      <c r="L43" s="74"/>
      <c r="M43" s="74"/>
      <c r="N43" s="74"/>
      <c r="O43" s="74"/>
      <c r="P43" s="74"/>
      <c r="Q43" s="74"/>
      <c r="R43" s="74"/>
      <c r="S43" s="74"/>
      <c r="T43" s="74"/>
      <c r="U43" s="74"/>
      <c r="V43" s="74"/>
      <c r="W43" s="74"/>
      <c r="X43" s="74"/>
      <c r="Y43" s="74"/>
      <c r="Z43" s="74"/>
    </row>
    <row r="44" spans="1:26" x14ac:dyDescent="0.3">
      <c r="A44" s="66">
        <f t="shared" si="7"/>
        <v>1993.6999999999966</v>
      </c>
      <c r="B44" s="67">
        <f>LOOKUP(A44+0.01,Amounts!$A$4:$A$103,Amounts!$B$4:$B$103)*0.1*$A$2</f>
        <v>2683.9841191659998</v>
      </c>
      <c r="C44" s="68">
        <f t="shared" si="4"/>
        <v>98873.902973627963</v>
      </c>
      <c r="D44" s="67">
        <f t="array" ref="D44">SUM($B$7:$B39*$F$1009*EXP(-$F$1009*($A44-$A$7:$A39)))*$F$1010</f>
        <v>15439934.255618252</v>
      </c>
      <c r="E44" s="67">
        <f t="shared" si="1"/>
        <v>29.434871620000088</v>
      </c>
      <c r="F44" s="70">
        <f t="shared" si="8"/>
        <v>1.7872854047664055</v>
      </c>
      <c r="G44" s="67">
        <f>E44/'Lookup Tables'!$C$48</f>
        <v>58.869743240000176</v>
      </c>
      <c r="H44" s="70">
        <f t="shared" si="2"/>
        <v>0.15647170849115286</v>
      </c>
      <c r="I44" s="71">
        <f t="shared" si="9"/>
        <v>8.477243026560026E-2</v>
      </c>
      <c r="J44" s="35">
        <f t="shared" si="0"/>
        <v>2031</v>
      </c>
      <c r="K44" s="75">
        <f>$G421</f>
        <v>127.65999654571077</v>
      </c>
      <c r="L44" s="74"/>
      <c r="M44" s="74"/>
      <c r="N44" s="74"/>
      <c r="O44" s="74"/>
      <c r="P44" s="74"/>
      <c r="Q44" s="74"/>
      <c r="R44" s="74"/>
      <c r="S44" s="74"/>
      <c r="T44" s="74"/>
      <c r="U44" s="74"/>
      <c r="V44" s="74"/>
      <c r="W44" s="74"/>
      <c r="X44" s="74"/>
      <c r="Y44" s="74"/>
      <c r="Z44" s="74"/>
    </row>
    <row r="45" spans="1:26" x14ac:dyDescent="0.3">
      <c r="A45" s="66">
        <f t="shared" si="7"/>
        <v>1993.7999999999965</v>
      </c>
      <c r="B45" s="67">
        <f>LOOKUP(A45+0.01,Amounts!$A$4:$A$103,Amounts!$B$4:$B$103)*0.1*$A$2</f>
        <v>2683.9841191659998</v>
      </c>
      <c r="C45" s="68">
        <f t="shared" si="4"/>
        <v>101557.88709279396</v>
      </c>
      <c r="D45" s="67">
        <f t="array" ref="D45">SUM($B$7:$B40*$F$1009*EXP(-$F$1009*($A45-$A$7:$A40)))*$F$1010</f>
        <v>15872785.998398714</v>
      </c>
      <c r="E45" s="67">
        <f t="shared" si="1"/>
        <v>30.260065255432831</v>
      </c>
      <c r="F45" s="70">
        <f t="shared" si="8"/>
        <v>1.8373911623098815</v>
      </c>
      <c r="G45" s="67">
        <f>E45/'Lookup Tables'!$C$48</f>
        <v>60.520130510865663</v>
      </c>
      <c r="H45" s="70">
        <f t="shared" si="2"/>
        <v>0.15660714055347863</v>
      </c>
      <c r="I45" s="71">
        <f t="shared" si="9"/>
        <v>8.7148987935646557E-2</v>
      </c>
      <c r="J45" s="35">
        <f t="shared" si="0"/>
        <v>2032</v>
      </c>
      <c r="K45" s="75">
        <f>$G431</f>
        <v>119.02939182844297</v>
      </c>
      <c r="L45" s="74"/>
      <c r="M45" s="74"/>
      <c r="N45" s="74"/>
      <c r="O45" s="74"/>
      <c r="P45" s="74"/>
      <c r="Q45" s="74"/>
      <c r="R45" s="74"/>
      <c r="S45" s="74"/>
      <c r="T45" s="74"/>
      <c r="U45" s="74"/>
      <c r="V45" s="74"/>
      <c r="W45" s="74"/>
      <c r="X45" s="74"/>
      <c r="Y45" s="74"/>
      <c r="Z45" s="74"/>
    </row>
    <row r="46" spans="1:26" x14ac:dyDescent="0.3">
      <c r="A46" s="66">
        <f t="shared" si="7"/>
        <v>1993.8999999999965</v>
      </c>
      <c r="B46" s="67">
        <f>LOOKUP(A46+0.01,Amounts!$A$4:$A$103,Amounts!$B$4:$B$103)*0.1*$A$2</f>
        <v>2683.9841191659998</v>
      </c>
      <c r="C46" s="68">
        <f t="shared" si="4"/>
        <v>104241.87121195995</v>
      </c>
      <c r="D46" s="67">
        <f t="array" ref="D46">SUM($B$7:$B41*$F$1009*EXP(-$F$1009*($A46-$A$7:$A41)))*$F$1010</f>
        <v>16302618.359145965</v>
      </c>
      <c r="E46" s="67">
        <f t="shared" si="1"/>
        <v>31.079502705570491</v>
      </c>
      <c r="F46" s="70">
        <f t="shared" si="8"/>
        <v>1.8871474042822403</v>
      </c>
      <c r="G46" s="67">
        <f>E46/'Lookup Tables'!$C$48</f>
        <v>62.159005411140981</v>
      </c>
      <c r="H46" s="70">
        <f t="shared" si="2"/>
        <v>0.15670657512308403</v>
      </c>
      <c r="I46" s="71">
        <f t="shared" si="9"/>
        <v>8.9508967792043023E-2</v>
      </c>
      <c r="J46" s="35">
        <f t="shared" si="0"/>
        <v>2033</v>
      </c>
      <c r="K46" s="75">
        <f>$G441</f>
        <v>110.9822693280109</v>
      </c>
      <c r="L46" s="74"/>
      <c r="M46" s="74"/>
      <c r="N46" s="74"/>
      <c r="O46" s="74"/>
      <c r="P46" s="74"/>
      <c r="Q46" s="74"/>
      <c r="R46" s="74"/>
      <c r="S46" s="74"/>
      <c r="T46" s="74"/>
      <c r="U46" s="74"/>
      <c r="V46" s="74"/>
      <c r="W46" s="74"/>
      <c r="X46" s="74"/>
      <c r="Y46" s="74"/>
      <c r="Z46" s="74"/>
    </row>
    <row r="47" spans="1:26" x14ac:dyDescent="0.3">
      <c r="A47" s="66">
        <f t="shared" si="7"/>
        <v>1993.9999999999964</v>
      </c>
      <c r="B47" s="67">
        <f>LOOKUP(A47+0.01,Amounts!$A$4:$A$103,Amounts!$B$4:$B$103)*0.1*$A$2</f>
        <v>2737.6964644620002</v>
      </c>
      <c r="C47" s="68">
        <f t="shared" si="4"/>
        <v>106979.56767642195</v>
      </c>
      <c r="D47" s="67">
        <f t="array" ref="D47">SUM($B$7:$B42*$F$1009*EXP(-$F$1009*($A47-$A$7:$A42)))*$F$1010</f>
        <v>16729452.399731692</v>
      </c>
      <c r="E47" s="67">
        <f t="shared" si="1"/>
        <v>31.893224123012089</v>
      </c>
      <c r="F47" s="70">
        <f t="shared" si="8"/>
        <v>1.936556568749294</v>
      </c>
      <c r="G47" s="67">
        <f>E47/'Lookup Tables'!$C$48</f>
        <v>63.786448246024179</v>
      </c>
      <c r="H47" s="70">
        <f t="shared" si="2"/>
        <v>0.15669420771785095</v>
      </c>
      <c r="I47" s="71">
        <f t="shared" si="9"/>
        <v>9.1852485474274811E-2</v>
      </c>
      <c r="J47" s="35">
        <f t="shared" si="0"/>
        <v>2034</v>
      </c>
      <c r="K47" s="75">
        <f>$G451</f>
        <v>103.47918204058145</v>
      </c>
      <c r="L47" s="74"/>
      <c r="M47" s="74"/>
      <c r="N47" s="74"/>
      <c r="O47" s="74"/>
      <c r="P47" s="74"/>
      <c r="Q47" s="74"/>
      <c r="R47" s="74"/>
      <c r="S47" s="74"/>
      <c r="T47" s="74"/>
      <c r="U47" s="74"/>
      <c r="V47" s="74"/>
      <c r="W47" s="74"/>
      <c r="X47" s="74"/>
      <c r="Y47" s="74"/>
      <c r="Z47" s="74"/>
    </row>
    <row r="48" spans="1:26" x14ac:dyDescent="0.3">
      <c r="A48" s="66">
        <f t="shared" si="7"/>
        <v>1994.0999999999963</v>
      </c>
      <c r="B48" s="67">
        <f>LOOKUP(A48+0.01,Amounts!$A$4:$A$103,Amounts!$B$4:$B$103)*0.1*$A$2</f>
        <v>2737.6964644620002</v>
      </c>
      <c r="C48" s="68">
        <f t="shared" si="4"/>
        <v>109717.26414088396</v>
      </c>
      <c r="D48" s="67">
        <f t="array" ref="D48">SUM($B$7:$B43*$F$1009*EXP(-$F$1009*($A48-$A$7:$A43)))*$F$1010</f>
        <v>17153309.035109274</v>
      </c>
      <c r="E48" s="67">
        <f t="shared" si="1"/>
        <v>32.701269380269871</v>
      </c>
      <c r="F48" s="70">
        <f t="shared" si="8"/>
        <v>1.9856210767699864</v>
      </c>
      <c r="G48" s="67">
        <f>E48/'Lookup Tables'!$C$48</f>
        <v>65.402538760539741</v>
      </c>
      <c r="H48" s="70">
        <f t="shared" si="2"/>
        <v>0.15665526588595602</v>
      </c>
      <c r="I48" s="71">
        <f t="shared" si="9"/>
        <v>9.4179655815177218E-2</v>
      </c>
      <c r="J48" s="35">
        <f t="shared" si="0"/>
        <v>2035</v>
      </c>
      <c r="K48" s="75">
        <f>$G461</f>
        <v>96.483349823566826</v>
      </c>
      <c r="L48" s="74"/>
      <c r="M48" s="74"/>
      <c r="N48" s="74"/>
      <c r="O48" s="74"/>
      <c r="P48" s="74"/>
      <c r="Q48" s="74"/>
      <c r="R48" s="74"/>
      <c r="S48" s="74"/>
      <c r="T48" s="74"/>
      <c r="U48" s="74"/>
      <c r="V48" s="74"/>
      <c r="W48" s="74"/>
      <c r="X48" s="74"/>
      <c r="Y48" s="74"/>
      <c r="Z48" s="74"/>
    </row>
    <row r="49" spans="1:26" x14ac:dyDescent="0.3">
      <c r="A49" s="66">
        <f t="shared" si="7"/>
        <v>1994.1999999999962</v>
      </c>
      <c r="B49" s="67">
        <f>LOOKUP(A49+0.01,Amounts!$A$4:$A$103,Amounts!$B$4:$B$103)*0.1*$A$2</f>
        <v>2737.6964644620002</v>
      </c>
      <c r="C49" s="68">
        <f t="shared" si="4"/>
        <v>112454.96060534596</v>
      </c>
      <c r="D49" s="67">
        <f t="array" ref="D49">SUM($B$7:$B44*$F$1009*EXP(-$F$1009*($A49-$A$7:$A44)))*$F$1010</f>
        <v>17574209.034338661</v>
      </c>
      <c r="E49" s="67">
        <f t="shared" si="1"/>
        <v>33.503678071723144</v>
      </c>
      <c r="F49" s="70">
        <f t="shared" si="8"/>
        <v>2.0343433325150291</v>
      </c>
      <c r="G49" s="67">
        <f>E49/'Lookup Tables'!$C$48</f>
        <v>67.007356143446287</v>
      </c>
      <c r="H49" s="70">
        <f t="shared" si="2"/>
        <v>0.15659187553581827</v>
      </c>
      <c r="I49" s="71">
        <f t="shared" si="9"/>
        <v>9.6490592846562653E-2</v>
      </c>
      <c r="J49" s="35">
        <f t="shared" si="0"/>
        <v>2036</v>
      </c>
      <c r="K49" s="75">
        <f>$G471</f>
        <v>89.960479099323081</v>
      </c>
      <c r="L49" s="74"/>
      <c r="M49" s="74"/>
      <c r="N49" s="74"/>
      <c r="O49" s="74"/>
      <c r="P49" s="74"/>
      <c r="Q49" s="74"/>
      <c r="R49" s="74"/>
      <c r="S49" s="74"/>
      <c r="T49" s="74"/>
      <c r="U49" s="74"/>
      <c r="V49" s="74"/>
      <c r="W49" s="74"/>
      <c r="X49" s="74"/>
      <c r="Y49" s="74"/>
      <c r="Z49" s="74"/>
    </row>
    <row r="50" spans="1:26" x14ac:dyDescent="0.3">
      <c r="A50" s="66">
        <f t="shared" si="7"/>
        <v>1994.2999999999961</v>
      </c>
      <c r="B50" s="67">
        <f>LOOKUP(A50+0.01,Amounts!$A$4:$A$103,Amounts!$B$4:$B$103)*0.1*$A$2</f>
        <v>2737.6964644620002</v>
      </c>
      <c r="C50" s="68">
        <f t="shared" si="4"/>
        <v>115192.65706980796</v>
      </c>
      <c r="D50" s="67">
        <f t="array" ref="D50">SUM($B$7:$B45*$F$1009*EXP(-$F$1009*($A50-$A$7:$A45)))*$F$1010</f>
        <v>17992173.021604016</v>
      </c>
      <c r="E50" s="67">
        <f t="shared" si="1"/>
        <v>34.300489515558297</v>
      </c>
      <c r="F50" s="70">
        <f t="shared" si="8"/>
        <v>2.0827257233846996</v>
      </c>
      <c r="G50" s="67">
        <f>E50/'Lookup Tables'!$C$48</f>
        <v>68.600979031116594</v>
      </c>
      <c r="H50" s="70">
        <f t="shared" si="2"/>
        <v>0.15650595921623786</v>
      </c>
      <c r="I50" s="71">
        <f t="shared" si="9"/>
        <v>9.8785409804807892E-2</v>
      </c>
      <c r="J50" s="35">
        <f t="shared" si="0"/>
        <v>2037</v>
      </c>
      <c r="K50" s="75">
        <f>$G481</f>
        <v>83.878594747992452</v>
      </c>
      <c r="L50" s="74"/>
      <c r="M50" s="74"/>
      <c r="N50" s="74"/>
      <c r="O50" s="74"/>
      <c r="P50" s="74"/>
      <c r="Q50" s="74"/>
      <c r="R50" s="74"/>
      <c r="S50" s="74"/>
      <c r="T50" s="74"/>
      <c r="U50" s="74"/>
      <c r="V50" s="74"/>
      <c r="W50" s="74"/>
      <c r="X50" s="74"/>
      <c r="Y50" s="74"/>
      <c r="Z50" s="74"/>
    </row>
    <row r="51" spans="1:26" x14ac:dyDescent="0.3">
      <c r="A51" s="66">
        <f t="shared" si="7"/>
        <v>1994.399999999996</v>
      </c>
      <c r="B51" s="67">
        <f>LOOKUP(A51+0.01,Amounts!$A$4:$A$103,Amounts!$B$4:$B$103)*0.1*$A$2</f>
        <v>2737.6964644620002</v>
      </c>
      <c r="C51" s="68">
        <f t="shared" si="4"/>
        <v>117930.35353426996</v>
      </c>
      <c r="D51" s="67">
        <f t="array" ref="D51">SUM($B$7:$B46*$F$1009*EXP(-$F$1009*($A51-$A$7:$A46)))*$F$1010</f>
        <v>18407221.47722435</v>
      </c>
      <c r="E51" s="67">
        <f t="shared" si="1"/>
        <v>35.091742755695535</v>
      </c>
      <c r="F51" s="70">
        <f t="shared" si="8"/>
        <v>2.1307706201258325</v>
      </c>
      <c r="G51" s="67">
        <f>E51/'Lookup Tables'!$C$48</f>
        <v>70.183485511391069</v>
      </c>
      <c r="H51" s="70">
        <f t="shared" si="2"/>
        <v>0.15639925972946206</v>
      </c>
      <c r="I51" s="71">
        <f t="shared" si="9"/>
        <v>0.10106421913640314</v>
      </c>
      <c r="J51" s="35">
        <f t="shared" si="0"/>
        <v>2038</v>
      </c>
      <c r="K51" s="75">
        <f>$G491</f>
        <v>78.207883365428657</v>
      </c>
      <c r="L51" s="74"/>
      <c r="M51" s="74"/>
      <c r="N51" s="74"/>
      <c r="O51" s="74"/>
      <c r="P51" s="74"/>
      <c r="Q51" s="74"/>
      <c r="R51" s="74"/>
      <c r="S51" s="74"/>
      <c r="T51" s="74"/>
      <c r="U51" s="74"/>
      <c r="V51" s="74"/>
      <c r="W51" s="74"/>
      <c r="X51" s="74"/>
      <c r="Y51" s="74"/>
      <c r="Z51" s="74"/>
    </row>
    <row r="52" spans="1:26" x14ac:dyDescent="0.3">
      <c r="A52" s="66">
        <f t="shared" si="7"/>
        <v>1994.4999999999959</v>
      </c>
      <c r="B52" s="67">
        <f>LOOKUP(A52+0.01,Amounts!$A$4:$A$103,Amounts!$B$4:$B$103)*0.1*$A$2</f>
        <v>2737.6964644620002</v>
      </c>
      <c r="C52" s="68">
        <f t="shared" si="4"/>
        <v>120668.04999873196</v>
      </c>
      <c r="D52" s="67">
        <f t="array" ref="D52">SUM($B$7:$B47*$F$1009*EXP(-$F$1009*($A52-$A$7:$A47)))*$F$1010</f>
        <v>18830192.394667123</v>
      </c>
      <c r="E52" s="67">
        <f t="shared" si="1"/>
        <v>35.898099469901837</v>
      </c>
      <c r="F52" s="70">
        <f t="shared" si="8"/>
        <v>2.1797325998124397</v>
      </c>
      <c r="G52" s="67">
        <f>E52/'Lookup Tables'!$C$48</f>
        <v>71.796198939803674</v>
      </c>
      <c r="H52" s="70">
        <f t="shared" si="2"/>
        <v>0.1563631887776315</v>
      </c>
      <c r="I52" s="71">
        <f t="shared" si="9"/>
        <v>0.10338652647331729</v>
      </c>
      <c r="J52" s="35">
        <f t="shared" si="0"/>
        <v>2039</v>
      </c>
      <c r="K52" s="75">
        <f>$G501</f>
        <v>72.920547117855548</v>
      </c>
      <c r="L52" s="74"/>
      <c r="M52" s="74"/>
      <c r="N52" s="74"/>
      <c r="O52" s="74"/>
      <c r="P52" s="74"/>
      <c r="Q52" s="74"/>
      <c r="R52" s="74"/>
      <c r="S52" s="74"/>
      <c r="T52" s="74"/>
      <c r="U52" s="74"/>
      <c r="V52" s="74"/>
      <c r="W52" s="74"/>
      <c r="X52" s="74"/>
      <c r="Y52" s="74"/>
      <c r="Z52" s="74"/>
    </row>
    <row r="53" spans="1:26" x14ac:dyDescent="0.3">
      <c r="A53" s="66">
        <f t="shared" si="7"/>
        <v>1994.5999999999958</v>
      </c>
      <c r="B53" s="67">
        <f>LOOKUP(A53+0.01,Amounts!$A$4:$A$103,Amounts!$B$4:$B$103)*0.1*$A$2</f>
        <v>2737.6964644620002</v>
      </c>
      <c r="C53" s="68">
        <f t="shared" si="4"/>
        <v>123405.74646319397</v>
      </c>
      <c r="D53" s="67">
        <f t="array" ref="D53">SUM($B$7:$B48*$F$1009*EXP(-$F$1009*($A53-$A$7:$A48)))*$F$1010</f>
        <v>19250212.854337692</v>
      </c>
      <c r="E53" s="67">
        <f t="shared" si="1"/>
        <v>36.69883139683202</v>
      </c>
      <c r="F53" s="70">
        <f t="shared" si="8"/>
        <v>2.2283530424156401</v>
      </c>
      <c r="G53" s="67">
        <f>E53/'Lookup Tables'!$C$48</f>
        <v>73.39766279366404</v>
      </c>
      <c r="H53" s="70">
        <f t="shared" si="2"/>
        <v>0.15630476160952414</v>
      </c>
      <c r="I53" s="71">
        <f t="shared" si="9"/>
        <v>0.10569263442287621</v>
      </c>
      <c r="J53" s="35">
        <f t="shared" si="0"/>
        <v>2040</v>
      </c>
      <c r="K53" s="75">
        <f>$G511</f>
        <v>67.990667476853361</v>
      </c>
      <c r="L53" s="74"/>
      <c r="M53" s="74"/>
      <c r="N53" s="74"/>
      <c r="O53" s="74"/>
      <c r="P53" s="74"/>
      <c r="Q53" s="74"/>
      <c r="R53" s="74"/>
      <c r="S53" s="74"/>
      <c r="T53" s="74"/>
      <c r="U53" s="74"/>
      <c r="V53" s="74"/>
      <c r="W53" s="74"/>
      <c r="X53" s="74"/>
      <c r="Y53" s="74"/>
      <c r="Z53" s="74"/>
    </row>
    <row r="54" spans="1:26" x14ac:dyDescent="0.3">
      <c r="A54" s="66">
        <f t="shared" si="7"/>
        <v>1994.6999999999957</v>
      </c>
      <c r="B54" s="67">
        <f>LOOKUP(A54+0.01,Amounts!$A$4:$A$103,Amounts!$B$4:$B$103)*0.1*$A$2</f>
        <v>2737.6964644620002</v>
      </c>
      <c r="C54" s="68">
        <f t="shared" si="4"/>
        <v>126143.44292765597</v>
      </c>
      <c r="D54" s="67">
        <f t="array" ref="D54">SUM($B$7:$B49*$F$1009*EXP(-$F$1009*($A54-$A$7:$A49)))*$F$1010</f>
        <v>19667303.437322628</v>
      </c>
      <c r="E54" s="67">
        <f t="shared" si="1"/>
        <v>37.493977772510739</v>
      </c>
      <c r="F54" s="70">
        <f t="shared" si="8"/>
        <v>2.2766343303468521</v>
      </c>
      <c r="G54" s="67">
        <f>E54/'Lookup Tables'!$C$48</f>
        <v>74.987955545021478</v>
      </c>
      <c r="H54" s="70">
        <f t="shared" si="2"/>
        <v>0.15622559730301347</v>
      </c>
      <c r="I54" s="71">
        <f t="shared" si="9"/>
        <v>0.10798265598483092</v>
      </c>
      <c r="J54" s="35">
        <f t="shared" si="0"/>
        <v>2041</v>
      </c>
      <c r="K54" s="77">
        <f>$G521</f>
        <v>63.394078166702464</v>
      </c>
      <c r="L54" s="74"/>
      <c r="M54" s="74"/>
      <c r="N54" s="74"/>
      <c r="O54" s="74"/>
      <c r="P54" s="74"/>
      <c r="Q54" s="74"/>
      <c r="R54" s="74"/>
      <c r="S54" s="74"/>
      <c r="T54" s="74"/>
      <c r="U54" s="74"/>
      <c r="V54" s="74"/>
      <c r="W54" s="74"/>
      <c r="X54" s="74"/>
      <c r="Y54" s="74"/>
      <c r="Z54" s="74"/>
    </row>
    <row r="55" spans="1:26" x14ac:dyDescent="0.3">
      <c r="A55" s="66">
        <f t="shared" si="7"/>
        <v>1994.7999999999956</v>
      </c>
      <c r="B55" s="67">
        <f>LOOKUP(A55+0.01,Amounts!$A$4:$A$103,Amounts!$B$4:$B$103)*0.1*$A$2</f>
        <v>2737.6964644620002</v>
      </c>
      <c r="C55" s="68">
        <f t="shared" si="4"/>
        <v>128881.13939211797</v>
      </c>
      <c r="D55" s="67">
        <f t="array" ref="D55">SUM($B$7:$B50*$F$1009*EXP(-$F$1009*($A55-$A$7:$A50)))*$F$1010</f>
        <v>20081484.581143934</v>
      </c>
      <c r="E55" s="67">
        <f t="shared" si="1"/>
        <v>38.283577559269474</v>
      </c>
      <c r="F55" s="70">
        <f t="shared" si="8"/>
        <v>2.3245788293988427</v>
      </c>
      <c r="G55" s="67">
        <f>E55/'Lookup Tables'!$C$48</f>
        <v>76.567155118538949</v>
      </c>
      <c r="H55" s="70">
        <f t="shared" si="2"/>
        <v>0.15612717624982941</v>
      </c>
      <c r="I55" s="71">
        <f t="shared" si="9"/>
        <v>0.11025670337069608</v>
      </c>
      <c r="J55" s="35">
        <f t="shared" si="0"/>
        <v>2042</v>
      </c>
      <c r="K55" s="77">
        <f>$G531</f>
        <v>59.108246701271746</v>
      </c>
      <c r="L55" s="74"/>
      <c r="M55" s="74"/>
      <c r="N55" s="74"/>
      <c r="O55" s="74"/>
      <c r="P55" s="74"/>
      <c r="Q55" s="74"/>
      <c r="R55" s="74"/>
      <c r="S55" s="74"/>
      <c r="T55" s="74"/>
      <c r="U55" s="74"/>
      <c r="V55" s="74"/>
      <c r="W55" s="74"/>
      <c r="X55" s="74"/>
      <c r="Y55" s="74"/>
      <c r="Z55" s="74"/>
    </row>
    <row r="56" spans="1:26" x14ac:dyDescent="0.3">
      <c r="A56" s="66">
        <f t="shared" si="7"/>
        <v>1994.8999999999955</v>
      </c>
      <c r="B56" s="67">
        <f>LOOKUP(A56+0.01,Amounts!$A$4:$A$103,Amounts!$B$4:$B$103)*0.1*$A$2</f>
        <v>2737.6964644620002</v>
      </c>
      <c r="C56" s="68">
        <f t="shared" si="4"/>
        <v>131618.83585657997</v>
      </c>
      <c r="D56" s="67">
        <f t="array" ref="D56">SUM($B$7:$B51*$F$1009*EXP(-$F$1009*($A56-$A$7:$A51)))*$F$1010</f>
        <v>20492776.580760546</v>
      </c>
      <c r="E56" s="67">
        <f t="shared" si="1"/>
        <v>39.067669447655774</v>
      </c>
      <c r="F56" s="70">
        <f t="shared" si="8"/>
        <v>2.3721888888616585</v>
      </c>
      <c r="G56" s="67">
        <f>E56/'Lookup Tables'!$C$48</f>
        <v>78.135338895311548</v>
      </c>
      <c r="H56" s="70">
        <f t="shared" si="2"/>
        <v>0.15601085458667141</v>
      </c>
      <c r="I56" s="71">
        <f t="shared" si="9"/>
        <v>0.11251488800924862</v>
      </c>
      <c r="J56" s="35">
        <f t="shared" si="0"/>
        <v>2043</v>
      </c>
      <c r="K56" s="77">
        <f>$G541</f>
        <v>55.112163929745435</v>
      </c>
      <c r="L56" s="74"/>
      <c r="M56" s="74"/>
      <c r="N56" s="74"/>
      <c r="O56" s="74"/>
      <c r="P56" s="74"/>
      <c r="Q56" s="74"/>
      <c r="R56" s="74"/>
      <c r="S56" s="74"/>
      <c r="T56" s="74"/>
      <c r="U56" s="74"/>
      <c r="V56" s="74"/>
      <c r="W56" s="74"/>
      <c r="X56" s="74"/>
      <c r="Y56" s="74"/>
      <c r="Z56" s="74"/>
    </row>
    <row r="57" spans="1:26" x14ac:dyDescent="0.3">
      <c r="A57" s="66">
        <f t="shared" si="7"/>
        <v>1994.9999999999955</v>
      </c>
      <c r="B57" s="67">
        <f>LOOKUP(A57+0.01,Amounts!$A$4:$A$103,Amounts!$B$4:$B$103)*0.1*$A$2</f>
        <v>2792.4068432010004</v>
      </c>
      <c r="C57" s="68">
        <f t="shared" si="4"/>
        <v>134411.24269978097</v>
      </c>
      <c r="D57" s="67">
        <f t="array" ref="D57">SUM($B$7:$B52*$F$1009*EXP(-$F$1009*($A57-$A$7:$A52)))*$F$1010</f>
        <v>20901199.589562733</v>
      </c>
      <c r="E57" s="67">
        <f t="shared" si="1"/>
        <v>39.84629185832906</v>
      </c>
      <c r="F57" s="70">
        <f t="shared" si="8"/>
        <v>2.4194668416377403</v>
      </c>
      <c r="G57" s="67">
        <f>E57/'Lookup Tables'!$C$48</f>
        <v>79.69258371665812</v>
      </c>
      <c r="H57" s="70">
        <f t="shared" si="2"/>
        <v>0.15581442876408941</v>
      </c>
      <c r="I57" s="71">
        <f t="shared" si="9"/>
        <v>0.11475732055198767</v>
      </c>
      <c r="J57" s="35">
        <f t="shared" si="0"/>
        <v>2044</v>
      </c>
      <c r="K57" s="77">
        <f>$G551</f>
        <v>51.386241049741407</v>
      </c>
      <c r="L57" s="74"/>
      <c r="M57" s="74"/>
      <c r="N57" s="74"/>
      <c r="O57" s="74"/>
      <c r="P57" s="74"/>
      <c r="Q57" s="74"/>
      <c r="R57" s="74"/>
      <c r="S57" s="74"/>
      <c r="T57" s="74"/>
      <c r="U57" s="74"/>
      <c r="V57" s="74"/>
      <c r="W57" s="74"/>
      <c r="X57" s="74"/>
      <c r="Y57" s="74"/>
      <c r="Z57" s="74"/>
    </row>
    <row r="58" spans="1:26" x14ac:dyDescent="0.3">
      <c r="A58" s="66">
        <f t="shared" si="7"/>
        <v>1995.0999999999954</v>
      </c>
      <c r="B58" s="67">
        <f>LOOKUP(A58+0.01,Amounts!$A$4:$A$103,Amounts!$B$4:$B$103)*0.1*$A$2</f>
        <v>2792.4068432010004</v>
      </c>
      <c r="C58" s="68">
        <f t="shared" si="4"/>
        <v>137203.64954298196</v>
      </c>
      <c r="D58" s="67">
        <f t="array" ref="D58">SUM($B$7:$B53*$F$1009*EXP(-$F$1009*($A58-$A$7:$A53)))*$F$1010</f>
        <v>21306773.620359641</v>
      </c>
      <c r="E58" s="67">
        <f t="shared" si="1"/>
        <v>40.61948294394324</v>
      </c>
      <c r="F58" s="70">
        <f t="shared" si="8"/>
        <v>2.4664150043562336</v>
      </c>
      <c r="G58" s="67">
        <f>E58/'Lookup Tables'!$C$48</f>
        <v>81.238965887886479</v>
      </c>
      <c r="H58" s="70">
        <f t="shared" si="2"/>
        <v>0.1556051920371721</v>
      </c>
      <c r="I58" s="71">
        <f t="shared" si="9"/>
        <v>0.11698411087855654</v>
      </c>
      <c r="J58" s="35">
        <f t="shared" si="0"/>
        <v>2045</v>
      </c>
      <c r="K58" s="77">
        <f>$G561</f>
        <v>47.912213582979284</v>
      </c>
      <c r="L58" s="74"/>
      <c r="M58" s="74"/>
      <c r="N58" s="74"/>
      <c r="O58" s="74"/>
      <c r="P58" s="74"/>
      <c r="Q58" s="74"/>
      <c r="R58" s="74"/>
      <c r="S58" s="74"/>
      <c r="T58" s="74"/>
      <c r="U58" s="74"/>
      <c r="V58" s="74"/>
      <c r="W58" s="74"/>
      <c r="X58" s="74"/>
      <c r="Y58" s="74"/>
      <c r="Z58" s="74"/>
    </row>
    <row r="59" spans="1:26" x14ac:dyDescent="0.3">
      <c r="A59" s="66">
        <f t="shared" si="7"/>
        <v>1995.1999999999953</v>
      </c>
      <c r="B59" s="67">
        <f>LOOKUP(A59+0.01,Amounts!$A$4:$A$103,Amounts!$B$4:$B$103)*0.1*$A$2</f>
        <v>2792.4068432010004</v>
      </c>
      <c r="C59" s="68">
        <f t="shared" si="4"/>
        <v>139996.05638618296</v>
      </c>
      <c r="D59" s="67">
        <f t="array" ref="D59">SUM($B$7:$B54*$F$1009*EXP(-$F$1009*($A59-$A$7:$A54)))*$F$1010</f>
        <v>21709518.546359926</v>
      </c>
      <c r="E59" s="67">
        <f t="shared" si="1"/>
        <v>41.387280591016193</v>
      </c>
      <c r="F59" s="70">
        <f t="shared" si="8"/>
        <v>2.5130356774865037</v>
      </c>
      <c r="G59" s="67">
        <f>E59/'Lookup Tables'!$C$48</f>
        <v>82.774561182032386</v>
      </c>
      <c r="H59" s="70">
        <f t="shared" si="2"/>
        <v>0.15538405323812435</v>
      </c>
      <c r="I59" s="71">
        <f t="shared" si="9"/>
        <v>0.11919536810212664</v>
      </c>
      <c r="J59" s="35">
        <f t="shared" si="0"/>
        <v>2046</v>
      </c>
      <c r="K59" s="77">
        <f>$G571</f>
        <v>44.673051842786577</v>
      </c>
      <c r="L59" s="74"/>
      <c r="M59" s="74"/>
      <c r="N59" s="74"/>
      <c r="O59" s="74"/>
      <c r="P59" s="74"/>
      <c r="Q59" s="74"/>
      <c r="R59" s="74"/>
      <c r="S59" s="74"/>
      <c r="T59" s="74"/>
      <c r="U59" s="74"/>
      <c r="V59" s="74"/>
      <c r="W59" s="74"/>
      <c r="X59" s="74"/>
      <c r="Y59" s="74"/>
      <c r="Z59" s="74"/>
    </row>
    <row r="60" spans="1:26" x14ac:dyDescent="0.3">
      <c r="A60" s="66">
        <f t="shared" si="7"/>
        <v>1995.2999999999952</v>
      </c>
      <c r="B60" s="67">
        <f>LOOKUP(A60+0.01,Amounts!$A$4:$A$103,Amounts!$B$4:$B$103)*0.1*$A$2</f>
        <v>2792.4068432010004</v>
      </c>
      <c r="C60" s="68">
        <f t="shared" si="4"/>
        <v>142788.46322938395</v>
      </c>
      <c r="D60" s="67">
        <f t="array" ref="D60">SUM($B$7:$B55*$F$1009*EXP(-$F$1009*($A60-$A$7:$A55)))*$F$1010</f>
        <v>22109454.10214556</v>
      </c>
      <c r="E60" s="67">
        <f t="shared" si="1"/>
        <v>42.149722421786286</v>
      </c>
      <c r="F60" s="70">
        <f t="shared" si="8"/>
        <v>2.5593311454508636</v>
      </c>
      <c r="G60" s="67">
        <f>E60/'Lookup Tables'!$C$48</f>
        <v>84.299444843572573</v>
      </c>
      <c r="H60" s="70">
        <f t="shared" si="2"/>
        <v>0.15515184913294802</v>
      </c>
      <c r="I60" s="71">
        <f t="shared" si="9"/>
        <v>0.12139120057474452</v>
      </c>
      <c r="J60" s="35">
        <f t="shared" si="0"/>
        <v>2047</v>
      </c>
      <c r="K60" s="77">
        <f>$G581</f>
        <v>41.652877454554876</v>
      </c>
      <c r="L60" s="74"/>
      <c r="M60" s="74"/>
      <c r="N60" s="74"/>
      <c r="O60" s="74"/>
      <c r="P60" s="74"/>
      <c r="Q60" s="74"/>
      <c r="R60" s="74"/>
      <c r="S60" s="74"/>
      <c r="T60" s="74"/>
      <c r="U60" s="74"/>
      <c r="V60" s="74"/>
      <c r="W60" s="74"/>
      <c r="X60" s="74"/>
      <c r="Y60" s="74"/>
      <c r="Z60" s="74"/>
    </row>
    <row r="61" spans="1:26" x14ac:dyDescent="0.3">
      <c r="A61" s="66">
        <f t="shared" si="7"/>
        <v>1995.3999999999951</v>
      </c>
      <c r="B61" s="67">
        <f>LOOKUP(A61+0.01,Amounts!$A$4:$A$103,Amounts!$B$4:$B$103)*0.1*$A$2</f>
        <v>2792.4068432010004</v>
      </c>
      <c r="C61" s="68">
        <f t="shared" si="4"/>
        <v>145580.87007258495</v>
      </c>
      <c r="D61" s="67">
        <f t="array" ref="D61">SUM($B$7:$B56*$F$1009*EXP(-$F$1009*($A61-$A$7:$A56)))*$F$1010</f>
        <v>22506599.884638771</v>
      </c>
      <c r="E61" s="67">
        <f t="shared" si="1"/>
        <v>42.906845796055741</v>
      </c>
      <c r="F61" s="70">
        <f t="shared" si="8"/>
        <v>2.6053036767365043</v>
      </c>
      <c r="G61" s="67">
        <f>E61/'Lookup Tables'!$C$48</f>
        <v>85.813691592111482</v>
      </c>
      <c r="H61" s="70">
        <f t="shared" si="2"/>
        <v>0.15490935133965616</v>
      </c>
      <c r="I61" s="71">
        <f t="shared" si="9"/>
        <v>0.12357171589264053</v>
      </c>
      <c r="J61" s="35">
        <f t="shared" si="0"/>
        <v>2048</v>
      </c>
      <c r="K61" s="77">
        <f>$G591</f>
        <v>38.836885519929247</v>
      </c>
      <c r="L61" s="74"/>
      <c r="M61" s="74"/>
      <c r="N61" s="74"/>
      <c r="O61" s="74"/>
      <c r="P61" s="74"/>
      <c r="Q61" s="74"/>
      <c r="R61" s="74"/>
      <c r="S61" s="74"/>
      <c r="T61" s="74"/>
      <c r="U61" s="74"/>
      <c r="V61" s="74"/>
      <c r="W61" s="74"/>
      <c r="X61" s="74"/>
      <c r="Y61" s="74"/>
      <c r="Z61" s="74"/>
    </row>
    <row r="62" spans="1:26" x14ac:dyDescent="0.3">
      <c r="A62" s="66">
        <f t="shared" si="7"/>
        <v>1995.499999999995</v>
      </c>
      <c r="B62" s="67">
        <f>LOOKUP(A62+0.01,Amounts!$A$4:$A$103,Amounts!$B$4:$B$103)*0.1*$A$2</f>
        <v>2792.4068432010004</v>
      </c>
      <c r="C62" s="68">
        <f t="shared" si="4"/>
        <v>148373.27691578594</v>
      </c>
      <c r="D62" s="67">
        <f t="array" ref="D62">SUM($B$7:$B57*$F$1009*EXP(-$F$1009*($A62-$A$7:$A57)))*$F$1010</f>
        <v>22911994.013815895</v>
      </c>
      <c r="E62" s="67">
        <f t="shared" si="1"/>
        <v>43.679693915113518</v>
      </c>
      <c r="F62" s="70">
        <f t="shared" si="8"/>
        <v>2.6522310145256931</v>
      </c>
      <c r="G62" s="67">
        <f>E62/'Lookup Tables'!$C$48</f>
        <v>87.359387830227035</v>
      </c>
      <c r="H62" s="70">
        <f t="shared" si="2"/>
        <v>0.15473168483576899</v>
      </c>
      <c r="I62" s="71">
        <f t="shared" si="9"/>
        <v>0.12579751847552695</v>
      </c>
      <c r="J62" s="35">
        <f t="shared" si="0"/>
        <v>2049</v>
      </c>
      <c r="K62" s="77">
        <f>$G601</f>
        <v>36.211272043179129</v>
      </c>
      <c r="L62" s="74"/>
      <c r="M62" s="74"/>
      <c r="N62" s="74"/>
      <c r="O62" s="74"/>
      <c r="P62" s="74"/>
      <c r="Q62" s="74"/>
      <c r="R62" s="74"/>
      <c r="S62" s="74"/>
      <c r="T62" s="74"/>
      <c r="U62" s="74"/>
      <c r="V62" s="74"/>
      <c r="W62" s="74"/>
      <c r="X62" s="74"/>
      <c r="Y62" s="74"/>
      <c r="Z62" s="74"/>
    </row>
    <row r="63" spans="1:26" x14ac:dyDescent="0.3">
      <c r="A63" s="66">
        <f t="shared" si="7"/>
        <v>1995.5999999999949</v>
      </c>
      <c r="B63" s="67">
        <f>LOOKUP(A63+0.01,Amounts!$A$4:$A$103,Amounts!$B$4:$B$103)*0.1*$A$2</f>
        <v>2792.4068432010004</v>
      </c>
      <c r="C63" s="68">
        <f t="shared" si="4"/>
        <v>151165.68375898694</v>
      </c>
      <c r="D63" s="67">
        <f t="array" ref="D63">SUM($B$7:$B58*$F$1009*EXP(-$F$1009*($A63-$A$7:$A58)))*$F$1010</f>
        <v>23314560.293110412</v>
      </c>
      <c r="E63" s="67">
        <f t="shared" si="1"/>
        <v>44.447150988012865</v>
      </c>
      <c r="F63" s="70">
        <f t="shared" si="8"/>
        <v>2.6988310079921414</v>
      </c>
      <c r="G63" s="67">
        <f>E63/'Lookup Tables'!$C$48</f>
        <v>88.89430197602573</v>
      </c>
      <c r="H63" s="70">
        <f t="shared" si="2"/>
        <v>0.15454183766036586</v>
      </c>
      <c r="I63" s="71">
        <f t="shared" si="9"/>
        <v>0.12800779484547706</v>
      </c>
      <c r="J63" s="35">
        <f t="shared" si="0"/>
        <v>2050</v>
      </c>
      <c r="K63" s="77">
        <f>$G611</f>
        <v>33.763166263995423</v>
      </c>
      <c r="L63" s="74"/>
      <c r="M63" s="74"/>
      <c r="N63" s="74"/>
      <c r="O63" s="74"/>
      <c r="P63" s="74"/>
      <c r="Q63" s="74"/>
      <c r="R63" s="74"/>
      <c r="S63" s="74"/>
      <c r="T63" s="74"/>
      <c r="U63" s="74"/>
      <c r="V63" s="74"/>
      <c r="W63" s="74"/>
      <c r="X63" s="74"/>
      <c r="Y63" s="74"/>
      <c r="Z63" s="74"/>
    </row>
    <row r="64" spans="1:26" x14ac:dyDescent="0.3">
      <c r="A64" s="66">
        <f t="shared" si="7"/>
        <v>1995.6999999999948</v>
      </c>
      <c r="B64" s="67">
        <f>LOOKUP(A64+0.01,Amounts!$A$4:$A$103,Amounts!$B$4:$B$103)*0.1*$A$2</f>
        <v>2792.4068432010004</v>
      </c>
      <c r="C64" s="68">
        <f t="shared" si="4"/>
        <v>153958.09060218793</v>
      </c>
      <c r="D64" s="67">
        <f t="array" ref="D64">SUM($B$7:$B59*$F$1009*EXP(-$F$1009*($A64-$A$7:$A59)))*$F$1010</f>
        <v>23714318.44835056</v>
      </c>
      <c r="E64" s="67">
        <f t="shared" si="1"/>
        <v>45.20925462030393</v>
      </c>
      <c r="F64" s="70">
        <f t="shared" si="8"/>
        <v>2.745105940544855</v>
      </c>
      <c r="G64" s="67">
        <f>E64/'Lookup Tables'!$C$48</f>
        <v>90.418509240607861</v>
      </c>
      <c r="H64" s="70">
        <f t="shared" si="2"/>
        <v>0.15434060097452298</v>
      </c>
      <c r="I64" s="71">
        <f t="shared" si="9"/>
        <v>0.13020265330647532</v>
      </c>
      <c r="J64" s="35">
        <f t="shared" si="0"/>
        <v>2051</v>
      </c>
      <c r="K64" s="77">
        <f>$G621</f>
        <v>31.480567565008325</v>
      </c>
      <c r="L64" s="74"/>
      <c r="M64" s="74"/>
      <c r="N64" s="74"/>
      <c r="O64" s="74"/>
      <c r="P64" s="74"/>
      <c r="Q64" s="74"/>
      <c r="R64" s="74"/>
      <c r="S64" s="74"/>
      <c r="T64" s="74"/>
      <c r="U64" s="74"/>
      <c r="V64" s="74"/>
      <c r="W64" s="74"/>
      <c r="X64" s="74"/>
      <c r="Y64" s="74"/>
      <c r="Z64" s="74"/>
    </row>
    <row r="65" spans="1:26" x14ac:dyDescent="0.3">
      <c r="A65" s="66">
        <f t="shared" si="7"/>
        <v>1995.7999999999947</v>
      </c>
      <c r="B65" s="67">
        <f>LOOKUP(A65+0.01,Amounts!$A$4:$A$103,Amounts!$B$4:$B$103)*0.1*$A$2</f>
        <v>2792.4068432010004</v>
      </c>
      <c r="C65" s="68">
        <f t="shared" si="4"/>
        <v>156750.49744538893</v>
      </c>
      <c r="D65" s="67">
        <f t="array" ref="D65">SUM($B$7:$B60*$F$1009*EXP(-$F$1009*($A65-$A$7:$A60)))*$F$1010</f>
        <v>24111288.067765933</v>
      </c>
      <c r="E65" s="67">
        <f t="shared" si="1"/>
        <v>45.966042155217167</v>
      </c>
      <c r="F65" s="70">
        <f t="shared" si="8"/>
        <v>2.7910580796647868</v>
      </c>
      <c r="G65" s="67">
        <f>E65/'Lookup Tables'!$C$48</f>
        <v>91.932084310434334</v>
      </c>
      <c r="H65" s="70">
        <f t="shared" si="2"/>
        <v>0.15412870868367914</v>
      </c>
      <c r="I65" s="71">
        <f t="shared" si="9"/>
        <v>0.13238220140702545</v>
      </c>
      <c r="J65" s="35">
        <f t="shared" si="0"/>
        <v>2052</v>
      </c>
      <c r="K65" s="77">
        <f>$G631</f>
        <v>29.352286644747284</v>
      </c>
      <c r="L65" s="74"/>
      <c r="M65" s="74"/>
      <c r="N65" s="74"/>
      <c r="O65" s="74"/>
      <c r="P65" s="74"/>
      <c r="Q65" s="74"/>
      <c r="R65" s="74"/>
      <c r="S65" s="74"/>
      <c r="T65" s="74"/>
      <c r="U65" s="74"/>
      <c r="V65" s="74"/>
      <c r="W65" s="74"/>
      <c r="X65" s="74"/>
      <c r="Y65" s="74"/>
      <c r="Z65" s="74"/>
    </row>
    <row r="66" spans="1:26" x14ac:dyDescent="0.3">
      <c r="A66" s="66">
        <f t="shared" si="7"/>
        <v>1995.8999999999946</v>
      </c>
      <c r="B66" s="67">
        <f>LOOKUP(A66+0.01,Amounts!$A$4:$A$103,Amounts!$B$4:$B$103)*0.1*$A$2</f>
        <v>2792.4068432010004</v>
      </c>
      <c r="C66" s="68">
        <f t="shared" si="4"/>
        <v>159542.90428858993</v>
      </c>
      <c r="D66" s="67">
        <f t="array" ref="D66">SUM($B$7:$B61*$F$1009*EXP(-$F$1009*($A66-$A$7:$A61)))*$F$1010</f>
        <v>24505488.602947298</v>
      </c>
      <c r="E66" s="67">
        <f t="shared" si="1"/>
        <v>46.7175506754932</v>
      </c>
      <c r="F66" s="70">
        <f t="shared" si="8"/>
        <v>2.8366896770159471</v>
      </c>
      <c r="G66" s="67">
        <f>E66/'Lookup Tables'!$C$48</f>
        <v>93.4351013509864</v>
      </c>
      <c r="H66" s="70">
        <f t="shared" si="2"/>
        <v>0.15390684245426087</v>
      </c>
      <c r="I66" s="71">
        <f t="shared" si="9"/>
        <v>0.13454654594542043</v>
      </c>
      <c r="J66" s="35">
        <f t="shared" si="0"/>
        <v>2053</v>
      </c>
      <c r="K66" s="77">
        <f>$G641</f>
        <v>27.367890667671997</v>
      </c>
      <c r="L66" s="74"/>
      <c r="M66" s="74"/>
      <c r="N66" s="74"/>
      <c r="O66" s="74"/>
      <c r="P66" s="74"/>
      <c r="Q66" s="74"/>
      <c r="R66" s="74"/>
      <c r="S66" s="74"/>
      <c r="T66" s="74"/>
      <c r="U66" s="74"/>
      <c r="V66" s="74"/>
      <c r="W66" s="74"/>
      <c r="X66" s="74"/>
      <c r="Y66" s="74"/>
      <c r="Z66" s="74"/>
    </row>
    <row r="67" spans="1:26" x14ac:dyDescent="0.3">
      <c r="A67" s="66">
        <f t="shared" si="7"/>
        <v>1995.9999999999945</v>
      </c>
      <c r="B67" s="67">
        <f>LOOKUP(A67+0.01,Amounts!$A$4:$A$103,Amounts!$B$4:$B$103)*0.1*$A$2</f>
        <v>2848.2967160090002</v>
      </c>
      <c r="C67" s="68">
        <f t="shared" si="4"/>
        <v>162391.20100459893</v>
      </c>
      <c r="D67" s="67">
        <f t="array" ref="D67">SUM($B$7:$B62*$F$1009*EXP(-$F$1009*($A67-$A$7:$A62)))*$F$1010</f>
        <v>24896939.369799767</v>
      </c>
      <c r="E67" s="67">
        <f t="shared" si="1"/>
        <v>47.463817005199893</v>
      </c>
      <c r="F67" s="70">
        <f t="shared" si="8"/>
        <v>2.8820029685557378</v>
      </c>
      <c r="G67" s="67">
        <f>E67/'Lookup Tables'!$C$48</f>
        <v>94.927634010399785</v>
      </c>
      <c r="H67" s="70">
        <f t="shared" si="2"/>
        <v>0.15362274595916417</v>
      </c>
      <c r="I67" s="71">
        <f t="shared" si="9"/>
        <v>0.13669579297497569</v>
      </c>
      <c r="J67" s="35">
        <f t="shared" si="0"/>
        <v>2054</v>
      </c>
      <c r="K67" s="77">
        <f>$G651</f>
        <v>25.51765212240069</v>
      </c>
      <c r="L67" s="74"/>
      <c r="M67" s="74"/>
      <c r="N67" s="74"/>
      <c r="O67" s="74"/>
      <c r="P67" s="74"/>
      <c r="Q67" s="74"/>
      <c r="R67" s="74"/>
      <c r="S67" s="74"/>
      <c r="T67" s="74"/>
      <c r="U67" s="74"/>
      <c r="V67" s="74"/>
      <c r="W67" s="74"/>
      <c r="X67" s="74"/>
      <c r="Y67" s="74"/>
      <c r="Z67" s="74"/>
    </row>
    <row r="68" spans="1:26" x14ac:dyDescent="0.3">
      <c r="A68" s="66">
        <f t="shared" si="7"/>
        <v>1996.0999999999945</v>
      </c>
      <c r="B68" s="67">
        <f>LOOKUP(A68+0.01,Amounts!$A$4:$A$103,Amounts!$B$4:$B$103)*0.1*$A$2</f>
        <v>2848.2967160090002</v>
      </c>
      <c r="C68" s="68">
        <f t="shared" si="4"/>
        <v>165239.49772060793</v>
      </c>
      <c r="D68" s="67">
        <f t="array" ref="D68">SUM($B$7:$B63*$F$1009*EXP(-$F$1009*($A68-$A$7:$A63)))*$F$1010</f>
        <v>25285659.549489222</v>
      </c>
      <c r="E68" s="67">
        <f t="shared" si="1"/>
        <v>48.204877711536717</v>
      </c>
      <c r="F68" s="70">
        <f t="shared" si="8"/>
        <v>2.9270001746445091</v>
      </c>
      <c r="G68" s="67">
        <f>E68/'Lookup Tables'!$C$48</f>
        <v>96.409755423073435</v>
      </c>
      <c r="H68" s="70">
        <f t="shared" si="2"/>
        <v>0.15333188538265477</v>
      </c>
      <c r="I68" s="71">
        <f t="shared" si="9"/>
        <v>0.13883004780922573</v>
      </c>
      <c r="J68" s="35">
        <f>J67+1</f>
        <v>2055</v>
      </c>
      <c r="K68" s="77">
        <f>$G661</f>
        <v>23.79250113743781</v>
      </c>
      <c r="L68" s="74"/>
      <c r="M68" s="74"/>
      <c r="N68" s="74"/>
      <c r="O68" s="74"/>
      <c r="P68" s="74"/>
      <c r="Q68" s="74"/>
      <c r="R68" s="74"/>
      <c r="S68" s="74"/>
      <c r="T68" s="74"/>
      <c r="U68" s="74"/>
      <c r="V68" s="74"/>
      <c r="W68" s="74"/>
      <c r="X68" s="74"/>
      <c r="Y68" s="74"/>
      <c r="Z68" s="74"/>
    </row>
    <row r="69" spans="1:26" x14ac:dyDescent="0.3">
      <c r="A69" s="66">
        <f t="shared" si="7"/>
        <v>1996.1999999999944</v>
      </c>
      <c r="B69" s="67">
        <f>LOOKUP(A69+0.01,Amounts!$A$4:$A$103,Amounts!$B$4:$B$103)*0.1*$A$2</f>
        <v>2848.2967160090002</v>
      </c>
      <c r="C69" s="68">
        <f t="shared" si="4"/>
        <v>168087.79443661694</v>
      </c>
      <c r="D69" s="67">
        <f t="array" ref="D69">SUM($B$7:$B64*$F$1009*EXP(-$F$1009*($A69-$A$7:$A64)))*$F$1010</f>
        <v>25671668.189382251</v>
      </c>
      <c r="E69" s="67">
        <f t="shared" si="1"/>
        <v>48.94076910662654</v>
      </c>
      <c r="F69" s="70">
        <f t="shared" si="8"/>
        <v>2.9716835001543633</v>
      </c>
      <c r="G69" s="67">
        <f>E69/'Lookup Tables'!$C$48</f>
        <v>97.88153821325308</v>
      </c>
      <c r="H69" s="70">
        <f t="shared" si="2"/>
        <v>0.1530347181284642</v>
      </c>
      <c r="I69" s="71">
        <f t="shared" si="9"/>
        <v>0.14094941502708441</v>
      </c>
      <c r="J69" s="35">
        <f t="shared" ref="J69:J102" si="10">J68+1</f>
        <v>2056</v>
      </c>
      <c r="K69" s="77">
        <f>$G671</f>
        <v>22.183981020653665</v>
      </c>
      <c r="L69" s="74"/>
      <c r="M69" s="74"/>
      <c r="N69" s="74"/>
      <c r="O69" s="74"/>
      <c r="P69" s="74"/>
      <c r="Q69" s="74"/>
      <c r="R69" s="74"/>
      <c r="S69" s="74"/>
      <c r="T69" s="74"/>
      <c r="U69" s="74"/>
      <c r="V69" s="74"/>
      <c r="W69" s="74"/>
      <c r="X69" s="74"/>
      <c r="Y69" s="74"/>
      <c r="Z69" s="74"/>
    </row>
    <row r="70" spans="1:26" x14ac:dyDescent="0.3">
      <c r="A70" s="66">
        <f t="shared" si="7"/>
        <v>1996.2999999999943</v>
      </c>
      <c r="B70" s="67">
        <f>LOOKUP(A70+0.01,Amounts!$A$4:$A$103,Amounts!$B$4:$B$103)*0.1*$A$2</f>
        <v>2848.2967160090002</v>
      </c>
      <c r="C70" s="68">
        <f t="shared" si="4"/>
        <v>170936.09115262594</v>
      </c>
      <c r="D70" s="67">
        <f t="array" ref="D70">SUM($B$7:$B65*$F$1009*EXP(-$F$1009*($A70-$A$7:$A65)))*$F$1010</f>
        <v>26054984.203979455</v>
      </c>
      <c r="E70" s="67">
        <f t="shared" si="1"/>
        <v>49.671527249295004</v>
      </c>
      <c r="F70" s="70">
        <f t="shared" si="8"/>
        <v>3.0160551345771927</v>
      </c>
      <c r="G70" s="67">
        <f>E70/'Lookup Tables'!$C$48</f>
        <v>99.343054498590007</v>
      </c>
      <c r="H70" s="70">
        <f t="shared" si="2"/>
        <v>0.15273167033472551</v>
      </c>
      <c r="I70" s="71">
        <f t="shared" si="9"/>
        <v>0.1430539984779696</v>
      </c>
      <c r="J70" s="35">
        <f t="shared" si="10"/>
        <v>2057</v>
      </c>
      <c r="K70" s="77">
        <f>$G681</f>
        <v>20.684206804569648</v>
      </c>
      <c r="L70" s="74"/>
      <c r="M70" s="74"/>
      <c r="N70" s="74"/>
      <c r="O70" s="74"/>
      <c r="P70" s="74"/>
      <c r="Q70" s="74"/>
      <c r="R70" s="74"/>
      <c r="S70" s="74"/>
      <c r="T70" s="74"/>
      <c r="U70" s="74"/>
      <c r="V70" s="74"/>
      <c r="W70" s="74"/>
      <c r="X70" s="74"/>
      <c r="Y70" s="74"/>
      <c r="Z70" s="74"/>
    </row>
    <row r="71" spans="1:26" x14ac:dyDescent="0.3">
      <c r="A71" s="66">
        <f t="shared" si="7"/>
        <v>1996.3999999999942</v>
      </c>
      <c r="B71" s="67">
        <f>LOOKUP(A71+0.01,Amounts!$A$4:$A$103,Amounts!$B$4:$B$103)*0.1*$A$2</f>
        <v>2848.2967160090002</v>
      </c>
      <c r="C71" s="68">
        <f t="shared" si="4"/>
        <v>173784.38786863495</v>
      </c>
      <c r="D71" s="67">
        <f t="array" ref="D71">SUM($B$7:$B66*$F$1009*EXP(-$F$1009*($A71-$A$7:$A66)))*$F$1010</f>
        <v>26435626.375842232</v>
      </c>
      <c r="E71" s="67">
        <f t="shared" ref="E71:E134" si="11">D71/(365*24*60)*1.00201</f>
        <v>50.397187946837285</v>
      </c>
      <c r="F71" s="70">
        <f t="shared" si="8"/>
        <v>3.0601172521319597</v>
      </c>
      <c r="G71" s="67">
        <f>E71/'Lookup Tables'!$C$48</f>
        <v>100.79437589367457</v>
      </c>
      <c r="H71" s="70">
        <f t="shared" ref="H71:H134" si="12">G71*60*24*365/(C71*2000)</f>
        <v>0.15242313944150582</v>
      </c>
      <c r="I71" s="71">
        <f t="shared" si="9"/>
        <v>0.14514390128689136</v>
      </c>
      <c r="J71" s="35">
        <f t="shared" si="10"/>
        <v>2058</v>
      </c>
      <c r="K71" s="77">
        <f>$G691</f>
        <v>19.285826594238536</v>
      </c>
      <c r="L71" s="74"/>
      <c r="M71" s="74"/>
      <c r="N71" s="74"/>
      <c r="O71" s="74"/>
      <c r="P71" s="74"/>
      <c r="Q71" s="74"/>
      <c r="R71" s="74"/>
      <c r="S71" s="74"/>
      <c r="T71" s="74"/>
      <c r="U71" s="74"/>
      <c r="V71" s="74"/>
      <c r="W71" s="74"/>
      <c r="X71" s="74"/>
      <c r="Y71" s="74"/>
      <c r="Z71" s="74"/>
    </row>
    <row r="72" spans="1:26" x14ac:dyDescent="0.3">
      <c r="A72" s="66">
        <f t="shared" si="7"/>
        <v>1996.4999999999941</v>
      </c>
      <c r="B72" s="67">
        <f>LOOKUP(A72+0.01,Amounts!$A$4:$A$103,Amounts!$B$4:$B$103)*0.1*$A$2</f>
        <v>2848.2967160090002</v>
      </c>
      <c r="C72" s="68">
        <f t="shared" si="4"/>
        <v>176632.68458464395</v>
      </c>
      <c r="D72" s="67">
        <f t="array" ref="D72">SUM($B$7:$B67*$F$1009*EXP(-$F$1009*($A72-$A$7:$A67)))*$F$1010</f>
        <v>26824869.566145275</v>
      </c>
      <c r="E72" s="67">
        <f t="shared" si="11"/>
        <v>51.139245726737499</v>
      </c>
      <c r="F72" s="70">
        <f t="shared" si="8"/>
        <v>3.1051750005275012</v>
      </c>
      <c r="G72" s="67">
        <f>E72/'Lookup Tables'!$C$48</f>
        <v>102.278491453475</v>
      </c>
      <c r="H72" s="70">
        <f t="shared" si="12"/>
        <v>0.15217335125251225</v>
      </c>
      <c r="I72" s="71">
        <f t="shared" si="9"/>
        <v>0.147281027693004</v>
      </c>
      <c r="J72" s="35">
        <f t="shared" si="10"/>
        <v>2059</v>
      </c>
      <c r="K72" s="77">
        <f>$G701</f>
        <v>17.98198552824692</v>
      </c>
      <c r="L72" s="74"/>
      <c r="M72" s="74"/>
      <c r="N72" s="74"/>
      <c r="O72" s="74"/>
      <c r="P72" s="74"/>
      <c r="Q72" s="74"/>
      <c r="R72" s="74"/>
      <c r="S72" s="74"/>
      <c r="T72" s="74"/>
      <c r="U72" s="74"/>
      <c r="V72" s="74"/>
      <c r="W72" s="74"/>
      <c r="X72" s="74"/>
      <c r="Y72" s="74"/>
      <c r="Z72" s="74"/>
    </row>
    <row r="73" spans="1:26" x14ac:dyDescent="0.3">
      <c r="A73" s="66">
        <f t="shared" si="7"/>
        <v>1996.599999999994</v>
      </c>
      <c r="B73" s="67">
        <f>LOOKUP(A73+0.01,Amounts!$A$4:$A$103,Amounts!$B$4:$B$103)*0.1*$A$2</f>
        <v>2848.2967160090002</v>
      </c>
      <c r="C73" s="68">
        <f t="shared" ref="C73:C136" si="13">C72+B73</f>
        <v>179480.98130065296</v>
      </c>
      <c r="D73" s="67">
        <f t="array" ref="D73">SUM($B$7:$B68*$F$1009*EXP(-$F$1009*($A73-$A$7:$A68)))*$F$1010</f>
        <v>27211397.56836151</v>
      </c>
      <c r="E73" s="67">
        <f t="shared" si="11"/>
        <v>51.876127240247179</v>
      </c>
      <c r="F73" s="70">
        <f t="shared" si="8"/>
        <v>3.1499184460278085</v>
      </c>
      <c r="G73" s="67">
        <f>E73/'Lookup Tables'!$C$48</f>
        <v>103.75225448049436</v>
      </c>
      <c r="H73" s="70">
        <f t="shared" si="12"/>
        <v>0.15191633274948402</v>
      </c>
      <c r="I73" s="71">
        <f t="shared" si="9"/>
        <v>0.14940324645191186</v>
      </c>
      <c r="J73" s="35">
        <f t="shared" si="10"/>
        <v>2060</v>
      </c>
      <c r="K73" s="77">
        <f>$G711</f>
        <v>16.766292176176702</v>
      </c>
      <c r="L73" s="74"/>
      <c r="M73" s="74"/>
      <c r="N73" s="74"/>
      <c r="O73" s="74"/>
      <c r="P73" s="74"/>
      <c r="Q73" s="74"/>
      <c r="R73" s="74"/>
      <c r="S73" s="74"/>
      <c r="T73" s="74"/>
      <c r="U73" s="74"/>
      <c r="V73" s="74"/>
      <c r="W73" s="74"/>
      <c r="X73" s="74"/>
      <c r="Y73" s="74"/>
      <c r="Z73" s="74"/>
    </row>
    <row r="74" spans="1:26" x14ac:dyDescent="0.3">
      <c r="A74" s="66">
        <f t="shared" si="7"/>
        <v>1996.6999999999939</v>
      </c>
      <c r="B74" s="67">
        <f>LOOKUP(A74+0.01,Amounts!$A$4:$A$103,Amounts!$B$4:$B$103)*0.1*$A$2</f>
        <v>2848.2967160090002</v>
      </c>
      <c r="C74" s="68">
        <f t="shared" si="13"/>
        <v>182329.27801666196</v>
      </c>
      <c r="D74" s="67">
        <f t="array" ref="D74">SUM($B$7:$B69*$F$1009*EXP(-$F$1009*($A74-$A$7:$A69)))*$F$1010</f>
        <v>27595229.322440382</v>
      </c>
      <c r="E74" s="67">
        <f t="shared" si="11"/>
        <v>52.607868594707931</v>
      </c>
      <c r="F74" s="70">
        <f t="shared" si="8"/>
        <v>3.1943497810706654</v>
      </c>
      <c r="G74" s="67">
        <f>E74/'Lookup Tables'!$C$48</f>
        <v>105.21573718941586</v>
      </c>
      <c r="H74" s="70">
        <f t="shared" si="12"/>
        <v>0.15165252686873282</v>
      </c>
      <c r="I74" s="71">
        <f t="shared" si="9"/>
        <v>0.15151066155275883</v>
      </c>
      <c r="J74" s="35">
        <f t="shared" si="10"/>
        <v>2061</v>
      </c>
      <c r="K74" s="77">
        <f>$G721</f>
        <v>15.632787207805606</v>
      </c>
      <c r="L74" s="74"/>
      <c r="M74" s="74"/>
      <c r="N74" s="74"/>
      <c r="O74" s="74"/>
      <c r="P74" s="74"/>
      <c r="Q74" s="74"/>
      <c r="R74" s="74"/>
      <c r="S74" s="74"/>
      <c r="T74" s="74"/>
      <c r="U74" s="74"/>
      <c r="V74" s="74"/>
      <c r="W74" s="74"/>
      <c r="X74" s="74"/>
      <c r="Y74" s="74"/>
      <c r="Z74" s="74"/>
    </row>
    <row r="75" spans="1:26" x14ac:dyDescent="0.3">
      <c r="A75" s="66">
        <f t="shared" si="7"/>
        <v>1996.7999999999938</v>
      </c>
      <c r="B75" s="67">
        <f>LOOKUP(A75+0.01,Amounts!$A$4:$A$103,Amounts!$B$4:$B$103)*0.1*$A$2</f>
        <v>2848.2967160090002</v>
      </c>
      <c r="C75" s="68">
        <f t="shared" si="13"/>
        <v>185177.57473267097</v>
      </c>
      <c r="D75" s="67">
        <f t="array" ref="D75">SUM($B$7:$B70*$F$1009*EXP(-$F$1009*($A75-$A$7:$A70)))*$F$1010</f>
        <v>27976383.636214651</v>
      </c>
      <c r="E75" s="67">
        <f t="shared" si="11"/>
        <v>53.33450564559255</v>
      </c>
      <c r="F75" s="70">
        <f t="shared" si="8"/>
        <v>3.2384711828003794</v>
      </c>
      <c r="G75" s="67">
        <f>E75/'Lookup Tables'!$C$48</f>
        <v>106.6690112911851</v>
      </c>
      <c r="H75" s="70">
        <f t="shared" si="12"/>
        <v>0.15138234857969352</v>
      </c>
      <c r="I75" s="71">
        <f t="shared" si="9"/>
        <v>0.15360337625930653</v>
      </c>
      <c r="J75" s="35">
        <f t="shared" si="10"/>
        <v>2062</v>
      </c>
      <c r="K75" s="77">
        <f>$G731</f>
        <v>14.57591418046364</v>
      </c>
      <c r="L75" s="74"/>
      <c r="M75" s="74"/>
      <c r="N75" s="74"/>
      <c r="O75" s="74"/>
      <c r="P75" s="74"/>
      <c r="Q75" s="74"/>
      <c r="R75" s="74"/>
      <c r="S75" s="74"/>
      <c r="T75" s="74"/>
      <c r="U75" s="74"/>
      <c r="V75" s="74"/>
      <c r="W75" s="74"/>
      <c r="X75" s="74"/>
      <c r="Y75" s="74"/>
      <c r="Z75" s="74"/>
    </row>
    <row r="76" spans="1:26" x14ac:dyDescent="0.3">
      <c r="A76" s="66">
        <f t="shared" si="7"/>
        <v>1996.8999999999937</v>
      </c>
      <c r="B76" s="67">
        <f>LOOKUP(A76+0.01,Amounts!$A$4:$A$103,Amounts!$B$4:$B$103)*0.1*$A$2</f>
        <v>2848.2967160090002</v>
      </c>
      <c r="C76" s="68">
        <f t="shared" si="13"/>
        <v>188025.87144867997</v>
      </c>
      <c r="D76" s="67">
        <f t="array" ref="D76">SUM($B$7:$B71*$F$1009*EXP(-$F$1009*($A76-$A$7:$A71)))*$F$1010</f>
        <v>28354879.18632194</v>
      </c>
      <c r="E76" s="67">
        <f t="shared" si="11"/>
        <v>54.056073998261894</v>
      </c>
      <c r="F76" s="70">
        <f t="shared" si="8"/>
        <v>3.2822848131744617</v>
      </c>
      <c r="G76" s="67">
        <f>E76/'Lookup Tables'!$C$48</f>
        <v>108.11214799652379</v>
      </c>
      <c r="H76" s="70">
        <f t="shared" si="12"/>
        <v>0.15110618700810663</v>
      </c>
      <c r="I76" s="71">
        <f t="shared" si="9"/>
        <v>0.15568149311499427</v>
      </c>
      <c r="J76" s="35">
        <f t="shared" si="10"/>
        <v>2063</v>
      </c>
      <c r="K76" s="77">
        <f>$G741</f>
        <v>13.590492301344639</v>
      </c>
      <c r="L76" s="74"/>
      <c r="M76" s="74"/>
      <c r="N76" s="74"/>
      <c r="O76" s="74"/>
      <c r="P76" s="74"/>
      <c r="Q76" s="74"/>
      <c r="R76" s="74"/>
      <c r="S76" s="74"/>
      <c r="T76" s="74"/>
      <c r="U76" s="74"/>
      <c r="V76" s="74"/>
      <c r="W76" s="74"/>
      <c r="X76" s="74"/>
      <c r="Y76" s="74"/>
      <c r="Z76" s="74"/>
    </row>
    <row r="77" spans="1:26" x14ac:dyDescent="0.3">
      <c r="A77" s="66">
        <f t="shared" si="7"/>
        <v>1996.9999999999936</v>
      </c>
      <c r="B77" s="67">
        <f>LOOKUP(A77+0.01,Amounts!$A$4:$A$103,Amounts!$B$4:$B$103)*0.1*$A$2</f>
        <v>2905.275352573</v>
      </c>
      <c r="C77" s="68">
        <f t="shared" si="13"/>
        <v>190931.14680125297</v>
      </c>
      <c r="D77" s="67">
        <f t="array" ref="D77">SUM($B$7:$B72*$F$1009*EXP(-$F$1009*($A77-$A$7:$A72)))*$F$1010</f>
        <v>28730734.519119944</v>
      </c>
      <c r="E77" s="67">
        <f t="shared" si="11"/>
        <v>54.772609009709619</v>
      </c>
      <c r="F77" s="70">
        <f t="shared" si="8"/>
        <v>3.325792819069568</v>
      </c>
      <c r="G77" s="67">
        <f>E77/'Lookup Tables'!$C$48</f>
        <v>109.54521801941924</v>
      </c>
      <c r="H77" s="70">
        <f t="shared" si="12"/>
        <v>0.15077939758812811</v>
      </c>
      <c r="I77" s="71">
        <f t="shared" si="9"/>
        <v>0.1577451139479637</v>
      </c>
      <c r="J77" s="35">
        <f t="shared" si="10"/>
        <v>2064</v>
      </c>
      <c r="K77" s="77">
        <f>$G751</f>
        <v>12.671691031253912</v>
      </c>
      <c r="L77" s="74"/>
      <c r="M77" s="74"/>
      <c r="N77" s="74"/>
      <c r="O77" s="74"/>
      <c r="P77" s="74"/>
      <c r="Q77" s="74"/>
      <c r="R77" s="74"/>
      <c r="S77" s="74"/>
      <c r="T77" s="74"/>
      <c r="U77" s="74"/>
      <c r="V77" s="74"/>
      <c r="W77" s="74"/>
      <c r="X77" s="74"/>
      <c r="Y77" s="74"/>
      <c r="Z77" s="74"/>
    </row>
    <row r="78" spans="1:26" x14ac:dyDescent="0.3">
      <c r="A78" s="66">
        <f t="shared" si="7"/>
        <v>1997.0999999999935</v>
      </c>
      <c r="B78" s="67">
        <f>LOOKUP(A78+0.01,Amounts!$A$4:$A$103,Amounts!$B$4:$B$103)*0.1*$A$2</f>
        <v>2905.275352573</v>
      </c>
      <c r="C78" s="68">
        <f t="shared" si="13"/>
        <v>193836.42215382596</v>
      </c>
      <c r="D78" s="67">
        <f t="array" ref="D78">SUM($B$7:$B73*$F$1009*EXP(-$F$1009*($A78-$A$7:$A73)))*$F$1010</f>
        <v>29103968.051595174</v>
      </c>
      <c r="E78" s="67">
        <f t="shared" si="11"/>
        <v>55.484145790294676</v>
      </c>
      <c r="F78" s="70">
        <f t="shared" si="8"/>
        <v>3.3689973323866931</v>
      </c>
      <c r="G78" s="67">
        <f>E78/'Lookup Tables'!$C$48</f>
        <v>110.96829158058935</v>
      </c>
      <c r="H78" s="70">
        <f t="shared" si="12"/>
        <v>0.15044885116707293</v>
      </c>
      <c r="I78" s="71">
        <f t="shared" si="9"/>
        <v>0.15979433987604869</v>
      </c>
      <c r="J78" s="35">
        <f t="shared" si="10"/>
        <v>2065</v>
      </c>
      <c r="K78" s="77">
        <f>$G761</f>
        <v>11.815006405299533</v>
      </c>
      <c r="L78" s="74"/>
      <c r="M78" s="74"/>
      <c r="N78" s="74"/>
      <c r="O78" s="74"/>
      <c r="P78" s="74"/>
      <c r="Q78" s="74"/>
      <c r="R78" s="74"/>
      <c r="S78" s="74"/>
      <c r="T78" s="74"/>
      <c r="U78" s="74"/>
      <c r="V78" s="74"/>
      <c r="W78" s="74"/>
      <c r="X78" s="74"/>
      <c r="Y78" s="74"/>
      <c r="Z78" s="74"/>
    </row>
    <row r="79" spans="1:26" x14ac:dyDescent="0.3">
      <c r="A79" s="66">
        <f t="shared" si="7"/>
        <v>1997.1999999999935</v>
      </c>
      <c r="B79" s="67">
        <f>LOOKUP(A79+0.01,Amounts!$A$4:$A$103,Amounts!$B$4:$B$103)*0.1*$A$2</f>
        <v>2905.275352573</v>
      </c>
      <c r="C79" s="68">
        <f t="shared" si="13"/>
        <v>196741.69750639895</v>
      </c>
      <c r="D79" s="67">
        <f t="array" ref="D79">SUM($B$7:$B74*$F$1009*EXP(-$F$1009*($A79-$A$7:$A74)))*$F$1010</f>
        <v>29474598.07226539</v>
      </c>
      <c r="E79" s="67">
        <f t="shared" si="11"/>
        <v>56.190719205461654</v>
      </c>
      <c r="F79" s="70">
        <f t="shared" si="8"/>
        <v>3.4119004701556315</v>
      </c>
      <c r="G79" s="67">
        <f>E79/'Lookup Tables'!$C$48</f>
        <v>112.38143841092331</v>
      </c>
      <c r="H79" s="70">
        <f t="shared" si="12"/>
        <v>0.15011480732715579</v>
      </c>
      <c r="I79" s="71">
        <f t="shared" si="9"/>
        <v>0.16182927131172956</v>
      </c>
      <c r="J79" s="35">
        <f t="shared" si="10"/>
        <v>2066</v>
      </c>
      <c r="K79" s="77">
        <f>$G771</f>
        <v>11.016238954451181</v>
      </c>
      <c r="L79" s="74"/>
      <c r="M79" s="74"/>
      <c r="N79" s="74"/>
      <c r="O79" s="74"/>
      <c r="P79" s="74"/>
      <c r="Q79" s="74"/>
      <c r="R79" s="74"/>
      <c r="S79" s="74"/>
      <c r="T79" s="74"/>
      <c r="U79" s="74"/>
      <c r="V79" s="74"/>
      <c r="W79" s="74"/>
      <c r="X79" s="74"/>
      <c r="Y79" s="74"/>
      <c r="Z79" s="74"/>
    </row>
    <row r="80" spans="1:26" x14ac:dyDescent="0.3">
      <c r="A80" s="66">
        <f t="shared" si="7"/>
        <v>1997.2999999999934</v>
      </c>
      <c r="B80" s="67">
        <f>LOOKUP(A80+0.01,Amounts!$A$4:$A$103,Amounts!$B$4:$B$103)*0.1*$A$2</f>
        <v>2905.275352573</v>
      </c>
      <c r="C80" s="68">
        <f t="shared" si="13"/>
        <v>199646.97285897195</v>
      </c>
      <c r="D80" s="67">
        <f t="array" ref="D80">SUM($B$7:$B75*$F$1009*EXP(-$F$1009*($A80-$A$7:$A75)))*$F$1010</f>
        <v>29842642.742075767</v>
      </c>
      <c r="E80" s="67">
        <f t="shared" si="11"/>
        <v>56.892363877449284</v>
      </c>
      <c r="F80" s="70">
        <f t="shared" si="8"/>
        <v>3.4545043346387203</v>
      </c>
      <c r="G80" s="67">
        <f>E80/'Lookup Tables'!$C$48</f>
        <v>113.78472775489857</v>
      </c>
      <c r="H80" s="70">
        <f t="shared" si="12"/>
        <v>0.14977750990048908</v>
      </c>
      <c r="I80" s="71">
        <f t="shared" si="9"/>
        <v>0.16385000796705393</v>
      </c>
      <c r="J80" s="35">
        <f t="shared" si="10"/>
        <v>2067</v>
      </c>
      <c r="K80" s="77">
        <f>$G781</f>
        <v>10.271473119738095</v>
      </c>
      <c r="L80" s="74"/>
      <c r="M80" s="74"/>
      <c r="N80" s="74"/>
      <c r="O80" s="74"/>
      <c r="P80" s="74"/>
      <c r="Q80" s="74"/>
      <c r="R80" s="74"/>
      <c r="S80" s="74"/>
      <c r="T80" s="74"/>
      <c r="U80" s="74"/>
      <c r="V80" s="74"/>
      <c r="W80" s="74"/>
      <c r="X80" s="74"/>
      <c r="Y80" s="74"/>
      <c r="Z80" s="74"/>
    </row>
    <row r="81" spans="1:26" x14ac:dyDescent="0.3">
      <c r="A81" s="66">
        <f t="shared" si="7"/>
        <v>1997.3999999999933</v>
      </c>
      <c r="B81" s="67">
        <f>LOOKUP(A81+0.01,Amounts!$A$4:$A$103,Amounts!$B$4:$B$103)*0.1*$A$2</f>
        <v>2905.275352573</v>
      </c>
      <c r="C81" s="68">
        <f t="shared" si="13"/>
        <v>202552.24821154494</v>
      </c>
      <c r="D81" s="67">
        <f t="array" ref="D81">SUM($B$7:$B76*$F$1009*EXP(-$F$1009*($A81-$A$7:$A76)))*$F$1010</f>
        <v>30208120.095288765</v>
      </c>
      <c r="E81" s="67">
        <f t="shared" si="11"/>
        <v>57.589114186986869</v>
      </c>
      <c r="F81" s="70">
        <f t="shared" si="8"/>
        <v>3.4968110134338426</v>
      </c>
      <c r="G81" s="67">
        <f>E81/'Lookup Tables'!$C$48</f>
        <v>115.17822837397374</v>
      </c>
      <c r="H81" s="70">
        <f t="shared" si="12"/>
        <v>0.14943718810303019</v>
      </c>
      <c r="I81" s="71">
        <f t="shared" si="9"/>
        <v>0.16585664885852219</v>
      </c>
      <c r="J81" s="35">
        <f t="shared" si="10"/>
        <v>2068</v>
      </c>
      <c r="K81" s="77">
        <f>$G791</f>
        <v>9.5770580581744795</v>
      </c>
      <c r="L81" s="74"/>
      <c r="M81" s="74"/>
      <c r="N81" s="74"/>
      <c r="O81" s="74"/>
      <c r="P81" s="74"/>
      <c r="Q81" s="74"/>
      <c r="R81" s="74"/>
      <c r="S81" s="74"/>
      <c r="T81" s="74"/>
      <c r="U81" s="74"/>
      <c r="V81" s="74"/>
      <c r="W81" s="74"/>
      <c r="X81" s="74"/>
      <c r="Y81" s="74"/>
      <c r="Z81" s="74"/>
    </row>
    <row r="82" spans="1:26" x14ac:dyDescent="0.3">
      <c r="A82" s="66">
        <f t="shared" si="7"/>
        <v>1997.4999999999932</v>
      </c>
      <c r="B82" s="67">
        <f>LOOKUP(A82+0.01,Amounts!$A$4:$A$103,Amounts!$B$4:$B$103)*0.1*$A$2</f>
        <v>2905.275352573</v>
      </c>
      <c r="C82" s="68">
        <f t="shared" si="13"/>
        <v>205457.52356411793</v>
      </c>
      <c r="D82" s="67">
        <f t="array" ref="D82">SUM($B$7:$B77*$F$1009*EXP(-$F$1009*($A82-$A$7:$A77)))*$F$1010</f>
        <v>30582523.526810937</v>
      </c>
      <c r="E82" s="67">
        <f t="shared" si="11"/>
        <v>58.302881276826156</v>
      </c>
      <c r="F82" s="70">
        <f t="shared" si="8"/>
        <v>3.5401509511288842</v>
      </c>
      <c r="G82" s="67">
        <f>E82/'Lookup Tables'!$C$48</f>
        <v>116.60576255365231</v>
      </c>
      <c r="H82" s="70">
        <f t="shared" si="12"/>
        <v>0.1491500231654288</v>
      </c>
      <c r="I82" s="71">
        <f t="shared" si="9"/>
        <v>0.16791229807725933</v>
      </c>
      <c r="J82" s="35">
        <f t="shared" si="10"/>
        <v>2069</v>
      </c>
      <c r="K82" s="77">
        <f>$G801</f>
        <v>8.9295897463229128</v>
      </c>
      <c r="L82" s="74"/>
      <c r="M82" s="74"/>
      <c r="N82" s="74"/>
      <c r="O82" s="74"/>
      <c r="P82" s="74"/>
      <c r="Q82" s="74"/>
      <c r="R82" s="74"/>
      <c r="S82" s="74"/>
      <c r="T82" s="74"/>
      <c r="U82" s="74"/>
      <c r="V82" s="74"/>
      <c r="W82" s="74"/>
      <c r="X82" s="74"/>
      <c r="Y82" s="74"/>
      <c r="Z82" s="74"/>
    </row>
    <row r="83" spans="1:26" x14ac:dyDescent="0.3">
      <c r="A83" s="66">
        <f t="shared" ref="A83:A146" si="14">A82+0.1</f>
        <v>1997.5999999999931</v>
      </c>
      <c r="B83" s="67">
        <f>LOOKUP(A83+0.01,Amounts!$A$4:$A$103,Amounts!$B$4:$B$103)*0.1*$A$2</f>
        <v>2905.275352573</v>
      </c>
      <c r="C83" s="68">
        <f t="shared" si="13"/>
        <v>208362.79891669092</v>
      </c>
      <c r="D83" s="67">
        <f t="array" ref="D83">SUM($B$7:$B78*$F$1009*EXP(-$F$1009*($A83-$A$7:$A78)))*$F$1010</f>
        <v>30954315.285830546</v>
      </c>
      <c r="E83" s="67">
        <f t="shared" si="11"/>
        <v>59.011669443597924</v>
      </c>
      <c r="F83" s="70">
        <f t="shared" ref="F83:F146" si="15">E83*60*1012/1000000</f>
        <v>3.5831885686152658</v>
      </c>
      <c r="G83" s="67">
        <f>E83/'Lookup Tables'!$C$48</f>
        <v>118.02333888719585</v>
      </c>
      <c r="H83" s="70">
        <f t="shared" si="12"/>
        <v>0.14885830686098778</v>
      </c>
      <c r="I83" s="71">
        <f t="shared" ref="I83:I146" si="16">G83*60*24/1000000</f>
        <v>0.16995360799756201</v>
      </c>
      <c r="J83" s="35">
        <f t="shared" si="10"/>
        <v>2070</v>
      </c>
      <c r="K83" s="77">
        <f>$G811</f>
        <v>8.3258942937675418</v>
      </c>
      <c r="L83" s="74"/>
      <c r="M83" s="74"/>
      <c r="N83" s="74"/>
      <c r="O83" s="74"/>
      <c r="P83" s="74"/>
      <c r="Q83" s="74"/>
      <c r="R83" s="74"/>
      <c r="S83" s="74"/>
      <c r="T83" s="74"/>
      <c r="U83" s="74"/>
      <c r="V83" s="74"/>
      <c r="W83" s="74"/>
      <c r="X83" s="74"/>
      <c r="Y83" s="74"/>
      <c r="Z83" s="74"/>
    </row>
    <row r="84" spans="1:26" x14ac:dyDescent="0.3">
      <c r="A84" s="66">
        <f t="shared" si="14"/>
        <v>1997.699999999993</v>
      </c>
      <c r="B84" s="67">
        <f>LOOKUP(A84+0.01,Amounts!$A$4:$A$103,Amounts!$B$4:$B$103)*0.1*$A$2</f>
        <v>2905.275352573</v>
      </c>
      <c r="C84" s="68">
        <f t="shared" si="13"/>
        <v>211268.07426926392</v>
      </c>
      <c r="D84" s="67">
        <f t="array" ref="D84">SUM($B$7:$B79*$F$1009*EXP(-$F$1009*($A84-$A$7:$A79)))*$F$1010</f>
        <v>31323513.590218157</v>
      </c>
      <c r="E84" s="67">
        <f t="shared" si="11"/>
        <v>59.715513418064113</v>
      </c>
      <c r="F84" s="70">
        <f t="shared" si="15"/>
        <v>3.6259259747448529</v>
      </c>
      <c r="G84" s="67">
        <f>E84/'Lookup Tables'!$C$48</f>
        <v>119.43102683612823</v>
      </c>
      <c r="H84" s="70">
        <f t="shared" si="12"/>
        <v>0.14856231335990702</v>
      </c>
      <c r="I84" s="71">
        <f t="shared" si="16"/>
        <v>0.17198067864402464</v>
      </c>
      <c r="J84" s="35">
        <f t="shared" si="10"/>
        <v>2071</v>
      </c>
      <c r="K84" s="77">
        <f>$G821</f>
        <v>7.7630123846995485</v>
      </c>
      <c r="L84" s="74"/>
      <c r="M84" s="74"/>
      <c r="N84" s="74"/>
      <c r="O84" s="74"/>
      <c r="P84" s="74"/>
      <c r="Q84" s="74"/>
      <c r="R84" s="74"/>
      <c r="S84" s="74"/>
      <c r="T84" s="74"/>
      <c r="U84" s="74"/>
      <c r="V84" s="74"/>
      <c r="W84" s="74"/>
      <c r="X84" s="74"/>
      <c r="Y84" s="74"/>
      <c r="Z84" s="74"/>
    </row>
    <row r="85" spans="1:26" x14ac:dyDescent="0.3">
      <c r="A85" s="66">
        <f t="shared" si="14"/>
        <v>1997.7999999999929</v>
      </c>
      <c r="B85" s="67">
        <f>LOOKUP(A85+0.01,Amounts!$A$4:$A$103,Amounts!$B$4:$B$103)*0.1*$A$2</f>
        <v>2905.275352573</v>
      </c>
      <c r="C85" s="68">
        <f t="shared" si="13"/>
        <v>214173.34962183691</v>
      </c>
      <c r="D85" s="67">
        <f t="array" ref="D85">SUM($B$7:$B80*$F$1009*EXP(-$F$1009*($A85-$A$7:$A80)))*$F$1010</f>
        <v>31690136.530764557</v>
      </c>
      <c r="E85" s="67">
        <f t="shared" si="11"/>
        <v>60.414447688720308</v>
      </c>
      <c r="F85" s="70">
        <f t="shared" si="15"/>
        <v>3.6683652636590973</v>
      </c>
      <c r="G85" s="67">
        <f>E85/'Lookup Tables'!$C$48</f>
        <v>120.82889537744062</v>
      </c>
      <c r="H85" s="70">
        <f t="shared" si="12"/>
        <v>0.14826230136129787</v>
      </c>
      <c r="I85" s="71">
        <f t="shared" si="16"/>
        <v>0.17399360934351449</v>
      </c>
      <c r="J85" s="35">
        <f t="shared" si="10"/>
        <v>2072</v>
      </c>
      <c r="K85" s="77">
        <f>$G831</f>
        <v>7.2381847713476528</v>
      </c>
      <c r="L85" s="74"/>
      <c r="M85" s="74"/>
      <c r="N85" s="74"/>
      <c r="O85" s="74"/>
      <c r="P85" s="74"/>
      <c r="Q85" s="74"/>
      <c r="R85" s="74"/>
      <c r="S85" s="74"/>
      <c r="T85" s="74"/>
      <c r="U85" s="74"/>
      <c r="V85" s="74"/>
      <c r="W85" s="74"/>
      <c r="X85" s="74"/>
      <c r="Y85" s="74"/>
      <c r="Z85" s="74"/>
    </row>
    <row r="86" spans="1:26" x14ac:dyDescent="0.3">
      <c r="A86" s="66">
        <f t="shared" si="14"/>
        <v>1997.8999999999928</v>
      </c>
      <c r="B86" s="67">
        <f>LOOKUP(A86+0.01,Amounts!$A$4:$A$103,Amounts!$B$4:$B$103)*0.1*$A$2</f>
        <v>2905.275352573</v>
      </c>
      <c r="C86" s="68">
        <f t="shared" si="13"/>
        <v>217078.6249744099</v>
      </c>
      <c r="D86" s="67">
        <f t="array" ref="D86">SUM($B$7:$B81*$F$1009*EXP(-$F$1009*($A86-$A$7:$A81)))*$F$1010</f>
        <v>32054202.072067197</v>
      </c>
      <c r="E86" s="67">
        <f t="shared" si="11"/>
        <v>61.108506503485643</v>
      </c>
      <c r="F86" s="70">
        <f t="shared" si="15"/>
        <v>3.7105085148916483</v>
      </c>
      <c r="G86" s="67">
        <f>E86/'Lookup Tables'!$C$48</f>
        <v>122.21701300697129</v>
      </c>
      <c r="H86" s="70">
        <f t="shared" si="12"/>
        <v>0.14795851513256233</v>
      </c>
      <c r="I86" s="71">
        <f t="shared" si="16"/>
        <v>0.17599249873003864</v>
      </c>
      <c r="J86" s="35">
        <f t="shared" si="10"/>
        <v>2073</v>
      </c>
      <c r="K86" s="77">
        <f>$G841</f>
        <v>6.7488387481423349</v>
      </c>
      <c r="L86" s="74"/>
      <c r="M86" s="74"/>
      <c r="N86" s="74"/>
      <c r="O86" s="74"/>
      <c r="P86" s="74"/>
      <c r="Q86" s="74"/>
      <c r="R86" s="74"/>
      <c r="S86" s="74"/>
      <c r="T86" s="74"/>
      <c r="U86" s="74"/>
      <c r="V86" s="74"/>
      <c r="W86" s="74"/>
      <c r="X86" s="74"/>
      <c r="Y86" s="74"/>
      <c r="Z86" s="74"/>
    </row>
    <row r="87" spans="1:26" x14ac:dyDescent="0.3">
      <c r="A87" s="66">
        <f t="shared" si="14"/>
        <v>1997.9999999999927</v>
      </c>
      <c r="B87" s="67">
        <f>LOOKUP(A87+0.01,Amounts!$A$4:$A$103,Amounts!$B$4:$B$103)*0.1*$A$2</f>
        <v>2963.3427528930006</v>
      </c>
      <c r="C87" s="68">
        <f t="shared" si="13"/>
        <v>220041.96772730289</v>
      </c>
      <c r="D87" s="67">
        <f t="array" ref="D87">SUM($B$7:$B82*$F$1009*EXP(-$F$1009*($A87-$A$7:$A82)))*$F$1010</f>
        <v>32415728.053410463</v>
      </c>
      <c r="E87" s="67">
        <f t="shared" si="11"/>
        <v>61.797723871380938</v>
      </c>
      <c r="F87" s="70">
        <f t="shared" si="15"/>
        <v>3.7523577934702503</v>
      </c>
      <c r="G87" s="67">
        <f>E87/'Lookup Tables'!$C$48</f>
        <v>123.59544774276188</v>
      </c>
      <c r="H87" s="70">
        <f t="shared" si="12"/>
        <v>0.1476122214424625</v>
      </c>
      <c r="I87" s="71">
        <f t="shared" si="16"/>
        <v>0.17797744474957708</v>
      </c>
      <c r="J87" s="35">
        <f t="shared" si="10"/>
        <v>2074</v>
      </c>
      <c r="K87" s="77">
        <f>$G851</f>
        <v>6.2925755403101089</v>
      </c>
      <c r="L87" s="74"/>
      <c r="M87" s="74"/>
      <c r="N87" s="74"/>
      <c r="O87" s="74"/>
      <c r="P87" s="74"/>
      <c r="Q87" s="74"/>
      <c r="R87" s="74"/>
      <c r="S87" s="74"/>
      <c r="T87" s="74"/>
      <c r="U87" s="74"/>
      <c r="V87" s="74"/>
      <c r="W87" s="74"/>
      <c r="X87" s="74"/>
      <c r="Y87" s="74"/>
      <c r="Z87" s="74"/>
    </row>
    <row r="88" spans="1:26" x14ac:dyDescent="0.3">
      <c r="A88" s="66">
        <f t="shared" si="14"/>
        <v>1998.0999999999926</v>
      </c>
      <c r="B88" s="67">
        <f>LOOKUP(A88+0.01,Amounts!$A$4:$A$103,Amounts!$B$4:$B$103)*0.1*$A$2</f>
        <v>2963.3427528930006</v>
      </c>
      <c r="C88" s="68">
        <f t="shared" si="13"/>
        <v>223005.31048019588</v>
      </c>
      <c r="D88" s="67">
        <f t="array" ref="D88">SUM($B$7:$B83*$F$1009*EXP(-$F$1009*($A88-$A$7:$A83)))*$F$1010</f>
        <v>32774732.189639717</v>
      </c>
      <c r="E88" s="67">
        <f t="shared" si="11"/>
        <v>62.48213356419501</v>
      </c>
      <c r="F88" s="70">
        <f t="shared" si="15"/>
        <v>3.7939151500179209</v>
      </c>
      <c r="G88" s="67">
        <f>E88/'Lookup Tables'!$C$48</f>
        <v>124.96426712839002</v>
      </c>
      <c r="H88" s="70">
        <f t="shared" si="12"/>
        <v>0.14726379981994792</v>
      </c>
      <c r="I88" s="71">
        <f t="shared" si="16"/>
        <v>0.17994854466488164</v>
      </c>
      <c r="J88" s="35">
        <f t="shared" si="10"/>
        <v>2075</v>
      </c>
      <c r="K88" s="77">
        <f>$G861</f>
        <v>5.8671585450768502</v>
      </c>
      <c r="L88" s="74"/>
      <c r="M88" s="74"/>
      <c r="N88" s="74"/>
      <c r="O88" s="74"/>
      <c r="P88" s="74"/>
      <c r="Q88" s="74"/>
      <c r="R88" s="74"/>
      <c r="S88" s="74"/>
      <c r="T88" s="74"/>
      <c r="U88" s="74"/>
      <c r="V88" s="74"/>
      <c r="W88" s="74"/>
      <c r="X88" s="74"/>
      <c r="Y88" s="74"/>
      <c r="Z88" s="74"/>
    </row>
    <row r="89" spans="1:26" x14ac:dyDescent="0.3">
      <c r="A89" s="66">
        <f t="shared" si="14"/>
        <v>1998.1999999999925</v>
      </c>
      <c r="B89" s="67">
        <f>LOOKUP(A89+0.01,Amounts!$A$4:$A$103,Amounts!$B$4:$B$103)*0.1*$A$2</f>
        <v>2963.3427528930006</v>
      </c>
      <c r="C89" s="68">
        <f t="shared" si="13"/>
        <v>225968.65323308887</v>
      </c>
      <c r="D89" s="67">
        <f t="array" ref="D89">SUM($B$7:$B84*$F$1009*EXP(-$F$1009*($A89-$A$7:$A84)))*$F$1010</f>
        <v>33131232.07202952</v>
      </c>
      <c r="E89" s="67">
        <f t="shared" si="11"/>
        <v>63.161769118139844</v>
      </c>
      <c r="F89" s="70">
        <f t="shared" si="15"/>
        <v>3.835182620853451</v>
      </c>
      <c r="G89" s="67">
        <f>E89/'Lookup Tables'!$C$48</f>
        <v>126.32353823627969</v>
      </c>
      <c r="H89" s="70">
        <f t="shared" si="12"/>
        <v>0.14691341198661931</v>
      </c>
      <c r="I89" s="71">
        <f t="shared" si="16"/>
        <v>0.18190589506024274</v>
      </c>
      <c r="J89" s="35">
        <f t="shared" si="10"/>
        <v>2076</v>
      </c>
      <c r="K89" s="77">
        <f>$G871</f>
        <v>5.4705023678383808</v>
      </c>
      <c r="L89" s="74"/>
      <c r="M89" s="74"/>
      <c r="N89" s="74"/>
      <c r="O89" s="74"/>
      <c r="P89" s="74"/>
      <c r="Q89" s="74"/>
      <c r="R89" s="74"/>
      <c r="S89" s="74"/>
      <c r="T89" s="74"/>
      <c r="U89" s="74"/>
      <c r="V89" s="74"/>
      <c r="W89" s="74"/>
      <c r="X89" s="74"/>
      <c r="Y89" s="74"/>
      <c r="Z89" s="74"/>
    </row>
    <row r="90" spans="1:26" x14ac:dyDescent="0.3">
      <c r="A90" s="66">
        <f t="shared" si="14"/>
        <v>1998.2999999999925</v>
      </c>
      <c r="B90" s="67">
        <f>LOOKUP(A90+0.01,Amounts!$A$4:$A$103,Amounts!$B$4:$B$103)*0.1*$A$2</f>
        <v>2963.3427528930006</v>
      </c>
      <c r="C90" s="68">
        <f t="shared" si="13"/>
        <v>228931.99598598186</v>
      </c>
      <c r="D90" s="67">
        <f t="array" ref="D90">SUM($B$7:$B85*$F$1009*EXP(-$F$1009*($A90-$A$7:$A85)))*$F$1010</f>
        <v>33485245.16914542</v>
      </c>
      <c r="E90" s="67">
        <f t="shared" si="11"/>
        <v>63.836663835493539</v>
      </c>
      <c r="F90" s="70">
        <f t="shared" si="15"/>
        <v>3.8761622280911676</v>
      </c>
      <c r="G90" s="67">
        <f>E90/'Lookup Tables'!$C$48</f>
        <v>127.67332767098708</v>
      </c>
      <c r="H90" s="70">
        <f t="shared" si="12"/>
        <v>0.14656121075356338</v>
      </c>
      <c r="I90" s="71">
        <f t="shared" si="16"/>
        <v>0.18384959184622141</v>
      </c>
      <c r="J90" s="35">
        <f t="shared" si="10"/>
        <v>2077</v>
      </c>
      <c r="K90" s="77">
        <f>$G881</f>
        <v>5.1006625995536865</v>
      </c>
      <c r="L90" s="74"/>
      <c r="M90" s="74"/>
      <c r="N90" s="74"/>
      <c r="O90" s="74"/>
      <c r="P90" s="74"/>
      <c r="Q90" s="74"/>
      <c r="R90" s="74"/>
      <c r="S90" s="74"/>
      <c r="T90" s="74"/>
      <c r="U90" s="74"/>
      <c r="V90" s="74"/>
      <c r="W90" s="74"/>
      <c r="X90" s="74"/>
      <c r="Y90" s="74"/>
      <c r="Z90" s="74"/>
    </row>
    <row r="91" spans="1:26" x14ac:dyDescent="0.3">
      <c r="A91" s="66">
        <f t="shared" si="14"/>
        <v>1998.3999999999924</v>
      </c>
      <c r="B91" s="67">
        <f>LOOKUP(A91+0.01,Amounts!$A$4:$A$103,Amounts!$B$4:$B$103)*0.1*$A$2</f>
        <v>2963.3427528930006</v>
      </c>
      <c r="C91" s="68">
        <f t="shared" si="13"/>
        <v>231895.33873887485</v>
      </c>
      <c r="D91" s="67">
        <f t="array" ref="D91">SUM($B$7:$B86*$F$1009*EXP(-$F$1009*($A91-$A$7:$A86)))*$F$1010</f>
        <v>33836788.827699997</v>
      </c>
      <c r="E91" s="67">
        <f t="shared" si="11"/>
        <v>64.506850786232249</v>
      </c>
      <c r="F91" s="70">
        <f t="shared" si="15"/>
        <v>3.9168559797400224</v>
      </c>
      <c r="G91" s="67">
        <f>E91/'Lookup Tables'!$C$48</f>
        <v>129.0137015724645</v>
      </c>
      <c r="H91" s="70">
        <f t="shared" si="12"/>
        <v>0.14620734059437945</v>
      </c>
      <c r="I91" s="71">
        <f t="shared" si="16"/>
        <v>0.18577973026434888</v>
      </c>
      <c r="J91" s="35">
        <f t="shared" si="10"/>
        <v>2078</v>
      </c>
      <c r="K91" s="77">
        <f>$G891</f>
        <v>4.7558262852495661</v>
      </c>
      <c r="L91" s="74"/>
      <c r="M91" s="74"/>
      <c r="N91" s="74"/>
      <c r="O91" s="74"/>
      <c r="P91" s="74"/>
      <c r="Q91" s="74"/>
      <c r="R91" s="74"/>
      <c r="S91" s="74"/>
      <c r="T91" s="74"/>
      <c r="U91" s="74"/>
      <c r="V91" s="74"/>
      <c r="W91" s="74"/>
      <c r="X91" s="74"/>
      <c r="Y91" s="74"/>
      <c r="Z91" s="74"/>
    </row>
    <row r="92" spans="1:26" x14ac:dyDescent="0.3">
      <c r="A92" s="66">
        <f t="shared" si="14"/>
        <v>1998.4999999999923</v>
      </c>
      <c r="B92" s="67">
        <f>LOOKUP(A92+0.01,Amounts!$A$4:$A$103,Amounts!$B$4:$B$103)*0.1*$A$2</f>
        <v>2963.3427528930006</v>
      </c>
      <c r="C92" s="68">
        <f t="shared" si="13"/>
        <v>234858.68149176784</v>
      </c>
      <c r="D92" s="67">
        <f t="array" ref="D92">SUM($B$7:$B87*$F$1009*EXP(-$F$1009*($A92-$A$7:$A87)))*$F$1010</f>
        <v>34197575.036657028</v>
      </c>
      <c r="E92" s="67">
        <f t="shared" si="11"/>
        <v>65.194657843380341</v>
      </c>
      <c r="F92" s="70">
        <f t="shared" si="15"/>
        <v>3.9586196242500544</v>
      </c>
      <c r="G92" s="67">
        <f>E92/'Lookup Tables'!$C$48</f>
        <v>130.38931568676068</v>
      </c>
      <c r="H92" s="70">
        <f t="shared" si="12"/>
        <v>0.1459018331569821</v>
      </c>
      <c r="I92" s="71">
        <f t="shared" si="16"/>
        <v>0.18776061458893539</v>
      </c>
      <c r="J92" s="35">
        <f t="shared" si="10"/>
        <v>2079</v>
      </c>
      <c r="K92" s="77">
        <f>$G901</f>
        <v>4.434303036913243</v>
      </c>
      <c r="L92" s="74"/>
      <c r="M92" s="74"/>
      <c r="N92" s="74"/>
      <c r="O92" s="74"/>
      <c r="P92" s="74"/>
      <c r="Q92" s="74"/>
      <c r="R92" s="74"/>
      <c r="S92" s="74"/>
      <c r="T92" s="74"/>
      <c r="U92" s="74"/>
      <c r="V92" s="74"/>
      <c r="W92" s="74"/>
      <c r="X92" s="74"/>
      <c r="Y92" s="74"/>
      <c r="Z92" s="74"/>
    </row>
    <row r="93" spans="1:26" x14ac:dyDescent="0.3">
      <c r="A93" s="66">
        <f t="shared" si="14"/>
        <v>1998.5999999999922</v>
      </c>
      <c r="B93" s="67">
        <f>LOOKUP(A93+0.01,Amounts!$A$4:$A$103,Amounts!$B$4:$B$103)*0.1*$A$2</f>
        <v>2963.3427528930006</v>
      </c>
      <c r="C93" s="68">
        <f t="shared" si="13"/>
        <v>237822.02424466083</v>
      </c>
      <c r="D93" s="67">
        <f t="array" ref="D93">SUM($B$7:$B88*$F$1009*EXP(-$F$1009*($A93-$A$7:$A88)))*$F$1010</f>
        <v>34555844.560824573</v>
      </c>
      <c r="E93" s="67">
        <f t="shared" si="11"/>
        <v>65.877667063150369</v>
      </c>
      <c r="F93" s="70">
        <f t="shared" si="15"/>
        <v>4.00009194407449</v>
      </c>
      <c r="G93" s="67">
        <f>E93/'Lookup Tables'!$C$48</f>
        <v>131.75533412630074</v>
      </c>
      <c r="H93" s="70">
        <f t="shared" si="12"/>
        <v>0.14559333568185781</v>
      </c>
      <c r="I93" s="71">
        <f t="shared" si="16"/>
        <v>0.18972768114187308</v>
      </c>
      <c r="J93" s="35">
        <f t="shared" si="10"/>
        <v>2080</v>
      </c>
      <c r="K93" s="77">
        <f>$G911</f>
        <v>4.1345167472083499</v>
      </c>
      <c r="L93" s="74"/>
      <c r="M93" s="74"/>
      <c r="N93" s="74"/>
      <c r="O93" s="74"/>
      <c r="P93" s="74"/>
      <c r="Q93" s="74"/>
      <c r="R93" s="74"/>
      <c r="S93" s="74"/>
      <c r="T93" s="74"/>
      <c r="U93" s="74"/>
      <c r="V93" s="74"/>
      <c r="W93" s="74"/>
      <c r="X93" s="74"/>
      <c r="Y93" s="74"/>
      <c r="Z93" s="74"/>
    </row>
    <row r="94" spans="1:26" x14ac:dyDescent="0.3">
      <c r="A94" s="66">
        <f t="shared" si="14"/>
        <v>1998.6999999999921</v>
      </c>
      <c r="B94" s="67">
        <f>LOOKUP(A94+0.01,Amounts!$A$4:$A$103,Amounts!$B$4:$B$103)*0.1*$A$2</f>
        <v>2963.3427528930006</v>
      </c>
      <c r="C94" s="68">
        <f t="shared" si="13"/>
        <v>240785.36699755382</v>
      </c>
      <c r="D94" s="67">
        <f t="array" ref="D94">SUM($B$7:$B89*$F$1009*EXP(-$F$1009*($A94-$A$7:$A89)))*$F$1010</f>
        <v>34911614.955481008</v>
      </c>
      <c r="E94" s="67">
        <f t="shared" si="11"/>
        <v>66.555911913130757</v>
      </c>
      <c r="F94" s="70">
        <f t="shared" si="15"/>
        <v>4.0412749713652998</v>
      </c>
      <c r="G94" s="67">
        <f>E94/'Lookup Tables'!$C$48</f>
        <v>133.11182382626151</v>
      </c>
      <c r="H94" s="70">
        <f t="shared" si="12"/>
        <v>0.14528203161904316</v>
      </c>
      <c r="I94" s="71">
        <f t="shared" si="16"/>
        <v>0.19168102630981657</v>
      </c>
      <c r="J94" s="35">
        <f t="shared" si="10"/>
        <v>2081</v>
      </c>
      <c r="K94" s="77">
        <f>$G921</f>
        <v>3.8549978633949529</v>
      </c>
      <c r="L94" s="74"/>
      <c r="M94" s="74"/>
      <c r="N94" s="74"/>
      <c r="O94" s="74"/>
      <c r="P94" s="74"/>
      <c r="Q94" s="74"/>
      <c r="R94" s="74"/>
      <c r="S94" s="74"/>
      <c r="T94" s="74"/>
      <c r="U94" s="74"/>
      <c r="V94" s="74"/>
      <c r="W94" s="74"/>
      <c r="X94" s="74"/>
      <c r="Y94" s="74"/>
      <c r="Z94" s="74"/>
    </row>
    <row r="95" spans="1:26" x14ac:dyDescent="0.3">
      <c r="A95" s="66">
        <f t="shared" si="14"/>
        <v>1998.799999999992</v>
      </c>
      <c r="B95" s="67">
        <f>LOOKUP(A95+0.01,Amounts!$A$4:$A$103,Amounts!$B$4:$B$103)*0.1*$A$2</f>
        <v>2963.3427528930006</v>
      </c>
      <c r="C95" s="68">
        <f t="shared" si="13"/>
        <v>243748.70975044681</v>
      </c>
      <c r="D95" s="67">
        <f t="array" ref="D95">SUM($B$7:$B90*$F$1009*EXP(-$F$1009*($A95-$A$7:$A90)))*$F$1010</f>
        <v>35264903.653446853</v>
      </c>
      <c r="E95" s="67">
        <f t="shared" si="11"/>
        <v>67.229425627454873</v>
      </c>
      <c r="F95" s="70">
        <f t="shared" si="15"/>
        <v>4.0821707240990595</v>
      </c>
      <c r="G95" s="67">
        <f>E95/'Lookup Tables'!$C$48</f>
        <v>134.45885125490975</v>
      </c>
      <c r="H95" s="70">
        <f t="shared" si="12"/>
        <v>0.14496809499409261</v>
      </c>
      <c r="I95" s="71">
        <f t="shared" si="16"/>
        <v>0.19362074580707003</v>
      </c>
      <c r="J95" s="35">
        <f t="shared" si="10"/>
        <v>2082</v>
      </c>
      <c r="K95" s="77">
        <f>$G931</f>
        <v>3.5943761835803203</v>
      </c>
      <c r="L95" s="74"/>
      <c r="M95" s="74"/>
      <c r="N95" s="74"/>
      <c r="O95" s="74"/>
      <c r="P95" s="74"/>
      <c r="Q95" s="74"/>
      <c r="R95" s="74"/>
      <c r="S95" s="74"/>
      <c r="T95" s="74"/>
      <c r="U95" s="74"/>
      <c r="V95" s="74"/>
      <c r="W95" s="74"/>
      <c r="X95" s="74"/>
      <c r="Y95" s="74"/>
      <c r="Z95" s="74"/>
    </row>
    <row r="96" spans="1:26" x14ac:dyDescent="0.3">
      <c r="A96" s="66">
        <f t="shared" si="14"/>
        <v>1998.8999999999919</v>
      </c>
      <c r="B96" s="67">
        <f>LOOKUP(A96+0.01,Amounts!$A$4:$A$103,Amounts!$B$4:$B$103)*0.1*$A$2</f>
        <v>2963.3427528930006</v>
      </c>
      <c r="C96" s="68">
        <f t="shared" si="13"/>
        <v>246712.0525033398</v>
      </c>
      <c r="D96" s="67">
        <f t="array" ref="D96">SUM($B$7:$B91*$F$1009*EXP(-$F$1009*($A96-$A$7:$A91)))*$F$1010</f>
        <v>35615727.965938993</v>
      </c>
      <c r="E96" s="67">
        <f t="shared" si="11"/>
        <v>67.898241208429468</v>
      </c>
      <c r="F96" s="70">
        <f t="shared" si="15"/>
        <v>4.1227812061758371</v>
      </c>
      <c r="G96" s="67">
        <f>E96/'Lookup Tables'!$C$48</f>
        <v>135.79648241685894</v>
      </c>
      <c r="H96" s="70">
        <f t="shared" si="12"/>
        <v>0.14465169097755134</v>
      </c>
      <c r="I96" s="71">
        <f t="shared" si="16"/>
        <v>0.19554693468027687</v>
      </c>
      <c r="J96" s="35">
        <f t="shared" si="10"/>
        <v>2083</v>
      </c>
      <c r="K96" s="77">
        <f>$G941</f>
        <v>3.3513741399876329</v>
      </c>
      <c r="L96" s="74"/>
      <c r="M96" s="74"/>
      <c r="N96" s="74"/>
      <c r="O96" s="74"/>
      <c r="P96" s="74"/>
      <c r="Q96" s="74"/>
      <c r="R96" s="74"/>
      <c r="S96" s="74"/>
      <c r="T96" s="74"/>
      <c r="U96" s="74"/>
      <c r="V96" s="74"/>
      <c r="W96" s="74"/>
      <c r="X96" s="74"/>
      <c r="Y96" s="74"/>
      <c r="Z96" s="74"/>
    </row>
    <row r="97" spans="1:26" x14ac:dyDescent="0.3">
      <c r="A97" s="66">
        <f t="shared" si="14"/>
        <v>1998.9999999999918</v>
      </c>
      <c r="B97" s="67">
        <f>LOOKUP(A97+0.01,Amounts!$A$4:$A$103,Amounts!$B$4:$B$103)*0.1*$A$2</f>
        <v>3022.5896472819995</v>
      </c>
      <c r="C97" s="68">
        <f t="shared" si="13"/>
        <v>249734.6421506218</v>
      </c>
      <c r="D97" s="67">
        <f t="array" ref="D97">SUM($B$7:$B92*$F$1009*EXP(-$F$1009*($A97-$A$7:$A92)))*$F$1010</f>
        <v>35964105.083418943</v>
      </c>
      <c r="E97" s="67">
        <f t="shared" si="11"/>
        <v>68.562391428151855</v>
      </c>
      <c r="F97" s="70">
        <f t="shared" si="15"/>
        <v>4.163108407517381</v>
      </c>
      <c r="G97" s="67">
        <f>E97/'Lookup Tables'!$C$48</f>
        <v>137.12478285630371</v>
      </c>
      <c r="H97" s="70">
        <f t="shared" si="12"/>
        <v>0.14429873494643999</v>
      </c>
      <c r="I97" s="71">
        <f t="shared" si="16"/>
        <v>0.19745968731307734</v>
      </c>
      <c r="J97" s="35">
        <f t="shared" si="10"/>
        <v>2084</v>
      </c>
      <c r="K97" s="77">
        <f>$G951</f>
        <v>3.1248005363172786</v>
      </c>
      <c r="L97" s="74"/>
      <c r="M97" s="74"/>
      <c r="N97" s="74"/>
      <c r="O97" s="74"/>
      <c r="P97" s="74"/>
      <c r="Q97" s="74"/>
      <c r="R97" s="74"/>
      <c r="S97" s="74"/>
      <c r="T97" s="74"/>
      <c r="U97" s="74"/>
      <c r="V97" s="74"/>
      <c r="W97" s="74"/>
      <c r="X97" s="74"/>
      <c r="Y97" s="74"/>
      <c r="Z97" s="74"/>
    </row>
    <row r="98" spans="1:26" x14ac:dyDescent="0.3">
      <c r="A98" s="66">
        <f t="shared" si="14"/>
        <v>1999.0999999999917</v>
      </c>
      <c r="B98" s="67">
        <f>LOOKUP(A98+0.01,Amounts!$A$4:$A$103,Amounts!$B$4:$B$103)*0.1*$A$2</f>
        <v>3022.5896472819995</v>
      </c>
      <c r="C98" s="68">
        <f t="shared" si="13"/>
        <v>252757.23179790381</v>
      </c>
      <c r="D98" s="67">
        <f t="array" ref="D98">SUM($B$7:$B93*$F$1009*EXP(-$F$1009*($A98-$A$7:$A93)))*$F$1010</f>
        <v>36310052.076435156</v>
      </c>
      <c r="E98" s="67">
        <f t="shared" si="11"/>
        <v>69.221908830115652</v>
      </c>
      <c r="F98" s="70">
        <f t="shared" si="15"/>
        <v>4.2031543041646229</v>
      </c>
      <c r="G98" s="67">
        <f>E98/'Lookup Tables'!$C$48</f>
        <v>138.4438176602313</v>
      </c>
      <c r="H98" s="70">
        <f t="shared" si="12"/>
        <v>0.14394458675746</v>
      </c>
      <c r="I98" s="71">
        <f t="shared" si="16"/>
        <v>0.1993590974307331</v>
      </c>
      <c r="J98" s="35">
        <f t="shared" si="10"/>
        <v>2085</v>
      </c>
      <c r="K98" s="77">
        <f>$G961</f>
        <v>2.9135447085012083</v>
      </c>
      <c r="L98" s="74"/>
      <c r="M98" s="74"/>
      <c r="N98" s="74"/>
      <c r="O98" s="74"/>
      <c r="P98" s="74"/>
      <c r="Q98" s="74"/>
      <c r="R98" s="74"/>
      <c r="S98" s="74"/>
      <c r="T98" s="74"/>
      <c r="U98" s="74"/>
      <c r="V98" s="74"/>
      <c r="W98" s="74"/>
      <c r="X98" s="74"/>
      <c r="Y98" s="74"/>
      <c r="Z98" s="74"/>
    </row>
    <row r="99" spans="1:26" x14ac:dyDescent="0.3">
      <c r="A99" s="66">
        <f t="shared" si="14"/>
        <v>1999.1999999999916</v>
      </c>
      <c r="B99" s="67">
        <f>LOOKUP(A99+0.01,Amounts!$A$4:$A$103,Amounts!$B$4:$B$103)*0.1*$A$2</f>
        <v>3022.5896472819995</v>
      </c>
      <c r="C99" s="68">
        <f t="shared" si="13"/>
        <v>255779.82144518581</v>
      </c>
      <c r="D99" s="67">
        <f t="array" ref="D99">SUM($B$7:$B94*$F$1009*EXP(-$F$1009*($A99-$A$7:$A94)))*$F$1010</f>
        <v>36653585.896459512</v>
      </c>
      <c r="E99" s="67">
        <f t="shared" si="11"/>
        <v>69.87682573080555</v>
      </c>
      <c r="F99" s="70">
        <f t="shared" si="15"/>
        <v>4.2429208583745126</v>
      </c>
      <c r="G99" s="67">
        <f>E99/'Lookup Tables'!$C$48</f>
        <v>139.7536514616111</v>
      </c>
      <c r="H99" s="70">
        <f t="shared" si="12"/>
        <v>0.14358935508124956</v>
      </c>
      <c r="I99" s="71">
        <f t="shared" si="16"/>
        <v>0.20124525810471997</v>
      </c>
      <c r="J99" s="35">
        <f t="shared" si="10"/>
        <v>2086</v>
      </c>
      <c r="K99" s="77">
        <f>$G971</f>
        <v>2.7165710802263749</v>
      </c>
      <c r="L99" s="74"/>
      <c r="M99" s="74"/>
      <c r="N99" s="74"/>
      <c r="O99" s="74"/>
      <c r="P99" s="74"/>
      <c r="Q99" s="74"/>
      <c r="R99" s="74"/>
      <c r="S99" s="74"/>
      <c r="T99" s="74"/>
      <c r="U99" s="74"/>
      <c r="V99" s="74"/>
      <c r="W99" s="74"/>
      <c r="X99" s="74"/>
      <c r="Y99" s="74"/>
      <c r="Z99" s="74"/>
    </row>
    <row r="100" spans="1:26" x14ac:dyDescent="0.3">
      <c r="A100" s="66">
        <f t="shared" si="14"/>
        <v>1999.2999999999915</v>
      </c>
      <c r="B100" s="67">
        <f>LOOKUP(A100+0.01,Amounts!$A$4:$A$103,Amounts!$B$4:$B$103)*0.1*$A$2</f>
        <v>3022.5896472819995</v>
      </c>
      <c r="C100" s="68">
        <f t="shared" si="13"/>
        <v>258802.41109246781</v>
      </c>
      <c r="D100" s="67">
        <f t="array" ref="D100">SUM($B$7:$B95*$F$1009*EXP(-$F$1009*($A100-$A$7:$A95)))*$F$1010</f>
        <v>36994723.376717933</v>
      </c>
      <c r="E100" s="67">
        <f t="shared" si="11"/>
        <v>70.527174221280703</v>
      </c>
      <c r="F100" s="70">
        <f t="shared" si="15"/>
        <v>4.2824100187161642</v>
      </c>
      <c r="G100" s="67">
        <f>E100/'Lookup Tables'!$C$48</f>
        <v>141.05434844256141</v>
      </c>
      <c r="H100" s="70">
        <f t="shared" si="12"/>
        <v>0.14323314305391335</v>
      </c>
      <c r="I100" s="71">
        <f t="shared" si="16"/>
        <v>0.20311826175728842</v>
      </c>
      <c r="J100" s="35">
        <f t="shared" si="10"/>
        <v>2087</v>
      </c>
      <c r="K100" s="77">
        <f>$G981</f>
        <v>2.5329140865384621</v>
      </c>
      <c r="L100" s="74"/>
      <c r="M100" s="74"/>
      <c r="N100" s="74"/>
      <c r="O100" s="74"/>
      <c r="P100" s="74"/>
      <c r="Q100" s="74"/>
      <c r="R100" s="74"/>
      <c r="S100" s="74"/>
      <c r="T100" s="74"/>
      <c r="U100" s="74"/>
      <c r="V100" s="74"/>
      <c r="W100" s="74"/>
      <c r="X100" s="74"/>
      <c r="Y100" s="74"/>
      <c r="Z100" s="74"/>
    </row>
    <row r="101" spans="1:26" x14ac:dyDescent="0.3">
      <c r="A101" s="66">
        <f t="shared" si="14"/>
        <v>1999.3999999999915</v>
      </c>
      <c r="B101" s="67">
        <f>LOOKUP(A101+0.01,Amounts!$A$4:$A$103,Amounts!$B$4:$B$103)*0.1*$A$2</f>
        <v>3022.5896472819995</v>
      </c>
      <c r="C101" s="68">
        <f t="shared" si="13"/>
        <v>261825.00073974981</v>
      </c>
      <c r="D101" s="67">
        <f t="array" ref="D101">SUM($B$7:$B96*$F$1009*EXP(-$F$1009*($A101-$A$7:$A96)))*$F$1010</f>
        <v>37333481.233015202</v>
      </c>
      <c r="E101" s="67">
        <f t="shared" si="11"/>
        <v>71.172986168747258</v>
      </c>
      <c r="F101" s="70">
        <f t="shared" si="15"/>
        <v>4.3216237201663343</v>
      </c>
      <c r="G101" s="67">
        <f>E101/'Lookup Tables'!$C$48</f>
        <v>142.34597233749452</v>
      </c>
      <c r="H101" s="70">
        <f t="shared" si="12"/>
        <v>0.14287604859964109</v>
      </c>
      <c r="I101" s="71">
        <f t="shared" si="16"/>
        <v>0.20497820016599211</v>
      </c>
      <c r="J101" s="35">
        <f t="shared" si="10"/>
        <v>2088</v>
      </c>
      <c r="K101" s="77">
        <f>$G991</f>
        <v>2.3616734406413342</v>
      </c>
      <c r="L101" s="74"/>
      <c r="M101" s="74"/>
      <c r="N101" s="74"/>
      <c r="O101" s="74"/>
      <c r="P101" s="74"/>
      <c r="Q101" s="74"/>
      <c r="R101" s="74"/>
      <c r="S101" s="74"/>
      <c r="T101" s="74"/>
      <c r="U101" s="74"/>
      <c r="V101" s="74"/>
      <c r="W101" s="74"/>
      <c r="X101" s="74"/>
      <c r="Y101" s="74"/>
      <c r="Z101" s="74"/>
    </row>
    <row r="102" spans="1:26" x14ac:dyDescent="0.3">
      <c r="A102" s="66">
        <f t="shared" si="14"/>
        <v>1999.4999999999914</v>
      </c>
      <c r="B102" s="67">
        <f>LOOKUP(A102+0.01,Amounts!$A$4:$A$103,Amounts!$B$4:$B$103)*0.1*$A$2</f>
        <v>3022.5896472819995</v>
      </c>
      <c r="C102" s="68">
        <f t="shared" si="13"/>
        <v>264847.59038703179</v>
      </c>
      <c r="D102" s="67">
        <f t="array" ref="D102">SUM($B$7:$B97*$F$1009*EXP(-$F$1009*($A102-$A$7:$A97)))*$F$1010</f>
        <v>37681808.377686791</v>
      </c>
      <c r="E102" s="67">
        <f t="shared" si="11"/>
        <v>71.837041119722116</v>
      </c>
      <c r="F102" s="70">
        <f t="shared" si="15"/>
        <v>4.3619451367895277</v>
      </c>
      <c r="G102" s="67">
        <f>E102/'Lookup Tables'!$C$48</f>
        <v>143.67408223944423</v>
      </c>
      <c r="H102" s="70">
        <f t="shared" si="12"/>
        <v>0.14256330879714407</v>
      </c>
      <c r="I102" s="71">
        <f t="shared" si="16"/>
        <v>0.20689067842479969</v>
      </c>
      <c r="J102" s="35">
        <f t="shared" si="10"/>
        <v>2089</v>
      </c>
      <c r="K102" s="77">
        <f>$G1001</f>
        <v>2.202009720690135</v>
      </c>
      <c r="L102" s="74"/>
      <c r="M102" s="74"/>
      <c r="N102" s="74"/>
      <c r="O102" s="74"/>
      <c r="P102" s="74"/>
      <c r="Q102" s="74"/>
      <c r="R102" s="74"/>
      <c r="S102" s="74"/>
      <c r="T102" s="74"/>
      <c r="U102" s="74"/>
      <c r="V102" s="74"/>
      <c r="W102" s="74"/>
      <c r="X102" s="74"/>
      <c r="Y102" s="74"/>
      <c r="Z102" s="74"/>
    </row>
    <row r="103" spans="1:26" x14ac:dyDescent="0.3">
      <c r="A103" s="66">
        <f t="shared" si="14"/>
        <v>1999.5999999999913</v>
      </c>
      <c r="B103" s="67">
        <f>LOOKUP(A103+0.01,Amounts!$A$4:$A$103,Amounts!$B$4:$B$103)*0.1*$A$2</f>
        <v>3022.5896472819995</v>
      </c>
      <c r="C103" s="68">
        <f t="shared" si="13"/>
        <v>267870.18003431376</v>
      </c>
      <c r="D103" s="67">
        <f t="array" ref="D103">SUM($B$7:$B98*$F$1009*EXP(-$F$1009*($A103-$A$7:$A98)))*$F$1010</f>
        <v>38027705.746482819</v>
      </c>
      <c r="E103" s="67">
        <f t="shared" si="11"/>
        <v>72.496463917490971</v>
      </c>
      <c r="F103" s="70">
        <f t="shared" si="15"/>
        <v>4.4019852890700522</v>
      </c>
      <c r="G103" s="67">
        <f>E103/'Lookup Tables'!$C$48</f>
        <v>144.99292783498194</v>
      </c>
      <c r="H103" s="70">
        <f t="shared" si="12"/>
        <v>0.1422485378184021</v>
      </c>
      <c r="I103" s="71">
        <f t="shared" si="16"/>
        <v>0.20878981608237401</v>
      </c>
      <c r="K103" s="77"/>
      <c r="L103" s="74"/>
      <c r="M103" s="74"/>
      <c r="N103" s="74"/>
      <c r="O103" s="74"/>
      <c r="P103" s="74"/>
      <c r="Q103" s="74"/>
      <c r="R103" s="74"/>
      <c r="S103" s="74"/>
      <c r="T103" s="74"/>
      <c r="U103" s="74"/>
      <c r="V103" s="74"/>
      <c r="W103" s="74"/>
      <c r="X103" s="74"/>
      <c r="Y103" s="74"/>
      <c r="Z103" s="74"/>
    </row>
    <row r="104" spans="1:26" x14ac:dyDescent="0.3">
      <c r="A104" s="66">
        <f t="shared" si="14"/>
        <v>1999.6999999999912</v>
      </c>
      <c r="B104" s="67">
        <f>LOOKUP(A104+0.01,Amounts!$A$4:$A$103,Amounts!$B$4:$B$103)*0.1*$A$2</f>
        <v>3022.5896472819995</v>
      </c>
      <c r="C104" s="68">
        <f t="shared" si="13"/>
        <v>270892.76968159573</v>
      </c>
      <c r="D104" s="67">
        <f t="array" ref="D104">SUM($B$7:$B99*$F$1009*EXP(-$F$1009*($A104-$A$7:$A99)))*$F$1010</f>
        <v>38371190.288443565</v>
      </c>
      <c r="E104" s="67">
        <f t="shared" si="11"/>
        <v>73.151286873902848</v>
      </c>
      <c r="F104" s="70">
        <f t="shared" si="15"/>
        <v>4.4417461389833806</v>
      </c>
      <c r="G104" s="67">
        <f>E104/'Lookup Tables'!$C$48</f>
        <v>146.3025737478057</v>
      </c>
      <c r="H104" s="70">
        <f t="shared" si="12"/>
        <v>0.14193186634739291</v>
      </c>
      <c r="I104" s="71">
        <f t="shared" si="16"/>
        <v>0.2106757061968402</v>
      </c>
      <c r="K104" s="77"/>
      <c r="L104" s="74"/>
      <c r="M104" s="74"/>
      <c r="N104" s="74"/>
      <c r="O104" s="74"/>
      <c r="P104" s="74"/>
      <c r="Q104" s="74"/>
      <c r="R104" s="74"/>
      <c r="S104" s="74"/>
      <c r="T104" s="74"/>
      <c r="U104" s="74"/>
      <c r="V104" s="74"/>
      <c r="W104" s="74"/>
      <c r="X104" s="74"/>
      <c r="Y104" s="74"/>
      <c r="Z104" s="74"/>
    </row>
    <row r="105" spans="1:26" x14ac:dyDescent="0.3">
      <c r="A105" s="66">
        <f t="shared" si="14"/>
        <v>1999.7999999999911</v>
      </c>
      <c r="B105" s="67">
        <f>LOOKUP(A105+0.01,Amounts!$A$4:$A$103,Amounts!$B$4:$B$103)*0.1*$A$2</f>
        <v>3022.5896472819995</v>
      </c>
      <c r="C105" s="68">
        <f t="shared" si="13"/>
        <v>273915.3593288777</v>
      </c>
      <c r="D105" s="67">
        <f t="array" ref="D105">SUM($B$7:$B100*$F$1009*EXP(-$F$1009*($A105-$A$7:$A100)))*$F$1010</f>
        <v>38712278.834380321</v>
      </c>
      <c r="E105" s="67">
        <f t="shared" si="11"/>
        <v>73.801542075413678</v>
      </c>
      <c r="F105" s="70">
        <f t="shared" si="15"/>
        <v>4.4812296348191181</v>
      </c>
      <c r="G105" s="67">
        <f>E105/'Lookup Tables'!$C$48</f>
        <v>147.60308415082736</v>
      </c>
      <c r="H105" s="70">
        <f t="shared" si="12"/>
        <v>0.1416134188673368</v>
      </c>
      <c r="I105" s="71">
        <f t="shared" si="16"/>
        <v>0.21254844117719138</v>
      </c>
      <c r="K105" s="77"/>
      <c r="L105" s="74"/>
      <c r="M105" s="74"/>
      <c r="N105" s="74"/>
      <c r="O105" s="74"/>
      <c r="P105" s="74"/>
      <c r="Q105" s="74"/>
      <c r="R105" s="74"/>
      <c r="S105" s="74"/>
      <c r="T105" s="74"/>
      <c r="U105" s="74"/>
      <c r="V105" s="74"/>
      <c r="W105" s="74"/>
      <c r="X105" s="74"/>
      <c r="Y105" s="74"/>
      <c r="Z105" s="74"/>
    </row>
    <row r="106" spans="1:26" x14ac:dyDescent="0.3">
      <c r="A106" s="66">
        <f t="shared" si="14"/>
        <v>1999.899999999991</v>
      </c>
      <c r="B106" s="67">
        <f>LOOKUP(A106+0.01,Amounts!$A$4:$A$103,Amounts!$B$4:$B$103)*0.1*$A$2</f>
        <v>3022.5896472819995</v>
      </c>
      <c r="C106" s="68">
        <f t="shared" si="13"/>
        <v>276937.94897615968</v>
      </c>
      <c r="D106" s="67">
        <f t="array" ref="D106">SUM($B$7:$B101*$F$1009*EXP(-$F$1009*($A106-$A$7:$A101)))*$F$1010</f>
        <v>39050988.097700067</v>
      </c>
      <c r="E106" s="67">
        <f t="shared" si="11"/>
        <v>74.447261384658376</v>
      </c>
      <c r="F106" s="70">
        <f t="shared" si="15"/>
        <v>4.5204377112764567</v>
      </c>
      <c r="G106" s="67">
        <f>E106/'Lookup Tables'!$C$48</f>
        <v>148.89452276931675</v>
      </c>
      <c r="H106" s="70">
        <f t="shared" si="12"/>
        <v>0.14129331400206521</v>
      </c>
      <c r="I106" s="71">
        <f t="shared" si="16"/>
        <v>0.21440811278781616</v>
      </c>
      <c r="K106" s="77"/>
      <c r="L106" s="74"/>
      <c r="M106" s="74"/>
      <c r="N106" s="74"/>
      <c r="O106" s="74"/>
      <c r="P106" s="74"/>
      <c r="Q106" s="74"/>
      <c r="R106" s="74"/>
      <c r="S106" s="74"/>
      <c r="T106" s="74"/>
      <c r="U106" s="74"/>
      <c r="V106" s="74"/>
      <c r="W106" s="74"/>
      <c r="X106" s="74"/>
      <c r="Y106" s="74"/>
      <c r="Z106" s="74"/>
    </row>
    <row r="107" spans="1:26" x14ac:dyDescent="0.3">
      <c r="A107" s="66">
        <f t="shared" si="14"/>
        <v>1999.9999999999909</v>
      </c>
      <c r="B107" s="67">
        <f>LOOKUP(A107+0.01,Amounts!$A$4:$A$103,Amounts!$B$4:$B$103)*0.1*$A$2</f>
        <v>3083.01603574</v>
      </c>
      <c r="C107" s="68">
        <f t="shared" si="13"/>
        <v>280020.96501189965</v>
      </c>
      <c r="D107" s="67">
        <f t="array" ref="D107">SUM($B$7:$B102*$F$1009*EXP(-$F$1009*($A107-$A$7:$A102)))*$F$1010</f>
        <v>39387334.675224498</v>
      </c>
      <c r="E107" s="67">
        <f t="shared" si="11"/>
        <v>75.088476442012364</v>
      </c>
      <c r="F107" s="70">
        <f t="shared" si="15"/>
        <v>4.5593722895589908</v>
      </c>
      <c r="G107" s="67">
        <f>E107/'Lookup Tables'!$C$48</f>
        <v>150.17695288402473</v>
      </c>
      <c r="H107" s="70">
        <f t="shared" si="12"/>
        <v>0.14094124422521201</v>
      </c>
      <c r="I107" s="71">
        <f t="shared" si="16"/>
        <v>0.21625481215299561</v>
      </c>
      <c r="K107" s="77"/>
      <c r="L107" s="74"/>
      <c r="M107" s="74"/>
      <c r="N107" s="74"/>
      <c r="O107" s="74"/>
      <c r="P107" s="74"/>
      <c r="Q107" s="74"/>
      <c r="R107" s="74"/>
      <c r="S107" s="74"/>
      <c r="T107" s="74"/>
      <c r="U107" s="74"/>
      <c r="V107" s="74"/>
      <c r="W107" s="74"/>
      <c r="X107" s="74"/>
      <c r="Y107" s="74"/>
      <c r="Z107" s="74"/>
    </row>
    <row r="108" spans="1:26" x14ac:dyDescent="0.3">
      <c r="A108" s="66">
        <f t="shared" si="14"/>
        <v>2000.0999999999908</v>
      </c>
      <c r="B108" s="67">
        <f>LOOKUP(A108+0.01,Amounts!$A$4:$A$103,Amounts!$B$4:$B$103)*0.1*$A$2</f>
        <v>3083.01603574</v>
      </c>
      <c r="C108" s="68">
        <f t="shared" si="13"/>
        <v>283103.98104763962</v>
      </c>
      <c r="D108" s="67">
        <f t="array" ref="D108">SUM($B$7:$B103*$F$1009*EXP(-$F$1009*($A108-$A$7:$A103)))*$F$1010</f>
        <v>39721335.048003189</v>
      </c>
      <c r="E108" s="67">
        <f t="shared" si="11"/>
        <v>75.725218667141689</v>
      </c>
      <c r="F108" s="70">
        <f t="shared" si="15"/>
        <v>4.5980352774688438</v>
      </c>
      <c r="G108" s="67">
        <f>E108/'Lookup Tables'!$C$48</f>
        <v>151.45043733428338</v>
      </c>
      <c r="H108" s="70">
        <f t="shared" si="12"/>
        <v>0.14058853847326186</v>
      </c>
      <c r="I108" s="71">
        <f t="shared" si="16"/>
        <v>0.21808862976136806</v>
      </c>
      <c r="K108" s="77"/>
      <c r="L108" s="74"/>
      <c r="M108" s="74"/>
      <c r="N108" s="74"/>
      <c r="O108" s="74"/>
      <c r="P108" s="74"/>
      <c r="Q108" s="74"/>
      <c r="R108" s="74"/>
      <c r="S108" s="74"/>
      <c r="T108" s="74"/>
      <c r="U108" s="74"/>
      <c r="V108" s="74"/>
      <c r="W108" s="74"/>
      <c r="X108" s="74"/>
      <c r="Y108" s="74"/>
      <c r="Z108" s="74"/>
    </row>
    <row r="109" spans="1:26" x14ac:dyDescent="0.3">
      <c r="A109" s="66">
        <f t="shared" si="14"/>
        <v>2000.1999999999907</v>
      </c>
      <c r="B109" s="67">
        <f>LOOKUP(A109+0.01,Amounts!$A$4:$A$103,Amounts!$B$4:$B$103)*0.1*$A$2</f>
        <v>3083.01603574</v>
      </c>
      <c r="C109" s="68">
        <f t="shared" si="13"/>
        <v>286186.9970833796</v>
      </c>
      <c r="D109" s="67">
        <f t="array" ref="D109">SUM($B$7:$B104*$F$1009*EXP(-$F$1009*($A109-$A$7:$A104)))*$F$1010</f>
        <v>40053005.582121253</v>
      </c>
      <c r="E109" s="67">
        <f t="shared" si="11"/>
        <v>76.357519260542844</v>
      </c>
      <c r="F109" s="70">
        <f t="shared" si="15"/>
        <v>4.6364285695001612</v>
      </c>
      <c r="G109" s="67">
        <f>E109/'Lookup Tables'!$C$48</f>
        <v>152.71503852108569</v>
      </c>
      <c r="H109" s="70">
        <f t="shared" si="12"/>
        <v>0.14023527460141233</v>
      </c>
      <c r="I109" s="71">
        <f t="shared" si="16"/>
        <v>0.2199096554703634</v>
      </c>
      <c r="K109" s="77"/>
      <c r="L109" s="74"/>
      <c r="M109" s="74"/>
      <c r="N109" s="74"/>
      <c r="O109" s="74"/>
      <c r="P109" s="74"/>
      <c r="Q109" s="74"/>
      <c r="R109" s="74"/>
      <c r="S109" s="74"/>
      <c r="T109" s="74"/>
      <c r="U109" s="74"/>
      <c r="V109" s="74"/>
      <c r="W109" s="74"/>
      <c r="X109" s="74"/>
      <c r="Y109" s="74"/>
      <c r="Z109" s="74"/>
    </row>
    <row r="110" spans="1:26" x14ac:dyDescent="0.3">
      <c r="A110" s="66">
        <f t="shared" si="14"/>
        <v>2000.2999999999906</v>
      </c>
      <c r="B110" s="67">
        <f>LOOKUP(A110+0.01,Amounts!$A$4:$A$103,Amounts!$B$4:$B$103)*0.1*$A$2</f>
        <v>3083.01603574</v>
      </c>
      <c r="C110" s="68">
        <f t="shared" si="13"/>
        <v>289270.01311911957</v>
      </c>
      <c r="D110" s="67">
        <f t="array" ref="D110">SUM($B$7:$B105*$F$1009*EXP(-$F$1009*($A110-$A$7:$A105)))*$F$1010</f>
        <v>40382362.529501207</v>
      </c>
      <c r="E110" s="67">
        <f t="shared" si="11"/>
        <v>76.985409205071363</v>
      </c>
      <c r="F110" s="70">
        <f t="shared" si="15"/>
        <v>4.6745540469319327</v>
      </c>
      <c r="G110" s="67">
        <f>E110/'Lookup Tables'!$C$48</f>
        <v>153.97081841014273</v>
      </c>
      <c r="H110" s="70">
        <f t="shared" si="12"/>
        <v>0.13988152675031296</v>
      </c>
      <c r="I110" s="71">
        <f t="shared" si="16"/>
        <v>0.22171797851060551</v>
      </c>
      <c r="L110" s="74"/>
      <c r="M110" s="74"/>
      <c r="N110" s="74"/>
      <c r="O110" s="74"/>
      <c r="P110" s="74"/>
      <c r="Q110" s="74"/>
      <c r="R110" s="74"/>
      <c r="S110" s="74"/>
      <c r="T110" s="74"/>
      <c r="U110" s="74"/>
      <c r="V110" s="74"/>
      <c r="W110" s="74"/>
      <c r="X110" s="74"/>
      <c r="Y110" s="74"/>
      <c r="Z110" s="74"/>
    </row>
    <row r="111" spans="1:26" x14ac:dyDescent="0.3">
      <c r="A111" s="66">
        <f t="shared" si="14"/>
        <v>2000.3999999999905</v>
      </c>
      <c r="B111" s="67">
        <f>LOOKUP(A111+0.01,Amounts!$A$4:$A$103,Amounts!$B$4:$B$103)*0.1*$A$2</f>
        <v>3083.01603574</v>
      </c>
      <c r="C111" s="68">
        <f t="shared" si="13"/>
        <v>292353.02915485954</v>
      </c>
      <c r="D111" s="67">
        <f t="array" ref="D111">SUM($B$7:$B106*$F$1009*EXP(-$F$1009*($A111-$A$7:$A106)))*$F$1010</f>
        <v>40709422.028699383</v>
      </c>
      <c r="E111" s="67">
        <f t="shared" si="11"/>
        <v>77.60891926746018</v>
      </c>
      <c r="F111" s="70">
        <f t="shared" si="15"/>
        <v>4.7124135779201826</v>
      </c>
      <c r="G111" s="67">
        <f>E111/'Lookup Tables'!$C$48</f>
        <v>155.21783853492036</v>
      </c>
      <c r="H111" s="70">
        <f t="shared" si="12"/>
        <v>0.13952736554465431</v>
      </c>
      <c r="I111" s="71">
        <f t="shared" si="16"/>
        <v>0.22351368749028533</v>
      </c>
      <c r="L111" s="74"/>
      <c r="M111" s="74"/>
      <c r="N111" s="74"/>
      <c r="O111" s="74"/>
      <c r="P111" s="74"/>
      <c r="Q111" s="74"/>
      <c r="R111" s="74"/>
      <c r="S111" s="74"/>
      <c r="T111" s="74"/>
      <c r="U111" s="74"/>
      <c r="V111" s="74"/>
      <c r="W111" s="74"/>
      <c r="X111" s="74"/>
      <c r="Y111" s="74"/>
      <c r="Z111" s="74"/>
    </row>
    <row r="112" spans="1:26" x14ac:dyDescent="0.3">
      <c r="A112" s="66">
        <f t="shared" si="14"/>
        <v>2000.4999999999905</v>
      </c>
      <c r="B112" s="67">
        <f>LOOKUP(A112+0.01,Amounts!$A$4:$A$103,Amounts!$B$4:$B$103)*0.1*$A$2</f>
        <v>3083.01603574</v>
      </c>
      <c r="C112" s="68">
        <f t="shared" si="13"/>
        <v>295436.04519059951</v>
      </c>
      <c r="D112" s="67">
        <f t="array" ref="D112">SUM($B$7:$B107*$F$1009*EXP(-$F$1009*($A112-$A$7:$A107)))*$F$1010</f>
        <v>41046369.968708023</v>
      </c>
      <c r="E112" s="67">
        <f t="shared" si="11"/>
        <v>78.251280769301985</v>
      </c>
      <c r="F112" s="70">
        <f t="shared" si="15"/>
        <v>4.7514177683120167</v>
      </c>
      <c r="G112" s="67">
        <f>E112/'Lookup Tables'!$C$48</f>
        <v>156.50256153860397</v>
      </c>
      <c r="H112" s="70">
        <f t="shared" si="12"/>
        <v>0.13921413396192392</v>
      </c>
      <c r="I112" s="71">
        <f t="shared" si="16"/>
        <v>0.22536368861558972</v>
      </c>
      <c r="L112" s="74"/>
      <c r="M112" s="74"/>
      <c r="N112" s="74"/>
      <c r="O112" s="74"/>
      <c r="P112" s="74"/>
      <c r="Q112" s="74"/>
      <c r="R112" s="74"/>
      <c r="S112" s="74"/>
      <c r="T112" s="74"/>
      <c r="U112" s="74"/>
      <c r="V112" s="74"/>
      <c r="W112" s="74"/>
      <c r="X112" s="74"/>
      <c r="Y112" s="74"/>
      <c r="Z112" s="74"/>
    </row>
    <row r="113" spans="1:26" x14ac:dyDescent="0.3">
      <c r="A113" s="66">
        <f t="shared" si="14"/>
        <v>2000.5999999999904</v>
      </c>
      <c r="B113" s="67">
        <f>LOOKUP(A113+0.01,Amounts!$A$4:$A$103,Amounts!$B$4:$B$103)*0.1*$A$2</f>
        <v>3083.01603574</v>
      </c>
      <c r="C113" s="68">
        <f t="shared" si="13"/>
        <v>298519.06122633949</v>
      </c>
      <c r="D113" s="67">
        <f t="array" ref="D113">SUM($B$7:$B108*$F$1009*EXP(-$F$1009*($A113-$A$7:$A108)))*$F$1010</f>
        <v>41380967.509132594</v>
      </c>
      <c r="E113" s="67">
        <f t="shared" si="11"/>
        <v>78.889161441830197</v>
      </c>
      <c r="F113" s="70">
        <f t="shared" si="15"/>
        <v>4.7901498827479294</v>
      </c>
      <c r="G113" s="67">
        <f>E113/'Lookup Tables'!$C$48</f>
        <v>157.77832288366039</v>
      </c>
      <c r="H113" s="70">
        <f t="shared" si="12"/>
        <v>0.13889948294587298</v>
      </c>
      <c r="I113" s="71">
        <f t="shared" si="16"/>
        <v>0.22720078495247095</v>
      </c>
      <c r="L113" s="74"/>
      <c r="M113" s="74"/>
      <c r="N113" s="74"/>
      <c r="O113" s="74"/>
      <c r="P113" s="74"/>
      <c r="Q113" s="74"/>
      <c r="R113" s="74"/>
      <c r="S113" s="74"/>
      <c r="T113" s="74"/>
      <c r="U113" s="74"/>
      <c r="V113" s="74"/>
      <c r="W113" s="74"/>
      <c r="X113" s="74"/>
      <c r="Y113" s="74"/>
      <c r="Z113" s="74"/>
    </row>
    <row r="114" spans="1:26" x14ac:dyDescent="0.3">
      <c r="A114" s="66">
        <f t="shared" si="14"/>
        <v>2000.6999999999903</v>
      </c>
      <c r="B114" s="67">
        <f>LOOKUP(A114+0.01,Amounts!$A$4:$A$103,Amounts!$B$4:$B$103)*0.1*$A$2</f>
        <v>3083.01603574</v>
      </c>
      <c r="C114" s="68">
        <f t="shared" si="13"/>
        <v>301602.07726207946</v>
      </c>
      <c r="D114" s="67">
        <f t="array" ref="D114">SUM($B$7:$B109*$F$1009*EXP(-$F$1009*($A114-$A$7:$A109)))*$F$1010</f>
        <v>41713231.045319542</v>
      </c>
      <c r="E114" s="67">
        <f t="shared" si="11"/>
        <v>79.522592541325423</v>
      </c>
      <c r="F114" s="70">
        <f t="shared" si="15"/>
        <v>4.8286118191092795</v>
      </c>
      <c r="G114" s="67">
        <f>E114/'Lookup Tables'!$C$48</f>
        <v>159.04518508265085</v>
      </c>
      <c r="H114" s="70">
        <f t="shared" si="12"/>
        <v>0.13858351049552203</v>
      </c>
      <c r="I114" s="71">
        <f t="shared" si="16"/>
        <v>0.22902506651901722</v>
      </c>
      <c r="L114" s="74"/>
      <c r="M114" s="74"/>
      <c r="N114" s="74"/>
      <c r="O114" s="74"/>
      <c r="P114" s="74"/>
      <c r="Q114" s="74"/>
      <c r="R114" s="74"/>
      <c r="S114" s="74"/>
      <c r="T114" s="74"/>
      <c r="U114" s="74"/>
      <c r="V114" s="74"/>
      <c r="W114" s="74"/>
      <c r="X114" s="74"/>
      <c r="Y114" s="74"/>
      <c r="Z114" s="74"/>
    </row>
    <row r="115" spans="1:26" x14ac:dyDescent="0.3">
      <c r="A115" s="66">
        <f t="shared" si="14"/>
        <v>2000.7999999999902</v>
      </c>
      <c r="B115" s="67">
        <f>LOOKUP(A115+0.01,Amounts!$A$4:$A$103,Amounts!$B$4:$B$103)*0.1*$A$2</f>
        <v>3083.01603574</v>
      </c>
      <c r="C115" s="68">
        <f t="shared" si="13"/>
        <v>304685.09329781943</v>
      </c>
      <c r="D115" s="67">
        <f t="array" ref="D115">SUM($B$7:$B110*$F$1009*EXP(-$F$1009*($A115-$A$7:$A110)))*$F$1010</f>
        <v>42043176.858248621</v>
      </c>
      <c r="E115" s="67">
        <f t="shared" si="11"/>
        <v>80.151605106038247</v>
      </c>
      <c r="F115" s="70">
        <f t="shared" si="15"/>
        <v>4.8668054620386432</v>
      </c>
      <c r="G115" s="67">
        <f>E115/'Lookup Tables'!$C$48</f>
        <v>160.30321021207649</v>
      </c>
      <c r="H115" s="70">
        <f t="shared" si="12"/>
        <v>0.13826631026728736</v>
      </c>
      <c r="I115" s="71">
        <f t="shared" si="16"/>
        <v>0.23083662270539015</v>
      </c>
      <c r="L115" s="74"/>
      <c r="M115" s="74"/>
      <c r="N115" s="74"/>
      <c r="O115" s="74"/>
      <c r="P115" s="74"/>
      <c r="Q115" s="74"/>
      <c r="R115" s="74"/>
      <c r="S115" s="74"/>
      <c r="T115" s="74"/>
      <c r="U115" s="74"/>
      <c r="V115" s="74"/>
      <c r="W115" s="74"/>
      <c r="X115" s="74"/>
      <c r="Y115" s="74"/>
      <c r="Z115" s="74"/>
    </row>
    <row r="116" spans="1:26" x14ac:dyDescent="0.3">
      <c r="A116" s="66">
        <f t="shared" si="14"/>
        <v>2000.8999999999901</v>
      </c>
      <c r="B116" s="67">
        <f>LOOKUP(A116+0.01,Amounts!$A$4:$A$103,Amounts!$B$4:$B$103)*0.1*$A$2</f>
        <v>3083.01603574</v>
      </c>
      <c r="C116" s="68">
        <f t="shared" si="13"/>
        <v>307768.10933355941</v>
      </c>
      <c r="D116" s="67">
        <f t="array" ref="D116">SUM($B$7:$B111*$F$1009*EXP(-$F$1009*($A116-$A$7:$A111)))*$F$1010</f>
        <v>42370821.115330681</v>
      </c>
      <c r="E116" s="67">
        <f t="shared" si="11"/>
        <v>80.776229957710243</v>
      </c>
      <c r="F116" s="70">
        <f t="shared" si="15"/>
        <v>4.904732683032166</v>
      </c>
      <c r="G116" s="67">
        <f>E116/'Lookup Tables'!$C$48</f>
        <v>161.55245991542049</v>
      </c>
      <c r="H116" s="70">
        <f t="shared" si="12"/>
        <v>0.13794797179508506</v>
      </c>
      <c r="I116" s="71">
        <f t="shared" si="16"/>
        <v>0.23263554227820551</v>
      </c>
      <c r="L116" s="74"/>
      <c r="M116" s="74"/>
      <c r="N116" s="74"/>
      <c r="O116" s="74"/>
      <c r="P116" s="74"/>
      <c r="Q116" s="74"/>
      <c r="R116" s="74"/>
      <c r="S116" s="74"/>
      <c r="T116" s="74"/>
      <c r="U116" s="74"/>
      <c r="V116" s="74"/>
      <c r="W116" s="74"/>
      <c r="X116" s="74"/>
      <c r="Y116" s="74"/>
      <c r="Z116" s="74"/>
    </row>
    <row r="117" spans="1:26" x14ac:dyDescent="0.3">
      <c r="A117" s="66">
        <f t="shared" si="14"/>
        <v>2000.99999999999</v>
      </c>
      <c r="B117" s="67">
        <f>LOOKUP(A117+0.01,Amounts!$A$4:$A$103,Amounts!$B$4:$B$103)*0.1*$A$2</f>
        <v>3144.71264858</v>
      </c>
      <c r="C117" s="68">
        <f t="shared" si="13"/>
        <v>310912.82198213943</v>
      </c>
      <c r="D117" s="67">
        <f t="array" ref="D117">SUM($B$7:$B112*$F$1009*EXP(-$F$1009*($A117-$A$7:$A112)))*$F$1010</f>
        <v>42696179.871199854</v>
      </c>
      <c r="E117" s="67">
        <f t="shared" si="11"/>
        <v>81.396497703084037</v>
      </c>
      <c r="F117" s="70">
        <f t="shared" si="15"/>
        <v>4.9423953405312622</v>
      </c>
      <c r="G117" s="67">
        <f>E117/'Lookup Tables'!$C$48</f>
        <v>162.79299540616807</v>
      </c>
      <c r="H117" s="70">
        <f t="shared" si="12"/>
        <v>0.13760127009235601</v>
      </c>
      <c r="I117" s="71">
        <f t="shared" si="16"/>
        <v>0.234421913384882</v>
      </c>
      <c r="L117" s="74"/>
      <c r="M117" s="74"/>
      <c r="N117" s="74"/>
      <c r="O117" s="74"/>
      <c r="P117" s="74"/>
      <c r="Q117" s="74"/>
      <c r="R117" s="74"/>
      <c r="S117" s="74"/>
      <c r="T117" s="74"/>
      <c r="U117" s="74"/>
      <c r="V117" s="74"/>
      <c r="W117" s="74"/>
      <c r="X117" s="74"/>
      <c r="Y117" s="74"/>
      <c r="Z117" s="74"/>
    </row>
    <row r="118" spans="1:26" x14ac:dyDescent="0.3">
      <c r="A118" s="66">
        <f t="shared" si="14"/>
        <v>2001.0999999999899</v>
      </c>
      <c r="B118" s="67">
        <f>LOOKUP(A118+0.01,Amounts!$A$4:$A$103,Amounts!$B$4:$B$103)*0.1*$A$2</f>
        <v>3144.71264858</v>
      </c>
      <c r="C118" s="68">
        <f t="shared" si="13"/>
        <v>314057.53463071946</v>
      </c>
      <c r="D118" s="67">
        <f t="array" ref="D118">SUM($B$7:$B113*$F$1009*EXP(-$F$1009*($A118-$A$7:$A113)))*$F$1010</f>
        <v>43019269.068500295</v>
      </c>
      <c r="E118" s="67">
        <f t="shared" si="11"/>
        <v>82.012438735403322</v>
      </c>
      <c r="F118" s="70">
        <f t="shared" si="15"/>
        <v>4.9797952800136898</v>
      </c>
      <c r="G118" s="67">
        <f>E118/'Lookup Tables'!$C$48</f>
        <v>164.02487747080664</v>
      </c>
      <c r="H118" s="70">
        <f t="shared" si="12"/>
        <v>0.13725427046357386</v>
      </c>
      <c r="I118" s="71">
        <f t="shared" si="16"/>
        <v>0.23619582355796157</v>
      </c>
      <c r="L118" s="74"/>
      <c r="M118" s="74"/>
      <c r="N118" s="74"/>
      <c r="O118" s="74"/>
      <c r="P118" s="74"/>
      <c r="Q118" s="74"/>
      <c r="R118" s="74"/>
      <c r="S118" s="74"/>
      <c r="T118" s="74"/>
      <c r="U118" s="74"/>
      <c r="V118" s="74"/>
      <c r="W118" s="74"/>
      <c r="X118" s="74"/>
      <c r="Y118" s="74"/>
      <c r="Z118" s="74"/>
    </row>
    <row r="119" spans="1:26" x14ac:dyDescent="0.3">
      <c r="A119" s="66">
        <f t="shared" si="14"/>
        <v>2001.1999999999898</v>
      </c>
      <c r="B119" s="67">
        <f>LOOKUP(A119+0.01,Amounts!$A$4:$A$103,Amounts!$B$4:$B$103)*0.1*$A$2</f>
        <v>3144.71264858</v>
      </c>
      <c r="C119" s="68">
        <f t="shared" si="13"/>
        <v>317202.24727929948</v>
      </c>
      <c r="D119" s="67">
        <f t="array" ref="D119">SUM($B$7:$B114*$F$1009*EXP(-$F$1009*($A119-$A$7:$A114)))*$F$1010</f>
        <v>43340104.538667329</v>
      </c>
      <c r="E119" s="67">
        <f t="shared" si="11"/>
        <v>82.624083235901921</v>
      </c>
      <c r="F119" s="70">
        <f t="shared" si="15"/>
        <v>5.0169343340839641</v>
      </c>
      <c r="G119" s="67">
        <f>E119/'Lookup Tables'!$C$48</f>
        <v>165.24816647180384</v>
      </c>
      <c r="H119" s="70">
        <f t="shared" si="12"/>
        <v>0.13690703177948163</v>
      </c>
      <c r="I119" s="71">
        <f t="shared" si="16"/>
        <v>0.23795735971939752</v>
      </c>
      <c r="L119" s="74"/>
      <c r="M119" s="74"/>
      <c r="N119" s="74"/>
      <c r="O119" s="74"/>
      <c r="P119" s="74"/>
      <c r="Q119" s="74"/>
      <c r="R119" s="74"/>
      <c r="S119" s="74"/>
      <c r="T119" s="74"/>
      <c r="U119" s="74"/>
      <c r="V119" s="74"/>
      <c r="W119" s="74"/>
      <c r="X119" s="74"/>
      <c r="Y119" s="74"/>
      <c r="Z119" s="74"/>
    </row>
    <row r="120" spans="1:26" x14ac:dyDescent="0.3">
      <c r="A120" s="66">
        <f t="shared" si="14"/>
        <v>2001.2999999999897</v>
      </c>
      <c r="B120" s="67">
        <f>LOOKUP(A120+0.01,Amounts!$A$4:$A$103,Amounts!$B$4:$B$103)*0.1*$A$2</f>
        <v>3144.71264858</v>
      </c>
      <c r="C120" s="68">
        <f t="shared" si="13"/>
        <v>320346.95992787951</v>
      </c>
      <c r="D120" s="67">
        <f t="array" ref="D120">SUM($B$7:$B115*$F$1009*EXP(-$F$1009*($A120-$A$7:$A115)))*$F$1010</f>
        <v>43658702.002703153</v>
      </c>
      <c r="E120" s="67">
        <f t="shared" si="11"/>
        <v>83.231461175282703</v>
      </c>
      <c r="F120" s="70">
        <f t="shared" si="15"/>
        <v>5.0538143225631655</v>
      </c>
      <c r="G120" s="67">
        <f>E120/'Lookup Tables'!$C$48</f>
        <v>166.46292235056541</v>
      </c>
      <c r="H120" s="70">
        <f t="shared" si="12"/>
        <v>0.13655961025376154</v>
      </c>
      <c r="I120" s="71">
        <f t="shared" si="16"/>
        <v>0.23970660818481418</v>
      </c>
      <c r="L120" s="74"/>
      <c r="M120" s="74"/>
      <c r="N120" s="74"/>
      <c r="O120" s="74"/>
      <c r="P120" s="74"/>
      <c r="Q120" s="74"/>
      <c r="R120" s="74"/>
      <c r="S120" s="74"/>
      <c r="T120" s="74"/>
      <c r="U120" s="74"/>
      <c r="V120" s="74"/>
      <c r="W120" s="74"/>
      <c r="X120" s="74"/>
      <c r="Y120" s="74"/>
      <c r="Z120" s="74"/>
    </row>
    <row r="121" spans="1:26" x14ac:dyDescent="0.3">
      <c r="A121" s="66">
        <f t="shared" si="14"/>
        <v>2001.3999999999896</v>
      </c>
      <c r="B121" s="67">
        <f>LOOKUP(A121+0.01,Amounts!$A$4:$A$103,Amounts!$B$4:$B$103)*0.1*$A$2</f>
        <v>3144.71264858</v>
      </c>
      <c r="C121" s="68">
        <f t="shared" si="13"/>
        <v>323491.67257645953</v>
      </c>
      <c r="D121" s="67">
        <f t="array" ref="D121">SUM($B$7:$B116*$F$1009*EXP(-$F$1009*($A121-$A$7:$A116)))*$F$1010</f>
        <v>43975077.071947277</v>
      </c>
      <c r="E121" s="67">
        <f t="shared" si="11"/>
        <v>83.834602315186245</v>
      </c>
      <c r="F121" s="70">
        <f t="shared" si="15"/>
        <v>5.0904370525781095</v>
      </c>
      <c r="G121" s="67">
        <f>E121/'Lookup Tables'!$C$48</f>
        <v>167.66920463037249</v>
      </c>
      <c r="H121" s="70">
        <f t="shared" si="12"/>
        <v>0.13621205957456967</v>
      </c>
      <c r="I121" s="71">
        <f t="shared" si="16"/>
        <v>0.24144365466773637</v>
      </c>
      <c r="L121" s="74"/>
      <c r="M121" s="74"/>
      <c r="N121" s="74"/>
      <c r="O121" s="74"/>
      <c r="P121" s="74"/>
      <c r="Q121" s="74"/>
      <c r="R121" s="74"/>
      <c r="S121" s="74"/>
      <c r="T121" s="74"/>
      <c r="U121" s="74"/>
      <c r="V121" s="74"/>
      <c r="W121" s="74"/>
      <c r="X121" s="74"/>
      <c r="Y121" s="74"/>
      <c r="Z121" s="74"/>
    </row>
    <row r="122" spans="1:26" x14ac:dyDescent="0.3">
      <c r="A122" s="66">
        <f t="shared" si="14"/>
        <v>2001.4999999999895</v>
      </c>
      <c r="B122" s="67">
        <f>LOOKUP(A122+0.01,Amounts!$A$4:$A$103,Amounts!$B$4:$B$103)*0.1*$A$2</f>
        <v>3144.71264858</v>
      </c>
      <c r="C122" s="68">
        <f t="shared" si="13"/>
        <v>326636.38522503956</v>
      </c>
      <c r="D122" s="67">
        <f t="array" ref="D122">SUM($B$7:$B117*$F$1009*EXP(-$F$1009*($A122-$A$7:$A117)))*$F$1010</f>
        <v>44301670.934798919</v>
      </c>
      <c r="E122" s="67">
        <f t="shared" si="11"/>
        <v>84.457224682986819</v>
      </c>
      <c r="F122" s="70">
        <f t="shared" si="15"/>
        <v>5.12824268275096</v>
      </c>
      <c r="G122" s="67">
        <f>E122/'Lookup Tables'!$C$48</f>
        <v>168.91444936597364</v>
      </c>
      <c r="H122" s="70">
        <f t="shared" si="12"/>
        <v>0.13590254883207339</v>
      </c>
      <c r="I122" s="71">
        <f t="shared" si="16"/>
        <v>0.24323680708700204</v>
      </c>
      <c r="L122" s="74"/>
      <c r="M122" s="74"/>
      <c r="N122" s="74"/>
      <c r="O122" s="74"/>
      <c r="P122" s="74"/>
      <c r="Q122" s="74"/>
      <c r="R122" s="74"/>
      <c r="S122" s="74"/>
      <c r="T122" s="74"/>
      <c r="U122" s="74"/>
      <c r="V122" s="74"/>
      <c r="W122" s="74"/>
      <c r="X122" s="74"/>
      <c r="Y122" s="74"/>
      <c r="Z122" s="74"/>
    </row>
    <row r="123" spans="1:26" x14ac:dyDescent="0.3">
      <c r="A123" s="66">
        <f t="shared" si="14"/>
        <v>2001.5999999999894</v>
      </c>
      <c r="B123" s="67">
        <f>LOOKUP(A123+0.01,Amounts!$A$4:$A$103,Amounts!$B$4:$B$103)*0.1*$A$2</f>
        <v>3144.71264858</v>
      </c>
      <c r="C123" s="68">
        <f t="shared" si="13"/>
        <v>329781.09787361958</v>
      </c>
      <c r="D123" s="67">
        <f t="array" ref="D123">SUM($B$7:$B118*$F$1009*EXP(-$F$1009*($A123-$A$7:$A118)))*$F$1010</f>
        <v>44625986.623522587</v>
      </c>
      <c r="E123" s="67">
        <f t="shared" si="11"/>
        <v>85.075503912929733</v>
      </c>
      <c r="F123" s="70">
        <f t="shared" si="15"/>
        <v>5.1657845975930936</v>
      </c>
      <c r="G123" s="67">
        <f>E123/'Lookup Tables'!$C$48</f>
        <v>170.15100782585947</v>
      </c>
      <c r="H123" s="70">
        <f t="shared" si="12"/>
        <v>0.13559201890270875</v>
      </c>
      <c r="I123" s="71">
        <f t="shared" si="16"/>
        <v>0.24501745126923766</v>
      </c>
      <c r="L123" s="74"/>
      <c r="M123" s="74"/>
      <c r="N123" s="74"/>
      <c r="O123" s="74"/>
      <c r="P123" s="74"/>
      <c r="Q123" s="74"/>
      <c r="R123" s="74"/>
      <c r="S123" s="74"/>
      <c r="T123" s="74"/>
      <c r="U123" s="74"/>
      <c r="V123" s="74"/>
      <c r="W123" s="74"/>
      <c r="X123" s="74"/>
      <c r="Y123" s="74"/>
      <c r="Z123" s="74"/>
    </row>
    <row r="124" spans="1:26" x14ac:dyDescent="0.3">
      <c r="A124" s="66">
        <f t="shared" si="14"/>
        <v>2001.6999999999894</v>
      </c>
      <c r="B124" s="67">
        <f>LOOKUP(A124+0.01,Amounts!$A$4:$A$103,Amounts!$B$4:$B$103)*0.1*$A$2</f>
        <v>3144.71264858</v>
      </c>
      <c r="C124" s="68">
        <f t="shared" si="13"/>
        <v>332925.81052219961</v>
      </c>
      <c r="D124" s="67">
        <f t="array" ref="D124">SUM($B$7:$B119*$F$1009*EXP(-$F$1009*($A124-$A$7:$A119)))*$F$1010</f>
        <v>44948040.02965191</v>
      </c>
      <c r="E124" s="67">
        <f t="shared" si="11"/>
        <v>85.689470300821</v>
      </c>
      <c r="F124" s="70">
        <f t="shared" si="15"/>
        <v>5.2030646366658511</v>
      </c>
      <c r="G124" s="67">
        <f>E124/'Lookup Tables'!$C$48</f>
        <v>171.378940601642</v>
      </c>
      <c r="H124" s="70">
        <f t="shared" si="12"/>
        <v>0.13528054649613397</v>
      </c>
      <c r="I124" s="71">
        <f t="shared" si="16"/>
        <v>0.24678567446636446</v>
      </c>
      <c r="L124" s="74"/>
      <c r="M124" s="74"/>
      <c r="N124" s="74"/>
      <c r="O124" s="74"/>
      <c r="P124" s="74"/>
      <c r="Q124" s="74"/>
      <c r="R124" s="74"/>
      <c r="S124" s="74"/>
      <c r="T124" s="74"/>
      <c r="U124" s="74"/>
      <c r="V124" s="74"/>
      <c r="W124" s="74"/>
      <c r="X124" s="74"/>
      <c r="Y124" s="74"/>
      <c r="Z124" s="74"/>
    </row>
    <row r="125" spans="1:26" x14ac:dyDescent="0.3">
      <c r="A125" s="66">
        <f t="shared" si="14"/>
        <v>2001.7999999999893</v>
      </c>
      <c r="B125" s="67">
        <f>LOOKUP(A125+0.01,Amounts!$A$4:$A$103,Amounts!$B$4:$B$103)*0.1*$A$2</f>
        <v>3144.71264858</v>
      </c>
      <c r="C125" s="68">
        <f t="shared" si="13"/>
        <v>336070.52317077963</v>
      </c>
      <c r="D125" s="67">
        <f t="array" ref="D125">SUM($B$7:$B120*$F$1009*EXP(-$F$1009*($A125-$A$7:$A120)))*$F$1010</f>
        <v>45267846.933868229</v>
      </c>
      <c r="E125" s="67">
        <f t="shared" si="11"/>
        <v>86.299153931136431</v>
      </c>
      <c r="F125" s="70">
        <f t="shared" si="15"/>
        <v>5.2400846266986036</v>
      </c>
      <c r="G125" s="67">
        <f>E125/'Lookup Tables'!$C$48</f>
        <v>172.59830786227286</v>
      </c>
      <c r="H125" s="70">
        <f t="shared" si="12"/>
        <v>0.13496820512031482</v>
      </c>
      <c r="I125" s="71">
        <f t="shared" si="16"/>
        <v>0.2485415633216729</v>
      </c>
      <c r="L125" s="74"/>
      <c r="M125" s="74"/>
      <c r="N125" s="74"/>
      <c r="O125" s="74"/>
      <c r="P125" s="74"/>
      <c r="Q125" s="74"/>
      <c r="R125" s="74"/>
      <c r="S125" s="74"/>
      <c r="T125" s="74"/>
      <c r="U125" s="74"/>
      <c r="V125" s="74"/>
      <c r="W125" s="74"/>
      <c r="X125" s="74"/>
      <c r="Y125" s="74"/>
      <c r="Z125" s="74"/>
    </row>
    <row r="126" spans="1:26" x14ac:dyDescent="0.3">
      <c r="A126" s="66">
        <f t="shared" si="14"/>
        <v>2001.8999999999892</v>
      </c>
      <c r="B126" s="67">
        <f>LOOKUP(A126+0.01,Amounts!$A$4:$A$103,Amounts!$B$4:$B$103)*0.1*$A$2</f>
        <v>3144.71264858</v>
      </c>
      <c r="C126" s="68">
        <f t="shared" si="13"/>
        <v>339215.23581935966</v>
      </c>
      <c r="D126" s="67">
        <f t="array" ref="D126">SUM($B$7:$B121*$F$1009*EXP(-$F$1009*($A126-$A$7:$A121)))*$F$1010</f>
        <v>45585423.006773859</v>
      </c>
      <c r="E126" s="67">
        <f t="shared" si="11"/>
        <v>86.904584678495965</v>
      </c>
      <c r="F126" s="70">
        <f t="shared" si="15"/>
        <v>5.2768463816782747</v>
      </c>
      <c r="G126" s="67">
        <f>E126/'Lookup Tables'!$C$48</f>
        <v>173.80916935699193</v>
      </c>
      <c r="H126" s="70">
        <f t="shared" si="12"/>
        <v>0.13465506523221621</v>
      </c>
      <c r="I126" s="71">
        <f t="shared" si="16"/>
        <v>0.25028520387406838</v>
      </c>
      <c r="L126" s="74"/>
      <c r="M126" s="74"/>
      <c r="N126" s="74"/>
      <c r="O126" s="74"/>
      <c r="P126" s="74"/>
      <c r="Q126" s="74"/>
      <c r="R126" s="74"/>
      <c r="S126" s="74"/>
      <c r="T126" s="74"/>
      <c r="U126" s="74"/>
      <c r="V126" s="74"/>
      <c r="W126" s="74"/>
      <c r="X126" s="74"/>
      <c r="Y126" s="74"/>
      <c r="Z126" s="74"/>
    </row>
    <row r="127" spans="1:26" x14ac:dyDescent="0.3">
      <c r="A127" s="66">
        <f t="shared" si="14"/>
        <v>2001.9999999999891</v>
      </c>
      <c r="B127" s="67">
        <f>LOOKUP(A127+0.01,Amounts!$A$4:$A$103,Amounts!$B$4:$B$103)*0.1*$A$2</f>
        <v>3207.5887554890001</v>
      </c>
      <c r="C127" s="68">
        <f t="shared" si="13"/>
        <v>342422.82457484864</v>
      </c>
      <c r="D127" s="67">
        <f t="array" ref="D127">SUM($B$7:$B122*$F$1009*EXP(-$F$1009*($A127-$A$7:$A122)))*$F$1010</f>
        <v>45900783.809659883</v>
      </c>
      <c r="E127" s="67">
        <f t="shared" si="11"/>
        <v>87.505792209127293</v>
      </c>
      <c r="F127" s="70">
        <f t="shared" si="15"/>
        <v>5.3133517029382089</v>
      </c>
      <c r="G127" s="67">
        <f>E127/'Lookup Tables'!$C$48</f>
        <v>175.01158441825459</v>
      </c>
      <c r="H127" s="70">
        <f t="shared" si="12"/>
        <v>0.13431652648219977</v>
      </c>
      <c r="I127" s="71">
        <f t="shared" si="16"/>
        <v>0.25201668156228657</v>
      </c>
      <c r="L127" s="74"/>
      <c r="M127" s="74"/>
      <c r="N127" s="74"/>
      <c r="O127" s="74"/>
      <c r="P127" s="74"/>
      <c r="Q127" s="74"/>
      <c r="R127" s="74"/>
      <c r="S127" s="74"/>
      <c r="T127" s="74"/>
      <c r="U127" s="74"/>
      <c r="V127" s="74"/>
      <c r="W127" s="74"/>
      <c r="X127" s="74"/>
      <c r="Y127" s="74"/>
      <c r="Z127" s="74"/>
    </row>
    <row r="128" spans="1:26" x14ac:dyDescent="0.3">
      <c r="A128" s="66">
        <f t="shared" si="14"/>
        <v>2002.099999999989</v>
      </c>
      <c r="B128" s="67">
        <f>LOOKUP(A128+0.01,Amounts!$A$4:$A$103,Amounts!$B$4:$B$103)*0.1*$A$2</f>
        <v>3207.5887554890001</v>
      </c>
      <c r="C128" s="68">
        <f t="shared" si="13"/>
        <v>345630.41333033761</v>
      </c>
      <c r="D128" s="67">
        <f t="array" ref="D128">SUM($B$7:$B123*$F$1009*EXP(-$F$1009*($A128-$A$7:$A123)))*$F$1010</f>
        <v>46213944.795268767</v>
      </c>
      <c r="E128" s="67">
        <f t="shared" si="11"/>
        <v>88.102805982319751</v>
      </c>
      <c r="F128" s="70">
        <f t="shared" si="15"/>
        <v>5.3496023792464555</v>
      </c>
      <c r="G128" s="67">
        <f>E128/'Lookup Tables'!$C$48</f>
        <v>176.2056119646395</v>
      </c>
      <c r="H128" s="70">
        <f t="shared" si="12"/>
        <v>0.13397789383785888</v>
      </c>
      <c r="I128" s="71">
        <f t="shared" si="16"/>
        <v>0.25373608122908087</v>
      </c>
      <c r="L128" s="74"/>
      <c r="M128" s="74"/>
      <c r="N128" s="74"/>
      <c r="O128" s="74"/>
      <c r="P128" s="74"/>
      <c r="Q128" s="74"/>
      <c r="R128" s="74"/>
      <c r="S128" s="74"/>
      <c r="T128" s="74"/>
      <c r="U128" s="74"/>
      <c r="V128" s="74"/>
      <c r="W128" s="74"/>
      <c r="X128" s="74"/>
      <c r="Y128" s="74"/>
      <c r="Z128" s="74"/>
    </row>
    <row r="129" spans="1:26" x14ac:dyDescent="0.3">
      <c r="A129" s="66">
        <f t="shared" si="14"/>
        <v>2002.1999999999889</v>
      </c>
      <c r="B129" s="67">
        <f>LOOKUP(A129+0.01,Amounts!$A$4:$A$103,Amounts!$B$4:$B$103)*0.1*$A$2</f>
        <v>3207.5887554890001</v>
      </c>
      <c r="C129" s="68">
        <f t="shared" si="13"/>
        <v>348838.00208582659</v>
      </c>
      <c r="D129" s="67">
        <f t="array" ref="D129">SUM($B$7:$B124*$F$1009*EXP(-$F$1009*($A129-$A$7:$A124)))*$F$1010</f>
        <v>46524921.308551446</v>
      </c>
      <c r="E129" s="67">
        <f t="shared" si="11"/>
        <v>88.695655251867649</v>
      </c>
      <c r="F129" s="70">
        <f t="shared" si="15"/>
        <v>5.3856001868934031</v>
      </c>
      <c r="G129" s="67">
        <f>E129/'Lookup Tables'!$C$48</f>
        <v>177.3913105037353</v>
      </c>
      <c r="H129" s="70">
        <f t="shared" si="12"/>
        <v>0.13363921396646411</v>
      </c>
      <c r="I129" s="71">
        <f t="shared" si="16"/>
        <v>0.25544348712537879</v>
      </c>
      <c r="L129" s="74"/>
      <c r="M129" s="74"/>
      <c r="N129" s="74"/>
      <c r="O129" s="74"/>
      <c r="P129" s="74"/>
      <c r="Q129" s="74"/>
      <c r="R129" s="74"/>
      <c r="S129" s="74"/>
      <c r="T129" s="74"/>
      <c r="U129" s="74"/>
      <c r="V129" s="74"/>
      <c r="W129" s="74"/>
      <c r="X129" s="74"/>
      <c r="Y129" s="74"/>
      <c r="Z129" s="74"/>
    </row>
    <row r="130" spans="1:26" x14ac:dyDescent="0.3">
      <c r="A130" s="66">
        <f t="shared" si="14"/>
        <v>2002.2999999999888</v>
      </c>
      <c r="B130" s="67">
        <f>LOOKUP(A130+0.01,Amounts!$A$4:$A$103,Amounts!$B$4:$B$103)*0.1*$A$2</f>
        <v>3207.5887554890001</v>
      </c>
      <c r="C130" s="68">
        <f t="shared" si="13"/>
        <v>352045.59084131557</v>
      </c>
      <c r="D130" s="67">
        <f t="array" ref="D130">SUM($B$7:$B125*$F$1009*EXP(-$F$1009*($A130-$A$7:$A125)))*$F$1010</f>
        <v>46833728.587419309</v>
      </c>
      <c r="E130" s="67">
        <f t="shared" si="11"/>
        <v>89.28436906750386</v>
      </c>
      <c r="F130" s="70">
        <f t="shared" si="15"/>
        <v>5.4213468897788344</v>
      </c>
      <c r="G130" s="67">
        <f>E130/'Lookup Tables'!$C$48</f>
        <v>178.56873813500772</v>
      </c>
      <c r="H130" s="70">
        <f t="shared" si="12"/>
        <v>0.1333005315298289</v>
      </c>
      <c r="I130" s="71">
        <f t="shared" si="16"/>
        <v>0.25713898291441112</v>
      </c>
      <c r="L130" s="74"/>
      <c r="M130" s="74"/>
      <c r="N130" s="74"/>
      <c r="O130" s="74"/>
      <c r="P130" s="74"/>
      <c r="Q130" s="74"/>
      <c r="R130" s="74"/>
      <c r="S130" s="74"/>
      <c r="T130" s="74"/>
      <c r="U130" s="74"/>
      <c r="V130" s="74"/>
      <c r="W130" s="74"/>
      <c r="X130" s="74"/>
      <c r="Y130" s="74"/>
      <c r="Z130" s="74"/>
    </row>
    <row r="131" spans="1:26" x14ac:dyDescent="0.3">
      <c r="A131" s="66">
        <f t="shared" si="14"/>
        <v>2002.3999999999887</v>
      </c>
      <c r="B131" s="67">
        <f>LOOKUP(A131+0.01,Amounts!$A$4:$A$103,Amounts!$B$4:$B$103)*0.1*$A$2</f>
        <v>3207.5887554890001</v>
      </c>
      <c r="C131" s="68">
        <f t="shared" si="13"/>
        <v>355253.17959680455</v>
      </c>
      <c r="D131" s="67">
        <f t="array" ref="D131">SUM($B$7:$B126*$F$1009*EXP(-$F$1009*($A131-$A$7:$A126)))*$F$1010</f>
        <v>47140381.763490789</v>
      </c>
      <c r="E131" s="67">
        <f t="shared" si="11"/>
        <v>89.868976276323082</v>
      </c>
      <c r="F131" s="70">
        <f t="shared" si="15"/>
        <v>5.4568442394983379</v>
      </c>
      <c r="G131" s="67">
        <f>E131/'Lookup Tables'!$C$48</f>
        <v>179.73795255264616</v>
      </c>
      <c r="H131" s="70">
        <f t="shared" si="12"/>
        <v>0.13296188927695182</v>
      </c>
      <c r="I131" s="71">
        <f t="shared" si="16"/>
        <v>0.25882265167581048</v>
      </c>
      <c r="L131" s="74"/>
      <c r="M131" s="74"/>
      <c r="N131" s="74"/>
      <c r="O131" s="74"/>
      <c r="P131" s="74"/>
      <c r="Q131" s="74"/>
      <c r="R131" s="74"/>
      <c r="S131" s="74"/>
      <c r="T131" s="74"/>
      <c r="U131" s="74"/>
      <c r="V131" s="74"/>
      <c r="W131" s="74"/>
      <c r="X131" s="74"/>
      <c r="Y131" s="74"/>
      <c r="Z131" s="74"/>
    </row>
    <row r="132" spans="1:26" x14ac:dyDescent="0.3">
      <c r="A132" s="66">
        <f t="shared" si="14"/>
        <v>2002.4999999999886</v>
      </c>
      <c r="B132" s="67">
        <f>LOOKUP(A132+0.01,Amounts!$A$4:$A$103,Amounts!$B$4:$B$103)*0.1*$A$2</f>
        <v>3207.5887554890001</v>
      </c>
      <c r="C132" s="68">
        <f t="shared" si="13"/>
        <v>358460.76835229353</v>
      </c>
      <c r="D132" s="67">
        <f t="array" ref="D132">SUM($B$7:$B127*$F$1009*EXP(-$F$1009*($A132-$A$7:$A127)))*$F$1010</f>
        <v>47457559.098669022</v>
      </c>
      <c r="E132" s="67">
        <f t="shared" si="11"/>
        <v>90.473646865405911</v>
      </c>
      <c r="F132" s="70">
        <f t="shared" si="15"/>
        <v>5.4935598376674468</v>
      </c>
      <c r="G132" s="67">
        <f>E132/'Lookup Tables'!$C$48</f>
        <v>180.94729373081182</v>
      </c>
      <c r="H132" s="70">
        <f t="shared" si="12"/>
        <v>0.13265872583780919</v>
      </c>
      <c r="I132" s="71">
        <f t="shared" si="16"/>
        <v>0.26056410297236898</v>
      </c>
      <c r="L132" s="74"/>
      <c r="M132" s="74"/>
      <c r="N132" s="74"/>
      <c r="O132" s="74"/>
      <c r="P132" s="74"/>
      <c r="Q132" s="74"/>
      <c r="R132" s="74"/>
      <c r="S132" s="74"/>
      <c r="T132" s="74"/>
      <c r="U132" s="74"/>
      <c r="V132" s="74"/>
      <c r="W132" s="74"/>
      <c r="X132" s="74"/>
      <c r="Y132" s="74"/>
      <c r="Z132" s="74"/>
    </row>
    <row r="133" spans="1:26" x14ac:dyDescent="0.3">
      <c r="A133" s="66">
        <f t="shared" si="14"/>
        <v>2002.5999999999885</v>
      </c>
      <c r="B133" s="67">
        <f>LOOKUP(A133+0.01,Amounts!$A$4:$A$103,Amounts!$B$4:$B$103)*0.1*$A$2</f>
        <v>3207.5887554890001</v>
      </c>
      <c r="C133" s="68">
        <f t="shared" si="13"/>
        <v>361668.3571077825</v>
      </c>
      <c r="D133" s="67">
        <f t="array" ref="D133">SUM($B$7:$B128*$F$1009*EXP(-$F$1009*($A133-$A$7:$A128)))*$F$1010</f>
        <v>47772523.945245422</v>
      </c>
      <c r="E133" s="67">
        <f t="shared" si="11"/>
        <v>91.074099540287989</v>
      </c>
      <c r="F133" s="70">
        <f t="shared" si="15"/>
        <v>5.5300193240862869</v>
      </c>
      <c r="G133" s="67">
        <f>E133/'Lookup Tables'!$C$48</f>
        <v>182.14819908057598</v>
      </c>
      <c r="H133" s="70">
        <f t="shared" si="12"/>
        <v>0.1323548100839517</v>
      </c>
      <c r="I133" s="71">
        <f t="shared" si="16"/>
        <v>0.26229340667602946</v>
      </c>
      <c r="L133" s="74"/>
      <c r="M133" s="74"/>
      <c r="N133" s="74"/>
      <c r="O133" s="74"/>
      <c r="P133" s="74"/>
      <c r="Q133" s="74"/>
      <c r="R133" s="74"/>
      <c r="S133" s="74"/>
      <c r="T133" s="74"/>
      <c r="U133" s="74"/>
      <c r="V133" s="74"/>
      <c r="W133" s="74"/>
      <c r="X133" s="74"/>
      <c r="Y133" s="74"/>
      <c r="Z133" s="74"/>
    </row>
    <row r="134" spans="1:26" x14ac:dyDescent="0.3">
      <c r="A134" s="66">
        <f t="shared" si="14"/>
        <v>2002.6999999999884</v>
      </c>
      <c r="B134" s="67">
        <f>LOOKUP(A134+0.01,Amounts!$A$4:$A$103,Amounts!$B$4:$B$103)*0.1*$A$2</f>
        <v>3207.5887554890001</v>
      </c>
      <c r="C134" s="68">
        <f t="shared" si="13"/>
        <v>364875.94586327148</v>
      </c>
      <c r="D134" s="67">
        <f t="array" ref="D134">SUM($B$7:$B129*$F$1009*EXP(-$F$1009*($A134-$A$7:$A129)))*$F$1010</f>
        <v>48085291.736560509</v>
      </c>
      <c r="E134" s="67">
        <f t="shared" si="11"/>
        <v>91.67036372327054</v>
      </c>
      <c r="F134" s="70">
        <f t="shared" si="15"/>
        <v>5.5662244852769867</v>
      </c>
      <c r="G134" s="67">
        <f>E134/'Lookup Tables'!$C$48</f>
        <v>183.34072744654108</v>
      </c>
      <c r="H134" s="70">
        <f t="shared" si="12"/>
        <v>0.13205020423847294</v>
      </c>
      <c r="I134" s="71">
        <f t="shared" si="16"/>
        <v>0.26401064752301912</v>
      </c>
      <c r="L134" s="74"/>
      <c r="M134" s="74"/>
      <c r="N134" s="74"/>
      <c r="O134" s="74"/>
      <c r="P134" s="74"/>
      <c r="Q134" s="74"/>
      <c r="R134" s="74"/>
      <c r="S134" s="74"/>
      <c r="T134" s="74"/>
      <c r="U134" s="74"/>
      <c r="V134" s="74"/>
      <c r="W134" s="74"/>
      <c r="X134" s="74"/>
      <c r="Y134" s="74"/>
      <c r="Z134" s="74"/>
    </row>
    <row r="135" spans="1:26" x14ac:dyDescent="0.3">
      <c r="A135" s="66">
        <f t="shared" si="14"/>
        <v>2002.7999999999884</v>
      </c>
      <c r="B135" s="67">
        <f>LOOKUP(A135+0.01,Amounts!$A$4:$A$103,Amounts!$B$4:$B$103)*0.1*$A$2</f>
        <v>3207.5887554890001</v>
      </c>
      <c r="C135" s="68">
        <f t="shared" si="13"/>
        <v>368083.53461876046</v>
      </c>
      <c r="D135" s="67">
        <f t="array" ref="D135">SUM($B$7:$B130*$F$1009*EXP(-$F$1009*($A135-$A$7:$A130)))*$F$1010</f>
        <v>48395877.798298649</v>
      </c>
      <c r="E135" s="67">
        <f t="shared" ref="E135:E198" si="17">D135/(365*24*60)*1.00201</f>
        <v>92.262468631417875</v>
      </c>
      <c r="F135" s="70">
        <f t="shared" si="15"/>
        <v>5.6021770952996928</v>
      </c>
      <c r="G135" s="67">
        <f>E135/'Lookup Tables'!$C$48</f>
        <v>184.52493726283575</v>
      </c>
      <c r="H135" s="70">
        <f t="shared" ref="H135:H198" si="18">G135*60*24*365/(C135*2000)</f>
        <v>0.13174496806247968</v>
      </c>
      <c r="I135" s="71">
        <f t="shared" si="16"/>
        <v>0.26571590965848346</v>
      </c>
      <c r="L135" s="74"/>
      <c r="M135" s="74"/>
      <c r="N135" s="74"/>
      <c r="O135" s="74"/>
      <c r="P135" s="74"/>
      <c r="Q135" s="74"/>
      <c r="R135" s="74"/>
      <c r="S135" s="74"/>
      <c r="T135" s="74"/>
      <c r="U135" s="74"/>
      <c r="V135" s="74"/>
      <c r="W135" s="74"/>
      <c r="X135" s="74"/>
      <c r="Y135" s="74"/>
      <c r="Z135" s="74"/>
    </row>
    <row r="136" spans="1:26" x14ac:dyDescent="0.3">
      <c r="A136" s="66">
        <f t="shared" si="14"/>
        <v>2002.8999999999883</v>
      </c>
      <c r="B136" s="67">
        <f>LOOKUP(A136+0.01,Amounts!$A$4:$A$103,Amounts!$B$4:$B$103)*0.1*$A$2</f>
        <v>3207.5887554890001</v>
      </c>
      <c r="C136" s="68">
        <f t="shared" si="13"/>
        <v>371291.12337424944</v>
      </c>
      <c r="D136" s="67">
        <f t="array" ref="D136">SUM($B$7:$B131*$F$1009*EXP(-$F$1009*($A136-$A$7:$A131)))*$F$1010</f>
        <v>48704297.349238969</v>
      </c>
      <c r="E136" s="67">
        <f t="shared" si="17"/>
        <v>92.850443277988859</v>
      </c>
      <c r="F136" s="70">
        <f t="shared" si="15"/>
        <v>5.6378789158394831</v>
      </c>
      <c r="G136" s="67">
        <f>E136/'Lookup Tables'!$C$48</f>
        <v>185.70088655597772</v>
      </c>
      <c r="H136" s="70">
        <f t="shared" si="18"/>
        <v>0.13143915896346359</v>
      </c>
      <c r="I136" s="71">
        <f t="shared" si="16"/>
        <v>0.26740927664060793</v>
      </c>
      <c r="L136" s="74"/>
      <c r="M136" s="74"/>
      <c r="N136" s="74"/>
      <c r="O136" s="74"/>
      <c r="P136" s="74"/>
      <c r="Q136" s="74"/>
      <c r="R136" s="74"/>
      <c r="S136" s="74"/>
      <c r="T136" s="74"/>
      <c r="U136" s="74"/>
      <c r="V136" s="74"/>
      <c r="W136" s="74"/>
      <c r="X136" s="74"/>
      <c r="Y136" s="74"/>
      <c r="Z136" s="74"/>
    </row>
    <row r="137" spans="1:26" x14ac:dyDescent="0.3">
      <c r="A137" s="66">
        <f t="shared" si="14"/>
        <v>2002.9999999999882</v>
      </c>
      <c r="B137" s="67">
        <f>LOOKUP(A137+0.01,Amounts!$A$4:$A$103,Amounts!$B$4:$B$103)*0.1*$A$2</f>
        <v>3271.7350867800001</v>
      </c>
      <c r="C137" s="68">
        <f t="shared" ref="C137:C200" si="19">C136+B137</f>
        <v>374562.85846102942</v>
      </c>
      <c r="D137" s="67">
        <f t="array" ref="D137">SUM($B$7:$B132*$F$1009*EXP(-$F$1009*($A137-$A$7:$A132)))*$F$1010</f>
        <v>49010565.502001218</v>
      </c>
      <c r="E137" s="67">
        <f t="shared" si="17"/>
        <v>93.434316473858914</v>
      </c>
      <c r="F137" s="70">
        <f t="shared" si="15"/>
        <v>5.6733316962927134</v>
      </c>
      <c r="G137" s="67">
        <f>E137/'Lookup Tables'!$C$48</f>
        <v>186.86863294771783</v>
      </c>
      <c r="H137" s="70">
        <f t="shared" si="18"/>
        <v>0.13111037474573761</v>
      </c>
      <c r="I137" s="71">
        <f t="shared" si="16"/>
        <v>0.26909083144471369</v>
      </c>
      <c r="L137" s="74"/>
      <c r="M137" s="74"/>
      <c r="N137" s="74"/>
      <c r="O137" s="74"/>
      <c r="P137" s="74"/>
      <c r="Q137" s="74"/>
      <c r="R137" s="74"/>
      <c r="S137" s="74"/>
      <c r="T137" s="74"/>
      <c r="U137" s="74"/>
      <c r="V137" s="74"/>
      <c r="W137" s="74"/>
      <c r="X137" s="74"/>
      <c r="Y137" s="74"/>
      <c r="Z137" s="74"/>
    </row>
    <row r="138" spans="1:26" x14ac:dyDescent="0.3">
      <c r="A138" s="66">
        <f t="shared" si="14"/>
        <v>2003.0999999999881</v>
      </c>
      <c r="B138" s="67">
        <f>LOOKUP(A138+0.01,Amounts!$A$4:$A$103,Amounts!$B$4:$B$103)*0.1*$A$2</f>
        <v>3271.7350867800001</v>
      </c>
      <c r="C138" s="68">
        <f t="shared" si="19"/>
        <v>377834.5935478094</v>
      </c>
      <c r="D138" s="67">
        <f t="array" ref="D138">SUM($B$7:$B133*$F$1009*EXP(-$F$1009*($A138-$A$7:$A133)))*$F$1010</f>
        <v>49314697.263786145</v>
      </c>
      <c r="E138" s="67">
        <f t="shared" si="17"/>
        <v>94.014116828931435</v>
      </c>
      <c r="F138" s="70">
        <f t="shared" si="15"/>
        <v>5.7085371738527169</v>
      </c>
      <c r="G138" s="67">
        <f>E138/'Lookup Tables'!$C$48</f>
        <v>188.02823365786287</v>
      </c>
      <c r="H138" s="70">
        <f t="shared" si="18"/>
        <v>0.13078161885945408</v>
      </c>
      <c r="I138" s="71">
        <f t="shared" si="16"/>
        <v>0.2707606564673225</v>
      </c>
      <c r="L138" s="74"/>
      <c r="M138" s="74"/>
      <c r="N138" s="74"/>
      <c r="O138" s="74"/>
      <c r="P138" s="74"/>
      <c r="Q138" s="74"/>
      <c r="R138" s="74"/>
      <c r="S138" s="74"/>
      <c r="T138" s="74"/>
      <c r="U138" s="74"/>
      <c r="V138" s="74"/>
      <c r="W138" s="74"/>
      <c r="X138" s="74"/>
      <c r="Y138" s="74"/>
      <c r="Z138" s="74"/>
    </row>
    <row r="139" spans="1:26" x14ac:dyDescent="0.3">
      <c r="A139" s="66">
        <f t="shared" si="14"/>
        <v>2003.199999999988</v>
      </c>
      <c r="B139" s="67">
        <f>LOOKUP(A139+0.01,Amounts!$A$4:$A$103,Amounts!$B$4:$B$103)*0.1*$A$2</f>
        <v>3271.7350867800001</v>
      </c>
      <c r="C139" s="68">
        <f t="shared" si="19"/>
        <v>381106.32863458939</v>
      </c>
      <c r="D139" s="67">
        <f t="array" ref="D139">SUM($B$7:$B134*$F$1009*EXP(-$F$1009*($A139-$A$7:$A134)))*$F$1010</f>
        <v>49616707.537110917</v>
      </c>
      <c r="E139" s="67">
        <f t="shared" si="17"/>
        <v>94.58987275353978</v>
      </c>
      <c r="F139" s="70">
        <f t="shared" si="15"/>
        <v>5.7434970735949351</v>
      </c>
      <c r="G139" s="67">
        <f>E139/'Lookup Tables'!$C$48</f>
        <v>189.17974550707956</v>
      </c>
      <c r="H139" s="70">
        <f t="shared" si="18"/>
        <v>0.13045292975685377</v>
      </c>
      <c r="I139" s="71">
        <f t="shared" si="16"/>
        <v>0.27241883353019458</v>
      </c>
      <c r="L139" s="74"/>
      <c r="M139" s="74"/>
      <c r="N139" s="74"/>
      <c r="O139" s="74"/>
      <c r="P139" s="74"/>
      <c r="Q139" s="74"/>
      <c r="R139" s="74"/>
      <c r="S139" s="74"/>
      <c r="T139" s="74"/>
      <c r="U139" s="74"/>
      <c r="V139" s="74"/>
      <c r="W139" s="74"/>
      <c r="X139" s="74"/>
      <c r="Y139" s="74"/>
      <c r="Z139" s="74"/>
    </row>
    <row r="140" spans="1:26" x14ac:dyDescent="0.3">
      <c r="A140" s="66">
        <f t="shared" si="14"/>
        <v>2003.2999999999879</v>
      </c>
      <c r="B140" s="67">
        <f>LOOKUP(A140+0.01,Amounts!$A$4:$A$103,Amounts!$B$4:$B$103)*0.1*$A$2</f>
        <v>3271.7350867800001</v>
      </c>
      <c r="C140" s="68">
        <f t="shared" si="19"/>
        <v>384378.06372136937</v>
      </c>
      <c r="D140" s="67">
        <f t="array" ref="D140">SUM($B$7:$B135*$F$1009*EXP(-$F$1009*($A140-$A$7:$A135)))*$F$1010</f>
        <v>49916611.120539367</v>
      </c>
      <c r="E140" s="67">
        <f t="shared" si="17"/>
        <v>95.161612459839532</v>
      </c>
      <c r="F140" s="70">
        <f t="shared" si="15"/>
        <v>5.7782131085614559</v>
      </c>
      <c r="G140" s="67">
        <f>E140/'Lookup Tables'!$C$48</f>
        <v>190.32322491967906</v>
      </c>
      <c r="H140" s="70">
        <f t="shared" si="18"/>
        <v>0.13012434431000278</v>
      </c>
      <c r="I140" s="71">
        <f t="shared" si="16"/>
        <v>0.27406544388433784</v>
      </c>
      <c r="L140" s="74"/>
      <c r="M140" s="74"/>
      <c r="N140" s="74"/>
      <c r="O140" s="74"/>
      <c r="P140" s="74"/>
      <c r="Q140" s="74"/>
      <c r="R140" s="74"/>
      <c r="S140" s="74"/>
      <c r="T140" s="74"/>
      <c r="U140" s="74"/>
      <c r="V140" s="74"/>
      <c r="W140" s="74"/>
      <c r="X140" s="74"/>
      <c r="Y140" s="74"/>
      <c r="Z140" s="74"/>
    </row>
    <row r="141" spans="1:26" x14ac:dyDescent="0.3">
      <c r="A141" s="66">
        <f t="shared" si="14"/>
        <v>2003.3999999999878</v>
      </c>
      <c r="B141" s="67">
        <f>LOOKUP(A141+0.01,Amounts!$A$4:$A$103,Amounts!$B$4:$B$103)*0.1*$A$2</f>
        <v>3271.7350867800001</v>
      </c>
      <c r="C141" s="68">
        <f t="shared" si="19"/>
        <v>387649.79880814935</v>
      </c>
      <c r="D141" s="67">
        <f t="array" ref="D141">SUM($B$7:$B136*$F$1009*EXP(-$F$1009*($A141-$A$7:$A136)))*$F$1010</f>
        <v>50214422.709407091</v>
      </c>
      <c r="E141" s="67">
        <f t="shared" si="17"/>
        <v>95.72936396319065</v>
      </c>
      <c r="F141" s="70">
        <f t="shared" si="15"/>
        <v>5.8126869798449361</v>
      </c>
      <c r="G141" s="67">
        <f>E141/'Lookup Tables'!$C$48</f>
        <v>191.4587279263813</v>
      </c>
      <c r="H141" s="70">
        <f t="shared" si="18"/>
        <v>0.12979589787934967</v>
      </c>
      <c r="I141" s="71">
        <f t="shared" si="16"/>
        <v>0.27570056821398903</v>
      </c>
      <c r="L141" s="74"/>
      <c r="M141" s="74"/>
      <c r="N141" s="74"/>
      <c r="O141" s="74"/>
      <c r="P141" s="74"/>
      <c r="Q141" s="74"/>
      <c r="R141" s="74"/>
      <c r="S141" s="74"/>
      <c r="T141" s="74"/>
      <c r="U141" s="74"/>
      <c r="V141" s="74"/>
      <c r="W141" s="74"/>
      <c r="X141" s="74"/>
      <c r="Y141" s="74"/>
      <c r="Z141" s="74"/>
    </row>
    <row r="142" spans="1:26" x14ac:dyDescent="0.3">
      <c r="A142" s="66">
        <f t="shared" si="14"/>
        <v>2003.4999999999877</v>
      </c>
      <c r="B142" s="67">
        <f>LOOKUP(A142+0.01,Amounts!$A$4:$A$103,Amounts!$B$4:$B$103)*0.1*$A$2</f>
        <v>3271.7350867800001</v>
      </c>
      <c r="C142" s="68">
        <f t="shared" si="19"/>
        <v>390921.53389492934</v>
      </c>
      <c r="D142" s="67">
        <f t="array" ref="D142">SUM($B$7:$B137*$F$1009*EXP(-$F$1009*($A142-$A$7:$A137)))*$F$1010</f>
        <v>50523075.95532383</v>
      </c>
      <c r="E142" s="67">
        <f t="shared" si="17"/>
        <v>96.317784128603563</v>
      </c>
      <c r="F142" s="70">
        <f t="shared" si="15"/>
        <v>5.8484158522888086</v>
      </c>
      <c r="G142" s="67">
        <f>E142/'Lookup Tables'!$C$48</f>
        <v>192.63556825720713</v>
      </c>
      <c r="H142" s="70">
        <f t="shared" si="18"/>
        <v>0.12950073850779673</v>
      </c>
      <c r="I142" s="71">
        <f t="shared" si="16"/>
        <v>0.27739521829037828</v>
      </c>
      <c r="L142" s="74"/>
      <c r="M142" s="74"/>
      <c r="N142" s="74"/>
      <c r="O142" s="74"/>
      <c r="P142" s="74"/>
      <c r="Q142" s="74"/>
      <c r="R142" s="74"/>
      <c r="S142" s="74"/>
      <c r="T142" s="74"/>
      <c r="U142" s="74"/>
      <c r="V142" s="74"/>
      <c r="W142" s="74"/>
      <c r="X142" s="74"/>
      <c r="Y142" s="74"/>
      <c r="Z142" s="74"/>
    </row>
    <row r="143" spans="1:26" x14ac:dyDescent="0.3">
      <c r="A143" s="66">
        <f t="shared" si="14"/>
        <v>2003.5999999999876</v>
      </c>
      <c r="B143" s="67">
        <f>LOOKUP(A143+0.01,Amounts!$A$4:$A$103,Amounts!$B$4:$B$103)*0.1*$A$2</f>
        <v>3271.7350867800001</v>
      </c>
      <c r="C143" s="68">
        <f t="shared" si="19"/>
        <v>394193.26898170932</v>
      </c>
      <c r="D143" s="67">
        <f t="array" ref="D143">SUM($B$7:$B138*$F$1009*EXP(-$F$1009*($A143-$A$7:$A138)))*$F$1010</f>
        <v>50829576.172909841</v>
      </c>
      <c r="E143" s="67">
        <f t="shared" si="17"/>
        <v>96.902099735573415</v>
      </c>
      <c r="F143" s="70">
        <f t="shared" si="15"/>
        <v>5.8838954959440182</v>
      </c>
      <c r="G143" s="67">
        <f>E143/'Lookup Tables'!$C$48</f>
        <v>193.80419947114683</v>
      </c>
      <c r="H143" s="70">
        <f t="shared" si="18"/>
        <v>0.12920500584037278</v>
      </c>
      <c r="I143" s="71">
        <f t="shared" si="16"/>
        <v>0.27907804723845142</v>
      </c>
      <c r="L143" s="74"/>
      <c r="M143" s="74"/>
      <c r="N143" s="74"/>
      <c r="O143" s="74"/>
      <c r="P143" s="74"/>
      <c r="Q143" s="74"/>
      <c r="R143" s="74"/>
      <c r="S143" s="74"/>
      <c r="T143" s="74"/>
      <c r="U143" s="74"/>
      <c r="V143" s="74"/>
      <c r="W143" s="74"/>
      <c r="X143" s="74"/>
      <c r="Y143" s="74"/>
      <c r="Z143" s="74"/>
    </row>
    <row r="144" spans="1:26" x14ac:dyDescent="0.3">
      <c r="A144" s="66">
        <f t="shared" si="14"/>
        <v>2003.6999999999875</v>
      </c>
      <c r="B144" s="67">
        <f>LOOKUP(A144+0.01,Amounts!$A$4:$A$103,Amounts!$B$4:$B$103)*0.1*$A$2</f>
        <v>3271.7350867800001</v>
      </c>
      <c r="C144" s="68">
        <f t="shared" si="19"/>
        <v>397465.0040684893</v>
      </c>
      <c r="D144" s="67">
        <f t="array" ref="D144">SUM($B$7:$B139*$F$1009*EXP(-$F$1009*($A144-$A$7:$A139)))*$F$1010</f>
        <v>51133938.380737096</v>
      </c>
      <c r="E144" s="67">
        <f t="shared" si="17"/>
        <v>97.482339415681849</v>
      </c>
      <c r="F144" s="70">
        <f t="shared" si="15"/>
        <v>5.9191276493202007</v>
      </c>
      <c r="G144" s="67">
        <f>E144/'Lookup Tables'!$C$48</f>
        <v>194.9646788313637</v>
      </c>
      <c r="H144" s="70">
        <f t="shared" si="18"/>
        <v>0.12890875189618833</v>
      </c>
      <c r="I144" s="71">
        <f t="shared" si="16"/>
        <v>0.28074913751716368</v>
      </c>
      <c r="L144" s="74"/>
      <c r="M144" s="74"/>
      <c r="N144" s="74"/>
      <c r="O144" s="74"/>
      <c r="P144" s="74"/>
      <c r="Q144" s="74"/>
      <c r="R144" s="74"/>
      <c r="S144" s="74"/>
      <c r="T144" s="74"/>
      <c r="U144" s="74"/>
      <c r="V144" s="74"/>
      <c r="W144" s="74"/>
      <c r="X144" s="74"/>
      <c r="Y144" s="74"/>
      <c r="Z144" s="74"/>
    </row>
    <row r="145" spans="1:26" x14ac:dyDescent="0.3">
      <c r="A145" s="66">
        <f t="shared" si="14"/>
        <v>2003.7999999999874</v>
      </c>
      <c r="B145" s="67">
        <f>LOOKUP(A145+0.01,Amounts!$A$4:$A$103,Amounts!$B$4:$B$103)*0.1*$A$2</f>
        <v>3271.7350867800001</v>
      </c>
      <c r="C145" s="68">
        <f t="shared" si="19"/>
        <v>400736.73915526929</v>
      </c>
      <c r="D145" s="67">
        <f t="array" ref="D145">SUM($B$7:$B140*$F$1009*EXP(-$F$1009*($A145-$A$7:$A140)))*$F$1010</f>
        <v>51436177.492614694</v>
      </c>
      <c r="E145" s="67">
        <f t="shared" si="17"/>
        <v>98.058531600789294</v>
      </c>
      <c r="F145" s="70">
        <f t="shared" si="15"/>
        <v>5.9541140387999256</v>
      </c>
      <c r="G145" s="67">
        <f>E145/'Lookup Tables'!$C$48</f>
        <v>196.11706320157859</v>
      </c>
      <c r="H145" s="70">
        <f t="shared" si="18"/>
        <v>0.12861202673360417</v>
      </c>
      <c r="I145" s="71">
        <f t="shared" si="16"/>
        <v>0.28240857101027317</v>
      </c>
      <c r="L145" s="74"/>
      <c r="M145" s="74"/>
      <c r="N145" s="74"/>
      <c r="O145" s="74"/>
      <c r="P145" s="74"/>
      <c r="Q145" s="74"/>
      <c r="R145" s="74"/>
      <c r="S145" s="74"/>
      <c r="T145" s="74"/>
      <c r="U145" s="74"/>
      <c r="V145" s="74"/>
      <c r="W145" s="74"/>
      <c r="X145" s="74"/>
      <c r="Y145" s="74"/>
      <c r="Z145" s="74"/>
    </row>
    <row r="146" spans="1:26" x14ac:dyDescent="0.3">
      <c r="A146" s="66">
        <f t="shared" si="14"/>
        <v>2003.8999999999874</v>
      </c>
      <c r="B146" s="67">
        <f>LOOKUP(A146+0.01,Amounts!$A$4:$A$103,Amounts!$B$4:$B$103)*0.1*$A$2</f>
        <v>3271.7350867800001</v>
      </c>
      <c r="C146" s="68">
        <f t="shared" si="19"/>
        <v>404008.47424204927</v>
      </c>
      <c r="D146" s="67">
        <f t="array" ref="D146">SUM($B$7:$B141*$F$1009*EXP(-$F$1009*($A146-$A$7:$A141)))*$F$1010</f>
        <v>51736308.318319581</v>
      </c>
      <c r="E146" s="67">
        <f t="shared" si="17"/>
        <v>98.630704524428097</v>
      </c>
      <c r="F146" s="70">
        <f t="shared" si="15"/>
        <v>5.9888563787232751</v>
      </c>
      <c r="G146" s="67">
        <f>E146/'Lookup Tables'!$C$48</f>
        <v>197.26140904885619</v>
      </c>
      <c r="H146" s="70">
        <f t="shared" si="18"/>
        <v>0.12831487853143617</v>
      </c>
      <c r="I146" s="71">
        <f t="shared" si="16"/>
        <v>0.284056429030353</v>
      </c>
      <c r="L146" s="74"/>
      <c r="M146" s="74"/>
      <c r="N146" s="74"/>
      <c r="O146" s="74"/>
      <c r="P146" s="74"/>
      <c r="Q146" s="74"/>
      <c r="R146" s="74"/>
      <c r="S146" s="74"/>
      <c r="T146" s="74"/>
      <c r="U146" s="74"/>
      <c r="V146" s="74"/>
      <c r="W146" s="74"/>
      <c r="X146" s="74"/>
      <c r="Y146" s="74"/>
      <c r="Z146" s="74"/>
    </row>
    <row r="147" spans="1:26" x14ac:dyDescent="0.3">
      <c r="A147" s="66">
        <f t="shared" ref="A147:A210" si="20">A146+0.1</f>
        <v>2003.9999999999873</v>
      </c>
      <c r="B147" s="67">
        <f>LOOKUP(A147+0.01,Amounts!$A$4:$A$103,Amounts!$B$4:$B$103)*0.1*$A$2</f>
        <v>3337.1516424530005</v>
      </c>
      <c r="C147" s="68">
        <f t="shared" si="19"/>
        <v>407345.62588450225</v>
      </c>
      <c r="D147" s="67">
        <f t="array" ref="D147">SUM($B$7:$B142*$F$1009*EXP(-$F$1009*($A147-$A$7:$A142)))*$F$1010</f>
        <v>52034345.564322278</v>
      </c>
      <c r="E147" s="67">
        <f t="shared" si="17"/>
        <v>99.198886223186008</v>
      </c>
      <c r="F147" s="70">
        <f t="shared" ref="F147:F210" si="21">E147*60*1012/1000000</f>
        <v>6.0233563714718539</v>
      </c>
      <c r="G147" s="67">
        <f>E147/'Lookup Tables'!$C$48</f>
        <v>198.39777244637202</v>
      </c>
      <c r="H147" s="70">
        <f t="shared" si="18"/>
        <v>0.1279967950697718</v>
      </c>
      <c r="I147" s="71">
        <f t="shared" ref="I147:I210" si="22">G147*60*24/1000000</f>
        <v>0.28569279232277572</v>
      </c>
      <c r="L147" s="74"/>
      <c r="M147" s="74"/>
      <c r="N147" s="74"/>
      <c r="O147" s="74"/>
      <c r="P147" s="74"/>
      <c r="Q147" s="74"/>
      <c r="R147" s="74"/>
      <c r="S147" s="74"/>
      <c r="T147" s="74"/>
      <c r="U147" s="74"/>
      <c r="V147" s="74"/>
      <c r="W147" s="74"/>
      <c r="X147" s="74"/>
      <c r="Y147" s="74"/>
      <c r="Z147" s="74"/>
    </row>
    <row r="148" spans="1:26" x14ac:dyDescent="0.3">
      <c r="A148" s="66">
        <f t="shared" si="20"/>
        <v>2004.0999999999872</v>
      </c>
      <c r="B148" s="67">
        <f>LOOKUP(A148+0.01,Amounts!$A$4:$A$103,Amounts!$B$4:$B$103)*0.1*$A$2</f>
        <v>3337.1516424530005</v>
      </c>
      <c r="C148" s="68">
        <f t="shared" si="19"/>
        <v>410682.77752695524</v>
      </c>
      <c r="D148" s="67">
        <f t="array" ref="D148">SUM($B$7:$B143*$F$1009*EXP(-$F$1009*($A148-$A$7:$A143)))*$F$1010</f>
        <v>52330303.834507458</v>
      </c>
      <c r="E148" s="67">
        <f t="shared" si="17"/>
        <v>99.763104538079958</v>
      </c>
      <c r="F148" s="70">
        <f t="shared" si="21"/>
        <v>6.0576157075522152</v>
      </c>
      <c r="G148" s="67">
        <f>E148/'Lookup Tables'!$C$48</f>
        <v>199.52620907615992</v>
      </c>
      <c r="H148" s="70">
        <f t="shared" si="18"/>
        <v>0.12767880859521363</v>
      </c>
      <c r="I148" s="71">
        <f t="shared" si="22"/>
        <v>0.28731774106967028</v>
      </c>
      <c r="L148" s="74"/>
      <c r="M148" s="74"/>
      <c r="N148" s="74"/>
      <c r="O148" s="74"/>
      <c r="P148" s="74"/>
      <c r="Q148" s="74"/>
      <c r="R148" s="74"/>
      <c r="S148" s="74"/>
      <c r="T148" s="74"/>
      <c r="U148" s="74"/>
      <c r="V148" s="74"/>
      <c r="W148" s="74"/>
      <c r="X148" s="74"/>
      <c r="Y148" s="74"/>
      <c r="Z148" s="74"/>
    </row>
    <row r="149" spans="1:26" x14ac:dyDescent="0.3">
      <c r="A149" s="66">
        <f t="shared" si="20"/>
        <v>2004.1999999999871</v>
      </c>
      <c r="B149" s="67">
        <f>LOOKUP(A149+0.01,Amounts!$A$4:$A$103,Amounts!$B$4:$B$103)*0.1*$A$2</f>
        <v>3337.1516424530005</v>
      </c>
      <c r="C149" s="68">
        <f t="shared" si="19"/>
        <v>414019.92916940822</v>
      </c>
      <c r="D149" s="67">
        <f t="array" ref="D149">SUM($B$7:$B144*$F$1009*EXP(-$F$1009*($A149-$A$7:$A144)))*$F$1010</f>
        <v>52624197.630889572</v>
      </c>
      <c r="E149" s="67">
        <f t="shared" si="17"/>
        <v>100.32338711592021</v>
      </c>
      <c r="F149" s="70">
        <f t="shared" si="21"/>
        <v>6.0916360656786743</v>
      </c>
      <c r="G149" s="67">
        <f>E149/'Lookup Tables'!$C$48</f>
        <v>200.64677423184042</v>
      </c>
      <c r="H149" s="70">
        <f t="shared" si="18"/>
        <v>0.12736095186024651</v>
      </c>
      <c r="I149" s="71">
        <f t="shared" si="22"/>
        <v>0.28893135489385025</v>
      </c>
      <c r="L149" s="74"/>
      <c r="M149" s="74"/>
      <c r="N149" s="74"/>
      <c r="O149" s="74"/>
      <c r="P149" s="74"/>
      <c r="Q149" s="74"/>
      <c r="R149" s="74"/>
      <c r="S149" s="74"/>
      <c r="T149" s="74"/>
      <c r="U149" s="74"/>
      <c r="V149" s="74"/>
      <c r="W149" s="74"/>
      <c r="X149" s="74"/>
      <c r="Y149" s="74"/>
      <c r="Z149" s="74"/>
    </row>
    <row r="150" spans="1:26" x14ac:dyDescent="0.3">
      <c r="A150" s="66">
        <f t="shared" si="20"/>
        <v>2004.299999999987</v>
      </c>
      <c r="B150" s="67">
        <f>LOOKUP(A150+0.01,Amounts!$A$4:$A$103,Amounts!$B$4:$B$103)*0.1*$A$2</f>
        <v>3337.1516424530005</v>
      </c>
      <c r="C150" s="68">
        <f t="shared" si="19"/>
        <v>417357.0808118612</v>
      </c>
      <c r="D150" s="67">
        <f t="array" ref="D150">SUM($B$7:$B145*$F$1009*EXP(-$F$1009*($A150-$A$7:$A145)))*$F$1010</f>
        <v>52916041.354323469</v>
      </c>
      <c r="E150" s="67">
        <f t="shared" si="17"/>
        <v>100.87976141066527</v>
      </c>
      <c r="F150" s="70">
        <f t="shared" si="21"/>
        <v>6.1254191128555959</v>
      </c>
      <c r="G150" s="67">
        <f>E150/'Lookup Tables'!$C$48</f>
        <v>201.75952282133053</v>
      </c>
      <c r="H150" s="70">
        <f t="shared" si="18"/>
        <v>0.12704325632694233</v>
      </c>
      <c r="I150" s="71">
        <f t="shared" si="22"/>
        <v>0.29053371286271601</v>
      </c>
      <c r="L150" s="74"/>
      <c r="M150" s="74"/>
      <c r="N150" s="74"/>
      <c r="O150" s="74"/>
      <c r="P150" s="74"/>
      <c r="Q150" s="74"/>
      <c r="R150" s="74"/>
      <c r="S150" s="74"/>
      <c r="T150" s="74"/>
      <c r="U150" s="74"/>
      <c r="V150" s="74"/>
      <c r="W150" s="74"/>
      <c r="X150" s="74"/>
      <c r="Y150" s="74"/>
      <c r="Z150" s="74"/>
    </row>
    <row r="151" spans="1:26" x14ac:dyDescent="0.3">
      <c r="A151" s="66">
        <f t="shared" si="20"/>
        <v>2004.3999999999869</v>
      </c>
      <c r="B151" s="67">
        <f>LOOKUP(A151+0.01,Amounts!$A$4:$A$103,Amounts!$B$4:$B$103)*0.1*$A$2</f>
        <v>3337.1516424530005</v>
      </c>
      <c r="C151" s="68">
        <f t="shared" si="19"/>
        <v>420694.23245431419</v>
      </c>
      <c r="D151" s="67">
        <f t="array" ref="D151">SUM($B$7:$B146*$F$1009*EXP(-$F$1009*($A151-$A$7:$A146)))*$F$1010</f>
        <v>53205849.305209987</v>
      </c>
      <c r="E151" s="67">
        <f t="shared" si="17"/>
        <v>101.43225468476686</v>
      </c>
      <c r="F151" s="70">
        <f t="shared" si="21"/>
        <v>6.1589665044590438</v>
      </c>
      <c r="G151" s="67">
        <f>E151/'Lookup Tables'!$C$48</f>
        <v>202.86450936953372</v>
      </c>
      <c r="H151" s="70">
        <f t="shared" si="18"/>
        <v>0.12672575221982166</v>
      </c>
      <c r="I151" s="71">
        <f t="shared" si="22"/>
        <v>0.29212489349212856</v>
      </c>
      <c r="L151" s="74"/>
      <c r="M151" s="74"/>
      <c r="N151" s="74"/>
      <c r="O151" s="74"/>
      <c r="P151" s="74"/>
      <c r="Q151" s="74"/>
      <c r="R151" s="74"/>
      <c r="S151" s="74"/>
      <c r="T151" s="74"/>
      <c r="U151" s="74"/>
      <c r="V151" s="74"/>
      <c r="W151" s="74"/>
      <c r="X151" s="74"/>
      <c r="Y151" s="74"/>
      <c r="Z151" s="74"/>
    </row>
    <row r="152" spans="1:26" x14ac:dyDescent="0.3">
      <c r="A152" s="66">
        <f t="shared" si="20"/>
        <v>2004.4999999999868</v>
      </c>
      <c r="B152" s="67">
        <f>LOOKUP(A152+0.01,Amounts!$A$4:$A$103,Amounts!$B$4:$B$103)*0.1*$A$2</f>
        <v>3337.1516424530005</v>
      </c>
      <c r="C152" s="68">
        <f t="shared" si="19"/>
        <v>424031.38409676717</v>
      </c>
      <c r="D152" s="67">
        <f t="array" ref="D152">SUM($B$7:$B147*$F$1009*EXP(-$F$1009*($A152-$A$7:$A147)))*$F$1010</f>
        <v>53506810.565925196</v>
      </c>
      <c r="E152" s="67">
        <f t="shared" si="17"/>
        <v>102.00601075944199</v>
      </c>
      <c r="F152" s="70">
        <f t="shared" si="21"/>
        <v>6.193804973313318</v>
      </c>
      <c r="G152" s="67">
        <f>E152/'Lookup Tables'!$C$48</f>
        <v>204.01202151888398</v>
      </c>
      <c r="H152" s="70">
        <f t="shared" si="18"/>
        <v>0.12643960156243411</v>
      </c>
      <c r="I152" s="71">
        <f t="shared" si="22"/>
        <v>0.2937773109871929</v>
      </c>
      <c r="L152" s="74"/>
      <c r="M152" s="74"/>
      <c r="N152" s="74"/>
      <c r="O152" s="74"/>
      <c r="P152" s="74"/>
      <c r="Q152" s="74"/>
      <c r="R152" s="74"/>
      <c r="S152" s="74"/>
      <c r="T152" s="74"/>
      <c r="U152" s="74"/>
      <c r="V152" s="74"/>
      <c r="W152" s="74"/>
      <c r="X152" s="74"/>
      <c r="Y152" s="74"/>
      <c r="Z152" s="74"/>
    </row>
    <row r="153" spans="1:26" x14ac:dyDescent="0.3">
      <c r="A153" s="66">
        <f t="shared" si="20"/>
        <v>2004.5999999999867</v>
      </c>
      <c r="B153" s="67">
        <f>LOOKUP(A153+0.01,Amounts!$A$4:$A$103,Amounts!$B$4:$B$103)*0.1*$A$2</f>
        <v>3337.1516424530005</v>
      </c>
      <c r="C153" s="68">
        <f t="shared" si="19"/>
        <v>427368.53573922015</v>
      </c>
      <c r="D153" s="67">
        <f t="array" ref="D153">SUM($B$7:$B148*$F$1009*EXP(-$F$1009*($A153-$A$7:$A148)))*$F$1010</f>
        <v>53805672.454191364</v>
      </c>
      <c r="E153" s="67">
        <f t="shared" si="17"/>
        <v>102.57576456587574</v>
      </c>
      <c r="F153" s="70">
        <f t="shared" si="21"/>
        <v>6.2284004244399753</v>
      </c>
      <c r="G153" s="67">
        <f>E153/'Lookup Tables'!$C$48</f>
        <v>205.15152913175149</v>
      </c>
      <c r="H153" s="70">
        <f t="shared" si="18"/>
        <v>0.12615299758221427</v>
      </c>
      <c r="I153" s="71">
        <f t="shared" si="22"/>
        <v>0.29541820194972213</v>
      </c>
      <c r="L153" s="74"/>
      <c r="M153" s="74"/>
      <c r="N153" s="74"/>
      <c r="O153" s="74"/>
      <c r="P153" s="74"/>
      <c r="Q153" s="74"/>
      <c r="R153" s="74"/>
      <c r="S153" s="74"/>
      <c r="T153" s="74"/>
      <c r="U153" s="74"/>
      <c r="V153" s="74"/>
      <c r="W153" s="74"/>
      <c r="X153" s="74"/>
      <c r="Y153" s="74"/>
      <c r="Z153" s="74"/>
    </row>
    <row r="154" spans="1:26" x14ac:dyDescent="0.3">
      <c r="A154" s="66">
        <f t="shared" si="20"/>
        <v>2004.6999999999866</v>
      </c>
      <c r="B154" s="67">
        <f>LOOKUP(A154+0.01,Amounts!$A$4:$A$103,Amounts!$B$4:$B$103)*0.1*$A$2</f>
        <v>3337.1516424530005</v>
      </c>
      <c r="C154" s="68">
        <f t="shared" si="19"/>
        <v>430705.68738167314</v>
      </c>
      <c r="D154" s="67">
        <f t="array" ref="D154">SUM($B$7:$B149*$F$1009*EXP(-$F$1009*($A154-$A$7:$A149)))*$F$1010</f>
        <v>54102449.614300877</v>
      </c>
      <c r="E154" s="67">
        <f t="shared" si="17"/>
        <v>103.14154402211877</v>
      </c>
      <c r="F154" s="70">
        <f t="shared" si="21"/>
        <v>6.2627545530230515</v>
      </c>
      <c r="G154" s="67">
        <f>E154/'Lookup Tables'!$C$48</f>
        <v>206.28308804423753</v>
      </c>
      <c r="H154" s="70">
        <f t="shared" si="18"/>
        <v>0.12586598488537246</v>
      </c>
      <c r="I154" s="71">
        <f t="shared" si="22"/>
        <v>0.2970476467837021</v>
      </c>
      <c r="L154" s="74"/>
      <c r="M154" s="74"/>
      <c r="N154" s="74"/>
      <c r="O154" s="74"/>
      <c r="P154" s="74"/>
      <c r="Q154" s="74"/>
      <c r="R154" s="74"/>
      <c r="S154" s="74"/>
      <c r="T154" s="74"/>
      <c r="U154" s="74"/>
      <c r="V154" s="74"/>
      <c r="W154" s="74"/>
      <c r="X154" s="74"/>
      <c r="Y154" s="74"/>
      <c r="Z154" s="74"/>
    </row>
    <row r="155" spans="1:26" x14ac:dyDescent="0.3">
      <c r="A155" s="66">
        <f t="shared" si="20"/>
        <v>2004.7999999999865</v>
      </c>
      <c r="B155" s="67">
        <f>LOOKUP(A155+0.01,Amounts!$A$4:$A$103,Amounts!$B$4:$B$103)*0.1*$A$2</f>
        <v>3337.1516424530005</v>
      </c>
      <c r="C155" s="68">
        <f t="shared" si="19"/>
        <v>434042.83902412612</v>
      </c>
      <c r="D155" s="67">
        <f t="array" ref="D155">SUM($B$7:$B150*$F$1009*EXP(-$F$1009*($A155-$A$7:$A150)))*$F$1010</f>
        <v>54397156.588393927</v>
      </c>
      <c r="E155" s="67">
        <f t="shared" si="17"/>
        <v>103.70337685147756</v>
      </c>
      <c r="F155" s="70">
        <f t="shared" si="21"/>
        <v>6.2968690424217169</v>
      </c>
      <c r="G155" s="67">
        <f>E155/'Lookup Tables'!$C$48</f>
        <v>207.40675370295511</v>
      </c>
      <c r="H155" s="70">
        <f t="shared" si="18"/>
        <v>0.12557860647047073</v>
      </c>
      <c r="I155" s="71">
        <f t="shared" si="22"/>
        <v>0.29866572533225538</v>
      </c>
      <c r="L155" s="74"/>
      <c r="M155" s="74"/>
      <c r="N155" s="74"/>
      <c r="O155" s="74"/>
      <c r="P155" s="74"/>
      <c r="Q155" s="74"/>
      <c r="R155" s="74"/>
      <c r="S155" s="74"/>
      <c r="T155" s="74"/>
      <c r="U155" s="74"/>
      <c r="V155" s="74"/>
      <c r="W155" s="74"/>
      <c r="X155" s="74"/>
      <c r="Y155" s="74"/>
      <c r="Z155" s="74"/>
    </row>
    <row r="156" spans="1:26" x14ac:dyDescent="0.3">
      <c r="A156" s="66">
        <f t="shared" si="20"/>
        <v>2004.8999999999864</v>
      </c>
      <c r="B156" s="67">
        <f>LOOKUP(A156+0.01,Amounts!$A$4:$A$103,Amounts!$B$4:$B$103)*0.1*$A$2</f>
        <v>3337.1516424530005</v>
      </c>
      <c r="C156" s="68">
        <f t="shared" si="19"/>
        <v>437379.99066657911</v>
      </c>
      <c r="D156" s="67">
        <f t="array" ref="D156">SUM($B$7:$B151*$F$1009*EXP(-$F$1009*($A156-$A$7:$A151)))*$F$1010</f>
        <v>54689807.817171238</v>
      </c>
      <c r="E156" s="67">
        <f t="shared" si="17"/>
        <v>104.2612905838732</v>
      </c>
      <c r="F156" s="70">
        <f t="shared" si="21"/>
        <v>6.3307455642527808</v>
      </c>
      <c r="G156" s="67">
        <f>E156/'Lookup Tables'!$C$48</f>
        <v>208.52258116774641</v>
      </c>
      <c r="H156" s="70">
        <f t="shared" si="18"/>
        <v>0.12529090379138622</v>
      </c>
      <c r="I156" s="71">
        <f t="shared" si="22"/>
        <v>0.30027251688155487</v>
      </c>
      <c r="L156" s="74"/>
      <c r="M156" s="74"/>
      <c r="N156" s="74"/>
      <c r="O156" s="74"/>
      <c r="P156" s="74"/>
      <c r="Q156" s="74"/>
      <c r="R156" s="74"/>
      <c r="S156" s="74"/>
      <c r="T156" s="74"/>
      <c r="U156" s="74"/>
      <c r="V156" s="74"/>
      <c r="W156" s="74"/>
      <c r="X156" s="74"/>
      <c r="Y156" s="74"/>
      <c r="Z156" s="74"/>
    </row>
    <row r="157" spans="1:26" x14ac:dyDescent="0.3">
      <c r="A157" s="66">
        <f t="shared" si="20"/>
        <v>2004.9999999999864</v>
      </c>
      <c r="B157" s="67">
        <f>LOOKUP(A157+0.01,Amounts!$A$4:$A$103,Amounts!$B$4:$B$103)*0.1*$A$2</f>
        <v>3403.9291528210001</v>
      </c>
      <c r="C157" s="68">
        <f t="shared" si="19"/>
        <v>440783.91981940012</v>
      </c>
      <c r="D157" s="67">
        <f t="array" ref="D157">SUM($B$7:$B152*$F$1009*EXP(-$F$1009*($A157-$A$7:$A152)))*$F$1010</f>
        <v>54980417.640601553</v>
      </c>
      <c r="E157" s="67">
        <f t="shared" si="17"/>
        <v>104.81531255719018</v>
      </c>
      <c r="F157" s="70">
        <f t="shared" si="21"/>
        <v>6.3643857784725872</v>
      </c>
      <c r="G157" s="67">
        <f>E157/'Lookup Tables'!$C$48</f>
        <v>209.63062511438036</v>
      </c>
      <c r="H157" s="70">
        <f t="shared" si="18"/>
        <v>0.12498397923098294</v>
      </c>
      <c r="I157" s="71">
        <f t="shared" si="22"/>
        <v>0.30186810016470766</v>
      </c>
      <c r="L157" s="74"/>
      <c r="M157" s="74"/>
      <c r="N157" s="74"/>
      <c r="O157" s="74"/>
      <c r="P157" s="74"/>
      <c r="Q157" s="74"/>
      <c r="R157" s="74"/>
      <c r="S157" s="74"/>
      <c r="T157" s="74"/>
      <c r="U157" s="74"/>
      <c r="V157" s="74"/>
      <c r="W157" s="74"/>
      <c r="X157" s="74"/>
      <c r="Y157" s="74"/>
      <c r="Z157" s="74"/>
    </row>
    <row r="158" spans="1:26" x14ac:dyDescent="0.3">
      <c r="A158" s="66">
        <f t="shared" si="20"/>
        <v>2005.0999999999863</v>
      </c>
      <c r="B158" s="67">
        <f>LOOKUP(A158+0.01,Amounts!$A$4:$A$103,Amounts!$B$4:$B$103)*0.1*$A$2</f>
        <v>3403.9291528210001</v>
      </c>
      <c r="C158" s="68">
        <f t="shared" si="19"/>
        <v>444187.84897222114</v>
      </c>
      <c r="D158" s="67">
        <f t="array" ref="D158">SUM($B$7:$B153*$F$1009*EXP(-$F$1009*($A158-$A$7:$A153)))*$F$1010</f>
        <v>55269000.298624359</v>
      </c>
      <c r="E158" s="67">
        <f t="shared" si="17"/>
        <v>105.36546991861606</v>
      </c>
      <c r="F158" s="70">
        <f t="shared" si="21"/>
        <v>6.3977913334583665</v>
      </c>
      <c r="G158" s="67">
        <f>E158/'Lookup Tables'!$C$48</f>
        <v>210.73093983723211</v>
      </c>
      <c r="H158" s="70">
        <f t="shared" si="18"/>
        <v>0.12467718582884511</v>
      </c>
      <c r="I158" s="71">
        <f t="shared" si="22"/>
        <v>0.30345255336561427</v>
      </c>
      <c r="L158" s="74"/>
      <c r="M158" s="74"/>
      <c r="N158" s="74"/>
      <c r="O158" s="74"/>
      <c r="P158" s="74"/>
      <c r="Q158" s="74"/>
      <c r="R158" s="74"/>
      <c r="S158" s="74"/>
      <c r="T158" s="74"/>
      <c r="U158" s="74"/>
      <c r="V158" s="74"/>
      <c r="W158" s="74"/>
      <c r="X158" s="74"/>
      <c r="Y158" s="74"/>
      <c r="Z158" s="74"/>
    </row>
    <row r="159" spans="1:26" x14ac:dyDescent="0.3">
      <c r="A159" s="66">
        <f t="shared" si="20"/>
        <v>2005.1999999999862</v>
      </c>
      <c r="B159" s="67">
        <f>LOOKUP(A159+0.01,Amounts!$A$4:$A$103,Amounts!$B$4:$B$103)*0.1*$A$2</f>
        <v>3403.9291528210001</v>
      </c>
      <c r="C159" s="68">
        <f t="shared" si="19"/>
        <v>447591.77812504215</v>
      </c>
      <c r="D159" s="67">
        <f t="array" ref="D159">SUM($B$7:$B154*$F$1009*EXP(-$F$1009*($A159-$A$7:$A154)))*$F$1010</f>
        <v>55555569.931847647</v>
      </c>
      <c r="E159" s="67">
        <f t="shared" si="17"/>
        <v>105.91178962597158</v>
      </c>
      <c r="F159" s="70">
        <f t="shared" si="21"/>
        <v>6.4309638660889945</v>
      </c>
      <c r="G159" s="67">
        <f>E159/'Lookup Tables'!$C$48</f>
        <v>211.82357925194316</v>
      </c>
      <c r="H159" s="70">
        <f t="shared" si="18"/>
        <v>0.1243705522487482</v>
      </c>
      <c r="I159" s="71">
        <f t="shared" si="22"/>
        <v>0.30502595412279815</v>
      </c>
      <c r="L159" s="74"/>
      <c r="M159" s="74"/>
      <c r="N159" s="74"/>
      <c r="O159" s="74"/>
      <c r="P159" s="74"/>
      <c r="Q159" s="74"/>
      <c r="R159" s="74"/>
      <c r="S159" s="74"/>
      <c r="T159" s="74"/>
      <c r="U159" s="74"/>
      <c r="V159" s="74"/>
      <c r="W159" s="74"/>
      <c r="X159" s="74"/>
      <c r="Y159" s="74"/>
      <c r="Z159" s="74"/>
    </row>
    <row r="160" spans="1:26" x14ac:dyDescent="0.3">
      <c r="A160" s="66">
        <f t="shared" si="20"/>
        <v>2005.2999999999861</v>
      </c>
      <c r="B160" s="67">
        <f>LOOKUP(A160+0.01,Amounts!$A$4:$A$103,Amounts!$B$4:$B$103)*0.1*$A$2</f>
        <v>3403.9291528210001</v>
      </c>
      <c r="C160" s="68">
        <f t="shared" si="19"/>
        <v>450995.70727786317</v>
      </c>
      <c r="D160" s="67">
        <f t="array" ref="D160">SUM($B$7:$B155*$F$1009*EXP(-$F$1009*($A160-$A$7:$A155)))*$F$1010</f>
        <v>55840140.58224079</v>
      </c>
      <c r="E160" s="67">
        <f t="shared" si="17"/>
        <v>106.45429844903177</v>
      </c>
      <c r="F160" s="70">
        <f t="shared" si="21"/>
        <v>6.4639050018252089</v>
      </c>
      <c r="G160" s="67">
        <f>E160/'Lookup Tables'!$C$48</f>
        <v>212.90859689806354</v>
      </c>
      <c r="H160" s="70">
        <f t="shared" si="18"/>
        <v>0.12406410606994592</v>
      </c>
      <c r="I160" s="71">
        <f t="shared" si="22"/>
        <v>0.30658837953321144</v>
      </c>
      <c r="L160" s="74"/>
      <c r="M160" s="74"/>
      <c r="N160" s="74"/>
      <c r="O160" s="74"/>
      <c r="P160" s="74"/>
      <c r="Q160" s="74"/>
      <c r="R160" s="74"/>
      <c r="S160" s="74"/>
      <c r="T160" s="74"/>
      <c r="U160" s="74"/>
      <c r="V160" s="74"/>
      <c r="W160" s="74"/>
      <c r="X160" s="74"/>
      <c r="Y160" s="74"/>
      <c r="Z160" s="74"/>
    </row>
    <row r="161" spans="1:26" x14ac:dyDescent="0.3">
      <c r="A161" s="66">
        <f t="shared" si="20"/>
        <v>2005.399999999986</v>
      </c>
      <c r="B161" s="67">
        <f>LOOKUP(A161+0.01,Amounts!$A$4:$A$103,Amounts!$B$4:$B$103)*0.1*$A$2</f>
        <v>3403.9291528210001</v>
      </c>
      <c r="C161" s="68">
        <f t="shared" si="19"/>
        <v>454399.63643068419</v>
      </c>
      <c r="D161" s="67">
        <f t="array" ref="D161">SUM($B$7:$B156*$F$1009*EXP(-$F$1009*($A161-$A$7:$A156)))*$F$1010</f>
        <v>56122726.193822578</v>
      </c>
      <c r="E161" s="67">
        <f t="shared" si="17"/>
        <v>106.99302297083744</v>
      </c>
      <c r="F161" s="70">
        <f t="shared" si="21"/>
        <v>6.4966163547892499</v>
      </c>
      <c r="G161" s="67">
        <f>E161/'Lookup Tables'!$C$48</f>
        <v>213.98604594167489</v>
      </c>
      <c r="H161" s="70">
        <f t="shared" si="18"/>
        <v>0.12375787382930827</v>
      </c>
      <c r="I161" s="71">
        <f t="shared" si="22"/>
        <v>0.30813990615601183</v>
      </c>
      <c r="L161" s="74"/>
      <c r="M161" s="74"/>
      <c r="N161" s="74"/>
      <c r="O161" s="74"/>
      <c r="P161" s="74"/>
      <c r="Q161" s="74"/>
      <c r="R161" s="74"/>
      <c r="S161" s="74"/>
      <c r="T161" s="74"/>
      <c r="U161" s="74"/>
      <c r="V161" s="74"/>
      <c r="W161" s="74"/>
      <c r="X161" s="74"/>
      <c r="Y161" s="74"/>
      <c r="Z161" s="74"/>
    </row>
    <row r="162" spans="1:26" x14ac:dyDescent="0.3">
      <c r="A162" s="66">
        <f t="shared" si="20"/>
        <v>2005.4999999999859</v>
      </c>
      <c r="B162" s="67">
        <f>LOOKUP(A162+0.01,Amounts!$A$4:$A$103,Amounts!$B$4:$B$103)*0.1*$A$2</f>
        <v>3403.9291528210001</v>
      </c>
      <c r="C162" s="68">
        <f t="shared" si="19"/>
        <v>457803.5655835052</v>
      </c>
      <c r="D162" s="67">
        <f t="array" ref="D162">SUM($B$7:$B157*$F$1009*EXP(-$F$1009*($A162-$A$7:$A157)))*$F$1010</f>
        <v>56416789.591086797</v>
      </c>
      <c r="E162" s="67">
        <f t="shared" si="17"/>
        <v>107.55362887778708</v>
      </c>
      <c r="F162" s="70">
        <f t="shared" si="21"/>
        <v>6.5306563454592315</v>
      </c>
      <c r="G162" s="67">
        <f>E162/'Lookup Tables'!$C$48</f>
        <v>215.10725775557415</v>
      </c>
      <c r="H162" s="70">
        <f t="shared" si="18"/>
        <v>0.12348131728968274</v>
      </c>
      <c r="I162" s="71">
        <f t="shared" si="22"/>
        <v>0.3097544511680268</v>
      </c>
      <c r="L162" s="74"/>
      <c r="M162" s="74"/>
      <c r="N162" s="74"/>
      <c r="O162" s="74"/>
      <c r="P162" s="74"/>
      <c r="Q162" s="74"/>
      <c r="R162" s="74"/>
      <c r="S162" s="74"/>
      <c r="T162" s="74"/>
      <c r="U162" s="74"/>
      <c r="V162" s="74"/>
      <c r="W162" s="74"/>
      <c r="X162" s="74"/>
      <c r="Y162" s="74"/>
      <c r="Z162" s="74"/>
    </row>
    <row r="163" spans="1:26" x14ac:dyDescent="0.3">
      <c r="A163" s="66">
        <f t="shared" si="20"/>
        <v>2005.5999999999858</v>
      </c>
      <c r="B163" s="67">
        <f>LOOKUP(A163+0.01,Amounts!$A$4:$A$103,Amounts!$B$4:$B$103)*0.1*$A$2</f>
        <v>3403.9291528210001</v>
      </c>
      <c r="C163" s="68">
        <f t="shared" si="19"/>
        <v>461207.49473632622</v>
      </c>
      <c r="D163" s="67">
        <f t="array" ref="D163">SUM($B$7:$B158*$F$1009*EXP(-$F$1009*($A163-$A$7:$A158)))*$F$1010</f>
        <v>56708801.732342169</v>
      </c>
      <c r="E163" s="67">
        <f t="shared" si="17"/>
        <v>108.11032424624084</v>
      </c>
      <c r="F163" s="70">
        <f t="shared" si="21"/>
        <v>6.5644588882317434</v>
      </c>
      <c r="G163" s="67">
        <f>E163/'Lookup Tables'!$C$48</f>
        <v>216.22064849248167</v>
      </c>
      <c r="H163" s="70">
        <f t="shared" si="18"/>
        <v>0.12320438646884944</v>
      </c>
      <c r="I163" s="71">
        <f t="shared" si="22"/>
        <v>0.31135773382917359</v>
      </c>
      <c r="L163" s="74"/>
      <c r="M163" s="74"/>
      <c r="N163" s="74"/>
      <c r="O163" s="74"/>
      <c r="P163" s="74"/>
      <c r="Q163" s="74"/>
      <c r="R163" s="74"/>
      <c r="S163" s="74"/>
      <c r="T163" s="74"/>
      <c r="U163" s="74"/>
      <c r="V163" s="74"/>
      <c r="W163" s="74"/>
      <c r="X163" s="74"/>
      <c r="Y163" s="74"/>
      <c r="Z163" s="74"/>
    </row>
    <row r="164" spans="1:26" x14ac:dyDescent="0.3">
      <c r="A164" s="66">
        <f t="shared" si="20"/>
        <v>2005.6999999999857</v>
      </c>
      <c r="B164" s="67">
        <f>LOOKUP(A164+0.01,Amounts!$A$4:$A$103,Amounts!$B$4:$B$103)*0.1*$A$2</f>
        <v>3403.9291528210001</v>
      </c>
      <c r="C164" s="68">
        <f t="shared" si="19"/>
        <v>464611.42388914723</v>
      </c>
      <c r="D164" s="67">
        <f t="array" ref="D164">SUM($B$7:$B159*$F$1009*EXP(-$F$1009*($A164-$A$7:$A159)))*$F$1010</f>
        <v>56998776.926242031</v>
      </c>
      <c r="E164" s="67">
        <f t="shared" si="17"/>
        <v>108.66313635438314</v>
      </c>
      <c r="F164" s="70">
        <f t="shared" si="21"/>
        <v>6.598025639438144</v>
      </c>
      <c r="G164" s="67">
        <f>E164/'Lookup Tables'!$C$48</f>
        <v>217.32627270876628</v>
      </c>
      <c r="H164" s="70">
        <f t="shared" si="18"/>
        <v>0.12292712045214495</v>
      </c>
      <c r="I164" s="71">
        <f t="shared" si="22"/>
        <v>0.31294983270062343</v>
      </c>
      <c r="L164" s="74"/>
      <c r="M164" s="74"/>
      <c r="N164" s="74"/>
      <c r="O164" s="74"/>
      <c r="P164" s="74"/>
      <c r="Q164" s="74"/>
      <c r="R164" s="74"/>
      <c r="S164" s="74"/>
      <c r="T164" s="74"/>
      <c r="U164" s="74"/>
      <c r="V164" s="74"/>
      <c r="W164" s="74"/>
      <c r="X164" s="74"/>
      <c r="Y164" s="74"/>
      <c r="Z164" s="74"/>
    </row>
    <row r="165" spans="1:26" x14ac:dyDescent="0.3">
      <c r="A165" s="66">
        <f t="shared" si="20"/>
        <v>2005.7999999999856</v>
      </c>
      <c r="B165" s="67">
        <f>LOOKUP(A165+0.01,Amounts!$A$4:$A$103,Amounts!$B$4:$B$103)*0.1*$A$2</f>
        <v>3403.9291528210001</v>
      </c>
      <c r="C165" s="68">
        <f t="shared" si="19"/>
        <v>468015.35304196825</v>
      </c>
      <c r="D165" s="67">
        <f t="array" ref="D165">SUM($B$7:$B160*$F$1009*EXP(-$F$1009*($A165-$A$7:$A160)))*$F$1010</f>
        <v>57286729.381628893</v>
      </c>
      <c r="E165" s="67">
        <f t="shared" si="17"/>
        <v>109.21209229011791</v>
      </c>
      <c r="F165" s="70">
        <f t="shared" si="21"/>
        <v>6.63135824385596</v>
      </c>
      <c r="G165" s="67">
        <f>E165/'Lookup Tables'!$C$48</f>
        <v>218.42418458023582</v>
      </c>
      <c r="H165" s="70">
        <f t="shared" si="18"/>
        <v>0.12264955697412472</v>
      </c>
      <c r="I165" s="71">
        <f t="shared" si="22"/>
        <v>0.31453082579553959</v>
      </c>
      <c r="L165" s="74"/>
      <c r="M165" s="74"/>
      <c r="N165" s="74"/>
      <c r="O165" s="74"/>
      <c r="P165" s="74"/>
      <c r="Q165" s="74"/>
      <c r="R165" s="74"/>
      <c r="S165" s="74"/>
      <c r="T165" s="74"/>
      <c r="U165" s="74"/>
      <c r="V165" s="74"/>
      <c r="W165" s="74"/>
      <c r="X165" s="74"/>
      <c r="Y165" s="74"/>
      <c r="Z165" s="74"/>
    </row>
    <row r="166" spans="1:26" x14ac:dyDescent="0.3">
      <c r="A166" s="66">
        <f t="shared" si="20"/>
        <v>2005.8999999999855</v>
      </c>
      <c r="B166" s="67">
        <f>LOOKUP(A166+0.01,Amounts!$A$4:$A$103,Amounts!$B$4:$B$103)*0.1*$A$2</f>
        <v>3403.9291528210001</v>
      </c>
      <c r="C166" s="68">
        <f t="shared" si="19"/>
        <v>471419.28219478927</v>
      </c>
      <c r="D166" s="67">
        <f t="array" ref="D166">SUM($B$7:$B161*$F$1009*EXP(-$F$1009*($A166-$A$7:$A161)))*$F$1010</f>
        <v>57572673.208230689</v>
      </c>
      <c r="E166" s="67">
        <f t="shared" si="17"/>
        <v>109.7572189523958</v>
      </c>
      <c r="F166" s="70">
        <f t="shared" si="21"/>
        <v>6.6644583347894732</v>
      </c>
      <c r="G166" s="67">
        <f>E166/'Lookup Tables'!$C$48</f>
        <v>219.51443790479161</v>
      </c>
      <c r="H166" s="70">
        <f t="shared" si="18"/>
        <v>0.12237173246881008</v>
      </c>
      <c r="I166" s="71">
        <f t="shared" si="22"/>
        <v>0.31610079058289992</v>
      </c>
      <c r="L166" s="74"/>
      <c r="M166" s="74"/>
      <c r="N166" s="74"/>
      <c r="O166" s="74"/>
      <c r="P166" s="74"/>
      <c r="Q166" s="74"/>
      <c r="R166" s="74"/>
      <c r="S166" s="74"/>
      <c r="T166" s="74"/>
      <c r="U166" s="74"/>
      <c r="V166" s="74"/>
      <c r="W166" s="74"/>
      <c r="X166" s="74"/>
      <c r="Y166" s="74"/>
      <c r="Z166" s="74"/>
    </row>
    <row r="167" spans="1:26" x14ac:dyDescent="0.3">
      <c r="A167" s="66">
        <f t="shared" si="20"/>
        <v>2005.9999999999854</v>
      </c>
      <c r="B167" s="67">
        <f>LOOKUP(A167+0.01,Amounts!$A$4:$A$103,Amounts!$B$4:$B$103)*0.1*$A$2</f>
        <v>3471.9768875710001</v>
      </c>
      <c r="C167" s="68">
        <f t="shared" si="19"/>
        <v>474891.25908236025</v>
      </c>
      <c r="D167" s="67">
        <f t="array" ref="D167">SUM($B$7:$B162*$F$1009*EXP(-$F$1009*($A167-$A$7:$A162)))*$F$1010</f>
        <v>57856622.417352132</v>
      </c>
      <c r="E167" s="67">
        <f t="shared" si="17"/>
        <v>110.29854305253237</v>
      </c>
      <c r="F167" s="70">
        <f t="shared" si="21"/>
        <v>6.6973275341497658</v>
      </c>
      <c r="G167" s="67">
        <f>E167/'Lookup Tables'!$C$48</f>
        <v>220.59708610506473</v>
      </c>
      <c r="H167" s="70">
        <f t="shared" si="18"/>
        <v>0.12207618716847511</v>
      </c>
      <c r="I167" s="71">
        <f t="shared" si="22"/>
        <v>0.31765980399129323</v>
      </c>
      <c r="L167" s="74"/>
      <c r="M167" s="74"/>
      <c r="N167" s="74"/>
      <c r="O167" s="74"/>
      <c r="P167" s="74"/>
      <c r="Q167" s="74"/>
      <c r="R167" s="74"/>
      <c r="S167" s="74"/>
      <c r="T167" s="74"/>
      <c r="U167" s="74"/>
      <c r="V167" s="74"/>
      <c r="W167" s="74"/>
      <c r="X167" s="74"/>
      <c r="Y167" s="74"/>
      <c r="Z167" s="74"/>
    </row>
    <row r="168" spans="1:26" x14ac:dyDescent="0.3">
      <c r="A168" s="66">
        <f t="shared" si="20"/>
        <v>2006.0999999999854</v>
      </c>
      <c r="B168" s="67">
        <f>LOOKUP(A168+0.01,Amounts!$A$4:$A$103,Amounts!$B$4:$B$103)*0.1*$A$2</f>
        <v>3471.9768875710001</v>
      </c>
      <c r="C168" s="68">
        <f t="shared" si="19"/>
        <v>478363.23596993124</v>
      </c>
      <c r="D168" s="67">
        <f t="array" ref="D168">SUM($B$7:$B163*$F$1009*EXP(-$F$1009*($A168-$A$7:$A163)))*$F$1010</f>
        <v>58138590.922561288</v>
      </c>
      <c r="E168" s="67">
        <f t="shared" si="17"/>
        <v>110.83609111551681</v>
      </c>
      <c r="F168" s="70">
        <f t="shared" si="21"/>
        <v>6.7299674525341802</v>
      </c>
      <c r="G168" s="67">
        <f>E168/'Lookup Tables'!$C$48</f>
        <v>221.67218223103362</v>
      </c>
      <c r="H168" s="70">
        <f t="shared" si="18"/>
        <v>0.12178078311598642</v>
      </c>
      <c r="I168" s="71">
        <f t="shared" si="22"/>
        <v>0.31920794241268841</v>
      </c>
      <c r="L168" s="74"/>
      <c r="M168" s="74"/>
      <c r="N168" s="74"/>
      <c r="O168" s="74"/>
      <c r="P168" s="74"/>
      <c r="Q168" s="74"/>
      <c r="R168" s="74"/>
      <c r="S168" s="74"/>
      <c r="T168" s="74"/>
      <c r="U168" s="74"/>
      <c r="V168" s="74"/>
      <c r="W168" s="74"/>
      <c r="X168" s="74"/>
      <c r="Y168" s="74"/>
      <c r="Z168" s="74"/>
    </row>
    <row r="169" spans="1:26" x14ac:dyDescent="0.3">
      <c r="A169" s="66">
        <f t="shared" si="20"/>
        <v>2006.1999999999853</v>
      </c>
      <c r="B169" s="67">
        <f>LOOKUP(A169+0.01,Amounts!$A$4:$A$103,Amounts!$B$4:$B$103)*0.1*$A$2</f>
        <v>3471.9768875710001</v>
      </c>
      <c r="C169" s="68">
        <f t="shared" si="19"/>
        <v>481835.21285750222</v>
      </c>
      <c r="D169" s="67">
        <f t="array" ref="D169">SUM($B$7:$B164*$F$1009*EXP(-$F$1009*($A169-$A$7:$A164)))*$F$1010</f>
        <v>58418592.540371336</v>
      </c>
      <c r="E169" s="67">
        <f t="shared" si="17"/>
        <v>111.3698894813118</v>
      </c>
      <c r="F169" s="70">
        <f t="shared" si="21"/>
        <v>6.762379689305253</v>
      </c>
      <c r="G169" s="67">
        <f>E169/'Lookup Tables'!$C$48</f>
        <v>222.7397789626236</v>
      </c>
      <c r="H169" s="70">
        <f t="shared" si="18"/>
        <v>0.12148554599036518</v>
      </c>
      <c r="I169" s="71">
        <f t="shared" si="22"/>
        <v>0.320745281706178</v>
      </c>
      <c r="L169" s="74"/>
      <c r="M169" s="74"/>
      <c r="N169" s="74"/>
      <c r="O169" s="74"/>
      <c r="P169" s="74"/>
      <c r="Q169" s="74"/>
      <c r="R169" s="74"/>
      <c r="S169" s="74"/>
      <c r="T169" s="74"/>
      <c r="U169" s="74"/>
      <c r="V169" s="74"/>
      <c r="W169" s="74"/>
      <c r="X169" s="74"/>
      <c r="Y169" s="74"/>
      <c r="Z169" s="74"/>
    </row>
    <row r="170" spans="1:26" x14ac:dyDescent="0.3">
      <c r="A170" s="66">
        <f t="shared" si="20"/>
        <v>2006.2999999999852</v>
      </c>
      <c r="B170" s="67">
        <f>LOOKUP(A170+0.01,Amounts!$A$4:$A$103,Amounts!$B$4:$B$103)*0.1*$A$2</f>
        <v>3471.9768875710001</v>
      </c>
      <c r="C170" s="68">
        <f t="shared" si="19"/>
        <v>485307.18974507321</v>
      </c>
      <c r="D170" s="67">
        <f t="array" ref="D170">SUM($B$7:$B165*$F$1009*EXP(-$F$1009*($A170-$A$7:$A165)))*$F$1010</f>
        <v>58696640.990917549</v>
      </c>
      <c r="E170" s="67">
        <f t="shared" si="17"/>
        <v>111.89996430614401</v>
      </c>
      <c r="F170" s="70">
        <f t="shared" si="21"/>
        <v>6.7945658326690648</v>
      </c>
      <c r="G170" s="67">
        <f>E170/'Lookup Tables'!$C$48</f>
        <v>223.79992861228803</v>
      </c>
      <c r="H170" s="70">
        <f t="shared" si="18"/>
        <v>0.12119050053679196</v>
      </c>
      <c r="I170" s="71">
        <f t="shared" si="22"/>
        <v>0.3222718972016948</v>
      </c>
      <c r="L170" s="74"/>
      <c r="M170" s="74"/>
      <c r="N170" s="74"/>
      <c r="O170" s="74"/>
      <c r="P170" s="74"/>
      <c r="Q170" s="74"/>
      <c r="R170" s="74"/>
      <c r="S170" s="74"/>
      <c r="T170" s="74"/>
      <c r="U170" s="74"/>
      <c r="V170" s="74"/>
      <c r="W170" s="74"/>
      <c r="X170" s="74"/>
      <c r="Y170" s="74"/>
      <c r="Z170" s="74"/>
    </row>
    <row r="171" spans="1:26" x14ac:dyDescent="0.3">
      <c r="A171" s="66">
        <f t="shared" si="20"/>
        <v>2006.3999999999851</v>
      </c>
      <c r="B171" s="67">
        <f>LOOKUP(A171+0.01,Amounts!$A$4:$A$103,Amounts!$B$4:$B$103)*0.1*$A$2</f>
        <v>3471.9768875710001</v>
      </c>
      <c r="C171" s="68">
        <f t="shared" si="19"/>
        <v>488779.16663264419</v>
      </c>
      <c r="D171" s="67">
        <f t="array" ref="D171">SUM($B$7:$B166*$F$1009*EXP(-$F$1009*($A171-$A$7:$A166)))*$F$1010</f>
        <v>58972749.89862968</v>
      </c>
      <c r="E171" s="67">
        <f t="shared" si="17"/>
        <v>112.42634156378601</v>
      </c>
      <c r="F171" s="70">
        <f t="shared" si="21"/>
        <v>6.8265274597530858</v>
      </c>
      <c r="G171" s="67">
        <f>E171/'Lookup Tables'!$C$48</f>
        <v>224.85268312757202</v>
      </c>
      <c r="H171" s="70">
        <f t="shared" si="18"/>
        <v>0.12089567060115237</v>
      </c>
      <c r="I171" s="71">
        <f t="shared" si="22"/>
        <v>0.32378786370370366</v>
      </c>
      <c r="L171" s="74"/>
      <c r="M171" s="74"/>
      <c r="N171" s="74"/>
      <c r="O171" s="74"/>
      <c r="P171" s="74"/>
      <c r="Q171" s="74"/>
      <c r="R171" s="74"/>
      <c r="S171" s="74"/>
      <c r="T171" s="74"/>
      <c r="U171" s="74"/>
      <c r="V171" s="74"/>
      <c r="W171" s="74"/>
      <c r="X171" s="74"/>
      <c r="Y171" s="74"/>
      <c r="Z171" s="74"/>
    </row>
    <row r="172" spans="1:26" x14ac:dyDescent="0.3">
      <c r="A172" s="66">
        <f t="shared" si="20"/>
        <v>2006.499999999985</v>
      </c>
      <c r="B172" s="67">
        <f>LOOKUP(A172+0.01,Amounts!$A$4:$A$103,Amounts!$B$4:$B$103)*0.1*$A$2</f>
        <v>3471.9768875710001</v>
      </c>
      <c r="C172" s="68">
        <f t="shared" si="19"/>
        <v>492251.14352021518</v>
      </c>
      <c r="D172" s="67">
        <f t="array" ref="D172">SUM($B$7:$B167*$F$1009*EXP(-$F$1009*($A172-$A$7:$A167)))*$F$1010</f>
        <v>59260637.593587846</v>
      </c>
      <c r="E172" s="67">
        <f t="shared" si="17"/>
        <v>112.97517403948051</v>
      </c>
      <c r="F172" s="70">
        <f t="shared" si="21"/>
        <v>6.8598525676772564</v>
      </c>
      <c r="G172" s="67">
        <f>E172/'Lookup Tables'!$C$48</f>
        <v>225.95034807896101</v>
      </c>
      <c r="H172" s="70">
        <f t="shared" si="18"/>
        <v>0.12062897619802568</v>
      </c>
      <c r="I172" s="71">
        <f t="shared" si="22"/>
        <v>0.32536850123370387</v>
      </c>
      <c r="L172" s="74"/>
      <c r="M172" s="74"/>
      <c r="N172" s="74"/>
      <c r="O172" s="74"/>
      <c r="P172" s="74"/>
      <c r="Q172" s="74"/>
      <c r="R172" s="74"/>
      <c r="S172" s="74"/>
      <c r="T172" s="74"/>
      <c r="U172" s="74"/>
      <c r="V172" s="74"/>
      <c r="W172" s="74"/>
      <c r="X172" s="74"/>
      <c r="Y172" s="74"/>
      <c r="Z172" s="74"/>
    </row>
    <row r="173" spans="1:26" x14ac:dyDescent="0.3">
      <c r="A173" s="66">
        <f t="shared" si="20"/>
        <v>2006.5999999999849</v>
      </c>
      <c r="B173" s="67">
        <f>LOOKUP(A173+0.01,Amounts!$A$4:$A$103,Amounts!$B$4:$B$103)*0.1*$A$2</f>
        <v>3471.9768875710001</v>
      </c>
      <c r="C173" s="68">
        <f t="shared" si="19"/>
        <v>495723.12040778616</v>
      </c>
      <c r="D173" s="67">
        <f t="array" ref="D173">SUM($B$7:$B168*$F$1009*EXP(-$F$1009*($A173-$A$7:$A168)))*$F$1010</f>
        <v>59546517.111501023</v>
      </c>
      <c r="E173" s="67">
        <f t="shared" si="17"/>
        <v>113.52017810292075</v>
      </c>
      <c r="F173" s="70">
        <f t="shared" si="21"/>
        <v>6.8929452144093482</v>
      </c>
      <c r="G173" s="67">
        <f>E173/'Lookup Tables'!$C$48</f>
        <v>227.0403562058415</v>
      </c>
      <c r="H173" s="70">
        <f t="shared" si="18"/>
        <v>0.12036195842915941</v>
      </c>
      <c r="I173" s="71">
        <f t="shared" si="22"/>
        <v>0.32693811293641173</v>
      </c>
      <c r="L173" s="74"/>
      <c r="M173" s="74"/>
      <c r="N173" s="74"/>
      <c r="O173" s="74"/>
      <c r="P173" s="74"/>
      <c r="Q173" s="74"/>
      <c r="R173" s="74"/>
      <c r="S173" s="74"/>
      <c r="T173" s="74"/>
      <c r="U173" s="74"/>
      <c r="V173" s="74"/>
      <c r="W173" s="74"/>
      <c r="X173" s="74"/>
      <c r="Y173" s="74"/>
      <c r="Z173" s="74"/>
    </row>
    <row r="174" spans="1:26" x14ac:dyDescent="0.3">
      <c r="A174" s="66">
        <f t="shared" si="20"/>
        <v>2006.6999999999848</v>
      </c>
      <c r="B174" s="67">
        <f>LOOKUP(A174+0.01,Amounts!$A$4:$A$103,Amounts!$B$4:$B$103)*0.1*$A$2</f>
        <v>3471.9768875710001</v>
      </c>
      <c r="C174" s="68">
        <f t="shared" si="19"/>
        <v>499195.09729535715</v>
      </c>
      <c r="D174" s="67">
        <f t="array" ref="D174">SUM($B$7:$B169*$F$1009*EXP(-$F$1009*($A174-$A$7:$A169)))*$F$1010</f>
        <v>59830402.460522801</v>
      </c>
      <c r="E174" s="67">
        <f t="shared" si="17"/>
        <v>114.06138045941488</v>
      </c>
      <c r="F174" s="70">
        <f t="shared" si="21"/>
        <v>6.9258070214956708</v>
      </c>
      <c r="G174" s="67">
        <f>E174/'Lookup Tables'!$C$48</f>
        <v>228.12276091882975</v>
      </c>
      <c r="H174" s="70">
        <f t="shared" si="18"/>
        <v>0.12009465215960974</v>
      </c>
      <c r="I174" s="71">
        <f t="shared" si="22"/>
        <v>0.32849677572311486</v>
      </c>
      <c r="L174" s="74"/>
      <c r="M174" s="74"/>
      <c r="N174" s="74"/>
      <c r="O174" s="74"/>
      <c r="P174" s="74"/>
      <c r="Q174" s="74"/>
      <c r="R174" s="74"/>
      <c r="S174" s="74"/>
      <c r="T174" s="74"/>
      <c r="U174" s="74"/>
      <c r="V174" s="74"/>
      <c r="W174" s="74"/>
      <c r="X174" s="74"/>
      <c r="Y174" s="74"/>
      <c r="Z174" s="74"/>
    </row>
    <row r="175" spans="1:26" x14ac:dyDescent="0.3">
      <c r="A175" s="66">
        <f t="shared" si="20"/>
        <v>2006.7999999999847</v>
      </c>
      <c r="B175" s="67">
        <f>LOOKUP(A175+0.01,Amounts!$A$4:$A$103,Amounts!$B$4:$B$103)*0.1*$A$2</f>
        <v>3471.9768875710001</v>
      </c>
      <c r="C175" s="68">
        <f t="shared" si="19"/>
        <v>502667.07418292813</v>
      </c>
      <c r="D175" s="67">
        <f t="array" ref="D175">SUM($B$7:$B170*$F$1009*EXP(-$F$1009*($A175-$A$7:$A170)))*$F$1010</f>
        <v>60112307.551092036</v>
      </c>
      <c r="E175" s="67">
        <f t="shared" si="17"/>
        <v>114.59880762798656</v>
      </c>
      <c r="F175" s="70">
        <f t="shared" si="21"/>
        <v>6.958439599171343</v>
      </c>
      <c r="G175" s="67">
        <f>E175/'Lookup Tables'!$C$48</f>
        <v>229.19761525597312</v>
      </c>
      <c r="H175" s="70">
        <f t="shared" si="18"/>
        <v>0.11982709109638238</v>
      </c>
      <c r="I175" s="71">
        <f t="shared" si="22"/>
        <v>0.33004456596860127</v>
      </c>
      <c r="L175" s="74"/>
      <c r="M175" s="74"/>
      <c r="N175" s="74"/>
      <c r="O175" s="74"/>
      <c r="P175" s="74"/>
      <c r="Q175" s="74"/>
      <c r="R175" s="74"/>
      <c r="S175" s="74"/>
      <c r="T175" s="74"/>
      <c r="U175" s="74"/>
      <c r="V175" s="74"/>
      <c r="W175" s="74"/>
      <c r="X175" s="74"/>
      <c r="Y175" s="74"/>
      <c r="Z175" s="74"/>
    </row>
    <row r="176" spans="1:26" x14ac:dyDescent="0.3">
      <c r="A176" s="66">
        <f t="shared" si="20"/>
        <v>2006.8999999999846</v>
      </c>
      <c r="B176" s="67">
        <f>LOOKUP(A176+0.01,Amounts!$A$4:$A$103,Amounts!$B$4:$B$103)*0.1*$A$2</f>
        <v>3471.9768875710001</v>
      </c>
      <c r="C176" s="68">
        <f t="shared" si="19"/>
        <v>506139.05107049912</v>
      </c>
      <c r="D176" s="67">
        <f t="array" ref="D176">SUM($B$7:$B171*$F$1009*EXP(-$F$1009*($A176-$A$7:$A171)))*$F$1010</f>
        <v>60392246.196614623</v>
      </c>
      <c r="E176" s="67">
        <f t="shared" si="17"/>
        <v>115.13248594267471</v>
      </c>
      <c r="F176" s="70">
        <f t="shared" si="21"/>
        <v>6.9908445464392077</v>
      </c>
      <c r="G176" s="67">
        <f>E176/'Lookup Tables'!$C$48</f>
        <v>230.26497188534941</v>
      </c>
      <c r="H176" s="70">
        <f t="shared" si="18"/>
        <v>0.11955930782950197</v>
      </c>
      <c r="I176" s="71">
        <f t="shared" si="22"/>
        <v>0.33158155951490309</v>
      </c>
      <c r="L176" s="74"/>
      <c r="M176" s="74"/>
      <c r="N176" s="74"/>
      <c r="O176" s="74"/>
      <c r="P176" s="74"/>
      <c r="Q176" s="74"/>
      <c r="R176" s="74"/>
      <c r="S176" s="74"/>
      <c r="T176" s="74"/>
      <c r="U176" s="74"/>
      <c r="V176" s="74"/>
      <c r="W176" s="74"/>
      <c r="X176" s="74"/>
      <c r="Y176" s="74"/>
      <c r="Z176" s="74"/>
    </row>
    <row r="177" spans="1:26" x14ac:dyDescent="0.3">
      <c r="A177" s="66">
        <f t="shared" si="20"/>
        <v>2006.9999999999845</v>
      </c>
      <c r="B177" s="67">
        <f>LOOKUP(A177+0.01,Amounts!$A$4:$A$103,Amounts!$B$4:$B$103)*0.1*$A$2</f>
        <v>3541.3855770160003</v>
      </c>
      <c r="C177" s="68">
        <f t="shared" si="19"/>
        <v>509680.4366475151</v>
      </c>
      <c r="D177" s="67">
        <f t="array" ref="D177">SUM($B$7:$B172*$F$1009*EXP(-$F$1009*($A177-$A$7:$A172)))*$F$1010</f>
        <v>60670232.114140168</v>
      </c>
      <c r="E177" s="67">
        <f t="shared" si="17"/>
        <v>115.66244155382343</v>
      </c>
      <c r="F177" s="70">
        <f t="shared" si="21"/>
        <v>7.0230234511481591</v>
      </c>
      <c r="G177" s="67">
        <f>E177/'Lookup Tables'!$C$48</f>
        <v>231.32488310764685</v>
      </c>
      <c r="H177" s="70">
        <f t="shared" si="18"/>
        <v>0.11927508868215059</v>
      </c>
      <c r="I177" s="71">
        <f t="shared" si="22"/>
        <v>0.33310783167501151</v>
      </c>
      <c r="L177" s="74"/>
      <c r="M177" s="74"/>
      <c r="N177" s="74"/>
      <c r="O177" s="74"/>
      <c r="P177" s="74"/>
      <c r="Q177" s="74"/>
      <c r="R177" s="74"/>
      <c r="S177" s="74"/>
      <c r="T177" s="74"/>
      <c r="U177" s="74"/>
      <c r="V177" s="74"/>
      <c r="W177" s="74"/>
      <c r="X177" s="74"/>
      <c r="Y177" s="74"/>
      <c r="Z177" s="74"/>
    </row>
    <row r="178" spans="1:26" x14ac:dyDescent="0.3">
      <c r="A178" s="66">
        <f t="shared" si="20"/>
        <v>2007.0999999999844</v>
      </c>
      <c r="B178" s="67">
        <f>LOOKUP(A178+0.01,Amounts!$A$4:$A$103,Amounts!$B$4:$B$103)*0.1*$A$2</f>
        <v>3541.3855770160003</v>
      </c>
      <c r="C178" s="68">
        <f t="shared" si="19"/>
        <v>513221.82222453109</v>
      </c>
      <c r="D178" s="67">
        <f t="array" ref="D178">SUM($B$7:$B173*$F$1009*EXP(-$F$1009*($A178-$A$7:$A173)))*$F$1010</f>
        <v>60946278.92503424</v>
      </c>
      <c r="E178" s="67">
        <f t="shared" si="17"/>
        <v>116.18870042936371</v>
      </c>
      <c r="F178" s="70">
        <f t="shared" si="21"/>
        <v>7.0549778900709645</v>
      </c>
      <c r="G178" s="67">
        <f>E178/'Lookup Tables'!$C$48</f>
        <v>232.37740085872741</v>
      </c>
      <c r="H178" s="70">
        <f t="shared" si="18"/>
        <v>0.11899100603511824</v>
      </c>
      <c r="I178" s="71">
        <f t="shared" si="22"/>
        <v>0.33462345723656745</v>
      </c>
      <c r="L178" s="74"/>
      <c r="M178" s="74"/>
      <c r="N178" s="74"/>
      <c r="O178" s="74"/>
      <c r="P178" s="74"/>
      <c r="Q178" s="74"/>
      <c r="R178" s="74"/>
      <c r="S178" s="74"/>
      <c r="T178" s="74"/>
      <c r="U178" s="74"/>
      <c r="V178" s="74"/>
      <c r="W178" s="74"/>
      <c r="X178" s="74"/>
      <c r="Y178" s="74"/>
      <c r="Z178" s="74"/>
    </row>
    <row r="179" spans="1:26" x14ac:dyDescent="0.3">
      <c r="A179" s="66">
        <f t="shared" si="20"/>
        <v>2007.1999999999844</v>
      </c>
      <c r="B179" s="67">
        <f>LOOKUP(A179+0.01,Amounts!$A$4:$A$103,Amounts!$B$4:$B$103)*0.1*$A$2</f>
        <v>3541.3855770160003</v>
      </c>
      <c r="C179" s="68">
        <f t="shared" si="19"/>
        <v>516763.20780154708</v>
      </c>
      <c r="D179" s="67">
        <f t="array" ref="D179">SUM($B$7:$B174*$F$1009*EXP(-$F$1009*($A179-$A$7:$A174)))*$F$1010</f>
        <v>61220400.155645825</v>
      </c>
      <c r="E179" s="67">
        <f t="shared" si="17"/>
        <v>116.71128835608576</v>
      </c>
      <c r="F179" s="70">
        <f t="shared" si="21"/>
        <v>7.0867094289815267</v>
      </c>
      <c r="G179" s="67">
        <f>E179/'Lookup Tables'!$C$48</f>
        <v>233.42257671217152</v>
      </c>
      <c r="H179" s="70">
        <f t="shared" si="18"/>
        <v>0.11870708330984051</v>
      </c>
      <c r="I179" s="71">
        <f t="shared" si="22"/>
        <v>0.33612851046552694</v>
      </c>
      <c r="L179" s="74"/>
      <c r="M179" s="74"/>
      <c r="N179" s="74"/>
      <c r="O179" s="74"/>
      <c r="P179" s="74"/>
      <c r="Q179" s="74"/>
      <c r="R179" s="74"/>
      <c r="S179" s="74"/>
      <c r="T179" s="74"/>
      <c r="U179" s="74"/>
      <c r="V179" s="74"/>
      <c r="W179" s="74"/>
      <c r="X179" s="74"/>
      <c r="Y179" s="74"/>
      <c r="Z179" s="74"/>
    </row>
    <row r="180" spans="1:26" x14ac:dyDescent="0.3">
      <c r="A180" s="66">
        <f t="shared" si="20"/>
        <v>2007.2999999999843</v>
      </c>
      <c r="B180" s="67">
        <f>LOOKUP(A180+0.01,Amounts!$A$4:$A$103,Amounts!$B$4:$B$103)*0.1*$A$2</f>
        <v>3541.3855770160003</v>
      </c>
      <c r="C180" s="68">
        <f t="shared" si="19"/>
        <v>520304.59337856306</v>
      </c>
      <c r="D180" s="67">
        <f t="array" ref="D180">SUM($B$7:$B175*$F$1009*EXP(-$F$1009*($A180-$A$7:$A175)))*$F$1010</f>
        <v>61492609.237970099</v>
      </c>
      <c r="E180" s="67">
        <f t="shared" si="17"/>
        <v>117.23023094090264</v>
      </c>
      <c r="F180" s="70">
        <f t="shared" si="21"/>
        <v>7.1182196227316084</v>
      </c>
      <c r="G180" s="67">
        <f>E180/'Lookup Tables'!$C$48</f>
        <v>234.46046188180529</v>
      </c>
      <c r="H180" s="70">
        <f t="shared" si="18"/>
        <v>0.11842334310838522</v>
      </c>
      <c r="I180" s="71">
        <f t="shared" si="22"/>
        <v>0.33762306510979961</v>
      </c>
      <c r="L180" s="74"/>
      <c r="M180" s="74"/>
      <c r="N180" s="74"/>
      <c r="O180" s="74"/>
      <c r="P180" s="74"/>
      <c r="Q180" s="74"/>
      <c r="R180" s="74"/>
      <c r="S180" s="74"/>
      <c r="T180" s="74"/>
      <c r="U180" s="74"/>
      <c r="V180" s="74"/>
      <c r="W180" s="74"/>
      <c r="X180" s="74"/>
      <c r="Y180" s="74"/>
      <c r="Z180" s="74"/>
    </row>
    <row r="181" spans="1:26" x14ac:dyDescent="0.3">
      <c r="A181" s="66">
        <f t="shared" si="20"/>
        <v>2007.3999999999842</v>
      </c>
      <c r="B181" s="67">
        <f>LOOKUP(A181+0.01,Amounts!$A$4:$A$103,Amounts!$B$4:$B$103)*0.1*$A$2</f>
        <v>3541.3855770160003</v>
      </c>
      <c r="C181" s="68">
        <f t="shared" si="19"/>
        <v>523845.97895557905</v>
      </c>
      <c r="D181" s="67">
        <f t="array" ref="D181">SUM($B$7:$B176*$F$1009*EXP(-$F$1009*($A181-$A$7:$A176)))*$F$1010</f>
        <v>61762919.510306492</v>
      </c>
      <c r="E181" s="67">
        <f t="shared" si="17"/>
        <v>117.74555361210466</v>
      </c>
      <c r="F181" s="70">
        <f t="shared" si="21"/>
        <v>7.1495100153269942</v>
      </c>
      <c r="G181" s="67">
        <f>E181/'Lookup Tables'!$C$48</f>
        <v>235.49110722420932</v>
      </c>
      <c r="H181" s="70">
        <f t="shared" si="18"/>
        <v>0.11813980724240719</v>
      </c>
      <c r="I181" s="71">
        <f t="shared" si="22"/>
        <v>0.33910719440286141</v>
      </c>
      <c r="L181" s="74"/>
      <c r="M181" s="74"/>
      <c r="N181" s="74"/>
      <c r="O181" s="74"/>
      <c r="P181" s="74"/>
      <c r="Q181" s="74"/>
      <c r="R181" s="74"/>
      <c r="S181" s="74"/>
      <c r="T181" s="74"/>
      <c r="U181" s="74"/>
      <c r="V181" s="74"/>
      <c r="W181" s="74"/>
      <c r="X181" s="74"/>
      <c r="Y181" s="74"/>
      <c r="Z181" s="74"/>
    </row>
    <row r="182" spans="1:26" x14ac:dyDescent="0.3">
      <c r="A182" s="66">
        <f t="shared" si="20"/>
        <v>2007.4999999999841</v>
      </c>
      <c r="B182" s="67">
        <f>LOOKUP(A182+0.01,Amounts!$A$4:$A$103,Amounts!$B$4:$B$103)*0.1*$A$2</f>
        <v>3541.3855770160003</v>
      </c>
      <c r="C182" s="68">
        <f t="shared" si="19"/>
        <v>527387.36453259503</v>
      </c>
      <c r="D182" s="67">
        <f t="array" ref="D182">SUM($B$7:$B177*$F$1009*EXP(-$F$1009*($A182-$A$7:$A177)))*$F$1010</f>
        <v>62045323.114614703</v>
      </c>
      <c r="E182" s="67">
        <f t="shared" si="17"/>
        <v>118.28393115311088</v>
      </c>
      <c r="F182" s="70">
        <f t="shared" si="21"/>
        <v>7.182200299616893</v>
      </c>
      <c r="G182" s="67">
        <f>E182/'Lookup Tables'!$C$48</f>
        <v>236.56786230622177</v>
      </c>
      <c r="H182" s="70">
        <f t="shared" si="18"/>
        <v>0.11788305597570432</v>
      </c>
      <c r="I182" s="71">
        <f t="shared" si="22"/>
        <v>0.34065772172095937</v>
      </c>
      <c r="L182" s="74"/>
      <c r="M182" s="74"/>
      <c r="N182" s="74"/>
      <c r="O182" s="74"/>
      <c r="P182" s="74"/>
      <c r="Q182" s="74"/>
      <c r="R182" s="74"/>
      <c r="S182" s="74"/>
      <c r="T182" s="74"/>
      <c r="U182" s="74"/>
      <c r="V182" s="74"/>
      <c r="W182" s="74"/>
      <c r="X182" s="74"/>
      <c r="Y182" s="74"/>
      <c r="Z182" s="74"/>
    </row>
    <row r="183" spans="1:26" x14ac:dyDescent="0.3">
      <c r="A183" s="66">
        <f t="shared" si="20"/>
        <v>2007.599999999984</v>
      </c>
      <c r="B183" s="67">
        <f>LOOKUP(A183+0.01,Amounts!$A$4:$A$103,Amounts!$B$4:$B$103)*0.1*$A$2</f>
        <v>3541.3855770160003</v>
      </c>
      <c r="C183" s="68">
        <f t="shared" si="19"/>
        <v>530928.75010961108</v>
      </c>
      <c r="D183" s="67">
        <f t="array" ref="D183">SUM($B$7:$B178*$F$1009*EXP(-$F$1009*($A183-$A$7:$A178)))*$F$1010</f>
        <v>62325756.796465196</v>
      </c>
      <c r="E183" s="67">
        <f t="shared" si="17"/>
        <v>118.81855321085635</v>
      </c>
      <c r="F183" s="70">
        <f t="shared" si="21"/>
        <v>7.2146625509631974</v>
      </c>
      <c r="G183" s="67">
        <f>E183/'Lookup Tables'!$C$48</f>
        <v>237.6371064217127</v>
      </c>
      <c r="H183" s="70">
        <f t="shared" si="18"/>
        <v>0.11762601206797142</v>
      </c>
      <c r="I183" s="71">
        <f t="shared" si="22"/>
        <v>0.34219743324726626</v>
      </c>
      <c r="L183" s="74"/>
      <c r="M183" s="74"/>
      <c r="N183" s="74"/>
      <c r="O183" s="74"/>
      <c r="P183" s="74"/>
      <c r="Q183" s="74"/>
      <c r="R183" s="74"/>
      <c r="S183" s="74"/>
      <c r="T183" s="74"/>
      <c r="U183" s="74"/>
      <c r="V183" s="74"/>
      <c r="W183" s="74"/>
      <c r="X183" s="74"/>
      <c r="Y183" s="74"/>
      <c r="Z183" s="74"/>
    </row>
    <row r="184" spans="1:26" x14ac:dyDescent="0.3">
      <c r="A184" s="66">
        <f t="shared" si="20"/>
        <v>2007.6999999999839</v>
      </c>
      <c r="B184" s="67">
        <f>LOOKUP(A184+0.01,Amounts!$A$4:$A$103,Amounts!$B$4:$B$103)*0.1*$A$2</f>
        <v>3541.3855770160003</v>
      </c>
      <c r="C184" s="68">
        <f t="shared" si="19"/>
        <v>534470.13568662712</v>
      </c>
      <c r="D184" s="67">
        <f t="array" ref="D184">SUM($B$7:$B179*$F$1009*EXP(-$F$1009*($A184-$A$7:$A179)))*$F$1010</f>
        <v>62604234.297164492</v>
      </c>
      <c r="E184" s="67">
        <f t="shared" si="17"/>
        <v>119.34944598192884</v>
      </c>
      <c r="F184" s="70">
        <f t="shared" si="21"/>
        <v>7.246898360022719</v>
      </c>
      <c r="G184" s="67">
        <f>E184/'Lookup Tables'!$C$48</f>
        <v>238.69889196385768</v>
      </c>
      <c r="H184" s="70">
        <f t="shared" si="18"/>
        <v>0.11736870709813048</v>
      </c>
      <c r="I184" s="71">
        <f t="shared" si="22"/>
        <v>0.34372640442795505</v>
      </c>
      <c r="L184" s="74"/>
      <c r="M184" s="74"/>
      <c r="N184" s="74"/>
      <c r="O184" s="74"/>
      <c r="P184" s="74"/>
      <c r="Q184" s="74"/>
      <c r="R184" s="74"/>
      <c r="S184" s="74"/>
      <c r="T184" s="74"/>
      <c r="U184" s="74"/>
      <c r="V184" s="74"/>
      <c r="W184" s="74"/>
      <c r="X184" s="74"/>
      <c r="Y184" s="74"/>
      <c r="Z184" s="74"/>
    </row>
    <row r="185" spans="1:26" x14ac:dyDescent="0.3">
      <c r="A185" s="66">
        <f t="shared" si="20"/>
        <v>2007.7999999999838</v>
      </c>
      <c r="B185" s="67">
        <f>LOOKUP(A185+0.01,Amounts!$A$4:$A$103,Amounts!$B$4:$B$103)*0.1*$A$2</f>
        <v>3541.3855770160003</v>
      </c>
      <c r="C185" s="68">
        <f t="shared" si="19"/>
        <v>538011.52126364317</v>
      </c>
      <c r="D185" s="67">
        <f t="array" ref="D185">SUM($B$7:$B180*$F$1009*EXP(-$F$1009*($A185-$A$7:$A180)))*$F$1010</f>
        <v>62880769.262165859</v>
      </c>
      <c r="E185" s="67">
        <f t="shared" si="17"/>
        <v>119.8766354801804</v>
      </c>
      <c r="F185" s="70">
        <f t="shared" si="21"/>
        <v>7.278909306356554</v>
      </c>
      <c r="G185" s="67">
        <f>E185/'Lookup Tables'!$C$48</f>
        <v>239.75327096036079</v>
      </c>
      <c r="H185" s="70">
        <f t="shared" si="18"/>
        <v>0.11711117163512798</v>
      </c>
      <c r="I185" s="71">
        <f t="shared" si="22"/>
        <v>0.34524471018291958</v>
      </c>
      <c r="L185" s="74"/>
      <c r="M185" s="74"/>
      <c r="N185" s="74"/>
      <c r="O185" s="74"/>
      <c r="P185" s="74"/>
      <c r="Q185" s="74"/>
      <c r="R185" s="74"/>
      <c r="S185" s="74"/>
      <c r="T185" s="74"/>
      <c r="U185" s="74"/>
      <c r="V185" s="74"/>
      <c r="W185" s="74"/>
      <c r="X185" s="74"/>
      <c r="Y185" s="74"/>
      <c r="Z185" s="74"/>
    </row>
    <row r="186" spans="1:26" x14ac:dyDescent="0.3">
      <c r="A186" s="66">
        <f t="shared" si="20"/>
        <v>2007.8999999999837</v>
      </c>
      <c r="B186" s="67">
        <f>LOOKUP(A186+0.01,Amounts!$A$4:$A$103,Amounts!$B$4:$B$103)*0.1*$A$2</f>
        <v>3541.3855770160003</v>
      </c>
      <c r="C186" s="68">
        <f t="shared" si="19"/>
        <v>541552.90684065921</v>
      </c>
      <c r="D186" s="67">
        <f t="array" ref="D186">SUM($B$7:$B181*$F$1009*EXP(-$F$1009*($A186-$A$7:$A181)))*$F$1010</f>
        <v>63155375.241737917</v>
      </c>
      <c r="E186" s="67">
        <f t="shared" si="17"/>
        <v>120.40014753800193</v>
      </c>
      <c r="F186" s="70">
        <f t="shared" si="21"/>
        <v>7.310696958507477</v>
      </c>
      <c r="G186" s="67">
        <f>E186/'Lookup Tables'!$C$48</f>
        <v>240.80029507600386</v>
      </c>
      <c r="H186" s="70">
        <f t="shared" si="18"/>
        <v>0.11685343527219461</v>
      </c>
      <c r="I186" s="71">
        <f t="shared" si="22"/>
        <v>0.34675242490944558</v>
      </c>
      <c r="L186" s="74"/>
      <c r="M186" s="74"/>
      <c r="N186" s="74"/>
      <c r="O186" s="74"/>
      <c r="P186" s="74"/>
      <c r="Q186" s="74"/>
      <c r="R186" s="74"/>
      <c r="S186" s="74"/>
      <c r="T186" s="74"/>
      <c r="U186" s="74"/>
      <c r="V186" s="74"/>
      <c r="W186" s="74"/>
      <c r="X186" s="74"/>
      <c r="Y186" s="74"/>
      <c r="Z186" s="74"/>
    </row>
    <row r="187" spans="1:26" x14ac:dyDescent="0.3">
      <c r="A187" s="66">
        <f t="shared" si="20"/>
        <v>2007.9999999999836</v>
      </c>
      <c r="B187" s="67">
        <f>LOOKUP(A187+0.01,Amounts!$A$4:$A$103,Amounts!$B$4:$B$103)*0.1*$A$2</f>
        <v>3612.2459514690004</v>
      </c>
      <c r="C187" s="68">
        <f t="shared" si="19"/>
        <v>545165.15279212827</v>
      </c>
      <c r="D187" s="67">
        <f t="array" ref="D187">SUM($B$7:$B182*$F$1009*EXP(-$F$1009*($A187-$A$7:$A182)))*$F$1010</f>
        <v>63428065.691628568</v>
      </c>
      <c r="E187" s="67">
        <f t="shared" si="17"/>
        <v>120.92000780758895</v>
      </c>
      <c r="F187" s="70">
        <f t="shared" si="21"/>
        <v>7.3422628740768001</v>
      </c>
      <c r="G187" s="67">
        <f>E187/'Lookup Tables'!$C$48</f>
        <v>241.84001561517789</v>
      </c>
      <c r="H187" s="70">
        <f t="shared" si="18"/>
        <v>0.11658037161429227</v>
      </c>
      <c r="I187" s="71">
        <f t="shared" si="22"/>
        <v>0.34824962248585617</v>
      </c>
      <c r="L187" s="74"/>
      <c r="M187" s="74"/>
      <c r="N187" s="74"/>
      <c r="O187" s="74"/>
      <c r="P187" s="74"/>
      <c r="Q187" s="74"/>
      <c r="R187" s="74"/>
      <c r="S187" s="74"/>
      <c r="T187" s="74"/>
      <c r="U187" s="74"/>
      <c r="V187" s="74"/>
      <c r="W187" s="74"/>
      <c r="X187" s="74"/>
      <c r="Y187" s="74"/>
      <c r="Z187" s="74"/>
    </row>
    <row r="188" spans="1:26" x14ac:dyDescent="0.3">
      <c r="A188" s="66">
        <f t="shared" si="20"/>
        <v>2008.0999999999835</v>
      </c>
      <c r="B188" s="67">
        <f>LOOKUP(A188+0.01,Amounts!$A$4:$A$103,Amounts!$B$4:$B$103)*0.1*$A$2</f>
        <v>3612.2459514690004</v>
      </c>
      <c r="C188" s="68">
        <f t="shared" si="19"/>
        <v>548777.39874359732</v>
      </c>
      <c r="D188" s="67">
        <f t="array" ref="D188">SUM($B$7:$B183*$F$1009*EXP(-$F$1009*($A188-$A$7:$A183)))*$F$1010</f>
        <v>63698853.973724477</v>
      </c>
      <c r="E188" s="67">
        <f t="shared" si="17"/>
        <v>121.43624176219876</v>
      </c>
      <c r="F188" s="70">
        <f t="shared" si="21"/>
        <v>7.3736085998007086</v>
      </c>
      <c r="G188" s="67">
        <f>E188/'Lookup Tables'!$C$48</f>
        <v>242.87248352439752</v>
      </c>
      <c r="H188" s="70">
        <f t="shared" si="18"/>
        <v>0.11630742959958015</v>
      </c>
      <c r="I188" s="71">
        <f t="shared" si="22"/>
        <v>0.34973637627513243</v>
      </c>
      <c r="L188" s="74"/>
      <c r="M188" s="74"/>
      <c r="N188" s="74"/>
      <c r="O188" s="74"/>
      <c r="P188" s="74"/>
      <c r="Q188" s="74"/>
      <c r="R188" s="74"/>
      <c r="S188" s="74"/>
      <c r="T188" s="74"/>
      <c r="U188" s="74"/>
      <c r="V188" s="74"/>
      <c r="W188" s="74"/>
      <c r="X188" s="74"/>
      <c r="Y188" s="74"/>
      <c r="Z188" s="74"/>
    </row>
    <row r="189" spans="1:26" x14ac:dyDescent="0.3">
      <c r="A189" s="66">
        <f t="shared" si="20"/>
        <v>2008.1999999999834</v>
      </c>
      <c r="B189" s="67">
        <f>LOOKUP(A189+0.01,Amounts!$A$4:$A$103,Amounts!$B$4:$B$103)*0.1*$A$2</f>
        <v>3612.2459514690004</v>
      </c>
      <c r="C189" s="68">
        <f t="shared" si="19"/>
        <v>552389.64469506638</v>
      </c>
      <c r="D189" s="67">
        <f t="array" ref="D189">SUM($B$7:$B184*$F$1009*EXP(-$F$1009*($A189-$A$7:$A184)))*$F$1010</f>
        <v>63967753.356705613</v>
      </c>
      <c r="E189" s="67">
        <f t="shared" si="17"/>
        <v>121.9488746973984</v>
      </c>
      <c r="F189" s="70">
        <f t="shared" si="21"/>
        <v>7.4047356716260309</v>
      </c>
      <c r="G189" s="67">
        <f>E189/'Lookup Tables'!$C$48</f>
        <v>243.89774939479679</v>
      </c>
      <c r="H189" s="70">
        <f t="shared" si="18"/>
        <v>0.11603463091046078</v>
      </c>
      <c r="I189" s="71">
        <f t="shared" si="22"/>
        <v>0.35121275912850736</v>
      </c>
      <c r="L189" s="74"/>
      <c r="M189" s="74"/>
      <c r="N189" s="74"/>
      <c r="O189" s="74"/>
      <c r="P189" s="74"/>
      <c r="Q189" s="74"/>
      <c r="R189" s="74"/>
      <c r="S189" s="74"/>
      <c r="T189" s="74"/>
      <c r="U189" s="74"/>
      <c r="V189" s="74"/>
      <c r="W189" s="74"/>
      <c r="X189" s="74"/>
      <c r="Y189" s="74"/>
      <c r="Z189" s="74"/>
    </row>
    <row r="190" spans="1:26" x14ac:dyDescent="0.3">
      <c r="A190" s="66">
        <f t="shared" si="20"/>
        <v>2008.2999999999834</v>
      </c>
      <c r="B190" s="67">
        <f>LOOKUP(A190+0.01,Amounts!$A$4:$A$103,Amounts!$B$4:$B$103)*0.1*$A$2</f>
        <v>3612.2459514690004</v>
      </c>
      <c r="C190" s="68">
        <f t="shared" si="19"/>
        <v>556001.89064653544</v>
      </c>
      <c r="D190" s="67">
        <f t="array" ref="D190">SUM($B$7:$B185*$F$1009*EXP(-$F$1009*($A190-$A$7:$A185)))*$F$1010</f>
        <v>64234777.016695537</v>
      </c>
      <c r="E190" s="67">
        <f t="shared" si="17"/>
        <v>122.45793173230423</v>
      </c>
      <c r="F190" s="70">
        <f t="shared" si="21"/>
        <v>7.4356456147855132</v>
      </c>
      <c r="G190" s="67">
        <f>E190/'Lookup Tables'!$C$48</f>
        <v>244.91586346460846</v>
      </c>
      <c r="H190" s="70">
        <f t="shared" si="18"/>
        <v>0.11576199649906743</v>
      </c>
      <c r="I190" s="71">
        <f t="shared" si="22"/>
        <v>0.35267884338903621</v>
      </c>
      <c r="L190" s="74"/>
      <c r="M190" s="74"/>
      <c r="N190" s="74"/>
      <c r="O190" s="74"/>
      <c r="P190" s="74"/>
      <c r="Q190" s="74"/>
      <c r="R190" s="74"/>
      <c r="S190" s="74"/>
      <c r="T190" s="74"/>
      <c r="U190" s="74"/>
      <c r="V190" s="74"/>
      <c r="W190" s="74"/>
      <c r="X190" s="74"/>
      <c r="Y190" s="74"/>
      <c r="Z190" s="74"/>
    </row>
    <row r="191" spans="1:26" x14ac:dyDescent="0.3">
      <c r="A191" s="66">
        <f t="shared" si="20"/>
        <v>2008.3999999999833</v>
      </c>
      <c r="B191" s="67">
        <f>LOOKUP(A191+0.01,Amounts!$A$4:$A$103,Amounts!$B$4:$B$103)*0.1*$A$2</f>
        <v>3612.2459514690004</v>
      </c>
      <c r="C191" s="68">
        <f t="shared" si="19"/>
        <v>559614.13659800449</v>
      </c>
      <c r="D191" s="67">
        <f t="array" ref="D191">SUM($B$7:$B186*$F$1009*EXP(-$F$1009*($A191-$A$7:$A186)))*$F$1010</f>
        <v>64499938.037907027</v>
      </c>
      <c r="E191" s="67">
        <f t="shared" si="17"/>
        <v>122.96343781081283</v>
      </c>
      <c r="F191" s="70">
        <f t="shared" si="21"/>
        <v>7.4663399438725548</v>
      </c>
      <c r="G191" s="67">
        <f>E191/'Lookup Tables'!$C$48</f>
        <v>245.92687562162567</v>
      </c>
      <c r="H191" s="70">
        <f t="shared" si="18"/>
        <v>0.11548954661198903</v>
      </c>
      <c r="I191" s="71">
        <f t="shared" si="22"/>
        <v>0.35413470089514099</v>
      </c>
      <c r="L191" s="74"/>
      <c r="M191" s="74"/>
      <c r="N191" s="74"/>
      <c r="O191" s="74"/>
      <c r="P191" s="74"/>
      <c r="Q191" s="74"/>
      <c r="R191" s="74"/>
      <c r="S191" s="74"/>
      <c r="T191" s="74"/>
      <c r="U191" s="74"/>
      <c r="V191" s="74"/>
      <c r="W191" s="74"/>
      <c r="X191" s="74"/>
      <c r="Y191" s="74"/>
      <c r="Z191" s="74"/>
    </row>
    <row r="192" spans="1:26" x14ac:dyDescent="0.3">
      <c r="A192" s="66">
        <f t="shared" si="20"/>
        <v>2008.4999999999832</v>
      </c>
      <c r="B192" s="67">
        <f>LOOKUP(A192+0.01,Amounts!$A$4:$A$103,Amounts!$B$4:$B$103)*0.1*$A$2</f>
        <v>3612.2459514690004</v>
      </c>
      <c r="C192" s="68">
        <f t="shared" si="19"/>
        <v>563226.38254947355</v>
      </c>
      <c r="D192" s="67">
        <f t="array" ref="D192">SUM($B$7:$B187*$F$1009*EXP(-$F$1009*($A192-$A$7:$A187)))*$F$1010</f>
        <v>64777520.679066747</v>
      </c>
      <c r="E192" s="67">
        <f t="shared" si="17"/>
        <v>123.49262461117138</v>
      </c>
      <c r="F192" s="70">
        <f t="shared" si="21"/>
        <v>7.4984721663903269</v>
      </c>
      <c r="G192" s="67">
        <f>E192/'Lookup Tables'!$C$48</f>
        <v>246.98524922234276</v>
      </c>
      <c r="H192" s="70">
        <f t="shared" si="18"/>
        <v>0.11524269016274324</v>
      </c>
      <c r="I192" s="71">
        <f t="shared" si="22"/>
        <v>0.35565875888017356</v>
      </c>
      <c r="L192" s="74"/>
      <c r="M192" s="74"/>
      <c r="N192" s="74"/>
      <c r="O192" s="74"/>
      <c r="P192" s="74"/>
      <c r="Q192" s="74"/>
      <c r="R192" s="74"/>
      <c r="S192" s="74"/>
      <c r="T192" s="74"/>
      <c r="U192" s="74"/>
      <c r="V192" s="74"/>
      <c r="W192" s="74"/>
      <c r="X192" s="74"/>
      <c r="Y192" s="74"/>
      <c r="Z192" s="74"/>
    </row>
    <row r="193" spans="1:26" x14ac:dyDescent="0.3">
      <c r="A193" s="66">
        <f t="shared" si="20"/>
        <v>2008.5999999999831</v>
      </c>
      <c r="B193" s="67">
        <f>LOOKUP(A193+0.01,Amounts!$A$4:$A$103,Amounts!$B$4:$B$103)*0.1*$A$2</f>
        <v>3612.2459514690004</v>
      </c>
      <c r="C193" s="68">
        <f t="shared" si="19"/>
        <v>566838.62850094261</v>
      </c>
      <c r="D193" s="67">
        <f t="array" ref="D193">SUM($B$7:$B188*$F$1009*EXP(-$F$1009*($A193-$A$7:$A188)))*$F$1010</f>
        <v>65053167.026672319</v>
      </c>
      <c r="E193" s="67">
        <f t="shared" si="17"/>
        <v>124.01812003880504</v>
      </c>
      <c r="F193" s="70">
        <f t="shared" si="21"/>
        <v>7.5303802487562415</v>
      </c>
      <c r="G193" s="67">
        <f>E193/'Lookup Tables'!$C$48</f>
        <v>248.03624007761007</v>
      </c>
      <c r="H193" s="70">
        <f t="shared" si="18"/>
        <v>0.11499555713904126</v>
      </c>
      <c r="I193" s="71">
        <f t="shared" si="22"/>
        <v>0.35717218571175852</v>
      </c>
      <c r="L193" s="74"/>
      <c r="M193" s="74"/>
      <c r="N193" s="74"/>
      <c r="O193" s="74"/>
      <c r="P193" s="74"/>
      <c r="Q193" s="74"/>
      <c r="R193" s="74"/>
      <c r="S193" s="74"/>
      <c r="T193" s="74"/>
      <c r="U193" s="74"/>
      <c r="V193" s="74"/>
      <c r="W193" s="74"/>
      <c r="X193" s="74"/>
      <c r="Y193" s="74"/>
      <c r="Z193" s="74"/>
    </row>
    <row r="194" spans="1:26" x14ac:dyDescent="0.3">
      <c r="A194" s="66">
        <f t="shared" si="20"/>
        <v>2008.699999999983</v>
      </c>
      <c r="B194" s="67">
        <f>LOOKUP(A194+0.01,Amounts!$A$4:$A$103,Amounts!$B$4:$B$103)*0.1*$A$2</f>
        <v>3612.2459514690004</v>
      </c>
      <c r="C194" s="68">
        <f t="shared" si="19"/>
        <v>570450.87445241166</v>
      </c>
      <c r="D194" s="67">
        <f t="array" ref="D194">SUM($B$7:$B189*$F$1009*EXP(-$F$1009*($A194-$A$7:$A189)))*$F$1010</f>
        <v>65326890.587449923</v>
      </c>
      <c r="E194" s="67">
        <f t="shared" si="17"/>
        <v>124.53994984309494</v>
      </c>
      <c r="F194" s="70">
        <f t="shared" si="21"/>
        <v>7.5620657544727248</v>
      </c>
      <c r="G194" s="67">
        <f>E194/'Lookup Tables'!$C$48</f>
        <v>249.07989968618989</v>
      </c>
      <c r="H194" s="70">
        <f t="shared" si="18"/>
        <v>0.1147481765197844</v>
      </c>
      <c r="I194" s="71">
        <f t="shared" si="22"/>
        <v>0.35867505554811341</v>
      </c>
      <c r="L194" s="74"/>
      <c r="M194" s="74"/>
      <c r="N194" s="74"/>
      <c r="O194" s="74"/>
      <c r="P194" s="74"/>
      <c r="Q194" s="74"/>
      <c r="R194" s="74"/>
      <c r="S194" s="74"/>
      <c r="T194" s="74"/>
      <c r="U194" s="74"/>
      <c r="V194" s="74"/>
      <c r="W194" s="74"/>
      <c r="X194" s="74"/>
      <c r="Y194" s="74"/>
      <c r="Z194" s="74"/>
    </row>
    <row r="195" spans="1:26" x14ac:dyDescent="0.3">
      <c r="A195" s="66">
        <f t="shared" si="20"/>
        <v>2008.7999999999829</v>
      </c>
      <c r="B195" s="67">
        <f>LOOKUP(A195+0.01,Amounts!$A$4:$A$103,Amounts!$B$4:$B$103)*0.1*$A$2</f>
        <v>3612.2459514690004</v>
      </c>
      <c r="C195" s="68">
        <f t="shared" si="19"/>
        <v>574063.12040388072</v>
      </c>
      <c r="D195" s="67">
        <f t="array" ref="D195">SUM($B$7:$B190*$F$1009*EXP(-$F$1009*($A195-$A$7:$A190)))*$F$1010</f>
        <v>65598704.773908824</v>
      </c>
      <c r="E195" s="67">
        <f t="shared" si="17"/>
        <v>125.0581395938059</v>
      </c>
      <c r="F195" s="70">
        <f t="shared" si="21"/>
        <v>7.5935302361358943</v>
      </c>
      <c r="G195" s="67">
        <f>E195/'Lookup Tables'!$C$48</f>
        <v>250.11627918761181</v>
      </c>
      <c r="H195" s="70">
        <f t="shared" si="18"/>
        <v>0.1145005763900315</v>
      </c>
      <c r="I195" s="71">
        <f t="shared" si="22"/>
        <v>0.36016744203016104</v>
      </c>
      <c r="L195" s="74"/>
      <c r="M195" s="74"/>
      <c r="N195" s="74"/>
      <c r="O195" s="74"/>
      <c r="P195" s="74"/>
      <c r="Q195" s="74"/>
      <c r="R195" s="74"/>
      <c r="S195" s="74"/>
      <c r="T195" s="74"/>
      <c r="U195" s="74"/>
      <c r="V195" s="74"/>
      <c r="W195" s="74"/>
      <c r="X195" s="74"/>
      <c r="Y195" s="74"/>
      <c r="Z195" s="74"/>
    </row>
    <row r="196" spans="1:26" x14ac:dyDescent="0.3">
      <c r="A196" s="66">
        <f t="shared" si="20"/>
        <v>2008.8999999999828</v>
      </c>
      <c r="B196" s="67">
        <f>LOOKUP(A196+0.01,Amounts!$A$4:$A$103,Amounts!$B$4:$B$103)*0.1*$A$2</f>
        <v>3612.2459514690004</v>
      </c>
      <c r="C196" s="68">
        <f t="shared" si="19"/>
        <v>577675.36635534978</v>
      </c>
      <c r="D196" s="67">
        <f t="array" ref="D196">SUM($B$7:$B191*$F$1009*EXP(-$F$1009*($A196-$A$7:$A191)))*$F$1010</f>
        <v>65868622.904998504</v>
      </c>
      <c r="E196" s="67">
        <f t="shared" si="17"/>
        <v>125.57271468233932</v>
      </c>
      <c r="F196" s="70">
        <f t="shared" si="21"/>
        <v>7.6247752355116436</v>
      </c>
      <c r="G196" s="67">
        <f>E196/'Lookup Tables'!$C$48</f>
        <v>251.14542936467865</v>
      </c>
      <c r="H196" s="70">
        <f t="shared" si="18"/>
        <v>0.11425278397008512</v>
      </c>
      <c r="I196" s="71">
        <f t="shared" si="22"/>
        <v>0.3616494182851373</v>
      </c>
      <c r="L196" s="74"/>
      <c r="M196" s="74"/>
      <c r="N196" s="74"/>
      <c r="O196" s="74"/>
      <c r="P196" s="74"/>
      <c r="Q196" s="74"/>
      <c r="R196" s="74"/>
      <c r="S196" s="74"/>
      <c r="T196" s="74"/>
      <c r="U196" s="74"/>
      <c r="V196" s="74"/>
      <c r="W196" s="74"/>
      <c r="X196" s="74"/>
      <c r="Y196" s="74"/>
      <c r="Z196" s="74"/>
    </row>
    <row r="197" spans="1:26" x14ac:dyDescent="0.3">
      <c r="A197" s="66">
        <f t="shared" si="20"/>
        <v>2008.9999999999827</v>
      </c>
      <c r="B197" s="67">
        <f>LOOKUP(A197+0.01,Amounts!$A$4:$A$103,Amounts!$B$4:$B$103)*0.1*$A$2</f>
        <v>3684.4672806170001</v>
      </c>
      <c r="C197" s="68">
        <f t="shared" si="19"/>
        <v>581359.83363596676</v>
      </c>
      <c r="D197" s="67">
        <f t="array" ref="D197">SUM($B$7:$B192*$F$1009*EXP(-$F$1009*($A197-$A$7:$A192)))*$F$1010</f>
        <v>66136658.206761435</v>
      </c>
      <c r="E197" s="67">
        <f t="shared" si="17"/>
        <v>126.08370032297761</v>
      </c>
      <c r="F197" s="70">
        <f t="shared" si="21"/>
        <v>7.6558022836111999</v>
      </c>
      <c r="G197" s="67">
        <f>E197/'Lookup Tables'!$C$48</f>
        <v>252.16740064595521</v>
      </c>
      <c r="H197" s="70">
        <f t="shared" si="18"/>
        <v>0.11399066302068164</v>
      </c>
      <c r="I197" s="71">
        <f t="shared" si="22"/>
        <v>0.36312105693017549</v>
      </c>
      <c r="L197" s="74"/>
      <c r="M197" s="74"/>
      <c r="N197" s="74"/>
      <c r="O197" s="74"/>
      <c r="P197" s="74"/>
      <c r="Q197" s="74"/>
      <c r="R197" s="74"/>
      <c r="S197" s="74"/>
      <c r="T197" s="74"/>
      <c r="U197" s="74"/>
      <c r="V197" s="74"/>
      <c r="W197" s="74"/>
      <c r="X197" s="74"/>
      <c r="Y197" s="74"/>
      <c r="Z197" s="74"/>
    </row>
    <row r="198" spans="1:26" x14ac:dyDescent="0.3">
      <c r="A198" s="66">
        <f t="shared" si="20"/>
        <v>2009.0999999999826</v>
      </c>
      <c r="B198" s="67">
        <f>LOOKUP(A198+0.01,Amounts!$A$4:$A$103,Amounts!$B$4:$B$103)*0.1*$A$2</f>
        <v>3684.4672806170001</v>
      </c>
      <c r="C198" s="68">
        <f t="shared" si="19"/>
        <v>585044.30091658374</v>
      </c>
      <c r="D198" s="67">
        <f t="array" ref="D198">SUM($B$7:$B193*$F$1009*EXP(-$F$1009*($A198-$A$7:$A193)))*$F$1010</f>
        <v>66402823.812981002</v>
      </c>
      <c r="E198" s="67">
        <f t="shared" si="17"/>
        <v>126.5911215541193</v>
      </c>
      <c r="F198" s="70">
        <f t="shared" si="21"/>
        <v>7.6866129007661232</v>
      </c>
      <c r="G198" s="67">
        <f>E198/'Lookup Tables'!$C$48</f>
        <v>253.18224310823859</v>
      </c>
      <c r="H198" s="70">
        <f t="shared" si="18"/>
        <v>0.11372864137741923</v>
      </c>
      <c r="I198" s="71">
        <f t="shared" si="22"/>
        <v>0.36458243007586355</v>
      </c>
      <c r="L198" s="74"/>
      <c r="M198" s="74"/>
      <c r="N198" s="74"/>
      <c r="O198" s="74"/>
      <c r="P198" s="74"/>
      <c r="Q198" s="74"/>
      <c r="R198" s="74"/>
      <c r="S198" s="74"/>
      <c r="T198" s="74"/>
      <c r="U198" s="74"/>
      <c r="V198" s="74"/>
      <c r="W198" s="74"/>
      <c r="X198" s="74"/>
      <c r="Y198" s="74"/>
      <c r="Z198" s="74"/>
    </row>
    <row r="199" spans="1:26" x14ac:dyDescent="0.3">
      <c r="A199" s="66">
        <f t="shared" si="20"/>
        <v>2009.1999999999825</v>
      </c>
      <c r="B199" s="67">
        <f>LOOKUP(A199+0.01,Amounts!$A$4:$A$103,Amounts!$B$4:$B$103)*0.1*$A$2</f>
        <v>3684.4672806170001</v>
      </c>
      <c r="C199" s="68">
        <f t="shared" si="19"/>
        <v>588728.76819720073</v>
      </c>
      <c r="D199" s="67">
        <f t="array" ref="D199">SUM($B$7:$B194*$F$1009*EXP(-$F$1009*($A199-$A$7:$A194)))*$F$1010</f>
        <v>66667132.76582519</v>
      </c>
      <c r="E199" s="67">
        <f t="shared" ref="E199:E262" si="23">D199/(365*24*60)*1.00201</f>
        <v>127.09500323950628</v>
      </c>
      <c r="F199" s="70">
        <f t="shared" si="21"/>
        <v>7.7172085967028217</v>
      </c>
      <c r="G199" s="67">
        <f>E199/'Lookup Tables'!$C$48</f>
        <v>254.19000647901257</v>
      </c>
      <c r="H199" s="70">
        <f t="shared" ref="H199:H262" si="24">G199*60*24*365/(C199*2000)</f>
        <v>0.1134667393734508</v>
      </c>
      <c r="I199" s="71">
        <f t="shared" si="22"/>
        <v>0.36603360932977813</v>
      </c>
      <c r="L199" s="74"/>
      <c r="M199" s="74"/>
      <c r="N199" s="74"/>
      <c r="O199" s="74"/>
      <c r="P199" s="74"/>
      <c r="Q199" s="74"/>
      <c r="R199" s="74"/>
      <c r="S199" s="74"/>
      <c r="T199" s="74"/>
      <c r="U199" s="74"/>
      <c r="V199" s="74"/>
      <c r="W199" s="74"/>
      <c r="X199" s="74"/>
      <c r="Y199" s="74"/>
      <c r="Z199" s="74"/>
    </row>
    <row r="200" spans="1:26" x14ac:dyDescent="0.3">
      <c r="A200" s="66">
        <f t="shared" si="20"/>
        <v>2009.2999999999824</v>
      </c>
      <c r="B200" s="67">
        <f>LOOKUP(A200+0.01,Amounts!$A$4:$A$103,Amounts!$B$4:$B$103)*0.1*$A$2</f>
        <v>3684.4672806170001</v>
      </c>
      <c r="C200" s="68">
        <f t="shared" si="19"/>
        <v>592413.23547781771</v>
      </c>
      <c r="D200" s="67">
        <f t="array" ref="D200">SUM($B$7:$B195*$F$1009*EXP(-$F$1009*($A200-$A$7:$A195)))*$F$1010</f>
        <v>66929598.016485542</v>
      </c>
      <c r="E200" s="67">
        <f t="shared" si="23"/>
        <v>127.59537006944194</v>
      </c>
      <c r="F200" s="70">
        <f t="shared" si="21"/>
        <v>7.7475908706165146</v>
      </c>
      <c r="G200" s="67">
        <f>E200/'Lookup Tables'!$C$48</f>
        <v>255.19074013888388</v>
      </c>
      <c r="H200" s="70">
        <f t="shared" si="24"/>
        <v>0.11320497668220958</v>
      </c>
      <c r="I200" s="71">
        <f t="shared" si="22"/>
        <v>0.36747466579999277</v>
      </c>
      <c r="L200" s="74"/>
      <c r="M200" s="74"/>
      <c r="N200" s="74"/>
      <c r="O200" s="74"/>
      <c r="P200" s="74"/>
      <c r="Q200" s="74"/>
      <c r="R200" s="74"/>
      <c r="S200" s="74"/>
      <c r="T200" s="74"/>
      <c r="U200" s="74"/>
      <c r="V200" s="74"/>
      <c r="W200" s="74"/>
      <c r="X200" s="74"/>
      <c r="Y200" s="74"/>
      <c r="Z200" s="74"/>
    </row>
    <row r="201" spans="1:26" x14ac:dyDescent="0.3">
      <c r="A201" s="66">
        <f t="shared" si="20"/>
        <v>2009.3999999999824</v>
      </c>
      <c r="B201" s="67">
        <f>LOOKUP(A201+0.01,Amounts!$A$4:$A$103,Amounts!$B$4:$B$103)*0.1*$A$2</f>
        <v>3684.4672806170001</v>
      </c>
      <c r="C201" s="68">
        <f t="shared" ref="C201:C264" si="25">C200+B201</f>
        <v>596097.70275843469</v>
      </c>
      <c r="D201" s="67">
        <f t="array" ref="D201">SUM($B$7:$B196*$F$1009*EXP(-$F$1009*($A201-$A$7:$A196)))*$F$1010</f>
        <v>67190232.425811872</v>
      </c>
      <c r="E201" s="67">
        <f t="shared" si="23"/>
        <v>128.09224656200107</v>
      </c>
      <c r="F201" s="70">
        <f t="shared" si="21"/>
        <v>7.7777612112447052</v>
      </c>
      <c r="G201" s="67">
        <f>E201/'Lookup Tables'!$C$48</f>
        <v>256.18449312400213</v>
      </c>
      <c r="H201" s="70">
        <f t="shared" si="24"/>
        <v>0.11294337233886467</v>
      </c>
      <c r="I201" s="71">
        <f t="shared" si="22"/>
        <v>0.36890567009856307</v>
      </c>
      <c r="L201" s="74"/>
      <c r="M201" s="74"/>
      <c r="N201" s="74"/>
      <c r="O201" s="74"/>
      <c r="P201" s="74"/>
      <c r="Q201" s="74"/>
      <c r="R201" s="74"/>
      <c r="S201" s="74"/>
      <c r="T201" s="74"/>
      <c r="U201" s="74"/>
      <c r="V201" s="74"/>
      <c r="W201" s="74"/>
      <c r="X201" s="74"/>
      <c r="Y201" s="74"/>
      <c r="Z201" s="74"/>
    </row>
    <row r="202" spans="1:26" x14ac:dyDescent="0.3">
      <c r="A202" s="66">
        <f t="shared" si="20"/>
        <v>2009.4999999999823</v>
      </c>
      <c r="B202" s="67">
        <f>LOOKUP(A202+0.01,Amounts!$A$4:$A$103,Amounts!$B$4:$B$103)*0.1*$A$2</f>
        <v>3684.4672806170001</v>
      </c>
      <c r="C202" s="68">
        <f t="shared" si="25"/>
        <v>599782.17003905168</v>
      </c>
      <c r="D202" s="67">
        <f t="array" ref="D202">SUM($B$7:$B197*$F$1009*EXP(-$F$1009*($A202-$A$7:$A197)))*$F$1010</f>
        <v>67463594.12673974</v>
      </c>
      <c r="E202" s="67">
        <f t="shared" si="23"/>
        <v>128.61338651243244</v>
      </c>
      <c r="F202" s="70">
        <f t="shared" si="21"/>
        <v>7.8094048290348974</v>
      </c>
      <c r="G202" s="67">
        <f>E202/'Lookup Tables'!$C$48</f>
        <v>257.22677302486488</v>
      </c>
      <c r="H202" s="70">
        <f t="shared" si="24"/>
        <v>0.11270624457964987</v>
      </c>
      <c r="I202" s="71">
        <f t="shared" si="22"/>
        <v>0.37040655315580545</v>
      </c>
      <c r="L202" s="74"/>
      <c r="M202" s="74"/>
      <c r="N202" s="74"/>
      <c r="O202" s="74"/>
      <c r="P202" s="74"/>
      <c r="Q202" s="74"/>
      <c r="R202" s="74"/>
      <c r="S202" s="74"/>
      <c r="T202" s="74"/>
      <c r="U202" s="74"/>
      <c r="V202" s="74"/>
      <c r="W202" s="74"/>
      <c r="X202" s="74"/>
      <c r="Y202" s="74"/>
      <c r="Z202" s="74"/>
    </row>
    <row r="203" spans="1:26" x14ac:dyDescent="0.3">
      <c r="A203" s="66">
        <f t="shared" si="20"/>
        <v>2009.5999999999822</v>
      </c>
      <c r="B203" s="67">
        <f>LOOKUP(A203+0.01,Amounts!$A$4:$A$103,Amounts!$B$4:$B$103)*0.1*$A$2</f>
        <v>3684.4672806170001</v>
      </c>
      <c r="C203" s="68">
        <f t="shared" si="25"/>
        <v>603466.63731966866</v>
      </c>
      <c r="D203" s="67">
        <f t="array" ref="D203">SUM($B$7:$B198*$F$1009*EXP(-$F$1009*($A203-$A$7:$A198)))*$F$1010</f>
        <v>67735048.977522895</v>
      </c>
      <c r="E203" s="67">
        <f t="shared" si="23"/>
        <v>129.13089122139976</v>
      </c>
      <c r="F203" s="70">
        <f t="shared" si="21"/>
        <v>7.8408277149633943</v>
      </c>
      <c r="G203" s="67">
        <f>E203/'Lookup Tables'!$C$48</f>
        <v>258.26178244279953</v>
      </c>
      <c r="H203" s="70">
        <f t="shared" si="24"/>
        <v>0.11246884621065631</v>
      </c>
      <c r="I203" s="71">
        <f t="shared" si="22"/>
        <v>0.37189696671763134</v>
      </c>
      <c r="L203" s="74"/>
      <c r="M203" s="74"/>
      <c r="N203" s="74"/>
      <c r="O203" s="74"/>
      <c r="P203" s="74"/>
      <c r="Q203" s="74"/>
      <c r="R203" s="74"/>
      <c r="S203" s="74"/>
      <c r="T203" s="74"/>
      <c r="U203" s="74"/>
      <c r="V203" s="74"/>
      <c r="W203" s="74"/>
      <c r="X203" s="74"/>
      <c r="Y203" s="74"/>
      <c r="Z203" s="74"/>
    </row>
    <row r="204" spans="1:26" x14ac:dyDescent="0.3">
      <c r="A204" s="66">
        <f t="shared" si="20"/>
        <v>2009.6999999999821</v>
      </c>
      <c r="B204" s="67">
        <f>LOOKUP(A204+0.01,Amounts!$A$4:$A$103,Amounts!$B$4:$B$103)*0.1*$A$2</f>
        <v>3684.4672806170001</v>
      </c>
      <c r="C204" s="68">
        <f t="shared" si="25"/>
        <v>607151.10460028565</v>
      </c>
      <c r="D204" s="67">
        <f t="array" ref="D204">SUM($B$7:$B199*$F$1009*EXP(-$F$1009*($A204-$A$7:$A199)))*$F$1010</f>
        <v>68004610.27950339</v>
      </c>
      <c r="E204" s="67">
        <f t="shared" si="23"/>
        <v>129.64478604673744</v>
      </c>
      <c r="F204" s="70">
        <f t="shared" si="21"/>
        <v>7.8720314087578975</v>
      </c>
      <c r="G204" s="67">
        <f>E204/'Lookup Tables'!$C$48</f>
        <v>259.28957209347487</v>
      </c>
      <c r="H204" s="70">
        <f t="shared" si="24"/>
        <v>0.11223120411026119</v>
      </c>
      <c r="I204" s="71">
        <f t="shared" si="22"/>
        <v>0.37337698381460382</v>
      </c>
      <c r="L204" s="74"/>
      <c r="M204" s="74"/>
      <c r="N204" s="74"/>
      <c r="O204" s="74"/>
      <c r="P204" s="74"/>
      <c r="Q204" s="74"/>
      <c r="R204" s="74"/>
      <c r="S204" s="74"/>
      <c r="T204" s="74"/>
      <c r="U204" s="74"/>
      <c r="V204" s="74"/>
      <c r="W204" s="74"/>
      <c r="X204" s="74"/>
      <c r="Y204" s="74"/>
      <c r="Z204" s="74"/>
    </row>
    <row r="205" spans="1:26" x14ac:dyDescent="0.3">
      <c r="A205" s="66">
        <f t="shared" si="20"/>
        <v>2009.799999999982</v>
      </c>
      <c r="B205" s="67">
        <f>LOOKUP(A205+0.01,Amounts!$A$4:$A$103,Amounts!$B$4:$B$103)*0.1*$A$2</f>
        <v>3684.4672806170001</v>
      </c>
      <c r="C205" s="68">
        <f t="shared" si="25"/>
        <v>610835.57188090263</v>
      </c>
      <c r="D205" s="67">
        <f t="array" ref="D205">SUM($B$7:$B200*$F$1009*EXP(-$F$1009*($A205-$A$7:$A200)))*$F$1010</f>
        <v>68272291.241238907</v>
      </c>
      <c r="E205" s="67">
        <f t="shared" si="23"/>
        <v>130.1550961693946</v>
      </c>
      <c r="F205" s="70">
        <f t="shared" si="21"/>
        <v>7.9030174394056401</v>
      </c>
      <c r="G205" s="67">
        <f>E205/'Lookup Tables'!$C$48</f>
        <v>260.31019233878919</v>
      </c>
      <c r="H205" s="70">
        <f t="shared" si="24"/>
        <v>0.11199334435613371</v>
      </c>
      <c r="I205" s="71">
        <f t="shared" si="22"/>
        <v>0.3748466769678564</v>
      </c>
      <c r="L205" s="74"/>
      <c r="M205" s="74"/>
      <c r="N205" s="74"/>
      <c r="O205" s="74"/>
      <c r="P205" s="74"/>
      <c r="Q205" s="74"/>
      <c r="R205" s="74"/>
      <c r="S205" s="74"/>
      <c r="T205" s="74"/>
      <c r="U205" s="74"/>
      <c r="V205" s="74"/>
      <c r="W205" s="74"/>
      <c r="X205" s="74"/>
      <c r="Y205" s="74"/>
      <c r="Z205" s="74"/>
    </row>
    <row r="206" spans="1:26" x14ac:dyDescent="0.3">
      <c r="A206" s="66">
        <f t="shared" si="20"/>
        <v>2009.8999999999819</v>
      </c>
      <c r="B206" s="67">
        <f>LOOKUP(A206+0.01,Amounts!$A$4:$A$103,Amounts!$B$4:$B$103)*0.1*$A$2</f>
        <v>3684.4672806170001</v>
      </c>
      <c r="C206" s="68">
        <f t="shared" si="25"/>
        <v>614520.03916151961</v>
      </c>
      <c r="D206" s="67">
        <f t="array" ref="D206">SUM($B$7:$B201*$F$1009*EXP(-$F$1009*($A206-$A$7:$A201)))*$F$1010</f>
        <v>68538104.979150161</v>
      </c>
      <c r="E206" s="67">
        <f t="shared" si="23"/>
        <v>130.66184659466944</v>
      </c>
      <c r="F206" s="70">
        <f t="shared" si="21"/>
        <v>7.9337873252283284</v>
      </c>
      <c r="G206" s="67">
        <f>E206/'Lookup Tables'!$C$48</f>
        <v>261.32369318933888</v>
      </c>
      <c r="H206" s="70">
        <f t="shared" si="24"/>
        <v>0.11175529225029485</v>
      </c>
      <c r="I206" s="71">
        <f t="shared" si="22"/>
        <v>0.37630611819264798</v>
      </c>
      <c r="L206" s="74"/>
      <c r="M206" s="74"/>
      <c r="N206" s="74"/>
      <c r="O206" s="74"/>
      <c r="P206" s="74"/>
      <c r="Q206" s="74"/>
      <c r="R206" s="74"/>
      <c r="S206" s="74"/>
      <c r="T206" s="74"/>
      <c r="U206" s="74"/>
      <c r="V206" s="74"/>
      <c r="W206" s="74"/>
      <c r="X206" s="74"/>
      <c r="Y206" s="74"/>
      <c r="Z206" s="74"/>
    </row>
    <row r="207" spans="1:26" x14ac:dyDescent="0.3">
      <c r="A207" s="66">
        <f t="shared" si="20"/>
        <v>2009.9999999999818</v>
      </c>
      <c r="B207" s="67">
        <f>LOOKUP(A207+0.01,Amounts!$A$4:$A$103,Amounts!$B$4:$B$103)*0.1*$A$2</f>
        <v>3758.1402947729998</v>
      </c>
      <c r="C207" s="68">
        <f t="shared" si="25"/>
        <v>618278.17945629265</v>
      </c>
      <c r="D207" s="67">
        <f t="array" ref="D207">SUM($B$7:$B202*$F$1009*EXP(-$F$1009*($A207-$A$7:$A202)))*$F$1010</f>
        <v>68802064.518163487</v>
      </c>
      <c r="E207" s="67">
        <f t="shared" si="23"/>
        <v>131.16506215343418</v>
      </c>
      <c r="F207" s="70">
        <f t="shared" si="21"/>
        <v>7.9643425739565243</v>
      </c>
      <c r="G207" s="67">
        <f>E207/'Lookup Tables'!$C$48</f>
        <v>262.33012430686836</v>
      </c>
      <c r="H207" s="70">
        <f t="shared" si="24"/>
        <v>0.11150378415177198</v>
      </c>
      <c r="I207" s="71">
        <f t="shared" si="22"/>
        <v>0.37775537900189043</v>
      </c>
      <c r="L207" s="74"/>
      <c r="M207" s="74"/>
      <c r="N207" s="74"/>
      <c r="O207" s="74"/>
      <c r="P207" s="74"/>
      <c r="Q207" s="74"/>
      <c r="R207" s="74"/>
      <c r="S207" s="74"/>
      <c r="T207" s="74"/>
      <c r="U207" s="74"/>
      <c r="V207" s="74"/>
      <c r="W207" s="74"/>
      <c r="X207" s="74"/>
      <c r="Y207" s="74"/>
      <c r="Z207" s="74"/>
    </row>
    <row r="208" spans="1:26" x14ac:dyDescent="0.3">
      <c r="A208" s="66">
        <f t="shared" si="20"/>
        <v>2010.0999999999817</v>
      </c>
      <c r="B208" s="67">
        <f>LOOKUP(A208+0.01,Amounts!$A$4:$A$103,Amounts!$B$4:$B$103)*0.1*$A$2</f>
        <v>3758.1402947729998</v>
      </c>
      <c r="C208" s="68">
        <f t="shared" si="25"/>
        <v>622036.31975106569</v>
      </c>
      <c r="D208" s="67">
        <f t="array" ref="D208">SUM($B$7:$B203*$F$1009*EXP(-$F$1009*($A208-$A$7:$A203)))*$F$1010</f>
        <v>69064182.792349115</v>
      </c>
      <c r="E208" s="67">
        <f t="shared" si="23"/>
        <v>131.66476750335187</v>
      </c>
      <c r="F208" s="70">
        <f t="shared" si="21"/>
        <v>7.9946846828035252</v>
      </c>
      <c r="G208" s="67">
        <f>E208/'Lookup Tables'!$C$48</f>
        <v>263.32953500670374</v>
      </c>
      <c r="H208" s="70">
        <f t="shared" si="24"/>
        <v>0.11125234910311389</v>
      </c>
      <c r="I208" s="71">
        <f t="shared" si="22"/>
        <v>0.3791945304096534</v>
      </c>
      <c r="L208" s="74"/>
      <c r="M208" s="74"/>
      <c r="N208" s="74"/>
      <c r="O208" s="74"/>
      <c r="P208" s="74"/>
      <c r="Q208" s="74"/>
      <c r="R208" s="74"/>
      <c r="S208" s="74"/>
      <c r="T208" s="74"/>
      <c r="U208" s="74"/>
      <c r="V208" s="74"/>
      <c r="W208" s="74"/>
      <c r="X208" s="74"/>
      <c r="Y208" s="74"/>
      <c r="Z208" s="74"/>
    </row>
    <row r="209" spans="1:26" x14ac:dyDescent="0.3">
      <c r="A209" s="66">
        <f t="shared" si="20"/>
        <v>2010.1999999999816</v>
      </c>
      <c r="B209" s="67">
        <f>LOOKUP(A209+0.01,Amounts!$A$4:$A$103,Amounts!$B$4:$B$103)*0.1*$A$2</f>
        <v>3758.1402947729998</v>
      </c>
      <c r="C209" s="68">
        <f t="shared" si="25"/>
        <v>625794.46004583873</v>
      </c>
      <c r="D209" s="67">
        <f t="array" ref="D209">SUM($B$7:$B204*$F$1009*EXP(-$F$1009*($A209-$A$7:$A204)))*$F$1010</f>
        <v>69324472.645554885</v>
      </c>
      <c r="E209" s="67">
        <f t="shared" si="23"/>
        <v>132.16098713008458</v>
      </c>
      <c r="F209" s="70">
        <f t="shared" si="21"/>
        <v>8.0248151385387363</v>
      </c>
      <c r="G209" s="67">
        <f>E209/'Lookup Tables'!$C$48</f>
        <v>264.32197426016916</v>
      </c>
      <c r="H209" s="70">
        <f t="shared" si="24"/>
        <v>0.11100100635356265</v>
      </c>
      <c r="I209" s="71">
        <f t="shared" si="22"/>
        <v>0.38062364293464362</v>
      </c>
      <c r="L209" s="74"/>
      <c r="M209" s="74"/>
      <c r="N209" s="74"/>
      <c r="O209" s="74"/>
      <c r="P209" s="74"/>
      <c r="Q209" s="74"/>
      <c r="R209" s="74"/>
      <c r="S209" s="74"/>
      <c r="T209" s="74"/>
      <c r="U209" s="74"/>
      <c r="V209" s="74"/>
      <c r="W209" s="74"/>
      <c r="X209" s="74"/>
      <c r="Y209" s="74"/>
      <c r="Z209" s="74"/>
    </row>
    <row r="210" spans="1:26" x14ac:dyDescent="0.3">
      <c r="A210" s="66">
        <f t="shared" si="20"/>
        <v>2010.2999999999815</v>
      </c>
      <c r="B210" s="67">
        <f>LOOKUP(A210+0.01,Amounts!$A$4:$A$103,Amounts!$B$4:$B$103)*0.1*$A$2</f>
        <v>3758.1402947729998</v>
      </c>
      <c r="C210" s="68">
        <f t="shared" si="25"/>
        <v>629552.60034061177</v>
      </c>
      <c r="D210" s="67">
        <f t="array" ref="D210">SUM($B$7:$B205*$F$1009*EXP(-$F$1009*($A210-$A$7:$A205)))*$F$1010</f>
        <v>69582946.832035765</v>
      </c>
      <c r="E210" s="67">
        <f t="shared" si="23"/>
        <v>132.65374534849346</v>
      </c>
      <c r="F210" s="70">
        <f t="shared" si="21"/>
        <v>8.0547354175605239</v>
      </c>
      <c r="G210" s="67">
        <f>E210/'Lookup Tables'!$C$48</f>
        <v>265.30749069698692</v>
      </c>
      <c r="H210" s="70">
        <f t="shared" si="24"/>
        <v>0.1107497745501257</v>
      </c>
      <c r="I210" s="71">
        <f t="shared" si="22"/>
        <v>0.38204278660366114</v>
      </c>
      <c r="L210" s="74"/>
      <c r="M210" s="74"/>
      <c r="N210" s="74"/>
      <c r="O210" s="74"/>
      <c r="P210" s="74"/>
      <c r="Q210" s="74"/>
      <c r="R210" s="74"/>
      <c r="S210" s="74"/>
      <c r="T210" s="74"/>
      <c r="U210" s="74"/>
      <c r="V210" s="74"/>
      <c r="W210" s="74"/>
      <c r="X210" s="74"/>
      <c r="Y210" s="74"/>
      <c r="Z210" s="74"/>
    </row>
    <row r="211" spans="1:26" x14ac:dyDescent="0.3">
      <c r="A211" s="66">
        <f t="shared" ref="A211:A274" si="26">A210+0.1</f>
        <v>2010.3999999999814</v>
      </c>
      <c r="B211" s="67">
        <f>LOOKUP(A211+0.01,Amounts!$A$4:$A$103,Amounts!$B$4:$B$103)*0.1*$A$2</f>
        <v>3758.1402947729998</v>
      </c>
      <c r="C211" s="68">
        <f t="shared" si="25"/>
        <v>633310.74063538481</v>
      </c>
      <c r="D211" s="67">
        <f t="array" ref="D211">SUM($B$7:$B206*$F$1009*EXP(-$F$1009*($A211-$A$7:$A206)))*$F$1010</f>
        <v>69839618.017078549</v>
      </c>
      <c r="E211" s="67">
        <f t="shared" si="23"/>
        <v>133.14306630382967</v>
      </c>
      <c r="F211" s="70">
        <f t="shared" ref="F211:F274" si="27">E211*60*1012/1000000</f>
        <v>8.0844469859685368</v>
      </c>
      <c r="G211" s="67">
        <f>E211/'Lookup Tables'!$C$48</f>
        <v>266.28613260765934</v>
      </c>
      <c r="H211" s="70">
        <f t="shared" si="24"/>
        <v>0.11049867175643302</v>
      </c>
      <c r="I211" s="71">
        <f t="shared" ref="I211:I274" si="28">G211*60*24/1000000</f>
        <v>0.38345203095502944</v>
      </c>
      <c r="L211" s="74"/>
      <c r="M211" s="74"/>
      <c r="N211" s="74"/>
      <c r="O211" s="74"/>
      <c r="P211" s="74"/>
      <c r="Q211" s="74"/>
      <c r="R211" s="74"/>
      <c r="S211" s="74"/>
      <c r="T211" s="74"/>
      <c r="U211" s="74"/>
      <c r="V211" s="74"/>
      <c r="W211" s="74"/>
      <c r="X211" s="74"/>
      <c r="Y211" s="74"/>
      <c r="Z211" s="74"/>
    </row>
    <row r="212" spans="1:26" x14ac:dyDescent="0.3">
      <c r="A212" s="66">
        <f t="shared" si="26"/>
        <v>2010.4999999999814</v>
      </c>
      <c r="B212" s="67">
        <f>LOOKUP(A212+0.01,Amounts!$A$4:$A$103,Amounts!$B$4:$B$103)*0.1*$A$2</f>
        <v>3758.1402947729998</v>
      </c>
      <c r="C212" s="68">
        <f t="shared" si="25"/>
        <v>637068.88093015784</v>
      </c>
      <c r="D212" s="67">
        <f t="array" ref="D212">SUM($B$7:$B207*$F$1009*EXP(-$F$1009*($A212-$A$7:$A207)))*$F$1010</f>
        <v>70109336.508501381</v>
      </c>
      <c r="E212" s="67">
        <f t="shared" si="23"/>
        <v>133.65726079696248</v>
      </c>
      <c r="F212" s="70">
        <f t="shared" si="27"/>
        <v>8.1156688755915614</v>
      </c>
      <c r="G212" s="67">
        <f>E212/'Lookup Tables'!$C$48</f>
        <v>267.31452159392495</v>
      </c>
      <c r="H212" s="70">
        <f t="shared" si="24"/>
        <v>0.11027105290767615</v>
      </c>
      <c r="I212" s="71">
        <f t="shared" si="28"/>
        <v>0.38493291109525191</v>
      </c>
      <c r="L212" s="74"/>
      <c r="M212" s="74"/>
      <c r="N212" s="74"/>
      <c r="O212" s="74"/>
      <c r="P212" s="74"/>
      <c r="Q212" s="74"/>
      <c r="R212" s="74"/>
      <c r="S212" s="74"/>
      <c r="T212" s="74"/>
      <c r="U212" s="74"/>
      <c r="V212" s="74"/>
      <c r="W212" s="74"/>
      <c r="X212" s="74"/>
      <c r="Y212" s="74"/>
      <c r="Z212" s="74"/>
    </row>
    <row r="213" spans="1:26" x14ac:dyDescent="0.3">
      <c r="A213" s="66">
        <f t="shared" si="26"/>
        <v>2010.5999999999813</v>
      </c>
      <c r="B213" s="67">
        <f>LOOKUP(A213+0.01,Amounts!$A$4:$A$103,Amounts!$B$4:$B$103)*0.1*$A$2</f>
        <v>3758.1402947729998</v>
      </c>
      <c r="C213" s="68">
        <f t="shared" si="25"/>
        <v>640827.02122493088</v>
      </c>
      <c r="D213" s="67">
        <f t="array" ref="D213">SUM($B$7:$B208*$F$1009*EXP(-$F$1009*($A213-$A$7:$A208)))*$F$1010</f>
        <v>70377173.563195303</v>
      </c>
      <c r="E213" s="67">
        <f t="shared" si="23"/>
        <v>134.16786849706494</v>
      </c>
      <c r="F213" s="70">
        <f t="shared" si="27"/>
        <v>8.146672975141783</v>
      </c>
      <c r="G213" s="67">
        <f>E213/'Lookup Tables'!$C$48</f>
        <v>268.33573699412989</v>
      </c>
      <c r="H213" s="70">
        <f t="shared" si="24"/>
        <v>0.11004316195540892</v>
      </c>
      <c r="I213" s="71">
        <f t="shared" si="28"/>
        <v>0.38640346127154701</v>
      </c>
      <c r="L213" s="74"/>
      <c r="M213" s="74"/>
      <c r="N213" s="74"/>
      <c r="O213" s="74"/>
      <c r="P213" s="74"/>
      <c r="Q213" s="74"/>
      <c r="R213" s="74"/>
      <c r="S213" s="74"/>
      <c r="T213" s="74"/>
      <c r="U213" s="74"/>
      <c r="V213" s="74"/>
      <c r="W213" s="74"/>
      <c r="X213" s="74"/>
      <c r="Y213" s="74"/>
      <c r="Z213" s="74"/>
    </row>
    <row r="214" spans="1:26" x14ac:dyDescent="0.3">
      <c r="A214" s="66">
        <f t="shared" si="26"/>
        <v>2010.6999999999812</v>
      </c>
      <c r="B214" s="67">
        <f>LOOKUP(A214+0.01,Amounts!$A$4:$A$103,Amounts!$B$4:$B$103)*0.1*$A$2</f>
        <v>3758.1402947729998</v>
      </c>
      <c r="C214" s="68">
        <f t="shared" si="25"/>
        <v>644585.16151970392</v>
      </c>
      <c r="D214" s="67">
        <f t="array" ref="D214">SUM($B$7:$B209*$F$1009*EXP(-$F$1009*($A214-$A$7:$A209)))*$F$1010</f>
        <v>70643142.305229634</v>
      </c>
      <c r="E214" s="67">
        <f t="shared" si="23"/>
        <v>134.67491442401666</v>
      </c>
      <c r="F214" s="70">
        <f t="shared" si="27"/>
        <v>8.1774608038262926</v>
      </c>
      <c r="G214" s="67">
        <f>E214/'Lookup Tables'!$C$48</f>
        <v>269.34982884803333</v>
      </c>
      <c r="H214" s="70">
        <f t="shared" si="24"/>
        <v>0.1098150240604001</v>
      </c>
      <c r="I214" s="71">
        <f t="shared" si="28"/>
        <v>0.38786375354116798</v>
      </c>
      <c r="L214" s="74"/>
      <c r="M214" s="74"/>
      <c r="N214" s="74"/>
      <c r="O214" s="74"/>
      <c r="P214" s="74"/>
      <c r="Q214" s="74"/>
      <c r="R214" s="74"/>
      <c r="S214" s="74"/>
      <c r="T214" s="74"/>
      <c r="U214" s="74"/>
      <c r="V214" s="74"/>
      <c r="W214" s="74"/>
      <c r="X214" s="74"/>
      <c r="Y214" s="74"/>
      <c r="Z214" s="74"/>
    </row>
    <row r="215" spans="1:26" x14ac:dyDescent="0.3">
      <c r="A215" s="66">
        <f t="shared" si="26"/>
        <v>2010.7999999999811</v>
      </c>
      <c r="B215" s="67">
        <f>LOOKUP(A215+0.01,Amounts!$A$4:$A$103,Amounts!$B$4:$B$103)*0.1*$A$2</f>
        <v>3758.1402947729998</v>
      </c>
      <c r="C215" s="68">
        <f t="shared" si="25"/>
        <v>648343.30181447696</v>
      </c>
      <c r="D215" s="67">
        <f t="array" ref="D215">SUM($B$7:$B210*$F$1009*EXP(-$F$1009*($A215-$A$7:$A210)))*$F$1010</f>
        <v>70907255.767125919</v>
      </c>
      <c r="E215" s="67">
        <f t="shared" si="23"/>
        <v>135.17842342316942</v>
      </c>
      <c r="F215" s="70">
        <f t="shared" si="27"/>
        <v>8.2080338702548463</v>
      </c>
      <c r="G215" s="67">
        <f>E215/'Lookup Tables'!$C$48</f>
        <v>270.35684684633884</v>
      </c>
      <c r="H215" s="70">
        <f t="shared" si="24"/>
        <v>0.10958666365855151</v>
      </c>
      <c r="I215" s="71">
        <f t="shared" si="28"/>
        <v>0.38931385945872787</v>
      </c>
      <c r="L215" s="74"/>
      <c r="M215" s="74"/>
      <c r="N215" s="74"/>
      <c r="O215" s="74"/>
      <c r="P215" s="74"/>
      <c r="Q215" s="74"/>
      <c r="R215" s="74"/>
      <c r="S215" s="74"/>
      <c r="T215" s="74"/>
      <c r="U215" s="74"/>
      <c r="V215" s="74"/>
      <c r="W215" s="74"/>
      <c r="X215" s="74"/>
      <c r="Y215" s="74"/>
      <c r="Z215" s="74"/>
    </row>
    <row r="216" spans="1:26" x14ac:dyDescent="0.3">
      <c r="A216" s="66">
        <f t="shared" si="26"/>
        <v>2010.899999999981</v>
      </c>
      <c r="B216" s="67">
        <f>LOOKUP(A216+0.01,Amounts!$A$4:$A$103,Amounts!$B$4:$B$103)*0.1*$A$2</f>
        <v>3758.1402947729998</v>
      </c>
      <c r="C216" s="68">
        <f t="shared" si="25"/>
        <v>652101.44210925</v>
      </c>
      <c r="D216" s="67">
        <f t="array" ref="D216">SUM($B$7:$B211*$F$1009*EXP(-$F$1009*($A216-$A$7:$A211)))*$F$1010</f>
        <v>71169526.890496656</v>
      </c>
      <c r="E216" s="67">
        <f t="shared" si="23"/>
        <v>135.67842016656499</v>
      </c>
      <c r="F216" s="70">
        <f t="shared" si="27"/>
        <v>8.2383936725138263</v>
      </c>
      <c r="G216" s="67">
        <f>E216/'Lookup Tables'!$C$48</f>
        <v>271.35684033312998</v>
      </c>
      <c r="H216" s="70">
        <f t="shared" si="24"/>
        <v>0.10935810448276725</v>
      </c>
      <c r="I216" s="71">
        <f t="shared" si="28"/>
        <v>0.39075385007970714</v>
      </c>
      <c r="L216" s="74"/>
      <c r="M216" s="74"/>
      <c r="N216" s="74"/>
      <c r="O216" s="74"/>
      <c r="P216" s="74"/>
      <c r="Q216" s="74"/>
      <c r="R216" s="74"/>
      <c r="S216" s="74"/>
      <c r="T216" s="74"/>
      <c r="U216" s="74"/>
      <c r="V216" s="74"/>
      <c r="W216" s="74"/>
      <c r="X216" s="74"/>
      <c r="Y216" s="74"/>
      <c r="Z216" s="74"/>
    </row>
    <row r="217" spans="1:26" x14ac:dyDescent="0.3">
      <c r="A217" s="66">
        <f t="shared" si="26"/>
        <v>2010.9999999999809</v>
      </c>
      <c r="B217" s="67">
        <f>LOOKUP(A217+0.01,Amounts!$A$4:$A$103,Amounts!$B$4:$B$103)*0.1*$A$2</f>
        <v>3833.2649939369999</v>
      </c>
      <c r="C217" s="68">
        <f t="shared" si="25"/>
        <v>655934.70710318699</v>
      </c>
      <c r="D217" s="67">
        <f t="array" ref="D217">SUM($B$7:$B212*$F$1009*EXP(-$F$1009*($A217-$A$7:$A212)))*$F$1010</f>
        <v>71429968.526679367</v>
      </c>
      <c r="E217" s="67">
        <f t="shared" si="23"/>
        <v>136.17492915414385</v>
      </c>
      <c r="F217" s="70">
        <f t="shared" si="27"/>
        <v>8.2685416982396145</v>
      </c>
      <c r="G217" s="67">
        <f>E217/'Lookup Tables'!$C$48</f>
        <v>272.34985830828771</v>
      </c>
      <c r="H217" s="70">
        <f t="shared" si="24"/>
        <v>0.10911687091465121</v>
      </c>
      <c r="I217" s="71">
        <f t="shared" si="28"/>
        <v>0.39218379596393427</v>
      </c>
      <c r="L217" s="74"/>
      <c r="M217" s="74"/>
      <c r="N217" s="74"/>
      <c r="O217" s="74"/>
      <c r="P217" s="74"/>
      <c r="Q217" s="74"/>
      <c r="R217" s="74"/>
      <c r="S217" s="74"/>
      <c r="T217" s="74"/>
      <c r="U217" s="74"/>
      <c r="V217" s="74"/>
      <c r="W217" s="74"/>
      <c r="X217" s="74"/>
      <c r="Y217" s="74"/>
      <c r="Z217" s="74"/>
    </row>
    <row r="218" spans="1:26" x14ac:dyDescent="0.3">
      <c r="A218" s="66">
        <f t="shared" si="26"/>
        <v>2011.0999999999808</v>
      </c>
      <c r="B218" s="67">
        <f>LOOKUP(A218+0.01,Amounts!$A$4:$A$103,Amounts!$B$4:$B$103)*0.1*$A$2</f>
        <v>3833.2649939369999</v>
      </c>
      <c r="C218" s="68">
        <f t="shared" si="25"/>
        <v>659767.97209712397</v>
      </c>
      <c r="D218" s="67">
        <f t="array" ref="D218">SUM($B$7:$B213*$F$1009*EXP(-$F$1009*($A218-$A$7:$A213)))*$F$1010</f>
        <v>71688593.437366322</v>
      </c>
      <c r="E218" s="67">
        <f t="shared" si="23"/>
        <v>136.66797471494564</v>
      </c>
      <c r="F218" s="70">
        <f t="shared" si="27"/>
        <v>8.2984794246915001</v>
      </c>
      <c r="G218" s="67">
        <f>E218/'Lookup Tables'!$C$48</f>
        <v>273.33594942989129</v>
      </c>
      <c r="H218" s="70">
        <f t="shared" si="24"/>
        <v>0.10887568137302821</v>
      </c>
      <c r="I218" s="71">
        <f t="shared" si="28"/>
        <v>0.3936037671790435</v>
      </c>
      <c r="L218" s="74"/>
      <c r="M218" s="74"/>
      <c r="N218" s="74"/>
      <c r="O218" s="74"/>
      <c r="P218" s="74"/>
      <c r="Q218" s="74"/>
      <c r="R218" s="74"/>
      <c r="S218" s="74"/>
      <c r="T218" s="74"/>
      <c r="U218" s="74"/>
      <c r="V218" s="74"/>
      <c r="W218" s="74"/>
      <c r="X218" s="74"/>
      <c r="Y218" s="74"/>
      <c r="Z218" s="74"/>
    </row>
    <row r="219" spans="1:26" x14ac:dyDescent="0.3">
      <c r="A219" s="66">
        <f t="shared" si="26"/>
        <v>2011.1999999999807</v>
      </c>
      <c r="B219" s="67">
        <f>LOOKUP(A219+0.01,Amounts!$A$4:$A$103,Amounts!$B$4:$B$103)*0.1*$A$2</f>
        <v>3833.2649939369999</v>
      </c>
      <c r="C219" s="68">
        <f t="shared" si="25"/>
        <v>663601.23709106096</v>
      </c>
      <c r="D219" s="67">
        <f t="array" ref="D219">SUM($B$7:$B214*$F$1009*EXP(-$F$1009*($A219-$A$7:$A214)))*$F$1010</f>
        <v>71945414.295229882</v>
      </c>
      <c r="E219" s="67">
        <f t="shared" si="23"/>
        <v>137.15758100830158</v>
      </c>
      <c r="F219" s="70">
        <f t="shared" si="27"/>
        <v>8.328208318824073</v>
      </c>
      <c r="G219" s="67">
        <f>E219/'Lookup Tables'!$C$48</f>
        <v>274.31516201660315</v>
      </c>
      <c r="H219" s="70">
        <f t="shared" si="24"/>
        <v>0.10863455423014974</v>
      </c>
      <c r="I219" s="71">
        <f t="shared" si="28"/>
        <v>0.3950138333039086</v>
      </c>
      <c r="L219" s="74"/>
      <c r="M219" s="74"/>
      <c r="N219" s="74"/>
      <c r="O219" s="74"/>
      <c r="P219" s="74"/>
      <c r="Q219" s="74"/>
      <c r="R219" s="74"/>
      <c r="S219" s="74"/>
      <c r="T219" s="74"/>
      <c r="U219" s="74"/>
      <c r="V219" s="74"/>
      <c r="W219" s="74"/>
      <c r="X219" s="74"/>
      <c r="Y219" s="74"/>
      <c r="Z219" s="74"/>
    </row>
    <row r="220" spans="1:26" x14ac:dyDescent="0.3">
      <c r="A220" s="66">
        <f t="shared" si="26"/>
        <v>2011.2999999999806</v>
      </c>
      <c r="B220" s="67">
        <f>LOOKUP(A220+0.01,Amounts!$A$4:$A$103,Amounts!$B$4:$B$103)*0.1*$A$2</f>
        <v>3833.2649939369999</v>
      </c>
      <c r="C220" s="68">
        <f t="shared" si="25"/>
        <v>667434.50208499795</v>
      </c>
      <c r="D220" s="67">
        <f t="array" ref="D220">SUM($B$7:$B215*$F$1009*EXP(-$F$1009*($A220-$A$7:$A215)))*$F$1010</f>
        <v>72200443.68454349</v>
      </c>
      <c r="E220" s="67">
        <f t="shared" si="23"/>
        <v>137.64377202501794</v>
      </c>
      <c r="F220" s="70">
        <f t="shared" si="27"/>
        <v>8.3577298373590896</v>
      </c>
      <c r="G220" s="67">
        <f>E220/'Lookup Tables'!$C$48</f>
        <v>275.28754405003588</v>
      </c>
      <c r="H220" s="70">
        <f t="shared" si="24"/>
        <v>0.10839350730348701</v>
      </c>
      <c r="I220" s="71">
        <f t="shared" si="28"/>
        <v>0.39641406343205171</v>
      </c>
      <c r="L220" s="74"/>
      <c r="M220" s="74"/>
      <c r="N220" s="74"/>
      <c r="O220" s="74"/>
      <c r="P220" s="74"/>
      <c r="Q220" s="74"/>
      <c r="R220" s="74"/>
      <c r="S220" s="74"/>
      <c r="T220" s="74"/>
      <c r="U220" s="74"/>
      <c r="V220" s="74"/>
      <c r="W220" s="74"/>
      <c r="X220" s="74"/>
      <c r="Y220" s="74"/>
      <c r="Z220" s="74"/>
    </row>
    <row r="221" spans="1:26" x14ac:dyDescent="0.3">
      <c r="A221" s="66">
        <f t="shared" si="26"/>
        <v>2011.3999999999805</v>
      </c>
      <c r="B221" s="67">
        <f>LOOKUP(A221+0.01,Amounts!$A$4:$A$103,Amounts!$B$4:$B$103)*0.1*$A$2</f>
        <v>3833.2649939369999</v>
      </c>
      <c r="C221" s="68">
        <f t="shared" si="25"/>
        <v>671267.76707893494</v>
      </c>
      <c r="D221" s="67">
        <f t="array" ref="D221">SUM($B$7:$B216*$F$1009*EXP(-$F$1009*($A221-$A$7:$A216)))*$F$1010</f>
        <v>72453694.101798236</v>
      </c>
      <c r="E221" s="67">
        <f t="shared" si="23"/>
        <v>138.12657158855185</v>
      </c>
      <c r="F221" s="70">
        <f t="shared" si="27"/>
        <v>8.3870454268568686</v>
      </c>
      <c r="G221" s="67">
        <f>E221/'Lookup Tables'!$C$48</f>
        <v>276.25314317710371</v>
      </c>
      <c r="H221" s="70">
        <f t="shared" si="24"/>
        <v>0.1081525578724918</v>
      </c>
      <c r="I221" s="71">
        <f t="shared" si="28"/>
        <v>0.39780452617502932</v>
      </c>
      <c r="L221" s="74"/>
      <c r="M221" s="74"/>
      <c r="N221" s="74"/>
      <c r="O221" s="74"/>
      <c r="P221" s="74"/>
      <c r="Q221" s="74"/>
      <c r="R221" s="74"/>
      <c r="S221" s="74"/>
      <c r="T221" s="74"/>
      <c r="U221" s="74"/>
      <c r="V221" s="74"/>
      <c r="W221" s="74"/>
      <c r="X221" s="74"/>
      <c r="Y221" s="74"/>
      <c r="Z221" s="74"/>
    </row>
    <row r="222" spans="1:26" x14ac:dyDescent="0.3">
      <c r="A222" s="66">
        <f t="shared" si="26"/>
        <v>2011.4999999999804</v>
      </c>
      <c r="B222" s="67">
        <f>LOOKUP(A222+0.01,Amounts!$A$4:$A$103,Amounts!$B$4:$B$103)*0.1*$A$2</f>
        <v>3833.2649939369999</v>
      </c>
      <c r="C222" s="68">
        <f t="shared" si="25"/>
        <v>675101.03207287192</v>
      </c>
      <c r="D222" s="67">
        <f t="array" ref="D222">SUM($B$7:$B217*$F$1009*EXP(-$F$1009*($A222-$A$7:$A217)))*$F$1010</f>
        <v>72720308.056275293</v>
      </c>
      <c r="E222" s="67">
        <f t="shared" si="23"/>
        <v>138.63484755606623</v>
      </c>
      <c r="F222" s="70">
        <f t="shared" si="27"/>
        <v>8.4179079436043427</v>
      </c>
      <c r="G222" s="67">
        <f>E222/'Lookup Tables'!$C$48</f>
        <v>277.26969511213247</v>
      </c>
      <c r="H222" s="70">
        <f t="shared" si="24"/>
        <v>0.10793417935051097</v>
      </c>
      <c r="I222" s="71">
        <f t="shared" si="28"/>
        <v>0.39926836096147078</v>
      </c>
      <c r="L222" s="74"/>
      <c r="M222" s="74"/>
      <c r="N222" s="74"/>
      <c r="O222" s="74"/>
      <c r="P222" s="74"/>
      <c r="Q222" s="74"/>
      <c r="R222" s="74"/>
      <c r="S222" s="74"/>
      <c r="T222" s="74"/>
      <c r="U222" s="74"/>
      <c r="V222" s="74"/>
      <c r="W222" s="74"/>
      <c r="X222" s="74"/>
      <c r="Y222" s="74"/>
      <c r="Z222" s="74"/>
    </row>
    <row r="223" spans="1:26" x14ac:dyDescent="0.3">
      <c r="A223" s="66">
        <f t="shared" si="26"/>
        <v>2011.5999999999804</v>
      </c>
      <c r="B223" s="67">
        <f>LOOKUP(A223+0.01,Amounts!$A$4:$A$103,Amounts!$B$4:$B$103)*0.1*$A$2</f>
        <v>3833.2649939369999</v>
      </c>
      <c r="C223" s="68">
        <f t="shared" si="25"/>
        <v>678934.29706680891</v>
      </c>
      <c r="D223" s="67">
        <f t="array" ref="D223">SUM($B$7:$B218*$F$1009*EXP(-$F$1009*($A223-$A$7:$A218)))*$F$1010</f>
        <v>72985062.22989808</v>
      </c>
      <c r="E223" s="67">
        <f t="shared" si="23"/>
        <v>139.1395780155635</v>
      </c>
      <c r="F223" s="70">
        <f t="shared" si="27"/>
        <v>8.4485551771050158</v>
      </c>
      <c r="G223" s="67">
        <f>E223/'Lookup Tables'!$C$48</f>
        <v>278.279156031127</v>
      </c>
      <c r="H223" s="70">
        <f t="shared" si="24"/>
        <v>0.10771552198928581</v>
      </c>
      <c r="I223" s="71">
        <f t="shared" si="28"/>
        <v>0.40072198468482284</v>
      </c>
      <c r="L223" s="74"/>
      <c r="M223" s="74"/>
      <c r="N223" s="74"/>
      <c r="O223" s="74"/>
      <c r="P223" s="74"/>
      <c r="Q223" s="74"/>
      <c r="R223" s="74"/>
      <c r="S223" s="74"/>
      <c r="T223" s="74"/>
      <c r="U223" s="74"/>
      <c r="V223" s="74"/>
      <c r="W223" s="74"/>
      <c r="X223" s="74"/>
      <c r="Y223" s="74"/>
      <c r="Z223" s="74"/>
    </row>
    <row r="224" spans="1:26" x14ac:dyDescent="0.3">
      <c r="A224" s="66">
        <f t="shared" si="26"/>
        <v>2011.6999999999803</v>
      </c>
      <c r="B224" s="67">
        <f>LOOKUP(A224+0.01,Amounts!$A$4:$A$103,Amounts!$B$4:$B$103)*0.1*$A$2</f>
        <v>3833.2649939369999</v>
      </c>
      <c r="C224" s="68">
        <f t="shared" si="25"/>
        <v>682767.5620607459</v>
      </c>
      <c r="D224" s="67">
        <f t="array" ref="D224">SUM($B$7:$B219*$F$1009*EXP(-$F$1009*($A224-$A$7:$A219)))*$F$1010</f>
        <v>73247969.595674098</v>
      </c>
      <c r="E224" s="67">
        <f t="shared" si="23"/>
        <v>139.64078769893723</v>
      </c>
      <c r="F224" s="70">
        <f t="shared" si="27"/>
        <v>8.4789886290794687</v>
      </c>
      <c r="G224" s="67">
        <f>E224/'Lookup Tables'!$C$48</f>
        <v>279.28157539787446</v>
      </c>
      <c r="H224" s="70">
        <f t="shared" si="24"/>
        <v>0.10749660952409366</v>
      </c>
      <c r="I224" s="71">
        <f t="shared" si="28"/>
        <v>0.40216546857293917</v>
      </c>
      <c r="L224" s="74"/>
      <c r="M224" s="74"/>
      <c r="N224" s="74"/>
      <c r="O224" s="74"/>
      <c r="P224" s="74"/>
      <c r="Q224" s="74"/>
      <c r="R224" s="74"/>
      <c r="S224" s="74"/>
      <c r="T224" s="74"/>
      <c r="U224" s="74"/>
      <c r="V224" s="74"/>
      <c r="W224" s="74"/>
      <c r="X224" s="74"/>
      <c r="Y224" s="74"/>
      <c r="Z224" s="74"/>
    </row>
    <row r="225" spans="1:26" x14ac:dyDescent="0.3">
      <c r="A225" s="66">
        <f t="shared" si="26"/>
        <v>2011.7999999999802</v>
      </c>
      <c r="B225" s="67">
        <f>LOOKUP(A225+0.01,Amounts!$A$4:$A$103,Amounts!$B$4:$B$103)*0.1*$A$2</f>
        <v>3833.2649939369999</v>
      </c>
      <c r="C225" s="68">
        <f t="shared" si="25"/>
        <v>686600.82705468289</v>
      </c>
      <c r="D225" s="67">
        <f t="array" ref="D225">SUM($B$7:$B220*$F$1009*EXP(-$F$1009*($A225-$A$7:$A220)))*$F$1010</f>
        <v>73509043.036116898</v>
      </c>
      <c r="E225" s="67">
        <f t="shared" si="23"/>
        <v>140.13850116556219</v>
      </c>
      <c r="F225" s="70">
        <f t="shared" si="27"/>
        <v>8.5092097907729372</v>
      </c>
      <c r="G225" s="67">
        <f>E225/'Lookup Tables'!$C$48</f>
        <v>280.27700233112438</v>
      </c>
      <c r="H225" s="70">
        <f t="shared" si="24"/>
        <v>0.1072774650280945</v>
      </c>
      <c r="I225" s="71">
        <f t="shared" si="28"/>
        <v>0.40359888335681915</v>
      </c>
      <c r="L225" s="74"/>
      <c r="M225" s="74"/>
      <c r="N225" s="74"/>
      <c r="O225" s="74"/>
      <c r="P225" s="74"/>
      <c r="Q225" s="74"/>
      <c r="R225" s="74"/>
      <c r="S225" s="74"/>
      <c r="T225" s="74"/>
      <c r="U225" s="74"/>
      <c r="V225" s="74"/>
      <c r="W225" s="74"/>
      <c r="X225" s="74"/>
      <c r="Y225" s="74"/>
      <c r="Z225" s="74"/>
    </row>
    <row r="226" spans="1:26" x14ac:dyDescent="0.3">
      <c r="A226" s="66">
        <f t="shared" si="26"/>
        <v>2011.8999999999801</v>
      </c>
      <c r="B226" s="67">
        <f>LOOKUP(A226+0.01,Amounts!$A$4:$A$103,Amounts!$B$4:$B$103)*0.1*$A$2</f>
        <v>3833.2649939369999</v>
      </c>
      <c r="C226" s="68">
        <f t="shared" si="25"/>
        <v>690434.09204861987</v>
      </c>
      <c r="D226" s="67">
        <f t="array" ref="D226">SUM($B$7:$B221*$F$1009*EXP(-$F$1009*($A226-$A$7:$A221)))*$F$1010</f>
        <v>73768295.343877271</v>
      </c>
      <c r="E226" s="67">
        <f t="shared" si="23"/>
        <v>140.63274280349785</v>
      </c>
      <c r="F226" s="70">
        <f t="shared" si="27"/>
        <v>8.5392201430283894</v>
      </c>
      <c r="G226" s="67">
        <f>E226/'Lookup Tables'!$C$48</f>
        <v>281.2654856069957</v>
      </c>
      <c r="H226" s="70">
        <f t="shared" si="24"/>
        <v>0.10705811093162723</v>
      </c>
      <c r="I226" s="71">
        <f t="shared" si="28"/>
        <v>0.40502229927407379</v>
      </c>
      <c r="L226" s="74"/>
      <c r="M226" s="74"/>
      <c r="N226" s="74"/>
      <c r="O226" s="74"/>
      <c r="P226" s="74"/>
      <c r="Q226" s="74"/>
      <c r="R226" s="74"/>
      <c r="S226" s="74"/>
      <c r="T226" s="74"/>
      <c r="U226" s="74"/>
      <c r="V226" s="74"/>
      <c r="W226" s="74"/>
      <c r="X226" s="74"/>
      <c r="Y226" s="74"/>
      <c r="Z226" s="74"/>
    </row>
    <row r="227" spans="1:26" x14ac:dyDescent="0.3">
      <c r="A227" s="66">
        <f t="shared" si="26"/>
        <v>2011.99999999998</v>
      </c>
      <c r="B227" s="67">
        <f>LOOKUP(A227+0.01,Amounts!$A$4:$A$103,Amounts!$B$4:$B$103)*0.1*$A$2</f>
        <v>4082.8640849999997</v>
      </c>
      <c r="C227" s="68">
        <f t="shared" si="25"/>
        <v>694516.95613361988</v>
      </c>
      <c r="D227" s="67">
        <f t="array" ref="D227">SUM($B$7:$B222*$F$1009*EXP(-$F$1009*($A227-$A$7:$A222)))*$F$1010</f>
        <v>74025739.222370163</v>
      </c>
      <c r="E227" s="67">
        <f t="shared" si="23"/>
        <v>141.12353683068326</v>
      </c>
      <c r="F227" s="70">
        <f t="shared" si="27"/>
        <v>8.5690211563590868</v>
      </c>
      <c r="G227" s="67">
        <f>E227/'Lookup Tables'!$C$48</f>
        <v>282.24707366136653</v>
      </c>
      <c r="H227" s="70">
        <f t="shared" si="24"/>
        <v>0.10680017284406877</v>
      </c>
      <c r="I227" s="71">
        <f t="shared" si="28"/>
        <v>0.4064357860723678</v>
      </c>
      <c r="L227" s="74"/>
      <c r="M227" s="74"/>
      <c r="N227" s="74"/>
      <c r="O227" s="74"/>
      <c r="P227" s="74"/>
      <c r="Q227" s="74"/>
      <c r="R227" s="74"/>
      <c r="S227" s="74"/>
      <c r="T227" s="74"/>
      <c r="U227" s="74"/>
      <c r="V227" s="74"/>
      <c r="W227" s="74"/>
      <c r="X227" s="74"/>
      <c r="Y227" s="74"/>
      <c r="Z227" s="74"/>
    </row>
    <row r="228" spans="1:26" x14ac:dyDescent="0.3">
      <c r="A228" s="66">
        <f t="shared" si="26"/>
        <v>2012.0999999999799</v>
      </c>
      <c r="B228" s="67">
        <f>LOOKUP(A228+0.01,Amounts!$A$4:$A$103,Amounts!$B$4:$B$103)*0.1*$A$2</f>
        <v>4082.8640849999997</v>
      </c>
      <c r="C228" s="68">
        <f t="shared" si="25"/>
        <v>698599.82021861989</v>
      </c>
      <c r="D228" s="67">
        <f t="array" ref="D228">SUM($B$7:$B223*$F$1009*EXP(-$F$1009*($A228-$A$7:$A223)))*$F$1010</f>
        <v>74281387.286397174</v>
      </c>
      <c r="E228" s="67">
        <f t="shared" si="23"/>
        <v>141.61090729612411</v>
      </c>
      <c r="F228" s="70">
        <f t="shared" si="27"/>
        <v>8.598614291020656</v>
      </c>
      <c r="G228" s="67">
        <f>E228/'Lookup Tables'!$C$48</f>
        <v>283.22181459224822</v>
      </c>
      <c r="H228" s="70">
        <f t="shared" si="24"/>
        <v>0.1065426739611105</v>
      </c>
      <c r="I228" s="71">
        <f t="shared" si="28"/>
        <v>0.40783941301283749</v>
      </c>
      <c r="L228" s="74"/>
      <c r="M228" s="74"/>
      <c r="N228" s="74"/>
      <c r="O228" s="74"/>
      <c r="P228" s="74"/>
      <c r="Q228" s="74"/>
      <c r="R228" s="74"/>
      <c r="S228" s="74"/>
      <c r="T228" s="74"/>
      <c r="U228" s="74"/>
      <c r="V228" s="74"/>
      <c r="W228" s="74"/>
      <c r="X228" s="74"/>
      <c r="Y228" s="74"/>
      <c r="Z228" s="74"/>
    </row>
    <row r="229" spans="1:26" x14ac:dyDescent="0.3">
      <c r="A229" s="66">
        <f t="shared" si="26"/>
        <v>2012.1999999999798</v>
      </c>
      <c r="B229" s="67">
        <f>LOOKUP(A229+0.01,Amounts!$A$4:$A$103,Amounts!$B$4:$B$103)*0.1*$A$2</f>
        <v>4082.8640849999997</v>
      </c>
      <c r="C229" s="68">
        <f t="shared" si="25"/>
        <v>702682.6843036199</v>
      </c>
      <c r="D229" s="67">
        <f t="array" ref="D229">SUM($B$7:$B224*$F$1009*EXP(-$F$1009*($A229-$A$7:$A224)))*$F$1010</f>
        <v>74535252.062764496</v>
      </c>
      <c r="E229" s="67">
        <f t="shared" si="23"/>
        <v>142.0948780810705</v>
      </c>
      <c r="F229" s="70">
        <f t="shared" si="27"/>
        <v>8.6280009970826015</v>
      </c>
      <c r="G229" s="67">
        <f>E229/'Lookup Tables'!$C$48</f>
        <v>284.18975616214101</v>
      </c>
      <c r="H229" s="70">
        <f t="shared" si="24"/>
        <v>0.10628562448984474</v>
      </c>
      <c r="I229" s="71">
        <f t="shared" si="28"/>
        <v>0.40923324887348306</v>
      </c>
      <c r="L229" s="74"/>
      <c r="M229" s="74"/>
      <c r="N229" s="74"/>
      <c r="O229" s="74"/>
      <c r="P229" s="74"/>
      <c r="Q229" s="74"/>
      <c r="R229" s="74"/>
      <c r="S229" s="74"/>
      <c r="T229" s="74"/>
      <c r="U229" s="74"/>
      <c r="V229" s="74"/>
      <c r="W229" s="74"/>
      <c r="X229" s="74"/>
      <c r="Y229" s="74"/>
      <c r="Z229" s="74"/>
    </row>
    <row r="230" spans="1:26" x14ac:dyDescent="0.3">
      <c r="A230" s="66">
        <f t="shared" si="26"/>
        <v>2012.2999999999797</v>
      </c>
      <c r="B230" s="67">
        <f>LOOKUP(A230+0.01,Amounts!$A$4:$A$103,Amounts!$B$4:$B$103)*0.1*$A$2</f>
        <v>4082.8640849999997</v>
      </c>
      <c r="C230" s="68">
        <f t="shared" si="25"/>
        <v>706765.54838861991</v>
      </c>
      <c r="D230" s="67">
        <f t="array" ref="D230">SUM($B$7:$B225*$F$1009*EXP(-$F$1009*($A230-$A$7:$A225)))*$F$1010</f>
        <v>74787345.990897089</v>
      </c>
      <c r="E230" s="67">
        <f t="shared" si="23"/>
        <v>142.57547290018798</v>
      </c>
      <c r="F230" s="70">
        <f t="shared" si="27"/>
        <v>8.6571827144994131</v>
      </c>
      <c r="G230" s="67">
        <f>E230/'Lookup Tables'!$C$48</f>
        <v>285.15094580037595</v>
      </c>
      <c r="H230" s="70">
        <f t="shared" si="24"/>
        <v>0.10602903427762131</v>
      </c>
      <c r="I230" s="71">
        <f t="shared" si="28"/>
        <v>0.41061736195254139</v>
      </c>
      <c r="L230" s="74"/>
      <c r="M230" s="74"/>
      <c r="N230" s="74"/>
      <c r="O230" s="74"/>
      <c r="P230" s="74"/>
      <c r="Q230" s="74"/>
      <c r="R230" s="74"/>
      <c r="S230" s="74"/>
      <c r="T230" s="74"/>
      <c r="U230" s="74"/>
      <c r="V230" s="74"/>
      <c r="W230" s="74"/>
      <c r="X230" s="74"/>
      <c r="Y230" s="74"/>
      <c r="Z230" s="74"/>
    </row>
    <row r="231" spans="1:26" x14ac:dyDescent="0.3">
      <c r="A231" s="66">
        <f t="shared" si="26"/>
        <v>2012.3999999999796</v>
      </c>
      <c r="B231" s="67">
        <f>LOOKUP(A231+0.01,Amounts!$A$4:$A$103,Amounts!$B$4:$B$103)*0.1*$A$2</f>
        <v>4082.8640849999997</v>
      </c>
      <c r="C231" s="68">
        <f t="shared" si="25"/>
        <v>710848.41247361992</v>
      </c>
      <c r="D231" s="67">
        <f t="array" ref="D231">SUM($B$7:$B226*$F$1009*EXP(-$F$1009*($A231-$A$7:$A226)))*$F$1010</f>
        <v>75037681.423447773</v>
      </c>
      <c r="E231" s="67">
        <f t="shared" si="23"/>
        <v>143.05271530271864</v>
      </c>
      <c r="F231" s="70">
        <f t="shared" si="27"/>
        <v>8.6861608731810751</v>
      </c>
      <c r="G231" s="67">
        <f>E231/'Lookup Tables'!$C$48</f>
        <v>286.10543060543728</v>
      </c>
      <c r="H231" s="70">
        <f t="shared" si="24"/>
        <v>0.10577291282323742</v>
      </c>
      <c r="I231" s="71">
        <f t="shared" si="28"/>
        <v>0.41199182007182966</v>
      </c>
      <c r="L231" s="74"/>
      <c r="M231" s="74"/>
      <c r="N231" s="74"/>
      <c r="O231" s="74"/>
      <c r="P231" s="74"/>
      <c r="Q231" s="74"/>
      <c r="R231" s="74"/>
      <c r="S231" s="74"/>
      <c r="T231" s="74"/>
      <c r="U231" s="74"/>
      <c r="V231" s="74"/>
      <c r="W231" s="74"/>
      <c r="X231" s="74"/>
      <c r="Y231" s="74"/>
      <c r="Z231" s="74"/>
    </row>
    <row r="232" spans="1:26" x14ac:dyDescent="0.3">
      <c r="A232" s="66">
        <f t="shared" si="26"/>
        <v>2012.4999999999795</v>
      </c>
      <c r="B232" s="67">
        <f>LOOKUP(A232+0.01,Amounts!$A$4:$A$103,Amounts!$B$4:$B$103)*0.1*$A$2</f>
        <v>4082.8640849999997</v>
      </c>
      <c r="C232" s="68">
        <f t="shared" si="25"/>
        <v>714931.27655861992</v>
      </c>
      <c r="D232" s="67">
        <f t="array" ref="D232">SUM($B$7:$B227*$F$1009*EXP(-$F$1009*($A232-$A$7:$A227)))*$F$1010</f>
        <v>75336539.835828096</v>
      </c>
      <c r="E232" s="67">
        <f t="shared" si="23"/>
        <v>143.62246248268286</v>
      </c>
      <c r="F232" s="70">
        <f t="shared" si="27"/>
        <v>8.7207559219485038</v>
      </c>
      <c r="G232" s="67">
        <f>E232/'Lookup Tables'!$C$48</f>
        <v>287.24492496536573</v>
      </c>
      <c r="H232" s="70">
        <f t="shared" si="24"/>
        <v>0.105587723961757</v>
      </c>
      <c r="I232" s="71">
        <f t="shared" si="28"/>
        <v>0.41363269195012664</v>
      </c>
      <c r="L232" s="74"/>
      <c r="M232" s="74"/>
      <c r="N232" s="74"/>
      <c r="O232" s="74"/>
      <c r="P232" s="74"/>
      <c r="Q232" s="74"/>
      <c r="R232" s="74"/>
      <c r="S232" s="74"/>
      <c r="T232" s="74"/>
      <c r="U232" s="74"/>
      <c r="V232" s="74"/>
      <c r="W232" s="74"/>
      <c r="X232" s="74"/>
      <c r="Y232" s="74"/>
      <c r="Z232" s="74"/>
    </row>
    <row r="233" spans="1:26" x14ac:dyDescent="0.3">
      <c r="A233" s="66">
        <f t="shared" si="26"/>
        <v>2012.5999999999794</v>
      </c>
      <c r="B233" s="67">
        <f>LOOKUP(A233+0.01,Amounts!$A$4:$A$103,Amounts!$B$4:$B$103)*0.1*$A$2</f>
        <v>4082.8640849999997</v>
      </c>
      <c r="C233" s="68">
        <f t="shared" si="25"/>
        <v>719014.14064361993</v>
      </c>
      <c r="D233" s="67">
        <f t="array" ref="D233">SUM($B$7:$B228*$F$1009*EXP(-$F$1009*($A233-$A$7:$A228)))*$F$1010</f>
        <v>75633313.544297978</v>
      </c>
      <c r="E233" s="67">
        <f t="shared" si="23"/>
        <v>144.18823535867966</v>
      </c>
      <c r="F233" s="70">
        <f t="shared" si="27"/>
        <v>8.7551096509790298</v>
      </c>
      <c r="G233" s="67">
        <f>E233/'Lookup Tables'!$C$48</f>
        <v>288.37647071735933</v>
      </c>
      <c r="H233" s="70">
        <f t="shared" si="24"/>
        <v>0.10540173304058162</v>
      </c>
      <c r="I233" s="71">
        <f t="shared" si="28"/>
        <v>0.41526211783299738</v>
      </c>
      <c r="L233" s="74"/>
      <c r="M233" s="74"/>
      <c r="N233" s="74"/>
      <c r="O233" s="74"/>
      <c r="P233" s="74"/>
      <c r="Q233" s="74"/>
      <c r="R233" s="74"/>
      <c r="S233" s="74"/>
      <c r="T233" s="74"/>
      <c r="U233" s="74"/>
      <c r="V233" s="74"/>
      <c r="W233" s="74"/>
      <c r="X233" s="74"/>
      <c r="Y233" s="74"/>
      <c r="Z233" s="74"/>
    </row>
    <row r="234" spans="1:26" x14ac:dyDescent="0.3">
      <c r="A234" s="66">
        <f t="shared" si="26"/>
        <v>2012.6999999999794</v>
      </c>
      <c r="B234" s="67">
        <f>LOOKUP(A234+0.01,Amounts!$A$4:$A$103,Amounts!$B$4:$B$103)*0.1*$A$2</f>
        <v>4082.8640849999997</v>
      </c>
      <c r="C234" s="68">
        <f t="shared" si="25"/>
        <v>723097.00472861994</v>
      </c>
      <c r="D234" s="67">
        <f t="array" ref="D234">SUM($B$7:$B229*$F$1009*EXP(-$F$1009*($A234-$A$7:$A229)))*$F$1010</f>
        <v>75928017.090828523</v>
      </c>
      <c r="E234" s="67">
        <f t="shared" si="23"/>
        <v>144.75006165369308</v>
      </c>
      <c r="F234" s="70">
        <f t="shared" si="27"/>
        <v>8.7892237436122436</v>
      </c>
      <c r="G234" s="67">
        <f>E234/'Lookup Tables'!$C$48</f>
        <v>289.50012330738616</v>
      </c>
      <c r="H234" s="70">
        <f t="shared" si="24"/>
        <v>0.10521497379695871</v>
      </c>
      <c r="I234" s="71">
        <f t="shared" si="28"/>
        <v>0.41688017756263607</v>
      </c>
      <c r="L234" s="74"/>
      <c r="M234" s="74"/>
      <c r="N234" s="74"/>
      <c r="O234" s="74"/>
      <c r="P234" s="74"/>
      <c r="Q234" s="74"/>
      <c r="R234" s="74"/>
      <c r="S234" s="74"/>
      <c r="T234" s="74"/>
      <c r="U234" s="74"/>
      <c r="V234" s="74"/>
      <c r="W234" s="74"/>
      <c r="X234" s="74"/>
      <c r="Y234" s="74"/>
      <c r="Z234" s="74"/>
    </row>
    <row r="235" spans="1:26" x14ac:dyDescent="0.3">
      <c r="A235" s="66">
        <f t="shared" si="26"/>
        <v>2012.7999999999793</v>
      </c>
      <c r="B235" s="67">
        <f>LOOKUP(A235+0.01,Amounts!$A$4:$A$103,Amounts!$B$4:$B$103)*0.1*$A$2</f>
        <v>4082.8640849999997</v>
      </c>
      <c r="C235" s="68">
        <f t="shared" si="25"/>
        <v>727179.86881361995</v>
      </c>
      <c r="D235" s="67">
        <f t="array" ref="D235">SUM($B$7:$B230*$F$1009*EXP(-$F$1009*($A235-$A$7:$A230)))*$F$1010</f>
        <v>76220664.915952459</v>
      </c>
      <c r="E235" s="67">
        <f t="shared" si="23"/>
        <v>145.30796889732406</v>
      </c>
      <c r="F235" s="70">
        <f t="shared" si="27"/>
        <v>8.8230998714455176</v>
      </c>
      <c r="G235" s="67">
        <f>E235/'Lookup Tables'!$C$48</f>
        <v>290.61593779464812</v>
      </c>
      <c r="H235" s="70">
        <f t="shared" si="24"/>
        <v>0.10502747907066794</v>
      </c>
      <c r="I235" s="71">
        <f t="shared" si="28"/>
        <v>0.41848695042429329</v>
      </c>
      <c r="L235" s="74"/>
      <c r="M235" s="74"/>
      <c r="N235" s="74"/>
      <c r="O235" s="74"/>
      <c r="P235" s="74"/>
      <c r="Q235" s="74"/>
      <c r="R235" s="74"/>
      <c r="S235" s="74"/>
      <c r="T235" s="74"/>
      <c r="U235" s="74"/>
      <c r="V235" s="74"/>
      <c r="W235" s="74"/>
      <c r="X235" s="74"/>
      <c r="Y235" s="74"/>
      <c r="Z235" s="74"/>
    </row>
    <row r="236" spans="1:26" x14ac:dyDescent="0.3">
      <c r="A236" s="66">
        <f t="shared" si="26"/>
        <v>2012.8999999999792</v>
      </c>
      <c r="B236" s="67">
        <f>LOOKUP(A236+0.01,Amounts!$A$4:$A$103,Amounts!$B$4:$B$103)*0.1*$A$2</f>
        <v>4082.8640849999997</v>
      </c>
      <c r="C236" s="68">
        <f t="shared" si="25"/>
        <v>731262.73289861996</v>
      </c>
      <c r="D236" s="67">
        <f t="array" ref="D236">SUM($B$7:$B231*$F$1009*EXP(-$F$1009*($A236-$A$7:$A231)))*$F$1010</f>
        <v>76511271.359471798</v>
      </c>
      <c r="E236" s="67">
        <f t="shared" si="23"/>
        <v>145.86198442713916</v>
      </c>
      <c r="F236" s="70">
        <f t="shared" si="27"/>
        <v>8.8567396944158894</v>
      </c>
      <c r="G236" s="67">
        <f>E236/'Lookup Tables'!$C$48</f>
        <v>291.72396885427833</v>
      </c>
      <c r="H236" s="70">
        <f t="shared" si="24"/>
        <v>0.10483928083004462</v>
      </c>
      <c r="I236" s="71">
        <f t="shared" si="28"/>
        <v>0.42008251515016076</v>
      </c>
      <c r="L236" s="74"/>
      <c r="M236" s="74"/>
      <c r="N236" s="74"/>
      <c r="O236" s="74"/>
      <c r="P236" s="74"/>
      <c r="Q236" s="74"/>
      <c r="R236" s="74"/>
      <c r="S236" s="74"/>
      <c r="T236" s="74"/>
      <c r="U236" s="74"/>
      <c r="V236" s="74"/>
      <c r="W236" s="74"/>
      <c r="X236" s="74"/>
      <c r="Y236" s="74"/>
      <c r="Z236" s="74"/>
    </row>
    <row r="237" spans="1:26" x14ac:dyDescent="0.3">
      <c r="A237" s="66">
        <f t="shared" si="26"/>
        <v>2012.9999999999791</v>
      </c>
      <c r="B237" s="67">
        <f>LOOKUP(A237+0.01,Amounts!$A$4:$A$103,Amounts!$B$4:$B$103)*0.1*$A$2</f>
        <v>4164.5213667000007</v>
      </c>
      <c r="C237" s="68">
        <f t="shared" si="25"/>
        <v>735427.25426531991</v>
      </c>
      <c r="D237" s="67">
        <f t="array" ref="D237">SUM($B$7:$B232*$F$1009*EXP(-$F$1009*($A237-$A$7:$A232)))*$F$1010</f>
        <v>76799850.661160409</v>
      </c>
      <c r="E237" s="67">
        <f t="shared" si="23"/>
        <v>146.41213539001018</v>
      </c>
      <c r="F237" s="70">
        <f t="shared" si="27"/>
        <v>8.8901448608814189</v>
      </c>
      <c r="G237" s="67">
        <f>E237/'Lookup Tables'!$C$48</f>
        <v>292.82427078002036</v>
      </c>
      <c r="H237" s="70">
        <f t="shared" si="24"/>
        <v>0.10463879046455166</v>
      </c>
      <c r="I237" s="71">
        <f t="shared" si="28"/>
        <v>0.42166694992322934</v>
      </c>
      <c r="L237" s="74"/>
      <c r="M237" s="74"/>
      <c r="N237" s="74"/>
      <c r="O237" s="74"/>
      <c r="P237" s="74"/>
      <c r="Q237" s="74"/>
      <c r="R237" s="74"/>
      <c r="S237" s="74"/>
      <c r="T237" s="74"/>
      <c r="U237" s="74"/>
      <c r="V237" s="74"/>
      <c r="W237" s="74"/>
      <c r="X237" s="74"/>
      <c r="Y237" s="74"/>
      <c r="Z237" s="74"/>
    </row>
    <row r="238" spans="1:26" x14ac:dyDescent="0.3">
      <c r="A238" s="66">
        <f t="shared" si="26"/>
        <v>2013.099999999979</v>
      </c>
      <c r="B238" s="67">
        <f>LOOKUP(A238+0.01,Amounts!$A$4:$A$103,Amounts!$B$4:$B$103)*0.1*$A$2</f>
        <v>4164.5213667000007</v>
      </c>
      <c r="C238" s="68">
        <f t="shared" si="25"/>
        <v>739591.77563201985</v>
      </c>
      <c r="D238" s="67">
        <f t="array" ref="D238">SUM($B$7:$B233*$F$1009*EXP(-$F$1009*($A238-$A$7:$A233)))*$F$1010</f>
        <v>77086416.961461782</v>
      </c>
      <c r="E238" s="67">
        <f t="shared" si="23"/>
        <v>146.95844874344431</v>
      </c>
      <c r="F238" s="70">
        <f t="shared" si="27"/>
        <v>8.9233170077019377</v>
      </c>
      <c r="G238" s="67">
        <f>E238/'Lookup Tables'!$C$48</f>
        <v>293.91689748688862</v>
      </c>
      <c r="H238" s="70">
        <f t="shared" si="24"/>
        <v>0.10443783071214867</v>
      </c>
      <c r="I238" s="71">
        <f t="shared" si="28"/>
        <v>0.42324033238111958</v>
      </c>
      <c r="L238" s="74"/>
      <c r="M238" s="74"/>
      <c r="N238" s="74"/>
      <c r="O238" s="74"/>
      <c r="P238" s="74"/>
      <c r="Q238" s="74"/>
      <c r="R238" s="74"/>
      <c r="S238" s="74"/>
      <c r="T238" s="74"/>
      <c r="U238" s="74"/>
      <c r="V238" s="74"/>
      <c r="W238" s="74"/>
      <c r="X238" s="74"/>
      <c r="Y238" s="74"/>
      <c r="Z238" s="74"/>
    </row>
    <row r="239" spans="1:26" x14ac:dyDescent="0.3">
      <c r="A239" s="66">
        <f t="shared" si="26"/>
        <v>2013.1999999999789</v>
      </c>
      <c r="B239" s="67">
        <f>LOOKUP(A239+0.01,Amounts!$A$4:$A$103,Amounts!$B$4:$B$103)*0.1*$A$2</f>
        <v>4164.5213667000007</v>
      </c>
      <c r="C239" s="68">
        <f t="shared" si="25"/>
        <v>743756.2969987198</v>
      </c>
      <c r="D239" s="67">
        <f t="array" ref="D239">SUM($B$7:$B234*$F$1009*EXP(-$F$1009*($A239-$A$7:$A234)))*$F$1010</f>
        <v>77370984.302182004</v>
      </c>
      <c r="E239" s="67">
        <f t="shared" si="23"/>
        <v>147.50095125690524</v>
      </c>
      <c r="F239" s="70">
        <f t="shared" si="27"/>
        <v>8.9562577603192857</v>
      </c>
      <c r="G239" s="67">
        <f>E239/'Lookup Tables'!$C$48</f>
        <v>295.00190251381048</v>
      </c>
      <c r="H239" s="70">
        <f t="shared" si="24"/>
        <v>0.10423642837509024</v>
      </c>
      <c r="I239" s="71">
        <f t="shared" si="28"/>
        <v>0.42480273961988707</v>
      </c>
      <c r="L239" s="74"/>
      <c r="M239" s="74"/>
      <c r="N239" s="74"/>
      <c r="O239" s="74"/>
      <c r="P239" s="74"/>
      <c r="Q239" s="74"/>
      <c r="R239" s="74"/>
      <c r="S239" s="74"/>
      <c r="T239" s="74"/>
      <c r="U239" s="74"/>
      <c r="V239" s="74"/>
      <c r="W239" s="74"/>
      <c r="X239" s="74"/>
      <c r="Y239" s="74"/>
      <c r="Z239" s="74"/>
    </row>
    <row r="240" spans="1:26" x14ac:dyDescent="0.3">
      <c r="A240" s="66">
        <f t="shared" si="26"/>
        <v>2013.2999999999788</v>
      </c>
      <c r="B240" s="67">
        <f>LOOKUP(A240+0.01,Amounts!$A$4:$A$103,Amounts!$B$4:$B$103)*0.1*$A$2</f>
        <v>4164.5213667000007</v>
      </c>
      <c r="C240" s="68">
        <f t="shared" si="25"/>
        <v>747920.81836541975</v>
      </c>
      <c r="D240" s="67">
        <f t="array" ref="D240">SUM($B$7:$B235*$F$1009*EXP(-$F$1009*($A240-$A$7:$A235)))*$F$1010</f>
        <v>77653566.627177685</v>
      </c>
      <c r="E240" s="67">
        <f t="shared" si="23"/>
        <v>148.03966951312466</v>
      </c>
      <c r="F240" s="70">
        <f t="shared" si="27"/>
        <v>8.9889687328369288</v>
      </c>
      <c r="G240" s="67">
        <f>E240/'Lookup Tables'!$C$48</f>
        <v>296.07933902624933</v>
      </c>
      <c r="H240" s="70">
        <f t="shared" si="24"/>
        <v>0.10403460952745135</v>
      </c>
      <c r="I240" s="71">
        <f t="shared" si="28"/>
        <v>0.42635424819779899</v>
      </c>
      <c r="L240" s="74"/>
      <c r="M240" s="74"/>
      <c r="N240" s="74"/>
      <c r="O240" s="74"/>
      <c r="P240" s="74"/>
      <c r="Q240" s="74"/>
      <c r="R240" s="74"/>
      <c r="S240" s="74"/>
      <c r="T240" s="74"/>
      <c r="U240" s="74"/>
      <c r="V240" s="74"/>
      <c r="W240" s="74"/>
      <c r="X240" s="74"/>
      <c r="Y240" s="74"/>
      <c r="Z240" s="74"/>
    </row>
    <row r="241" spans="1:26" x14ac:dyDescent="0.3">
      <c r="A241" s="66">
        <f t="shared" si="26"/>
        <v>2013.3999999999787</v>
      </c>
      <c r="B241" s="67">
        <f>LOOKUP(A241+0.01,Amounts!$A$4:$A$103,Amounts!$B$4:$B$103)*0.1*$A$2</f>
        <v>4164.5213667000007</v>
      </c>
      <c r="C241" s="68">
        <f t="shared" si="25"/>
        <v>752085.3397321197</v>
      </c>
      <c r="D241" s="67">
        <f t="array" ref="D241">SUM($B$7:$B236*$F$1009*EXP(-$F$1009*($A241-$A$7:$A236)))*$F$1010</f>
        <v>77934177.783039302</v>
      </c>
      <c r="E241" s="67">
        <f t="shared" si="23"/>
        <v>148.5746299094049</v>
      </c>
      <c r="F241" s="70">
        <f t="shared" si="27"/>
        <v>9.0214515280990657</v>
      </c>
      <c r="G241" s="67">
        <f>E241/'Lookup Tables'!$C$48</f>
        <v>297.14925981880981</v>
      </c>
      <c r="H241" s="70">
        <f t="shared" si="24"/>
        <v>0.10383239953619876</v>
      </c>
      <c r="I241" s="71">
        <f t="shared" si="28"/>
        <v>0.42789493413908619</v>
      </c>
      <c r="L241" s="74"/>
      <c r="M241" s="74"/>
      <c r="N241" s="74"/>
      <c r="O241" s="74"/>
      <c r="P241" s="74"/>
      <c r="Q241" s="74"/>
      <c r="R241" s="74"/>
      <c r="S241" s="74"/>
      <c r="T241" s="74"/>
      <c r="U241" s="74"/>
      <c r="V241" s="74"/>
      <c r="W241" s="74"/>
      <c r="X241" s="74"/>
      <c r="Y241" s="74"/>
      <c r="Z241" s="74"/>
    </row>
    <row r="242" spans="1:26" x14ac:dyDescent="0.3">
      <c r="A242" s="66">
        <f t="shared" si="26"/>
        <v>2013.4999999999786</v>
      </c>
      <c r="B242" s="67">
        <f>LOOKUP(A242+0.01,Amounts!$A$4:$A$103,Amounts!$B$4:$B$103)*0.1*$A$2</f>
        <v>4164.5213667000007</v>
      </c>
      <c r="C242" s="68">
        <f t="shared" si="25"/>
        <v>756249.86109881965</v>
      </c>
      <c r="D242" s="67">
        <f t="array" ref="D242">SUM($B$7:$B237*$F$1009*EXP(-$F$1009*($A242-$A$7:$A237)))*$F$1010</f>
        <v>78229277.280595809</v>
      </c>
      <c r="E242" s="67">
        <f t="shared" si="23"/>
        <v>149.13721105009478</v>
      </c>
      <c r="F242" s="70">
        <f t="shared" si="27"/>
        <v>9.0556114549617543</v>
      </c>
      <c r="G242" s="67">
        <f>E242/'Lookup Tables'!$C$48</f>
        <v>298.27442210018955</v>
      </c>
      <c r="H242" s="70">
        <f t="shared" si="24"/>
        <v>0.1036516132565438</v>
      </c>
      <c r="I242" s="71">
        <f t="shared" si="28"/>
        <v>0.42951516782427301</v>
      </c>
      <c r="L242" s="74"/>
      <c r="M242" s="74"/>
      <c r="N242" s="74"/>
      <c r="O242" s="74"/>
      <c r="P242" s="74"/>
      <c r="Q242" s="74"/>
      <c r="R242" s="74"/>
      <c r="S242" s="74"/>
      <c r="T242" s="74"/>
      <c r="U242" s="74"/>
      <c r="V242" s="74"/>
      <c r="W242" s="74"/>
      <c r="X242" s="74"/>
      <c r="Y242" s="74"/>
      <c r="Z242" s="74"/>
    </row>
    <row r="243" spans="1:26" x14ac:dyDescent="0.3">
      <c r="A243" s="66">
        <f t="shared" si="26"/>
        <v>2013.5999999999785</v>
      </c>
      <c r="B243" s="67">
        <f>LOOKUP(A243+0.01,Amounts!$A$4:$A$103,Amounts!$B$4:$B$103)*0.1*$A$2</f>
        <v>4164.5213667000007</v>
      </c>
      <c r="C243" s="68">
        <f t="shared" si="25"/>
        <v>760414.38246551959</v>
      </c>
      <c r="D243" s="67">
        <f t="array" ref="D243">SUM($B$7:$B238*$F$1009*EXP(-$F$1009*($A243-$A$7:$A238)))*$F$1010</f>
        <v>78522318.294766709</v>
      </c>
      <c r="E243" s="67">
        <f t="shared" si="23"/>
        <v>149.69586787393303</v>
      </c>
      <c r="F243" s="70">
        <f t="shared" si="27"/>
        <v>9.089533097305214</v>
      </c>
      <c r="G243" s="67">
        <f>E243/'Lookup Tables'!$C$48</f>
        <v>299.39173574786605</v>
      </c>
      <c r="H243" s="70">
        <f t="shared" si="24"/>
        <v>0.10347009468630992</v>
      </c>
      <c r="I243" s="71">
        <f t="shared" si="28"/>
        <v>0.43112409947692715</v>
      </c>
      <c r="L243" s="74"/>
      <c r="M243" s="74"/>
      <c r="N243" s="74"/>
      <c r="O243" s="74"/>
      <c r="P243" s="74"/>
      <c r="Q243" s="74"/>
      <c r="R243" s="74"/>
      <c r="S243" s="74"/>
      <c r="T243" s="74"/>
      <c r="U243" s="74"/>
      <c r="V243" s="74"/>
      <c r="W243" s="74"/>
      <c r="X243" s="74"/>
      <c r="Y243" s="74"/>
      <c r="Z243" s="74"/>
    </row>
    <row r="244" spans="1:26" x14ac:dyDescent="0.3">
      <c r="A244" s="66">
        <f t="shared" si="26"/>
        <v>2013.6999999999784</v>
      </c>
      <c r="B244" s="67">
        <f>LOOKUP(A244+0.01,Amounts!$A$4:$A$103,Amounts!$B$4:$B$103)*0.1*$A$2</f>
        <v>4164.5213667000007</v>
      </c>
      <c r="C244" s="68">
        <f t="shared" si="25"/>
        <v>764578.90383221954</v>
      </c>
      <c r="D244" s="67">
        <f t="array" ref="D244">SUM($B$7:$B239*$F$1009*EXP(-$F$1009*($A244-$A$7:$A239)))*$F$1010</f>
        <v>78813315.184620366</v>
      </c>
      <c r="E244" s="67">
        <f t="shared" si="23"/>
        <v>150.25062775521587</v>
      </c>
      <c r="F244" s="70">
        <f t="shared" si="27"/>
        <v>9.1232181172967088</v>
      </c>
      <c r="G244" s="67">
        <f>E244/'Lookup Tables'!$C$48</f>
        <v>300.50125551043175</v>
      </c>
      <c r="H244" s="70">
        <f t="shared" si="24"/>
        <v>0.10328787460956568</v>
      </c>
      <c r="I244" s="71">
        <f t="shared" si="28"/>
        <v>0.43272180793502174</v>
      </c>
      <c r="L244" s="74"/>
      <c r="M244" s="74"/>
      <c r="N244" s="74"/>
      <c r="O244" s="74"/>
      <c r="P244" s="74"/>
      <c r="Q244" s="74"/>
      <c r="R244" s="74"/>
      <c r="S244" s="74"/>
      <c r="T244" s="74"/>
      <c r="U244" s="74"/>
      <c r="V244" s="74"/>
      <c r="W244" s="74"/>
      <c r="X244" s="74"/>
      <c r="Y244" s="74"/>
      <c r="Z244" s="74"/>
    </row>
    <row r="245" spans="1:26" x14ac:dyDescent="0.3">
      <c r="A245" s="66">
        <f t="shared" si="26"/>
        <v>2013.7999999999784</v>
      </c>
      <c r="B245" s="67">
        <f>LOOKUP(A245+0.01,Amounts!$A$4:$A$103,Amounts!$B$4:$B$103)*0.1*$A$2</f>
        <v>4164.5213667000007</v>
      </c>
      <c r="C245" s="68">
        <f t="shared" si="25"/>
        <v>768743.42519891949</v>
      </c>
      <c r="D245" s="67">
        <f t="array" ref="D245">SUM($B$7:$B240*$F$1009*EXP(-$F$1009*($A245-$A$7:$A240)))*$F$1010</f>
        <v>79102282.209062591</v>
      </c>
      <c r="E245" s="67">
        <f t="shared" si="23"/>
        <v>150.80151787728843</v>
      </c>
      <c r="F245" s="70">
        <f t="shared" si="27"/>
        <v>9.1566681655089539</v>
      </c>
      <c r="G245" s="67">
        <f>E245/'Lookup Tables'!$C$48</f>
        <v>301.60303575457687</v>
      </c>
      <c r="H245" s="70">
        <f t="shared" si="24"/>
        <v>0.10310498301275646</v>
      </c>
      <c r="I245" s="71">
        <f t="shared" si="28"/>
        <v>0.43430837148659068</v>
      </c>
      <c r="L245" s="74"/>
      <c r="M245" s="74"/>
      <c r="N245" s="74"/>
      <c r="O245" s="74"/>
      <c r="P245" s="74"/>
      <c r="Q245" s="74"/>
      <c r="R245" s="74"/>
      <c r="S245" s="74"/>
      <c r="T245" s="74"/>
      <c r="U245" s="74"/>
      <c r="V245" s="74"/>
      <c r="W245" s="74"/>
      <c r="X245" s="74"/>
      <c r="Y245" s="74"/>
      <c r="Z245" s="74"/>
    </row>
    <row r="246" spans="1:26" x14ac:dyDescent="0.3">
      <c r="A246" s="66">
        <f t="shared" si="26"/>
        <v>2013.8999999999783</v>
      </c>
      <c r="B246" s="67">
        <f>LOOKUP(A246+0.01,Amounts!$A$4:$A$103,Amounts!$B$4:$B$103)*0.1*$A$2</f>
        <v>4164.5213667000007</v>
      </c>
      <c r="C246" s="68">
        <f t="shared" si="25"/>
        <v>772907.94656561944</v>
      </c>
      <c r="D246" s="67">
        <f t="array" ref="D246">SUM($B$7:$B241*$F$1009*EXP(-$F$1009*($A246-$A$7:$A241)))*$F$1010</f>
        <v>79389233.527535409</v>
      </c>
      <c r="E246" s="67">
        <f t="shared" si="23"/>
        <v>151.34856523387703</v>
      </c>
      <c r="F246" s="70">
        <f t="shared" si="27"/>
        <v>9.1898848810010136</v>
      </c>
      <c r="G246" s="67">
        <f>E246/'Lookup Tables'!$C$48</f>
        <v>302.69713046775405</v>
      </c>
      <c r="H246" s="70">
        <f t="shared" si="24"/>
        <v>0.10292144910709897</v>
      </c>
      <c r="I246" s="71">
        <f t="shared" si="28"/>
        <v>0.43588386787356587</v>
      </c>
      <c r="L246" s="74"/>
      <c r="M246" s="74"/>
      <c r="N246" s="74"/>
      <c r="O246" s="74"/>
      <c r="P246" s="74"/>
      <c r="Q246" s="74"/>
      <c r="R246" s="74"/>
      <c r="S246" s="74"/>
      <c r="T246" s="74"/>
      <c r="U246" s="74"/>
      <c r="V246" s="74"/>
      <c r="W246" s="74"/>
      <c r="X246" s="74"/>
      <c r="Y246" s="74"/>
      <c r="Z246" s="74"/>
    </row>
    <row r="247" spans="1:26" x14ac:dyDescent="0.3">
      <c r="A247" s="66">
        <f t="shared" si="26"/>
        <v>2013.9999999999782</v>
      </c>
      <c r="B247" s="67">
        <f>LOOKUP(A247+0.01,Amounts!$A$4:$A$103,Amounts!$B$4:$B$103)*0.1*$A$2</f>
        <v>4247.8117940339998</v>
      </c>
      <c r="C247" s="68">
        <f t="shared" si="25"/>
        <v>777155.75835965341</v>
      </c>
      <c r="D247" s="67">
        <f t="array" ref="D247">SUM($B$7:$B242*$F$1009*EXP(-$F$1009*($A247-$A$7:$A242)))*$F$1010</f>
        <v>79674183.200710833</v>
      </c>
      <c r="E247" s="67">
        <f t="shared" si="23"/>
        <v>151.89179663041148</v>
      </c>
      <c r="F247" s="70">
        <f t="shared" si="27"/>
        <v>9.2228698913985845</v>
      </c>
      <c r="G247" s="67">
        <f>E247/'Lookup Tables'!$C$48</f>
        <v>303.78359326082295</v>
      </c>
      <c r="H247" s="70">
        <f t="shared" si="24"/>
        <v>0.10272629064404154</v>
      </c>
      <c r="I247" s="71">
        <f t="shared" si="28"/>
        <v>0.43744837429558503</v>
      </c>
      <c r="L247" s="74"/>
      <c r="M247" s="74"/>
      <c r="N247" s="74"/>
      <c r="O247" s="74"/>
      <c r="P247" s="74"/>
      <c r="Q247" s="74"/>
      <c r="R247" s="74"/>
      <c r="S247" s="74"/>
      <c r="T247" s="74"/>
      <c r="U247" s="74"/>
      <c r="V247" s="74"/>
      <c r="W247" s="74"/>
      <c r="X247" s="74"/>
      <c r="Y247" s="74"/>
      <c r="Z247" s="74"/>
    </row>
    <row r="248" spans="1:26" x14ac:dyDescent="0.3">
      <c r="A248" s="66">
        <f t="shared" si="26"/>
        <v>2014.0999999999781</v>
      </c>
      <c r="B248" s="67">
        <f>LOOKUP(A248+0.01,Amounts!$A$4:$A$103,Amounts!$B$4:$B$103)*0.1*$A$2</f>
        <v>4247.8117940339998</v>
      </c>
      <c r="C248" s="68">
        <f t="shared" si="25"/>
        <v>781403.57015368738</v>
      </c>
      <c r="D248" s="67">
        <f t="array" ref="D248">SUM($B$7:$B243*$F$1009*EXP(-$F$1009*($A248-$A$7:$A243)))*$F$1010</f>
        <v>79957145.191179857</v>
      </c>
      <c r="E248" s="67">
        <f t="shared" si="23"/>
        <v>152.43123868533891</v>
      </c>
      <c r="F248" s="70">
        <f t="shared" si="27"/>
        <v>9.2556248129737781</v>
      </c>
      <c r="G248" s="67">
        <f>E248/'Lookup Tables'!$C$48</f>
        <v>304.86247737067782</v>
      </c>
      <c r="H248" s="70">
        <f t="shared" si="24"/>
        <v>0.10253070514798961</v>
      </c>
      <c r="I248" s="71">
        <f t="shared" si="28"/>
        <v>0.43900196741377606</v>
      </c>
      <c r="L248" s="74"/>
      <c r="M248" s="74"/>
      <c r="N248" s="74"/>
      <c r="O248" s="74"/>
      <c r="P248" s="74"/>
      <c r="Q248" s="74"/>
      <c r="R248" s="74"/>
      <c r="S248" s="74"/>
      <c r="T248" s="74"/>
      <c r="U248" s="74"/>
      <c r="V248" s="74"/>
      <c r="W248" s="74"/>
      <c r="X248" s="74"/>
      <c r="Y248" s="74"/>
      <c r="Z248" s="74"/>
    </row>
    <row r="249" spans="1:26" x14ac:dyDescent="0.3">
      <c r="A249" s="66">
        <f t="shared" si="26"/>
        <v>2014.199999999978</v>
      </c>
      <c r="B249" s="67">
        <f>LOOKUP(A249+0.01,Amounts!$A$4:$A$103,Amounts!$B$4:$B$103)*0.1*$A$2</f>
        <v>4247.8117940339998</v>
      </c>
      <c r="C249" s="68">
        <f t="shared" si="25"/>
        <v>785651.38194772135</v>
      </c>
      <c r="D249" s="67">
        <f t="array" ref="D249">SUM($B$7:$B244*$F$1009*EXP(-$F$1009*($A249-$A$7:$A244)))*$F$1010</f>
        <v>80238133.364136651</v>
      </c>
      <c r="E249" s="67">
        <f t="shared" si="23"/>
        <v>152.96691783142805</v>
      </c>
      <c r="F249" s="70">
        <f t="shared" si="27"/>
        <v>9.2881512507243116</v>
      </c>
      <c r="G249" s="67">
        <f>E249/'Lookup Tables'!$C$48</f>
        <v>305.9338356628561</v>
      </c>
      <c r="H249" s="70">
        <f t="shared" si="24"/>
        <v>0.10233471722900694</v>
      </c>
      <c r="I249" s="71">
        <f t="shared" si="28"/>
        <v>0.44054472335451283</v>
      </c>
      <c r="L249" s="74"/>
      <c r="M249" s="74"/>
      <c r="N249" s="74"/>
      <c r="O249" s="74"/>
      <c r="P249" s="74"/>
      <c r="Q249" s="74"/>
      <c r="R249" s="74"/>
      <c r="S249" s="74"/>
      <c r="T249" s="74"/>
      <c r="U249" s="74"/>
      <c r="V249" s="74"/>
      <c r="W249" s="74"/>
      <c r="X249" s="74"/>
      <c r="Y249" s="74"/>
      <c r="Z249" s="74"/>
    </row>
    <row r="250" spans="1:26" x14ac:dyDescent="0.3">
      <c r="A250" s="66">
        <f t="shared" si="26"/>
        <v>2014.2999999999779</v>
      </c>
      <c r="B250" s="67">
        <f>LOOKUP(A250+0.01,Amounts!$A$4:$A$103,Amounts!$B$4:$B$103)*0.1*$A$2</f>
        <v>4247.8117940339998</v>
      </c>
      <c r="C250" s="68">
        <f t="shared" si="25"/>
        <v>789899.19374175533</v>
      </c>
      <c r="D250" s="67">
        <f t="array" ref="D250">SUM($B$7:$B245*$F$1009*EXP(-$F$1009*($A250-$A$7:$A245)))*$F$1010</f>
        <v>80517161.488057941</v>
      </c>
      <c r="E250" s="67">
        <f t="shared" si="23"/>
        <v>153.49886031706419</v>
      </c>
      <c r="F250" s="70">
        <f t="shared" si="27"/>
        <v>9.3204507984521374</v>
      </c>
      <c r="G250" s="67">
        <f>E250/'Lookup Tables'!$C$48</f>
        <v>306.99772063412837</v>
      </c>
      <c r="H250" s="70">
        <f t="shared" si="24"/>
        <v>0.10213835084508976</v>
      </c>
      <c r="I250" s="71">
        <f t="shared" si="28"/>
        <v>0.44207671771314483</v>
      </c>
      <c r="L250" s="74"/>
      <c r="M250" s="74"/>
      <c r="N250" s="74"/>
      <c r="O250" s="74"/>
      <c r="P250" s="74"/>
      <c r="Q250" s="74"/>
      <c r="R250" s="74"/>
      <c r="S250" s="74"/>
      <c r="T250" s="74"/>
      <c r="U250" s="74"/>
      <c r="V250" s="74"/>
      <c r="W250" s="74"/>
      <c r="X250" s="74"/>
      <c r="Y250" s="74"/>
      <c r="Z250" s="74"/>
    </row>
    <row r="251" spans="1:26" x14ac:dyDescent="0.3">
      <c r="A251" s="66">
        <f t="shared" si="26"/>
        <v>2014.3999999999778</v>
      </c>
      <c r="B251" s="67">
        <f>LOOKUP(A251+0.01,Amounts!$A$4:$A$103,Amounts!$B$4:$B$103)*0.1*$A$2</f>
        <v>4247.8117940339998</v>
      </c>
      <c r="C251" s="68">
        <f t="shared" si="25"/>
        <v>794147.0055357893</v>
      </c>
      <c r="D251" s="67">
        <f t="array" ref="D251">SUM($B$7:$B246*$F$1009*EXP(-$F$1009*($A251-$A$7:$A246)))*$F$1010</f>
        <v>80794243.235377535</v>
      </c>
      <c r="E251" s="67">
        <f t="shared" si="23"/>
        <v>154.0270922075355</v>
      </c>
      <c r="F251" s="70">
        <f t="shared" si="27"/>
        <v>9.3525250388415557</v>
      </c>
      <c r="G251" s="67">
        <f>E251/'Lookup Tables'!$C$48</f>
        <v>308.05418441507101</v>
      </c>
      <c r="H251" s="70">
        <f t="shared" si="24"/>
        <v>0.10194162932045739</v>
      </c>
      <c r="I251" s="71">
        <f t="shared" si="28"/>
        <v>0.44359802555770222</v>
      </c>
      <c r="L251" s="74"/>
      <c r="M251" s="74"/>
      <c r="N251" s="74"/>
      <c r="O251" s="74"/>
      <c r="P251" s="74"/>
      <c r="Q251" s="74"/>
      <c r="R251" s="74"/>
      <c r="S251" s="74"/>
      <c r="T251" s="74"/>
      <c r="U251" s="74"/>
      <c r="V251" s="74"/>
      <c r="W251" s="74"/>
      <c r="X251" s="74"/>
      <c r="Y251" s="74"/>
      <c r="Z251" s="74"/>
    </row>
    <row r="252" spans="1:26" x14ac:dyDescent="0.3">
      <c r="A252" s="66">
        <f t="shared" si="26"/>
        <v>2014.4999999999777</v>
      </c>
      <c r="B252" s="67">
        <f>LOOKUP(A252+0.01,Amounts!$A$4:$A$103,Amounts!$B$4:$B$103)*0.1*$A$2</f>
        <v>4247.8117940339998</v>
      </c>
      <c r="C252" s="68">
        <f t="shared" si="25"/>
        <v>798394.81732982327</v>
      </c>
      <c r="D252" s="67">
        <f t="array" ref="D252">SUM($B$7:$B247*$F$1009*EXP(-$F$1009*($A252-$A$7:$A247)))*$F$1010</f>
        <v>81086166.859199241</v>
      </c>
      <c r="E252" s="67">
        <f t="shared" si="23"/>
        <v>154.58361882531628</v>
      </c>
      <c r="F252" s="70">
        <f t="shared" si="27"/>
        <v>9.3863173350732048</v>
      </c>
      <c r="G252" s="67">
        <f>E252/'Lookup Tables'!$C$48</f>
        <v>309.16723765063256</v>
      </c>
      <c r="H252" s="70">
        <f t="shared" si="24"/>
        <v>0.10176562809653304</v>
      </c>
      <c r="I252" s="71">
        <f t="shared" si="28"/>
        <v>0.44520082221691087</v>
      </c>
      <c r="L252" s="74"/>
      <c r="M252" s="74"/>
      <c r="N252" s="74"/>
      <c r="O252" s="74"/>
      <c r="P252" s="74"/>
      <c r="Q252" s="74"/>
      <c r="R252" s="74"/>
      <c r="S252" s="74"/>
      <c r="T252" s="74"/>
      <c r="U252" s="74"/>
      <c r="V252" s="74"/>
      <c r="W252" s="74"/>
      <c r="X252" s="74"/>
      <c r="Y252" s="74"/>
      <c r="Z252" s="74"/>
    </row>
    <row r="253" spans="1:26" x14ac:dyDescent="0.3">
      <c r="A253" s="66">
        <f t="shared" si="26"/>
        <v>2014.5999999999776</v>
      </c>
      <c r="B253" s="67">
        <f>LOOKUP(A253+0.01,Amounts!$A$4:$A$103,Amounts!$B$4:$B$103)*0.1*$A$2</f>
        <v>4247.8117940339998</v>
      </c>
      <c r="C253" s="68">
        <f t="shared" si="25"/>
        <v>802642.62912385724</v>
      </c>
      <c r="D253" s="67">
        <f t="array" ref="D253">SUM($B$7:$B248*$F$1009*EXP(-$F$1009*($A253-$A$7:$A248)))*$F$1010</f>
        <v>81376054.153123796</v>
      </c>
      <c r="E253" s="67">
        <f t="shared" si="23"/>
        <v>155.13626335991549</v>
      </c>
      <c r="F253" s="70">
        <f t="shared" si="27"/>
        <v>9.4198739112140686</v>
      </c>
      <c r="G253" s="67">
        <f>E253/'Lookup Tables'!$C$48</f>
        <v>310.27252671983098</v>
      </c>
      <c r="H253" s="70">
        <f t="shared" si="24"/>
        <v>0.10158894763785221</v>
      </c>
      <c r="I253" s="71">
        <f t="shared" si="28"/>
        <v>0.44679243847655659</v>
      </c>
      <c r="L253" s="74"/>
      <c r="M253" s="74"/>
      <c r="N253" s="74"/>
      <c r="O253" s="74"/>
      <c r="P253" s="74"/>
      <c r="Q253" s="74"/>
      <c r="R253" s="74"/>
      <c r="S253" s="74"/>
      <c r="T253" s="74"/>
      <c r="U253" s="74"/>
      <c r="V253" s="74"/>
      <c r="W253" s="74"/>
      <c r="X253" s="74"/>
      <c r="Y253" s="74"/>
      <c r="Z253" s="74"/>
    </row>
    <row r="254" spans="1:26" x14ac:dyDescent="0.3">
      <c r="A254" s="66">
        <f t="shared" si="26"/>
        <v>2014.6999999999775</v>
      </c>
      <c r="B254" s="67">
        <f>LOOKUP(A254+0.01,Amounts!$A$4:$A$103,Amounts!$B$4:$B$103)*0.1*$A$2</f>
        <v>4247.8117940339998</v>
      </c>
      <c r="C254" s="68">
        <f t="shared" si="25"/>
        <v>806890.44091789122</v>
      </c>
      <c r="D254" s="67">
        <f t="array" ref="D254">SUM($B$7:$B249*$F$1009*EXP(-$F$1009*($A254-$A$7:$A249)))*$F$1010</f>
        <v>81663919.321686685</v>
      </c>
      <c r="E254" s="67">
        <f t="shared" si="23"/>
        <v>155.68505289102603</v>
      </c>
      <c r="F254" s="70">
        <f t="shared" si="27"/>
        <v>9.4531964115431002</v>
      </c>
      <c r="G254" s="67">
        <f>E254/'Lookup Tables'!$C$48</f>
        <v>311.37010578205206</v>
      </c>
      <c r="H254" s="70">
        <f t="shared" si="24"/>
        <v>0.10141161631117906</v>
      </c>
      <c r="I254" s="71">
        <f t="shared" si="28"/>
        <v>0.44837295232615504</v>
      </c>
      <c r="L254" s="74"/>
      <c r="M254" s="74"/>
      <c r="N254" s="74"/>
      <c r="O254" s="74"/>
      <c r="P254" s="74"/>
      <c r="Q254" s="74"/>
      <c r="R254" s="74"/>
      <c r="S254" s="74"/>
      <c r="T254" s="74"/>
      <c r="U254" s="74"/>
      <c r="V254" s="74"/>
      <c r="W254" s="74"/>
      <c r="X254" s="74"/>
      <c r="Y254" s="74"/>
      <c r="Z254" s="74"/>
    </row>
    <row r="255" spans="1:26" x14ac:dyDescent="0.3">
      <c r="A255" s="66">
        <f t="shared" si="26"/>
        <v>2014.7999999999774</v>
      </c>
      <c r="B255" s="67">
        <f>LOOKUP(A255+0.01,Amounts!$A$4:$A$103,Amounts!$B$4:$B$103)*0.1*$A$2</f>
        <v>4247.8117940339998</v>
      </c>
      <c r="C255" s="68">
        <f t="shared" si="25"/>
        <v>811138.25271192519</v>
      </c>
      <c r="D255" s="67">
        <f t="array" ref="D255">SUM($B$7:$B250*$F$1009*EXP(-$F$1009*($A255-$A$7:$A250)))*$F$1010</f>
        <v>81949776.470338732</v>
      </c>
      <c r="E255" s="67">
        <f t="shared" si="23"/>
        <v>156.23001430944467</v>
      </c>
      <c r="F255" s="70">
        <f t="shared" si="27"/>
        <v>9.4862864688694799</v>
      </c>
      <c r="G255" s="67">
        <f>E255/'Lookup Tables'!$C$48</f>
        <v>312.46002861888934</v>
      </c>
      <c r="H255" s="70">
        <f t="shared" si="24"/>
        <v>0.10123366176666677</v>
      </c>
      <c r="I255" s="71">
        <f t="shared" si="28"/>
        <v>0.44994244121120058</v>
      </c>
      <c r="L255" s="74"/>
      <c r="M255" s="74"/>
      <c r="N255" s="74"/>
      <c r="O255" s="74"/>
      <c r="P255" s="74"/>
      <c r="Q255" s="74"/>
      <c r="R255" s="74"/>
      <c r="S255" s="74"/>
      <c r="T255" s="74"/>
      <c r="U255" s="74"/>
      <c r="V255" s="74"/>
      <c r="W255" s="74"/>
      <c r="X255" s="74"/>
      <c r="Y255" s="74"/>
      <c r="Z255" s="74"/>
    </row>
    <row r="256" spans="1:26" x14ac:dyDescent="0.3">
      <c r="A256" s="66">
        <f t="shared" si="26"/>
        <v>2014.8999999999774</v>
      </c>
      <c r="B256" s="67">
        <f>LOOKUP(A256+0.01,Amounts!$A$4:$A$103,Amounts!$B$4:$B$103)*0.1*$A$2</f>
        <v>4247.8117940339998</v>
      </c>
      <c r="C256" s="68">
        <f t="shared" si="25"/>
        <v>815386.06450595916</v>
      </c>
      <c r="D256" s="67">
        <f t="array" ref="D256">SUM($B$7:$B251*$F$1009*EXP(-$F$1009*($A256-$A$7:$A251)))*$F$1010</f>
        <v>82233639.606137425</v>
      </c>
      <c r="E256" s="67">
        <f t="shared" si="23"/>
        <v>156.77117431838997</v>
      </c>
      <c r="F256" s="70">
        <f t="shared" si="27"/>
        <v>9.5191457046126384</v>
      </c>
      <c r="G256" s="67">
        <f>E256/'Lookup Tables'!$C$48</f>
        <v>313.54234863677993</v>
      </c>
      <c r="H256" s="70">
        <f t="shared" si="24"/>
        <v>0.10105511095737343</v>
      </c>
      <c r="I256" s="71">
        <f t="shared" si="28"/>
        <v>0.45150098203696309</v>
      </c>
      <c r="L256" s="74"/>
      <c r="M256" s="74"/>
      <c r="N256" s="74"/>
      <c r="O256" s="74"/>
      <c r="P256" s="74"/>
      <c r="Q256" s="74"/>
      <c r="R256" s="74"/>
      <c r="S256" s="74"/>
      <c r="T256" s="74"/>
      <c r="U256" s="74"/>
      <c r="V256" s="74"/>
      <c r="W256" s="74"/>
      <c r="X256" s="74"/>
      <c r="Y256" s="74"/>
      <c r="Z256" s="74"/>
    </row>
    <row r="257" spans="1:26" x14ac:dyDescent="0.3">
      <c r="A257" s="66">
        <f t="shared" si="26"/>
        <v>2014.9999999999773</v>
      </c>
      <c r="B257" s="67">
        <f>LOOKUP(A257+0.01,Amounts!$A$4:$A$103,Amounts!$B$4:$B$103)*0.1*$A$2</f>
        <v>4332.7353670020002</v>
      </c>
      <c r="C257" s="68">
        <f t="shared" si="25"/>
        <v>819718.79987296113</v>
      </c>
      <c r="D257" s="67">
        <f t="array" ref="D257">SUM($B$7:$B252*$F$1009*EXP(-$F$1009*($A257-$A$7:$A252)))*$F$1010</f>
        <v>82515522.638433173</v>
      </c>
      <c r="E257" s="67">
        <f t="shared" si="23"/>
        <v>157.30855943481058</v>
      </c>
      <c r="F257" s="70">
        <f t="shared" si="27"/>
        <v>9.5517757288816973</v>
      </c>
      <c r="G257" s="67">
        <f>E257/'Lookup Tables'!$C$48</f>
        <v>314.61711886962115</v>
      </c>
      <c r="H257" s="70">
        <f t="shared" si="24"/>
        <v>0.10086553931878868</v>
      </c>
      <c r="I257" s="71">
        <f t="shared" si="28"/>
        <v>0.45304865117225446</v>
      </c>
      <c r="L257" s="74"/>
      <c r="M257" s="74"/>
      <c r="N257" s="74"/>
      <c r="O257" s="74"/>
      <c r="P257" s="74"/>
      <c r="Q257" s="74"/>
      <c r="R257" s="74"/>
      <c r="S257" s="74"/>
      <c r="T257" s="74"/>
      <c r="U257" s="74"/>
      <c r="V257" s="74"/>
      <c r="W257" s="74"/>
      <c r="X257" s="74"/>
      <c r="Y257" s="74"/>
      <c r="Z257" s="74"/>
    </row>
    <row r="258" spans="1:26" x14ac:dyDescent="0.3">
      <c r="A258" s="66">
        <f t="shared" si="26"/>
        <v>2015.0999999999772</v>
      </c>
      <c r="B258" s="67">
        <f>LOOKUP(A258+0.01,Amounts!$A$4:$A$103,Amounts!$B$4:$B$103)*0.1*$A$2</f>
        <v>4332.7353670020002</v>
      </c>
      <c r="C258" s="68">
        <f t="shared" si="25"/>
        <v>824051.53523996309</v>
      </c>
      <c r="D258" s="67">
        <f t="array" ref="D258">SUM($B$7:$B253*$F$1009*EXP(-$F$1009*($A258-$A$7:$A253)))*$F$1010</f>
        <v>82795439.379550993</v>
      </c>
      <c r="E258" s="67">
        <f t="shared" si="23"/>
        <v>157.84219599068473</v>
      </c>
      <c r="F258" s="70">
        <f t="shared" si="27"/>
        <v>9.5841781405543784</v>
      </c>
      <c r="G258" s="67">
        <f>E258/'Lookup Tables'!$C$48</f>
        <v>315.68439198136946</v>
      </c>
      <c r="H258" s="70">
        <f t="shared" si="24"/>
        <v>0.10067557023426391</v>
      </c>
      <c r="I258" s="71">
        <f t="shared" si="28"/>
        <v>0.45458552445317207</v>
      </c>
      <c r="L258" s="74"/>
      <c r="M258" s="74"/>
      <c r="N258" s="74"/>
      <c r="O258" s="74"/>
      <c r="P258" s="74"/>
      <c r="Q258" s="74"/>
      <c r="R258" s="74"/>
      <c r="S258" s="74"/>
      <c r="T258" s="74"/>
      <c r="U258" s="74"/>
      <c r="V258" s="74"/>
      <c r="W258" s="74"/>
      <c r="X258" s="74"/>
      <c r="Y258" s="74"/>
      <c r="Z258" s="74"/>
    </row>
    <row r="259" spans="1:26" x14ac:dyDescent="0.3">
      <c r="A259" s="66">
        <f t="shared" si="26"/>
        <v>2015.1999999999771</v>
      </c>
      <c r="B259" s="67">
        <f>LOOKUP(A259+0.01,Amounts!$A$4:$A$103,Amounts!$B$4:$B$103)*0.1*$A$2</f>
        <v>4332.7353670020002</v>
      </c>
      <c r="C259" s="68">
        <f t="shared" si="25"/>
        <v>828384.27060696506</v>
      </c>
      <c r="D259" s="67">
        <f t="array" ref="D259">SUM($B$7:$B254*$F$1009*EXP(-$F$1009*($A259-$A$7:$A254)))*$F$1010</f>
        <v>83073403.545467213</v>
      </c>
      <c r="E259" s="67">
        <f t="shared" si="23"/>
        <v>158.37211013431053</v>
      </c>
      <c r="F259" s="70">
        <f t="shared" si="27"/>
        <v>9.6163545273553357</v>
      </c>
      <c r="G259" s="67">
        <f>E259/'Lookup Tables'!$C$48</f>
        <v>316.74422026862106</v>
      </c>
      <c r="H259" s="70">
        <f t="shared" si="24"/>
        <v>0.10048522653092218</v>
      </c>
      <c r="I259" s="71">
        <f t="shared" si="28"/>
        <v>0.45611167718681439</v>
      </c>
      <c r="L259" s="74"/>
      <c r="M259" s="74"/>
      <c r="N259" s="74"/>
      <c r="O259" s="74"/>
      <c r="P259" s="74"/>
      <c r="Q259" s="74"/>
      <c r="R259" s="74"/>
      <c r="S259" s="74"/>
      <c r="T259" s="74"/>
      <c r="U259" s="74"/>
      <c r="V259" s="74"/>
      <c r="W259" s="74"/>
      <c r="X259" s="74"/>
      <c r="Y259" s="74"/>
      <c r="Z259" s="74"/>
    </row>
    <row r="260" spans="1:26" x14ac:dyDescent="0.3">
      <c r="A260" s="66">
        <f t="shared" si="26"/>
        <v>2015.299999999977</v>
      </c>
      <c r="B260" s="67">
        <f>LOOKUP(A260+0.01,Amounts!$A$4:$A$103,Amounts!$B$4:$B$103)*0.1*$A$2</f>
        <v>4332.7353670020002</v>
      </c>
      <c r="C260" s="68">
        <f t="shared" si="25"/>
        <v>832717.00597396703</v>
      </c>
      <c r="D260" s="67">
        <f t="array" ref="D260">SUM($B$7:$B255*$F$1009*EXP(-$F$1009*($A260-$A$7:$A255)))*$F$1010</f>
        <v>83349428.756481588</v>
      </c>
      <c r="E260" s="67">
        <f t="shared" si="23"/>
        <v>158.89832783158698</v>
      </c>
      <c r="F260" s="70">
        <f t="shared" si="27"/>
        <v>9.6483064659339615</v>
      </c>
      <c r="G260" s="67">
        <f>E260/'Lookup Tables'!$C$48</f>
        <v>317.79665566317396</v>
      </c>
      <c r="H260" s="70">
        <f t="shared" si="24"/>
        <v>0.1002945304456687</v>
      </c>
      <c r="I260" s="71">
        <f t="shared" si="28"/>
        <v>0.45762718415497056</v>
      </c>
      <c r="L260" s="74"/>
      <c r="M260" s="74"/>
      <c r="N260" s="74"/>
      <c r="O260" s="74"/>
      <c r="P260" s="74"/>
      <c r="Q260" s="74"/>
      <c r="R260" s="74"/>
      <c r="S260" s="74"/>
      <c r="T260" s="74"/>
      <c r="U260" s="74"/>
      <c r="V260" s="74"/>
      <c r="W260" s="74"/>
      <c r="X260" s="74"/>
      <c r="Y260" s="74"/>
      <c r="Z260" s="74"/>
    </row>
    <row r="261" spans="1:26" x14ac:dyDescent="0.3">
      <c r="A261" s="66">
        <f t="shared" si="26"/>
        <v>2015.3999999999769</v>
      </c>
      <c r="B261" s="67">
        <f>LOOKUP(A261+0.01,Amounts!$A$4:$A$103,Amounts!$B$4:$B$103)*0.1*$A$2</f>
        <v>4332.7353670020002</v>
      </c>
      <c r="C261" s="68">
        <f t="shared" si="25"/>
        <v>837049.74134096899</v>
      </c>
      <c r="D261" s="67">
        <f t="array" ref="D261">SUM($B$7:$B256*$F$1009*EXP(-$F$1009*($A261-$A$7:$A256)))*$F$1010</f>
        <v>83623528.537884653</v>
      </c>
      <c r="E261" s="67">
        <f t="shared" si="23"/>
        <v>159.42087486728656</v>
      </c>
      <c r="F261" s="70">
        <f t="shared" si="27"/>
        <v>9.6800355219416421</v>
      </c>
      <c r="G261" s="67">
        <f>E261/'Lookup Tables'!$C$48</f>
        <v>318.84174973457311</v>
      </c>
      <c r="H261" s="70">
        <f t="shared" si="24"/>
        <v>0.10010350364126525</v>
      </c>
      <c r="I261" s="71">
        <f t="shared" si="28"/>
        <v>0.45913211961778533</v>
      </c>
      <c r="L261" s="74"/>
      <c r="M261" s="74"/>
      <c r="N261" s="74"/>
      <c r="O261" s="74"/>
      <c r="P261" s="74"/>
      <c r="Q261" s="74"/>
      <c r="R261" s="74"/>
      <c r="S261" s="74"/>
      <c r="T261" s="74"/>
      <c r="U261" s="74"/>
      <c r="V261" s="74"/>
      <c r="W261" s="74"/>
      <c r="X261" s="74"/>
      <c r="Y261" s="74"/>
      <c r="Z261" s="74"/>
    </row>
    <row r="262" spans="1:26" x14ac:dyDescent="0.3">
      <c r="A262" s="66">
        <f t="shared" si="26"/>
        <v>2015.4999999999768</v>
      </c>
      <c r="B262" s="67">
        <f>LOOKUP(A262+0.01,Amounts!$A$4:$A$103,Amounts!$B$4:$B$103)*0.1*$A$2</f>
        <v>4332.7353670020002</v>
      </c>
      <c r="C262" s="68">
        <f t="shared" si="25"/>
        <v>841382.47670797096</v>
      </c>
      <c r="D262" s="67">
        <f t="array" ref="D262">SUM($B$7:$B257*$F$1009*EXP(-$F$1009*($A262-$A$7:$A257)))*$F$1010</f>
        <v>83912819.911879748</v>
      </c>
      <c r="E262" s="67">
        <f t="shared" si="23"/>
        <v>159.97238333314809</v>
      </c>
      <c r="F262" s="70">
        <f t="shared" si="27"/>
        <v>9.7135231159887514</v>
      </c>
      <c r="G262" s="67">
        <f>E262/'Lookup Tables'!$C$48</f>
        <v>319.94476666629618</v>
      </c>
      <c r="H262" s="70">
        <f t="shared" si="24"/>
        <v>9.9932536043397829E-2</v>
      </c>
      <c r="I262" s="71">
        <f t="shared" si="28"/>
        <v>0.46072046399946648</v>
      </c>
      <c r="L262" s="74"/>
      <c r="M262" s="74"/>
      <c r="N262" s="74"/>
      <c r="O262" s="74"/>
      <c r="P262" s="74"/>
      <c r="Q262" s="74"/>
      <c r="R262" s="74"/>
      <c r="S262" s="74"/>
      <c r="T262" s="74"/>
      <c r="U262" s="74"/>
      <c r="V262" s="74"/>
      <c r="W262" s="74"/>
      <c r="X262" s="74"/>
      <c r="Y262" s="74"/>
      <c r="Z262" s="74"/>
    </row>
    <row r="263" spans="1:26" x14ac:dyDescent="0.3">
      <c r="A263" s="66">
        <f t="shared" si="26"/>
        <v>2015.5999999999767</v>
      </c>
      <c r="B263" s="67">
        <f>LOOKUP(A263+0.01,Amounts!$A$4:$A$103,Amounts!$B$4:$B$103)*0.1*$A$2</f>
        <v>4332.7353670020002</v>
      </c>
      <c r="C263" s="68">
        <f t="shared" si="25"/>
        <v>845715.21207497292</v>
      </c>
      <c r="D263" s="67">
        <f t="array" ref="D263">SUM($B$7:$B258*$F$1009*EXP(-$F$1009*($A263-$A$7:$A258)))*$F$1010</f>
        <v>84200093.317386627</v>
      </c>
      <c r="E263" s="67">
        <f t="shared" ref="E263:E326" si="29">D263/(365*24*60)*1.00201</f>
        <v>160.52004472023322</v>
      </c>
      <c r="F263" s="70">
        <f t="shared" si="27"/>
        <v>9.7467771154125611</v>
      </c>
      <c r="G263" s="67">
        <f>E263/'Lookup Tables'!$C$48</f>
        <v>321.04008944046643</v>
      </c>
      <c r="H263" s="70">
        <f t="shared" ref="H263:H326" si="30">G263*60*24*365/(C263*2000)</f>
        <v>9.9760929329807554E-2</v>
      </c>
      <c r="I263" s="71">
        <f t="shared" si="28"/>
        <v>0.46229772879427167</v>
      </c>
      <c r="L263" s="74"/>
      <c r="M263" s="74"/>
      <c r="N263" s="74"/>
      <c r="O263" s="74"/>
      <c r="P263" s="74"/>
      <c r="Q263" s="74"/>
      <c r="R263" s="74"/>
      <c r="S263" s="74"/>
      <c r="T263" s="74"/>
      <c r="U263" s="74"/>
      <c r="V263" s="74"/>
      <c r="W263" s="74"/>
      <c r="X263" s="74"/>
      <c r="Y263" s="74"/>
      <c r="Z263" s="74"/>
    </row>
    <row r="264" spans="1:26" x14ac:dyDescent="0.3">
      <c r="A264" s="66">
        <f t="shared" si="26"/>
        <v>2015.6999999999766</v>
      </c>
      <c r="B264" s="67">
        <f>LOOKUP(A264+0.01,Amounts!$A$4:$A$103,Amounts!$B$4:$B$103)*0.1*$A$2</f>
        <v>4332.7353670020002</v>
      </c>
      <c r="C264" s="68">
        <f t="shared" si="25"/>
        <v>850047.94744197489</v>
      </c>
      <c r="D264" s="67">
        <f t="array" ref="D264">SUM($B$7:$B259*$F$1009*EXP(-$F$1009*($A264-$A$7:$A259)))*$F$1010</f>
        <v>84485362.830859616</v>
      </c>
      <c r="E264" s="67">
        <f t="shared" si="29"/>
        <v>161.06388586405947</v>
      </c>
      <c r="F264" s="70">
        <f t="shared" si="27"/>
        <v>9.7797991496656902</v>
      </c>
      <c r="G264" s="67">
        <f>E264/'Lookup Tables'!$C$48</f>
        <v>322.12777172811894</v>
      </c>
      <c r="H264" s="70">
        <f t="shared" si="30"/>
        <v>9.9588709866190589E-2</v>
      </c>
      <c r="I264" s="71">
        <f t="shared" si="28"/>
        <v>0.46386399128849132</v>
      </c>
      <c r="L264" s="74"/>
      <c r="M264" s="74"/>
      <c r="N264" s="74"/>
      <c r="O264" s="74"/>
      <c r="P264" s="74"/>
      <c r="Q264" s="74"/>
      <c r="R264" s="74"/>
      <c r="S264" s="74"/>
      <c r="T264" s="74"/>
      <c r="U264" s="74"/>
      <c r="V264" s="74"/>
      <c r="W264" s="74"/>
      <c r="X264" s="74"/>
      <c r="Y264" s="74"/>
      <c r="Z264" s="74"/>
    </row>
    <row r="265" spans="1:26" x14ac:dyDescent="0.3">
      <c r="A265" s="66">
        <f t="shared" si="26"/>
        <v>2015.7999999999765</v>
      </c>
      <c r="B265" s="67">
        <f>LOOKUP(A265+0.01,Amounts!$A$4:$A$103,Amounts!$B$4:$B$103)*0.1*$A$2</f>
        <v>4332.7353670020002</v>
      </c>
      <c r="C265" s="68">
        <f t="shared" ref="C265:C328" si="31">C264+B265</f>
        <v>854380.68280897685</v>
      </c>
      <c r="D265" s="67">
        <f t="array" ref="D265">SUM($B$7:$B260*$F$1009*EXP(-$F$1009*($A265-$A$7:$A260)))*$F$1010</f>
        <v>84768642.430561975</v>
      </c>
      <c r="E265" s="67">
        <f t="shared" si="29"/>
        <v>161.60393341295168</v>
      </c>
      <c r="F265" s="70">
        <f t="shared" si="27"/>
        <v>9.8125908368344259</v>
      </c>
      <c r="G265" s="67">
        <f>E265/'Lookup Tables'!$C$48</f>
        <v>323.20786682590335</v>
      </c>
      <c r="H265" s="70">
        <f t="shared" si="30"/>
        <v>9.9415903368262518E-2</v>
      </c>
      <c r="I265" s="71">
        <f t="shared" si="28"/>
        <v>0.46541932822930082</v>
      </c>
      <c r="L265" s="74"/>
      <c r="M265" s="74"/>
      <c r="N265" s="74"/>
      <c r="O265" s="74"/>
      <c r="P265" s="74"/>
      <c r="Q265" s="74"/>
      <c r="R265" s="74"/>
      <c r="S265" s="74"/>
      <c r="T265" s="74"/>
      <c r="U265" s="74"/>
      <c r="V265" s="74"/>
      <c r="W265" s="74"/>
      <c r="X265" s="74"/>
      <c r="Y265" s="74"/>
      <c r="Z265" s="74"/>
    </row>
    <row r="266" spans="1:26" x14ac:dyDescent="0.3">
      <c r="A266" s="66">
        <f t="shared" si="26"/>
        <v>2015.8999999999764</v>
      </c>
      <c r="B266" s="67">
        <f>LOOKUP(A266+0.01,Amounts!$A$4:$A$103,Amounts!$B$4:$B$103)*0.1*$A$2</f>
        <v>4332.7353670020002</v>
      </c>
      <c r="C266" s="68">
        <f t="shared" si="31"/>
        <v>858713.41817597882</v>
      </c>
      <c r="D266" s="67">
        <f t="array" ref="D266">SUM($B$7:$B261*$F$1009*EXP(-$F$1009*($A266-$A$7:$A261)))*$F$1010</f>
        <v>85049945.997250751</v>
      </c>
      <c r="E266" s="67">
        <f t="shared" si="29"/>
        <v>162.14021382934786</v>
      </c>
      <c r="F266" s="70">
        <f t="shared" si="27"/>
        <v>9.8451537837180005</v>
      </c>
      <c r="G266" s="67">
        <f>E266/'Lookup Tables'!$C$48</f>
        <v>324.28042765869571</v>
      </c>
      <c r="H266" s="70">
        <f t="shared" si="30"/>
        <v>9.924253491895553E-2</v>
      </c>
      <c r="I266" s="71">
        <f t="shared" si="28"/>
        <v>0.46696381582852187</v>
      </c>
      <c r="L266" s="74"/>
      <c r="M266" s="74"/>
      <c r="N266" s="74"/>
      <c r="O266" s="74"/>
      <c r="P266" s="74"/>
      <c r="Q266" s="74"/>
      <c r="R266" s="74"/>
      <c r="S266" s="74"/>
      <c r="T266" s="74"/>
      <c r="U266" s="74"/>
      <c r="V266" s="74"/>
      <c r="W266" s="74"/>
      <c r="X266" s="74"/>
      <c r="Y266" s="74"/>
      <c r="Z266" s="74"/>
    </row>
    <row r="267" spans="1:26" x14ac:dyDescent="0.3">
      <c r="A267" s="66">
        <f t="shared" si="26"/>
        <v>2015.9999999999764</v>
      </c>
      <c r="B267" s="67">
        <f>LOOKUP(A267+0.01,Amounts!$A$4:$A$103,Amounts!$B$4:$B$103)*0.1*$A$2</f>
        <v>4419.3828159169998</v>
      </c>
      <c r="C267" s="68">
        <f t="shared" si="31"/>
        <v>863132.80099189584</v>
      </c>
      <c r="D267" s="67">
        <f t="array" ref="D267">SUM($B$7:$B262*$F$1009*EXP(-$F$1009*($A267-$A$7:$A262)))*$F$1010</f>
        <v>85329287.314856991</v>
      </c>
      <c r="E267" s="67">
        <f t="shared" si="29"/>
        <v>162.67275339109563</v>
      </c>
      <c r="F267" s="70">
        <f t="shared" si="27"/>
        <v>9.8774895859073251</v>
      </c>
      <c r="G267" s="67">
        <f>E267/'Lookup Tables'!$C$48</f>
        <v>325.34550678219125</v>
      </c>
      <c r="H267" s="70">
        <f t="shared" si="30"/>
        <v>9.9058683766975339E-2</v>
      </c>
      <c r="I267" s="71">
        <f t="shared" si="28"/>
        <v>0.46849752976635539</v>
      </c>
      <c r="L267" s="74"/>
      <c r="M267" s="74"/>
      <c r="N267" s="74"/>
      <c r="O267" s="74"/>
      <c r="P267" s="74"/>
      <c r="Q267" s="74"/>
      <c r="R267" s="74"/>
      <c r="S267" s="74"/>
      <c r="T267" s="74"/>
      <c r="U267" s="74"/>
      <c r="V267" s="74"/>
      <c r="W267" s="74"/>
      <c r="X267" s="74"/>
      <c r="Y267" s="74"/>
      <c r="Z267" s="74"/>
    </row>
    <row r="268" spans="1:26" x14ac:dyDescent="0.3">
      <c r="A268" s="66">
        <f t="shared" si="26"/>
        <v>2016.0999999999763</v>
      </c>
      <c r="B268" s="67">
        <f>LOOKUP(A268+0.01,Amounts!$A$4:$A$103,Amounts!$B$4:$B$103)*0.1*$A$2</f>
        <v>4419.3828159169998</v>
      </c>
      <c r="C268" s="68">
        <f t="shared" si="31"/>
        <v>867552.18380781286</v>
      </c>
      <c r="D268" s="67">
        <f t="array" ref="D268">SUM($B$7:$B263*$F$1009*EXP(-$F$1009*($A268-$A$7:$A263)))*$F$1010</f>
        <v>85606680.071161181</v>
      </c>
      <c r="E268" s="67">
        <f t="shared" si="29"/>
        <v>163.20157819274016</v>
      </c>
      <c r="F268" s="70">
        <f t="shared" si="27"/>
        <v>9.9095998278631807</v>
      </c>
      <c r="G268" s="67">
        <f>E268/'Lookup Tables'!$C$48</f>
        <v>326.40315638548032</v>
      </c>
      <c r="H268" s="70">
        <f t="shared" si="30"/>
        <v>9.8874455161427649E-2</v>
      </c>
      <c r="I268" s="71">
        <f t="shared" si="28"/>
        <v>0.47002054519509162</v>
      </c>
      <c r="L268" s="74"/>
      <c r="M268" s="74"/>
      <c r="N268" s="74"/>
      <c r="O268" s="74"/>
      <c r="P268" s="74"/>
      <c r="Q268" s="74"/>
      <c r="R268" s="74"/>
      <c r="S268" s="74"/>
      <c r="T268" s="74"/>
      <c r="U268" s="74"/>
      <c r="V268" s="74"/>
      <c r="W268" s="74"/>
      <c r="X268" s="74"/>
      <c r="Y268" s="74"/>
      <c r="Z268" s="74"/>
    </row>
    <row r="269" spans="1:26" x14ac:dyDescent="0.3">
      <c r="A269" s="66">
        <f t="shared" si="26"/>
        <v>2016.1999999999762</v>
      </c>
      <c r="B269" s="67">
        <f>LOOKUP(A269+0.01,Amounts!$A$4:$A$103,Amounts!$B$4:$B$103)*0.1*$A$2</f>
        <v>4419.3828159169998</v>
      </c>
      <c r="C269" s="68">
        <f t="shared" si="31"/>
        <v>871971.56662372989</v>
      </c>
      <c r="D269" s="67">
        <f t="array" ref="D269">SUM($B$7:$B264*$F$1009*EXP(-$F$1009*($A269-$A$7:$A264)))*$F$1010</f>
        <v>85882137.858463898</v>
      </c>
      <c r="E269" s="67">
        <f t="shared" si="29"/>
        <v>163.72671414680255</v>
      </c>
      <c r="F269" s="70">
        <f t="shared" si="27"/>
        <v>9.9414860829938512</v>
      </c>
      <c r="G269" s="67">
        <f>E269/'Lookup Tables'!$C$48</f>
        <v>327.4534282936051</v>
      </c>
      <c r="H269" s="70">
        <f t="shared" si="30"/>
        <v>9.8689870460757209E-2</v>
      </c>
      <c r="I269" s="71">
        <f t="shared" si="28"/>
        <v>0.4715329367427914</v>
      </c>
      <c r="L269" s="74"/>
      <c r="M269" s="74"/>
      <c r="N269" s="74"/>
      <c r="O269" s="74"/>
      <c r="P269" s="74"/>
      <c r="Q269" s="74"/>
      <c r="R269" s="74"/>
      <c r="S269" s="74"/>
      <c r="T269" s="74"/>
      <c r="U269" s="74"/>
      <c r="V269" s="74"/>
      <c r="W269" s="74"/>
      <c r="X269" s="74"/>
      <c r="Y269" s="74"/>
      <c r="Z269" s="74"/>
    </row>
    <row r="270" spans="1:26" x14ac:dyDescent="0.3">
      <c r="A270" s="66">
        <f t="shared" si="26"/>
        <v>2016.2999999999761</v>
      </c>
      <c r="B270" s="67">
        <f>LOOKUP(A270+0.01,Amounts!$A$4:$A$103,Amounts!$B$4:$B$103)*0.1*$A$2</f>
        <v>4419.3828159169998</v>
      </c>
      <c r="C270" s="68">
        <f t="shared" si="31"/>
        <v>876390.94943964691</v>
      </c>
      <c r="D270" s="67">
        <f t="array" ref="D270">SUM($B$7:$B265*$F$1009*EXP(-$F$1009*($A270-$A$7:$A265)))*$F$1010</f>
        <v>86155674.174251765</v>
      </c>
      <c r="E270" s="67">
        <f t="shared" si="29"/>
        <v>164.2481869850495</v>
      </c>
      <c r="F270" s="70">
        <f t="shared" si="27"/>
        <v>9.9731499137322057</v>
      </c>
      <c r="G270" s="67">
        <f>E270/'Lookup Tables'!$C$48</f>
        <v>328.496373970099</v>
      </c>
      <c r="H270" s="70">
        <f t="shared" si="30"/>
        <v>9.8504950484186962E-2</v>
      </c>
      <c r="I270" s="71">
        <f t="shared" si="28"/>
        <v>0.47303477851694259</v>
      </c>
      <c r="L270" s="74"/>
      <c r="M270" s="74"/>
      <c r="N270" s="74"/>
      <c r="O270" s="74"/>
      <c r="P270" s="74"/>
      <c r="Q270" s="74"/>
      <c r="R270" s="74"/>
      <c r="S270" s="74"/>
      <c r="T270" s="74"/>
      <c r="U270" s="74"/>
      <c r="V270" s="74"/>
      <c r="W270" s="74"/>
      <c r="X270" s="74"/>
      <c r="Y270" s="74"/>
      <c r="Z270" s="74"/>
    </row>
    <row r="271" spans="1:26" x14ac:dyDescent="0.3">
      <c r="A271" s="66">
        <f t="shared" si="26"/>
        <v>2016.399999999976</v>
      </c>
      <c r="B271" s="67">
        <f>LOOKUP(A271+0.01,Amounts!$A$4:$A$103,Amounts!$B$4:$B$103)*0.1*$A$2</f>
        <v>4419.3828159169998</v>
      </c>
      <c r="C271" s="68">
        <f t="shared" si="31"/>
        <v>880810.33225556393</v>
      </c>
      <c r="D271" s="67">
        <f t="array" ref="D271">SUM($B$7:$B266*$F$1009*EXP(-$F$1009*($A271-$A$7:$A266)))*$F$1010</f>
        <v>86427302.421859011</v>
      </c>
      <c r="E271" s="67">
        <f t="shared" si="29"/>
        <v>164.76602225975449</v>
      </c>
      <c r="F271" s="70">
        <f t="shared" si="27"/>
        <v>10.004592871612292</v>
      </c>
      <c r="G271" s="67">
        <f>E271/'Lookup Tables'!$C$48</f>
        <v>329.53204451950899</v>
      </c>
      <c r="H271" s="70">
        <f t="shared" si="30"/>
        <v>9.8319715525998136E-2</v>
      </c>
      <c r="I271" s="71">
        <f t="shared" si="28"/>
        <v>0.47452614410809285</v>
      </c>
      <c r="L271" s="74"/>
      <c r="M271" s="74"/>
      <c r="N271" s="74"/>
      <c r="O271" s="74"/>
      <c r="P271" s="74"/>
      <c r="Q271" s="74"/>
      <c r="R271" s="74"/>
      <c r="S271" s="74"/>
      <c r="T271" s="74"/>
      <c r="U271" s="74"/>
      <c r="V271" s="74"/>
      <c r="W271" s="74"/>
      <c r="X271" s="74"/>
      <c r="Y271" s="74"/>
      <c r="Z271" s="74"/>
    </row>
    <row r="272" spans="1:26" x14ac:dyDescent="0.3">
      <c r="A272" s="66">
        <f t="shared" si="26"/>
        <v>2016.4999999999759</v>
      </c>
      <c r="B272" s="67">
        <f>LOOKUP(A272+0.01,Amounts!$A$4:$A$103,Amounts!$B$4:$B$103)*0.1*$A$2</f>
        <v>4419.3828159169998</v>
      </c>
      <c r="C272" s="68">
        <f t="shared" si="31"/>
        <v>885229.71507148095</v>
      </c>
      <c r="D272" s="67">
        <f t="array" ref="D272">SUM($B$7:$B267*$F$1009*EXP(-$F$1009*($A272-$A$7:$A267)))*$F$1010</f>
        <v>86714486.690667436</v>
      </c>
      <c r="E272" s="67">
        <f t="shared" si="29"/>
        <v>165.31351371559302</v>
      </c>
      <c r="F272" s="70">
        <f t="shared" si="27"/>
        <v>10.037836552810807</v>
      </c>
      <c r="G272" s="67">
        <f>E272/'Lookup Tables'!$C$48</f>
        <v>330.62702743118604</v>
      </c>
      <c r="H272" s="70">
        <f t="shared" si="30"/>
        <v>9.8153938271152083E-2</v>
      </c>
      <c r="I272" s="71">
        <f t="shared" si="28"/>
        <v>0.47610291950090788</v>
      </c>
      <c r="L272" s="74"/>
      <c r="M272" s="74"/>
      <c r="N272" s="74"/>
      <c r="O272" s="74"/>
      <c r="P272" s="74"/>
      <c r="Q272" s="74"/>
      <c r="R272" s="74"/>
      <c r="S272" s="74"/>
      <c r="T272" s="74"/>
      <c r="U272" s="74"/>
      <c r="V272" s="74"/>
      <c r="W272" s="74"/>
      <c r="X272" s="74"/>
      <c r="Y272" s="74"/>
      <c r="Z272" s="74"/>
    </row>
    <row r="273" spans="1:26" x14ac:dyDescent="0.3">
      <c r="A273" s="66">
        <f t="shared" si="26"/>
        <v>2016.5999999999758</v>
      </c>
      <c r="B273" s="67">
        <f>LOOKUP(A273+0.01,Amounts!$A$4:$A$103,Amounts!$B$4:$B$103)*0.1*$A$2</f>
        <v>4419.3828159169998</v>
      </c>
      <c r="C273" s="68">
        <f t="shared" si="31"/>
        <v>889649.09788739798</v>
      </c>
      <c r="D273" s="67">
        <f t="array" ref="D273">SUM($B$7:$B268*$F$1009*EXP(-$F$1009*($A273-$A$7:$A268)))*$F$1010</f>
        <v>86999667.68922013</v>
      </c>
      <c r="E273" s="67">
        <f t="shared" si="29"/>
        <v>165.85718611353781</v>
      </c>
      <c r="F273" s="70">
        <f t="shared" si="27"/>
        <v>10.070848340814015</v>
      </c>
      <c r="G273" s="67">
        <f>E273/'Lookup Tables'!$C$48</f>
        <v>331.71437222707561</v>
      </c>
      <c r="H273" s="70">
        <f t="shared" si="30"/>
        <v>9.7987551753027313E-2</v>
      </c>
      <c r="I273" s="71">
        <f t="shared" si="28"/>
        <v>0.47766869600698886</v>
      </c>
      <c r="L273" s="74"/>
      <c r="M273" s="74"/>
      <c r="N273" s="74"/>
      <c r="O273" s="74"/>
      <c r="P273" s="74"/>
      <c r="Q273" s="74"/>
      <c r="R273" s="74"/>
      <c r="S273" s="74"/>
      <c r="T273" s="74"/>
      <c r="U273" s="74"/>
      <c r="V273" s="74"/>
      <c r="W273" s="74"/>
      <c r="X273" s="74"/>
      <c r="Y273" s="74"/>
      <c r="Z273" s="74"/>
    </row>
    <row r="274" spans="1:26" x14ac:dyDescent="0.3">
      <c r="A274" s="66">
        <f t="shared" si="26"/>
        <v>2016.6999999999757</v>
      </c>
      <c r="B274" s="67">
        <f>LOOKUP(A274+0.01,Amounts!$A$4:$A$103,Amounts!$B$4:$B$103)*0.1*$A$2</f>
        <v>4419.3828159169998</v>
      </c>
      <c r="C274" s="68">
        <f t="shared" si="31"/>
        <v>894068.480703315</v>
      </c>
      <c r="D274" s="67">
        <f t="array" ref="D274">SUM($B$7:$B269*$F$1009*EXP(-$F$1009*($A274-$A$7:$A269)))*$F$1010</f>
        <v>87282859.391443029</v>
      </c>
      <c r="E274" s="67">
        <f t="shared" si="29"/>
        <v>166.39706609364504</v>
      </c>
      <c r="F274" s="70">
        <f t="shared" si="27"/>
        <v>10.103629853206126</v>
      </c>
      <c r="G274" s="67">
        <f>E274/'Lookup Tables'!$C$48</f>
        <v>332.79413218729007</v>
      </c>
      <c r="H274" s="70">
        <f t="shared" si="30"/>
        <v>9.782058066740161E-2</v>
      </c>
      <c r="I274" s="71">
        <f t="shared" si="28"/>
        <v>0.47922355034969771</v>
      </c>
      <c r="L274" s="74"/>
      <c r="M274" s="74"/>
      <c r="N274" s="74"/>
      <c r="O274" s="74"/>
      <c r="P274" s="74"/>
      <c r="Q274" s="74"/>
      <c r="R274" s="74"/>
      <c r="S274" s="74"/>
      <c r="T274" s="74"/>
      <c r="U274" s="74"/>
      <c r="V274" s="74"/>
      <c r="W274" s="74"/>
      <c r="X274" s="74"/>
      <c r="Y274" s="74"/>
      <c r="Z274" s="74"/>
    </row>
    <row r="275" spans="1:26" x14ac:dyDescent="0.3">
      <c r="A275" s="66">
        <f t="shared" ref="A275:A338" si="32">A274+0.1</f>
        <v>2016.7999999999756</v>
      </c>
      <c r="B275" s="67">
        <f>LOOKUP(A275+0.01,Amounts!$A$4:$A$103,Amounts!$B$4:$B$103)*0.1*$A$2</f>
        <v>4419.3828159169998</v>
      </c>
      <c r="C275" s="68">
        <f t="shared" si="31"/>
        <v>898487.86351923202</v>
      </c>
      <c r="D275" s="67">
        <f t="array" ref="D275">SUM($B$7:$B270*$F$1009*EXP(-$F$1009*($A275-$A$7:$A270)))*$F$1010</f>
        <v>87564075.673786268</v>
      </c>
      <c r="E275" s="67">
        <f t="shared" si="29"/>
        <v>166.9331801101419</v>
      </c>
      <c r="F275" s="70">
        <f t="shared" ref="F275:F338" si="33">E275*60*1012/1000000</f>
        <v>10.136182696287817</v>
      </c>
      <c r="G275" s="67">
        <f>E275/'Lookup Tables'!$C$48</f>
        <v>333.86636022028381</v>
      </c>
      <c r="H275" s="70">
        <f t="shared" si="30"/>
        <v>9.7653049115462562E-2</v>
      </c>
      <c r="I275" s="71">
        <f t="shared" ref="I275:I338" si="34">G275*60*24/1000000</f>
        <v>0.48076755871720867</v>
      </c>
      <c r="L275" s="74"/>
      <c r="M275" s="74"/>
      <c r="N275" s="74"/>
      <c r="O275" s="74"/>
      <c r="P275" s="74"/>
      <c r="Q275" s="74"/>
      <c r="R275" s="74"/>
      <c r="S275" s="74"/>
      <c r="T275" s="74"/>
      <c r="U275" s="74"/>
      <c r="V275" s="74"/>
      <c r="W275" s="74"/>
      <c r="X275" s="74"/>
      <c r="Y275" s="74"/>
      <c r="Z275" s="74"/>
    </row>
    <row r="276" spans="1:26" x14ac:dyDescent="0.3">
      <c r="A276" s="66">
        <f t="shared" si="32"/>
        <v>2016.8999999999755</v>
      </c>
      <c r="B276" s="67">
        <f>LOOKUP(A276+0.01,Amounts!$A$4:$A$103,Amounts!$B$4:$B$103)*0.1*$A$2</f>
        <v>4419.3828159169998</v>
      </c>
      <c r="C276" s="68">
        <f t="shared" si="31"/>
        <v>902907.24633514904</v>
      </c>
      <c r="D276" s="67">
        <f t="array" ref="D276">SUM($B$7:$B271*$F$1009*EXP(-$F$1009*($A276-$A$7:$A271)))*$F$1010</f>
        <v>87843330.315903947</v>
      </c>
      <c r="E276" s="67">
        <f t="shared" si="29"/>
        <v>167.46555443272246</v>
      </c>
      <c r="F276" s="70">
        <f t="shared" si="33"/>
        <v>10.168508465154908</v>
      </c>
      <c r="G276" s="67">
        <f>E276/'Lookup Tables'!$C$48</f>
        <v>334.93110886544491</v>
      </c>
      <c r="H276" s="70">
        <f t="shared" si="30"/>
        <v>9.748498061911326E-2</v>
      </c>
      <c r="I276" s="71">
        <f t="shared" si="34"/>
        <v>0.48230079676624066</v>
      </c>
      <c r="L276" s="74"/>
      <c r="M276" s="74"/>
      <c r="N276" s="74"/>
      <c r="O276" s="74"/>
      <c r="P276" s="74"/>
      <c r="Q276" s="74"/>
      <c r="R276" s="74"/>
      <c r="S276" s="74"/>
      <c r="T276" s="74"/>
      <c r="U276" s="74"/>
      <c r="V276" s="74"/>
      <c r="W276" s="74"/>
      <c r="X276" s="74"/>
      <c r="Y276" s="74"/>
      <c r="Z276" s="74"/>
    </row>
    <row r="277" spans="1:26" x14ac:dyDescent="0.3">
      <c r="A277" s="66">
        <f t="shared" si="32"/>
        <v>2016.9999999999754</v>
      </c>
      <c r="B277" s="67">
        <f>LOOKUP(A277+0.01,Amounts!$A$4:$A$103,Amounts!$B$4:$B$103)*0.1*$A$2</f>
        <v>0</v>
      </c>
      <c r="C277" s="68">
        <f t="shared" si="31"/>
        <v>902907.24633514904</v>
      </c>
      <c r="D277" s="67">
        <f t="array" ref="D277">SUM($B$7:$B272*$F$1009*EXP(-$F$1009*($A277-$A$7:$A272)))*$F$1010</f>
        <v>88120637.001329333</v>
      </c>
      <c r="E277" s="67">
        <f t="shared" si="29"/>
        <v>167.99421514783486</v>
      </c>
      <c r="F277" s="70">
        <f t="shared" si="33"/>
        <v>10.200608743776534</v>
      </c>
      <c r="G277" s="67">
        <f>E277/'Lookup Tables'!$C$48</f>
        <v>335.98843029566973</v>
      </c>
      <c r="H277" s="70">
        <f t="shared" si="30"/>
        <v>9.7792724380159485E-2</v>
      </c>
      <c r="I277" s="71">
        <f t="shared" si="34"/>
        <v>0.4838233396257644</v>
      </c>
      <c r="L277" s="74"/>
      <c r="M277" s="74"/>
      <c r="N277" s="74"/>
      <c r="O277" s="74"/>
      <c r="P277" s="74"/>
      <c r="Q277" s="74"/>
      <c r="R277" s="74"/>
      <c r="S277" s="74"/>
      <c r="T277" s="74"/>
      <c r="U277" s="74"/>
      <c r="V277" s="74"/>
      <c r="W277" s="74"/>
      <c r="X277" s="74"/>
      <c r="Y277" s="74"/>
      <c r="Z277" s="74"/>
    </row>
    <row r="278" spans="1:26" x14ac:dyDescent="0.3">
      <c r="A278" s="66">
        <f t="shared" si="32"/>
        <v>2017.0999999999754</v>
      </c>
      <c r="B278" s="67">
        <f>LOOKUP(A278+0.01,Amounts!$A$4:$A$103,Amounts!$B$4:$B$103)*0.1*$A$2</f>
        <v>0</v>
      </c>
      <c r="C278" s="68">
        <f t="shared" si="31"/>
        <v>902907.24633514904</v>
      </c>
      <c r="D278" s="67">
        <f t="array" ref="D278">SUM($B$7:$B273*$F$1009*EXP(-$F$1009*($A278-$A$7:$A273)))*$F$1010</f>
        <v>88396009.318145543</v>
      </c>
      <c r="E278" s="67">
        <f t="shared" si="29"/>
        <v>168.51918815996009</v>
      </c>
      <c r="F278" s="70">
        <f t="shared" si="33"/>
        <v>10.232485105072776</v>
      </c>
      <c r="G278" s="67">
        <f>E278/'Lookup Tables'!$C$48</f>
        <v>337.03837631992019</v>
      </c>
      <c r="H278" s="70">
        <f t="shared" si="30"/>
        <v>9.8098321457038631E-2</v>
      </c>
      <c r="I278" s="71">
        <f t="shared" si="34"/>
        <v>0.48533526190068504</v>
      </c>
      <c r="L278" s="74"/>
      <c r="M278" s="74"/>
      <c r="N278" s="74"/>
      <c r="O278" s="74"/>
      <c r="P278" s="74"/>
      <c r="Q278" s="74"/>
      <c r="R278" s="74"/>
      <c r="S278" s="74"/>
      <c r="T278" s="74"/>
      <c r="U278" s="74"/>
      <c r="V278" s="74"/>
      <c r="W278" s="74"/>
      <c r="X278" s="74"/>
      <c r="Y278" s="74"/>
      <c r="Z278" s="74"/>
    </row>
    <row r="279" spans="1:26" x14ac:dyDescent="0.3">
      <c r="A279" s="66">
        <f t="shared" si="32"/>
        <v>2017.1999999999753</v>
      </c>
      <c r="B279" s="67">
        <f>LOOKUP(A279+0.01,Amounts!$A$4:$A$103,Amounts!$B$4:$B$103)*0.1*$A$2</f>
        <v>0</v>
      </c>
      <c r="C279" s="68">
        <f t="shared" si="31"/>
        <v>902907.24633514904</v>
      </c>
      <c r="D279" s="67">
        <f t="array" ref="D279">SUM($B$7:$B274*$F$1009*EXP(-$F$1009*($A279-$A$7:$A274)))*$F$1010</f>
        <v>88669460.759651199</v>
      </c>
      <c r="E279" s="67">
        <f t="shared" si="29"/>
        <v>169.04049919288073</v>
      </c>
      <c r="F279" s="70">
        <f t="shared" si="33"/>
        <v>10.264139110991719</v>
      </c>
      <c r="G279" s="67">
        <f>E279/'Lookup Tables'!$C$48</f>
        <v>338.08099838576146</v>
      </c>
      <c r="H279" s="70">
        <f t="shared" si="30"/>
        <v>9.8401786824068568E-2</v>
      </c>
      <c r="I279" s="71">
        <f t="shared" si="34"/>
        <v>0.48683663767549651</v>
      </c>
      <c r="L279" s="74"/>
      <c r="M279" s="74"/>
      <c r="N279" s="74"/>
      <c r="O279" s="74"/>
      <c r="P279" s="74"/>
      <c r="Q279" s="74"/>
      <c r="R279" s="74"/>
      <c r="S279" s="74"/>
      <c r="T279" s="74"/>
      <c r="U279" s="74"/>
      <c r="V279" s="74"/>
      <c r="W279" s="74"/>
      <c r="X279" s="74"/>
      <c r="Y279" s="74"/>
      <c r="Z279" s="74"/>
    </row>
    <row r="280" spans="1:26" x14ac:dyDescent="0.3">
      <c r="A280" s="66">
        <f t="shared" si="32"/>
        <v>2017.2999999999752</v>
      </c>
      <c r="B280" s="67">
        <f>LOOKUP(A280+0.01,Amounts!$A$4:$A$103,Amounts!$B$4:$B$103)*0.1*$A$2</f>
        <v>0</v>
      </c>
      <c r="C280" s="68">
        <f t="shared" si="31"/>
        <v>902907.24633514904</v>
      </c>
      <c r="D280" s="67">
        <f t="array" ref="D280">SUM($B$7:$B275*$F$1009*EXP(-$F$1009*($A280-$A$7:$A275)))*$F$1010</f>
        <v>88941004.72502166</v>
      </c>
      <c r="E280" s="67">
        <f t="shared" si="29"/>
        <v>169.55817379094171</v>
      </c>
      <c r="F280" s="70">
        <f t="shared" si="33"/>
        <v>10.295572312585982</v>
      </c>
      <c r="G280" s="67">
        <f>E280/'Lookup Tables'!$C$48</f>
        <v>339.11634758188342</v>
      </c>
      <c r="H280" s="70">
        <f t="shared" si="30"/>
        <v>9.8703135351113011E-2</v>
      </c>
      <c r="I280" s="71">
        <f t="shared" si="34"/>
        <v>0.48832754051791211</v>
      </c>
      <c r="L280" s="74"/>
      <c r="M280" s="74"/>
      <c r="N280" s="74"/>
      <c r="O280" s="74"/>
      <c r="P280" s="74"/>
      <c r="Q280" s="74"/>
      <c r="R280" s="74"/>
      <c r="S280" s="74"/>
      <c r="T280" s="74"/>
      <c r="U280" s="74"/>
      <c r="V280" s="74"/>
      <c r="W280" s="74"/>
      <c r="X280" s="74"/>
      <c r="Y280" s="74"/>
      <c r="Z280" s="74"/>
    </row>
    <row r="281" spans="1:26" x14ac:dyDescent="0.3">
      <c r="A281" s="66">
        <f t="shared" si="32"/>
        <v>2017.3999999999751</v>
      </c>
      <c r="B281" s="67">
        <f>LOOKUP(A281+0.01,Amounts!$A$4:$A$103,Amounts!$B$4:$B$103)*0.1*$A$2</f>
        <v>0</v>
      </c>
      <c r="C281" s="68">
        <f t="shared" si="31"/>
        <v>902907.24633514904</v>
      </c>
      <c r="D281" s="67">
        <f t="array" ref="D281">SUM($B$7:$B276*$F$1009*EXP(-$F$1009*($A281-$A$7:$A276)))*$F$1010</f>
        <v>89210654.519965574</v>
      </c>
      <c r="E281" s="67">
        <f t="shared" si="29"/>
        <v>170.07223732030195</v>
      </c>
      <c r="F281" s="70">
        <f t="shared" si="33"/>
        <v>10.326786250088734</v>
      </c>
      <c r="G281" s="67">
        <f>E281/'Lookup Tables'!$C$48</f>
        <v>340.1444746406039</v>
      </c>
      <c r="H281" s="70">
        <f t="shared" si="30"/>
        <v>9.9002381804310105E-2</v>
      </c>
      <c r="I281" s="71">
        <f t="shared" si="34"/>
        <v>0.48980804348246965</v>
      </c>
      <c r="L281" s="74"/>
      <c r="M281" s="74"/>
      <c r="N281" s="74"/>
      <c r="O281" s="74"/>
      <c r="P281" s="74"/>
      <c r="Q281" s="74"/>
      <c r="R281" s="74"/>
      <c r="S281" s="74"/>
      <c r="T281" s="74"/>
      <c r="U281" s="74"/>
      <c r="V281" s="74"/>
      <c r="W281" s="74"/>
      <c r="X281" s="74"/>
      <c r="Y281" s="74"/>
      <c r="Z281" s="74"/>
    </row>
    <row r="282" spans="1:26" x14ac:dyDescent="0.3">
      <c r="A282" s="66">
        <f t="shared" si="32"/>
        <v>2017.499999999975</v>
      </c>
      <c r="B282" s="67">
        <f>LOOKUP(A282+0.01,Amounts!$A$4:$A$103,Amounts!$B$4:$B$103)*0.1*$A$2</f>
        <v>0</v>
      </c>
      <c r="C282" s="68">
        <f t="shared" si="31"/>
        <v>902907.24633514904</v>
      </c>
      <c r="D282" s="67">
        <f t="array" ref="D282">SUM($B$7:$B277*$F$1009*EXP(-$F$1009*($A282-$A$7:$A277)))*$F$1010</f>
        <v>88588360.508398682</v>
      </c>
      <c r="E282" s="67">
        <f t="shared" si="29"/>
        <v>168.88588872340293</v>
      </c>
      <c r="F282" s="70">
        <f t="shared" si="33"/>
        <v>10.254751163285027</v>
      </c>
      <c r="G282" s="67">
        <f>E282/'Lookup Tables'!$C$48</f>
        <v>337.77177744680586</v>
      </c>
      <c r="H282" s="70">
        <f t="shared" si="30"/>
        <v>9.831178504028916E-2</v>
      </c>
      <c r="I282" s="71">
        <f t="shared" si="34"/>
        <v>0.48639135952340046</v>
      </c>
      <c r="L282" s="74"/>
      <c r="M282" s="74"/>
      <c r="N282" s="74"/>
      <c r="O282" s="74"/>
      <c r="P282" s="74"/>
      <c r="Q282" s="74"/>
      <c r="R282" s="74"/>
      <c r="S282" s="74"/>
      <c r="T282" s="74"/>
      <c r="U282" s="74"/>
      <c r="V282" s="74"/>
      <c r="W282" s="74"/>
      <c r="X282" s="74"/>
      <c r="Y282" s="74"/>
      <c r="Z282" s="74"/>
    </row>
    <row r="283" spans="1:26" x14ac:dyDescent="0.3">
      <c r="A283" s="66">
        <f t="shared" si="32"/>
        <v>2017.5999999999749</v>
      </c>
      <c r="B283" s="67">
        <f>LOOKUP(A283+0.01,Amounts!$A$4:$A$103,Amounts!$B$4:$B$103)*0.1*$A$2</f>
        <v>0</v>
      </c>
      <c r="C283" s="68">
        <f t="shared" si="31"/>
        <v>902907.24633514904</v>
      </c>
      <c r="D283" s="67">
        <f t="array" ref="D283">SUM($B$7:$B278*$F$1009*EXP(-$F$1009*($A283-$A$7:$A278)))*$F$1010</f>
        <v>87970407.344221756</v>
      </c>
      <c r="E283" s="67">
        <f t="shared" si="29"/>
        <v>167.70781556884256</v>
      </c>
      <c r="F283" s="70">
        <f t="shared" si="33"/>
        <v>10.183218561340119</v>
      </c>
      <c r="G283" s="67">
        <f>E283/'Lookup Tables'!$C$48</f>
        <v>335.41563113768512</v>
      </c>
      <c r="H283" s="70">
        <f t="shared" si="30"/>
        <v>9.7626005573405686E-2</v>
      </c>
      <c r="I283" s="71">
        <f t="shared" si="34"/>
        <v>0.48299850883826656</v>
      </c>
      <c r="L283" s="74"/>
      <c r="M283" s="74"/>
      <c r="N283" s="74"/>
      <c r="O283" s="74"/>
      <c r="P283" s="74"/>
      <c r="Q283" s="74"/>
      <c r="R283" s="74"/>
      <c r="S283" s="74"/>
      <c r="T283" s="74"/>
      <c r="U283" s="74"/>
      <c r="V283" s="74"/>
      <c r="W283" s="74"/>
      <c r="X283" s="74"/>
      <c r="Y283" s="74"/>
      <c r="Z283" s="74"/>
    </row>
    <row r="284" spans="1:26" x14ac:dyDescent="0.3">
      <c r="A284" s="66">
        <f t="shared" si="32"/>
        <v>2017.6999999999748</v>
      </c>
      <c r="B284" s="67">
        <f>LOOKUP(A284+0.01,Amounts!$A$4:$A$103,Amounts!$B$4:$B$103)*0.1*$A$2</f>
        <v>0</v>
      </c>
      <c r="C284" s="68">
        <f t="shared" si="31"/>
        <v>902907.24633514904</v>
      </c>
      <c r="D284" s="67">
        <f t="array" ref="D284">SUM($B$7:$B279*$F$1009*EXP(-$F$1009*($A284-$A$7:$A279)))*$F$1010</f>
        <v>87356764.747606143</v>
      </c>
      <c r="E284" s="67">
        <f t="shared" si="29"/>
        <v>166.53796013080068</v>
      </c>
      <c r="F284" s="70">
        <f t="shared" si="33"/>
        <v>10.112184939142217</v>
      </c>
      <c r="G284" s="67">
        <f>E284/'Lookup Tables'!$C$48</f>
        <v>333.07592026160137</v>
      </c>
      <c r="H284" s="70">
        <f t="shared" si="30"/>
        <v>9.6945009800328732E-2</v>
      </c>
      <c r="I284" s="71">
        <f t="shared" si="34"/>
        <v>0.47962932517670603</v>
      </c>
      <c r="L284" s="74"/>
      <c r="M284" s="74"/>
      <c r="N284" s="74"/>
      <c r="O284" s="74"/>
      <c r="P284" s="74"/>
      <c r="Q284" s="74"/>
      <c r="R284" s="74"/>
      <c r="S284" s="74"/>
      <c r="T284" s="74"/>
      <c r="U284" s="74"/>
      <c r="V284" s="74"/>
      <c r="W284" s="74"/>
      <c r="X284" s="74"/>
      <c r="Y284" s="74"/>
      <c r="Z284" s="74"/>
    </row>
    <row r="285" spans="1:26" x14ac:dyDescent="0.3">
      <c r="A285" s="66">
        <f t="shared" si="32"/>
        <v>2017.7999999999747</v>
      </c>
      <c r="B285" s="67">
        <f>LOOKUP(A285+0.01,Amounts!$A$4:$A$103,Amounts!$B$4:$B$103)*0.1*$A$2</f>
        <v>0</v>
      </c>
      <c r="C285" s="68">
        <f t="shared" si="31"/>
        <v>902907.24633514904</v>
      </c>
      <c r="D285" s="67">
        <f t="array" ref="D285">SUM($B$7:$B280*$F$1009*EXP(-$F$1009*($A285-$A$7:$A280)))*$F$1010</f>
        <v>86747402.649941817</v>
      </c>
      <c r="E285" s="67">
        <f t="shared" si="29"/>
        <v>165.37626508612672</v>
      </c>
      <c r="F285" s="70">
        <f t="shared" si="33"/>
        <v>10.041646816029614</v>
      </c>
      <c r="G285" s="67">
        <f>E285/'Lookup Tables'!$C$48</f>
        <v>330.75253017225344</v>
      </c>
      <c r="H285" s="70">
        <f t="shared" si="30"/>
        <v>9.6268764352129069E-2</v>
      </c>
      <c r="I285" s="71">
        <f t="shared" si="34"/>
        <v>0.47628364344804497</v>
      </c>
      <c r="L285" s="74"/>
      <c r="M285" s="74"/>
      <c r="N285" s="74"/>
      <c r="O285" s="74"/>
      <c r="P285" s="74"/>
      <c r="Q285" s="74"/>
      <c r="R285" s="74"/>
      <c r="S285" s="74"/>
      <c r="T285" s="74"/>
      <c r="U285" s="74"/>
      <c r="V285" s="74"/>
      <c r="W285" s="74"/>
      <c r="X285" s="74"/>
      <c r="Y285" s="74"/>
      <c r="Z285" s="74"/>
    </row>
    <row r="286" spans="1:26" x14ac:dyDescent="0.3">
      <c r="A286" s="66">
        <f t="shared" si="32"/>
        <v>2017.8999999999746</v>
      </c>
      <c r="B286" s="67">
        <f>LOOKUP(A286+0.01,Amounts!$A$4:$A$103,Amounts!$B$4:$B$103)*0.1*$A$2</f>
        <v>0</v>
      </c>
      <c r="C286" s="68">
        <f t="shared" si="31"/>
        <v>902907.24633514904</v>
      </c>
      <c r="D286" s="67">
        <f t="array" ref="D286">SUM($B$7:$B281*$F$1009*EXP(-$F$1009*($A286-$A$7:$A281)))*$F$1010</f>
        <v>86142291.192364052</v>
      </c>
      <c r="E286" s="67">
        <f t="shared" si="29"/>
        <v>164.22267351153101</v>
      </c>
      <c r="F286" s="70">
        <f t="shared" si="33"/>
        <v>9.9716007356201626</v>
      </c>
      <c r="G286" s="67">
        <f>E286/'Lookup Tables'!$C$48</f>
        <v>328.44534702306203</v>
      </c>
      <c r="H286" s="70">
        <f t="shared" si="30"/>
        <v>9.5597236092644422E-2</v>
      </c>
      <c r="I286" s="71">
        <f t="shared" si="34"/>
        <v>0.47296129971320933</v>
      </c>
      <c r="L286" s="74"/>
      <c r="M286" s="74"/>
      <c r="N286" s="74"/>
      <c r="O286" s="74"/>
      <c r="P286" s="74"/>
      <c r="Q286" s="74"/>
      <c r="R286" s="74"/>
      <c r="S286" s="74"/>
      <c r="T286" s="74"/>
      <c r="U286" s="74"/>
      <c r="V286" s="74"/>
      <c r="W286" s="74"/>
      <c r="X286" s="74"/>
      <c r="Y286" s="74"/>
      <c r="Z286" s="74"/>
    </row>
    <row r="287" spans="1:26" x14ac:dyDescent="0.3">
      <c r="A287" s="66">
        <f t="shared" si="32"/>
        <v>2017.9999999999745</v>
      </c>
      <c r="B287" s="67">
        <f>LOOKUP(A287+0.01,Amounts!$A$4:$A$103,Amounts!$B$4:$B$103)*0.1*$A$2</f>
        <v>0</v>
      </c>
      <c r="C287" s="68">
        <f t="shared" si="31"/>
        <v>902907.24633514904</v>
      </c>
      <c r="D287" s="67">
        <f t="array" ref="D287">SUM($B$7:$B282*$F$1009*EXP(-$F$1009*($A287-$A$7:$A282)))*$F$1010</f>
        <v>85541400.724290371</v>
      </c>
      <c r="E287" s="67">
        <f t="shared" si="29"/>
        <v>163.07712888079567</v>
      </c>
      <c r="F287" s="70">
        <f t="shared" si="33"/>
        <v>9.9020432656419128</v>
      </c>
      <c r="G287" s="67">
        <f>E287/'Lookup Tables'!$C$48</f>
        <v>326.15425776159134</v>
      </c>
      <c r="H287" s="70">
        <f t="shared" si="30"/>
        <v>9.4930392116855805E-2</v>
      </c>
      <c r="I287" s="71">
        <f t="shared" si="34"/>
        <v>0.46966213117669153</v>
      </c>
      <c r="L287" s="74"/>
      <c r="M287" s="74"/>
      <c r="N287" s="74"/>
      <c r="O287" s="74"/>
      <c r="P287" s="74"/>
      <c r="Q287" s="74"/>
      <c r="R287" s="74"/>
      <c r="S287" s="74"/>
      <c r="T287" s="74"/>
      <c r="U287" s="74"/>
      <c r="V287" s="74"/>
      <c r="W287" s="74"/>
      <c r="X287" s="74"/>
      <c r="Y287" s="74"/>
      <c r="Z287" s="74"/>
    </row>
    <row r="288" spans="1:26" x14ac:dyDescent="0.3">
      <c r="A288" s="66">
        <f t="shared" si="32"/>
        <v>2018.0999999999744</v>
      </c>
      <c r="B288" s="67">
        <f>LOOKUP(A288+0.01,Amounts!$A$4:$A$103,Amounts!$B$4:$B$103)*0.1*$A$2</f>
        <v>0</v>
      </c>
      <c r="C288" s="68">
        <f t="shared" si="31"/>
        <v>902907.24633514904</v>
      </c>
      <c r="D288" s="67">
        <f t="array" ref="D288">SUM($B$7:$B283*$F$1009*EXP(-$F$1009*($A288-$A$7:$A283)))*$F$1010</f>
        <v>84944701.801967621</v>
      </c>
      <c r="E288" s="67">
        <f t="shared" si="29"/>
        <v>161.93957506200454</v>
      </c>
      <c r="F288" s="70">
        <f t="shared" si="33"/>
        <v>9.8329709977649156</v>
      </c>
      <c r="G288" s="67">
        <f>E288/'Lookup Tables'!$C$48</f>
        <v>323.87915012400907</v>
      </c>
      <c r="H288" s="70">
        <f t="shared" si="30"/>
        <v>9.4268199749274889E-2</v>
      </c>
      <c r="I288" s="71">
        <f t="shared" si="34"/>
        <v>0.46638597617857303</v>
      </c>
      <c r="L288" s="74"/>
      <c r="M288" s="74"/>
      <c r="N288" s="74"/>
      <c r="O288" s="74"/>
      <c r="P288" s="74"/>
      <c r="Q288" s="74"/>
      <c r="R288" s="74"/>
      <c r="S288" s="74"/>
      <c r="T288" s="74"/>
      <c r="U288" s="74"/>
      <c r="V288" s="74"/>
      <c r="W288" s="74"/>
      <c r="X288" s="74"/>
      <c r="Y288" s="74"/>
      <c r="Z288" s="74"/>
    </row>
    <row r="289" spans="1:26" x14ac:dyDescent="0.3">
      <c r="A289" s="66">
        <f t="shared" si="32"/>
        <v>2018.1999999999744</v>
      </c>
      <c r="B289" s="67">
        <f>LOOKUP(A289+0.01,Amounts!$A$4:$A$103,Amounts!$B$4:$B$103)*0.1*$A$2</f>
        <v>0</v>
      </c>
      <c r="C289" s="68">
        <f t="shared" si="31"/>
        <v>902907.24633514904</v>
      </c>
      <c r="D289" s="67">
        <f t="array" ref="D289">SUM($B$7:$B284*$F$1009*EXP(-$F$1009*($A289-$A$7:$A284)))*$F$1010</f>
        <v>84352165.187029198</v>
      </c>
      <c r="E289" s="67">
        <f t="shared" si="29"/>
        <v>160.80995631479286</v>
      </c>
      <c r="F289" s="70">
        <f t="shared" si="33"/>
        <v>9.7643805474342216</v>
      </c>
      <c r="G289" s="67">
        <f>E289/'Lookup Tables'!$C$48</f>
        <v>321.61991262958571</v>
      </c>
      <c r="H289" s="70">
        <f t="shared" si="30"/>
        <v>9.3610626542343214E-2</v>
      </c>
      <c r="I289" s="71">
        <f t="shared" si="34"/>
        <v>0.46313267418660342</v>
      </c>
      <c r="L289" s="74"/>
      <c r="M289" s="74"/>
      <c r="N289" s="74"/>
      <c r="O289" s="74"/>
      <c r="P289" s="74"/>
      <c r="Q289" s="74"/>
      <c r="R289" s="74"/>
      <c r="S289" s="74"/>
      <c r="T289" s="74"/>
      <c r="U289" s="74"/>
      <c r="V289" s="74"/>
      <c r="W289" s="74"/>
      <c r="X289" s="74"/>
      <c r="Y289" s="74"/>
      <c r="Z289" s="74"/>
    </row>
    <row r="290" spans="1:26" x14ac:dyDescent="0.3">
      <c r="A290" s="66">
        <f t="shared" si="32"/>
        <v>2018.2999999999743</v>
      </c>
      <c r="B290" s="67">
        <f>LOOKUP(A290+0.01,Amounts!$A$4:$A$103,Amounts!$B$4:$B$103)*0.1*$A$2</f>
        <v>0</v>
      </c>
      <c r="C290" s="68">
        <f t="shared" si="31"/>
        <v>902907.24633514904</v>
      </c>
      <c r="D290" s="67">
        <f t="array" ref="D290">SUM($B$7:$B285*$F$1009*EXP(-$F$1009*($A290-$A$7:$A285)))*$F$1010</f>
        <v>83763761.84506242</v>
      </c>
      <c r="E290" s="67">
        <f t="shared" si="29"/>
        <v>159.68821728761606</v>
      </c>
      <c r="F290" s="70">
        <f t="shared" si="33"/>
        <v>9.6962685537040461</v>
      </c>
      <c r="G290" s="67">
        <f>E290/'Lookup Tables'!$C$48</f>
        <v>319.37643457523211</v>
      </c>
      <c r="H290" s="70">
        <f t="shared" si="30"/>
        <v>9.295764027484206E-2</v>
      </c>
      <c r="I290" s="71">
        <f t="shared" si="34"/>
        <v>0.45990206578833426</v>
      </c>
      <c r="L290" s="74"/>
      <c r="M290" s="74"/>
      <c r="N290" s="74"/>
      <c r="O290" s="74"/>
      <c r="P290" s="74"/>
      <c r="Q290" s="74"/>
      <c r="R290" s="74"/>
      <c r="S290" s="74"/>
      <c r="T290" s="74"/>
      <c r="U290" s="74"/>
      <c r="V290" s="74"/>
      <c r="W290" s="74"/>
      <c r="X290" s="74"/>
      <c r="Y290" s="74"/>
      <c r="Z290" s="74"/>
    </row>
    <row r="291" spans="1:26" x14ac:dyDescent="0.3">
      <c r="A291" s="66">
        <f t="shared" si="32"/>
        <v>2018.3999999999742</v>
      </c>
      <c r="B291" s="67">
        <f>LOOKUP(A291+0.01,Amounts!$A$4:$A$103,Amounts!$B$4:$B$103)*0.1*$A$2</f>
        <v>0</v>
      </c>
      <c r="C291" s="68">
        <f t="shared" si="31"/>
        <v>902907.24633514904</v>
      </c>
      <c r="D291" s="67">
        <f t="array" ref="D291">SUM($B$7:$B286*$F$1009*EXP(-$F$1009*($A291-$A$7:$A286)))*$F$1010</f>
        <v>83179462.944185778</v>
      </c>
      <c r="E291" s="67">
        <f t="shared" si="29"/>
        <v>158.57430301503729</v>
      </c>
      <c r="F291" s="70">
        <f t="shared" si="33"/>
        <v>9.6286316790730631</v>
      </c>
      <c r="G291" s="67">
        <f>E291/'Lookup Tables'!$C$48</f>
        <v>317.14860603007457</v>
      </c>
      <c r="H291" s="70">
        <f t="shared" si="30"/>
        <v>9.2309208950313651E-2</v>
      </c>
      <c r="I291" s="71">
        <f t="shared" si="34"/>
        <v>0.4566939926833074</v>
      </c>
      <c r="L291" s="74"/>
      <c r="M291" s="74"/>
      <c r="N291" s="74"/>
      <c r="O291" s="74"/>
      <c r="P291" s="74"/>
      <c r="Q291" s="74"/>
      <c r="R291" s="74"/>
      <c r="S291" s="74"/>
      <c r="T291" s="74"/>
      <c r="U291" s="74"/>
      <c r="V291" s="74"/>
      <c r="W291" s="74"/>
      <c r="X291" s="74"/>
      <c r="Y291" s="74"/>
      <c r="Z291" s="74"/>
    </row>
    <row r="292" spans="1:26" x14ac:dyDescent="0.3">
      <c r="A292" s="66">
        <f t="shared" si="32"/>
        <v>2018.4999999999741</v>
      </c>
      <c r="B292" s="67">
        <f>LOOKUP(A292+0.01,Amounts!$A$4:$A$103,Amounts!$B$4:$B$103)*0.1*$A$2</f>
        <v>0</v>
      </c>
      <c r="C292" s="68">
        <f t="shared" si="31"/>
        <v>902907.24633514904</v>
      </c>
      <c r="D292" s="67">
        <f t="array" ref="D292">SUM($B$7:$B287*$F$1009*EXP(-$F$1009*($A292-$A$7:$A287)))*$F$1010</f>
        <v>82599239.853636295</v>
      </c>
      <c r="E292" s="67">
        <f t="shared" si="29"/>
        <v>157.46815891503445</v>
      </c>
      <c r="F292" s="70">
        <f t="shared" si="33"/>
        <v>9.5614666093208918</v>
      </c>
      <c r="G292" s="67">
        <f>E292/'Lookup Tables'!$C$48</f>
        <v>314.9363178300689</v>
      </c>
      <c r="H292" s="70">
        <f t="shared" si="30"/>
        <v>9.1665300795493412E-2</v>
      </c>
      <c r="I292" s="71">
        <f t="shared" si="34"/>
        <v>0.45350829767529921</v>
      </c>
      <c r="L292" s="74"/>
      <c r="M292" s="74"/>
      <c r="N292" s="74"/>
      <c r="O292" s="74"/>
      <c r="P292" s="74"/>
      <c r="Q292" s="74"/>
      <c r="R292" s="74"/>
      <c r="S292" s="74"/>
      <c r="T292" s="74"/>
      <c r="U292" s="74"/>
      <c r="V292" s="74"/>
      <c r="W292" s="74"/>
      <c r="X292" s="74"/>
      <c r="Y292" s="74"/>
      <c r="Z292" s="74"/>
    </row>
    <row r="293" spans="1:26" x14ac:dyDescent="0.3">
      <c r="A293" s="66">
        <f t="shared" si="32"/>
        <v>2018.599999999974</v>
      </c>
      <c r="B293" s="67">
        <f>LOOKUP(A293+0.01,Amounts!$A$4:$A$103,Amounts!$B$4:$B$103)*0.1*$A$2</f>
        <v>0</v>
      </c>
      <c r="C293" s="68">
        <f t="shared" si="31"/>
        <v>902907.24633514904</v>
      </c>
      <c r="D293" s="67">
        <f t="array" ref="D293">SUM($B$7:$B288*$F$1009*EXP(-$F$1009*($A293-$A$7:$A288)))*$F$1010</f>
        <v>82023064.142366335</v>
      </c>
      <c r="E293" s="67">
        <f t="shared" si="29"/>
        <v>156.36973078632516</v>
      </c>
      <c r="F293" s="70">
        <f t="shared" si="33"/>
        <v>9.4947700533456629</v>
      </c>
      <c r="G293" s="67">
        <f>E293/'Lookup Tables'!$C$48</f>
        <v>312.73946157265033</v>
      </c>
      <c r="H293" s="70">
        <f t="shared" si="30"/>
        <v>9.1025884258752812E-2</v>
      </c>
      <c r="I293" s="71">
        <f t="shared" si="34"/>
        <v>0.45034482466461645</v>
      </c>
      <c r="L293" s="74"/>
      <c r="M293" s="74"/>
      <c r="N293" s="74"/>
      <c r="O293" s="74"/>
      <c r="P293" s="74"/>
      <c r="Q293" s="74"/>
      <c r="R293" s="74"/>
      <c r="S293" s="74"/>
      <c r="T293" s="74"/>
      <c r="U293" s="74"/>
      <c r="V293" s="74"/>
      <c r="W293" s="74"/>
      <c r="X293" s="74"/>
      <c r="Y293" s="74"/>
      <c r="Z293" s="74"/>
    </row>
    <row r="294" spans="1:26" x14ac:dyDescent="0.3">
      <c r="A294" s="66">
        <f t="shared" si="32"/>
        <v>2018.6999999999739</v>
      </c>
      <c r="B294" s="67">
        <f>LOOKUP(A294+0.01,Amounts!$A$4:$A$103,Amounts!$B$4:$B$103)*0.1*$A$2</f>
        <v>0</v>
      </c>
      <c r="C294" s="68">
        <f t="shared" si="31"/>
        <v>902907.24633514904</v>
      </c>
      <c r="D294" s="67">
        <f t="array" ref="D294">SUM($B$7:$B289*$F$1009*EXP(-$F$1009*($A294-$A$7:$A289)))*$F$1010</f>
        <v>81450907.57765086</v>
      </c>
      <c r="E294" s="67">
        <f t="shared" si="29"/>
        <v>155.27896480571147</v>
      </c>
      <c r="F294" s="70">
        <f t="shared" si="33"/>
        <v>9.4285387430028003</v>
      </c>
      <c r="G294" s="67">
        <f>E294/'Lookup Tables'!$C$48</f>
        <v>310.55792961142294</v>
      </c>
      <c r="H294" s="70">
        <f t="shared" si="30"/>
        <v>9.0390928008553736E-2</v>
      </c>
      <c r="I294" s="71">
        <f t="shared" si="34"/>
        <v>0.44720341864044905</v>
      </c>
      <c r="L294" s="74"/>
      <c r="M294" s="74"/>
      <c r="N294" s="74"/>
      <c r="O294" s="74"/>
      <c r="P294" s="74"/>
      <c r="Q294" s="74"/>
      <c r="R294" s="74"/>
      <c r="S294" s="74"/>
      <c r="T294" s="74"/>
      <c r="U294" s="74"/>
      <c r="V294" s="74"/>
      <c r="W294" s="74"/>
      <c r="X294" s="74"/>
      <c r="Y294" s="74"/>
      <c r="Z294" s="74"/>
    </row>
    <row r="295" spans="1:26" x14ac:dyDescent="0.3">
      <c r="A295" s="66">
        <f t="shared" si="32"/>
        <v>2018.7999999999738</v>
      </c>
      <c r="B295" s="67">
        <f>LOOKUP(A295+0.01,Amounts!$A$4:$A$103,Amounts!$B$4:$B$103)*0.1*$A$2</f>
        <v>0</v>
      </c>
      <c r="C295" s="68">
        <f t="shared" si="31"/>
        <v>902907.24633514904</v>
      </c>
      <c r="D295" s="67">
        <f t="array" ref="D295">SUM($B$7:$B290*$F$1009*EXP(-$F$1009*($A295-$A$7:$A290)))*$F$1010</f>
        <v>80882742.123703673</v>
      </c>
      <c r="E295" s="67">
        <f t="shared" si="29"/>
        <v>154.19580752544201</v>
      </c>
      <c r="F295" s="70">
        <f t="shared" si="33"/>
        <v>9.3627694329448374</v>
      </c>
      <c r="G295" s="67">
        <f>E295/'Lookup Tables'!$C$48</f>
        <v>308.39161505088401</v>
      </c>
      <c r="H295" s="70">
        <f t="shared" si="30"/>
        <v>8.9760400931912787E-2</v>
      </c>
      <c r="I295" s="71">
        <f t="shared" si="34"/>
        <v>0.44408392567327298</v>
      </c>
      <c r="L295" s="74"/>
      <c r="M295" s="74"/>
      <c r="N295" s="74"/>
      <c r="O295" s="74"/>
      <c r="P295" s="74"/>
      <c r="Q295" s="74"/>
      <c r="R295" s="74"/>
      <c r="S295" s="74"/>
      <c r="T295" s="74"/>
      <c r="U295" s="74"/>
      <c r="V295" s="74"/>
      <c r="W295" s="74"/>
      <c r="X295" s="74"/>
      <c r="Y295" s="74"/>
      <c r="Z295" s="74"/>
    </row>
    <row r="296" spans="1:26" x14ac:dyDescent="0.3">
      <c r="A296" s="66">
        <f t="shared" si="32"/>
        <v>2018.8999999999737</v>
      </c>
      <c r="B296" s="67">
        <f>LOOKUP(A296+0.01,Amounts!$A$4:$A$103,Amounts!$B$4:$B$103)*0.1*$A$2</f>
        <v>0</v>
      </c>
      <c r="C296" s="68">
        <f t="shared" si="31"/>
        <v>902907.24633514904</v>
      </c>
      <c r="D296" s="67">
        <f t="array" ref="D296">SUM($B$7:$B291*$F$1009*EXP(-$F$1009*($A296-$A$7:$A291)))*$F$1010</f>
        <v>80318539.940303862</v>
      </c>
      <c r="E296" s="67">
        <f t="shared" si="29"/>
        <v>153.12020587059337</v>
      </c>
      <c r="F296" s="70">
        <f t="shared" si="33"/>
        <v>9.2974589004624288</v>
      </c>
      <c r="G296" s="67">
        <f>E296/'Lookup Tables'!$C$48</f>
        <v>306.24041174118673</v>
      </c>
      <c r="H296" s="70">
        <f t="shared" si="30"/>
        <v>8.9134272132877099E-2</v>
      </c>
      <c r="I296" s="71">
        <f t="shared" si="34"/>
        <v>0.44098619290730889</v>
      </c>
      <c r="L296" s="74"/>
      <c r="M296" s="74"/>
      <c r="N296" s="74"/>
      <c r="O296" s="74"/>
      <c r="P296" s="74"/>
      <c r="Q296" s="74"/>
      <c r="R296" s="74"/>
      <c r="S296" s="74"/>
      <c r="T296" s="74"/>
      <c r="U296" s="74"/>
      <c r="V296" s="74"/>
      <c r="W296" s="74"/>
      <c r="X296" s="74"/>
      <c r="Y296" s="74"/>
      <c r="Z296" s="74"/>
    </row>
    <row r="297" spans="1:26" x14ac:dyDescent="0.3">
      <c r="A297" s="66">
        <f t="shared" si="32"/>
        <v>2018.9999999999736</v>
      </c>
      <c r="B297" s="67">
        <f>LOOKUP(A297+0.01,Amounts!$A$4:$A$103,Amounts!$B$4:$B$103)*0.1*$A$2</f>
        <v>0</v>
      </c>
      <c r="C297" s="68">
        <f t="shared" si="31"/>
        <v>902907.24633514904</v>
      </c>
      <c r="D297" s="67">
        <f t="array" ref="D297">SUM($B$7:$B292*$F$1009*EXP(-$F$1009*($A297-$A$7:$A292)))*$F$1010</f>
        <v>79758273.38143158</v>
      </c>
      <c r="E297" s="67">
        <f t="shared" si="29"/>
        <v>152.05210713646929</v>
      </c>
      <c r="F297" s="70">
        <f t="shared" si="33"/>
        <v>9.2326039453264155</v>
      </c>
      <c r="G297" s="67">
        <f>E297/'Lookup Tables'!$C$48</f>
        <v>304.10421427293858</v>
      </c>
      <c r="H297" s="70">
        <f t="shared" si="30"/>
        <v>8.8512510931010271E-2</v>
      </c>
      <c r="I297" s="71">
        <f t="shared" si="34"/>
        <v>0.43791006855303155</v>
      </c>
      <c r="L297" s="74"/>
      <c r="M297" s="74"/>
      <c r="N297" s="74"/>
      <c r="O297" s="74"/>
      <c r="P297" s="74"/>
      <c r="Q297" s="74"/>
      <c r="R297" s="74"/>
      <c r="S297" s="74"/>
      <c r="T297" s="74"/>
      <c r="U297" s="74"/>
      <c r="V297" s="74"/>
      <c r="W297" s="74"/>
      <c r="X297" s="74"/>
      <c r="Y297" s="74"/>
      <c r="Z297" s="74"/>
    </row>
    <row r="298" spans="1:26" x14ac:dyDescent="0.3">
      <c r="A298" s="66">
        <f t="shared" si="32"/>
        <v>2019.0999999999735</v>
      </c>
      <c r="B298" s="67">
        <f>LOOKUP(A298+0.01,Amounts!$A$4:$A$103,Amounts!$B$4:$B$103)*0.1*$A$2</f>
        <v>0</v>
      </c>
      <c r="C298" s="68">
        <f t="shared" si="31"/>
        <v>902907.24633514904</v>
      </c>
      <c r="D298" s="67">
        <f t="array" ref="D298">SUM($B$7:$B293*$F$1009*EXP(-$F$1009*($A298-$A$7:$A293)))*$F$1010</f>
        <v>79201914.993913263</v>
      </c>
      <c r="E298" s="67">
        <f t="shared" si="29"/>
        <v>150.99145898601793</v>
      </c>
      <c r="F298" s="70">
        <f t="shared" si="33"/>
        <v>9.1682013896310082</v>
      </c>
      <c r="G298" s="67">
        <f>E298/'Lookup Tables'!$C$48</f>
        <v>301.98291797203586</v>
      </c>
      <c r="H298" s="70">
        <f t="shared" si="30"/>
        <v>8.7895086859888907E-2</v>
      </c>
      <c r="I298" s="71">
        <f t="shared" si="34"/>
        <v>0.43485540187973171</v>
      </c>
      <c r="L298" s="74"/>
      <c r="M298" s="74"/>
      <c r="N298" s="74"/>
      <c r="O298" s="74"/>
      <c r="P298" s="74"/>
      <c r="Q298" s="74"/>
      <c r="R298" s="74"/>
      <c r="S298" s="74"/>
      <c r="T298" s="74"/>
      <c r="U298" s="74"/>
      <c r="V298" s="74"/>
      <c r="W298" s="74"/>
      <c r="X298" s="74"/>
      <c r="Y298" s="74"/>
      <c r="Z298" s="74"/>
    </row>
    <row r="299" spans="1:26" x14ac:dyDescent="0.3">
      <c r="A299" s="66">
        <f t="shared" si="32"/>
        <v>2019.1999999999734</v>
      </c>
      <c r="B299" s="67">
        <f>LOOKUP(A299+0.01,Amounts!$A$4:$A$103,Amounts!$B$4:$B$103)*0.1*$A$2</f>
        <v>0</v>
      </c>
      <c r="C299" s="68">
        <f t="shared" si="31"/>
        <v>902907.24633514904</v>
      </c>
      <c r="D299" s="67">
        <f t="array" ref="D299">SUM($B$7:$B294*$F$1009*EXP(-$F$1009*($A299-$A$7:$A294)))*$F$1010</f>
        <v>78649437.516076654</v>
      </c>
      <c r="E299" s="67">
        <f t="shared" si="29"/>
        <v>149.93820944726784</v>
      </c>
      <c r="F299" s="70">
        <f t="shared" si="33"/>
        <v>9.1042480776381023</v>
      </c>
      <c r="G299" s="67">
        <f>E299/'Lookup Tables'!$C$48</f>
        <v>299.87641889453568</v>
      </c>
      <c r="H299" s="70">
        <f t="shared" si="30"/>
        <v>8.728196966561004E-2</v>
      </c>
      <c r="I299" s="71">
        <f t="shared" si="34"/>
        <v>0.43182204320813133</v>
      </c>
      <c r="L299" s="74"/>
      <c r="M299" s="74"/>
      <c r="N299" s="74"/>
      <c r="O299" s="74"/>
      <c r="P299" s="74"/>
      <c r="Q299" s="74"/>
      <c r="R299" s="74"/>
      <c r="S299" s="74"/>
      <c r="T299" s="74"/>
      <c r="U299" s="74"/>
      <c r="V299" s="74"/>
      <c r="W299" s="74"/>
      <c r="X299" s="74"/>
      <c r="Y299" s="74"/>
      <c r="Z299" s="74"/>
    </row>
    <row r="300" spans="1:26" x14ac:dyDescent="0.3">
      <c r="A300" s="66">
        <f t="shared" si="32"/>
        <v>2019.2999999999734</v>
      </c>
      <c r="B300" s="67">
        <f>LOOKUP(A300+0.01,Amounts!$A$4:$A$103,Amounts!$B$4:$B$103)*0.1*$A$2</f>
        <v>0</v>
      </c>
      <c r="C300" s="68">
        <f t="shared" si="31"/>
        <v>902907.24633514904</v>
      </c>
      <c r="D300" s="67">
        <f t="array" ref="D300">SUM($B$7:$B295*$F$1009*EXP(-$F$1009*($A300-$A$7:$A295)))*$F$1010</f>
        <v>78100813.876414806</v>
      </c>
      <c r="E300" s="67">
        <f t="shared" si="29"/>
        <v>148.89230691078083</v>
      </c>
      <c r="F300" s="70">
        <f t="shared" si="33"/>
        <v>9.0407408756226122</v>
      </c>
      <c r="G300" s="67">
        <f>E300/'Lookup Tables'!$C$48</f>
        <v>297.78461382156166</v>
      </c>
      <c r="H300" s="70">
        <f t="shared" si="30"/>
        <v>8.6673129305308502E-2</v>
      </c>
      <c r="I300" s="71">
        <f t="shared" si="34"/>
        <v>0.42880984390304877</v>
      </c>
      <c r="L300" s="74"/>
      <c r="M300" s="74"/>
      <c r="N300" s="74"/>
      <c r="O300" s="74"/>
      <c r="P300" s="74"/>
      <c r="Q300" s="74"/>
      <c r="R300" s="74"/>
      <c r="S300" s="74"/>
      <c r="T300" s="74"/>
      <c r="U300" s="74"/>
      <c r="V300" s="74"/>
      <c r="W300" s="74"/>
      <c r="X300" s="74"/>
      <c r="Y300" s="74"/>
      <c r="Z300" s="74"/>
    </row>
    <row r="301" spans="1:26" x14ac:dyDescent="0.3">
      <c r="A301" s="66">
        <f t="shared" si="32"/>
        <v>2019.3999999999733</v>
      </c>
      <c r="B301" s="67">
        <f>LOOKUP(A301+0.01,Amounts!$A$4:$A$103,Amounts!$B$4:$B$103)*0.1*$A$2</f>
        <v>0</v>
      </c>
      <c r="C301" s="68">
        <f t="shared" si="31"/>
        <v>902907.24633514904</v>
      </c>
      <c r="D301" s="67">
        <f t="array" ref="D301">SUM($B$7:$B296*$F$1009*EXP(-$F$1009*($A301-$A$7:$A296)))*$F$1010</f>
        <v>77556017.192259595</v>
      </c>
      <c r="E301" s="67">
        <f t="shared" si="29"/>
        <v>147.85370012712337</v>
      </c>
      <c r="F301" s="70">
        <f t="shared" si="33"/>
        <v>8.97767667171893</v>
      </c>
      <c r="G301" s="67">
        <f>E301/'Lookup Tables'!$C$48</f>
        <v>295.70740025424675</v>
      </c>
      <c r="H301" s="70">
        <f t="shared" si="30"/>
        <v>8.6068535945684782E-2</v>
      </c>
      <c r="I301" s="71">
        <f t="shared" si="34"/>
        <v>0.42581865636611532</v>
      </c>
      <c r="L301" s="74"/>
      <c r="M301" s="74"/>
      <c r="N301" s="74"/>
      <c r="O301" s="74"/>
      <c r="P301" s="74"/>
      <c r="Q301" s="74"/>
      <c r="R301" s="74"/>
      <c r="S301" s="74"/>
      <c r="T301" s="74"/>
      <c r="U301" s="74"/>
      <c r="V301" s="74"/>
      <c r="W301" s="74"/>
      <c r="X301" s="74"/>
      <c r="Y301" s="74"/>
      <c r="Z301" s="74"/>
    </row>
    <row r="302" spans="1:26" x14ac:dyDescent="0.3">
      <c r="A302" s="66">
        <f t="shared" si="32"/>
        <v>2019.4999999999732</v>
      </c>
      <c r="B302" s="67">
        <f>LOOKUP(A302+0.01,Amounts!$A$4:$A$103,Amounts!$B$4:$B$103)*0.1*$A$2</f>
        <v>0</v>
      </c>
      <c r="C302" s="68">
        <f t="shared" si="31"/>
        <v>902907.24633514904</v>
      </c>
      <c r="D302" s="67">
        <f t="array" ref="D302">SUM($B$7:$B297*$F$1009*EXP(-$F$1009*($A302-$A$7:$A297)))*$F$1010</f>
        <v>77015020.768464476</v>
      </c>
      <c r="E302" s="67">
        <f t="shared" si="29"/>
        <v>146.82233820435522</v>
      </c>
      <c r="F302" s="70">
        <f t="shared" si="33"/>
        <v>8.9150523757684486</v>
      </c>
      <c r="G302" s="67">
        <f>E302/'Lookup Tables'!$C$48</f>
        <v>293.64467640871044</v>
      </c>
      <c r="H302" s="70">
        <f t="shared" si="30"/>
        <v>8.5468159961543305E-2</v>
      </c>
      <c r="I302" s="71">
        <f t="shared" si="34"/>
        <v>0.42284833402854305</v>
      </c>
      <c r="L302" s="74"/>
      <c r="M302" s="74"/>
      <c r="N302" s="74"/>
      <c r="O302" s="74"/>
      <c r="P302" s="74"/>
      <c r="Q302" s="74"/>
      <c r="R302" s="74"/>
      <c r="S302" s="74"/>
      <c r="T302" s="74"/>
      <c r="U302" s="74"/>
      <c r="V302" s="74"/>
      <c r="W302" s="74"/>
      <c r="X302" s="74"/>
      <c r="Y302" s="74"/>
      <c r="Z302" s="74"/>
    </row>
    <row r="303" spans="1:26" x14ac:dyDescent="0.3">
      <c r="A303" s="66">
        <f t="shared" si="32"/>
        <v>2019.5999999999731</v>
      </c>
      <c r="B303" s="67">
        <f>LOOKUP(A303+0.01,Amounts!$A$4:$A$103,Amounts!$B$4:$B$103)*0.1*$A$2</f>
        <v>0</v>
      </c>
      <c r="C303" s="68">
        <f t="shared" si="31"/>
        <v>902907.24633514904</v>
      </c>
      <c r="D303" s="67">
        <f t="array" ref="D303">SUM($B$7:$B298*$F$1009*EXP(-$F$1009*($A303-$A$7:$A298)))*$F$1010</f>
        <v>76477798.096096486</v>
      </c>
      <c r="E303" s="67">
        <f t="shared" si="29"/>
        <v>145.79817060553586</v>
      </c>
      <c r="F303" s="70">
        <f t="shared" si="33"/>
        <v>8.8528649191681392</v>
      </c>
      <c r="G303" s="67">
        <f>E303/'Lookup Tables'!$C$48</f>
        <v>291.59634121107172</v>
      </c>
      <c r="H303" s="70">
        <f t="shared" si="30"/>
        <v>8.4871971934340734E-2</v>
      </c>
      <c r="I303" s="71">
        <f t="shared" si="34"/>
        <v>0.41989873134394329</v>
      </c>
      <c r="L303" s="74"/>
      <c r="M303" s="74"/>
      <c r="N303" s="74"/>
      <c r="O303" s="74"/>
      <c r="P303" s="74"/>
      <c r="Q303" s="74"/>
      <c r="R303" s="74"/>
      <c r="S303" s="74"/>
      <c r="T303" s="74"/>
      <c r="U303" s="74"/>
      <c r="V303" s="74"/>
      <c r="W303" s="74"/>
      <c r="X303" s="74"/>
      <c r="Y303" s="74"/>
      <c r="Z303" s="74"/>
    </row>
    <row r="304" spans="1:26" x14ac:dyDescent="0.3">
      <c r="A304" s="66">
        <f t="shared" si="32"/>
        <v>2019.699999999973</v>
      </c>
      <c r="B304" s="67">
        <f>LOOKUP(A304+0.01,Amounts!$A$4:$A$103,Amounts!$B$4:$B$103)*0.1*$A$2</f>
        <v>0</v>
      </c>
      <c r="C304" s="68">
        <f t="shared" si="31"/>
        <v>902907.24633514904</v>
      </c>
      <c r="D304" s="67">
        <f t="array" ref="D304">SUM($B$7:$B299*$F$1009*EXP(-$F$1009*($A304-$A$7:$A299)))*$F$1010</f>
        <v>75944322.851137117</v>
      </c>
      <c r="E304" s="67">
        <f t="shared" si="29"/>
        <v>144.78114714624792</v>
      </c>
      <c r="F304" s="70">
        <f t="shared" si="33"/>
        <v>8.7911112547201746</v>
      </c>
      <c r="G304" s="67">
        <f>E304/'Lookup Tables'!$C$48</f>
        <v>289.56229429249584</v>
      </c>
      <c r="H304" s="70">
        <f t="shared" si="30"/>
        <v>8.4279942650744413E-2</v>
      </c>
      <c r="I304" s="71">
        <f t="shared" si="34"/>
        <v>0.41696970378119408</v>
      </c>
      <c r="L304" s="74"/>
      <c r="M304" s="74"/>
      <c r="N304" s="74"/>
      <c r="O304" s="74"/>
      <c r="P304" s="74"/>
      <c r="Q304" s="74"/>
      <c r="R304" s="74"/>
      <c r="S304" s="74"/>
      <c r="T304" s="74"/>
      <c r="U304" s="74"/>
      <c r="V304" s="74"/>
      <c r="W304" s="74"/>
      <c r="X304" s="74"/>
      <c r="Y304" s="74"/>
      <c r="Z304" s="74"/>
    </row>
    <row r="305" spans="1:26" x14ac:dyDescent="0.3">
      <c r="A305" s="66">
        <f t="shared" si="32"/>
        <v>2019.7999999999729</v>
      </c>
      <c r="B305" s="67">
        <f>LOOKUP(A305+0.01,Amounts!$A$4:$A$103,Amounts!$B$4:$B$103)*0.1*$A$2</f>
        <v>0</v>
      </c>
      <c r="C305" s="68">
        <f t="shared" si="31"/>
        <v>902907.24633514904</v>
      </c>
      <c r="D305" s="67">
        <f t="array" ref="D305">SUM($B$7:$B300*$F$1009*EXP(-$F$1009*($A305-$A$7:$A300)))*$F$1010</f>
        <v>75414568.893192679</v>
      </c>
      <c r="E305" s="67">
        <f t="shared" si="29"/>
        <v>143.7712179921385</v>
      </c>
      <c r="F305" s="70">
        <f t="shared" si="33"/>
        <v>8.7297883564826488</v>
      </c>
      <c r="G305" s="67">
        <f>E305/'Lookup Tables'!$C$48</f>
        <v>287.54243598427701</v>
      </c>
      <c r="H305" s="70">
        <f t="shared" si="30"/>
        <v>8.3692043101200986E-2</v>
      </c>
      <c r="I305" s="71">
        <f t="shared" si="34"/>
        <v>0.41406110781735889</v>
      </c>
      <c r="L305" s="74"/>
      <c r="M305" s="74"/>
      <c r="N305" s="74"/>
      <c r="O305" s="74"/>
      <c r="P305" s="74"/>
      <c r="Q305" s="74"/>
      <c r="R305" s="74"/>
      <c r="S305" s="74"/>
      <c r="T305" s="74"/>
      <c r="U305" s="74"/>
      <c r="V305" s="74"/>
      <c r="W305" s="74"/>
      <c r="X305" s="74"/>
      <c r="Y305" s="74"/>
      <c r="Z305" s="74"/>
    </row>
    <row r="306" spans="1:26" x14ac:dyDescent="0.3">
      <c r="A306" s="66">
        <f t="shared" si="32"/>
        <v>2019.8999999999728</v>
      </c>
      <c r="B306" s="67">
        <f>LOOKUP(A306+0.01,Amounts!$A$4:$A$103,Amounts!$B$4:$B$103)*0.1*$A$2</f>
        <v>0</v>
      </c>
      <c r="C306" s="68">
        <f t="shared" si="31"/>
        <v>902907.24633514904</v>
      </c>
      <c r="D306" s="67">
        <f t="array" ref="D306">SUM($B$7:$B301*$F$1009*EXP(-$F$1009*($A306-$A$7:$A301)))*$F$1010</f>
        <v>74888510.264213219</v>
      </c>
      <c r="E306" s="67">
        <f t="shared" si="29"/>
        <v>142.76833365647698</v>
      </c>
      <c r="F306" s="70">
        <f t="shared" si="33"/>
        <v>8.6688932196212818</v>
      </c>
      <c r="G306" s="67">
        <f>E306/'Lookup Tables'!$C$48</f>
        <v>285.53666731295397</v>
      </c>
      <c r="H306" s="70">
        <f t="shared" si="30"/>
        <v>8.3108244478514962E-2</v>
      </c>
      <c r="I306" s="71">
        <f t="shared" si="34"/>
        <v>0.41117280093065373</v>
      </c>
      <c r="L306" s="74"/>
      <c r="M306" s="74"/>
      <c r="N306" s="74"/>
      <c r="O306" s="74"/>
      <c r="P306" s="74"/>
      <c r="Q306" s="74"/>
      <c r="R306" s="74"/>
      <c r="S306" s="74"/>
      <c r="T306" s="74"/>
      <c r="U306" s="74"/>
      <c r="V306" s="74"/>
      <c r="W306" s="74"/>
      <c r="X306" s="74"/>
      <c r="Y306" s="74"/>
      <c r="Z306" s="74"/>
    </row>
    <row r="307" spans="1:26" x14ac:dyDescent="0.3">
      <c r="A307" s="66">
        <f t="shared" si="32"/>
        <v>2019.9999999999727</v>
      </c>
      <c r="B307" s="67">
        <f>LOOKUP(A307+0.01,Amounts!$A$4:$A$103,Amounts!$B$4:$B$103)*0.1*$A$2</f>
        <v>0</v>
      </c>
      <c r="C307" s="68">
        <f t="shared" si="31"/>
        <v>902907.24633514904</v>
      </c>
      <c r="D307" s="67">
        <f t="array" ref="D307">SUM($B$7:$B302*$F$1009*EXP(-$F$1009*($A307-$A$7:$A302)))*$F$1010</f>
        <v>74366121.187220663</v>
      </c>
      <c r="E307" s="67">
        <f t="shared" si="29"/>
        <v>141.77244499773016</v>
      </c>
      <c r="F307" s="70">
        <f t="shared" si="33"/>
        <v>8.6084228602621753</v>
      </c>
      <c r="G307" s="67">
        <f>E307/'Lookup Tables'!$C$48</f>
        <v>283.54488999546032</v>
      </c>
      <c r="H307" s="70">
        <f t="shared" si="30"/>
        <v>8.2528518176436944E-2</v>
      </c>
      <c r="I307" s="71">
        <f t="shared" si="34"/>
        <v>0.40830464159346291</v>
      </c>
      <c r="L307" s="74"/>
      <c r="M307" s="74"/>
      <c r="N307" s="74"/>
      <c r="O307" s="74"/>
      <c r="P307" s="74"/>
      <c r="Q307" s="74"/>
      <c r="R307" s="74"/>
      <c r="S307" s="74"/>
      <c r="T307" s="74"/>
      <c r="U307" s="74"/>
      <c r="V307" s="74"/>
      <c r="W307" s="74"/>
      <c r="X307" s="74"/>
      <c r="Y307" s="74"/>
      <c r="Z307" s="74"/>
    </row>
    <row r="308" spans="1:26" x14ac:dyDescent="0.3">
      <c r="A308" s="66">
        <f t="shared" si="32"/>
        <v>2020.0999999999726</v>
      </c>
      <c r="B308" s="67">
        <f>LOOKUP(A308+0.01,Amounts!$A$4:$A$103,Amounts!$B$4:$B$103)*0.1*$A$2</f>
        <v>0</v>
      </c>
      <c r="C308" s="68">
        <f t="shared" si="31"/>
        <v>902907.24633514904</v>
      </c>
      <c r="D308" s="67">
        <f t="array" ref="D308">SUM($B$7:$B303*$F$1009*EXP(-$F$1009*($A308-$A$7:$A303)))*$F$1010</f>
        <v>73847376.065045714</v>
      </c>
      <c r="E308" s="67">
        <f t="shared" si="29"/>
        <v>140.78350321715462</v>
      </c>
      <c r="F308" s="70">
        <f t="shared" si="33"/>
        <v>8.5483743153456277</v>
      </c>
      <c r="G308" s="67">
        <f>E308/'Lookup Tables'!$C$48</f>
        <v>281.56700643430923</v>
      </c>
      <c r="H308" s="70">
        <f t="shared" si="30"/>
        <v>8.1952835788262193E-2</v>
      </c>
      <c r="I308" s="71">
        <f t="shared" si="34"/>
        <v>0.40545648926540528</v>
      </c>
      <c r="L308" s="74"/>
      <c r="M308" s="74"/>
      <c r="N308" s="74"/>
      <c r="O308" s="74"/>
      <c r="P308" s="74"/>
      <c r="Q308" s="74"/>
      <c r="R308" s="74"/>
      <c r="S308" s="74"/>
      <c r="T308" s="74"/>
      <c r="U308" s="74"/>
      <c r="V308" s="74"/>
      <c r="W308" s="74"/>
      <c r="X308" s="74"/>
      <c r="Y308" s="74"/>
      <c r="Z308" s="74"/>
    </row>
    <row r="309" spans="1:26" x14ac:dyDescent="0.3">
      <c r="A309" s="66">
        <f t="shared" si="32"/>
        <v>2020.1999999999725</v>
      </c>
      <c r="B309" s="67">
        <f>LOOKUP(A309+0.01,Amounts!$A$4:$A$103,Amounts!$B$4:$B$103)*0.1*$A$2</f>
        <v>0</v>
      </c>
      <c r="C309" s="68">
        <f t="shared" si="31"/>
        <v>902907.24633514904</v>
      </c>
      <c r="D309" s="67">
        <f t="array" ref="D309">SUM($B$7:$B304*$F$1009*EXP(-$F$1009*($A309-$A$7:$A304)))*$F$1010</f>
        <v>73332249.479073614</v>
      </c>
      <c r="E309" s="67">
        <f t="shared" si="29"/>
        <v>139.80145985640519</v>
      </c>
      <c r="F309" s="70">
        <f t="shared" si="33"/>
        <v>8.4887446424809223</v>
      </c>
      <c r="G309" s="67">
        <f>E309/'Lookup Tables'!$C$48</f>
        <v>279.60291971281038</v>
      </c>
      <c r="H309" s="70">
        <f t="shared" si="30"/>
        <v>8.1381169105438494E-2</v>
      </c>
      <c r="I309" s="71">
        <f t="shared" si="34"/>
        <v>0.40262820438644698</v>
      </c>
      <c r="L309" s="74"/>
      <c r="M309" s="74"/>
      <c r="N309" s="74"/>
      <c r="O309" s="74"/>
      <c r="P309" s="74"/>
      <c r="Q309" s="74"/>
      <c r="R309" s="74"/>
      <c r="S309" s="74"/>
      <c r="T309" s="74"/>
      <c r="U309" s="74"/>
      <c r="V309" s="74"/>
      <c r="W309" s="74"/>
      <c r="X309" s="74"/>
      <c r="Y309" s="74"/>
      <c r="Z309" s="74"/>
    </row>
    <row r="310" spans="1:26" x14ac:dyDescent="0.3">
      <c r="A310" s="66">
        <f t="shared" si="32"/>
        <v>2020.2999999999724</v>
      </c>
      <c r="B310" s="67">
        <f>LOOKUP(A310+0.01,Amounts!$A$4:$A$103,Amounts!$B$4:$B$103)*0.1*$A$2</f>
        <v>0</v>
      </c>
      <c r="C310" s="68">
        <f t="shared" si="31"/>
        <v>902907.24633514904</v>
      </c>
      <c r="D310" s="67">
        <f t="array" ref="D310">SUM($B$7:$B305*$F$1009*EXP(-$F$1009*($A310-$A$7:$A305)))*$F$1010</f>
        <v>72820716.187998563</v>
      </c>
      <c r="E310" s="67">
        <f t="shared" si="29"/>
        <v>138.82626679516068</v>
      </c>
      <c r="F310" s="70">
        <f t="shared" si="33"/>
        <v>8.429530919802156</v>
      </c>
      <c r="G310" s="67">
        <f>E310/'Lookup Tables'!$C$48</f>
        <v>277.65253359032135</v>
      </c>
      <c r="H310" s="70">
        <f t="shared" si="30"/>
        <v>8.0813490116183967E-2</v>
      </c>
      <c r="I310" s="71">
        <f t="shared" si="34"/>
        <v>0.39981964837006267</v>
      </c>
      <c r="L310" s="74"/>
      <c r="M310" s="74"/>
      <c r="N310" s="74"/>
      <c r="O310" s="74"/>
      <c r="P310" s="74"/>
      <c r="Q310" s="74"/>
      <c r="R310" s="74"/>
      <c r="S310" s="74"/>
      <c r="T310" s="74"/>
      <c r="U310" s="74"/>
      <c r="V310" s="74"/>
      <c r="W310" s="74"/>
      <c r="X310" s="74"/>
      <c r="Y310" s="74"/>
      <c r="Z310" s="74"/>
    </row>
    <row r="311" spans="1:26" x14ac:dyDescent="0.3">
      <c r="A311" s="66">
        <f t="shared" si="32"/>
        <v>2020.3999999999724</v>
      </c>
      <c r="B311" s="67">
        <f>LOOKUP(A311+0.01,Amounts!$A$4:$A$103,Amounts!$B$4:$B$103)*0.1*$A$2</f>
        <v>0</v>
      </c>
      <c r="C311" s="68">
        <f t="shared" si="31"/>
        <v>902907.24633514904</v>
      </c>
      <c r="D311" s="67">
        <f t="array" ref="D311">SUM($B$7:$B306*$F$1009*EXP(-$F$1009*($A311-$A$7:$A306)))*$F$1010</f>
        <v>72312751.126586944</v>
      </c>
      <c r="E311" s="67">
        <f t="shared" si="29"/>
        <v>137.85787624876596</v>
      </c>
      <c r="F311" s="70">
        <f t="shared" si="33"/>
        <v>8.3707302458250687</v>
      </c>
      <c r="G311" s="67">
        <f>E311/'Lookup Tables'!$C$48</f>
        <v>275.71575249753192</v>
      </c>
      <c r="H311" s="70">
        <f t="shared" si="30"/>
        <v>8.0249771004114581E-2</v>
      </c>
      <c r="I311" s="71">
        <f t="shared" si="34"/>
        <v>0.39703068359644594</v>
      </c>
      <c r="L311" s="74"/>
      <c r="M311" s="74"/>
      <c r="N311" s="74"/>
      <c r="O311" s="74"/>
      <c r="P311" s="74"/>
      <c r="Q311" s="74"/>
      <c r="R311" s="74"/>
      <c r="S311" s="74"/>
      <c r="T311" s="74"/>
      <c r="U311" s="74"/>
      <c r="V311" s="74"/>
      <c r="W311" s="74"/>
      <c r="X311" s="74"/>
      <c r="Y311" s="74"/>
      <c r="Z311" s="74"/>
    </row>
    <row r="312" spans="1:26" x14ac:dyDescent="0.3">
      <c r="A312" s="66">
        <f t="shared" si="32"/>
        <v>2020.4999999999723</v>
      </c>
      <c r="B312" s="67">
        <f>LOOKUP(A312+0.01,Amounts!$A$4:$A$103,Amounts!$B$4:$B$103)*0.1*$A$2</f>
        <v>0</v>
      </c>
      <c r="C312" s="68">
        <f t="shared" si="31"/>
        <v>902907.24633514904</v>
      </c>
      <c r="D312" s="67">
        <f t="array" ref="D312">SUM($B$7:$B307*$F$1009*EXP(-$F$1009*($A312-$A$7:$A307)))*$F$1010</f>
        <v>71808329.404449135</v>
      </c>
      <c r="E312" s="67">
        <f t="shared" si="29"/>
        <v>136.89624076589055</v>
      </c>
      <c r="F312" s="70">
        <f t="shared" si="33"/>
        <v>8.3123397393048748</v>
      </c>
      <c r="G312" s="67">
        <f>E312/'Lookup Tables'!$C$48</f>
        <v>273.79248153178111</v>
      </c>
      <c r="H312" s="70">
        <f t="shared" si="30"/>
        <v>7.9689984146881068E-2</v>
      </c>
      <c r="I312" s="71">
        <f t="shared" si="34"/>
        <v>0.39426117340576478</v>
      </c>
      <c r="L312" s="74"/>
      <c r="M312" s="74"/>
      <c r="N312" s="74"/>
      <c r="O312" s="74"/>
      <c r="P312" s="74"/>
      <c r="Q312" s="74"/>
      <c r="R312" s="74"/>
      <c r="S312" s="74"/>
      <c r="T312" s="74"/>
      <c r="U312" s="74"/>
      <c r="V312" s="74"/>
      <c r="W312" s="74"/>
      <c r="X312" s="74"/>
      <c r="Y312" s="74"/>
      <c r="Z312" s="74"/>
    </row>
    <row r="313" spans="1:26" x14ac:dyDescent="0.3">
      <c r="A313" s="66">
        <f t="shared" si="32"/>
        <v>2020.5999999999722</v>
      </c>
      <c r="B313" s="67">
        <f>LOOKUP(A313+0.01,Amounts!$A$4:$A$103,Amounts!$B$4:$B$103)*0.1*$A$2</f>
        <v>0</v>
      </c>
      <c r="C313" s="68">
        <f t="shared" si="31"/>
        <v>902907.24633514904</v>
      </c>
      <c r="D313" s="67">
        <f t="array" ref="D313">SUM($B$7:$B308*$F$1009*EXP(-$F$1009*($A313-$A$7:$A308)))*$F$1010</f>
        <v>71307426.304819793</v>
      </c>
      <c r="E313" s="67">
        <f t="shared" si="29"/>
        <v>135.94131322620336</v>
      </c>
      <c r="F313" s="70">
        <f t="shared" si="33"/>
        <v>8.2543565390950686</v>
      </c>
      <c r="G313" s="67">
        <f>E313/'Lookup Tables'!$C$48</f>
        <v>271.88262645240673</v>
      </c>
      <c r="H313" s="70">
        <f t="shared" si="30"/>
        <v>7.9134102114815405E-2</v>
      </c>
      <c r="I313" s="71">
        <f t="shared" si="34"/>
        <v>0.39151098209146568</v>
      </c>
      <c r="L313" s="74"/>
      <c r="M313" s="74"/>
      <c r="N313" s="74"/>
      <c r="O313" s="74"/>
      <c r="P313" s="74"/>
      <c r="Q313" s="74"/>
      <c r="R313" s="74"/>
      <c r="S313" s="74"/>
      <c r="T313" s="74"/>
      <c r="U313" s="74"/>
      <c r="V313" s="74"/>
      <c r="W313" s="74"/>
      <c r="X313" s="74"/>
      <c r="Y313" s="74"/>
      <c r="Z313" s="74"/>
    </row>
    <row r="314" spans="1:26" x14ac:dyDescent="0.3">
      <c r="A314" s="66">
        <f t="shared" si="32"/>
        <v>2020.6999999999721</v>
      </c>
      <c r="B314" s="67">
        <f>LOOKUP(A314+0.01,Amounts!$A$4:$A$103,Amounts!$B$4:$B$103)*0.1*$A$2</f>
        <v>0</v>
      </c>
      <c r="C314" s="68">
        <f t="shared" si="31"/>
        <v>902907.24633514904</v>
      </c>
      <c r="D314" s="67">
        <f t="array" ref="D314">SUM($B$7:$B309*$F$1009*EXP(-$F$1009*($A314-$A$7:$A309)))*$F$1010</f>
        <v>70810017.283346832</v>
      </c>
      <c r="E314" s="67">
        <f t="shared" si="29"/>
        <v>134.99304683806386</v>
      </c>
      <c r="F314" s="70">
        <f t="shared" si="33"/>
        <v>8.1967778040072385</v>
      </c>
      <c r="G314" s="67">
        <f>E314/'Lookup Tables'!$C$48</f>
        <v>269.98609367612772</v>
      </c>
      <c r="H314" s="70">
        <f t="shared" si="30"/>
        <v>7.858209766958682E-2</v>
      </c>
      <c r="I314" s="71">
        <f t="shared" si="34"/>
        <v>0.38877997489362393</v>
      </c>
      <c r="L314" s="74"/>
      <c r="M314" s="74"/>
      <c r="N314" s="74"/>
      <c r="O314" s="74"/>
      <c r="P314" s="74"/>
      <c r="Q314" s="74"/>
      <c r="R314" s="74"/>
      <c r="S314" s="74"/>
      <c r="T314" s="74"/>
      <c r="U314" s="74"/>
      <c r="V314" s="74"/>
      <c r="W314" s="74"/>
      <c r="X314" s="74"/>
      <c r="Y314" s="74"/>
      <c r="Z314" s="74"/>
    </row>
    <row r="315" spans="1:26" x14ac:dyDescent="0.3">
      <c r="A315" s="66">
        <f t="shared" si="32"/>
        <v>2020.799999999972</v>
      </c>
      <c r="B315" s="67">
        <f>LOOKUP(A315+0.01,Amounts!$A$4:$A$103,Amounts!$B$4:$B$103)*0.1*$A$2</f>
        <v>0</v>
      </c>
      <c r="C315" s="68">
        <f t="shared" si="31"/>
        <v>902907.24633514904</v>
      </c>
      <c r="D315" s="67">
        <f t="array" ref="D315">SUM($B$7:$B310*$F$1009*EXP(-$F$1009*($A315-$A$7:$A310)))*$F$1010</f>
        <v>70316077.966888696</v>
      </c>
      <c r="E315" s="67">
        <f t="shared" si="29"/>
        <v>134.05139513622936</v>
      </c>
      <c r="F315" s="70">
        <f t="shared" si="33"/>
        <v>8.1396007126718466</v>
      </c>
      <c r="G315" s="67">
        <f>E315/'Lookup Tables'!$C$48</f>
        <v>268.10279027245872</v>
      </c>
      <c r="H315" s="70">
        <f t="shared" si="30"/>
        <v>7.8033943762867028E-2</v>
      </c>
      <c r="I315" s="71">
        <f t="shared" si="34"/>
        <v>0.38606801799234053</v>
      </c>
      <c r="L315" s="74"/>
      <c r="M315" s="74"/>
      <c r="N315" s="74"/>
      <c r="O315" s="74"/>
      <c r="P315" s="74"/>
      <c r="Q315" s="74"/>
      <c r="R315" s="74"/>
      <c r="S315" s="74"/>
      <c r="T315" s="74"/>
      <c r="U315" s="74"/>
      <c r="V315" s="74"/>
      <c r="W315" s="74"/>
      <c r="X315" s="74"/>
      <c r="Y315" s="74"/>
      <c r="Z315" s="74"/>
    </row>
    <row r="316" spans="1:26" x14ac:dyDescent="0.3">
      <c r="A316" s="66">
        <f t="shared" si="32"/>
        <v>2020.8999999999719</v>
      </c>
      <c r="B316" s="67">
        <f>LOOKUP(A316+0.01,Amounts!$A$4:$A$103,Amounts!$B$4:$B$103)*0.1*$A$2</f>
        <v>0</v>
      </c>
      <c r="C316" s="68">
        <f t="shared" si="31"/>
        <v>902907.24633514904</v>
      </c>
      <c r="D316" s="67">
        <f t="array" ref="D316">SUM($B$7:$B311*$F$1009*EXP(-$F$1009*($A316-$A$7:$A311)))*$F$1010</f>
        <v>69825584.152319998</v>
      </c>
      <c r="E316" s="67">
        <f t="shared" si="29"/>
        <v>133.11631197957792</v>
      </c>
      <c r="F316" s="70">
        <f t="shared" si="33"/>
        <v>8.082822463399971</v>
      </c>
      <c r="G316" s="67">
        <f>E316/'Lookup Tables'!$C$48</f>
        <v>266.23262395915583</v>
      </c>
      <c r="H316" s="70">
        <f t="shared" si="30"/>
        <v>7.7489613535004873E-2</v>
      </c>
      <c r="I316" s="71">
        <f t="shared" si="34"/>
        <v>0.3833749785011844</v>
      </c>
      <c r="L316" s="74"/>
      <c r="M316" s="74"/>
      <c r="N316" s="74"/>
      <c r="O316" s="74"/>
      <c r="P316" s="74"/>
      <c r="Q316" s="74"/>
      <c r="R316" s="74"/>
      <c r="S316" s="74"/>
      <c r="T316" s="74"/>
      <c r="U316" s="74"/>
      <c r="V316" s="74"/>
      <c r="W316" s="74"/>
      <c r="X316" s="74"/>
      <c r="Y316" s="74"/>
      <c r="Z316" s="74"/>
    </row>
    <row r="317" spans="1:26" x14ac:dyDescent="0.3">
      <c r="A317" s="66">
        <f t="shared" si="32"/>
        <v>2020.9999999999718</v>
      </c>
      <c r="B317" s="67">
        <f>LOOKUP(A317+0.01,Amounts!$A$4:$A$103,Amounts!$B$4:$B$103)*0.1*$A$2</f>
        <v>0</v>
      </c>
      <c r="C317" s="68">
        <f t="shared" si="31"/>
        <v>902907.24633514904</v>
      </c>
      <c r="D317" s="67">
        <f t="array" ref="D317">SUM($B$7:$B312*$F$1009*EXP(-$F$1009*($A317-$A$7:$A312)))*$F$1010</f>
        <v>69338511.805345744</v>
      </c>
      <c r="E317" s="67">
        <f t="shared" si="29"/>
        <v>132.18775154884798</v>
      </c>
      <c r="F317" s="70">
        <f t="shared" si="33"/>
        <v>8.026440274046049</v>
      </c>
      <c r="G317" s="67">
        <f>E317/'Lookup Tables'!$C$48</f>
        <v>264.37550309769597</v>
      </c>
      <c r="H317" s="70">
        <f t="shared" si="30"/>
        <v>7.6949080313710422E-2</v>
      </c>
      <c r="I317" s="71">
        <f t="shared" si="34"/>
        <v>0.3807007244606822</v>
      </c>
      <c r="L317" s="74"/>
      <c r="M317" s="74"/>
      <c r="N317" s="74"/>
      <c r="O317" s="74"/>
      <c r="P317" s="74"/>
      <c r="Q317" s="74"/>
      <c r="R317" s="74"/>
      <c r="S317" s="74"/>
      <c r="T317" s="74"/>
      <c r="U317" s="74"/>
      <c r="V317" s="74"/>
      <c r="W317" s="74"/>
      <c r="X317" s="74"/>
      <c r="Y317" s="74"/>
      <c r="Z317" s="74"/>
    </row>
    <row r="318" spans="1:26" x14ac:dyDescent="0.3">
      <c r="A318" s="66">
        <f t="shared" si="32"/>
        <v>2021.0999999999717</v>
      </c>
      <c r="B318" s="67">
        <f>LOOKUP(A318+0.01,Amounts!$A$4:$A$103,Amounts!$B$4:$B$103)*0.1*$A$2</f>
        <v>0</v>
      </c>
      <c r="C318" s="68">
        <f t="shared" si="31"/>
        <v>902907.24633514904</v>
      </c>
      <c r="D318" s="67">
        <f t="array" ref="D318">SUM($B$7:$B313*$F$1009*EXP(-$F$1009*($A318-$A$7:$A313)))*$F$1010</f>
        <v>68854837.059323445</v>
      </c>
      <c r="E318" s="67">
        <f t="shared" si="29"/>
        <v>131.26566834439248</v>
      </c>
      <c r="F318" s="70">
        <f t="shared" si="33"/>
        <v>7.970451381871511</v>
      </c>
      <c r="G318" s="67">
        <f>E318/'Lookup Tables'!$C$48</f>
        <v>262.53133668878496</v>
      </c>
      <c r="H318" s="70">
        <f t="shared" si="30"/>
        <v>7.6412317612747527E-2</v>
      </c>
      <c r="I318" s="71">
        <f t="shared" si="34"/>
        <v>0.37804512483185038</v>
      </c>
      <c r="L318" s="74"/>
      <c r="M318" s="74"/>
      <c r="N318" s="74"/>
      <c r="O318" s="74"/>
      <c r="P318" s="74"/>
      <c r="Q318" s="74"/>
      <c r="R318" s="74"/>
      <c r="S318" s="74"/>
      <c r="T318" s="74"/>
      <c r="U318" s="74"/>
      <c r="V318" s="74"/>
      <c r="W318" s="74"/>
      <c r="X318" s="74"/>
      <c r="Y318" s="74"/>
      <c r="Z318" s="74"/>
    </row>
    <row r="319" spans="1:26" x14ac:dyDescent="0.3">
      <c r="A319" s="66">
        <f t="shared" si="32"/>
        <v>2021.1999999999716</v>
      </c>
      <c r="B319" s="67">
        <f>LOOKUP(A319+0.01,Amounts!$A$4:$A$103,Amounts!$B$4:$B$103)*0.1*$A$2</f>
        <v>0</v>
      </c>
      <c r="C319" s="68">
        <f t="shared" si="31"/>
        <v>902907.24633514904</v>
      </c>
      <c r="D319" s="67">
        <f t="array" ref="D319">SUM($B$7:$B314*$F$1009*EXP(-$F$1009*($A319-$A$7:$A314)))*$F$1010</f>
        <v>68374536.21409376</v>
      </c>
      <c r="E319" s="67">
        <f t="shared" si="29"/>
        <v>130.35001718394994</v>
      </c>
      <c r="F319" s="70">
        <f t="shared" si="33"/>
        <v>7.9148530434094395</v>
      </c>
      <c r="G319" s="67">
        <f>E319/'Lookup Tables'!$C$48</f>
        <v>260.70003436789989</v>
      </c>
      <c r="H319" s="70">
        <f t="shared" si="30"/>
        <v>7.5879299130636499E-2</v>
      </c>
      <c r="I319" s="71">
        <f t="shared" si="34"/>
        <v>0.3754080494897758</v>
      </c>
      <c r="L319" s="74"/>
      <c r="M319" s="74"/>
      <c r="N319" s="74"/>
      <c r="O319" s="74"/>
      <c r="P319" s="74"/>
      <c r="Q319" s="74"/>
      <c r="R319" s="74"/>
      <c r="S319" s="74"/>
      <c r="T319" s="74"/>
      <c r="U319" s="74"/>
      <c r="V319" s="74"/>
      <c r="W319" s="74"/>
      <c r="X319" s="74"/>
      <c r="Y319" s="74"/>
      <c r="Z319" s="74"/>
    </row>
    <row r="320" spans="1:26" x14ac:dyDescent="0.3">
      <c r="A320" s="66">
        <f t="shared" si="32"/>
        <v>2021.2999999999715</v>
      </c>
      <c r="B320" s="67">
        <f>LOOKUP(A320+0.01,Amounts!$A$4:$A$103,Amounts!$B$4:$B$103)*0.1*$A$2</f>
        <v>0</v>
      </c>
      <c r="C320" s="68">
        <f t="shared" si="31"/>
        <v>902907.24633514904</v>
      </c>
      <c r="D320" s="67">
        <f t="array" ref="D320">SUM($B$7:$B315*$F$1009*EXP(-$F$1009*($A320-$A$7:$A315)))*$F$1010</f>
        <v>67897585.734819204</v>
      </c>
      <c r="E320" s="67">
        <f t="shared" si="29"/>
        <v>129.44075320043035</v>
      </c>
      <c r="F320" s="70">
        <f t="shared" si="33"/>
        <v>7.8596425343301304</v>
      </c>
      <c r="G320" s="67">
        <f>E320/'Lookup Tables'!$C$48</f>
        <v>258.8815064008607</v>
      </c>
      <c r="H320" s="70">
        <f t="shared" si="30"/>
        <v>7.5349998749365113E-2</v>
      </c>
      <c r="I320" s="71">
        <f t="shared" si="34"/>
        <v>0.37278936921723937</v>
      </c>
      <c r="L320" s="74"/>
      <c r="M320" s="74"/>
      <c r="N320" s="74"/>
      <c r="O320" s="74"/>
      <c r="P320" s="74"/>
      <c r="Q320" s="74"/>
      <c r="R320" s="74"/>
      <c r="S320" s="74"/>
      <c r="T320" s="74"/>
      <c r="U320" s="74"/>
      <c r="V320" s="74"/>
      <c r="W320" s="74"/>
      <c r="X320" s="74"/>
      <c r="Y320" s="74"/>
      <c r="Z320" s="74"/>
    </row>
    <row r="321" spans="1:26" x14ac:dyDescent="0.3">
      <c r="A321" s="66">
        <f t="shared" si="32"/>
        <v>2021.3999999999714</v>
      </c>
      <c r="B321" s="67">
        <f>LOOKUP(A321+0.01,Amounts!$A$4:$A$103,Amounts!$B$4:$B$103)*0.1*$A$2</f>
        <v>0</v>
      </c>
      <c r="C321" s="68">
        <f t="shared" si="31"/>
        <v>902907.24633514904</v>
      </c>
      <c r="D321" s="67">
        <f t="array" ref="D321">SUM($B$7:$B316*$F$1009*EXP(-$F$1009*($A321-$A$7:$A316)))*$F$1010</f>
        <v>67423962.250830844</v>
      </c>
      <c r="E321" s="67">
        <f t="shared" si="29"/>
        <v>128.53783183971655</v>
      </c>
      <c r="F321" s="70">
        <f t="shared" si="33"/>
        <v>7.8048171493075893</v>
      </c>
      <c r="G321" s="67">
        <f>E321/'Lookup Tables'!$C$48</f>
        <v>257.07566367943309</v>
      </c>
      <c r="H321" s="70">
        <f t="shared" si="30"/>
        <v>7.4824390533108742E-2</v>
      </c>
      <c r="I321" s="71">
        <f t="shared" si="34"/>
        <v>0.37018895569838361</v>
      </c>
      <c r="L321" s="74"/>
      <c r="M321" s="74"/>
      <c r="N321" s="74"/>
      <c r="O321" s="74"/>
      <c r="P321" s="74"/>
      <c r="Q321" s="74"/>
      <c r="R321" s="74"/>
      <c r="S321" s="74"/>
      <c r="T321" s="74"/>
      <c r="U321" s="74"/>
      <c r="V321" s="74"/>
      <c r="W321" s="74"/>
      <c r="X321" s="74"/>
      <c r="Y321" s="74"/>
      <c r="Z321" s="74"/>
    </row>
    <row r="322" spans="1:26" x14ac:dyDescent="0.3">
      <c r="A322" s="66">
        <f t="shared" si="32"/>
        <v>2021.4999999999714</v>
      </c>
      <c r="B322" s="67">
        <f>LOOKUP(A322+0.01,Amounts!$A$4:$A$103,Amounts!$B$4:$B$103)*0.1*$A$2</f>
        <v>0</v>
      </c>
      <c r="C322" s="68">
        <f t="shared" si="31"/>
        <v>902907.24633514904</v>
      </c>
      <c r="D322" s="67">
        <f t="array" ref="D322">SUM($B$7:$B317*$F$1009*EXP(-$F$1009*($A322-$A$7:$A317)))*$F$1010</f>
        <v>66953642.554483198</v>
      </c>
      <c r="E322" s="67">
        <f t="shared" si="29"/>
        <v>127.64120885848119</v>
      </c>
      <c r="F322" s="70">
        <f t="shared" si="33"/>
        <v>7.7503742018869781</v>
      </c>
      <c r="G322" s="67">
        <f>E322/'Lookup Tables'!$C$48</f>
        <v>255.28241771696239</v>
      </c>
      <c r="H322" s="70">
        <f t="shared" si="30"/>
        <v>7.4302448726959625E-2</v>
      </c>
      <c r="I322" s="71">
        <f t="shared" si="34"/>
        <v>0.36760668151242581</v>
      </c>
      <c r="L322" s="74"/>
      <c r="M322" s="74"/>
      <c r="N322" s="74"/>
      <c r="O322" s="74"/>
      <c r="P322" s="74"/>
      <c r="Q322" s="74"/>
      <c r="R322" s="74"/>
      <c r="S322" s="74"/>
      <c r="T322" s="74"/>
      <c r="U322" s="74"/>
      <c r="V322" s="74"/>
      <c r="W322" s="74"/>
      <c r="X322" s="74"/>
      <c r="Y322" s="74"/>
      <c r="Z322" s="74"/>
    </row>
    <row r="323" spans="1:26" x14ac:dyDescent="0.3">
      <c r="A323" s="66">
        <f t="shared" si="32"/>
        <v>2021.5999999999713</v>
      </c>
      <c r="B323" s="67">
        <f>LOOKUP(A323+0.01,Amounts!$A$4:$A$103,Amounts!$B$4:$B$103)*0.1*$A$2</f>
        <v>0</v>
      </c>
      <c r="C323" s="68">
        <f t="shared" si="31"/>
        <v>902907.24633514904</v>
      </c>
      <c r="D323" s="67">
        <f t="array" ref="D323">SUM($B$7:$B318*$F$1009*EXP(-$F$1009*($A323-$A$7:$A318)))*$F$1010</f>
        <v>66486603.600017026</v>
      </c>
      <c r="E323" s="67">
        <f t="shared" si="29"/>
        <v>126.75084032201877</v>
      </c>
      <c r="F323" s="70">
        <f t="shared" si="33"/>
        <v>7.6963110243529798</v>
      </c>
      <c r="G323" s="67">
        <f>E323/'Lookup Tables'!$C$48</f>
        <v>253.50168064403755</v>
      </c>
      <c r="H323" s="70">
        <f t="shared" si="30"/>
        <v>7.3784147755664789E-2</v>
      </c>
      <c r="I323" s="71">
        <f t="shared" si="34"/>
        <v>0.36504242012741406</v>
      </c>
      <c r="L323" s="74"/>
      <c r="M323" s="74"/>
      <c r="N323" s="74"/>
      <c r="O323" s="74"/>
      <c r="P323" s="74"/>
      <c r="Q323" s="74"/>
      <c r="R323" s="74"/>
      <c r="S323" s="74"/>
      <c r="T323" s="74"/>
      <c r="U323" s="74"/>
      <c r="V323" s="74"/>
      <c r="W323" s="74"/>
      <c r="X323" s="74"/>
      <c r="Y323" s="74"/>
      <c r="Z323" s="74"/>
    </row>
    <row r="324" spans="1:26" x14ac:dyDescent="0.3">
      <c r="A324" s="66">
        <f t="shared" si="32"/>
        <v>2021.6999999999712</v>
      </c>
      <c r="B324" s="67">
        <f>LOOKUP(A324+0.01,Amounts!$A$4:$A$103,Amounts!$B$4:$B$103)*0.1*$A$2</f>
        <v>0</v>
      </c>
      <c r="C324" s="68">
        <f t="shared" si="31"/>
        <v>902907.24633514904</v>
      </c>
      <c r="D324" s="67">
        <f t="array" ref="D324">SUM($B$7:$B319*$F$1009*EXP(-$F$1009*($A324-$A$7:$A319)))*$F$1010</f>
        <v>66022822.502430156</v>
      </c>
      <c r="E324" s="67">
        <f t="shared" si="29"/>
        <v>125.86668260209294</v>
      </c>
      <c r="F324" s="70">
        <f t="shared" si="33"/>
        <v>7.6426249675990841</v>
      </c>
      <c r="G324" s="67">
        <f>E324/'Lookup Tables'!$C$48</f>
        <v>251.73336520418587</v>
      </c>
      <c r="H324" s="70">
        <f t="shared" si="30"/>
        <v>7.3269462222373016E-2</v>
      </c>
      <c r="I324" s="71">
        <f t="shared" si="34"/>
        <v>0.36249604589402767</v>
      </c>
      <c r="L324" s="74"/>
      <c r="M324" s="74"/>
      <c r="N324" s="74"/>
      <c r="O324" s="74"/>
      <c r="P324" s="74"/>
      <c r="Q324" s="74"/>
      <c r="R324" s="74"/>
      <c r="S324" s="74"/>
      <c r="T324" s="74"/>
      <c r="U324" s="74"/>
      <c r="V324" s="74"/>
      <c r="W324" s="74"/>
      <c r="X324" s="74"/>
      <c r="Y324" s="74"/>
      <c r="Z324" s="74"/>
    </row>
    <row r="325" spans="1:26" x14ac:dyDescent="0.3">
      <c r="A325" s="66">
        <f t="shared" si="32"/>
        <v>2021.7999999999711</v>
      </c>
      <c r="B325" s="67">
        <f>LOOKUP(A325+0.01,Amounts!$A$4:$A$103,Amounts!$B$4:$B$103)*0.1*$A$2</f>
        <v>0</v>
      </c>
      <c r="C325" s="68">
        <f t="shared" si="31"/>
        <v>902907.24633514904</v>
      </c>
      <c r="D325" s="67">
        <f t="array" ref="D325">SUM($B$7:$B320*$F$1009*EXP(-$F$1009*($A325-$A$7:$A320)))*$F$1010</f>
        <v>65562276.53635598</v>
      </c>
      <c r="E325" s="67">
        <f t="shared" si="29"/>
        <v>124.98869237479845</v>
      </c>
      <c r="F325" s="70">
        <f t="shared" si="33"/>
        <v>7.5893134009977619</v>
      </c>
      <c r="G325" s="67">
        <f>E325/'Lookup Tables'!$C$48</f>
        <v>249.97738474959689</v>
      </c>
      <c r="H325" s="70">
        <f t="shared" si="30"/>
        <v>7.275836690739014E-2</v>
      </c>
      <c r="I325" s="71">
        <f t="shared" si="34"/>
        <v>0.3599674340394195</v>
      </c>
      <c r="L325" s="74"/>
      <c r="M325" s="74"/>
      <c r="N325" s="74"/>
      <c r="O325" s="74"/>
      <c r="P325" s="74"/>
      <c r="Q325" s="74"/>
      <c r="R325" s="74"/>
      <c r="S325" s="74"/>
      <c r="T325" s="74"/>
      <c r="U325" s="74"/>
      <c r="V325" s="74"/>
      <c r="W325" s="74"/>
      <c r="X325" s="74"/>
      <c r="Y325" s="74"/>
      <c r="Z325" s="74"/>
    </row>
    <row r="326" spans="1:26" x14ac:dyDescent="0.3">
      <c r="A326" s="66">
        <f t="shared" si="32"/>
        <v>2021.899999999971</v>
      </c>
      <c r="B326" s="67">
        <f>LOOKUP(A326+0.01,Amounts!$A$4:$A$103,Amounts!$B$4:$B$103)*0.1*$A$2</f>
        <v>0</v>
      </c>
      <c r="C326" s="68">
        <f t="shared" si="31"/>
        <v>902907.24633514904</v>
      </c>
      <c r="D326" s="67">
        <f t="array" ref="D326">SUM($B$7:$B321*$F$1009*EXP(-$F$1009*($A326-$A$7:$A321)))*$F$1010</f>
        <v>65104943.134950034</v>
      </c>
      <c r="E326" s="67">
        <f t="shared" si="29"/>
        <v>124.11682661843852</v>
      </c>
      <c r="F326" s="70">
        <f t="shared" si="33"/>
        <v>7.5363737122715868</v>
      </c>
      <c r="G326" s="67">
        <f>E326/'Lookup Tables'!$C$48</f>
        <v>248.23365323687705</v>
      </c>
      <c r="H326" s="70">
        <f t="shared" si="30"/>
        <v>7.225083676694348E-2</v>
      </c>
      <c r="I326" s="71">
        <f t="shared" si="34"/>
        <v>0.35745646066110293</v>
      </c>
      <c r="L326" s="74"/>
      <c r="M326" s="74"/>
      <c r="N326" s="74"/>
      <c r="O326" s="74"/>
      <c r="P326" s="74"/>
      <c r="Q326" s="74"/>
      <c r="R326" s="74"/>
      <c r="S326" s="74"/>
      <c r="T326" s="74"/>
      <c r="U326" s="74"/>
      <c r="V326" s="74"/>
      <c r="W326" s="74"/>
      <c r="X326" s="74"/>
      <c r="Y326" s="74"/>
      <c r="Z326" s="74"/>
    </row>
    <row r="327" spans="1:26" x14ac:dyDescent="0.3">
      <c r="A327" s="66">
        <f t="shared" si="32"/>
        <v>2021.9999999999709</v>
      </c>
      <c r="B327" s="67">
        <f>LOOKUP(A327+0.01,Amounts!$A$4:$A$103,Amounts!$B$4:$B$103)*0.1*$A$2</f>
        <v>0</v>
      </c>
      <c r="C327" s="68">
        <f t="shared" si="31"/>
        <v>902907.24633514904</v>
      </c>
      <c r="D327" s="67">
        <f t="array" ref="D327">SUM($B$7:$B322*$F$1009*EXP(-$F$1009*($A327-$A$7:$A322)))*$F$1010</f>
        <v>64650799.888784111</v>
      </c>
      <c r="E327" s="67">
        <f t="shared" ref="E327:E390" si="35">D327/(365*24*60)*1.00201</f>
        <v>123.25104261141661</v>
      </c>
      <c r="F327" s="70">
        <f t="shared" si="33"/>
        <v>7.4838033073652159</v>
      </c>
      <c r="G327" s="67">
        <f>E327/'Lookup Tables'!$C$48</f>
        <v>246.50208522283322</v>
      </c>
      <c r="H327" s="70">
        <f t="shared" ref="H327:H390" si="36">G327*60*24*365/(C327*2000)</f>
        <v>7.1746846931954614E-2</v>
      </c>
      <c r="I327" s="71">
        <f t="shared" si="34"/>
        <v>0.35496300272087988</v>
      </c>
      <c r="L327" s="74"/>
      <c r="M327" s="74"/>
      <c r="N327" s="74"/>
      <c r="O327" s="74"/>
      <c r="P327" s="74"/>
      <c r="Q327" s="74"/>
      <c r="R327" s="74"/>
      <c r="S327" s="74"/>
      <c r="T327" s="74"/>
      <c r="U327" s="74"/>
      <c r="V327" s="74"/>
      <c r="W327" s="74"/>
      <c r="X327" s="74"/>
      <c r="Y327" s="74"/>
      <c r="Z327" s="74"/>
    </row>
    <row r="328" spans="1:26" x14ac:dyDescent="0.3">
      <c r="A328" s="66">
        <f t="shared" si="32"/>
        <v>2022.0999999999708</v>
      </c>
      <c r="B328" s="67">
        <f>LOOKUP(A328+0.01,Amounts!$A$4:$A$103,Amounts!$B$4:$B$103)*0.1*$A$2</f>
        <v>0</v>
      </c>
      <c r="C328" s="68">
        <f t="shared" si="31"/>
        <v>902907.24633514904</v>
      </c>
      <c r="D328" s="67">
        <f t="array" ref="D328">SUM($B$7:$B323*$F$1009*EXP(-$F$1009*($A328-$A$7:$A323)))*$F$1010</f>
        <v>64199824.544748306</v>
      </c>
      <c r="E328" s="67">
        <f t="shared" si="35"/>
        <v>122.39129793014318</v>
      </c>
      <c r="F328" s="70">
        <f t="shared" si="33"/>
        <v>7.4315996103182949</v>
      </c>
      <c r="G328" s="67">
        <f>E328/'Lookup Tables'!$C$48</f>
        <v>244.78259586028636</v>
      </c>
      <c r="H328" s="70">
        <f t="shared" si="36"/>
        <v>7.1246372706820757E-2</v>
      </c>
      <c r="I328" s="71">
        <f t="shared" si="34"/>
        <v>0.35248693803881237</v>
      </c>
      <c r="L328" s="74"/>
      <c r="M328" s="74"/>
      <c r="N328" s="74"/>
      <c r="O328" s="74"/>
      <c r="P328" s="74"/>
      <c r="Q328" s="74"/>
      <c r="R328" s="74"/>
      <c r="S328" s="74"/>
      <c r="T328" s="74"/>
      <c r="U328" s="74"/>
      <c r="V328" s="74"/>
      <c r="W328" s="74"/>
      <c r="X328" s="74"/>
      <c r="Y328" s="74"/>
      <c r="Z328" s="74"/>
    </row>
    <row r="329" spans="1:26" x14ac:dyDescent="0.3">
      <c r="A329" s="66">
        <f t="shared" si="32"/>
        <v>2022.1999999999707</v>
      </c>
      <c r="B329" s="67">
        <f>LOOKUP(A329+0.01,Amounts!$A$4:$A$103,Amounts!$B$4:$B$103)*0.1*$A$2</f>
        <v>0</v>
      </c>
      <c r="C329" s="68">
        <f t="shared" ref="C329:C392" si="37">C328+B329</f>
        <v>902907.24633514904</v>
      </c>
      <c r="D329" s="67">
        <f t="array" ref="D329">SUM($B$7:$B324*$F$1009*EXP(-$F$1009*($A329-$A$7:$A324)))*$F$1010</f>
        <v>63751995.00496053</v>
      </c>
      <c r="E329" s="67">
        <f t="shared" si="35"/>
        <v>121.53755044695683</v>
      </c>
      <c r="F329" s="70">
        <f t="shared" si="33"/>
        <v>7.3797600631392184</v>
      </c>
      <c r="G329" s="67">
        <f>E329/'Lookup Tables'!$C$48</f>
        <v>243.07510089391366</v>
      </c>
      <c r="H329" s="70">
        <f t="shared" si="36"/>
        <v>7.0749389568204799E-2</v>
      </c>
      <c r="I329" s="71">
        <f t="shared" si="34"/>
        <v>0.35002814528723569</v>
      </c>
      <c r="L329" s="74"/>
      <c r="M329" s="74"/>
      <c r="N329" s="74"/>
      <c r="O329" s="74"/>
      <c r="P329" s="74"/>
      <c r="Q329" s="74"/>
      <c r="R329" s="74"/>
      <c r="S329" s="74"/>
      <c r="T329" s="74"/>
      <c r="U329" s="74"/>
      <c r="V329" s="74"/>
      <c r="W329" s="74"/>
      <c r="X329" s="74"/>
      <c r="Y329" s="74"/>
      <c r="Z329" s="74"/>
    </row>
    <row r="330" spans="1:26" x14ac:dyDescent="0.3">
      <c r="A330" s="66">
        <f t="shared" si="32"/>
        <v>2022.2999999999706</v>
      </c>
      <c r="B330" s="67">
        <f>LOOKUP(A330+0.01,Amounts!$A$4:$A$103,Amounts!$B$4:$B$103)*0.1*$A$2</f>
        <v>0</v>
      </c>
      <c r="C330" s="68">
        <f t="shared" si="37"/>
        <v>902907.24633514904</v>
      </c>
      <c r="D330" s="67">
        <f t="array" ref="D330">SUM($B$7:$B325*$F$1009*EXP(-$F$1009*($A330-$A$7:$A325)))*$F$1010</f>
        <v>63307289.32568372</v>
      </c>
      <c r="E330" s="67">
        <f t="shared" si="35"/>
        <v>120.68975832806002</v>
      </c>
      <c r="F330" s="70">
        <f t="shared" si="33"/>
        <v>7.328282125679805</v>
      </c>
      <c r="G330" s="67">
        <f>E330/'Lookup Tables'!$C$48</f>
        <v>241.37951665612005</v>
      </c>
      <c r="H330" s="70">
        <f t="shared" si="36"/>
        <v>7.0255873163833443E-2</v>
      </c>
      <c r="I330" s="71">
        <f t="shared" si="34"/>
        <v>0.34758650398481289</v>
      </c>
      <c r="L330" s="74"/>
      <c r="M330" s="74"/>
      <c r="N330" s="74"/>
      <c r="O330" s="74"/>
      <c r="P330" s="74"/>
      <c r="Q330" s="74"/>
      <c r="R330" s="74"/>
      <c r="S330" s="74"/>
      <c r="T330" s="74"/>
      <c r="U330" s="74"/>
      <c r="V330" s="74"/>
      <c r="W330" s="74"/>
      <c r="X330" s="74"/>
      <c r="Y330" s="74"/>
      <c r="Z330" s="74"/>
    </row>
    <row r="331" spans="1:26" x14ac:dyDescent="0.3">
      <c r="A331" s="66">
        <f t="shared" si="32"/>
        <v>2022.3999999999705</v>
      </c>
      <c r="B331" s="67">
        <f>LOOKUP(A331+0.01,Amounts!$A$4:$A$103,Amounts!$B$4:$B$103)*0.1*$A$2</f>
        <v>0</v>
      </c>
      <c r="C331" s="68">
        <f t="shared" si="37"/>
        <v>902907.24633514904</v>
      </c>
      <c r="D331" s="67">
        <f t="array" ref="D331">SUM($B$7:$B326*$F$1009*EXP(-$F$1009*($A331-$A$7:$A326)))*$F$1010</f>
        <v>62865685.716250628</v>
      </c>
      <c r="E331" s="67">
        <f t="shared" si="35"/>
        <v>119.84788003146936</v>
      </c>
      <c r="F331" s="70">
        <f t="shared" si="33"/>
        <v>7.2771632755108184</v>
      </c>
      <c r="G331" s="67">
        <f>E331/'Lookup Tables'!$C$48</f>
        <v>239.69576006293872</v>
      </c>
      <c r="H331" s="70">
        <f t="shared" si="36"/>
        <v>6.976579931130418E-2</v>
      </c>
      <c r="I331" s="71">
        <f t="shared" si="34"/>
        <v>0.34516189449063178</v>
      </c>
      <c r="L331" s="74"/>
      <c r="M331" s="74"/>
      <c r="N331" s="74"/>
      <c r="O331" s="74"/>
      <c r="P331" s="74"/>
      <c r="Q331" s="74"/>
      <c r="R331" s="74"/>
      <c r="S331" s="74"/>
      <c r="T331" s="74"/>
      <c r="U331" s="74"/>
      <c r="V331" s="74"/>
      <c r="W331" s="74"/>
      <c r="X331" s="74"/>
      <c r="Y331" s="74"/>
      <c r="Z331" s="74"/>
    </row>
    <row r="332" spans="1:26" x14ac:dyDescent="0.3">
      <c r="A332" s="66">
        <f t="shared" si="32"/>
        <v>2022.4999999999704</v>
      </c>
      <c r="B332" s="67">
        <f>LOOKUP(A332+0.01,Amounts!$A$4:$A$103,Amounts!$B$4:$B$103)*0.1*$A$2</f>
        <v>0</v>
      </c>
      <c r="C332" s="68">
        <f t="shared" si="37"/>
        <v>902907.24633514904</v>
      </c>
      <c r="D332" s="67">
        <f t="array" ref="D332">SUM($B$7:$B327*$F$1009*EXP(-$F$1009*($A332-$A$7:$A327)))*$F$1010</f>
        <v>62427162.537996009</v>
      </c>
      <c r="E332" s="67">
        <f t="shared" si="35"/>
        <v>119.01187430497981</v>
      </c>
      <c r="F332" s="70">
        <f t="shared" si="33"/>
        <v>7.2264010077983745</v>
      </c>
      <c r="G332" s="67">
        <f>E332/'Lookup Tables'!$C$48</f>
        <v>238.02374860995963</v>
      </c>
      <c r="H332" s="70">
        <f t="shared" si="36"/>
        <v>6.9279143996900161E-2</v>
      </c>
      <c r="I332" s="71">
        <f t="shared" si="34"/>
        <v>0.34275419799834189</v>
      </c>
      <c r="L332" s="74"/>
      <c r="M332" s="74"/>
      <c r="N332" s="74"/>
      <c r="O332" s="74"/>
      <c r="P332" s="74"/>
      <c r="Q332" s="74"/>
      <c r="R332" s="74"/>
      <c r="S332" s="74"/>
      <c r="T332" s="74"/>
      <c r="U332" s="74"/>
      <c r="V332" s="74"/>
      <c r="W332" s="74"/>
      <c r="X332" s="74"/>
      <c r="Y332" s="74"/>
      <c r="Z332" s="74"/>
    </row>
    <row r="333" spans="1:26" x14ac:dyDescent="0.3">
      <c r="A333" s="66">
        <f t="shared" si="32"/>
        <v>2022.5999999999704</v>
      </c>
      <c r="B333" s="67">
        <f>LOOKUP(A333+0.01,Amounts!$A$4:$A$103,Amounts!$B$4:$B$103)*0.1*$A$2</f>
        <v>0</v>
      </c>
      <c r="C333" s="68">
        <f t="shared" si="37"/>
        <v>902907.24633514904</v>
      </c>
      <c r="D333" s="67">
        <f t="array" ref="D333">SUM($B$7:$B328*$F$1009*EXP(-$F$1009*($A333-$A$7:$A328)))*$F$1010</f>
        <v>61991698.303196415</v>
      </c>
      <c r="E333" s="67">
        <f t="shared" si="35"/>
        <v>118.18170018414355</v>
      </c>
      <c r="F333" s="70">
        <f t="shared" si="33"/>
        <v>7.1759928351811961</v>
      </c>
      <c r="G333" s="67">
        <f>E333/'Lookup Tables'!$C$48</f>
        <v>236.3634003682871</v>
      </c>
      <c r="H333" s="70">
        <f t="shared" si="36"/>
        <v>6.8795883374413599E-2</v>
      </c>
      <c r="I333" s="71">
        <f t="shared" si="34"/>
        <v>0.34036329653033343</v>
      </c>
      <c r="L333" s="74"/>
      <c r="M333" s="74"/>
      <c r="N333" s="74"/>
      <c r="O333" s="74"/>
      <c r="P333" s="74"/>
      <c r="Q333" s="74"/>
      <c r="R333" s="74"/>
      <c r="S333" s="74"/>
      <c r="T333" s="74"/>
      <c r="U333" s="74"/>
      <c r="V333" s="74"/>
      <c r="W333" s="74"/>
      <c r="X333" s="74"/>
      <c r="Y333" s="74"/>
      <c r="Z333" s="74"/>
    </row>
    <row r="334" spans="1:26" x14ac:dyDescent="0.3">
      <c r="A334" s="66">
        <f t="shared" si="32"/>
        <v>2022.6999999999703</v>
      </c>
      <c r="B334" s="67">
        <f>LOOKUP(A334+0.01,Amounts!$A$4:$A$103,Amounts!$B$4:$B$103)*0.1*$A$2</f>
        <v>0</v>
      </c>
      <c r="C334" s="68">
        <f t="shared" si="37"/>
        <v>902907.24633514904</v>
      </c>
      <c r="D334" s="67">
        <f t="array" ref="D334">SUM($B$7:$B329*$F$1009*EXP(-$F$1009*($A334-$A$7:$A329)))*$F$1010</f>
        <v>61559271.674017206</v>
      </c>
      <c r="E334" s="67">
        <f t="shared" si="35"/>
        <v>117.35731699026253</v>
      </c>
      <c r="F334" s="70">
        <f t="shared" si="33"/>
        <v>7.1259362876487415</v>
      </c>
      <c r="G334" s="67">
        <f>E334/'Lookup Tables'!$C$48</f>
        <v>234.71463398052506</v>
      </c>
      <c r="H334" s="70">
        <f t="shared" si="36"/>
        <v>6.8315993763977331E-2</v>
      </c>
      <c r="I334" s="71">
        <f t="shared" si="34"/>
        <v>0.33798907293195607</v>
      </c>
      <c r="L334" s="74"/>
      <c r="M334" s="74"/>
      <c r="N334" s="74"/>
      <c r="O334" s="74"/>
      <c r="P334" s="74"/>
      <c r="Q334" s="74"/>
      <c r="R334" s="74"/>
      <c r="S334" s="74"/>
      <c r="T334" s="74"/>
      <c r="U334" s="74"/>
      <c r="V334" s="74"/>
      <c r="W334" s="74"/>
      <c r="X334" s="74"/>
      <c r="Y334" s="74"/>
      <c r="Z334" s="74"/>
    </row>
    <row r="335" spans="1:26" x14ac:dyDescent="0.3">
      <c r="A335" s="66">
        <f t="shared" si="32"/>
        <v>2022.7999999999702</v>
      </c>
      <c r="B335" s="67">
        <f>LOOKUP(A335+0.01,Amounts!$A$4:$A$103,Amounts!$B$4:$B$103)*0.1*$A$2</f>
        <v>0</v>
      </c>
      <c r="C335" s="68">
        <f t="shared" si="37"/>
        <v>902907.24633514904</v>
      </c>
      <c r="D335" s="67">
        <f t="array" ref="D335">SUM($B$7:$B330*$F$1009*EXP(-$F$1009*($A335-$A$7:$A330)))*$F$1010</f>
        <v>61129861.461467013</v>
      </c>
      <c r="E335" s="67">
        <f t="shared" si="35"/>
        <v>116.53868432839529</v>
      </c>
      <c r="F335" s="70">
        <f t="shared" si="33"/>
        <v>7.0762289124201621</v>
      </c>
      <c r="G335" s="67">
        <f>E335/'Lookup Tables'!$C$48</f>
        <v>233.07736865679058</v>
      </c>
      <c r="H335" s="70">
        <f t="shared" si="36"/>
        <v>6.7839451650904395E-2</v>
      </c>
      <c r="I335" s="71">
        <f t="shared" si="34"/>
        <v>0.33563141086577847</v>
      </c>
      <c r="L335" s="74"/>
      <c r="M335" s="74"/>
      <c r="N335" s="74"/>
      <c r="O335" s="74"/>
      <c r="P335" s="74"/>
      <c r="Q335" s="74"/>
      <c r="R335" s="74"/>
      <c r="S335" s="74"/>
      <c r="T335" s="74"/>
      <c r="U335" s="74"/>
      <c r="V335" s="74"/>
      <c r="W335" s="74"/>
      <c r="X335" s="74"/>
      <c r="Y335" s="74"/>
      <c r="Z335" s="74"/>
    </row>
    <row r="336" spans="1:26" x14ac:dyDescent="0.3">
      <c r="A336" s="66">
        <f t="shared" si="32"/>
        <v>2022.8999999999701</v>
      </c>
      <c r="B336" s="67">
        <f>LOOKUP(A336+0.01,Amounts!$A$4:$A$103,Amounts!$B$4:$B$103)*0.1*$A$2</f>
        <v>0</v>
      </c>
      <c r="C336" s="68">
        <f t="shared" si="37"/>
        <v>902907.24633514904</v>
      </c>
      <c r="D336" s="67">
        <f t="array" ref="D336">SUM($B$7:$B331*$F$1009*EXP(-$F$1009*($A336-$A$7:$A331)))*$F$1010</f>
        <v>60703446.624359488</v>
      </c>
      <c r="E336" s="67">
        <f t="shared" si="35"/>
        <v>115.72576208537757</v>
      </c>
      <c r="F336" s="70">
        <f t="shared" si="33"/>
        <v>7.0268682738241264</v>
      </c>
      <c r="G336" s="67">
        <f>E336/'Lookup Tables'!$C$48</f>
        <v>231.45152417075514</v>
      </c>
      <c r="H336" s="70">
        <f t="shared" si="36"/>
        <v>6.7366233684535884E-2</v>
      </c>
      <c r="I336" s="71">
        <f t="shared" si="34"/>
        <v>0.3332901948058874</v>
      </c>
      <c r="L336" s="74"/>
      <c r="M336" s="74"/>
      <c r="N336" s="74"/>
      <c r="O336" s="74"/>
      <c r="P336" s="74"/>
      <c r="Q336" s="74"/>
      <c r="R336" s="74"/>
      <c r="S336" s="74"/>
      <c r="T336" s="74"/>
      <c r="U336" s="74"/>
      <c r="V336" s="74"/>
      <c r="W336" s="74"/>
      <c r="X336" s="74"/>
      <c r="Y336" s="74"/>
      <c r="Z336" s="74"/>
    </row>
    <row r="337" spans="1:26" x14ac:dyDescent="0.3">
      <c r="A337" s="66">
        <f t="shared" si="32"/>
        <v>2022.99999999997</v>
      </c>
      <c r="B337" s="67">
        <f>LOOKUP(A337+0.01,Amounts!$A$4:$A$103,Amounts!$B$4:$B$103)*0.1*$A$2</f>
        <v>0</v>
      </c>
      <c r="C337" s="68">
        <f t="shared" si="37"/>
        <v>902907.24633514904</v>
      </c>
      <c r="D337" s="67">
        <f t="array" ref="D337">SUM($B$7:$B332*$F$1009*EXP(-$F$1009*($A337-$A$7:$A332)))*$F$1010</f>
        <v>60280006.268282339</v>
      </c>
      <c r="E337" s="67">
        <f t="shared" si="35"/>
        <v>114.9185104278569</v>
      </c>
      <c r="F337" s="70">
        <f t="shared" si="33"/>
        <v>6.9778519531794716</v>
      </c>
      <c r="G337" s="67">
        <f>E337/'Lookup Tables'!$C$48</f>
        <v>229.8370208557138</v>
      </c>
      <c r="H337" s="70">
        <f t="shared" si="36"/>
        <v>6.6896316677096807E-2</v>
      </c>
      <c r="I337" s="71">
        <f t="shared" si="34"/>
        <v>0.3309653100322279</v>
      </c>
      <c r="L337" s="74"/>
      <c r="M337" s="74"/>
      <c r="N337" s="74"/>
      <c r="O337" s="74"/>
      <c r="P337" s="74"/>
      <c r="Q337" s="74"/>
      <c r="R337" s="74"/>
      <c r="S337" s="74"/>
      <c r="T337" s="74"/>
      <c r="U337" s="74"/>
      <c r="V337" s="74"/>
      <c r="W337" s="74"/>
      <c r="X337" s="74"/>
      <c r="Y337" s="74"/>
      <c r="Z337" s="74"/>
    </row>
    <row r="338" spans="1:26" x14ac:dyDescent="0.3">
      <c r="A338" s="66">
        <f t="shared" si="32"/>
        <v>2023.0999999999699</v>
      </c>
      <c r="B338" s="67">
        <f>LOOKUP(A338+0.01,Amounts!$A$4:$A$103,Amounts!$B$4:$B$103)*0.1*$A$2</f>
        <v>0</v>
      </c>
      <c r="C338" s="68">
        <f t="shared" si="37"/>
        <v>902907.24633514904</v>
      </c>
      <c r="D338" s="67">
        <f t="array" ref="D338">SUM($B$7:$B333*$F$1009*EXP(-$F$1009*($A338-$A$7:$A333)))*$F$1010</f>
        <v>59859519.644573368</v>
      </c>
      <c r="E338" s="67">
        <f t="shared" si="35"/>
        <v>114.11688980034049</v>
      </c>
      <c r="F338" s="70">
        <f t="shared" si="33"/>
        <v>6.929177548676674</v>
      </c>
      <c r="G338" s="67">
        <f>E338/'Lookup Tables'!$C$48</f>
        <v>228.23377960068098</v>
      </c>
      <c r="H338" s="70">
        <f t="shared" si="36"/>
        <v>6.6429677602559759E-2</v>
      </c>
      <c r="I338" s="71">
        <f t="shared" si="34"/>
        <v>0.32865664262498062</v>
      </c>
      <c r="L338" s="74"/>
      <c r="M338" s="74"/>
      <c r="N338" s="74"/>
      <c r="O338" s="74"/>
      <c r="P338" s="74"/>
      <c r="Q338" s="74"/>
      <c r="R338" s="74"/>
      <c r="S338" s="74"/>
      <c r="T338" s="74"/>
      <c r="U338" s="74"/>
      <c r="V338" s="74"/>
      <c r="W338" s="74"/>
      <c r="X338" s="74"/>
      <c r="Y338" s="74"/>
      <c r="Z338" s="74"/>
    </row>
    <row r="339" spans="1:26" x14ac:dyDescent="0.3">
      <c r="A339" s="66">
        <f t="shared" ref="A339:A402" si="38">A338+0.1</f>
        <v>2023.1999999999698</v>
      </c>
      <c r="B339" s="67">
        <f>LOOKUP(A339+0.01,Amounts!$A$4:$A$103,Amounts!$B$4:$B$103)*0.1*$A$2</f>
        <v>0</v>
      </c>
      <c r="C339" s="68">
        <f t="shared" si="37"/>
        <v>902907.24633514904</v>
      </c>
      <c r="D339" s="67">
        <f t="array" ref="D339">SUM($B$7:$B334*$F$1009*EXP(-$F$1009*($A339-$A$7:$A334)))*$F$1010</f>
        <v>59441966.149303906</v>
      </c>
      <c r="E339" s="67">
        <f t="shared" si="35"/>
        <v>113.32086092325724</v>
      </c>
      <c r="F339" s="70">
        <f t="shared" ref="F339:F402" si="39">E339*60*1012/1000000</f>
        <v>6.8808426752601797</v>
      </c>
      <c r="G339" s="67">
        <f>E339/'Lookup Tables'!$C$48</f>
        <v>226.64172184651449</v>
      </c>
      <c r="H339" s="70">
        <f t="shared" si="36"/>
        <v>6.5966293595516756E-2</v>
      </c>
      <c r="I339" s="71">
        <f t="shared" ref="I339:I402" si="40">G339*60*24/1000000</f>
        <v>0.32636407945898088</v>
      </c>
      <c r="L339" s="74"/>
      <c r="M339" s="74"/>
      <c r="N339" s="74"/>
      <c r="O339" s="74"/>
      <c r="P339" s="74"/>
      <c r="Q339" s="74"/>
      <c r="R339" s="74"/>
      <c r="S339" s="74"/>
      <c r="T339" s="74"/>
      <c r="U339" s="74"/>
      <c r="V339" s="74"/>
      <c r="W339" s="74"/>
      <c r="X339" s="74"/>
      <c r="Y339" s="74"/>
      <c r="Z339" s="74"/>
    </row>
    <row r="340" spans="1:26" x14ac:dyDescent="0.3">
      <c r="A340" s="66">
        <f t="shared" si="38"/>
        <v>2023.2999999999697</v>
      </c>
      <c r="B340" s="67">
        <f>LOOKUP(A340+0.01,Amounts!$A$4:$A$103,Amounts!$B$4:$B$103)*0.1*$A$2</f>
        <v>0</v>
      </c>
      <c r="C340" s="68">
        <f t="shared" si="37"/>
        <v>902907.24633514904</v>
      </c>
      <c r="D340" s="67">
        <f t="array" ref="D340">SUM($B$7:$B335*$F$1009*EXP(-$F$1009*($A340-$A$7:$A335)))*$F$1010</f>
        <v>59027325.322269097</v>
      </c>
      <c r="E340" s="67">
        <f t="shared" si="35"/>
        <v>112.53038479103284</v>
      </c>
      <c r="F340" s="70">
        <f t="shared" si="39"/>
        <v>6.8328449645115139</v>
      </c>
      <c r="G340" s="67">
        <f>E340/'Lookup Tables'!$C$48</f>
        <v>225.06076958206569</v>
      </c>
      <c r="H340" s="70">
        <f t="shared" si="36"/>
        <v>6.5506141950058674E-2</v>
      </c>
      <c r="I340" s="71">
        <f t="shared" si="40"/>
        <v>0.32408750819817461</v>
      </c>
      <c r="L340" s="74"/>
      <c r="M340" s="74"/>
      <c r="N340" s="74"/>
      <c r="O340" s="74"/>
      <c r="P340" s="74"/>
      <c r="Q340" s="74"/>
      <c r="R340" s="74"/>
      <c r="S340" s="74"/>
      <c r="T340" s="74"/>
      <c r="U340" s="74"/>
      <c r="V340" s="74"/>
      <c r="W340" s="74"/>
      <c r="X340" s="74"/>
      <c r="Y340" s="74"/>
      <c r="Z340" s="74"/>
    </row>
    <row r="341" spans="1:26" x14ac:dyDescent="0.3">
      <c r="A341" s="66">
        <f t="shared" si="38"/>
        <v>2023.3999999999696</v>
      </c>
      <c r="B341" s="67">
        <f>LOOKUP(A341+0.01,Amounts!$A$4:$A$103,Amounts!$B$4:$B$103)*0.1*$A$2</f>
        <v>0</v>
      </c>
      <c r="C341" s="68">
        <f t="shared" si="37"/>
        <v>902907.24633514904</v>
      </c>
      <c r="D341" s="67">
        <f t="array" ref="D341">SUM($B$7:$B336*$F$1009*EXP(-$F$1009*($A341-$A$7:$A336)))*$F$1010</f>
        <v>58615576.845985487</v>
      </c>
      <c r="E341" s="67">
        <f t="shared" si="35"/>
        <v>111.7454226701787</v>
      </c>
      <c r="F341" s="70">
        <f t="shared" si="39"/>
        <v>6.7851820645332506</v>
      </c>
      <c r="G341" s="67">
        <f>E341/'Lookup Tables'!$C$48</f>
        <v>223.4908453403574</v>
      </c>
      <c r="H341" s="70">
        <f t="shared" si="36"/>
        <v>6.5049200118662845E-2</v>
      </c>
      <c r="I341" s="71">
        <f t="shared" si="40"/>
        <v>0.32182681729011464</v>
      </c>
      <c r="L341" s="74"/>
      <c r="M341" s="74"/>
      <c r="N341" s="74"/>
      <c r="O341" s="74"/>
      <c r="P341" s="74"/>
      <c r="Q341" s="74"/>
      <c r="R341" s="74"/>
      <c r="S341" s="74"/>
      <c r="T341" s="74"/>
      <c r="U341" s="74"/>
      <c r="V341" s="74"/>
      <c r="W341" s="74"/>
      <c r="X341" s="74"/>
      <c r="Y341" s="74"/>
      <c r="Z341" s="74"/>
    </row>
    <row r="342" spans="1:26" x14ac:dyDescent="0.3">
      <c r="A342" s="66">
        <f t="shared" si="38"/>
        <v>2023.4999999999695</v>
      </c>
      <c r="B342" s="67">
        <f>LOOKUP(A342+0.01,Amounts!$A$4:$A$103,Amounts!$B$4:$B$103)*0.1*$A$2</f>
        <v>0</v>
      </c>
      <c r="C342" s="68">
        <f t="shared" si="37"/>
        <v>902907.24633514904</v>
      </c>
      <c r="D342" s="67">
        <f t="array" ref="D342">SUM($B$7:$B337*$F$1009*EXP(-$F$1009*($A342-$A$7:$A337)))*$F$1010</f>
        <v>58206700.544695355</v>
      </c>
      <c r="E342" s="67">
        <f t="shared" si="35"/>
        <v>110.96593609739384</v>
      </c>
      <c r="F342" s="70">
        <f t="shared" si="39"/>
        <v>6.737851639833754</v>
      </c>
      <c r="G342" s="67">
        <f>E342/'Lookup Tables'!$C$48</f>
        <v>221.93187219478767</v>
      </c>
      <c r="H342" s="70">
        <f t="shared" si="36"/>
        <v>6.4595445711088148E-2</v>
      </c>
      <c r="I342" s="71">
        <f t="shared" si="40"/>
        <v>0.3195818959604943</v>
      </c>
      <c r="L342" s="74"/>
      <c r="M342" s="74"/>
      <c r="N342" s="74"/>
      <c r="O342" s="74"/>
      <c r="P342" s="74"/>
      <c r="Q342" s="74"/>
      <c r="R342" s="74"/>
      <c r="S342" s="74"/>
      <c r="T342" s="74"/>
      <c r="U342" s="74"/>
      <c r="V342" s="74"/>
      <c r="W342" s="74"/>
      <c r="X342" s="74"/>
      <c r="Y342" s="74"/>
      <c r="Z342" s="74"/>
    </row>
    <row r="343" spans="1:26" x14ac:dyDescent="0.3">
      <c r="A343" s="66">
        <f t="shared" si="38"/>
        <v>2023.5999999999694</v>
      </c>
      <c r="B343" s="67">
        <f>LOOKUP(A343+0.01,Amounts!$A$4:$A$103,Amounts!$B$4:$B$103)*0.1*$A$2</f>
        <v>0</v>
      </c>
      <c r="C343" s="68">
        <f t="shared" si="37"/>
        <v>902907.24633514904</v>
      </c>
      <c r="D343" s="67">
        <f t="array" ref="D343">SUM($B$7:$B338*$F$1009*EXP(-$F$1009*($A343-$A$7:$A338)))*$F$1010</f>
        <v>57800676.383378103</v>
      </c>
      <c r="E343" s="67">
        <f t="shared" si="35"/>
        <v>110.19188687768018</v>
      </c>
      <c r="F343" s="70">
        <f t="shared" si="39"/>
        <v>6.6908513712127409</v>
      </c>
      <c r="G343" s="67">
        <f>E343/'Lookup Tables'!$C$48</f>
        <v>220.38377375536035</v>
      </c>
      <c r="H343" s="70">
        <f t="shared" si="36"/>
        <v>6.4144856493277724E-2</v>
      </c>
      <c r="I343" s="71">
        <f t="shared" si="40"/>
        <v>0.31735263420771886</v>
      </c>
      <c r="L343" s="74"/>
      <c r="M343" s="74"/>
      <c r="N343" s="74"/>
      <c r="O343" s="74"/>
      <c r="P343" s="74"/>
      <c r="Q343" s="74"/>
      <c r="R343" s="74"/>
      <c r="S343" s="74"/>
      <c r="T343" s="74"/>
      <c r="U343" s="74"/>
      <c r="V343" s="74"/>
      <c r="W343" s="74"/>
      <c r="X343" s="74"/>
      <c r="Y343" s="74"/>
      <c r="Z343" s="74"/>
    </row>
    <row r="344" spans="1:26" x14ac:dyDescent="0.3">
      <c r="A344" s="66">
        <f t="shared" si="38"/>
        <v>2023.6999999999694</v>
      </c>
      <c r="B344" s="67">
        <f>LOOKUP(A344+0.01,Amounts!$A$4:$A$103,Amounts!$B$4:$B$103)*0.1*$A$2</f>
        <v>0</v>
      </c>
      <c r="C344" s="68">
        <f t="shared" si="37"/>
        <v>902907.24633514904</v>
      </c>
      <c r="D344" s="67">
        <f t="array" ref="D344">SUM($B$7:$B339*$F$1009*EXP(-$F$1009*($A344-$A$7:$A339)))*$F$1010</f>
        <v>57397484.466768593</v>
      </c>
      <c r="E344" s="67">
        <f t="shared" si="35"/>
        <v>109.42323708247108</v>
      </c>
      <c r="F344" s="70">
        <f t="shared" si="39"/>
        <v>6.6441789556476438</v>
      </c>
      <c r="G344" s="67">
        <f>E344/'Lookup Tables'!$C$48</f>
        <v>218.84647416494215</v>
      </c>
      <c r="H344" s="70">
        <f t="shared" si="36"/>
        <v>6.3697410386269804E-2</v>
      </c>
      <c r="I344" s="71">
        <f t="shared" si="40"/>
        <v>0.31513892279751671</v>
      </c>
      <c r="L344" s="74"/>
      <c r="M344" s="74"/>
      <c r="N344" s="74"/>
      <c r="O344" s="74"/>
      <c r="P344" s="74"/>
      <c r="Q344" s="74"/>
      <c r="R344" s="74"/>
      <c r="S344" s="74"/>
      <c r="T344" s="74"/>
      <c r="U344" s="74"/>
      <c r="V344" s="74"/>
      <c r="W344" s="74"/>
      <c r="X344" s="74"/>
      <c r="Y344" s="74"/>
      <c r="Z344" s="74"/>
    </row>
    <row r="345" spans="1:26" x14ac:dyDescent="0.3">
      <c r="A345" s="66">
        <f t="shared" si="38"/>
        <v>2023.7999999999693</v>
      </c>
      <c r="B345" s="67">
        <f>LOOKUP(A345+0.01,Amounts!$A$4:$A$103,Amounts!$B$4:$B$103)*0.1*$A$2</f>
        <v>0</v>
      </c>
      <c r="C345" s="68">
        <f t="shared" si="37"/>
        <v>902907.24633514904</v>
      </c>
      <c r="D345" s="67">
        <f t="array" ref="D345">SUM($B$7:$B340*$F$1009*EXP(-$F$1009*($A345-$A$7:$A340)))*$F$1010</f>
        <v>56997105.038382255</v>
      </c>
      <c r="E345" s="67">
        <f t="shared" si="35"/>
        <v>108.65994904777284</v>
      </c>
      <c r="F345" s="70">
        <f t="shared" si="39"/>
        <v>6.5978321061807668</v>
      </c>
      <c r="G345" s="67">
        <f>E345/'Lookup Tables'!$C$48</f>
        <v>217.31989809554568</v>
      </c>
      <c r="H345" s="70">
        <f t="shared" si="36"/>
        <v>6.3253085465115641E-2</v>
      </c>
      <c r="I345" s="71">
        <f t="shared" si="40"/>
        <v>0.31294065325758574</v>
      </c>
      <c r="L345" s="74"/>
      <c r="M345" s="74"/>
      <c r="N345" s="74"/>
      <c r="O345" s="74"/>
      <c r="P345" s="74"/>
      <c r="Q345" s="74"/>
      <c r="R345" s="74"/>
      <c r="S345" s="74"/>
      <c r="T345" s="74"/>
      <c r="U345" s="74"/>
      <c r="V345" s="74"/>
      <c r="W345" s="74"/>
      <c r="X345" s="74"/>
      <c r="Y345" s="74"/>
      <c r="Z345" s="74"/>
    </row>
    <row r="346" spans="1:26" x14ac:dyDescent="0.3">
      <c r="A346" s="66">
        <f t="shared" si="38"/>
        <v>2023.8999999999692</v>
      </c>
      <c r="B346" s="67">
        <f>LOOKUP(A346+0.01,Amounts!$A$4:$A$103,Amounts!$B$4:$B$103)*0.1*$A$2</f>
        <v>0</v>
      </c>
      <c r="C346" s="68">
        <f t="shared" si="37"/>
        <v>902907.24633514904</v>
      </c>
      <c r="D346" s="67">
        <f t="array" ref="D346">SUM($B$7:$B341*$F$1009*EXP(-$F$1009*($A346-$A$7:$A341)))*$F$1010</f>
        <v>56599518.479546972</v>
      </c>
      <c r="E346" s="67">
        <f t="shared" si="35"/>
        <v>107.901985372319</v>
      </c>
      <c r="F346" s="70">
        <f t="shared" si="39"/>
        <v>6.5518085518072109</v>
      </c>
      <c r="G346" s="67">
        <f>E346/'Lookup Tables'!$C$48</f>
        <v>215.80397074463801</v>
      </c>
      <c r="H346" s="70">
        <f t="shared" si="36"/>
        <v>6.2811859957805166E-2</v>
      </c>
      <c r="I346" s="71">
        <f t="shared" si="40"/>
        <v>0.31075771787227874</v>
      </c>
      <c r="L346" s="74"/>
      <c r="M346" s="74"/>
      <c r="N346" s="74"/>
      <c r="O346" s="74"/>
      <c r="P346" s="74"/>
      <c r="Q346" s="74"/>
      <c r="R346" s="74"/>
      <c r="S346" s="74"/>
      <c r="T346" s="74"/>
      <c r="U346" s="74"/>
      <c r="V346" s="74"/>
      <c r="W346" s="74"/>
      <c r="X346" s="74"/>
      <c r="Y346" s="74"/>
      <c r="Z346" s="74"/>
    </row>
    <row r="347" spans="1:26" x14ac:dyDescent="0.3">
      <c r="A347" s="66">
        <f t="shared" si="38"/>
        <v>2023.9999999999691</v>
      </c>
      <c r="B347" s="67">
        <f>LOOKUP(A347+0.01,Amounts!$A$4:$A$103,Amounts!$B$4:$B$103)*0.1*$A$2</f>
        <v>0</v>
      </c>
      <c r="C347" s="68">
        <f t="shared" si="37"/>
        <v>902907.24633514904</v>
      </c>
      <c r="D347" s="67">
        <f t="array" ref="D347">SUM($B$7:$B342*$F$1009*EXP(-$F$1009*($A347-$A$7:$A342)))*$F$1010</f>
        <v>56204705.308441825</v>
      </c>
      <c r="E347" s="67">
        <f t="shared" si="35"/>
        <v>107.14930891573781</v>
      </c>
      <c r="F347" s="70">
        <f t="shared" si="39"/>
        <v>6.5061060373636002</v>
      </c>
      <c r="G347" s="67">
        <f>E347/'Lookup Tables'!$C$48</f>
        <v>214.29861783147561</v>
      </c>
      <c r="H347" s="70">
        <f t="shared" si="36"/>
        <v>6.2373712244200227E-2</v>
      </c>
      <c r="I347" s="71">
        <f t="shared" si="40"/>
        <v>0.30859000967732492</v>
      </c>
      <c r="L347" s="74"/>
      <c r="M347" s="74"/>
      <c r="N347" s="74"/>
      <c r="O347" s="74"/>
      <c r="P347" s="74"/>
      <c r="Q347" s="74"/>
      <c r="R347" s="74"/>
      <c r="S347" s="74"/>
      <c r="T347" s="74"/>
      <c r="U347" s="74"/>
      <c r="V347" s="74"/>
      <c r="W347" s="74"/>
      <c r="X347" s="74"/>
      <c r="Y347" s="74"/>
      <c r="Z347" s="74"/>
    </row>
    <row r="348" spans="1:26" x14ac:dyDescent="0.3">
      <c r="A348" s="66">
        <f t="shared" si="38"/>
        <v>2024.099999999969</v>
      </c>
      <c r="B348" s="67">
        <f>LOOKUP(A348+0.01,Amounts!$A$4:$A$103,Amounts!$B$4:$B$103)*0.1*$A$2</f>
        <v>0</v>
      </c>
      <c r="C348" s="68">
        <f t="shared" si="37"/>
        <v>902907.24633514904</v>
      </c>
      <c r="D348" s="67">
        <f t="array" ref="D348">SUM($B$7:$B343*$F$1009*EXP(-$F$1009*($A348-$A$7:$A343)))*$F$1010</f>
        <v>55812646.17914243</v>
      </c>
      <c r="E348" s="67">
        <f t="shared" si="35"/>
        <v>106.40188279673234</v>
      </c>
      <c r="F348" s="70">
        <f t="shared" si="39"/>
        <v>6.4607223234175883</v>
      </c>
      <c r="G348" s="67">
        <f>E348/'Lookup Tables'!$C$48</f>
        <v>212.80376559346468</v>
      </c>
      <c r="H348" s="70">
        <f t="shared" si="36"/>
        <v>6.1938620854975229E-2</v>
      </c>
      <c r="I348" s="71">
        <f t="shared" si="40"/>
        <v>0.30643742245458916</v>
      </c>
      <c r="L348" s="74"/>
      <c r="M348" s="74"/>
      <c r="N348" s="74"/>
      <c r="O348" s="74"/>
      <c r="P348" s="74"/>
      <c r="Q348" s="74"/>
      <c r="R348" s="74"/>
      <c r="S348" s="74"/>
      <c r="T348" s="74"/>
      <c r="U348" s="74"/>
      <c r="V348" s="74"/>
      <c r="W348" s="74"/>
      <c r="X348" s="74"/>
      <c r="Y348" s="74"/>
      <c r="Z348" s="74"/>
    </row>
    <row r="349" spans="1:26" x14ac:dyDescent="0.3">
      <c r="A349" s="66">
        <f t="shared" si="38"/>
        <v>2024.1999999999689</v>
      </c>
      <c r="B349" s="67">
        <f>LOOKUP(A349+0.01,Amounts!$A$4:$A$103,Amounts!$B$4:$B$103)*0.1*$A$2</f>
        <v>0</v>
      </c>
      <c r="C349" s="68">
        <f t="shared" si="37"/>
        <v>902907.24633514904</v>
      </c>
      <c r="D349" s="67">
        <f t="array" ref="D349">SUM($B$7:$B344*$F$1009*EXP(-$F$1009*($A349-$A$7:$A344)))*$F$1010</f>
        <v>55423321.880673021</v>
      </c>
      <c r="E349" s="67">
        <f t="shared" si="35"/>
        <v>105.65967039127317</v>
      </c>
      <c r="F349" s="70">
        <f t="shared" si="39"/>
        <v>6.4156551861581068</v>
      </c>
      <c r="G349" s="67">
        <f>E349/'Lookup Tables'!$C$48</f>
        <v>211.31934078254633</v>
      </c>
      <c r="H349" s="70">
        <f t="shared" si="36"/>
        <v>6.150656447056501E-2</v>
      </c>
      <c r="I349" s="71">
        <f t="shared" si="40"/>
        <v>0.30429985072686666</v>
      </c>
      <c r="L349" s="74"/>
      <c r="M349" s="74"/>
      <c r="N349" s="74"/>
      <c r="O349" s="74"/>
      <c r="P349" s="74"/>
      <c r="Q349" s="74"/>
      <c r="R349" s="74"/>
      <c r="S349" s="74"/>
      <c r="T349" s="74"/>
      <c r="U349" s="74"/>
      <c r="V349" s="74"/>
      <c r="W349" s="74"/>
      <c r="X349" s="74"/>
      <c r="Y349" s="74"/>
      <c r="Z349" s="74"/>
    </row>
    <row r="350" spans="1:26" x14ac:dyDescent="0.3">
      <c r="A350" s="66">
        <f t="shared" si="38"/>
        <v>2024.2999999999688</v>
      </c>
      <c r="B350" s="67">
        <f>LOOKUP(A350+0.01,Amounts!$A$4:$A$103,Amounts!$B$4:$B$103)*0.1*$A$2</f>
        <v>0</v>
      </c>
      <c r="C350" s="68">
        <f t="shared" si="37"/>
        <v>902907.24633514904</v>
      </c>
      <c r="D350" s="67">
        <f t="array" ref="D350">SUM($B$7:$B345*$F$1009*EXP(-$F$1009*($A350-$A$7:$A345)))*$F$1010</f>
        <v>55036713.336065061</v>
      </c>
      <c r="E350" s="67">
        <f t="shared" si="35"/>
        <v>104.92263533080394</v>
      </c>
      <c r="F350" s="70">
        <f t="shared" si="39"/>
        <v>6.3709024172864144</v>
      </c>
      <c r="G350" s="67">
        <f>E350/'Lookup Tables'!$C$48</f>
        <v>209.84527066160788</v>
      </c>
      <c r="H350" s="70">
        <f t="shared" si="36"/>
        <v>6.1077521920120323E-2</v>
      </c>
      <c r="I350" s="71">
        <f t="shared" si="40"/>
        <v>0.30217718975271535</v>
      </c>
      <c r="L350" s="74"/>
      <c r="M350" s="74"/>
      <c r="N350" s="74"/>
      <c r="O350" s="74"/>
      <c r="P350" s="74"/>
      <c r="Q350" s="74"/>
      <c r="R350" s="74"/>
      <c r="S350" s="74"/>
      <c r="T350" s="74"/>
      <c r="U350" s="74"/>
      <c r="V350" s="74"/>
      <c r="W350" s="74"/>
      <c r="X350" s="74"/>
      <c r="Y350" s="74"/>
      <c r="Z350" s="74"/>
    </row>
    <row r="351" spans="1:26" x14ac:dyDescent="0.3">
      <c r="A351" s="66">
        <f t="shared" si="38"/>
        <v>2024.3999999999687</v>
      </c>
      <c r="B351" s="67">
        <f>LOOKUP(A351+0.01,Amounts!$A$4:$A$103,Amounts!$B$4:$B$103)*0.1*$A$2</f>
        <v>0</v>
      </c>
      <c r="C351" s="68">
        <f t="shared" si="37"/>
        <v>902907.24633514904</v>
      </c>
      <c r="D351" s="67">
        <f t="array" ref="D351">SUM($B$7:$B346*$F$1009*EXP(-$F$1009*($A351-$A$7:$A346)))*$F$1010</f>
        <v>54652801.601422504</v>
      </c>
      <c r="E351" s="67">
        <f t="shared" si="35"/>
        <v>104.19074150045923</v>
      </c>
      <c r="F351" s="70">
        <f t="shared" si="39"/>
        <v>6.3264618239078851</v>
      </c>
      <c r="G351" s="67">
        <f>E351/'Lookup Tables'!$C$48</f>
        <v>208.38148300091845</v>
      </c>
      <c r="H351" s="70">
        <f t="shared" si="36"/>
        <v>6.0651472180470338E-2</v>
      </c>
      <c r="I351" s="71">
        <f t="shared" si="40"/>
        <v>0.30006933552132253</v>
      </c>
      <c r="L351" s="74"/>
      <c r="M351" s="74"/>
      <c r="N351" s="74"/>
      <c r="O351" s="74"/>
      <c r="P351" s="74"/>
      <c r="Q351" s="74"/>
      <c r="R351" s="74"/>
      <c r="S351" s="74"/>
      <c r="T351" s="74"/>
      <c r="U351" s="74"/>
      <c r="V351" s="74"/>
      <c r="W351" s="74"/>
      <c r="X351" s="74"/>
      <c r="Y351" s="74"/>
      <c r="Z351" s="74"/>
    </row>
    <row r="352" spans="1:26" x14ac:dyDescent="0.3">
      <c r="A352" s="66">
        <f t="shared" si="38"/>
        <v>2024.4999999999686</v>
      </c>
      <c r="B352" s="67">
        <f>LOOKUP(A352+0.01,Amounts!$A$4:$A$103,Amounts!$B$4:$B$103)*0.1*$A$2</f>
        <v>0</v>
      </c>
      <c r="C352" s="68">
        <f t="shared" si="37"/>
        <v>902907.24633514904</v>
      </c>
      <c r="D352" s="67">
        <f t="array" ref="D352">SUM($B$7:$B347*$F$1009*EXP(-$F$1009*($A352-$A$7:$A347)))*$F$1010</f>
        <v>54271567.86499355</v>
      </c>
      <c r="E352" s="67">
        <f t="shared" si="35"/>
        <v>103.46395303729487</v>
      </c>
      <c r="F352" s="70">
        <f t="shared" si="39"/>
        <v>6.2823312284245443</v>
      </c>
      <c r="G352" s="67">
        <f>E352/'Lookup Tables'!$C$48</f>
        <v>206.92790607458974</v>
      </c>
      <c r="H352" s="70">
        <f t="shared" si="36"/>
        <v>6.0228394375092538E-2</v>
      </c>
      <c r="I352" s="71">
        <f t="shared" si="40"/>
        <v>0.29797618474740917</v>
      </c>
      <c r="L352" s="74"/>
      <c r="M352" s="74"/>
      <c r="N352" s="74"/>
      <c r="O352" s="74"/>
      <c r="P352" s="74"/>
      <c r="Q352" s="74"/>
      <c r="R352" s="74"/>
      <c r="S352" s="74"/>
      <c r="T352" s="74"/>
      <c r="U352" s="74"/>
      <c r="V352" s="74"/>
      <c r="W352" s="74"/>
      <c r="X352" s="74"/>
      <c r="Y352" s="74"/>
      <c r="Z352" s="74"/>
    </row>
    <row r="353" spans="1:26" x14ac:dyDescent="0.3">
      <c r="A353" s="66">
        <f t="shared" si="38"/>
        <v>2024.5999999999685</v>
      </c>
      <c r="B353" s="67">
        <f>LOOKUP(A353+0.01,Amounts!$A$4:$A$103,Amounts!$B$4:$B$103)*0.1*$A$2</f>
        <v>0</v>
      </c>
      <c r="C353" s="68">
        <f t="shared" si="37"/>
        <v>902907.24633514904</v>
      </c>
      <c r="D353" s="67">
        <f t="array" ref="D353">SUM($B$7:$B348*$F$1009*EXP(-$F$1009*($A353-$A$7:$A348)))*$F$1010</f>
        <v>53892993.446248814</v>
      </c>
      <c r="E353" s="67">
        <f t="shared" si="35"/>
        <v>102.74223432853078</v>
      </c>
      <c r="F353" s="70">
        <f t="shared" si="39"/>
        <v>6.2385084684283898</v>
      </c>
      <c r="G353" s="67">
        <f>E353/'Lookup Tables'!$C$48</f>
        <v>205.48446865706157</v>
      </c>
      <c r="H353" s="70">
        <f t="shared" si="36"/>
        <v>5.9808267773089833E-2</v>
      </c>
      <c r="I353" s="71">
        <f t="shared" si="40"/>
        <v>0.29589763486616866</v>
      </c>
      <c r="L353" s="74"/>
      <c r="M353" s="74"/>
      <c r="N353" s="74"/>
      <c r="O353" s="74"/>
      <c r="P353" s="74"/>
      <c r="Q353" s="74"/>
      <c r="R353" s="74"/>
      <c r="S353" s="74"/>
      <c r="T353" s="74"/>
      <c r="U353" s="74"/>
      <c r="V353" s="74"/>
      <c r="W353" s="74"/>
      <c r="X353" s="74"/>
      <c r="Y353" s="74"/>
      <c r="Z353" s="74"/>
    </row>
    <row r="354" spans="1:26" x14ac:dyDescent="0.3">
      <c r="A354" s="66">
        <f t="shared" si="38"/>
        <v>2024.6999999999684</v>
      </c>
      <c r="B354" s="67">
        <f>LOOKUP(A354+0.01,Amounts!$A$4:$A$103,Amounts!$B$4:$B$103)*0.1*$A$2</f>
        <v>0</v>
      </c>
      <c r="C354" s="68">
        <f t="shared" si="37"/>
        <v>902907.24633514904</v>
      </c>
      <c r="D354" s="67">
        <f t="array" ref="D354">SUM($B$7:$B349*$F$1009*EXP(-$F$1009*($A354-$A$7:$A349)))*$F$1010</f>
        <v>53517059.794966064</v>
      </c>
      <c r="E354" s="67">
        <f t="shared" si="35"/>
        <v>102.02555000980584</v>
      </c>
      <c r="F354" s="70">
        <f t="shared" si="39"/>
        <v>6.1949913965954106</v>
      </c>
      <c r="G354" s="67">
        <f>E354/'Lookup Tables'!$C$48</f>
        <v>204.05110001961168</v>
      </c>
      <c r="H354" s="70">
        <f t="shared" si="36"/>
        <v>5.9391071788174675E-2</v>
      </c>
      <c r="I354" s="71">
        <f t="shared" si="40"/>
        <v>0.29383358402824084</v>
      </c>
      <c r="L354" s="74"/>
      <c r="M354" s="74"/>
      <c r="N354" s="74"/>
      <c r="O354" s="74"/>
      <c r="P354" s="74"/>
      <c r="Q354" s="74"/>
      <c r="R354" s="74"/>
      <c r="S354" s="74"/>
      <c r="T354" s="74"/>
      <c r="U354" s="74"/>
      <c r="V354" s="74"/>
      <c r="W354" s="74"/>
      <c r="X354" s="74"/>
      <c r="Y354" s="74"/>
      <c r="Z354" s="74"/>
    </row>
    <row r="355" spans="1:26" x14ac:dyDescent="0.3">
      <c r="A355" s="66">
        <f t="shared" si="38"/>
        <v>2024.7999999999683</v>
      </c>
      <c r="B355" s="67">
        <f>LOOKUP(A355+0.01,Amounts!$A$4:$A$103,Amounts!$B$4:$B$103)*0.1*$A$2</f>
        <v>0</v>
      </c>
      <c r="C355" s="68">
        <f t="shared" si="37"/>
        <v>902907.24633514904</v>
      </c>
      <c r="D355" s="67">
        <f t="array" ref="D355">SUM($B$7:$B350*$F$1009*EXP(-$F$1009*($A355-$A$7:$A350)))*$F$1010</f>
        <v>53143748.490321167</v>
      </c>
      <c r="E355" s="67">
        <f t="shared" si="35"/>
        <v>101.31386496344504</v>
      </c>
      <c r="F355" s="70">
        <f t="shared" si="39"/>
        <v>6.1517778805803838</v>
      </c>
      <c r="G355" s="67">
        <f>E355/'Lookup Tables'!$C$48</f>
        <v>202.62772992689008</v>
      </c>
      <c r="H355" s="70">
        <f t="shared" si="36"/>
        <v>5.8976785977660325E-2</v>
      </c>
      <c r="I355" s="71">
        <f t="shared" si="40"/>
        <v>0.29178393109472173</v>
      </c>
      <c r="L355" s="74"/>
      <c r="M355" s="74"/>
      <c r="N355" s="74"/>
      <c r="O355" s="74"/>
      <c r="P355" s="74"/>
      <c r="Q355" s="74"/>
      <c r="R355" s="74"/>
      <c r="S355" s="74"/>
      <c r="T355" s="74"/>
      <c r="U355" s="74"/>
      <c r="V355" s="74"/>
      <c r="W355" s="74"/>
      <c r="X355" s="74"/>
      <c r="Y355" s="74"/>
      <c r="Z355" s="74"/>
    </row>
    <row r="356" spans="1:26" x14ac:dyDescent="0.3">
      <c r="A356" s="66">
        <f t="shared" si="38"/>
        <v>2024.8999999999683</v>
      </c>
      <c r="B356" s="67">
        <f>LOOKUP(A356+0.01,Amounts!$A$4:$A$103,Amounts!$B$4:$B$103)*0.1*$A$2</f>
        <v>0</v>
      </c>
      <c r="C356" s="68">
        <f t="shared" si="37"/>
        <v>902907.24633514904</v>
      </c>
      <c r="D356" s="67">
        <f t="array" ref="D356">SUM($B$7:$B351*$F$1009*EXP(-$F$1009*($A356-$A$7:$A351)))*$F$1010</f>
        <v>52773041.239985473</v>
      </c>
      <c r="E356" s="67">
        <f t="shared" si="35"/>
        <v>100.60714431673867</v>
      </c>
      <c r="F356" s="70">
        <f t="shared" si="39"/>
        <v>6.1088658029123719</v>
      </c>
      <c r="G356" s="67">
        <f>E356/'Lookup Tables'!$C$48</f>
        <v>201.21428863347734</v>
      </c>
      <c r="H356" s="70">
        <f t="shared" si="36"/>
        <v>5.8565390041459157E-2</v>
      </c>
      <c r="I356" s="71">
        <f t="shared" si="40"/>
        <v>0.28974857563220741</v>
      </c>
      <c r="L356" s="74"/>
      <c r="M356" s="74"/>
      <c r="N356" s="74"/>
      <c r="O356" s="74"/>
      <c r="P356" s="74"/>
      <c r="Q356" s="74"/>
      <c r="R356" s="74"/>
      <c r="S356" s="74"/>
      <c r="T356" s="74"/>
      <c r="U356" s="74"/>
      <c r="V356" s="74"/>
      <c r="W356" s="74"/>
      <c r="X356" s="74"/>
      <c r="Y356" s="74"/>
      <c r="Z356" s="74"/>
    </row>
    <row r="357" spans="1:26" x14ac:dyDescent="0.3">
      <c r="A357" s="66">
        <f t="shared" si="38"/>
        <v>2024.9999999999682</v>
      </c>
      <c r="B357" s="67">
        <f>LOOKUP(A357+0.01,Amounts!$A$4:$A$103,Amounts!$B$4:$B$103)*0.1*$A$2</f>
        <v>0</v>
      </c>
      <c r="C357" s="68">
        <f t="shared" si="37"/>
        <v>902907.24633514904</v>
      </c>
      <c r="D357" s="67">
        <f t="array" ref="D357">SUM($B$7:$B352*$F$1009*EXP(-$F$1009*($A357-$A$7:$A352)))*$F$1010</f>
        <v>52404919.87922956</v>
      </c>
      <c r="E357" s="67">
        <f t="shared" si="35"/>
        <v>99.905353440233668</v>
      </c>
      <c r="F357" s="70">
        <f t="shared" si="39"/>
        <v>6.0662530608909888</v>
      </c>
      <c r="G357" s="67">
        <f>E357/'Lookup Tables'!$C$48</f>
        <v>199.81070688046734</v>
      </c>
      <c r="H357" s="70">
        <f t="shared" si="36"/>
        <v>5.8156863821087985E-2</v>
      </c>
      <c r="I357" s="71">
        <f t="shared" si="40"/>
        <v>0.28772741790787293</v>
      </c>
      <c r="L357" s="74"/>
      <c r="M357" s="74"/>
      <c r="N357" s="74"/>
      <c r="O357" s="74"/>
      <c r="P357" s="74"/>
      <c r="Q357" s="74"/>
      <c r="R357" s="74"/>
      <c r="S357" s="74"/>
      <c r="T357" s="74"/>
      <c r="U357" s="74"/>
      <c r="V357" s="74"/>
      <c r="W357" s="74"/>
      <c r="X357" s="74"/>
      <c r="Y357" s="74"/>
      <c r="Z357" s="74"/>
    </row>
    <row r="358" spans="1:26" x14ac:dyDescent="0.3">
      <c r="A358" s="66">
        <f t="shared" si="38"/>
        <v>2025.0999999999681</v>
      </c>
      <c r="B358" s="67">
        <f>LOOKUP(A358+0.01,Amounts!$A$4:$A$103,Amounts!$B$4:$B$103)*0.1*$A$2</f>
        <v>0</v>
      </c>
      <c r="C358" s="68">
        <f t="shared" si="37"/>
        <v>902907.24633514904</v>
      </c>
      <c r="D358" s="67">
        <f t="array" ref="D358">SUM($B$7:$B353*$F$1009*EXP(-$F$1009*($A358-$A$7:$A353)))*$F$1010</f>
        <v>52039366.370033085</v>
      </c>
      <c r="E358" s="67">
        <f t="shared" si="35"/>
        <v>99.208457946036646</v>
      </c>
      <c r="F358" s="70">
        <f t="shared" si="39"/>
        <v>6.0239375664833457</v>
      </c>
      <c r="G358" s="67">
        <f>E358/'Lookup Tables'!$C$48</f>
        <v>198.41691589207329</v>
      </c>
      <c r="H358" s="70">
        <f t="shared" si="36"/>
        <v>5.7751187298680298E-2</v>
      </c>
      <c r="I358" s="71">
        <f t="shared" si="40"/>
        <v>0.28572035888458558</v>
      </c>
      <c r="L358" s="74"/>
      <c r="M358" s="74"/>
      <c r="N358" s="74"/>
      <c r="O358" s="74"/>
      <c r="P358" s="74"/>
      <c r="Q358" s="74"/>
      <c r="R358" s="74"/>
      <c r="S358" s="74"/>
      <c r="T358" s="74"/>
      <c r="U358" s="74"/>
      <c r="V358" s="74"/>
      <c r="W358" s="74"/>
      <c r="X358" s="74"/>
      <c r="Y358" s="74"/>
      <c r="Z358" s="74"/>
    </row>
    <row r="359" spans="1:26" x14ac:dyDescent="0.3">
      <c r="A359" s="66">
        <f t="shared" si="38"/>
        <v>2025.199999999968</v>
      </c>
      <c r="B359" s="67">
        <f>LOOKUP(A359+0.01,Amounts!$A$4:$A$103,Amounts!$B$4:$B$103)*0.1*$A$2</f>
        <v>0</v>
      </c>
      <c r="C359" s="68">
        <f t="shared" si="37"/>
        <v>902907.24633514904</v>
      </c>
      <c r="D359" s="67">
        <f t="array" ref="D359">SUM($B$7:$B354*$F$1009*EXP(-$F$1009*($A359-$A$7:$A354)))*$F$1010</f>
        <v>51676362.800200962</v>
      </c>
      <c r="E359" s="67">
        <f t="shared" si="35"/>
        <v>98.516423686128931</v>
      </c>
      <c r="F359" s="70">
        <f t="shared" si="39"/>
        <v>5.981917246221748</v>
      </c>
      <c r="G359" s="67">
        <f>E359/'Lookup Tables'!$C$48</f>
        <v>197.03284737225786</v>
      </c>
      <c r="H359" s="70">
        <f t="shared" si="36"/>
        <v>5.7348340596005271E-2</v>
      </c>
      <c r="I359" s="71">
        <f t="shared" si="40"/>
        <v>0.2837273002160513</v>
      </c>
      <c r="L359" s="74"/>
      <c r="M359" s="74"/>
      <c r="N359" s="74"/>
      <c r="O359" s="74"/>
      <c r="P359" s="74"/>
      <c r="Q359" s="74"/>
      <c r="R359" s="74"/>
      <c r="S359" s="74"/>
      <c r="T359" s="74"/>
      <c r="U359" s="74"/>
      <c r="V359" s="74"/>
      <c r="W359" s="74"/>
      <c r="X359" s="74"/>
      <c r="Y359" s="74"/>
      <c r="Z359" s="74"/>
    </row>
    <row r="360" spans="1:26" x14ac:dyDescent="0.3">
      <c r="A360" s="66">
        <f t="shared" si="38"/>
        <v>2025.2999999999679</v>
      </c>
      <c r="B360" s="67">
        <f>LOOKUP(A360+0.01,Amounts!$A$4:$A$103,Amounts!$B$4:$B$103)*0.1*$A$2</f>
        <v>0</v>
      </c>
      <c r="C360" s="68">
        <f t="shared" si="37"/>
        <v>902907.24633514904</v>
      </c>
      <c r="D360" s="67">
        <f t="array" ref="D360">SUM($B$7:$B355*$F$1009*EXP(-$F$1009*($A360-$A$7:$A355)))*$F$1010</f>
        <v>51315891.382485636</v>
      </c>
      <c r="E360" s="67">
        <f t="shared" si="35"/>
        <v>97.829216750693362</v>
      </c>
      <c r="F360" s="70">
        <f t="shared" si="39"/>
        <v>5.9401900411021007</v>
      </c>
      <c r="G360" s="67">
        <f>E360/'Lookup Tables'!$C$48</f>
        <v>195.65843350138672</v>
      </c>
      <c r="H360" s="70">
        <f t="shared" si="36"/>
        <v>5.6948303973493923E-2</v>
      </c>
      <c r="I360" s="71">
        <f t="shared" si="40"/>
        <v>0.28174814424199685</v>
      </c>
      <c r="L360" s="74"/>
      <c r="M360" s="74"/>
      <c r="N360" s="74"/>
      <c r="O360" s="74"/>
      <c r="P360" s="74"/>
      <c r="Q360" s="74"/>
      <c r="R360" s="74"/>
      <c r="S360" s="74"/>
      <c r="T360" s="74"/>
      <c r="U360" s="74"/>
      <c r="V360" s="74"/>
      <c r="W360" s="74"/>
      <c r="X360" s="74"/>
      <c r="Y360" s="74"/>
      <c r="Z360" s="74"/>
    </row>
    <row r="361" spans="1:26" x14ac:dyDescent="0.3">
      <c r="A361" s="66">
        <f t="shared" si="38"/>
        <v>2025.3999999999678</v>
      </c>
      <c r="B361" s="67">
        <f>LOOKUP(A361+0.01,Amounts!$A$4:$A$103,Amounts!$B$4:$B$103)*0.1*$A$2</f>
        <v>0</v>
      </c>
      <c r="C361" s="68">
        <f t="shared" si="37"/>
        <v>902907.24633514904</v>
      </c>
      <c r="D361" s="67">
        <f t="array" ref="D361">SUM($B$7:$B356*$F$1009*EXP(-$F$1009*($A361-$A$7:$A356)))*$F$1010</f>
        <v>50957934.453715518</v>
      </c>
      <c r="E361" s="67">
        <f t="shared" si="35"/>
        <v>97.146803466452596</v>
      </c>
      <c r="F361" s="70">
        <f t="shared" si="39"/>
        <v>5.8987539064830008</v>
      </c>
      <c r="G361" s="67">
        <f>E361/'Lookup Tables'!$C$48</f>
        <v>194.29360693290519</v>
      </c>
      <c r="H361" s="70">
        <f t="shared" si="36"/>
        <v>5.6551057829271702E-2</v>
      </c>
      <c r="I361" s="71">
        <f t="shared" si="40"/>
        <v>0.27978279398338346</v>
      </c>
      <c r="L361" s="74"/>
      <c r="M361" s="74"/>
      <c r="N361" s="74"/>
      <c r="O361" s="74"/>
      <c r="P361" s="74"/>
      <c r="Q361" s="74"/>
      <c r="R361" s="74"/>
      <c r="S361" s="74"/>
      <c r="T361" s="74"/>
      <c r="U361" s="74"/>
      <c r="V361" s="74"/>
      <c r="W361" s="74"/>
      <c r="X361" s="74"/>
      <c r="Y361" s="74"/>
      <c r="Z361" s="74"/>
    </row>
    <row r="362" spans="1:26" x14ac:dyDescent="0.3">
      <c r="A362" s="66">
        <f t="shared" si="38"/>
        <v>2025.4999999999677</v>
      </c>
      <c r="B362" s="67">
        <f>LOOKUP(A362+0.01,Amounts!$A$4:$A$103,Amounts!$B$4:$B$103)*0.1*$A$2</f>
        <v>0</v>
      </c>
      <c r="C362" s="68">
        <f t="shared" si="37"/>
        <v>902907.24633514904</v>
      </c>
      <c r="D362" s="67">
        <f t="array" ref="D362">SUM($B$7:$B357*$F$1009*EXP(-$F$1009*($A362-$A$7:$A357)))*$F$1010</f>
        <v>50602474.473929472</v>
      </c>
      <c r="E362" s="67">
        <f t="shared" si="35"/>
        <v>96.46915039501917</v>
      </c>
      <c r="F362" s="70">
        <f t="shared" si="39"/>
        <v>5.8576068119855647</v>
      </c>
      <c r="G362" s="67">
        <f>E362/'Lookup Tables'!$C$48</f>
        <v>192.93830079003834</v>
      </c>
      <c r="H362" s="70">
        <f t="shared" si="36"/>
        <v>5.6156582698198058E-2</v>
      </c>
      <c r="I362" s="71">
        <f t="shared" si="40"/>
        <v>0.27783115313765522</v>
      </c>
      <c r="L362" s="74"/>
      <c r="M362" s="74"/>
      <c r="N362" s="74"/>
      <c r="O362" s="74"/>
      <c r="P362" s="74"/>
      <c r="Q362" s="74"/>
      <c r="R362" s="74"/>
      <c r="S362" s="74"/>
      <c r="T362" s="74"/>
      <c r="U362" s="74"/>
      <c r="V362" s="74"/>
      <c r="W362" s="74"/>
      <c r="X362" s="74"/>
      <c r="Y362" s="74"/>
      <c r="Z362" s="74"/>
    </row>
    <row r="363" spans="1:26" x14ac:dyDescent="0.3">
      <c r="A363" s="66">
        <f t="shared" si="38"/>
        <v>2025.5999999999676</v>
      </c>
      <c r="B363" s="67">
        <f>LOOKUP(A363+0.01,Amounts!$A$4:$A$103,Amounts!$B$4:$B$103)*0.1*$A$2</f>
        <v>0</v>
      </c>
      <c r="C363" s="68">
        <f t="shared" si="37"/>
        <v>902907.24633514904</v>
      </c>
      <c r="D363" s="67">
        <f t="array" ref="D363">SUM($B$7:$B358*$F$1009*EXP(-$F$1009*($A363-$A$7:$A358)))*$F$1010</f>
        <v>50249494.025517382</v>
      </c>
      <c r="E363" s="67">
        <f t="shared" si="35"/>
        <v>95.796224331256994</v>
      </c>
      <c r="F363" s="70">
        <f t="shared" si="39"/>
        <v>5.8167467413939251</v>
      </c>
      <c r="G363" s="67">
        <f>E363/'Lookup Tables'!$C$48</f>
        <v>191.59244866251399</v>
      </c>
      <c r="H363" s="70">
        <f t="shared" si="36"/>
        <v>5.5764859250912624E-2</v>
      </c>
      <c r="I363" s="71">
        <f t="shared" si="40"/>
        <v>0.27589312607402017</v>
      </c>
      <c r="L363" s="74"/>
      <c r="M363" s="74"/>
      <c r="N363" s="74"/>
      <c r="O363" s="74"/>
      <c r="P363" s="74"/>
      <c r="Q363" s="74"/>
      <c r="R363" s="74"/>
      <c r="S363" s="74"/>
      <c r="T363" s="74"/>
      <c r="U363" s="74"/>
      <c r="V363" s="74"/>
      <c r="W363" s="74"/>
      <c r="X363" s="74"/>
      <c r="Y363" s="74"/>
      <c r="Z363" s="74"/>
    </row>
    <row r="364" spans="1:26" x14ac:dyDescent="0.3">
      <c r="A364" s="66">
        <f t="shared" si="38"/>
        <v>2025.6999999999675</v>
      </c>
      <c r="B364" s="67">
        <f>LOOKUP(A364+0.01,Amounts!$A$4:$A$103,Amounts!$B$4:$B$103)*0.1*$A$2</f>
        <v>0</v>
      </c>
      <c r="C364" s="68">
        <f t="shared" si="37"/>
        <v>902907.24633514904</v>
      </c>
      <c r="D364" s="67">
        <f t="array" ref="D364">SUM($B$7:$B359*$F$1009*EXP(-$F$1009*($A364-$A$7:$A359)))*$F$1010</f>
        <v>49898975.812366635</v>
      </c>
      <c r="E364" s="67">
        <f t="shared" si="35"/>
        <v>95.127992301654302</v>
      </c>
      <c r="F364" s="70">
        <f t="shared" si="39"/>
        <v>5.7761716925564492</v>
      </c>
      <c r="G364" s="67">
        <f>E364/'Lookup Tables'!$C$48</f>
        <v>190.2559846033086</v>
      </c>
      <c r="H364" s="70">
        <f t="shared" si="36"/>
        <v>5.5375868292888111E-2</v>
      </c>
      <c r="I364" s="71">
        <f t="shared" si="40"/>
        <v>0.27396861782876436</v>
      </c>
      <c r="L364" s="74"/>
      <c r="M364" s="74"/>
      <c r="N364" s="74"/>
      <c r="O364" s="74"/>
      <c r="P364" s="74"/>
      <c r="Q364" s="74"/>
      <c r="R364" s="74"/>
      <c r="S364" s="74"/>
      <c r="T364" s="74"/>
      <c r="U364" s="74"/>
      <c r="V364" s="74"/>
      <c r="W364" s="74"/>
      <c r="X364" s="74"/>
      <c r="Y364" s="74"/>
      <c r="Z364" s="74"/>
    </row>
    <row r="365" spans="1:26" x14ac:dyDescent="0.3">
      <c r="A365" s="66">
        <f t="shared" si="38"/>
        <v>2025.7999999999674</v>
      </c>
      <c r="B365" s="67">
        <f>LOOKUP(A365+0.01,Amounts!$A$4:$A$103,Amounts!$B$4:$B$103)*0.1*$A$2</f>
        <v>0</v>
      </c>
      <c r="C365" s="68">
        <f t="shared" si="37"/>
        <v>902907.24633514904</v>
      </c>
      <c r="D365" s="67">
        <f t="array" ref="D365">SUM($B$7:$B360*$F$1009*EXP(-$F$1009*($A365-$A$7:$A360)))*$F$1010</f>
        <v>49550902.659014657</v>
      </c>
      <c r="E365" s="67">
        <f t="shared" si="35"/>
        <v>94.464421562707912</v>
      </c>
      <c r="F365" s="70">
        <f t="shared" si="39"/>
        <v>5.7358796772876239</v>
      </c>
      <c r="G365" s="67">
        <f>E365/'Lookup Tables'!$C$48</f>
        <v>188.92884312541582</v>
      </c>
      <c r="H365" s="70">
        <f t="shared" si="36"/>
        <v>5.4989590763489755E-2</v>
      </c>
      <c r="I365" s="71">
        <f t="shared" si="40"/>
        <v>0.2720575341005988</v>
      </c>
      <c r="L365" s="74"/>
      <c r="M365" s="74"/>
      <c r="N365" s="74"/>
      <c r="O365" s="74"/>
      <c r="P365" s="74"/>
      <c r="Q365" s="74"/>
      <c r="R365" s="74"/>
      <c r="S365" s="74"/>
      <c r="T365" s="74"/>
      <c r="U365" s="74"/>
      <c r="V365" s="74"/>
      <c r="W365" s="74"/>
      <c r="X365" s="74"/>
      <c r="Y365" s="74"/>
      <c r="Z365" s="74"/>
    </row>
    <row r="366" spans="1:26" x14ac:dyDescent="0.3">
      <c r="A366" s="66">
        <f t="shared" si="38"/>
        <v>2025.8999999999673</v>
      </c>
      <c r="B366" s="67">
        <f>LOOKUP(A366+0.01,Amounts!$A$4:$A$103,Amounts!$B$4:$B$103)*0.1*$A$2</f>
        <v>0</v>
      </c>
      <c r="C366" s="68">
        <f t="shared" si="37"/>
        <v>902907.24633514904</v>
      </c>
      <c r="D366" s="67">
        <f t="array" ref="D366">SUM($B$7:$B361*$F$1009*EXP(-$F$1009*($A366-$A$7:$A361)))*$F$1010</f>
        <v>49205257.509807304</v>
      </c>
      <c r="E366" s="67">
        <f t="shared" si="35"/>
        <v>93.8054795993189</v>
      </c>
      <c r="F366" s="70">
        <f t="shared" si="39"/>
        <v>5.6958687212706431</v>
      </c>
      <c r="G366" s="67">
        <f>E366/'Lookup Tables'!$C$48</f>
        <v>187.6109591986378</v>
      </c>
      <c r="H366" s="70">
        <f t="shared" si="36"/>
        <v>5.4606007735041331E-2</v>
      </c>
      <c r="I366" s="71">
        <f t="shared" si="40"/>
        <v>0.27015978124603846</v>
      </c>
      <c r="L366" s="74"/>
      <c r="M366" s="74"/>
      <c r="N366" s="74"/>
      <c r="O366" s="74"/>
      <c r="P366" s="74"/>
      <c r="Q366" s="74"/>
      <c r="R366" s="74"/>
      <c r="S366" s="74"/>
      <c r="T366" s="74"/>
      <c r="U366" s="74"/>
      <c r="V366" s="74"/>
      <c r="W366" s="74"/>
      <c r="X366" s="74"/>
      <c r="Y366" s="74"/>
      <c r="Z366" s="74"/>
    </row>
    <row r="367" spans="1:26" x14ac:dyDescent="0.3">
      <c r="A367" s="66">
        <f t="shared" si="38"/>
        <v>2025.9999999999673</v>
      </c>
      <c r="B367" s="67">
        <f>LOOKUP(A367+0.01,Amounts!$A$4:$A$103,Amounts!$B$4:$B$103)*0.1*$A$2</f>
        <v>0</v>
      </c>
      <c r="C367" s="68">
        <f t="shared" si="37"/>
        <v>902907.24633514904</v>
      </c>
      <c r="D367" s="67">
        <f t="array" ref="D367">SUM($B$7:$B362*$F$1009*EXP(-$F$1009*($A367-$A$7:$A362)))*$F$1010</f>
        <v>48862023.42806308</v>
      </c>
      <c r="E367" s="67">
        <f t="shared" si="35"/>
        <v>93.151134123199185</v>
      </c>
      <c r="F367" s="70">
        <f t="shared" si="39"/>
        <v>5.6561368639606542</v>
      </c>
      <c r="G367" s="67">
        <f>E367/'Lookup Tables'!$C$48</f>
        <v>186.30226824639837</v>
      </c>
      <c r="H367" s="70">
        <f t="shared" si="36"/>
        <v>5.4225100411897688E-2</v>
      </c>
      <c r="I367" s="71">
        <f t="shared" si="40"/>
        <v>0.26827526627481368</v>
      </c>
      <c r="L367" s="74"/>
      <c r="M367" s="74"/>
      <c r="N367" s="74"/>
      <c r="O367" s="74"/>
      <c r="P367" s="74"/>
      <c r="Q367" s="74"/>
      <c r="R367" s="74"/>
      <c r="S367" s="74"/>
      <c r="T367" s="74"/>
      <c r="U367" s="74"/>
      <c r="V367" s="74"/>
      <c r="W367" s="74"/>
      <c r="X367" s="74"/>
      <c r="Y367" s="74"/>
      <c r="Z367" s="74"/>
    </row>
    <row r="368" spans="1:26" x14ac:dyDescent="0.3">
      <c r="A368" s="66">
        <f t="shared" si="38"/>
        <v>2026.0999999999672</v>
      </c>
      <c r="B368" s="67">
        <f>LOOKUP(A368+0.01,Amounts!$A$4:$A$103,Amounts!$B$4:$B$103)*0.1*$A$2</f>
        <v>0</v>
      </c>
      <c r="C368" s="68">
        <f t="shared" si="37"/>
        <v>902907.24633514904</v>
      </c>
      <c r="D368" s="67">
        <f t="array" ref="D368">SUM($B$7:$B363*$F$1009*EXP(-$F$1009*($A368-$A$7:$A363)))*$F$1010</f>
        <v>48521183.595243335</v>
      </c>
      <c r="E368" s="67">
        <f t="shared" si="35"/>
        <v>92.501353071289529</v>
      </c>
      <c r="F368" s="70">
        <f t="shared" si="39"/>
        <v>5.6166821584887003</v>
      </c>
      <c r="G368" s="67">
        <f>E368/'Lookup Tables'!$C$48</f>
        <v>185.00270614257906</v>
      </c>
      <c r="H368" s="70">
        <f t="shared" si="36"/>
        <v>5.3846850129523775E-2</v>
      </c>
      <c r="I368" s="71">
        <f t="shared" si="40"/>
        <v>0.26640389684531385</v>
      </c>
      <c r="L368" s="74"/>
      <c r="M368" s="74"/>
      <c r="N368" s="74"/>
      <c r="O368" s="74"/>
      <c r="P368" s="74"/>
      <c r="Q368" s="74"/>
      <c r="R368" s="74"/>
      <c r="S368" s="74"/>
      <c r="T368" s="74"/>
      <c r="U368" s="74"/>
      <c r="V368" s="74"/>
      <c r="W368" s="74"/>
      <c r="X368" s="74"/>
      <c r="Y368" s="74"/>
      <c r="Z368" s="74"/>
    </row>
    <row r="369" spans="1:26" x14ac:dyDescent="0.3">
      <c r="A369" s="66">
        <f t="shared" si="38"/>
        <v>2026.1999999999671</v>
      </c>
      <c r="B369" s="67">
        <f>LOOKUP(A369+0.01,Amounts!$A$4:$A$103,Amounts!$B$4:$B$103)*0.1*$A$2</f>
        <v>0</v>
      </c>
      <c r="C369" s="68">
        <f t="shared" si="37"/>
        <v>902907.24633514904</v>
      </c>
      <c r="D369" s="67">
        <f t="array" ref="D369">SUM($B$7:$B364*$F$1009*EXP(-$F$1009*($A369-$A$7:$A364)))*$F$1010</f>
        <v>48182721.310128056</v>
      </c>
      <c r="E369" s="67">
        <f t="shared" si="35"/>
        <v>91.856104604188388</v>
      </c>
      <c r="F369" s="70">
        <f t="shared" si="39"/>
        <v>5.577502671566319</v>
      </c>
      <c r="G369" s="67">
        <f>E369/'Lookup Tables'!$C$48</f>
        <v>183.71220920837678</v>
      </c>
      <c r="H369" s="70">
        <f t="shared" si="36"/>
        <v>5.3471238353580093E-2</v>
      </c>
      <c r="I369" s="71">
        <f t="shared" si="40"/>
        <v>0.2645455812600625</v>
      </c>
      <c r="L369" s="74"/>
      <c r="M369" s="74"/>
      <c r="N369" s="74"/>
      <c r="O369" s="74"/>
      <c r="P369" s="74"/>
      <c r="Q369" s="74"/>
      <c r="R369" s="74"/>
      <c r="S369" s="74"/>
      <c r="T369" s="74"/>
      <c r="U369" s="74"/>
      <c r="V369" s="74"/>
      <c r="W369" s="74"/>
      <c r="X369" s="74"/>
      <c r="Y369" s="74"/>
      <c r="Z369" s="74"/>
    </row>
    <row r="370" spans="1:26" x14ac:dyDescent="0.3">
      <c r="A370" s="66">
        <f t="shared" si="38"/>
        <v>2026.299999999967</v>
      </c>
      <c r="B370" s="67">
        <f>LOOKUP(A370+0.01,Amounts!$A$4:$A$103,Amounts!$B$4:$B$103)*0.1*$A$2</f>
        <v>0</v>
      </c>
      <c r="C370" s="68">
        <f t="shared" si="37"/>
        <v>902907.24633514904</v>
      </c>
      <c r="D370" s="67">
        <f t="array" ref="D370">SUM($B$7:$B365*$F$1009*EXP(-$F$1009*($A370-$A$7:$A365)))*$F$1010</f>
        <v>47846619.987997532</v>
      </c>
      <c r="E370" s="67">
        <f t="shared" si="35"/>
        <v>91.215357104591718</v>
      </c>
      <c r="F370" s="70">
        <f t="shared" si="39"/>
        <v>5.5385964833908092</v>
      </c>
      <c r="G370" s="67">
        <f>E370/'Lookup Tables'!$C$48</f>
        <v>182.43071420918344</v>
      </c>
      <c r="H370" s="70">
        <f t="shared" si="36"/>
        <v>5.3098246679014444E-2</v>
      </c>
      <c r="I370" s="71">
        <f t="shared" si="40"/>
        <v>0.26270022846122409</v>
      </c>
      <c r="L370" s="74"/>
      <c r="M370" s="74"/>
      <c r="N370" s="74"/>
      <c r="O370" s="74"/>
      <c r="P370" s="74"/>
      <c r="Q370" s="74"/>
      <c r="R370" s="74"/>
      <c r="S370" s="74"/>
      <c r="T370" s="74"/>
      <c r="U370" s="74"/>
      <c r="V370" s="74"/>
      <c r="W370" s="74"/>
      <c r="X370" s="74"/>
      <c r="Y370" s="74"/>
      <c r="Z370" s="74"/>
    </row>
    <row r="371" spans="1:26" x14ac:dyDescent="0.3">
      <c r="A371" s="66">
        <f t="shared" si="38"/>
        <v>2026.3999999999669</v>
      </c>
      <c r="B371" s="67">
        <f>LOOKUP(A371+0.01,Amounts!$A$4:$A$103,Amounts!$B$4:$B$103)*0.1*$A$2</f>
        <v>0</v>
      </c>
      <c r="C371" s="68">
        <f t="shared" si="37"/>
        <v>902907.24633514904</v>
      </c>
      <c r="D371" s="67">
        <f t="array" ref="D371">SUM($B$7:$B366*$F$1009*EXP(-$F$1009*($A371-$A$7:$A366)))*$F$1010</f>
        <v>47512863.159819759</v>
      </c>
      <c r="E371" s="67">
        <f t="shared" si="35"/>
        <v>90.579079175743914</v>
      </c>
      <c r="F371" s="70">
        <f t="shared" si="39"/>
        <v>5.4999616875511697</v>
      </c>
      <c r="G371" s="67">
        <f>E371/'Lookup Tables'!$C$48</f>
        <v>181.15815835148783</v>
      </c>
      <c r="H371" s="70">
        <f t="shared" si="36"/>
        <v>5.2727856829160175E-2</v>
      </c>
      <c r="I371" s="71">
        <f t="shared" si="40"/>
        <v>0.26086774802614243</v>
      </c>
      <c r="L371" s="74"/>
      <c r="M371" s="74"/>
      <c r="N371" s="74"/>
      <c r="O371" s="74"/>
      <c r="P371" s="74"/>
      <c r="Q371" s="74"/>
      <c r="R371" s="74"/>
      <c r="S371" s="74"/>
      <c r="T371" s="74"/>
      <c r="U371" s="74"/>
      <c r="V371" s="74"/>
      <c r="W371" s="74"/>
      <c r="X371" s="74"/>
      <c r="Y371" s="74"/>
      <c r="Z371" s="74"/>
    </row>
    <row r="372" spans="1:26" x14ac:dyDescent="0.3">
      <c r="A372" s="66">
        <f t="shared" si="38"/>
        <v>2026.4999999999668</v>
      </c>
      <c r="B372" s="67">
        <f>LOOKUP(A372+0.01,Amounts!$A$4:$A$103,Amounts!$B$4:$B$103)*0.1*$A$2</f>
        <v>0</v>
      </c>
      <c r="C372" s="68">
        <f t="shared" si="37"/>
        <v>902907.24633514904</v>
      </c>
      <c r="D372" s="67">
        <f t="array" ref="D372">SUM($B$7:$B367*$F$1009*EXP(-$F$1009*($A372-$A$7:$A367)))*$F$1010</f>
        <v>47181434.471443355</v>
      </c>
      <c r="E372" s="67">
        <f t="shared" si="35"/>
        <v>89.947239639899081</v>
      </c>
      <c r="F372" s="70">
        <f t="shared" si="39"/>
        <v>5.4615963909346723</v>
      </c>
      <c r="G372" s="67">
        <f>E372/'Lookup Tables'!$C$48</f>
        <v>179.89447927979816</v>
      </c>
      <c r="H372" s="70">
        <f t="shared" si="36"/>
        <v>5.23600506548405E-2</v>
      </c>
      <c r="I372" s="71">
        <f t="shared" si="40"/>
        <v>0.25904805016290933</v>
      </c>
      <c r="L372" s="74"/>
      <c r="M372" s="74"/>
      <c r="N372" s="74"/>
      <c r="O372" s="74"/>
      <c r="P372" s="74"/>
      <c r="Q372" s="74"/>
      <c r="R372" s="74"/>
      <c r="S372" s="74"/>
      <c r="T372" s="74"/>
      <c r="U372" s="74"/>
      <c r="V372" s="74"/>
      <c r="W372" s="74"/>
      <c r="X372" s="74"/>
      <c r="Y372" s="74"/>
      <c r="Z372" s="74"/>
    </row>
    <row r="373" spans="1:26" x14ac:dyDescent="0.3">
      <c r="A373" s="66">
        <f t="shared" si="38"/>
        <v>2026.5999999999667</v>
      </c>
      <c r="B373" s="67">
        <f>LOOKUP(A373+0.01,Amounts!$A$4:$A$103,Amounts!$B$4:$B$103)*0.1*$A$2</f>
        <v>0</v>
      </c>
      <c r="C373" s="68">
        <f t="shared" si="37"/>
        <v>902907.24633514904</v>
      </c>
      <c r="D373" s="67">
        <f t="array" ref="D373">SUM($B$7:$B368*$F$1009*EXP(-$F$1009*($A373-$A$7:$A368)))*$F$1010</f>
        <v>46852317.682796285</v>
      </c>
      <c r="E373" s="67">
        <f t="shared" si="35"/>
        <v>89.31980753679359</v>
      </c>
      <c r="F373" s="70">
        <f t="shared" si="39"/>
        <v>5.423498713634106</v>
      </c>
      <c r="G373" s="67">
        <f>E373/'Lookup Tables'!$C$48</f>
        <v>178.63961507358718</v>
      </c>
      <c r="H373" s="70">
        <f t="shared" si="36"/>
        <v>5.1994810133479313E-2</v>
      </c>
      <c r="I373" s="71">
        <f t="shared" si="40"/>
        <v>0.25724104570596557</v>
      </c>
      <c r="L373" s="74"/>
      <c r="M373" s="74"/>
      <c r="N373" s="74"/>
      <c r="O373" s="74"/>
      <c r="P373" s="74"/>
      <c r="Q373" s="74"/>
      <c r="R373" s="74"/>
      <c r="S373" s="74"/>
      <c r="T373" s="74"/>
      <c r="U373" s="74"/>
      <c r="V373" s="74"/>
      <c r="W373" s="74"/>
      <c r="X373" s="74"/>
      <c r="Y373" s="74"/>
      <c r="Z373" s="74"/>
    </row>
    <row r="374" spans="1:26" x14ac:dyDescent="0.3">
      <c r="A374" s="66">
        <f t="shared" si="38"/>
        <v>2026.6999999999666</v>
      </c>
      <c r="B374" s="67">
        <f>LOOKUP(A374+0.01,Amounts!$A$4:$A$103,Amounts!$B$4:$B$103)*0.1*$A$2</f>
        <v>0</v>
      </c>
      <c r="C374" s="68">
        <f t="shared" si="37"/>
        <v>902907.24633514904</v>
      </c>
      <c r="D374" s="67">
        <f t="array" ref="D374">SUM($B$7:$B369*$F$1009*EXP(-$F$1009*($A374-$A$7:$A369)))*$F$1010</f>
        <v>46525496.667090029</v>
      </c>
      <c r="E374" s="67">
        <f t="shared" si="35"/>
        <v>88.696752122128771</v>
      </c>
      <c r="F374" s="70">
        <f t="shared" si="39"/>
        <v>5.3856667888556586</v>
      </c>
      <c r="G374" s="67">
        <f>E374/'Lookup Tables'!$C$48</f>
        <v>177.39350424425754</v>
      </c>
      <c r="H374" s="70">
        <f t="shared" si="36"/>
        <v>5.1632117368217934E-2</v>
      </c>
      <c r="I374" s="71">
        <f t="shared" si="40"/>
        <v>0.25544664611173085</v>
      </c>
      <c r="L374" s="74"/>
      <c r="M374" s="74"/>
      <c r="N374" s="74"/>
      <c r="O374" s="74"/>
      <c r="P374" s="74"/>
      <c r="Q374" s="74"/>
      <c r="R374" s="74"/>
      <c r="S374" s="74"/>
      <c r="T374" s="74"/>
      <c r="U374" s="74"/>
      <c r="V374" s="74"/>
      <c r="W374" s="74"/>
      <c r="X374" s="74"/>
      <c r="Y374" s="74"/>
      <c r="Z374" s="74"/>
    </row>
    <row r="375" spans="1:26" x14ac:dyDescent="0.3">
      <c r="A375" s="66">
        <f t="shared" si="38"/>
        <v>2026.7999999999665</v>
      </c>
      <c r="B375" s="67">
        <f>LOOKUP(A375+0.01,Amounts!$A$4:$A$103,Amounts!$B$4:$B$103)*0.1*$A$2</f>
        <v>0</v>
      </c>
      <c r="C375" s="68">
        <f t="shared" si="37"/>
        <v>902907.24633514904</v>
      </c>
      <c r="D375" s="67">
        <f t="array" ref="D375">SUM($B$7:$B370*$F$1009*EXP(-$F$1009*($A375-$A$7:$A370)))*$F$1010</f>
        <v>46200955.410029463</v>
      </c>
      <c r="E375" s="67">
        <f t="shared" si="35"/>
        <v>88.078042866064735</v>
      </c>
      <c r="F375" s="70">
        <f t="shared" si="39"/>
        <v>5.3480987628274503</v>
      </c>
      <c r="G375" s="67">
        <f>E375/'Lookup Tables'!$C$48</f>
        <v>176.15608573212947</v>
      </c>
      <c r="H375" s="70">
        <f t="shared" si="36"/>
        <v>5.1271954587038357E-2</v>
      </c>
      <c r="I375" s="71">
        <f t="shared" si="40"/>
        <v>0.25366476345426642</v>
      </c>
      <c r="L375" s="74"/>
      <c r="M375" s="74"/>
      <c r="N375" s="74"/>
      <c r="O375" s="74"/>
      <c r="P375" s="74"/>
      <c r="Q375" s="74"/>
      <c r="R375" s="74"/>
      <c r="S375" s="74"/>
      <c r="T375" s="74"/>
      <c r="U375" s="74"/>
      <c r="V375" s="74"/>
      <c r="W375" s="74"/>
      <c r="X375" s="74"/>
      <c r="Y375" s="74"/>
      <c r="Z375" s="74"/>
    </row>
    <row r="376" spans="1:26" x14ac:dyDescent="0.3">
      <c r="A376" s="66">
        <f t="shared" si="38"/>
        <v>2026.8999999999664</v>
      </c>
      <c r="B376" s="67">
        <f>LOOKUP(A376+0.01,Amounts!$A$4:$A$103,Amounts!$B$4:$B$103)*0.1*$A$2</f>
        <v>0</v>
      </c>
      <c r="C376" s="68">
        <f t="shared" si="37"/>
        <v>902907.24633514904</v>
      </c>
      <c r="D376" s="67">
        <f t="array" ref="D376">SUM($B$7:$B371*$F$1009*EXP(-$F$1009*($A376-$A$7:$A371)))*$F$1010</f>
        <v>45878678.00902804</v>
      </c>
      <c r="E376" s="67">
        <f t="shared" si="35"/>
        <v>87.463649451724109</v>
      </c>
      <c r="F376" s="70">
        <f t="shared" si="39"/>
        <v>5.3107927947086884</v>
      </c>
      <c r="G376" s="67">
        <f>E376/'Lookup Tables'!$C$48</f>
        <v>174.92729890344822</v>
      </c>
      <c r="H376" s="70">
        <f t="shared" si="36"/>
        <v>5.0914304141892242E-2</v>
      </c>
      <c r="I376" s="71">
        <f t="shared" si="40"/>
        <v>0.25189531042096547</v>
      </c>
      <c r="L376" s="74"/>
      <c r="M376" s="74"/>
      <c r="N376" s="74"/>
      <c r="O376" s="74"/>
      <c r="P376" s="74"/>
      <c r="Q376" s="74"/>
      <c r="R376" s="74"/>
      <c r="S376" s="74"/>
      <c r="T376" s="74"/>
      <c r="U376" s="74"/>
      <c r="V376" s="74"/>
      <c r="W376" s="74"/>
      <c r="X376" s="74"/>
      <c r="Y376" s="74"/>
      <c r="Z376" s="74"/>
    </row>
    <row r="377" spans="1:26" x14ac:dyDescent="0.3">
      <c r="A377" s="66">
        <f t="shared" si="38"/>
        <v>2026.9999999999663</v>
      </c>
      <c r="B377" s="67">
        <f>LOOKUP(A377+0.01,Amounts!$A$4:$A$103,Amounts!$B$4:$B$103)*0.1*$A$2</f>
        <v>0</v>
      </c>
      <c r="C377" s="68">
        <f t="shared" si="37"/>
        <v>902907.24633514904</v>
      </c>
      <c r="D377" s="67">
        <f t="array" ref="D377">SUM($B$7:$B372*$F$1009*EXP(-$F$1009*($A377-$A$7:$A372)))*$F$1010</f>
        <v>45558648.67242863</v>
      </c>
      <c r="E377" s="67">
        <f t="shared" si="35"/>
        <v>86.853541773706652</v>
      </c>
      <c r="F377" s="70">
        <f t="shared" si="39"/>
        <v>5.2737470564994684</v>
      </c>
      <c r="G377" s="67">
        <f>E377/'Lookup Tables'!$C$48</f>
        <v>173.7070835474133</v>
      </c>
      <c r="H377" s="70">
        <f t="shared" si="36"/>
        <v>5.0559148507836174E-2</v>
      </c>
      <c r="I377" s="71">
        <f t="shared" si="40"/>
        <v>0.25013820030827516</v>
      </c>
      <c r="L377" s="74"/>
      <c r="M377" s="74"/>
      <c r="N377" s="74"/>
      <c r="O377" s="74"/>
      <c r="P377" s="74"/>
      <c r="Q377" s="74"/>
      <c r="R377" s="74"/>
      <c r="S377" s="74"/>
      <c r="T377" s="74"/>
      <c r="U377" s="74"/>
      <c r="V377" s="74"/>
      <c r="W377" s="74"/>
      <c r="X377" s="74"/>
      <c r="Y377" s="74"/>
      <c r="Z377" s="74"/>
    </row>
    <row r="378" spans="1:26" x14ac:dyDescent="0.3">
      <c r="A378" s="66">
        <f t="shared" si="38"/>
        <v>2027.0999999999663</v>
      </c>
      <c r="B378" s="67">
        <f>LOOKUP(A378+0.01,Amounts!$A$4:$A$103,Amounts!$B$4:$B$103)*0.1*$A$2</f>
        <v>0</v>
      </c>
      <c r="C378" s="68">
        <f t="shared" si="37"/>
        <v>902907.24633514904</v>
      </c>
      <c r="D378" s="67">
        <f t="array" ref="D378">SUM($B$7:$B373*$F$1009*EXP(-$F$1009*($A378-$A$7:$A373)))*$F$1010</f>
        <v>45240851.71872969</v>
      </c>
      <c r="E378" s="67">
        <f t="shared" si="35"/>
        <v>86.247689936614037</v>
      </c>
      <c r="F378" s="70">
        <f t="shared" si="39"/>
        <v>5.2369597329512043</v>
      </c>
      <c r="G378" s="67">
        <f>E378/'Lookup Tables'!$C$48</f>
        <v>172.49537987322807</v>
      </c>
      <c r="H378" s="70">
        <f t="shared" si="36"/>
        <v>5.0206470282173017E-2</v>
      </c>
      <c r="I378" s="71">
        <f t="shared" si="40"/>
        <v>0.24839334701744842</v>
      </c>
      <c r="L378" s="74"/>
      <c r="M378" s="74"/>
      <c r="N378" s="74"/>
      <c r="O378" s="74"/>
      <c r="P378" s="74"/>
      <c r="Q378" s="74"/>
      <c r="R378" s="74"/>
      <c r="S378" s="74"/>
      <c r="T378" s="74"/>
      <c r="U378" s="74"/>
      <c r="V378" s="74"/>
      <c r="W378" s="74"/>
      <c r="X378" s="74"/>
      <c r="Y378" s="74"/>
      <c r="Z378" s="74"/>
    </row>
    <row r="379" spans="1:26" x14ac:dyDescent="0.3">
      <c r="A379" s="66">
        <f t="shared" si="38"/>
        <v>2027.1999999999662</v>
      </c>
      <c r="B379" s="67">
        <f>LOOKUP(A379+0.01,Amounts!$A$4:$A$103,Amounts!$B$4:$B$103)*0.1*$A$2</f>
        <v>0</v>
      </c>
      <c r="C379" s="68">
        <f t="shared" si="37"/>
        <v>902907.24633514904</v>
      </c>
      <c r="D379" s="67">
        <f t="array" ref="D379">SUM($B$7:$B374*$F$1009*EXP(-$F$1009*($A379-$A$7:$A374)))*$F$1010</f>
        <v>44925271.575816914</v>
      </c>
      <c r="E379" s="67">
        <f t="shared" si="35"/>
        <v>85.646064253585067</v>
      </c>
      <c r="F379" s="70">
        <f t="shared" si="39"/>
        <v>5.2004290214776852</v>
      </c>
      <c r="G379" s="67">
        <f>E379/'Lookup Tables'!$C$48</f>
        <v>171.29212850717013</v>
      </c>
      <c r="H379" s="70">
        <f t="shared" si="36"/>
        <v>4.9856252183599195E-2</v>
      </c>
      <c r="I379" s="71">
        <f t="shared" si="40"/>
        <v>0.246660665050325</v>
      </c>
      <c r="L379" s="74"/>
      <c r="M379" s="74"/>
      <c r="N379" s="74"/>
      <c r="O379" s="74"/>
      <c r="P379" s="74"/>
      <c r="Q379" s="74"/>
      <c r="R379" s="74"/>
      <c r="S379" s="74"/>
      <c r="T379" s="74"/>
      <c r="U379" s="74"/>
      <c r="V379" s="74"/>
      <c r="W379" s="74"/>
      <c r="X379" s="74"/>
      <c r="Y379" s="74"/>
      <c r="Z379" s="74"/>
    </row>
    <row r="380" spans="1:26" x14ac:dyDescent="0.3">
      <c r="A380" s="66">
        <f t="shared" si="38"/>
        <v>2027.2999999999661</v>
      </c>
      <c r="B380" s="67">
        <f>LOOKUP(A380+0.01,Amounts!$A$4:$A$103,Amounts!$B$4:$B$103)*0.1*$A$2</f>
        <v>0</v>
      </c>
      <c r="C380" s="68">
        <f t="shared" si="37"/>
        <v>902907.24633514904</v>
      </c>
      <c r="D380" s="67">
        <f t="array" ref="D380">SUM($B$7:$B375*$F$1009*EXP(-$F$1009*($A380-$A$7:$A375)))*$F$1010</f>
        <v>44611892.780200176</v>
      </c>
      <c r="E380" s="67">
        <f t="shared" si="35"/>
        <v>85.048635244840909</v>
      </c>
      <c r="F380" s="70">
        <f t="shared" si="39"/>
        <v>5.1641531320667404</v>
      </c>
      <c r="G380" s="67">
        <f>E380/'Lookup Tables'!$C$48</f>
        <v>170.09727048968182</v>
      </c>
      <c r="H380" s="70">
        <f t="shared" si="36"/>
        <v>4.9508477051357788E-2</v>
      </c>
      <c r="I380" s="71">
        <f t="shared" si="40"/>
        <v>0.24494006950514183</v>
      </c>
      <c r="L380" s="74"/>
      <c r="M380" s="74"/>
      <c r="N380" s="74"/>
      <c r="O380" s="74"/>
      <c r="P380" s="74"/>
      <c r="Q380" s="74"/>
      <c r="R380" s="74"/>
      <c r="S380" s="74"/>
      <c r="T380" s="74"/>
      <c r="U380" s="74"/>
      <c r="V380" s="74"/>
      <c r="W380" s="74"/>
      <c r="X380" s="74"/>
      <c r="Y380" s="74"/>
      <c r="Z380" s="74"/>
    </row>
    <row r="381" spans="1:26" x14ac:dyDescent="0.3">
      <c r="A381" s="66">
        <f t="shared" si="38"/>
        <v>2027.399999999966</v>
      </c>
      <c r="B381" s="67">
        <f>LOOKUP(A381+0.01,Amounts!$A$4:$A$103,Amounts!$B$4:$B$103)*0.1*$A$2</f>
        <v>0</v>
      </c>
      <c r="C381" s="68">
        <f t="shared" si="37"/>
        <v>902907.24633514904</v>
      </c>
      <c r="D381" s="67">
        <f t="array" ref="D381">SUM($B$7:$B376*$F$1009*EXP(-$F$1009*($A381-$A$7:$A376)))*$F$1010</f>
        <v>44300699.976255782</v>
      </c>
      <c r="E381" s="67">
        <f t="shared" si="35"/>
        <v>84.455373636240594</v>
      </c>
      <c r="F381" s="70">
        <f t="shared" si="39"/>
        <v>5.1281302871925281</v>
      </c>
      <c r="G381" s="67">
        <f>E381/'Lookup Tables'!$C$48</f>
        <v>168.91074727248119</v>
      </c>
      <c r="H381" s="70">
        <f t="shared" si="36"/>
        <v>4.9163127844397733E-2</v>
      </c>
      <c r="I381" s="71">
        <f t="shared" si="40"/>
        <v>0.24323147607237289</v>
      </c>
      <c r="L381" s="74"/>
      <c r="M381" s="74"/>
      <c r="N381" s="74"/>
      <c r="O381" s="74"/>
      <c r="P381" s="74"/>
      <c r="Q381" s="74"/>
      <c r="R381" s="74"/>
      <c r="S381" s="74"/>
      <c r="T381" s="74"/>
      <c r="U381" s="74"/>
      <c r="V381" s="74"/>
      <c r="W381" s="74"/>
      <c r="X381" s="74"/>
      <c r="Y381" s="74"/>
      <c r="Z381" s="74"/>
    </row>
    <row r="382" spans="1:26" x14ac:dyDescent="0.3">
      <c r="A382" s="66">
        <f t="shared" si="38"/>
        <v>2027.4999999999659</v>
      </c>
      <c r="B382" s="67">
        <f>LOOKUP(A382+0.01,Amounts!$A$4:$A$103,Amounts!$B$4:$B$103)*0.1*$A$2</f>
        <v>0</v>
      </c>
      <c r="C382" s="68">
        <f t="shared" si="37"/>
        <v>902907.24633514904</v>
      </c>
      <c r="D382" s="67">
        <f t="array" ref="D382">SUM($B$7:$B377*$F$1009*EXP(-$F$1009*($A382-$A$7:$A377)))*$F$1010</f>
        <v>43991677.91547405</v>
      </c>
      <c r="E382" s="67">
        <f t="shared" si="35"/>
        <v>83.866250357846567</v>
      </c>
      <c r="F382" s="70">
        <f t="shared" si="39"/>
        <v>5.0923587217284432</v>
      </c>
      <c r="G382" s="67">
        <f>E382/'Lookup Tables'!$C$48</f>
        <v>167.73250071569313</v>
      </c>
      <c r="H382" s="70">
        <f t="shared" si="36"/>
        <v>4.882018764053879E-2</v>
      </c>
      <c r="I382" s="71">
        <f t="shared" si="40"/>
        <v>0.24153480103059813</v>
      </c>
      <c r="L382" s="74"/>
      <c r="M382" s="74"/>
      <c r="N382" s="74"/>
      <c r="O382" s="74"/>
      <c r="P382" s="74"/>
      <c r="Q382" s="74"/>
      <c r="R382" s="74"/>
      <c r="S382" s="74"/>
      <c r="T382" s="74"/>
      <c r="U382" s="74"/>
      <c r="V382" s="74"/>
      <c r="W382" s="74"/>
      <c r="X382" s="74"/>
      <c r="Y382" s="74"/>
      <c r="Z382" s="74"/>
    </row>
    <row r="383" spans="1:26" x14ac:dyDescent="0.3">
      <c r="A383" s="66">
        <f t="shared" si="38"/>
        <v>2027.5999999999658</v>
      </c>
      <c r="B383" s="67">
        <f>LOOKUP(A383+0.01,Amounts!$A$4:$A$103,Amounts!$B$4:$B$103)*0.1*$A$2</f>
        <v>0</v>
      </c>
      <c r="C383" s="68">
        <f t="shared" si="37"/>
        <v>902907.24633514904</v>
      </c>
      <c r="D383" s="67">
        <f t="array" ref="D383">SUM($B$7:$B378*$F$1009*EXP(-$F$1009*($A383-$A$7:$A378)))*$F$1010</f>
        <v>43684811.455712207</v>
      </c>
      <c r="E383" s="67">
        <f t="shared" si="35"/>
        <v>83.281236542500352</v>
      </c>
      <c r="F383" s="70">
        <f t="shared" si="39"/>
        <v>5.056836682860621</v>
      </c>
      <c r="G383" s="67">
        <f>E383/'Lookup Tables'!$C$48</f>
        <v>166.5624730850007</v>
      </c>
      <c r="H383" s="70">
        <f t="shared" si="36"/>
        <v>4.8479639635642349E-2</v>
      </c>
      <c r="I383" s="71">
        <f t="shared" si="40"/>
        <v>0.23984996124240099</v>
      </c>
      <c r="L383" s="74"/>
      <c r="M383" s="74"/>
      <c r="N383" s="74"/>
      <c r="O383" s="74"/>
      <c r="P383" s="74"/>
      <c r="Q383" s="74"/>
      <c r="R383" s="74"/>
      <c r="S383" s="74"/>
      <c r="T383" s="74"/>
      <c r="U383" s="74"/>
      <c r="V383" s="74"/>
      <c r="W383" s="74"/>
      <c r="X383" s="74"/>
      <c r="Y383" s="74"/>
      <c r="Z383" s="74"/>
    </row>
    <row r="384" spans="1:26" x14ac:dyDescent="0.3">
      <c r="A384" s="66">
        <f t="shared" si="38"/>
        <v>2027.6999999999657</v>
      </c>
      <c r="B384" s="67">
        <f>LOOKUP(A384+0.01,Amounts!$A$4:$A$103,Amounts!$B$4:$B$103)*0.1*$A$2</f>
        <v>0</v>
      </c>
      <c r="C384" s="68">
        <f t="shared" si="37"/>
        <v>902907.24633514904</v>
      </c>
      <c r="D384" s="67">
        <f t="array" ref="D384">SUM($B$7:$B379*$F$1009*EXP(-$F$1009*($A384-$A$7:$A379)))*$F$1010</f>
        <v>43380085.560452305</v>
      </c>
      <c r="E384" s="67">
        <f t="shared" si="35"/>
        <v>82.700303524407943</v>
      </c>
      <c r="F384" s="70">
        <f t="shared" si="39"/>
        <v>5.0215624300020503</v>
      </c>
      <c r="G384" s="67">
        <f>E384/'Lookup Tables'!$C$48</f>
        <v>165.40060704881589</v>
      </c>
      <c r="H384" s="70">
        <f t="shared" si="36"/>
        <v>4.8141467142788053E-2</v>
      </c>
      <c r="I384" s="71">
        <f t="shared" si="40"/>
        <v>0.23817687415029487</v>
      </c>
      <c r="L384" s="74"/>
      <c r="M384" s="74"/>
      <c r="N384" s="74"/>
      <c r="O384" s="74"/>
      <c r="P384" s="74"/>
      <c r="Q384" s="74"/>
      <c r="R384" s="74"/>
      <c r="S384" s="74"/>
      <c r="T384" s="74"/>
      <c r="U384" s="74"/>
      <c r="V384" s="74"/>
      <c r="W384" s="74"/>
      <c r="X384" s="74"/>
      <c r="Y384" s="74"/>
      <c r="Z384" s="74"/>
    </row>
    <row r="385" spans="1:26" x14ac:dyDescent="0.3">
      <c r="A385" s="66">
        <f t="shared" si="38"/>
        <v>2027.7999999999656</v>
      </c>
      <c r="B385" s="67">
        <f>LOOKUP(A385+0.01,Amounts!$A$4:$A$103,Amounts!$B$4:$B$103)*0.1*$A$2</f>
        <v>0</v>
      </c>
      <c r="C385" s="68">
        <f t="shared" si="37"/>
        <v>902907.24633514904</v>
      </c>
      <c r="D385" s="67">
        <f t="array" ref="D385">SUM($B$7:$B380*$F$1009*EXP(-$F$1009*($A385-$A$7:$A380)))*$F$1010</f>
        <v>43077485.2980645</v>
      </c>
      <c r="E385" s="67">
        <f t="shared" si="35"/>
        <v>82.123422837735177</v>
      </c>
      <c r="F385" s="70">
        <f t="shared" si="39"/>
        <v>4.9865342347072801</v>
      </c>
      <c r="G385" s="67">
        <f>E385/'Lookup Tables'!$C$48</f>
        <v>164.24684567547035</v>
      </c>
      <c r="H385" s="70">
        <f t="shared" si="36"/>
        <v>4.780565359145604E-2</v>
      </c>
      <c r="I385" s="71">
        <f t="shared" si="40"/>
        <v>0.2365154577726773</v>
      </c>
      <c r="L385" s="74"/>
      <c r="M385" s="74"/>
      <c r="N385" s="74"/>
      <c r="O385" s="74"/>
      <c r="P385" s="74"/>
      <c r="Q385" s="74"/>
      <c r="R385" s="74"/>
      <c r="S385" s="74"/>
      <c r="T385" s="74"/>
      <c r="U385" s="74"/>
      <c r="V385" s="74"/>
      <c r="W385" s="74"/>
      <c r="X385" s="74"/>
      <c r="Y385" s="74"/>
      <c r="Z385" s="74"/>
    </row>
    <row r="386" spans="1:26" x14ac:dyDescent="0.3">
      <c r="A386" s="66">
        <f t="shared" si="38"/>
        <v>2027.8999999999655</v>
      </c>
      <c r="B386" s="67">
        <f>LOOKUP(A386+0.01,Amounts!$A$4:$A$103,Amounts!$B$4:$B$103)*0.1*$A$2</f>
        <v>0</v>
      </c>
      <c r="C386" s="68">
        <f t="shared" si="37"/>
        <v>902907.24633514904</v>
      </c>
      <c r="D386" s="67">
        <f t="array" ref="D386">SUM($B$7:$B381*$F$1009*EXP(-$F$1009*($A386-$A$7:$A381)))*$F$1010</f>
        <v>42776995.841075398</v>
      </c>
      <c r="E386" s="67">
        <f t="shared" si="35"/>
        <v>81.550566215213024</v>
      </c>
      <c r="F386" s="70">
        <f t="shared" si="39"/>
        <v>4.9517503805877352</v>
      </c>
      <c r="G386" s="67">
        <f>E386/'Lookup Tables'!$C$48</f>
        <v>163.10113243042605</v>
      </c>
      <c r="H386" s="70">
        <f t="shared" si="36"/>
        <v>4.7472182526715166E-2</v>
      </c>
      <c r="I386" s="71">
        <f t="shared" si="40"/>
        <v>0.23486563069981353</v>
      </c>
      <c r="L386" s="74"/>
      <c r="M386" s="74"/>
      <c r="N386" s="74"/>
      <c r="O386" s="74"/>
      <c r="P386" s="74"/>
      <c r="Q386" s="74"/>
      <c r="R386" s="74"/>
      <c r="S386" s="74"/>
      <c r="T386" s="74"/>
      <c r="U386" s="74"/>
      <c r="V386" s="74"/>
      <c r="W386" s="74"/>
      <c r="X386" s="74"/>
      <c r="Y386" s="74"/>
      <c r="Z386" s="74"/>
    </row>
    <row r="387" spans="1:26" x14ac:dyDescent="0.3">
      <c r="A387" s="66">
        <f t="shared" si="38"/>
        <v>2027.9999999999654</v>
      </c>
      <c r="B387" s="67">
        <f>LOOKUP(A387+0.01,Amounts!$A$4:$A$103,Amounts!$B$4:$B$103)*0.1*$A$2</f>
        <v>0</v>
      </c>
      <c r="C387" s="68">
        <f t="shared" si="37"/>
        <v>902907.24633514904</v>
      </c>
      <c r="D387" s="67">
        <f t="array" ref="D387">SUM($B$7:$B382*$F$1009*EXP(-$F$1009*($A387-$A$7:$A382)))*$F$1010</f>
        <v>42478602.46544148</v>
      </c>
      <c r="E387" s="67">
        <f t="shared" si="35"/>
        <v>80.981705586752327</v>
      </c>
      <c r="F387" s="70">
        <f t="shared" si="39"/>
        <v>4.9172091632276018</v>
      </c>
      <c r="G387" s="67">
        <f>E387/'Lookup Tables'!$C$48</f>
        <v>161.96341117350465</v>
      </c>
      <c r="H387" s="70">
        <f t="shared" si="36"/>
        <v>4.7141037608416481E-2</v>
      </c>
      <c r="I387" s="71">
        <f t="shared" si="40"/>
        <v>0.23322731208984671</v>
      </c>
      <c r="L387" s="74"/>
      <c r="M387" s="74"/>
      <c r="N387" s="74"/>
      <c r="O387" s="74"/>
      <c r="P387" s="74"/>
      <c r="Q387" s="74"/>
      <c r="R387" s="74"/>
      <c r="S387" s="74"/>
      <c r="T387" s="74"/>
      <c r="U387" s="74"/>
      <c r="V387" s="74"/>
      <c r="W387" s="74"/>
      <c r="X387" s="74"/>
      <c r="Y387" s="74"/>
      <c r="Z387" s="74"/>
    </row>
    <row r="388" spans="1:26" x14ac:dyDescent="0.3">
      <c r="A388" s="66">
        <f t="shared" si="38"/>
        <v>2028.0999999999653</v>
      </c>
      <c r="B388" s="67">
        <f>LOOKUP(A388+0.01,Amounts!$A$4:$A$103,Amounts!$B$4:$B$103)*0.1*$A$2</f>
        <v>0</v>
      </c>
      <c r="C388" s="68">
        <f t="shared" si="37"/>
        <v>902907.24633514904</v>
      </c>
      <c r="D388" s="67">
        <f t="array" ref="D388">SUM($B$7:$B383*$F$1009*EXP(-$F$1009*($A388-$A$7:$A383)))*$F$1010</f>
        <v>42182290.54982765</v>
      </c>
      <c r="E388" s="67">
        <f t="shared" si="35"/>
        <v>80.4168130780685</v>
      </c>
      <c r="F388" s="70">
        <f t="shared" si="39"/>
        <v>4.8829088901003193</v>
      </c>
      <c r="G388" s="67">
        <f>E388/'Lookup Tables'!$C$48</f>
        <v>160.833626156137</v>
      </c>
      <c r="H388" s="70">
        <f t="shared" si="36"/>
        <v>4.6812202610392761E-2</v>
      </c>
      <c r="I388" s="71">
        <f t="shared" si="40"/>
        <v>0.23160042166483727</v>
      </c>
      <c r="L388" s="74"/>
      <c r="M388" s="74"/>
      <c r="N388" s="74"/>
      <c r="O388" s="74"/>
      <c r="P388" s="74"/>
      <c r="Q388" s="74"/>
      <c r="R388" s="74"/>
      <c r="S388" s="74"/>
      <c r="T388" s="74"/>
      <c r="U388" s="74"/>
      <c r="V388" s="74"/>
      <c r="W388" s="74"/>
      <c r="X388" s="74"/>
      <c r="Y388" s="74"/>
      <c r="Z388" s="74"/>
    </row>
    <row r="389" spans="1:26" x14ac:dyDescent="0.3">
      <c r="A389" s="66">
        <f t="shared" si="38"/>
        <v>2028.1999999999653</v>
      </c>
      <c r="B389" s="67">
        <f>LOOKUP(A389+0.01,Amounts!$A$4:$A$103,Amounts!$B$4:$B$103)*0.1*$A$2</f>
        <v>0</v>
      </c>
      <c r="C389" s="68">
        <f t="shared" si="37"/>
        <v>902907.24633514904</v>
      </c>
      <c r="D389" s="67">
        <f t="array" ref="D389">SUM($B$7:$B384*$F$1009*EXP(-$F$1009*($A389-$A$7:$A384)))*$F$1010</f>
        <v>41888045.574890733</v>
      </c>
      <c r="E389" s="67">
        <f t="shared" si="35"/>
        <v>79.855861009315575</v>
      </c>
      <c r="F389" s="70">
        <f t="shared" si="39"/>
        <v>4.8488478804856419</v>
      </c>
      <c r="G389" s="67">
        <f>E389/'Lookup Tables'!$C$48</f>
        <v>159.71172201863115</v>
      </c>
      <c r="H389" s="70">
        <f t="shared" si="36"/>
        <v>4.6485661419663302E-2</v>
      </c>
      <c r="I389" s="71">
        <f t="shared" si="40"/>
        <v>0.22998487970682885</v>
      </c>
      <c r="L389" s="74"/>
      <c r="M389" s="74"/>
      <c r="N389" s="74"/>
      <c r="O389" s="74"/>
      <c r="P389" s="74"/>
      <c r="Q389" s="74"/>
      <c r="R389" s="74"/>
      <c r="S389" s="74"/>
      <c r="T389" s="74"/>
      <c r="U389" s="74"/>
      <c r="V389" s="74"/>
      <c r="W389" s="74"/>
      <c r="X389" s="74"/>
      <c r="Y389" s="74"/>
      <c r="Z389" s="74"/>
    </row>
    <row r="390" spans="1:26" x14ac:dyDescent="0.3">
      <c r="A390" s="66">
        <f t="shared" si="38"/>
        <v>2028.2999999999652</v>
      </c>
      <c r="B390" s="67">
        <f>LOOKUP(A390+0.01,Amounts!$A$4:$A$103,Amounts!$B$4:$B$103)*0.1*$A$2</f>
        <v>0</v>
      </c>
      <c r="C390" s="68">
        <f t="shared" si="37"/>
        <v>902907.24633514904</v>
      </c>
      <c r="D390" s="67">
        <f t="array" ref="D390">SUM($B$7:$B385*$F$1009*EXP(-$F$1009*($A390-$A$7:$A385)))*$F$1010</f>
        <v>41595853.122568108</v>
      </c>
      <c r="E390" s="67">
        <f t="shared" si="35"/>
        <v>79.298821893729979</v>
      </c>
      <c r="F390" s="70">
        <f t="shared" si="39"/>
        <v>4.8150244653872836</v>
      </c>
      <c r="G390" s="67">
        <f>E390/'Lookup Tables'!$C$48</f>
        <v>158.59764378745996</v>
      </c>
      <c r="H390" s="70">
        <f t="shared" si="36"/>
        <v>4.6161398035644438E-2</v>
      </c>
      <c r="I390" s="71">
        <f t="shared" si="40"/>
        <v>0.22838060705394234</v>
      </c>
      <c r="L390" s="74"/>
      <c r="M390" s="74"/>
      <c r="N390" s="74"/>
      <c r="O390" s="74"/>
      <c r="P390" s="74"/>
      <c r="Q390" s="74"/>
      <c r="R390" s="74"/>
      <c r="S390" s="74"/>
      <c r="T390" s="74"/>
      <c r="U390" s="74"/>
      <c r="V390" s="74"/>
      <c r="W390" s="74"/>
      <c r="X390" s="74"/>
      <c r="Y390" s="74"/>
      <c r="Z390" s="74"/>
    </row>
    <row r="391" spans="1:26" x14ac:dyDescent="0.3">
      <c r="A391" s="66">
        <f t="shared" si="38"/>
        <v>2028.3999999999651</v>
      </c>
      <c r="B391" s="67">
        <f>LOOKUP(A391+0.01,Amounts!$A$4:$A$103,Amounts!$B$4:$B$103)*0.1*$A$2</f>
        <v>0</v>
      </c>
      <c r="C391" s="68">
        <f t="shared" si="37"/>
        <v>902907.24633514904</v>
      </c>
      <c r="D391" s="67">
        <f t="array" ref="D391">SUM($B$7:$B386*$F$1009*EXP(-$F$1009*($A391-$A$7:$A386)))*$F$1010</f>
        <v>41305698.875371106</v>
      </c>
      <c r="E391" s="67">
        <f t="shared" ref="E391:E454" si="41">D391/(365*24*60)*1.00201</f>
        <v>78.745668436283495</v>
      </c>
      <c r="F391" s="70">
        <f t="shared" si="39"/>
        <v>4.7814369874511344</v>
      </c>
      <c r="G391" s="67">
        <f>E391/'Lookup Tables'!$C$48</f>
        <v>157.49133687256699</v>
      </c>
      <c r="H391" s="70">
        <f t="shared" ref="H391:H454" si="42">G391*60*24*365/(C391*2000)</f>
        <v>4.5839396569365413E-2</v>
      </c>
      <c r="I391" s="71">
        <f t="shared" si="40"/>
        <v>0.22678752509649644</v>
      </c>
      <c r="L391" s="74"/>
      <c r="M391" s="74"/>
      <c r="N391" s="74"/>
      <c r="O391" s="74"/>
      <c r="P391" s="74"/>
      <c r="Q391" s="74"/>
      <c r="R391" s="74"/>
      <c r="S391" s="74"/>
      <c r="T391" s="74"/>
      <c r="U391" s="74"/>
      <c r="V391" s="74"/>
      <c r="W391" s="74"/>
      <c r="X391" s="74"/>
      <c r="Y391" s="74"/>
      <c r="Z391" s="74"/>
    </row>
    <row r="392" spans="1:26" x14ac:dyDescent="0.3">
      <c r="A392" s="66">
        <f t="shared" si="38"/>
        <v>2028.499999999965</v>
      </c>
      <c r="B392" s="67">
        <f>LOOKUP(A392+0.01,Amounts!$A$4:$A$103,Amounts!$B$4:$B$103)*0.1*$A$2</f>
        <v>0</v>
      </c>
      <c r="C392" s="68">
        <f t="shared" si="37"/>
        <v>902907.24633514904</v>
      </c>
      <c r="D392" s="67">
        <f t="array" ref="D392">SUM($B$7:$B387*$F$1009*EXP(-$F$1009*($A392-$A$7:$A387)))*$F$1010</f>
        <v>41017568.615683608</v>
      </c>
      <c r="E392" s="67">
        <f t="shared" si="41"/>
        <v>78.196373532346144</v>
      </c>
      <c r="F392" s="70">
        <f t="shared" si="39"/>
        <v>4.748083800884058</v>
      </c>
      <c r="G392" s="67">
        <f>E392/'Lookup Tables'!$C$48</f>
        <v>156.39274706469229</v>
      </c>
      <c r="H392" s="70">
        <f t="shared" si="42"/>
        <v>4.551964124269002E-2</v>
      </c>
      <c r="I392" s="71">
        <f t="shared" si="40"/>
        <v>0.2252055557731569</v>
      </c>
      <c r="L392" s="74"/>
      <c r="M392" s="74"/>
      <c r="N392" s="74"/>
      <c r="O392" s="74"/>
      <c r="P392" s="74"/>
      <c r="Q392" s="74"/>
      <c r="R392" s="74"/>
      <c r="S392" s="74"/>
      <c r="T392" s="74"/>
      <c r="U392" s="74"/>
      <c r="V392" s="74"/>
      <c r="W392" s="74"/>
      <c r="X392" s="74"/>
      <c r="Y392" s="74"/>
      <c r="Z392" s="74"/>
    </row>
    <row r="393" spans="1:26" x14ac:dyDescent="0.3">
      <c r="A393" s="66">
        <f t="shared" si="38"/>
        <v>2028.5999999999649</v>
      </c>
      <c r="B393" s="67">
        <f>LOOKUP(A393+0.01,Amounts!$A$4:$A$103,Amounts!$B$4:$B$103)*0.1*$A$2</f>
        <v>0</v>
      </c>
      <c r="C393" s="68">
        <f t="shared" ref="C393:C456" si="43">C392+B393</f>
        <v>902907.24633514904</v>
      </c>
      <c r="D393" s="67">
        <f t="array" ref="D393">SUM($B$7:$B388*$F$1009*EXP(-$F$1009*($A393-$A$7:$A388)))*$F$1010</f>
        <v>40731448.225065224</v>
      </c>
      <c r="E393" s="67">
        <f t="shared" si="41"/>
        <v>77.650910266357698</v>
      </c>
      <c r="F393" s="70">
        <f t="shared" si="39"/>
        <v>4.7149632713732395</v>
      </c>
      <c r="G393" s="67">
        <f>E393/'Lookup Tables'!$C$48</f>
        <v>155.3018205327154</v>
      </c>
      <c r="H393" s="70">
        <f t="shared" si="42"/>
        <v>4.5202116387543269E-2</v>
      </c>
      <c r="I393" s="71">
        <f t="shared" si="40"/>
        <v>0.22363462156711017</v>
      </c>
      <c r="L393" s="74"/>
      <c r="M393" s="74"/>
      <c r="N393" s="74"/>
      <c r="O393" s="74"/>
      <c r="P393" s="74"/>
      <c r="Q393" s="74"/>
      <c r="R393" s="74"/>
      <c r="S393" s="74"/>
      <c r="T393" s="74"/>
      <c r="U393" s="74"/>
      <c r="V393" s="74"/>
      <c r="W393" s="74"/>
      <c r="X393" s="74"/>
      <c r="Y393" s="74"/>
      <c r="Z393" s="74"/>
    </row>
    <row r="394" spans="1:26" x14ac:dyDescent="0.3">
      <c r="A394" s="66">
        <f t="shared" si="38"/>
        <v>2028.6999999999648</v>
      </c>
      <c r="B394" s="67">
        <f>LOOKUP(A394+0.01,Amounts!$A$4:$A$103,Amounts!$B$4:$B$103)*0.1*$A$2</f>
        <v>0</v>
      </c>
      <c r="C394" s="68">
        <f t="shared" si="43"/>
        <v>902907.24633514904</v>
      </c>
      <c r="D394" s="67">
        <f t="array" ref="D394">SUM($B$7:$B389*$F$1009*EXP(-$F$1009*($A394-$A$7:$A389)))*$F$1010</f>
        <v>40447323.683559544</v>
      </c>
      <c r="E394" s="67">
        <f t="shared" si="41"/>
        <v>77.109251910508945</v>
      </c>
      <c r="F394" s="70">
        <f t="shared" si="39"/>
        <v>4.6820737760061037</v>
      </c>
      <c r="G394" s="67">
        <f>E394/'Lookup Tables'!$C$48</f>
        <v>154.21850382101789</v>
      </c>
      <c r="H394" s="70">
        <f t="shared" si="42"/>
        <v>4.488680644514368E-2</v>
      </c>
      <c r="I394" s="71">
        <f t="shared" si="40"/>
        <v>0.22207464550226577</v>
      </c>
      <c r="L394" s="74"/>
      <c r="M394" s="74"/>
      <c r="N394" s="74"/>
      <c r="O394" s="74"/>
      <c r="P394" s="74"/>
      <c r="Q394" s="74"/>
      <c r="R394" s="74"/>
      <c r="S394" s="74"/>
      <c r="T394" s="74"/>
      <c r="U394" s="74"/>
      <c r="V394" s="74"/>
      <c r="W394" s="74"/>
      <c r="X394" s="74"/>
      <c r="Y394" s="74"/>
      <c r="Z394" s="74"/>
    </row>
    <row r="395" spans="1:26" x14ac:dyDescent="0.3">
      <c r="A395" s="66">
        <f t="shared" si="38"/>
        <v>2028.7999999999647</v>
      </c>
      <c r="B395" s="67">
        <f>LOOKUP(A395+0.01,Amounts!$A$4:$A$103,Amounts!$B$4:$B$103)*0.1*$A$2</f>
        <v>0</v>
      </c>
      <c r="C395" s="68">
        <f t="shared" si="43"/>
        <v>902907.24633514904</v>
      </c>
      <c r="D395" s="67">
        <f t="array" ref="D395">SUM($B$7:$B390*$F$1009*EXP(-$F$1009*($A395-$A$7:$A390)))*$F$1010</f>
        <v>40165181.069007218</v>
      </c>
      <c r="E395" s="67">
        <f t="shared" si="41"/>
        <v>76.571371923432125</v>
      </c>
      <c r="F395" s="70">
        <f t="shared" si="39"/>
        <v>4.6494137031907989</v>
      </c>
      <c r="G395" s="67">
        <f>E395/'Lookup Tables'!$C$48</f>
        <v>153.14274384686425</v>
      </c>
      <c r="H395" s="70">
        <f t="shared" si="42"/>
        <v>4.4573695965241036E-2</v>
      </c>
      <c r="I395" s="71">
        <f t="shared" si="40"/>
        <v>0.22052555113948455</v>
      </c>
      <c r="L395" s="74"/>
      <c r="M395" s="74"/>
      <c r="N395" s="74"/>
      <c r="O395" s="74"/>
      <c r="P395" s="74"/>
      <c r="Q395" s="74"/>
      <c r="R395" s="74"/>
      <c r="S395" s="74"/>
      <c r="T395" s="74"/>
      <c r="U395" s="74"/>
      <c r="V395" s="74"/>
      <c r="W395" s="74"/>
      <c r="X395" s="74"/>
      <c r="Y395" s="74"/>
      <c r="Z395" s="74"/>
    </row>
    <row r="396" spans="1:26" x14ac:dyDescent="0.3">
      <c r="A396" s="66">
        <f t="shared" si="38"/>
        <v>2028.8999999999646</v>
      </c>
      <c r="B396" s="67">
        <f>LOOKUP(A396+0.01,Amounts!$A$4:$A$103,Amounts!$B$4:$B$103)*0.1*$A$2</f>
        <v>0</v>
      </c>
      <c r="C396" s="68">
        <f t="shared" si="43"/>
        <v>902907.24633514904</v>
      </c>
      <c r="D396" s="67">
        <f t="array" ref="D396">SUM($B$7:$B391*$F$1009*EXP(-$F$1009*($A396-$A$7:$A391)))*$F$1010</f>
        <v>39885006.556363665</v>
      </c>
      <c r="E396" s="67">
        <f t="shared" si="41"/>
        <v>76.037243948900226</v>
      </c>
      <c r="F396" s="70">
        <f t="shared" si="39"/>
        <v>4.6169814525772219</v>
      </c>
      <c r="G396" s="67">
        <f>E396/'Lookup Tables'!$C$48</f>
        <v>152.07448789780045</v>
      </c>
      <c r="H396" s="70">
        <f t="shared" si="42"/>
        <v>4.4262769605359152E-2</v>
      </c>
      <c r="I396" s="71">
        <f t="shared" si="40"/>
        <v>0.21898726257283266</v>
      </c>
      <c r="L396" s="74"/>
      <c r="M396" s="74"/>
      <c r="N396" s="74"/>
      <c r="O396" s="74"/>
      <c r="P396" s="74"/>
      <c r="Q396" s="74"/>
      <c r="R396" s="74"/>
      <c r="S396" s="74"/>
      <c r="T396" s="74"/>
      <c r="U396" s="74"/>
      <c r="V396" s="74"/>
      <c r="W396" s="74"/>
      <c r="X396" s="74"/>
      <c r="Y396" s="74"/>
      <c r="Z396" s="74"/>
    </row>
    <row r="397" spans="1:26" x14ac:dyDescent="0.3">
      <c r="A397" s="66">
        <f t="shared" si="38"/>
        <v>2028.9999999999645</v>
      </c>
      <c r="B397" s="67">
        <f>LOOKUP(A397+0.01,Amounts!$A$4:$A$103,Amounts!$B$4:$B$103)*0.1*$A$2</f>
        <v>0</v>
      </c>
      <c r="C397" s="68">
        <f t="shared" si="43"/>
        <v>902907.24633514904</v>
      </c>
      <c r="D397" s="67">
        <f t="array" ref="D397">SUM($B$7:$B392*$F$1009*EXP(-$F$1009*($A397-$A$7:$A392)))*$F$1010</f>
        <v>39606786.417021714</v>
      </c>
      <c r="E397" s="67">
        <f t="shared" si="41"/>
        <v>75.506841814535633</v>
      </c>
      <c r="F397" s="70">
        <f t="shared" si="39"/>
        <v>4.584775434978603</v>
      </c>
      <c r="G397" s="67">
        <f>E397/'Lookup Tables'!$C$48</f>
        <v>151.01368362907127</v>
      </c>
      <c r="H397" s="70">
        <f t="shared" si="42"/>
        <v>4.3954012130044184E-2</v>
      </c>
      <c r="I397" s="71">
        <f t="shared" si="40"/>
        <v>0.21745970442586265</v>
      </c>
      <c r="L397" s="74"/>
      <c r="M397" s="74"/>
      <c r="N397" s="74"/>
      <c r="O397" s="74"/>
      <c r="P397" s="74"/>
      <c r="Q397" s="74"/>
      <c r="R397" s="74"/>
      <c r="S397" s="74"/>
      <c r="T397" s="74"/>
      <c r="U397" s="74"/>
      <c r="V397" s="74"/>
      <c r="W397" s="74"/>
      <c r="X397" s="74"/>
      <c r="Y397" s="74"/>
      <c r="Z397" s="74"/>
    </row>
    <row r="398" spans="1:26" x14ac:dyDescent="0.3">
      <c r="A398" s="66">
        <f t="shared" si="38"/>
        <v>2029.0999999999644</v>
      </c>
      <c r="B398" s="67">
        <f>LOOKUP(A398+0.01,Amounts!$A$4:$A$103,Amounts!$B$4:$B$103)*0.1*$A$2</f>
        <v>0</v>
      </c>
      <c r="C398" s="68">
        <f t="shared" si="43"/>
        <v>902907.24633514904</v>
      </c>
      <c r="D398" s="67">
        <f t="array" ref="D398">SUM($B$7:$B393*$F$1009*EXP(-$F$1009*($A398-$A$7:$A393)))*$F$1010</f>
        <v>39330507.018138863</v>
      </c>
      <c r="E398" s="67">
        <f t="shared" si="41"/>
        <v>74.980139530527637</v>
      </c>
      <c r="F398" s="70">
        <f t="shared" si="39"/>
        <v>4.5527940722936382</v>
      </c>
      <c r="G398" s="67">
        <f>E398/'Lookup Tables'!$C$48</f>
        <v>149.96027906105527</v>
      </c>
      <c r="H398" s="70">
        <f t="shared" si="42"/>
        <v>4.3647408410118056E-2</v>
      </c>
      <c r="I398" s="71">
        <f t="shared" si="40"/>
        <v>0.21594280184791959</v>
      </c>
      <c r="L398" s="74"/>
      <c r="M398" s="74"/>
      <c r="N398" s="74"/>
      <c r="O398" s="74"/>
      <c r="P398" s="74"/>
      <c r="Q398" s="74"/>
      <c r="R398" s="74"/>
      <c r="S398" s="74"/>
      <c r="T398" s="74"/>
      <c r="U398" s="74"/>
      <c r="V398" s="74"/>
      <c r="W398" s="74"/>
      <c r="X398" s="74"/>
      <c r="Y398" s="74"/>
      <c r="Z398" s="74"/>
    </row>
    <row r="399" spans="1:26" x14ac:dyDescent="0.3">
      <c r="A399" s="66">
        <f t="shared" si="38"/>
        <v>2029.1999999999643</v>
      </c>
      <c r="B399" s="67">
        <f>LOOKUP(A399+0.01,Amounts!$A$4:$A$103,Amounts!$B$4:$B$103)*0.1*$A$2</f>
        <v>0</v>
      </c>
      <c r="C399" s="68">
        <f t="shared" si="43"/>
        <v>902907.24633514904</v>
      </c>
      <c r="D399" s="67">
        <f t="array" ref="D399">SUM($B$7:$B394*$F$1009*EXP(-$F$1009*($A399-$A$7:$A394)))*$F$1010</f>
        <v>39056154.821969278</v>
      </c>
      <c r="E399" s="67">
        <f t="shared" si="41"/>
        <v>74.457111288358902</v>
      </c>
      <c r="F399" s="70">
        <f t="shared" si="39"/>
        <v>4.5210357974291524</v>
      </c>
      <c r="G399" s="67">
        <f>E399/'Lookup Tables'!$C$48</f>
        <v>148.9142225767178</v>
      </c>
      <c r="H399" s="70">
        <f t="shared" si="42"/>
        <v>4.3342943421937161E-2</v>
      </c>
      <c r="I399" s="71">
        <f t="shared" si="40"/>
        <v>0.21443648051047365</v>
      </c>
      <c r="L399" s="74"/>
      <c r="M399" s="74"/>
      <c r="N399" s="74"/>
      <c r="O399" s="74"/>
      <c r="P399" s="74"/>
      <c r="Q399" s="74"/>
      <c r="R399" s="74"/>
      <c r="S399" s="74"/>
      <c r="T399" s="74"/>
      <c r="U399" s="74"/>
      <c r="V399" s="74"/>
      <c r="W399" s="74"/>
      <c r="X399" s="74"/>
      <c r="Y399" s="74"/>
      <c r="Z399" s="74"/>
    </row>
    <row r="400" spans="1:26" x14ac:dyDescent="0.3">
      <c r="A400" s="66">
        <f t="shared" si="38"/>
        <v>2029.2999999999643</v>
      </c>
      <c r="B400" s="67">
        <f>LOOKUP(A400+0.01,Amounts!$A$4:$A$103,Amounts!$B$4:$B$103)*0.1*$A$2</f>
        <v>0</v>
      </c>
      <c r="C400" s="68">
        <f t="shared" si="43"/>
        <v>902907.24633514904</v>
      </c>
      <c r="D400" s="67">
        <f t="array" ref="D400">SUM($B$7:$B395*$F$1009*EXP(-$F$1009*($A400-$A$7:$A395)))*$F$1010</f>
        <v>38783716.385200478</v>
      </c>
      <c r="E400" s="67">
        <f t="shared" si="41"/>
        <v>73.93773145954097</v>
      </c>
      <c r="F400" s="70">
        <f t="shared" si="39"/>
        <v>4.4894990542233266</v>
      </c>
      <c r="G400" s="67">
        <f>E400/'Lookup Tables'!$C$48</f>
        <v>147.87546291908194</v>
      </c>
      <c r="H400" s="70">
        <f t="shared" si="42"/>
        <v>4.3040602246656144E-2</v>
      </c>
      <c r="I400" s="71">
        <f t="shared" si="40"/>
        <v>0.21294066660347796</v>
      </c>
      <c r="L400" s="74"/>
      <c r="M400" s="74"/>
      <c r="N400" s="74"/>
      <c r="O400" s="74"/>
      <c r="P400" s="74"/>
      <c r="Q400" s="74"/>
      <c r="R400" s="74"/>
      <c r="S400" s="74"/>
      <c r="T400" s="74"/>
      <c r="U400" s="74"/>
      <c r="V400" s="74"/>
      <c r="W400" s="74"/>
      <c r="X400" s="74"/>
      <c r="Y400" s="74"/>
      <c r="Z400" s="74"/>
    </row>
    <row r="401" spans="1:26" x14ac:dyDescent="0.3">
      <c r="A401" s="66">
        <f t="shared" si="38"/>
        <v>2029.3999999999642</v>
      </c>
      <c r="B401" s="67">
        <f>LOOKUP(A401+0.01,Amounts!$A$4:$A$103,Amounts!$B$4:$B$103)*0.1*$A$2</f>
        <v>0</v>
      </c>
      <c r="C401" s="68">
        <f t="shared" si="43"/>
        <v>902907.24633514904</v>
      </c>
      <c r="D401" s="67">
        <f t="array" ref="D401">SUM($B$7:$B396*$F$1009*EXP(-$F$1009*($A401-$A$7:$A396)))*$F$1010</f>
        <v>38513178.358294539</v>
      </c>
      <c r="E401" s="67">
        <f t="shared" si="41"/>
        <v>73.421974594358289</v>
      </c>
      <c r="F401" s="70">
        <f t="shared" si="39"/>
        <v>4.4581822973694356</v>
      </c>
      <c r="G401" s="67">
        <f>E401/'Lookup Tables'!$C$48</f>
        <v>146.84394918871658</v>
      </c>
      <c r="H401" s="70">
        <f t="shared" si="42"/>
        <v>4.2740370069496957E-2</v>
      </c>
      <c r="I401" s="71">
        <f t="shared" si="40"/>
        <v>0.21145528683175188</v>
      </c>
      <c r="L401" s="74"/>
      <c r="M401" s="74"/>
      <c r="N401" s="74"/>
      <c r="O401" s="74"/>
      <c r="P401" s="74"/>
      <c r="Q401" s="74"/>
      <c r="R401" s="74"/>
      <c r="S401" s="74"/>
      <c r="T401" s="74"/>
      <c r="U401" s="74"/>
      <c r="V401" s="74"/>
      <c r="W401" s="74"/>
      <c r="X401" s="74"/>
      <c r="Y401" s="74"/>
      <c r="Z401" s="74"/>
    </row>
    <row r="402" spans="1:26" x14ac:dyDescent="0.3">
      <c r="A402" s="66">
        <f t="shared" si="38"/>
        <v>2029.4999999999641</v>
      </c>
      <c r="B402" s="67">
        <f>LOOKUP(A402+0.01,Amounts!$A$4:$A$103,Amounts!$B$4:$B$103)*0.1*$A$2</f>
        <v>0</v>
      </c>
      <c r="C402" s="68">
        <f t="shared" si="43"/>
        <v>902907.24633514904</v>
      </c>
      <c r="D402" s="67">
        <f t="array" ref="D402">SUM($B$7:$B397*$F$1009*EXP(-$F$1009*($A402-$A$7:$A397)))*$F$1010</f>
        <v>38244527.484834</v>
      </c>
      <c r="E402" s="67">
        <f t="shared" si="41"/>
        <v>72.909815420621229</v>
      </c>
      <c r="F402" s="70">
        <f t="shared" si="39"/>
        <v>4.4270839923401208</v>
      </c>
      <c r="G402" s="67">
        <f>E402/'Lookup Tables'!$C$48</f>
        <v>145.81963084124246</v>
      </c>
      <c r="H402" s="70">
        <f t="shared" si="42"/>
        <v>4.2442232179022793E-2</v>
      </c>
      <c r="I402" s="71">
        <f t="shared" si="40"/>
        <v>0.20998026841138914</v>
      </c>
      <c r="L402" s="74"/>
      <c r="M402" s="74"/>
      <c r="N402" s="74"/>
      <c r="O402" s="74"/>
      <c r="P402" s="74"/>
      <c r="Q402" s="74"/>
      <c r="R402" s="74"/>
      <c r="S402" s="74"/>
      <c r="T402" s="74"/>
      <c r="U402" s="74"/>
      <c r="V402" s="74"/>
      <c r="W402" s="74"/>
      <c r="X402" s="74"/>
      <c r="Y402" s="74"/>
      <c r="Z402" s="74"/>
    </row>
    <row r="403" spans="1:26" x14ac:dyDescent="0.3">
      <c r="A403" s="66">
        <f t="shared" ref="A403:A466" si="44">A402+0.1</f>
        <v>2029.599999999964</v>
      </c>
      <c r="B403" s="67">
        <f>LOOKUP(A403+0.01,Amounts!$A$4:$A$103,Amounts!$B$4:$B$103)*0.1*$A$2</f>
        <v>0</v>
      </c>
      <c r="C403" s="68">
        <f t="shared" si="43"/>
        <v>902907.24633514904</v>
      </c>
      <c r="D403" s="67">
        <f t="array" ref="D403">SUM($B$7:$B398*$F$1009*EXP(-$F$1009*($A403-$A$7:$A398)))*$F$1010</f>
        <v>37977750.60087233</v>
      </c>
      <c r="E403" s="67">
        <f t="shared" si="41"/>
        <v>72.401228842427869</v>
      </c>
      <c r="F403" s="70">
        <f t="shared" ref="F403:F466" si="45">E403*60*1012/1000000</f>
        <v>4.3962026153122205</v>
      </c>
      <c r="G403" s="67">
        <f>E403/'Lookup Tables'!$C$48</f>
        <v>144.80245768485574</v>
      </c>
      <c r="H403" s="70">
        <f t="shared" si="42"/>
        <v>4.2146173966417413E-2</v>
      </c>
      <c r="I403" s="71">
        <f t="shared" ref="I403:I466" si="46">G403*60*24/1000000</f>
        <v>0.20851553906619227</v>
      </c>
      <c r="L403" s="74"/>
      <c r="M403" s="74"/>
      <c r="N403" s="74"/>
      <c r="O403" s="74"/>
      <c r="P403" s="74"/>
      <c r="Q403" s="74"/>
      <c r="R403" s="74"/>
      <c r="S403" s="74"/>
      <c r="T403" s="74"/>
      <c r="U403" s="74"/>
      <c r="V403" s="74"/>
      <c r="W403" s="74"/>
      <c r="X403" s="74"/>
      <c r="Y403" s="74"/>
      <c r="Z403" s="74"/>
    </row>
    <row r="404" spans="1:26" x14ac:dyDescent="0.3">
      <c r="A404" s="66">
        <f t="shared" si="44"/>
        <v>2029.6999999999639</v>
      </c>
      <c r="B404" s="67">
        <f>LOOKUP(A404+0.01,Amounts!$A$4:$A$103,Amounts!$B$4:$B$103)*0.1*$A$2</f>
        <v>0</v>
      </c>
      <c r="C404" s="68">
        <f t="shared" si="43"/>
        <v>902907.24633514904</v>
      </c>
      <c r="D404" s="67">
        <f t="array" ref="D404">SUM($B$7:$B399*$F$1009*EXP(-$F$1009*($A404-$A$7:$A399)))*$F$1010</f>
        <v>37712834.634288825</v>
      </c>
      <c r="E404" s="67">
        <f t="shared" si="41"/>
        <v>71.896189938934072</v>
      </c>
      <c r="F404" s="70">
        <f t="shared" si="45"/>
        <v>4.3655366530920761</v>
      </c>
      <c r="G404" s="67">
        <f>E404/'Lookup Tables'!$C$48</f>
        <v>143.79237987786814</v>
      </c>
      <c r="H404" s="70">
        <f t="shared" si="42"/>
        <v>4.1852180924769125E-2</v>
      </c>
      <c r="I404" s="71">
        <f t="shared" si="46"/>
        <v>0.2070610270241301</v>
      </c>
      <c r="L404" s="74"/>
      <c r="M404" s="74"/>
      <c r="N404" s="74"/>
      <c r="O404" s="74"/>
      <c r="P404" s="74"/>
      <c r="Q404" s="74"/>
      <c r="R404" s="74"/>
      <c r="S404" s="74"/>
      <c r="T404" s="74"/>
      <c r="U404" s="74"/>
      <c r="V404" s="74"/>
      <c r="W404" s="74"/>
      <c r="X404" s="74"/>
      <c r="Y404" s="74"/>
      <c r="Z404" s="74"/>
    </row>
    <row r="405" spans="1:26" x14ac:dyDescent="0.3">
      <c r="A405" s="66">
        <f t="shared" si="44"/>
        <v>2029.7999999999638</v>
      </c>
      <c r="B405" s="67">
        <f>LOOKUP(A405+0.01,Amounts!$A$4:$A$103,Amounts!$B$4:$B$103)*0.1*$A$2</f>
        <v>0</v>
      </c>
      <c r="C405" s="68">
        <f t="shared" si="43"/>
        <v>902907.24633514904</v>
      </c>
      <c r="D405" s="67">
        <f t="array" ref="D405">SUM($B$7:$B400*$F$1009*EXP(-$F$1009*($A405-$A$7:$A400)))*$F$1010</f>
        <v>37449766.60414812</v>
      </c>
      <c r="E405" s="67">
        <f t="shared" si="41"/>
        <v>71.394673963132533</v>
      </c>
      <c r="F405" s="70">
        <f t="shared" si="45"/>
        <v>4.3350846030414063</v>
      </c>
      <c r="G405" s="67">
        <f>E405/'Lookup Tables'!$C$48</f>
        <v>142.78934792626507</v>
      </c>
      <c r="H405" s="70">
        <f t="shared" si="42"/>
        <v>4.1560238648360101E-2</v>
      </c>
      <c r="I405" s="71">
        <f t="shared" si="46"/>
        <v>0.20561666101382167</v>
      </c>
      <c r="L405" s="74"/>
      <c r="M405" s="74"/>
      <c r="N405" s="74"/>
      <c r="O405" s="74"/>
      <c r="P405" s="74"/>
      <c r="Q405" s="74"/>
      <c r="R405" s="74"/>
      <c r="S405" s="74"/>
      <c r="T405" s="74"/>
      <c r="U405" s="74"/>
      <c r="V405" s="74"/>
      <c r="W405" s="74"/>
      <c r="X405" s="74"/>
      <c r="Y405" s="74"/>
      <c r="Z405" s="74"/>
    </row>
    <row r="406" spans="1:26" x14ac:dyDescent="0.3">
      <c r="A406" s="66">
        <f t="shared" si="44"/>
        <v>2029.8999999999637</v>
      </c>
      <c r="B406" s="67">
        <f>LOOKUP(A406+0.01,Amounts!$A$4:$A$103,Amounts!$B$4:$B$103)*0.1*$A$2</f>
        <v>0</v>
      </c>
      <c r="C406" s="68">
        <f t="shared" si="43"/>
        <v>902907.24633514904</v>
      </c>
      <c r="D406" s="67">
        <f t="array" ref="D406">SUM($B$7:$B401*$F$1009*EXP(-$F$1009*($A406-$A$7:$A401)))*$F$1010</f>
        <v>37188533.620064087</v>
      </c>
      <c r="E406" s="67">
        <f t="shared" si="41"/>
        <v>70.896656340640064</v>
      </c>
      <c r="F406" s="70">
        <f t="shared" si="45"/>
        <v>4.3048449730036653</v>
      </c>
      <c r="G406" s="67">
        <f>E406/'Lookup Tables'!$C$48</f>
        <v>141.79331268128013</v>
      </c>
      <c r="H406" s="70">
        <f t="shared" si="42"/>
        <v>4.1270332831960355E-2</v>
      </c>
      <c r="I406" s="71">
        <f t="shared" si="46"/>
        <v>0.20418237026104341</v>
      </c>
      <c r="L406" s="74"/>
      <c r="M406" s="74"/>
      <c r="N406" s="74"/>
      <c r="O406" s="74"/>
      <c r="P406" s="74"/>
      <c r="Q406" s="74"/>
      <c r="R406" s="74"/>
      <c r="S406" s="74"/>
      <c r="T406" s="74"/>
      <c r="U406" s="74"/>
      <c r="V406" s="74"/>
      <c r="W406" s="74"/>
      <c r="X406" s="74"/>
      <c r="Y406" s="74"/>
      <c r="Z406" s="74"/>
    </row>
    <row r="407" spans="1:26" x14ac:dyDescent="0.3">
      <c r="A407" s="66">
        <f t="shared" si="44"/>
        <v>2029.9999999999636</v>
      </c>
      <c r="B407" s="67">
        <f>LOOKUP(A407+0.01,Amounts!$A$4:$A$103,Amounts!$B$4:$B$103)*0.1*$A$2</f>
        <v>0</v>
      </c>
      <c r="C407" s="68">
        <f t="shared" si="43"/>
        <v>902907.24633514904</v>
      </c>
      <c r="D407" s="67">
        <f t="array" ref="D407">SUM($B$7:$B402*$F$1009*EXP(-$F$1009*($A407-$A$7:$A402)))*$F$1010</f>
        <v>36929122.881568268</v>
      </c>
      <c r="E407" s="67">
        <f t="shared" si="41"/>
        <v>70.402112668493572</v>
      </c>
      <c r="F407" s="70">
        <f t="shared" si="45"/>
        <v>4.2748162812309296</v>
      </c>
      <c r="G407" s="67">
        <f>E407/'Lookup Tables'!$C$48</f>
        <v>140.80422533698714</v>
      </c>
      <c r="H407" s="70">
        <f t="shared" si="42"/>
        <v>4.0982449270126897E-2</v>
      </c>
      <c r="I407" s="71">
        <f t="shared" si="46"/>
        <v>0.20275808448526147</v>
      </c>
      <c r="L407" s="74"/>
      <c r="M407" s="74"/>
      <c r="N407" s="74"/>
      <c r="O407" s="74"/>
      <c r="P407" s="74"/>
      <c r="Q407" s="74"/>
      <c r="R407" s="74"/>
      <c r="S407" s="74"/>
      <c r="T407" s="74"/>
      <c r="U407" s="74"/>
      <c r="V407" s="74"/>
      <c r="W407" s="74"/>
      <c r="X407" s="74"/>
      <c r="Y407" s="74"/>
      <c r="Z407" s="74"/>
    </row>
    <row r="408" spans="1:26" x14ac:dyDescent="0.3">
      <c r="A408" s="66">
        <f t="shared" si="44"/>
        <v>2030.0999999999635</v>
      </c>
      <c r="B408" s="67">
        <f>LOOKUP(A408+0.01,Amounts!$A$4:$A$103,Amounts!$B$4:$B$103)*0.1*$A$2</f>
        <v>0</v>
      </c>
      <c r="C408" s="68">
        <f t="shared" si="43"/>
        <v>902907.24633514904</v>
      </c>
      <c r="D408" s="67">
        <f t="array" ref="D408">SUM($B$7:$B403*$F$1009*EXP(-$F$1009*($A408-$A$7:$A403)))*$F$1010</f>
        <v>36671521.677482553</v>
      </c>
      <c r="E408" s="67">
        <f t="shared" si="41"/>
        <v>69.911018713954135</v>
      </c>
      <c r="F408" s="70">
        <f t="shared" si="45"/>
        <v>4.2449970563112958</v>
      </c>
      <c r="G408" s="67">
        <f>E408/'Lookup Tables'!$C$48</f>
        <v>139.82203742790827</v>
      </c>
      <c r="H408" s="70">
        <f t="shared" si="42"/>
        <v>4.0696573856507601E-2</v>
      </c>
      <c r="I408" s="71">
        <f t="shared" si="46"/>
        <v>0.20134373389618793</v>
      </c>
      <c r="L408" s="74"/>
      <c r="M408" s="74"/>
      <c r="N408" s="74"/>
      <c r="O408" s="74"/>
      <c r="P408" s="74"/>
      <c r="Q408" s="74"/>
      <c r="R408" s="74"/>
      <c r="S408" s="74"/>
      <c r="T408" s="74"/>
      <c r="U408" s="74"/>
      <c r="V408" s="74"/>
      <c r="W408" s="74"/>
      <c r="X408" s="74"/>
      <c r="Y408" s="74"/>
      <c r="Z408" s="74"/>
    </row>
    <row r="409" spans="1:26" x14ac:dyDescent="0.3">
      <c r="A409" s="66">
        <f t="shared" si="44"/>
        <v>2030.1999999999634</v>
      </c>
      <c r="B409" s="67">
        <f>LOOKUP(A409+0.01,Amounts!$A$4:$A$103,Amounts!$B$4:$B$103)*0.1*$A$2</f>
        <v>0</v>
      </c>
      <c r="C409" s="68">
        <f t="shared" si="43"/>
        <v>902907.24633514904</v>
      </c>
      <c r="D409" s="67">
        <f t="array" ref="D409">SUM($B$7:$B404*$F$1009*EXP(-$F$1009*($A409-$A$7:$A404)))*$F$1010</f>
        <v>36415717.385296397</v>
      </c>
      <c r="E409" s="67">
        <f t="shared" si="41"/>
        <v>69.42335041331971</v>
      </c>
      <c r="F409" s="70">
        <f t="shared" si="45"/>
        <v>4.2153858370967727</v>
      </c>
      <c r="G409" s="67">
        <f>E409/'Lookup Tables'!$C$48</f>
        <v>138.84670082663942</v>
      </c>
      <c r="H409" s="70">
        <f t="shared" si="42"/>
        <v>4.0412692583149966E-2</v>
      </c>
      <c r="I409" s="71">
        <f t="shared" si="46"/>
        <v>0.19993924919036077</v>
      </c>
      <c r="L409" s="74"/>
      <c r="M409" s="74"/>
      <c r="N409" s="74"/>
      <c r="O409" s="74"/>
      <c r="P409" s="74"/>
      <c r="Q409" s="74"/>
      <c r="R409" s="74"/>
      <c r="S409" s="74"/>
      <c r="T409" s="74"/>
      <c r="U409" s="74"/>
      <c r="V409" s="74"/>
      <c r="W409" s="74"/>
      <c r="X409" s="74"/>
      <c r="Y409" s="74"/>
      <c r="Z409" s="74"/>
    </row>
    <row r="410" spans="1:26" x14ac:dyDescent="0.3">
      <c r="A410" s="66">
        <f t="shared" si="44"/>
        <v>2030.2999999999633</v>
      </c>
      <c r="B410" s="67">
        <f>LOOKUP(A410+0.01,Amounts!$A$4:$A$103,Amounts!$B$4:$B$103)*0.1*$A$2</f>
        <v>0</v>
      </c>
      <c r="C410" s="68">
        <f t="shared" si="43"/>
        <v>902907.24633514904</v>
      </c>
      <c r="D410" s="67">
        <f t="array" ref="D410">SUM($B$7:$B405*$F$1009*EXP(-$F$1009*($A410-$A$7:$A405)))*$F$1010</f>
        <v>36161697.470548309</v>
      </c>
      <c r="E410" s="67">
        <f t="shared" si="41"/>
        <v>68.939083870746032</v>
      </c>
      <c r="F410" s="70">
        <f t="shared" si="45"/>
        <v>4.1859811726316982</v>
      </c>
      <c r="G410" s="67">
        <f>E410/'Lookup Tables'!$C$48</f>
        <v>137.87816774149206</v>
      </c>
      <c r="H410" s="70">
        <f t="shared" si="42"/>
        <v>4.0130791539814838E-2</v>
      </c>
      <c r="I410" s="71">
        <f t="shared" si="46"/>
        <v>0.19854456154774858</v>
      </c>
      <c r="L410" s="74"/>
      <c r="M410" s="74"/>
      <c r="N410" s="74"/>
      <c r="O410" s="74"/>
      <c r="P410" s="74"/>
      <c r="Q410" s="74"/>
      <c r="R410" s="74"/>
      <c r="S410" s="74"/>
      <c r="T410" s="74"/>
      <c r="U410" s="74"/>
      <c r="V410" s="74"/>
      <c r="W410" s="74"/>
      <c r="X410" s="74"/>
      <c r="Y410" s="74"/>
      <c r="Z410" s="74"/>
    </row>
    <row r="411" spans="1:26" x14ac:dyDescent="0.3">
      <c r="A411" s="66">
        <f t="shared" si="44"/>
        <v>2030.3999999999633</v>
      </c>
      <c r="B411" s="67">
        <f>LOOKUP(A411+0.01,Amounts!$A$4:$A$103,Amounts!$B$4:$B$103)*0.1*$A$2</f>
        <v>0</v>
      </c>
      <c r="C411" s="68">
        <f t="shared" si="43"/>
        <v>902907.24633514904</v>
      </c>
      <c r="D411" s="67">
        <f t="array" ref="D411">SUM($B$7:$B406*$F$1009*EXP(-$F$1009*($A411-$A$7:$A406)))*$F$1010</f>
        <v>35909449.486211635</v>
      </c>
      <c r="E411" s="67">
        <f t="shared" si="41"/>
        <v>68.458195357075581</v>
      </c>
      <c r="F411" s="70">
        <f t="shared" si="45"/>
        <v>4.1567816220816294</v>
      </c>
      <c r="G411" s="67">
        <f>E411/'Lookup Tables'!$C$48</f>
        <v>136.91639071415116</v>
      </c>
      <c r="H411" s="70">
        <f t="shared" si="42"/>
        <v>3.9850856913294673E-2</v>
      </c>
      <c r="I411" s="71">
        <f t="shared" si="46"/>
        <v>0.19715960262837767</v>
      </c>
      <c r="L411" s="74"/>
      <c r="M411" s="74"/>
      <c r="N411" s="74"/>
      <c r="O411" s="74"/>
      <c r="P411" s="74"/>
      <c r="Q411" s="74"/>
      <c r="R411" s="74"/>
      <c r="S411" s="74"/>
      <c r="T411" s="74"/>
      <c r="U411" s="74"/>
      <c r="V411" s="74"/>
      <c r="W411" s="74"/>
      <c r="X411" s="74"/>
      <c r="Y411" s="74"/>
      <c r="Z411" s="74"/>
    </row>
    <row r="412" spans="1:26" x14ac:dyDescent="0.3">
      <c r="A412" s="66">
        <f t="shared" si="44"/>
        <v>2030.4999999999632</v>
      </c>
      <c r="B412" s="67">
        <f>LOOKUP(A412+0.01,Amounts!$A$4:$A$103,Amounts!$B$4:$B$103)*0.1*$A$2</f>
        <v>0</v>
      </c>
      <c r="C412" s="68">
        <f t="shared" si="43"/>
        <v>902907.24633514904</v>
      </c>
      <c r="D412" s="67">
        <f t="array" ref="D412">SUM($B$7:$B407*$F$1009*EXP(-$F$1009*($A412-$A$7:$A407)))*$F$1010</f>
        <v>35658961.072084688</v>
      </c>
      <c r="E412" s="67">
        <f t="shared" si="41"/>
        <v>67.980661308674996</v>
      </c>
      <c r="F412" s="70">
        <f t="shared" si="45"/>
        <v>4.1277857546627459</v>
      </c>
      <c r="G412" s="67">
        <f>E412/'Lookup Tables'!$C$48</f>
        <v>135.96132261734999</v>
      </c>
      <c r="H412" s="70">
        <f t="shared" si="42"/>
        <v>3.9572874986736749E-2</v>
      </c>
      <c r="I412" s="71">
        <f t="shared" si="46"/>
        <v>0.19578430456898396</v>
      </c>
      <c r="L412" s="74"/>
      <c r="M412" s="74"/>
      <c r="N412" s="74"/>
      <c r="O412" s="74"/>
      <c r="P412" s="74"/>
      <c r="Q412" s="74"/>
      <c r="R412" s="74"/>
      <c r="S412" s="74"/>
      <c r="T412" s="74"/>
      <c r="U412" s="74"/>
      <c r="V412" s="74"/>
      <c r="W412" s="74"/>
      <c r="X412" s="74"/>
      <c r="Y412" s="74"/>
      <c r="Z412" s="74"/>
    </row>
    <row r="413" spans="1:26" x14ac:dyDescent="0.3">
      <c r="A413" s="66">
        <f t="shared" si="44"/>
        <v>2030.5999999999631</v>
      </c>
      <c r="B413" s="67">
        <f>LOOKUP(A413+0.01,Amounts!$A$4:$A$103,Amounts!$B$4:$B$103)*0.1*$A$2</f>
        <v>0</v>
      </c>
      <c r="C413" s="68">
        <f t="shared" si="43"/>
        <v>902907.24633514904</v>
      </c>
      <c r="D413" s="67">
        <f t="array" ref="D413">SUM($B$7:$B408*$F$1009*EXP(-$F$1009*($A413-$A$7:$A408)))*$F$1010</f>
        <v>35410219.954185031</v>
      </c>
      <c r="E413" s="67">
        <f t="shared" si="41"/>
        <v>67.506458326280338</v>
      </c>
      <c r="F413" s="70">
        <f t="shared" si="45"/>
        <v>4.0989921495717416</v>
      </c>
      <c r="G413" s="67">
        <f>E413/'Lookup Tables'!$C$48</f>
        <v>135.01291665256068</v>
      </c>
      <c r="H413" s="70">
        <f t="shared" si="42"/>
        <v>3.9296832138971054E-2</v>
      </c>
      <c r="I413" s="71">
        <f t="shared" si="46"/>
        <v>0.19441859997968736</v>
      </c>
      <c r="L413" s="74"/>
      <c r="M413" s="74"/>
      <c r="N413" s="74"/>
      <c r="O413" s="74"/>
      <c r="P413" s="74"/>
      <c r="Q413" s="74"/>
      <c r="R413" s="74"/>
      <c r="S413" s="74"/>
      <c r="T413" s="74"/>
      <c r="U413" s="74"/>
      <c r="V413" s="74"/>
      <c r="W413" s="74"/>
      <c r="X413" s="74"/>
      <c r="Y413" s="74"/>
      <c r="Z413" s="74"/>
    </row>
    <row r="414" spans="1:26" x14ac:dyDescent="0.3">
      <c r="A414" s="66">
        <f t="shared" si="44"/>
        <v>2030.699999999963</v>
      </c>
      <c r="B414" s="67">
        <f>LOOKUP(A414+0.01,Amounts!$A$4:$A$103,Amounts!$B$4:$B$103)*0.1*$A$2</f>
        <v>0</v>
      </c>
      <c r="C414" s="68">
        <f t="shared" si="43"/>
        <v>902907.24633514904</v>
      </c>
      <c r="D414" s="67">
        <f t="array" ref="D414">SUM($B$7:$B409*$F$1009*EXP(-$F$1009*($A414-$A$7:$A409)))*$F$1010</f>
        <v>35163213.944148131</v>
      </c>
      <c r="E414" s="67">
        <f t="shared" si="41"/>
        <v>67.035563173850591</v>
      </c>
      <c r="F414" s="70">
        <f t="shared" si="45"/>
        <v>4.0703993959162075</v>
      </c>
      <c r="G414" s="67">
        <f>E414/'Lookup Tables'!$C$48</f>
        <v>134.07112634770118</v>
      </c>
      <c r="H414" s="70">
        <f t="shared" si="42"/>
        <v>3.9022714843842829E-2</v>
      </c>
      <c r="I414" s="71">
        <f t="shared" si="46"/>
        <v>0.1930624219406897</v>
      </c>
      <c r="L414" s="74"/>
      <c r="M414" s="74"/>
      <c r="N414" s="74"/>
      <c r="O414" s="74"/>
      <c r="P414" s="74"/>
      <c r="Q414" s="74"/>
      <c r="R414" s="74"/>
      <c r="S414" s="74"/>
      <c r="T414" s="74"/>
      <c r="U414" s="74"/>
      <c r="V414" s="74"/>
      <c r="W414" s="74"/>
      <c r="X414" s="74"/>
      <c r="Y414" s="74"/>
      <c r="Z414" s="74"/>
    </row>
    <row r="415" spans="1:26" x14ac:dyDescent="0.3">
      <c r="A415" s="66">
        <f t="shared" si="44"/>
        <v>2030.7999999999629</v>
      </c>
      <c r="B415" s="67">
        <f>LOOKUP(A415+0.01,Amounts!$A$4:$A$103,Amounts!$B$4:$B$103)*0.1*$A$2</f>
        <v>0</v>
      </c>
      <c r="C415" s="68">
        <f t="shared" si="43"/>
        <v>902907.24633514904</v>
      </c>
      <c r="D415" s="67">
        <f t="array" ref="D415">SUM($B$7:$B410*$F$1009*EXP(-$F$1009*($A415-$A$7:$A410)))*$F$1010</f>
        <v>34917930.938630082</v>
      </c>
      <c r="E415" s="67">
        <f t="shared" si="41"/>
        <v>66.567952777429085</v>
      </c>
      <c r="F415" s="70">
        <f t="shared" si="45"/>
        <v>4.0420060926454937</v>
      </c>
      <c r="G415" s="67">
        <f>E415/'Lookup Tables'!$C$48</f>
        <v>133.13590555485817</v>
      </c>
      <c r="H415" s="70">
        <f t="shared" si="42"/>
        <v>3.8750509669549744E-2</v>
      </c>
      <c r="I415" s="71">
        <f t="shared" si="46"/>
        <v>0.19171570399899576</v>
      </c>
      <c r="L415" s="74"/>
      <c r="M415" s="74"/>
      <c r="N415" s="74"/>
      <c r="O415" s="74"/>
      <c r="P415" s="74"/>
      <c r="Q415" s="74"/>
      <c r="R415" s="74"/>
      <c r="S415" s="74"/>
      <c r="T415" s="74"/>
      <c r="U415" s="74"/>
      <c r="V415" s="74"/>
      <c r="W415" s="74"/>
      <c r="X415" s="74"/>
      <c r="Y415" s="74"/>
      <c r="Z415" s="74"/>
    </row>
    <row r="416" spans="1:26" x14ac:dyDescent="0.3">
      <c r="A416" s="66">
        <f t="shared" si="44"/>
        <v>2030.8999999999628</v>
      </c>
      <c r="B416" s="67">
        <f>LOOKUP(A416+0.01,Amounts!$A$4:$A$103,Amounts!$B$4:$B$103)*0.1*$A$2</f>
        <v>0</v>
      </c>
      <c r="C416" s="68">
        <f t="shared" si="43"/>
        <v>902907.24633514904</v>
      </c>
      <c r="D416" s="67">
        <f t="array" ref="D416">SUM($B$7:$B411*$F$1009*EXP(-$F$1009*($A416-$A$7:$A411)))*$F$1010</f>
        <v>34674358.918714538</v>
      </c>
      <c r="E416" s="67">
        <f t="shared" si="41"/>
        <v>66.103604224012855</v>
      </c>
      <c r="F416" s="70">
        <f t="shared" si="45"/>
        <v>4.01381084848206</v>
      </c>
      <c r="G416" s="67">
        <f>E416/'Lookup Tables'!$C$48</f>
        <v>132.20720844802571</v>
      </c>
      <c r="H416" s="70">
        <f t="shared" si="42"/>
        <v>3.8480203277983828E-2</v>
      </c>
      <c r="I416" s="71">
        <f t="shared" si="46"/>
        <v>0.19037838016515701</v>
      </c>
      <c r="L416" s="74"/>
      <c r="M416" s="74"/>
      <c r="N416" s="74"/>
      <c r="O416" s="74"/>
      <c r="P416" s="74"/>
      <c r="Q416" s="74"/>
      <c r="R416" s="74"/>
      <c r="S416" s="74"/>
      <c r="T416" s="74"/>
      <c r="U416" s="74"/>
      <c r="V416" s="74"/>
      <c r="W416" s="74"/>
      <c r="X416" s="74"/>
      <c r="Y416" s="74"/>
      <c r="Z416" s="74"/>
    </row>
    <row r="417" spans="1:26" x14ac:dyDescent="0.3">
      <c r="A417" s="66">
        <f t="shared" si="44"/>
        <v>2030.9999999999627</v>
      </c>
      <c r="B417" s="67">
        <f>LOOKUP(A417+0.01,Amounts!$A$4:$A$103,Amounts!$B$4:$B$103)*0.1*$A$2</f>
        <v>0</v>
      </c>
      <c r="C417" s="68">
        <f t="shared" si="43"/>
        <v>902907.24633514904</v>
      </c>
      <c r="D417" s="67">
        <f t="array" ref="D417">SUM($B$7:$B412*$F$1009*EXP(-$F$1009*($A417-$A$7:$A412)))*$F$1010</f>
        <v>34432485.949323773</v>
      </c>
      <c r="E417" s="67">
        <f t="shared" si="41"/>
        <v>65.642494760429827</v>
      </c>
      <c r="F417" s="70">
        <f t="shared" si="45"/>
        <v>3.9858122818532991</v>
      </c>
      <c r="G417" s="67">
        <f>E417/'Lookup Tables'!$C$48</f>
        <v>131.28498952085965</v>
      </c>
      <c r="H417" s="70">
        <f t="shared" si="42"/>
        <v>3.8211782424077786E-2</v>
      </c>
      <c r="I417" s="71">
        <f t="shared" si="46"/>
        <v>0.18905038491003792</v>
      </c>
      <c r="L417" s="74"/>
      <c r="M417" s="74"/>
      <c r="N417" s="74"/>
      <c r="O417" s="74"/>
      <c r="P417" s="74"/>
      <c r="Q417" s="74"/>
      <c r="R417" s="74"/>
      <c r="S417" s="74"/>
      <c r="T417" s="74"/>
      <c r="U417" s="74"/>
      <c r="V417" s="74"/>
      <c r="W417" s="74"/>
      <c r="X417" s="74"/>
      <c r="Y417" s="74"/>
      <c r="Z417" s="74"/>
    </row>
    <row r="418" spans="1:26" x14ac:dyDescent="0.3">
      <c r="A418" s="66">
        <f t="shared" si="44"/>
        <v>2031.0999999999626</v>
      </c>
      <c r="B418" s="67">
        <f>LOOKUP(A418+0.01,Amounts!$A$4:$A$103,Amounts!$B$4:$B$103)*0.1*$A$2</f>
        <v>0</v>
      </c>
      <c r="C418" s="68">
        <f t="shared" si="43"/>
        <v>902907.24633514904</v>
      </c>
      <c r="D418" s="67">
        <f t="array" ref="D418">SUM($B$7:$B413*$F$1009*EXP(-$F$1009*($A418-$A$7:$A413)))*$F$1010</f>
        <v>34192300.178633913</v>
      </c>
      <c r="E418" s="67">
        <f t="shared" si="41"/>
        <v>65.184601792224072</v>
      </c>
      <c r="F418" s="70">
        <f t="shared" si="45"/>
        <v>3.9580090208238454</v>
      </c>
      <c r="G418" s="67">
        <f>E418/'Lookup Tables'!$C$48</f>
        <v>130.36920358444814</v>
      </c>
      <c r="H418" s="70">
        <f t="shared" si="42"/>
        <v>3.7945233955156081E-2</v>
      </c>
      <c r="I418" s="71">
        <f t="shared" si="46"/>
        <v>0.18773165316160534</v>
      </c>
      <c r="L418" s="74"/>
      <c r="M418" s="74"/>
      <c r="N418" s="74"/>
      <c r="O418" s="74"/>
      <c r="P418" s="74"/>
      <c r="Q418" s="74"/>
      <c r="R418" s="74"/>
      <c r="S418" s="74"/>
      <c r="T418" s="74"/>
      <c r="U418" s="74"/>
      <c r="V418" s="74"/>
      <c r="W418" s="74"/>
      <c r="X418" s="74"/>
      <c r="Y418" s="74"/>
      <c r="Z418" s="74"/>
    </row>
    <row r="419" spans="1:26" x14ac:dyDescent="0.3">
      <c r="A419" s="66">
        <f t="shared" si="44"/>
        <v>2031.1999999999625</v>
      </c>
      <c r="B419" s="67">
        <f>LOOKUP(A419+0.01,Amounts!$A$4:$A$103,Amounts!$B$4:$B$103)*0.1*$A$2</f>
        <v>0</v>
      </c>
      <c r="C419" s="68">
        <f t="shared" si="43"/>
        <v>902907.24633514904</v>
      </c>
      <c r="D419" s="67">
        <f t="array" ref="D419">SUM($B$7:$B414*$F$1009*EXP(-$F$1009*($A419-$A$7:$A414)))*$F$1010</f>
        <v>33953789.837494113</v>
      </c>
      <c r="E419" s="67">
        <f t="shared" si="41"/>
        <v>64.729902882548473</v>
      </c>
      <c r="F419" s="70">
        <f t="shared" si="45"/>
        <v>3.9303997030283431</v>
      </c>
      <c r="G419" s="67">
        <f>E419/'Lookup Tables'!$C$48</f>
        <v>129.45980576509695</v>
      </c>
      <c r="H419" s="70">
        <f t="shared" si="42"/>
        <v>3.768054481029038E-2</v>
      </c>
      <c r="I419" s="71">
        <f t="shared" si="46"/>
        <v>0.1864221203017396</v>
      </c>
      <c r="L419" s="74"/>
      <c r="M419" s="74"/>
      <c r="N419" s="74"/>
      <c r="O419" s="74"/>
      <c r="P419" s="74"/>
      <c r="Q419" s="74"/>
      <c r="R419" s="74"/>
      <c r="S419" s="74"/>
      <c r="T419" s="74"/>
      <c r="U419" s="74"/>
      <c r="V419" s="74"/>
      <c r="W419" s="74"/>
      <c r="X419" s="74"/>
      <c r="Y419" s="74"/>
      <c r="Z419" s="74"/>
    </row>
    <row r="420" spans="1:26" x14ac:dyDescent="0.3">
      <c r="A420" s="66">
        <f t="shared" si="44"/>
        <v>2031.2999999999624</v>
      </c>
      <c r="B420" s="67">
        <f>LOOKUP(A420+0.01,Amounts!$A$4:$A$103,Amounts!$B$4:$B$103)*0.1*$A$2</f>
        <v>0</v>
      </c>
      <c r="C420" s="68">
        <f t="shared" si="43"/>
        <v>902907.24633514904</v>
      </c>
      <c r="D420" s="67">
        <f t="array" ref="D420">SUM($B$7:$B415*$F$1009*EXP(-$F$1009*($A420-$A$7:$A415)))*$F$1010</f>
        <v>33716943.238849938</v>
      </c>
      <c r="E420" s="67">
        <f t="shared" si="41"/>
        <v>64.278375751065497</v>
      </c>
      <c r="F420" s="70">
        <f t="shared" si="45"/>
        <v>3.9029829756046972</v>
      </c>
      <c r="G420" s="67">
        <f>E420/'Lookup Tables'!$C$48</f>
        <v>128.55675150213099</v>
      </c>
      <c r="H420" s="70">
        <f t="shared" si="42"/>
        <v>3.7417702019659632E-2</v>
      </c>
      <c r="I420" s="71">
        <f t="shared" si="46"/>
        <v>0.18512172216306863</v>
      </c>
      <c r="L420" s="74"/>
      <c r="M420" s="74"/>
      <c r="N420" s="74"/>
      <c r="O420" s="74"/>
      <c r="P420" s="74"/>
      <c r="Q420" s="74"/>
      <c r="R420" s="74"/>
      <c r="S420" s="74"/>
      <c r="T420" s="74"/>
      <c r="U420" s="74"/>
      <c r="V420" s="74"/>
      <c r="W420" s="74"/>
      <c r="X420" s="74"/>
      <c r="Y420" s="74"/>
      <c r="Z420" s="74"/>
    </row>
    <row r="421" spans="1:26" x14ac:dyDescent="0.3">
      <c r="A421" s="66">
        <f t="shared" si="44"/>
        <v>2031.3999999999623</v>
      </c>
      <c r="B421" s="67">
        <f>LOOKUP(A421+0.01,Amounts!$A$4:$A$103,Amounts!$B$4:$B$103)*0.1*$A$2</f>
        <v>0</v>
      </c>
      <c r="C421" s="68">
        <f t="shared" si="43"/>
        <v>902907.24633514904</v>
      </c>
      <c r="D421" s="67">
        <f t="array" ref="D421">SUM($B$7:$B416*$F$1009*EXP(-$F$1009*($A421-$A$7:$A416)))*$F$1010</f>
        <v>33481748.777170677</v>
      </c>
      <c r="E421" s="67">
        <f t="shared" si="41"/>
        <v>63.829998272855384</v>
      </c>
      <c r="F421" s="70">
        <f t="shared" si="45"/>
        <v>3.8757574951277789</v>
      </c>
      <c r="G421" s="67">
        <f>E421/'Lookup Tables'!$C$48</f>
        <v>127.65999654571077</v>
      </c>
      <c r="H421" s="70">
        <f t="shared" si="42"/>
        <v>3.7156692703914529E-2</v>
      </c>
      <c r="I421" s="71">
        <f t="shared" si="46"/>
        <v>0.18383039502582349</v>
      </c>
      <c r="L421" s="74"/>
      <c r="M421" s="74"/>
      <c r="N421" s="74"/>
      <c r="O421" s="74"/>
      <c r="P421" s="74"/>
      <c r="Q421" s="74"/>
      <c r="R421" s="74"/>
      <c r="S421" s="74"/>
      <c r="T421" s="74"/>
      <c r="U421" s="74"/>
      <c r="V421" s="74"/>
      <c r="W421" s="74"/>
      <c r="X421" s="74"/>
      <c r="Y421" s="74"/>
      <c r="Z421" s="74"/>
    </row>
    <row r="422" spans="1:26" x14ac:dyDescent="0.3">
      <c r="A422" s="66">
        <f t="shared" si="44"/>
        <v>2031.4999999999623</v>
      </c>
      <c r="B422" s="67">
        <f>LOOKUP(A422+0.01,Amounts!$A$4:$A$103,Amounts!$B$4:$B$103)*0.1*$A$2</f>
        <v>0</v>
      </c>
      <c r="C422" s="68">
        <f t="shared" si="43"/>
        <v>902907.24633514904</v>
      </c>
      <c r="D422" s="67">
        <f t="array" ref="D422">SUM($B$7:$B417*$F$1009*EXP(-$F$1009*($A422-$A$7:$A417)))*$F$1010</f>
        <v>33248194.927880652</v>
      </c>
      <c r="E422" s="67">
        <f t="shared" si="41"/>
        <v>63.384748477331989</v>
      </c>
      <c r="F422" s="70">
        <f t="shared" si="45"/>
        <v>3.8487219275435982</v>
      </c>
      <c r="G422" s="67">
        <f>E422/'Lookup Tables'!$C$48</f>
        <v>126.76949695466398</v>
      </c>
      <c r="H422" s="70">
        <f t="shared" si="42"/>
        <v>3.6897504073546368E-2</v>
      </c>
      <c r="I422" s="71">
        <f t="shared" si="46"/>
        <v>0.18254807561471614</v>
      </c>
      <c r="L422" s="74"/>
      <c r="M422" s="74"/>
      <c r="N422" s="74"/>
      <c r="O422" s="74"/>
      <c r="P422" s="74"/>
      <c r="Q422" s="74"/>
      <c r="R422" s="74"/>
      <c r="S422" s="74"/>
      <c r="T422" s="74"/>
      <c r="U422" s="74"/>
      <c r="V422" s="74"/>
      <c r="W422" s="74"/>
      <c r="X422" s="74"/>
      <c r="Y422" s="74"/>
      <c r="Z422" s="74"/>
    </row>
    <row r="423" spans="1:26" x14ac:dyDescent="0.3">
      <c r="A423" s="66">
        <f t="shared" si="44"/>
        <v>2031.5999999999622</v>
      </c>
      <c r="B423" s="67">
        <f>LOOKUP(A423+0.01,Amounts!$A$4:$A$103,Amounts!$B$4:$B$103)*0.1*$A$2</f>
        <v>0</v>
      </c>
      <c r="C423" s="68">
        <f t="shared" si="43"/>
        <v>902907.24633514904</v>
      </c>
      <c r="D423" s="67">
        <f t="array" ref="D423">SUM($B$7:$B418*$F$1009*EXP(-$F$1009*($A423-$A$7:$A418)))*$F$1010</f>
        <v>33016270.246794514</v>
      </c>
      <c r="E423" s="67">
        <f t="shared" si="41"/>
        <v>62.942604547166233</v>
      </c>
      <c r="F423" s="70">
        <f t="shared" si="45"/>
        <v>3.8218749481039342</v>
      </c>
      <c r="G423" s="67">
        <f>E423/'Lookup Tables'!$C$48</f>
        <v>125.88520909433247</v>
      </c>
      <c r="H423" s="70">
        <f t="shared" si="42"/>
        <v>3.6640123428260396E-2</v>
      </c>
      <c r="I423" s="71">
        <f t="shared" si="46"/>
        <v>0.18127470109583876</v>
      </c>
      <c r="L423" s="74"/>
      <c r="M423" s="74"/>
      <c r="N423" s="74"/>
      <c r="O423" s="74"/>
      <c r="P423" s="74"/>
      <c r="Q423" s="74"/>
      <c r="R423" s="74"/>
      <c r="S423" s="74"/>
      <c r="T423" s="74"/>
      <c r="U423" s="74"/>
      <c r="V423" s="74"/>
      <c r="W423" s="74"/>
      <c r="X423" s="74"/>
      <c r="Y423" s="74"/>
      <c r="Z423" s="74"/>
    </row>
    <row r="424" spans="1:26" x14ac:dyDescent="0.3">
      <c r="A424" s="66">
        <f t="shared" si="44"/>
        <v>2031.6999999999621</v>
      </c>
      <c r="B424" s="67">
        <f>LOOKUP(A424+0.01,Amounts!$A$4:$A$103,Amounts!$B$4:$B$103)*0.1*$A$2</f>
        <v>0</v>
      </c>
      <c r="C424" s="68">
        <f t="shared" si="43"/>
        <v>902907.24633514904</v>
      </c>
      <c r="D424" s="67">
        <f t="array" ref="D424">SUM($B$7:$B419*$F$1009*EXP(-$F$1009*($A424-$A$7:$A419)))*$F$1010</f>
        <v>32785963.369556479</v>
      </c>
      <c r="E424" s="67">
        <f t="shared" si="41"/>
        <v>62.503544817217062</v>
      </c>
      <c r="F424" s="70">
        <f t="shared" si="45"/>
        <v>3.79521524130142</v>
      </c>
      <c r="G424" s="67">
        <f>E424/'Lookup Tables'!$C$48</f>
        <v>125.00708963443412</v>
      </c>
      <c r="H424" s="70">
        <f t="shared" si="42"/>
        <v>3.6384538156353487E-2</v>
      </c>
      <c r="I424" s="71">
        <f t="shared" si="46"/>
        <v>0.18001020907358514</v>
      </c>
      <c r="L424" s="74"/>
      <c r="M424" s="74"/>
      <c r="N424" s="74"/>
      <c r="O424" s="74"/>
      <c r="P424" s="74"/>
      <c r="Q424" s="74"/>
      <c r="R424" s="74"/>
      <c r="S424" s="74"/>
      <c r="T424" s="74"/>
      <c r="U424" s="74"/>
      <c r="V424" s="74"/>
      <c r="W424" s="74"/>
      <c r="X424" s="74"/>
      <c r="Y424" s="74"/>
      <c r="Z424" s="74"/>
    </row>
    <row r="425" spans="1:26" x14ac:dyDescent="0.3">
      <c r="A425" s="66">
        <f t="shared" si="44"/>
        <v>2031.799999999962</v>
      </c>
      <c r="B425" s="67">
        <f>LOOKUP(A425+0.01,Amounts!$A$4:$A$103,Amounts!$B$4:$B$103)*0.1*$A$2</f>
        <v>0</v>
      </c>
      <c r="C425" s="68">
        <f t="shared" si="43"/>
        <v>902907.24633514904</v>
      </c>
      <c r="D425" s="67">
        <f t="array" ref="D425">SUM($B$7:$B420*$F$1009*EXP(-$F$1009*($A425-$A$7:$A420)))*$F$1010</f>
        <v>32557263.011083487</v>
      </c>
      <c r="E425" s="67">
        <f t="shared" si="41"/>
        <v>62.067547773469876</v>
      </c>
      <c r="F425" s="70">
        <f t="shared" si="45"/>
        <v>3.7687415008050911</v>
      </c>
      <c r="G425" s="67">
        <f>E425/'Lookup Tables'!$C$48</f>
        <v>124.13509554693975</v>
      </c>
      <c r="H425" s="70">
        <f t="shared" si="42"/>
        <v>3.6130735734096198E-2</v>
      </c>
      <c r="I425" s="71">
        <f t="shared" si="46"/>
        <v>0.17875453758759324</v>
      </c>
      <c r="L425" s="74"/>
      <c r="M425" s="74"/>
      <c r="N425" s="74"/>
      <c r="O425" s="74"/>
      <c r="P425" s="74"/>
      <c r="Q425" s="74"/>
      <c r="R425" s="74"/>
      <c r="S425" s="74"/>
      <c r="T425" s="74"/>
      <c r="U425" s="74"/>
      <c r="V425" s="74"/>
      <c r="W425" s="74"/>
      <c r="X425" s="74"/>
      <c r="Y425" s="74"/>
      <c r="Z425" s="74"/>
    </row>
    <row r="426" spans="1:26" x14ac:dyDescent="0.3">
      <c r="A426" s="66">
        <f t="shared" si="44"/>
        <v>2031.8999999999619</v>
      </c>
      <c r="B426" s="67">
        <f>LOOKUP(A426+0.01,Amounts!$A$4:$A$103,Amounts!$B$4:$B$103)*0.1*$A$2</f>
        <v>0</v>
      </c>
      <c r="C426" s="68">
        <f t="shared" si="43"/>
        <v>902907.24633514904</v>
      </c>
      <c r="D426" s="67">
        <f t="array" ref="D426">SUM($B$7:$B421*$F$1009*EXP(-$F$1009*($A426-$A$7:$A421)))*$F$1010</f>
        <v>32330157.965012193</v>
      </c>
      <c r="E426" s="67">
        <f t="shared" si="41"/>
        <v>61.634592051982246</v>
      </c>
      <c r="F426" s="70">
        <f t="shared" si="45"/>
        <v>3.7424524293963621</v>
      </c>
      <c r="G426" s="67">
        <f>E426/'Lookup Tables'!$C$48</f>
        <v>123.26918410396449</v>
      </c>
      <c r="H426" s="70">
        <f t="shared" si="42"/>
        <v>3.5878703725119018E-2</v>
      </c>
      <c r="I426" s="71">
        <f t="shared" si="46"/>
        <v>0.17750762510970886</v>
      </c>
      <c r="L426" s="74"/>
      <c r="M426" s="74"/>
      <c r="N426" s="74"/>
      <c r="O426" s="74"/>
      <c r="P426" s="74"/>
      <c r="Q426" s="74"/>
      <c r="R426" s="74"/>
      <c r="S426" s="74"/>
      <c r="T426" s="74"/>
      <c r="U426" s="74"/>
      <c r="V426" s="74"/>
      <c r="W426" s="74"/>
      <c r="X426" s="74"/>
      <c r="Y426" s="74"/>
      <c r="Z426" s="74"/>
    </row>
    <row r="427" spans="1:26" x14ac:dyDescent="0.3">
      <c r="A427" s="66">
        <f t="shared" si="44"/>
        <v>2031.9999999999618</v>
      </c>
      <c r="B427" s="67">
        <f>LOOKUP(A427+0.01,Amounts!$A$4:$A$103,Amounts!$B$4:$B$103)*0.1*$A$2</f>
        <v>0</v>
      </c>
      <c r="C427" s="68">
        <f t="shared" si="43"/>
        <v>902907.24633514904</v>
      </c>
      <c r="D427" s="67">
        <f t="array" ref="D427">SUM($B$7:$B422*$F$1009*EXP(-$F$1009*($A427-$A$7:$A422)))*$F$1010</f>
        <v>32104637.103149928</v>
      </c>
      <c r="E427" s="67">
        <f t="shared" si="41"/>
        <v>61.204656437837258</v>
      </c>
      <c r="F427" s="70">
        <f t="shared" si="45"/>
        <v>3.7163467389054783</v>
      </c>
      <c r="G427" s="67">
        <f>E427/'Lookup Tables'!$C$48</f>
        <v>122.40931287567452</v>
      </c>
      <c r="H427" s="70">
        <f t="shared" si="42"/>
        <v>3.5628429779803135E-2</v>
      </c>
      <c r="I427" s="71">
        <f t="shared" si="46"/>
        <v>0.17626941054097131</v>
      </c>
      <c r="L427" s="74"/>
      <c r="M427" s="74"/>
      <c r="N427" s="74"/>
      <c r="O427" s="74"/>
      <c r="P427" s="74"/>
      <c r="Q427" s="74"/>
      <c r="R427" s="74"/>
      <c r="S427" s="74"/>
      <c r="T427" s="74"/>
      <c r="U427" s="74"/>
      <c r="V427" s="74"/>
      <c r="W427" s="74"/>
      <c r="X427" s="74"/>
      <c r="Y427" s="74"/>
      <c r="Z427" s="74"/>
    </row>
    <row r="428" spans="1:26" x14ac:dyDescent="0.3">
      <c r="A428" s="66">
        <f t="shared" si="44"/>
        <v>2032.0999999999617</v>
      </c>
      <c r="B428" s="67">
        <f>LOOKUP(A428+0.01,Amounts!$A$4:$A$103,Amounts!$B$4:$B$103)*0.1*$A$2</f>
        <v>0</v>
      </c>
      <c r="C428" s="68">
        <f t="shared" si="43"/>
        <v>902907.24633514904</v>
      </c>
      <c r="D428" s="67">
        <f t="array" ref="D428">SUM($B$7:$B423*$F$1009*EXP(-$F$1009*($A428-$A$7:$A423)))*$F$1010</f>
        <v>31880689.374929324</v>
      </c>
      <c r="E428" s="67">
        <f t="shared" si="41"/>
        <v>60.777719864103751</v>
      </c>
      <c r="F428" s="70">
        <f t="shared" si="45"/>
        <v>3.6904231501483795</v>
      </c>
      <c r="G428" s="67">
        <f>E428/'Lookup Tables'!$C$48</f>
        <v>121.5554397282075</v>
      </c>
      <c r="H428" s="70">
        <f t="shared" si="42"/>
        <v>3.5379901634675096E-2</v>
      </c>
      <c r="I428" s="71">
        <f t="shared" si="46"/>
        <v>0.17503983320861879</v>
      </c>
      <c r="L428" s="74"/>
      <c r="M428" s="74"/>
      <c r="N428" s="74"/>
      <c r="O428" s="74"/>
      <c r="P428" s="74"/>
      <c r="Q428" s="74"/>
      <c r="R428" s="74"/>
      <c r="S428" s="74"/>
      <c r="T428" s="74"/>
      <c r="U428" s="74"/>
      <c r="V428" s="74"/>
      <c r="W428" s="74"/>
      <c r="X428" s="74"/>
      <c r="Y428" s="74"/>
      <c r="Z428" s="74"/>
    </row>
    <row r="429" spans="1:26" x14ac:dyDescent="0.3">
      <c r="A429" s="66">
        <f t="shared" si="44"/>
        <v>2032.1999999999616</v>
      </c>
      <c r="B429" s="67">
        <f>LOOKUP(A429+0.01,Amounts!$A$4:$A$103,Amounts!$B$4:$B$103)*0.1*$A$2</f>
        <v>0</v>
      </c>
      <c r="C429" s="68">
        <f t="shared" si="43"/>
        <v>902907.24633514904</v>
      </c>
      <c r="D429" s="67">
        <f t="array" ref="D429">SUM($B$7:$B424*$F$1009*EXP(-$F$1009*($A429-$A$7:$A424)))*$F$1010</f>
        <v>31658303.806866899</v>
      </c>
      <c r="E429" s="67">
        <f t="shared" si="41"/>
        <v>60.353761410804232</v>
      </c>
      <c r="F429" s="70">
        <f t="shared" si="45"/>
        <v>3.6646803928640326</v>
      </c>
      <c r="G429" s="67">
        <f>E429/'Lookup Tables'!$C$48</f>
        <v>120.70752282160846</v>
      </c>
      <c r="H429" s="70">
        <f t="shared" si="42"/>
        <v>3.5133107111806117E-2</v>
      </c>
      <c r="I429" s="71">
        <f t="shared" si="46"/>
        <v>0.17381883286311617</v>
      </c>
      <c r="L429" s="74"/>
      <c r="M429" s="74"/>
      <c r="N429" s="74"/>
      <c r="O429" s="74"/>
      <c r="P429" s="74"/>
      <c r="Q429" s="74"/>
      <c r="R429" s="74"/>
      <c r="S429" s="74"/>
      <c r="T429" s="74"/>
      <c r="U429" s="74"/>
      <c r="V429" s="74"/>
      <c r="W429" s="74"/>
      <c r="X429" s="74"/>
      <c r="Y429" s="74"/>
      <c r="Z429" s="74"/>
    </row>
    <row r="430" spans="1:26" x14ac:dyDescent="0.3">
      <c r="A430" s="66">
        <f t="shared" si="44"/>
        <v>2032.2999999999615</v>
      </c>
      <c r="B430" s="67">
        <f>LOOKUP(A430+0.01,Amounts!$A$4:$A$103,Amounts!$B$4:$B$103)*0.1*$A$2</f>
        <v>0</v>
      </c>
      <c r="C430" s="68">
        <f t="shared" si="43"/>
        <v>902907.24633514904</v>
      </c>
      <c r="D430" s="67">
        <f t="array" ref="D430">SUM($B$7:$B425*$F$1009*EXP(-$F$1009*($A430-$A$7:$A425)))*$F$1010</f>
        <v>31437469.502025317</v>
      </c>
      <c r="E430" s="67">
        <f t="shared" si="41"/>
        <v>59.932760303889637</v>
      </c>
      <c r="F430" s="70">
        <f t="shared" si="45"/>
        <v>3.6391172056521786</v>
      </c>
      <c r="G430" s="67">
        <f>E430/'Lookup Tables'!$C$48</f>
        <v>119.86552060777927</v>
      </c>
      <c r="H430" s="70">
        <f t="shared" si="42"/>
        <v>3.4888034118215179E-2</v>
      </c>
      <c r="I430" s="71">
        <f t="shared" si="46"/>
        <v>0.17260634967520216</v>
      </c>
      <c r="L430" s="74"/>
      <c r="M430" s="74"/>
      <c r="N430" s="74"/>
      <c r="O430" s="74"/>
      <c r="P430" s="74"/>
      <c r="Q430" s="74"/>
      <c r="R430" s="74"/>
      <c r="S430" s="74"/>
      <c r="T430" s="74"/>
      <c r="U430" s="74"/>
      <c r="V430" s="74"/>
      <c r="W430" s="74"/>
      <c r="X430" s="74"/>
      <c r="Y430" s="74"/>
      <c r="Z430" s="74"/>
    </row>
    <row r="431" spans="1:26" x14ac:dyDescent="0.3">
      <c r="A431" s="66">
        <f t="shared" si="44"/>
        <v>2032.3999999999614</v>
      </c>
      <c r="B431" s="67">
        <f>LOOKUP(A431+0.01,Amounts!$A$4:$A$103,Amounts!$B$4:$B$103)*0.1*$A$2</f>
        <v>0</v>
      </c>
      <c r="C431" s="68">
        <f t="shared" si="43"/>
        <v>902907.24633514904</v>
      </c>
      <c r="D431" s="67">
        <f t="array" ref="D431">SUM($B$7:$B426*$F$1009*EXP(-$F$1009*($A431-$A$7:$A426)))*$F$1010</f>
        <v>31218175.639479458</v>
      </c>
      <c r="E431" s="67">
        <f t="shared" si="41"/>
        <v>59.514695914221484</v>
      </c>
      <c r="F431" s="70">
        <f t="shared" si="45"/>
        <v>3.6137323359115281</v>
      </c>
      <c r="G431" s="67">
        <f>E431/'Lookup Tables'!$C$48</f>
        <v>119.02939182844297</v>
      </c>
      <c r="H431" s="70">
        <f t="shared" si="42"/>
        <v>3.4644670645276536E-2</v>
      </c>
      <c r="I431" s="71">
        <f t="shared" si="46"/>
        <v>0.17140232423295784</v>
      </c>
      <c r="L431" s="74"/>
      <c r="M431" s="74"/>
      <c r="N431" s="74"/>
      <c r="O431" s="74"/>
      <c r="P431" s="74"/>
      <c r="Q431" s="74"/>
      <c r="R431" s="74"/>
      <c r="S431" s="74"/>
      <c r="T431" s="74"/>
      <c r="U431" s="74"/>
      <c r="V431" s="74"/>
      <c r="W431" s="74"/>
      <c r="X431" s="74"/>
      <c r="Y431" s="74"/>
      <c r="Z431" s="74"/>
    </row>
    <row r="432" spans="1:26" x14ac:dyDescent="0.3">
      <c r="A432" s="66">
        <f t="shared" si="44"/>
        <v>2032.4999999999613</v>
      </c>
      <c r="B432" s="67">
        <f>LOOKUP(A432+0.01,Amounts!$A$4:$A$103,Amounts!$B$4:$B$103)*0.1*$A$2</f>
        <v>0</v>
      </c>
      <c r="C432" s="68">
        <f t="shared" si="43"/>
        <v>902907.24633514904</v>
      </c>
      <c r="D432" s="67">
        <f t="array" ref="D432">SUM($B$7:$B427*$F$1009*EXP(-$F$1009*($A432-$A$7:$A427)))*$F$1010</f>
        <v>31000411.473786172</v>
      </c>
      <c r="E432" s="67">
        <f t="shared" si="41"/>
        <v>59.099547756561037</v>
      </c>
      <c r="F432" s="70">
        <f t="shared" si="45"/>
        <v>3.588524539778386</v>
      </c>
      <c r="G432" s="67">
        <f>E432/'Lookup Tables'!$C$48</f>
        <v>118.19909551312207</v>
      </c>
      <c r="H432" s="70">
        <f t="shared" si="42"/>
        <v>3.4403004768131351E-2</v>
      </c>
      <c r="I432" s="71">
        <f t="shared" si="46"/>
        <v>0.17020669753889581</v>
      </c>
      <c r="L432" s="74"/>
      <c r="M432" s="74"/>
      <c r="N432" s="74"/>
      <c r="O432" s="74"/>
      <c r="P432" s="74"/>
      <c r="Q432" s="74"/>
      <c r="R432" s="74"/>
      <c r="S432" s="74"/>
      <c r="T432" s="74"/>
      <c r="U432" s="74"/>
      <c r="V432" s="74"/>
      <c r="W432" s="74"/>
      <c r="X432" s="74"/>
      <c r="Y432" s="74"/>
      <c r="Z432" s="74"/>
    </row>
    <row r="433" spans="1:26" x14ac:dyDescent="0.3">
      <c r="A433" s="66">
        <f t="shared" si="44"/>
        <v>2032.5999999999613</v>
      </c>
      <c r="B433" s="67">
        <f>LOOKUP(A433+0.01,Amounts!$A$4:$A$103,Amounts!$B$4:$B$103)*0.1*$A$2</f>
        <v>0</v>
      </c>
      <c r="C433" s="68">
        <f t="shared" si="43"/>
        <v>902907.24633514904</v>
      </c>
      <c r="D433" s="67">
        <f t="array" ref="D433">SUM($B$7:$B428*$F$1009*EXP(-$F$1009*($A433-$A$7:$A428)))*$F$1010</f>
        <v>30784166.334457785</v>
      </c>
      <c r="E433" s="67">
        <f t="shared" si="41"/>
        <v>58.687295488565539</v>
      </c>
      <c r="F433" s="70">
        <f t="shared" si="45"/>
        <v>3.5634925820656997</v>
      </c>
      <c r="G433" s="67">
        <f>E433/'Lookup Tables'!$C$48</f>
        <v>117.37459097713108</v>
      </c>
      <c r="H433" s="70">
        <f t="shared" si="42"/>
        <v>3.4163024645103297E-2</v>
      </c>
      <c r="I433" s="71">
        <f t="shared" si="46"/>
        <v>0.16901941100706877</v>
      </c>
      <c r="L433" s="74"/>
      <c r="M433" s="74"/>
      <c r="N433" s="74"/>
      <c r="O433" s="74"/>
      <c r="P433" s="74"/>
      <c r="Q433" s="74"/>
      <c r="R433" s="74"/>
      <c r="S433" s="74"/>
      <c r="T433" s="74"/>
      <c r="U433" s="74"/>
      <c r="V433" s="74"/>
      <c r="W433" s="74"/>
      <c r="X433" s="74"/>
      <c r="Y433" s="74"/>
      <c r="Z433" s="74"/>
    </row>
    <row r="434" spans="1:26" x14ac:dyDescent="0.3">
      <c r="A434" s="66">
        <f t="shared" si="44"/>
        <v>2032.6999999999612</v>
      </c>
      <c r="B434" s="67">
        <f>LOOKUP(A434+0.01,Amounts!$A$4:$A$103,Amounts!$B$4:$B$103)*0.1*$A$2</f>
        <v>0</v>
      </c>
      <c r="C434" s="68">
        <f t="shared" si="43"/>
        <v>902907.24633514904</v>
      </c>
      <c r="D434" s="67">
        <f t="array" ref="D434">SUM($B$7:$B429*$F$1009*EXP(-$F$1009*($A434-$A$7:$A429)))*$F$1010</f>
        <v>30569429.625439178</v>
      </c>
      <c r="E434" s="67">
        <f t="shared" si="41"/>
        <v>58.27791890979131</v>
      </c>
      <c r="F434" s="70">
        <f t="shared" si="45"/>
        <v>3.5386352362025284</v>
      </c>
      <c r="G434" s="67">
        <f>E434/'Lookup Tables'!$C$48</f>
        <v>116.55583781958262</v>
      </c>
      <c r="H434" s="70">
        <f t="shared" si="42"/>
        <v>3.3924718517118285E-2</v>
      </c>
      <c r="I434" s="71">
        <f t="shared" si="46"/>
        <v>0.16784040646019899</v>
      </c>
      <c r="L434" s="74"/>
      <c r="M434" s="74"/>
      <c r="N434" s="74"/>
      <c r="O434" s="74"/>
      <c r="P434" s="74"/>
      <c r="Q434" s="74"/>
      <c r="R434" s="74"/>
      <c r="S434" s="74"/>
      <c r="T434" s="74"/>
      <c r="U434" s="74"/>
      <c r="V434" s="74"/>
      <c r="W434" s="74"/>
      <c r="X434" s="74"/>
      <c r="Y434" s="74"/>
      <c r="Z434" s="74"/>
    </row>
    <row r="435" spans="1:26" x14ac:dyDescent="0.3">
      <c r="A435" s="66">
        <f t="shared" si="44"/>
        <v>2032.7999999999611</v>
      </c>
      <c r="B435" s="67">
        <f>LOOKUP(A435+0.01,Amounts!$A$4:$A$103,Amounts!$B$4:$B$103)*0.1*$A$2</f>
        <v>0</v>
      </c>
      <c r="C435" s="68">
        <f t="shared" si="43"/>
        <v>902907.24633514904</v>
      </c>
      <c r="D435" s="67">
        <f t="array" ref="D435">SUM($B$7:$B430*$F$1009*EXP(-$F$1009*($A435-$A$7:$A430)))*$F$1010</f>
        <v>30356190.82458866</v>
      </c>
      <c r="E435" s="67">
        <f t="shared" si="41"/>
        <v>57.871397960704122</v>
      </c>
      <c r="F435" s="70">
        <f t="shared" si="45"/>
        <v>3.5139512841739542</v>
      </c>
      <c r="G435" s="67">
        <f>E435/'Lookup Tables'!$C$48</f>
        <v>115.74279592140824</v>
      </c>
      <c r="H435" s="70">
        <f t="shared" si="42"/>
        <v>3.3688074707128403E-2</v>
      </c>
      <c r="I435" s="71">
        <f t="shared" si="46"/>
        <v>0.16666962612682787</v>
      </c>
      <c r="L435" s="74"/>
      <c r="M435" s="74"/>
      <c r="N435" s="74"/>
      <c r="O435" s="74"/>
      <c r="P435" s="74"/>
      <c r="Q435" s="74"/>
      <c r="R435" s="74"/>
      <c r="S435" s="74"/>
      <c r="T435" s="74"/>
      <c r="U435" s="74"/>
      <c r="V435" s="74"/>
      <c r="W435" s="74"/>
      <c r="X435" s="74"/>
      <c r="Y435" s="74"/>
      <c r="Z435" s="74"/>
    </row>
    <row r="436" spans="1:26" x14ac:dyDescent="0.3">
      <c r="A436" s="66">
        <f t="shared" si="44"/>
        <v>2032.899999999961</v>
      </c>
      <c r="B436" s="67">
        <f>LOOKUP(A436+0.01,Amounts!$A$4:$A$103,Amounts!$B$4:$B$103)*0.1*$A$2</f>
        <v>0</v>
      </c>
      <c r="C436" s="68">
        <f t="shared" si="43"/>
        <v>902907.24633514904</v>
      </c>
      <c r="D436" s="67">
        <f t="array" ref="D436">SUM($B$7:$B431*$F$1009*EXP(-$F$1009*($A436-$A$7:$A431)))*$F$1010</f>
        <v>30144439.483162329</v>
      </c>
      <c r="E436" s="67">
        <f t="shared" si="41"/>
        <v>57.467712721696131</v>
      </c>
      <c r="F436" s="70">
        <f t="shared" si="45"/>
        <v>3.4894395164613892</v>
      </c>
      <c r="G436" s="67">
        <f>E436/'Lookup Tables'!$C$48</f>
        <v>114.93542544339226</v>
      </c>
      <c r="H436" s="70">
        <f t="shared" si="42"/>
        <v>3.3453081619539596E-2</v>
      </c>
      <c r="I436" s="71">
        <f t="shared" si="46"/>
        <v>0.16550701263848486</v>
      </c>
      <c r="L436" s="74"/>
      <c r="M436" s="74"/>
      <c r="N436" s="74"/>
      <c r="O436" s="74"/>
      <c r="P436" s="74"/>
      <c r="Q436" s="74"/>
      <c r="R436" s="74"/>
      <c r="S436" s="74"/>
      <c r="T436" s="74"/>
      <c r="U436" s="74"/>
      <c r="V436" s="74"/>
      <c r="W436" s="74"/>
      <c r="X436" s="74"/>
      <c r="Y436" s="74"/>
      <c r="Z436" s="74"/>
    </row>
    <row r="437" spans="1:26" x14ac:dyDescent="0.3">
      <c r="A437" s="66">
        <f t="shared" si="44"/>
        <v>2032.9999999999609</v>
      </c>
      <c r="B437" s="67">
        <f>LOOKUP(A437+0.01,Amounts!$A$4:$A$103,Amounts!$B$4:$B$103)*0.1*$A$2</f>
        <v>0</v>
      </c>
      <c r="C437" s="68">
        <f t="shared" si="43"/>
        <v>902907.24633514904</v>
      </c>
      <c r="D437" s="67">
        <f t="array" ref="D437">SUM($B$7:$B432*$F$1009*EXP(-$F$1009*($A437-$A$7:$A432)))*$F$1010</f>
        <v>29934165.225302093</v>
      </c>
      <c r="E437" s="67">
        <f t="shared" si="41"/>
        <v>57.066843412109876</v>
      </c>
      <c r="F437" s="70">
        <f t="shared" si="45"/>
        <v>3.465098731983312</v>
      </c>
      <c r="G437" s="67">
        <f>E437/'Lookup Tables'!$C$48</f>
        <v>114.13368682421975</v>
      </c>
      <c r="H437" s="70">
        <f t="shared" si="42"/>
        <v>3.321972773964358E-2</v>
      </c>
      <c r="I437" s="71">
        <f t="shared" si="46"/>
        <v>0.16435250902687645</v>
      </c>
      <c r="L437" s="74"/>
      <c r="M437" s="74"/>
      <c r="N437" s="74"/>
      <c r="O437" s="74"/>
      <c r="P437" s="74"/>
      <c r="Q437" s="74"/>
      <c r="R437" s="74"/>
      <c r="S437" s="74"/>
      <c r="T437" s="74"/>
      <c r="U437" s="74"/>
      <c r="V437" s="74"/>
      <c r="W437" s="74"/>
      <c r="X437" s="74"/>
      <c r="Y437" s="74"/>
      <c r="Z437" s="74"/>
    </row>
    <row r="438" spans="1:26" x14ac:dyDescent="0.3">
      <c r="A438" s="66">
        <f t="shared" si="44"/>
        <v>2033.0999999999608</v>
      </c>
      <c r="B438" s="67">
        <f>LOOKUP(A438+0.01,Amounts!$A$4:$A$103,Amounts!$B$4:$B$103)*0.1*$A$2</f>
        <v>0</v>
      </c>
      <c r="C438" s="68">
        <f t="shared" si="43"/>
        <v>902907.24633514904</v>
      </c>
      <c r="D438" s="67">
        <f t="array" ref="D438">SUM($B$7:$B433*$F$1009*EXP(-$F$1009*($A438-$A$7:$A433)))*$F$1010</f>
        <v>29725357.747527227</v>
      </c>
      <c r="E438" s="67">
        <f t="shared" si="41"/>
        <v>56.66877038926895</v>
      </c>
      <c r="F438" s="70">
        <f t="shared" si="45"/>
        <v>3.4409277380364105</v>
      </c>
      <c r="G438" s="67">
        <f>E438/'Lookup Tables'!$C$48</f>
        <v>113.3375407785379</v>
      </c>
      <c r="H438" s="70">
        <f t="shared" si="42"/>
        <v>3.2988001633053522E-2</v>
      </c>
      <c r="I438" s="71">
        <f t="shared" si="46"/>
        <v>0.16320605872109456</v>
      </c>
      <c r="L438" s="74"/>
      <c r="M438" s="74"/>
      <c r="N438" s="74"/>
      <c r="O438" s="74"/>
      <c r="P438" s="74"/>
      <c r="Q438" s="74"/>
      <c r="R438" s="74"/>
      <c r="S438" s="74"/>
      <c r="T438" s="74"/>
      <c r="U438" s="74"/>
      <c r="V438" s="74"/>
      <c r="W438" s="74"/>
      <c r="X438" s="74"/>
      <c r="Y438" s="74"/>
      <c r="Z438" s="74"/>
    </row>
    <row r="439" spans="1:26" x14ac:dyDescent="0.3">
      <c r="A439" s="66">
        <f t="shared" si="44"/>
        <v>2033.1999999999607</v>
      </c>
      <c r="B439" s="67">
        <f>LOOKUP(A439+0.01,Amounts!$A$4:$A$103,Amounts!$B$4:$B$103)*0.1*$A$2</f>
        <v>0</v>
      </c>
      <c r="C439" s="68">
        <f t="shared" si="43"/>
        <v>902907.24633514904</v>
      </c>
      <c r="D439" s="67">
        <f t="array" ref="D439">SUM($B$7:$B434*$F$1009*EXP(-$F$1009*($A439-$A$7:$A434)))*$F$1010</f>
        <v>29518006.818229534</v>
      </c>
      <c r="E439" s="67">
        <f t="shared" si="41"/>
        <v>56.273474147515557</v>
      </c>
      <c r="F439" s="70">
        <f t="shared" si="45"/>
        <v>3.4169253502371446</v>
      </c>
      <c r="G439" s="67">
        <f>E439/'Lookup Tables'!$C$48</f>
        <v>112.54694829503111</v>
      </c>
      <c r="H439" s="70">
        <f t="shared" si="42"/>
        <v>3.2757891945143836E-2</v>
      </c>
      <c r="I439" s="71">
        <f t="shared" si="46"/>
        <v>0.16206760554484481</v>
      </c>
      <c r="L439" s="74"/>
      <c r="M439" s="74"/>
      <c r="N439" s="74"/>
      <c r="O439" s="74"/>
      <c r="P439" s="74"/>
      <c r="Q439" s="74"/>
      <c r="R439" s="74"/>
      <c r="S439" s="74"/>
      <c r="T439" s="74"/>
      <c r="U439" s="74"/>
      <c r="V439" s="74"/>
      <c r="W439" s="74"/>
      <c r="X439" s="74"/>
      <c r="Y439" s="74"/>
      <c r="Z439" s="74"/>
    </row>
    <row r="440" spans="1:26" x14ac:dyDescent="0.3">
      <c r="A440" s="66">
        <f t="shared" si="44"/>
        <v>2033.2999999999606</v>
      </c>
      <c r="B440" s="67">
        <f>LOOKUP(A440+0.01,Amounts!$A$4:$A$103,Amounts!$B$4:$B$103)*0.1*$A$2</f>
        <v>0</v>
      </c>
      <c r="C440" s="68">
        <f t="shared" si="43"/>
        <v>902907.24633514904</v>
      </c>
      <c r="D440" s="67">
        <f t="array" ref="D440">SUM($B$7:$B435*$F$1009*EXP(-$F$1009*($A440-$A$7:$A435)))*$F$1010</f>
        <v>29312102.277171999</v>
      </c>
      <c r="E440" s="67">
        <f t="shared" si="41"/>
        <v>55.880935317254789</v>
      </c>
      <c r="F440" s="70">
        <f t="shared" si="45"/>
        <v>3.3930903924637112</v>
      </c>
      <c r="G440" s="67">
        <f>E440/'Lookup Tables'!$C$48</f>
        <v>111.76187063450958</v>
      </c>
      <c r="H440" s="70">
        <f t="shared" si="42"/>
        <v>3.2529387400493763E-2</v>
      </c>
      <c r="I440" s="71">
        <f t="shared" si="46"/>
        <v>0.16093709371369377</v>
      </c>
      <c r="L440" s="74"/>
      <c r="M440" s="74"/>
      <c r="N440" s="74"/>
      <c r="O440" s="74"/>
      <c r="P440" s="74"/>
      <c r="Q440" s="74"/>
      <c r="R440" s="74"/>
      <c r="S440" s="74"/>
      <c r="T440" s="74"/>
      <c r="U440" s="74"/>
      <c r="V440" s="74"/>
      <c r="W440" s="74"/>
      <c r="X440" s="74"/>
      <c r="Y440" s="74"/>
      <c r="Z440" s="74"/>
    </row>
    <row r="441" spans="1:26" x14ac:dyDescent="0.3">
      <c r="A441" s="66">
        <f t="shared" si="44"/>
        <v>2033.3999999999605</v>
      </c>
      <c r="B441" s="67">
        <f>LOOKUP(A441+0.01,Amounts!$A$4:$A$103,Amounts!$B$4:$B$103)*0.1*$A$2</f>
        <v>0</v>
      </c>
      <c r="C441" s="68">
        <f t="shared" si="43"/>
        <v>902907.24633514904</v>
      </c>
      <c r="D441" s="67">
        <f t="array" ref="D441">SUM($B$7:$B436*$F$1009*EXP(-$F$1009*($A441-$A$7:$A436)))*$F$1010</f>
        <v>29107634.034990929</v>
      </c>
      <c r="E441" s="67">
        <f t="shared" si="41"/>
        <v>55.49113466400545</v>
      </c>
      <c r="F441" s="70">
        <f t="shared" si="45"/>
        <v>3.3694216967984105</v>
      </c>
      <c r="G441" s="67">
        <f>E441/'Lookup Tables'!$C$48</f>
        <v>110.9822693280109</v>
      </c>
      <c r="H441" s="70">
        <f t="shared" si="42"/>
        <v>3.2302476802334931E-2</v>
      </c>
      <c r="I441" s="71">
        <f t="shared" si="46"/>
        <v>0.15981446783233569</v>
      </c>
      <c r="L441" s="74"/>
      <c r="M441" s="74"/>
      <c r="N441" s="74"/>
      <c r="O441" s="74"/>
      <c r="P441" s="74"/>
      <c r="Q441" s="74"/>
      <c r="R441" s="74"/>
      <c r="S441" s="74"/>
      <c r="T441" s="74"/>
      <c r="U441" s="74"/>
      <c r="V441" s="74"/>
      <c r="W441" s="74"/>
      <c r="X441" s="74"/>
      <c r="Y441" s="74"/>
      <c r="Z441" s="74"/>
    </row>
    <row r="442" spans="1:26" x14ac:dyDescent="0.3">
      <c r="A442" s="66">
        <f t="shared" si="44"/>
        <v>2033.4999999999604</v>
      </c>
      <c r="B442" s="67">
        <f>LOOKUP(A442+0.01,Amounts!$A$4:$A$103,Amounts!$B$4:$B$103)*0.1*$A$2</f>
        <v>0</v>
      </c>
      <c r="C442" s="68">
        <f t="shared" si="43"/>
        <v>902907.24633514904</v>
      </c>
      <c r="D442" s="67">
        <f t="array" ref="D442">SUM($B$7:$B437*$F$1009*EXP(-$F$1009*($A442-$A$7:$A437)))*$F$1010</f>
        <v>28904592.072701525</v>
      </c>
      <c r="E442" s="67">
        <f t="shared" si="41"/>
        <v>55.104053087457487</v>
      </c>
      <c r="F442" s="70">
        <f t="shared" si="45"/>
        <v>3.3459181034704186</v>
      </c>
      <c r="G442" s="67">
        <f>E442/'Lookup Tables'!$C$48</f>
        <v>110.20810617491497</v>
      </c>
      <c r="H442" s="70">
        <f t="shared" si="42"/>
        <v>3.2077149032002594E-2</v>
      </c>
      <c r="I442" s="71">
        <f t="shared" si="46"/>
        <v>0.15869967289187756</v>
      </c>
      <c r="L442" s="74"/>
      <c r="M442" s="74"/>
      <c r="N442" s="74"/>
      <c r="O442" s="74"/>
      <c r="P442" s="74"/>
      <c r="Q442" s="74"/>
      <c r="R442" s="74"/>
      <c r="S442" s="74"/>
      <c r="T442" s="74"/>
      <c r="U442" s="74"/>
      <c r="V442" s="74"/>
      <c r="W442" s="74"/>
      <c r="X442" s="74"/>
      <c r="Y442" s="74"/>
      <c r="Z442" s="74"/>
    </row>
    <row r="443" spans="1:26" x14ac:dyDescent="0.3">
      <c r="A443" s="66">
        <f t="shared" si="44"/>
        <v>2033.5999999999603</v>
      </c>
      <c r="B443" s="67">
        <f>LOOKUP(A443+0.01,Amounts!$A$4:$A$103,Amounts!$B$4:$B$103)*0.1*$A$2</f>
        <v>0</v>
      </c>
      <c r="C443" s="68">
        <f t="shared" si="43"/>
        <v>902907.24633514904</v>
      </c>
      <c r="D443" s="67">
        <f t="array" ref="D443">SUM($B$7:$B438*$F$1009*EXP(-$F$1009*($A443-$A$7:$A438)))*$F$1010</f>
        <v>28702966.441207018</v>
      </c>
      <c r="E443" s="67">
        <f t="shared" si="41"/>
        <v>54.719671620536239</v>
      </c>
      <c r="F443" s="70">
        <f t="shared" si="45"/>
        <v>3.3225784607989608</v>
      </c>
      <c r="G443" s="67">
        <f>E443/'Lookup Tables'!$C$48</f>
        <v>109.43934324107248</v>
      </c>
      <c r="H443" s="70">
        <f t="shared" si="42"/>
        <v>3.1853393048390945E-2</v>
      </c>
      <c r="I443" s="71">
        <f t="shared" si="46"/>
        <v>0.15759265426714436</v>
      </c>
      <c r="L443" s="74"/>
      <c r="M443" s="74"/>
      <c r="N443" s="74"/>
      <c r="O443" s="74"/>
      <c r="P443" s="74"/>
      <c r="Q443" s="74"/>
      <c r="R443" s="74"/>
      <c r="S443" s="74"/>
      <c r="T443" s="74"/>
      <c r="U443" s="74"/>
      <c r="V443" s="74"/>
      <c r="W443" s="74"/>
      <c r="X443" s="74"/>
      <c r="Y443" s="74"/>
      <c r="Z443" s="74"/>
    </row>
    <row r="444" spans="1:26" x14ac:dyDescent="0.3">
      <c r="A444" s="66">
        <f t="shared" si="44"/>
        <v>2033.6999999999603</v>
      </c>
      <c r="B444" s="67">
        <f>LOOKUP(A444+0.01,Amounts!$A$4:$A$103,Amounts!$B$4:$B$103)*0.1*$A$2</f>
        <v>0</v>
      </c>
      <c r="C444" s="68">
        <f t="shared" si="43"/>
        <v>902907.24633514904</v>
      </c>
      <c r="D444" s="67">
        <f t="array" ref="D444">SUM($B$7:$B439*$F$1009*EXP(-$F$1009*($A444-$A$7:$A439)))*$F$1010</f>
        <v>28502747.260811139</v>
      </c>
      <c r="E444" s="67">
        <f t="shared" si="41"/>
        <v>54.337971428472933</v>
      </c>
      <c r="F444" s="70">
        <f t="shared" si="45"/>
        <v>3.2994016251368765</v>
      </c>
      <c r="G444" s="67">
        <f>E444/'Lookup Tables'!$C$48</f>
        <v>108.67594285694587</v>
      </c>
      <c r="H444" s="70">
        <f t="shared" si="42"/>
        <v>3.1631197887412026E-2</v>
      </c>
      <c r="I444" s="71">
        <f t="shared" si="46"/>
        <v>0.15649335771400205</v>
      </c>
      <c r="L444" s="74"/>
      <c r="M444" s="74"/>
      <c r="N444" s="74"/>
      <c r="O444" s="74"/>
      <c r="P444" s="74"/>
      <c r="Q444" s="74"/>
      <c r="R444" s="74"/>
      <c r="S444" s="74"/>
      <c r="T444" s="74"/>
      <c r="U444" s="74"/>
      <c r="V444" s="74"/>
      <c r="W444" s="74"/>
      <c r="X444" s="74"/>
      <c r="Y444" s="74"/>
      <c r="Z444" s="74"/>
    </row>
    <row r="445" spans="1:26" x14ac:dyDescent="0.3">
      <c r="A445" s="66">
        <f t="shared" si="44"/>
        <v>2033.7999999999602</v>
      </c>
      <c r="B445" s="67">
        <f>LOOKUP(A445+0.01,Amounts!$A$4:$A$103,Amounts!$B$4:$B$103)*0.1*$A$2</f>
        <v>0</v>
      </c>
      <c r="C445" s="68">
        <f t="shared" si="43"/>
        <v>902907.24633514904</v>
      </c>
      <c r="D445" s="67">
        <f t="array" ref="D445">SUM($B$7:$B440*$F$1009*EXP(-$F$1009*($A445-$A$7:$A440)))*$F$1010</f>
        <v>28303924.720733959</v>
      </c>
      <c r="E445" s="67">
        <f t="shared" si="41"/>
        <v>53.958933807881728</v>
      </c>
      <c r="F445" s="70">
        <f t="shared" si="45"/>
        <v>3.2763864608145785</v>
      </c>
      <c r="G445" s="67">
        <f>E445/'Lookup Tables'!$C$48</f>
        <v>107.91786761576346</v>
      </c>
      <c r="H445" s="70">
        <f t="shared" si="42"/>
        <v>3.1410552661458452E-2</v>
      </c>
      <c r="I445" s="71">
        <f t="shared" si="46"/>
        <v>0.15540172936669938</v>
      </c>
      <c r="L445" s="74"/>
      <c r="M445" s="74"/>
      <c r="N445" s="74"/>
      <c r="O445" s="74"/>
      <c r="P445" s="74"/>
      <c r="Q445" s="74"/>
      <c r="R445" s="74"/>
      <c r="S445" s="74"/>
      <c r="T445" s="74"/>
      <c r="U445" s="74"/>
      <c r="V445" s="74"/>
      <c r="W445" s="74"/>
      <c r="X445" s="74"/>
      <c r="Y445" s="74"/>
      <c r="Z445" s="74"/>
    </row>
    <row r="446" spans="1:26" x14ac:dyDescent="0.3">
      <c r="A446" s="66">
        <f t="shared" si="44"/>
        <v>2033.8999999999601</v>
      </c>
      <c r="B446" s="67">
        <f>LOOKUP(A446+0.01,Amounts!$A$4:$A$103,Amounts!$B$4:$B$103)*0.1*$A$2</f>
        <v>0</v>
      </c>
      <c r="C446" s="68">
        <f t="shared" si="43"/>
        <v>902907.24633514904</v>
      </c>
      <c r="D446" s="67">
        <f t="array" ref="D446">SUM($B$7:$B441*$F$1009*EXP(-$F$1009*($A446-$A$7:$A441)))*$F$1010</f>
        <v>28106489.078631237</v>
      </c>
      <c r="E446" s="67">
        <f t="shared" si="41"/>
        <v>53.582540185843392</v>
      </c>
      <c r="F446" s="70">
        <f t="shared" si="45"/>
        <v>3.2535318400844107</v>
      </c>
      <c r="G446" s="67">
        <f>E446/'Lookup Tables'!$C$48</f>
        <v>107.16508037168678</v>
      </c>
      <c r="H446" s="70">
        <f t="shared" si="42"/>
        <v>3.1191446558870017E-2</v>
      </c>
      <c r="I446" s="71">
        <f t="shared" si="46"/>
        <v>0.15431771573522896</v>
      </c>
      <c r="L446" s="74"/>
      <c r="M446" s="74"/>
      <c r="N446" s="74"/>
      <c r="O446" s="74"/>
      <c r="P446" s="74"/>
      <c r="Q446" s="74"/>
      <c r="R446" s="74"/>
      <c r="S446" s="74"/>
      <c r="T446" s="74"/>
      <c r="U446" s="74"/>
      <c r="V446" s="74"/>
      <c r="W446" s="74"/>
      <c r="X446" s="74"/>
      <c r="Y446" s="74"/>
      <c r="Z446" s="74"/>
    </row>
    <row r="447" spans="1:26" x14ac:dyDescent="0.3">
      <c r="A447" s="66">
        <f t="shared" si="44"/>
        <v>2033.99999999996</v>
      </c>
      <c r="B447" s="67">
        <f>LOOKUP(A447+0.01,Amounts!$A$4:$A$103,Amounts!$B$4:$B$103)*0.1*$A$2</f>
        <v>0</v>
      </c>
      <c r="C447" s="68">
        <f t="shared" si="43"/>
        <v>902907.24633514904</v>
      </c>
      <c r="D447" s="67">
        <f t="array" ref="D447">SUM($B$7:$B442*$F$1009*EXP(-$F$1009*($A447-$A$7:$A442)))*$F$1010</f>
        <v>27910430.660117015</v>
      </c>
      <c r="E447" s="67">
        <f t="shared" si="41"/>
        <v>53.208772118995149</v>
      </c>
      <c r="F447" s="70">
        <f t="shared" si="45"/>
        <v>3.2308366430653854</v>
      </c>
      <c r="G447" s="67">
        <f>E447/'Lookup Tables'!$C$48</f>
        <v>106.4175442379903</v>
      </c>
      <c r="H447" s="70">
        <f t="shared" si="42"/>
        <v>3.0973868843403866E-2</v>
      </c>
      <c r="I447" s="71">
        <f t="shared" si="46"/>
        <v>0.15324126370270602</v>
      </c>
      <c r="L447" s="74"/>
      <c r="M447" s="74"/>
      <c r="N447" s="74"/>
      <c r="O447" s="74"/>
      <c r="P447" s="74"/>
      <c r="Q447" s="74"/>
      <c r="R447" s="74"/>
      <c r="S447" s="74"/>
      <c r="T447" s="74"/>
      <c r="U447" s="74"/>
      <c r="V447" s="74"/>
      <c r="W447" s="74"/>
      <c r="X447" s="74"/>
      <c r="Y447" s="74"/>
      <c r="Z447" s="74"/>
    </row>
    <row r="448" spans="1:26" x14ac:dyDescent="0.3">
      <c r="A448" s="66">
        <f t="shared" si="44"/>
        <v>2034.0999999999599</v>
      </c>
      <c r="B448" s="67">
        <f>LOOKUP(A448+0.01,Amounts!$A$4:$A$103,Amounts!$B$4:$B$103)*0.1*$A$2</f>
        <v>0</v>
      </c>
      <c r="C448" s="68">
        <f t="shared" si="43"/>
        <v>902907.24633514904</v>
      </c>
      <c r="D448" s="67">
        <f t="array" ref="D448">SUM($B$7:$B443*$F$1009*EXP(-$F$1009*($A448-$A$7:$A443)))*$F$1010</f>
        <v>27715739.858289558</v>
      </c>
      <c r="E448" s="67">
        <f t="shared" si="41"/>
        <v>52.837611292626946</v>
      </c>
      <c r="F448" s="70">
        <f t="shared" si="45"/>
        <v>3.2082997576883088</v>
      </c>
      <c r="G448" s="67">
        <f>E448/'Lookup Tables'!$C$48</f>
        <v>105.67522258525389</v>
      </c>
      <c r="H448" s="70">
        <f t="shared" si="42"/>
        <v>3.0757808853708411E-2</v>
      </c>
      <c r="I448" s="71">
        <f t="shared" si="46"/>
        <v>0.15217232052276564</v>
      </c>
      <c r="L448" s="74"/>
      <c r="M448" s="74"/>
      <c r="N448" s="74"/>
      <c r="O448" s="74"/>
      <c r="P448" s="74"/>
      <c r="Q448" s="74"/>
      <c r="R448" s="74"/>
      <c r="S448" s="74"/>
      <c r="T448" s="74"/>
      <c r="U448" s="74"/>
      <c r="V448" s="74"/>
      <c r="W448" s="74"/>
      <c r="X448" s="74"/>
      <c r="Y448" s="74"/>
      <c r="Z448" s="74"/>
    </row>
    <row r="449" spans="1:26" x14ac:dyDescent="0.3">
      <c r="A449" s="66">
        <f t="shared" si="44"/>
        <v>2034.1999999999598</v>
      </c>
      <c r="B449" s="67">
        <f>LOOKUP(A449+0.01,Amounts!$A$4:$A$103,Amounts!$B$4:$B$103)*0.1*$A$2</f>
        <v>0</v>
      </c>
      <c r="C449" s="68">
        <f t="shared" si="43"/>
        <v>902907.24633514904</v>
      </c>
      <c r="D449" s="67">
        <f t="array" ref="D449">SUM($B$7:$B444*$F$1009*EXP(-$F$1009*($A449-$A$7:$A444)))*$F$1010</f>
        <v>27522407.133260619</v>
      </c>
      <c r="E449" s="67">
        <f t="shared" si="41"/>
        <v>52.469039519784005</v>
      </c>
      <c r="F449" s="70">
        <f t="shared" si="45"/>
        <v>3.185920079641285</v>
      </c>
      <c r="G449" s="67">
        <f>E449/'Lookup Tables'!$C$48</f>
        <v>104.93807903956801</v>
      </c>
      <c r="H449" s="70">
        <f t="shared" si="42"/>
        <v>3.0543256002800896E-2</v>
      </c>
      <c r="I449" s="71">
        <f t="shared" si="46"/>
        <v>0.15111083381697793</v>
      </c>
      <c r="L449" s="74"/>
      <c r="M449" s="74"/>
      <c r="N449" s="74"/>
      <c r="O449" s="74"/>
      <c r="P449" s="74"/>
      <c r="Q449" s="74"/>
      <c r="R449" s="74"/>
      <c r="S449" s="74"/>
      <c r="T449" s="74"/>
      <c r="U449" s="74"/>
      <c r="V449" s="74"/>
      <c r="W449" s="74"/>
      <c r="X449" s="74"/>
      <c r="Y449" s="74"/>
      <c r="Z449" s="74"/>
    </row>
    <row r="450" spans="1:26" x14ac:dyDescent="0.3">
      <c r="A450" s="66">
        <f t="shared" si="44"/>
        <v>2034.2999999999597</v>
      </c>
      <c r="B450" s="67">
        <f>LOOKUP(A450+0.01,Amounts!$A$4:$A$103,Amounts!$B$4:$B$103)*0.1*$A$2</f>
        <v>0</v>
      </c>
      <c r="C450" s="68">
        <f t="shared" si="43"/>
        <v>902907.24633514904</v>
      </c>
      <c r="D450" s="67">
        <f t="array" ref="D450">SUM($B$7:$B445*$F$1009*EXP(-$F$1009*($A450-$A$7:$A445)))*$F$1010</f>
        <v>27330423.011688001</v>
      </c>
      <c r="E450" s="67">
        <f t="shared" si="41"/>
        <v>52.103038740375759</v>
      </c>
      <c r="F450" s="70">
        <f t="shared" si="45"/>
        <v>3.163696512315616</v>
      </c>
      <c r="G450" s="67">
        <f>E450/'Lookup Tables'!$C$48</f>
        <v>104.20607748075152</v>
      </c>
      <c r="H450" s="70">
        <f t="shared" si="42"/>
        <v>3.033019977754876E-2</v>
      </c>
      <c r="I450" s="71">
        <f t="shared" si="46"/>
        <v>0.15005675157228221</v>
      </c>
      <c r="L450" s="74"/>
      <c r="M450" s="74"/>
      <c r="N450" s="74"/>
      <c r="O450" s="74"/>
      <c r="P450" s="74"/>
      <c r="Q450" s="74"/>
      <c r="R450" s="74"/>
      <c r="S450" s="74"/>
      <c r="T450" s="74"/>
      <c r="U450" s="74"/>
      <c r="V450" s="74"/>
      <c r="W450" s="74"/>
      <c r="X450" s="74"/>
      <c r="Y450" s="74"/>
      <c r="Z450" s="74"/>
    </row>
    <row r="451" spans="1:26" x14ac:dyDescent="0.3">
      <c r="A451" s="66">
        <f t="shared" si="44"/>
        <v>2034.3999999999596</v>
      </c>
      <c r="B451" s="67">
        <f>LOOKUP(A451+0.01,Amounts!$A$4:$A$103,Amounts!$B$4:$B$103)*0.1*$A$2</f>
        <v>0</v>
      </c>
      <c r="C451" s="68">
        <f t="shared" si="43"/>
        <v>902907.24633514904</v>
      </c>
      <c r="D451" s="67">
        <f t="array" ref="D451">SUM($B$7:$B446*$F$1009*EXP(-$F$1009*($A451-$A$7:$A446)))*$F$1010</f>
        <v>27139778.086311318</v>
      </c>
      <c r="E451" s="67">
        <f t="shared" si="41"/>
        <v>51.739591020290725</v>
      </c>
      <c r="F451" s="70">
        <f t="shared" si="45"/>
        <v>3.1416279667520528</v>
      </c>
      <c r="G451" s="67">
        <f>E451/'Lookup Tables'!$C$48</f>
        <v>103.47918204058145</v>
      </c>
      <c r="H451" s="70">
        <f t="shared" si="42"/>
        <v>3.0118629738154271E-2</v>
      </c>
      <c r="I451" s="71">
        <f t="shared" si="46"/>
        <v>0.14901002213843728</v>
      </c>
      <c r="L451" s="74"/>
      <c r="M451" s="74"/>
      <c r="N451" s="74"/>
      <c r="O451" s="74"/>
      <c r="P451" s="74"/>
      <c r="Q451" s="74"/>
      <c r="R451" s="74"/>
      <c r="S451" s="74"/>
      <c r="T451" s="74"/>
      <c r="U451" s="74"/>
      <c r="V451" s="74"/>
      <c r="W451" s="74"/>
      <c r="X451" s="74"/>
      <c r="Y451" s="74"/>
      <c r="Z451" s="74"/>
    </row>
    <row r="452" spans="1:26" x14ac:dyDescent="0.3">
      <c r="A452" s="66">
        <f t="shared" si="44"/>
        <v>2034.4999999999595</v>
      </c>
      <c r="B452" s="67">
        <f>LOOKUP(A452+0.01,Amounts!$A$4:$A$103,Amounts!$B$4:$B$103)*0.1*$A$2</f>
        <v>0</v>
      </c>
      <c r="C452" s="68">
        <f t="shared" si="43"/>
        <v>902907.24633514904</v>
      </c>
      <c r="D452" s="67">
        <f t="array" ref="D452">SUM($B$7:$B447*$F$1009*EXP(-$F$1009*($A452-$A$7:$A447)))*$F$1010</f>
        <v>26950463.015491087</v>
      </c>
      <c r="E452" s="67">
        <f t="shared" si="41"/>
        <v>51.378678550517932</v>
      </c>
      <c r="F452" s="70">
        <f t="shared" si="45"/>
        <v>3.1197133615874484</v>
      </c>
      <c r="G452" s="67">
        <f>E452/'Lookup Tables'!$C$48</f>
        <v>102.75735710103586</v>
      </c>
      <c r="H452" s="70">
        <f t="shared" si="42"/>
        <v>2.9908535517643199E-2</v>
      </c>
      <c r="I452" s="71">
        <f t="shared" si="46"/>
        <v>0.14797059422549164</v>
      </c>
      <c r="L452" s="74"/>
      <c r="M452" s="74"/>
      <c r="N452" s="74"/>
      <c r="O452" s="74"/>
      <c r="P452" s="74"/>
      <c r="Q452" s="74"/>
      <c r="R452" s="74"/>
      <c r="S452" s="74"/>
      <c r="T452" s="74"/>
      <c r="U452" s="74"/>
      <c r="V452" s="74"/>
      <c r="W452" s="74"/>
      <c r="X452" s="74"/>
      <c r="Y452" s="74"/>
      <c r="Z452" s="74"/>
    </row>
    <row r="453" spans="1:26" x14ac:dyDescent="0.3">
      <c r="A453" s="66">
        <f t="shared" si="44"/>
        <v>2034.5999999999594</v>
      </c>
      <c r="B453" s="67">
        <f>LOOKUP(A453+0.01,Amounts!$A$4:$A$103,Amounts!$B$4:$B$103)*0.1*$A$2</f>
        <v>0</v>
      </c>
      <c r="C453" s="68">
        <f t="shared" si="43"/>
        <v>902907.24633514904</v>
      </c>
      <c r="D453" s="67">
        <f t="array" ref="D453">SUM($B$7:$B448*$F$1009*EXP(-$F$1009*($A453-$A$7:$A448)))*$F$1010</f>
        <v>26762468.522750955</v>
      </c>
      <c r="E453" s="67">
        <f t="shared" si="41"/>
        <v>51.020283646274137</v>
      </c>
      <c r="F453" s="70">
        <f t="shared" si="45"/>
        <v>3.0979516230017654</v>
      </c>
      <c r="G453" s="67">
        <f>E453/'Lookup Tables'!$C$48</f>
        <v>102.04056729254827</v>
      </c>
      <c r="H453" s="70">
        <f t="shared" si="42"/>
        <v>2.96999068213567E-2</v>
      </c>
      <c r="I453" s="71">
        <f t="shared" si="46"/>
        <v>0.14693841690126952</v>
      </c>
      <c r="L453" s="74"/>
      <c r="M453" s="74"/>
      <c r="N453" s="74"/>
      <c r="O453" s="74"/>
      <c r="P453" s="74"/>
      <c r="Q453" s="74"/>
      <c r="R453" s="74"/>
      <c r="S453" s="74"/>
      <c r="T453" s="74"/>
      <c r="U453" s="74"/>
      <c r="V453" s="74"/>
      <c r="W453" s="74"/>
      <c r="X453" s="74"/>
      <c r="Y453" s="74"/>
      <c r="Z453" s="74"/>
    </row>
    <row r="454" spans="1:26" x14ac:dyDescent="0.3">
      <c r="A454" s="66">
        <f t="shared" si="44"/>
        <v>2034.6999999999593</v>
      </c>
      <c r="B454" s="67">
        <f>LOOKUP(A454+0.01,Amounts!$A$4:$A$103,Amounts!$B$4:$B$103)*0.1*$A$2</f>
        <v>0</v>
      </c>
      <c r="C454" s="68">
        <f t="shared" si="43"/>
        <v>902907.24633514904</v>
      </c>
      <c r="D454" s="67">
        <f t="array" ref="D454">SUM($B$7:$B449*$F$1009*EXP(-$F$1009*($A454-$A$7:$A449)))*$F$1010</f>
        <v>26575785.396323174</v>
      </c>
      <c r="E454" s="67">
        <f t="shared" si="41"/>
        <v>50.664388746137334</v>
      </c>
      <c r="F454" s="70">
        <f t="shared" si="45"/>
        <v>3.0763416846654588</v>
      </c>
      <c r="G454" s="67">
        <f>E454/'Lookup Tables'!$C$48</f>
        <v>101.32877749227467</v>
      </c>
      <c r="H454" s="70">
        <f t="shared" si="42"/>
        <v>2.9492733426446906E-2</v>
      </c>
      <c r="I454" s="71">
        <f t="shared" si="46"/>
        <v>0.14591343958887551</v>
      </c>
      <c r="L454" s="74"/>
      <c r="M454" s="74"/>
      <c r="N454" s="74"/>
      <c r="O454" s="74"/>
      <c r="P454" s="74"/>
      <c r="Q454" s="74"/>
      <c r="R454" s="74"/>
      <c r="S454" s="74"/>
      <c r="T454" s="74"/>
      <c r="U454" s="74"/>
      <c r="V454" s="74"/>
      <c r="W454" s="74"/>
      <c r="X454" s="74"/>
      <c r="Y454" s="74"/>
      <c r="Z454" s="74"/>
    </row>
    <row r="455" spans="1:26" x14ac:dyDescent="0.3">
      <c r="A455" s="66">
        <f t="shared" si="44"/>
        <v>2034.7999999999593</v>
      </c>
      <c r="B455" s="67">
        <f>LOOKUP(A455+0.01,Amounts!$A$4:$A$103,Amounts!$B$4:$B$103)*0.1*$A$2</f>
        <v>0</v>
      </c>
      <c r="C455" s="68">
        <f t="shared" si="43"/>
        <v>902907.24633514904</v>
      </c>
      <c r="D455" s="67">
        <f t="array" ref="D455">SUM($B$7:$B450*$F$1009*EXP(-$F$1009*($A455-$A$7:$A450)))*$F$1010</f>
        <v>26390404.488697186</v>
      </c>
      <c r="E455" s="67">
        <f t="shared" ref="E455:E518" si="47">D455/(365*24*60)*1.00201</f>
        <v>50.310976411186203</v>
      </c>
      <c r="F455" s="70">
        <f t="shared" si="45"/>
        <v>3.0548824876872263</v>
      </c>
      <c r="G455" s="67">
        <f>E455/'Lookup Tables'!$C$48</f>
        <v>100.62195282237241</v>
      </c>
      <c r="H455" s="70">
        <f t="shared" ref="H455:H518" si="48">G455*60*24*365/(C455*2000)</f>
        <v>2.9287005181376027E-2</v>
      </c>
      <c r="I455" s="71">
        <f t="shared" si="46"/>
        <v>0.14489561206421628</v>
      </c>
      <c r="L455" s="74"/>
      <c r="M455" s="74"/>
      <c r="N455" s="74"/>
      <c r="O455" s="74"/>
      <c r="P455" s="74"/>
      <c r="Q455" s="74"/>
      <c r="R455" s="74"/>
      <c r="S455" s="74"/>
      <c r="T455" s="74"/>
      <c r="U455" s="74"/>
      <c r="V455" s="74"/>
      <c r="W455" s="74"/>
      <c r="X455" s="74"/>
      <c r="Y455" s="74"/>
      <c r="Z455" s="74"/>
    </row>
    <row r="456" spans="1:26" x14ac:dyDescent="0.3">
      <c r="A456" s="66">
        <f t="shared" si="44"/>
        <v>2034.8999999999592</v>
      </c>
      <c r="B456" s="67">
        <f>LOOKUP(A456+0.01,Amounts!$A$4:$A$103,Amounts!$B$4:$B$103)*0.1*$A$2</f>
        <v>0</v>
      </c>
      <c r="C456" s="68">
        <f t="shared" si="43"/>
        <v>902907.24633514904</v>
      </c>
      <c r="D456" s="67">
        <f t="array" ref="D456">SUM($B$7:$B451*$F$1009*EXP(-$F$1009*($A456-$A$7:$A451)))*$F$1010</f>
        <v>26206316.716171436</v>
      </c>
      <c r="E456" s="67">
        <f t="shared" si="47"/>
        <v>49.96002932414563</v>
      </c>
      <c r="F456" s="70">
        <f t="shared" si="45"/>
        <v>3.033572980562123</v>
      </c>
      <c r="G456" s="67">
        <f>E456/'Lookup Tables'!$C$48</f>
        <v>99.92005864829126</v>
      </c>
      <c r="H456" s="70">
        <f t="shared" si="48"/>
        <v>2.9082712005418881E-2</v>
      </c>
      <c r="I456" s="71">
        <f t="shared" si="46"/>
        <v>0.14388488445353942</v>
      </c>
      <c r="L456" s="74"/>
      <c r="M456" s="74"/>
      <c r="N456" s="74"/>
      <c r="O456" s="74"/>
      <c r="P456" s="74"/>
      <c r="Q456" s="74"/>
      <c r="R456" s="74"/>
      <c r="S456" s="74"/>
      <c r="T456" s="74"/>
      <c r="U456" s="74"/>
      <c r="V456" s="74"/>
      <c r="W456" s="74"/>
      <c r="X456" s="74"/>
      <c r="Y456" s="74"/>
      <c r="Z456" s="74"/>
    </row>
    <row r="457" spans="1:26" x14ac:dyDescent="0.3">
      <c r="A457" s="66">
        <f t="shared" si="44"/>
        <v>2034.9999999999591</v>
      </c>
      <c r="B457" s="67">
        <f>LOOKUP(A457+0.01,Amounts!$A$4:$A$103,Amounts!$B$4:$B$103)*0.1*$A$2</f>
        <v>0</v>
      </c>
      <c r="C457" s="68">
        <f t="shared" ref="C457:C520" si="49">C456+B457</f>
        <v>902907.24633514904</v>
      </c>
      <c r="D457" s="67">
        <f t="array" ref="D457">SUM($B$7:$B452*$F$1009*EXP(-$F$1009*($A457-$A$7:$A452)))*$F$1010</f>
        <v>26023513.058408242</v>
      </c>
      <c r="E457" s="67">
        <f t="shared" si="47"/>
        <v>49.611530288538141</v>
      </c>
      <c r="F457" s="70">
        <f t="shared" si="45"/>
        <v>3.0124121191200359</v>
      </c>
      <c r="G457" s="67">
        <f>E457/'Lookup Tables'!$C$48</f>
        <v>99.223060577076282</v>
      </c>
      <c r="H457" s="70">
        <f t="shared" si="48"/>
        <v>2.8879843888168992E-2</v>
      </c>
      <c r="I457" s="71">
        <f t="shared" si="46"/>
        <v>0.14288120723098985</v>
      </c>
      <c r="L457" s="74"/>
      <c r="M457" s="74"/>
      <c r="N457" s="74"/>
      <c r="O457" s="74"/>
      <c r="P457" s="74"/>
      <c r="Q457" s="74"/>
      <c r="R457" s="74"/>
      <c r="S457" s="74"/>
      <c r="T457" s="74"/>
      <c r="U457" s="74"/>
      <c r="V457" s="74"/>
      <c r="W457" s="74"/>
      <c r="X457" s="74"/>
      <c r="Y457" s="74"/>
      <c r="Z457" s="74"/>
    </row>
    <row r="458" spans="1:26" x14ac:dyDescent="0.3">
      <c r="A458" s="66">
        <f t="shared" si="44"/>
        <v>2035.099999999959</v>
      </c>
      <c r="B458" s="67">
        <f>LOOKUP(A458+0.01,Amounts!$A$4:$A$103,Amounts!$B$4:$B$103)*0.1*$A$2</f>
        <v>0</v>
      </c>
      <c r="C458" s="68">
        <f t="shared" si="49"/>
        <v>902907.24633514904</v>
      </c>
      <c r="D458" s="67">
        <f t="array" ref="D458">SUM($B$7:$B453*$F$1009*EXP(-$F$1009*($A458-$A$7:$A453)))*$F$1010</f>
        <v>25841984.557991777</v>
      </c>
      <c r="E458" s="67">
        <f t="shared" si="47"/>
        <v>49.265462227841212</v>
      </c>
      <c r="F458" s="70">
        <f t="shared" si="45"/>
        <v>2.9913988664745186</v>
      </c>
      <c r="G458" s="67">
        <f>E458/'Lookup Tables'!$C$48</f>
        <v>98.530924455682424</v>
      </c>
      <c r="H458" s="70">
        <f t="shared" si="48"/>
        <v>2.8678390889047983E-2</v>
      </c>
      <c r="I458" s="71">
        <f t="shared" si="46"/>
        <v>0.14188453121618269</v>
      </c>
      <c r="L458" s="74"/>
      <c r="M458" s="74"/>
      <c r="N458" s="74"/>
      <c r="O458" s="74"/>
      <c r="P458" s="74"/>
      <c r="Q458" s="74"/>
      <c r="R458" s="74"/>
      <c r="S458" s="74"/>
      <c r="T458" s="74"/>
      <c r="U458" s="74"/>
      <c r="V458" s="74"/>
      <c r="W458" s="74"/>
      <c r="X458" s="74"/>
      <c r="Y458" s="74"/>
      <c r="Z458" s="74"/>
    </row>
    <row r="459" spans="1:26" x14ac:dyDescent="0.3">
      <c r="A459" s="66">
        <f t="shared" si="44"/>
        <v>2035.1999999999589</v>
      </c>
      <c r="B459" s="67">
        <f>LOOKUP(A459+0.01,Amounts!$A$4:$A$103,Amounts!$B$4:$B$103)*0.1*$A$2</f>
        <v>0</v>
      </c>
      <c r="C459" s="68">
        <f t="shared" si="49"/>
        <v>902907.24633514904</v>
      </c>
      <c r="D459" s="67">
        <f t="array" ref="D459">SUM($B$7:$B454*$F$1009*EXP(-$F$1009*($A459-$A$7:$A454)))*$F$1010</f>
        <v>25661722.319989212</v>
      </c>
      <c r="E459" s="67">
        <f t="shared" si="47"/>
        <v>48.921808184650665</v>
      </c>
      <c r="F459" s="70">
        <f t="shared" si="45"/>
        <v>2.9705321929719881</v>
      </c>
      <c r="G459" s="67">
        <f>E459/'Lookup Tables'!$C$48</f>
        <v>97.84361636930133</v>
      </c>
      <c r="H459" s="70">
        <f t="shared" si="48"/>
        <v>2.8478343136818619E-2</v>
      </c>
      <c r="I459" s="71">
        <f t="shared" si="46"/>
        <v>0.1408948075717939</v>
      </c>
      <c r="L459" s="74"/>
      <c r="M459" s="74"/>
      <c r="N459" s="74"/>
      <c r="O459" s="74"/>
      <c r="P459" s="74"/>
      <c r="Q459" s="74"/>
      <c r="R459" s="74"/>
      <c r="S459" s="74"/>
      <c r="T459" s="74"/>
      <c r="U459" s="74"/>
      <c r="V459" s="74"/>
      <c r="W459" s="74"/>
      <c r="X459" s="74"/>
      <c r="Y459" s="74"/>
      <c r="Z459" s="74"/>
    </row>
    <row r="460" spans="1:26" x14ac:dyDescent="0.3">
      <c r="A460" s="66">
        <f t="shared" si="44"/>
        <v>2035.2999999999588</v>
      </c>
      <c r="B460" s="67">
        <f>LOOKUP(A460+0.01,Amounts!$A$4:$A$103,Amounts!$B$4:$B$103)*0.1*$A$2</f>
        <v>0</v>
      </c>
      <c r="C460" s="68">
        <f t="shared" si="49"/>
        <v>902907.24633514904</v>
      </c>
      <c r="D460" s="67">
        <f t="array" ref="D460">SUM($B$7:$B455*$F$1009*EXP(-$F$1009*($A460-$A$7:$A455)))*$F$1010</f>
        <v>25482717.51151482</v>
      </c>
      <c r="E460" s="67">
        <f t="shared" si="47"/>
        <v>48.580551319849633</v>
      </c>
      <c r="F460" s="70">
        <f t="shared" si="45"/>
        <v>2.9498110761412697</v>
      </c>
      <c r="G460" s="67">
        <f>E460/'Lookup Tables'!$C$48</f>
        <v>97.161102639699266</v>
      </c>
      <c r="H460" s="70">
        <f t="shared" si="48"/>
        <v>2.8279690829101017E-2</v>
      </c>
      <c r="I460" s="71">
        <f t="shared" si="46"/>
        <v>0.13991198780116695</v>
      </c>
      <c r="L460" s="74"/>
      <c r="M460" s="74"/>
      <c r="N460" s="74"/>
      <c r="O460" s="74"/>
      <c r="P460" s="74"/>
      <c r="Q460" s="74"/>
      <c r="R460" s="74"/>
      <c r="S460" s="74"/>
      <c r="T460" s="74"/>
      <c r="U460" s="74"/>
      <c r="V460" s="74"/>
      <c r="W460" s="74"/>
      <c r="X460" s="74"/>
      <c r="Y460" s="74"/>
      <c r="Z460" s="74"/>
    </row>
    <row r="461" spans="1:26" x14ac:dyDescent="0.3">
      <c r="A461" s="66">
        <f t="shared" si="44"/>
        <v>2035.3999999999587</v>
      </c>
      <c r="B461" s="67">
        <f>LOOKUP(A461+0.01,Amounts!$A$4:$A$103,Amounts!$B$4:$B$103)*0.1*$A$2</f>
        <v>0</v>
      </c>
      <c r="C461" s="68">
        <f t="shared" si="49"/>
        <v>902907.24633514904</v>
      </c>
      <c r="D461" s="67">
        <f t="array" ref="D461">SUM($B$7:$B456*$F$1009*EXP(-$F$1009*($A461-$A$7:$A456)))*$F$1010</f>
        <v>25304961.361297153</v>
      </c>
      <c r="E461" s="67">
        <f t="shared" si="47"/>
        <v>48.241674911783413</v>
      </c>
      <c r="F461" s="70">
        <f t="shared" si="45"/>
        <v>2.929234500643489</v>
      </c>
      <c r="G461" s="67">
        <f>E461/'Lookup Tables'!$C$48</f>
        <v>96.483349823566826</v>
      </c>
      <c r="H461" s="70">
        <f t="shared" si="48"/>
        <v>2.8082424231892323E-2</v>
      </c>
      <c r="I461" s="71">
        <f t="shared" si="46"/>
        <v>0.13893602374593622</v>
      </c>
      <c r="L461" s="74"/>
      <c r="M461" s="74"/>
      <c r="N461" s="74"/>
      <c r="O461" s="74"/>
      <c r="P461" s="74"/>
      <c r="Q461" s="74"/>
      <c r="R461" s="74"/>
      <c r="S461" s="74"/>
      <c r="T461" s="74"/>
      <c r="U461" s="74"/>
      <c r="V461" s="74"/>
      <c r="W461" s="74"/>
      <c r="X461" s="74"/>
      <c r="Y461" s="74"/>
      <c r="Z461" s="74"/>
    </row>
    <row r="462" spans="1:26" x14ac:dyDescent="0.3">
      <c r="A462" s="66">
        <f t="shared" si="44"/>
        <v>2035.4999999999586</v>
      </c>
      <c r="B462" s="67">
        <f>LOOKUP(A462+0.01,Amounts!$A$4:$A$103,Amounts!$B$4:$B$103)*0.1*$A$2</f>
        <v>0</v>
      </c>
      <c r="C462" s="68">
        <f t="shared" si="49"/>
        <v>902907.24633514904</v>
      </c>
      <c r="D462" s="67">
        <f t="array" ref="D462">SUM($B$7:$B457*$F$1009*EXP(-$F$1009*($A462-$A$7:$A457)))*$F$1010</f>
        <v>25128445.159249306</v>
      </c>
      <c r="E462" s="67">
        <f t="shared" si="47"/>
        <v>47.905162355440254</v>
      </c>
      <c r="F462" s="70">
        <f t="shared" si="45"/>
        <v>2.9088014582223325</v>
      </c>
      <c r="G462" s="67">
        <f>E462/'Lookup Tables'!$C$48</f>
        <v>95.810324710880508</v>
      </c>
      <c r="H462" s="70">
        <f t="shared" si="48"/>
        <v>2.7886533679089838E-2</v>
      </c>
      <c r="I462" s="71">
        <f t="shared" si="46"/>
        <v>0.13796686758366794</v>
      </c>
      <c r="L462" s="74"/>
      <c r="M462" s="74"/>
      <c r="N462" s="74"/>
      <c r="O462" s="74"/>
      <c r="P462" s="74"/>
      <c r="Q462" s="74"/>
      <c r="R462" s="74"/>
      <c r="S462" s="74"/>
      <c r="T462" s="74"/>
      <c r="U462" s="74"/>
      <c r="V462" s="74"/>
      <c r="W462" s="74"/>
      <c r="X462" s="74"/>
      <c r="Y462" s="74"/>
      <c r="Z462" s="74"/>
    </row>
    <row r="463" spans="1:26" x14ac:dyDescent="0.3">
      <c r="A463" s="66">
        <f t="shared" si="44"/>
        <v>2035.5999999999585</v>
      </c>
      <c r="B463" s="67">
        <f>LOOKUP(A463+0.01,Amounts!$A$4:$A$103,Amounts!$B$4:$B$103)*0.1*$A$2</f>
        <v>0</v>
      </c>
      <c r="C463" s="68">
        <f t="shared" si="49"/>
        <v>902907.24633514904</v>
      </c>
      <c r="D463" s="67">
        <f t="array" ref="D463">SUM($B$7:$B458*$F$1009*EXP(-$F$1009*($A463-$A$7:$A458)))*$F$1010</f>
        <v>24953160.256042045</v>
      </c>
      <c r="E463" s="67">
        <f t="shared" si="47"/>
        <v>47.570997161637543</v>
      </c>
      <c r="F463" s="70">
        <f t="shared" si="45"/>
        <v>2.8885109476546313</v>
      </c>
      <c r="G463" s="67">
        <f>E463/'Lookup Tables'!$C$48</f>
        <v>95.141994323275085</v>
      </c>
      <c r="H463" s="70">
        <f t="shared" si="48"/>
        <v>2.769200957201726E-2</v>
      </c>
      <c r="I463" s="71">
        <f t="shared" si="46"/>
        <v>0.13700447182551612</v>
      </c>
      <c r="L463" s="74"/>
      <c r="M463" s="74"/>
      <c r="N463" s="74"/>
      <c r="O463" s="74"/>
      <c r="P463" s="74"/>
      <c r="Q463" s="74"/>
      <c r="R463" s="74"/>
      <c r="S463" s="74"/>
      <c r="T463" s="74"/>
      <c r="U463" s="74"/>
      <c r="V463" s="74"/>
      <c r="W463" s="74"/>
      <c r="X463" s="74"/>
      <c r="Y463" s="74"/>
      <c r="Z463" s="74"/>
    </row>
    <row r="464" spans="1:26" x14ac:dyDescent="0.3">
      <c r="A464" s="66">
        <f t="shared" si="44"/>
        <v>2035.6999999999584</v>
      </c>
      <c r="B464" s="67">
        <f>LOOKUP(A464+0.01,Amounts!$A$4:$A$103,Amounts!$B$4:$B$103)*0.1*$A$2</f>
        <v>0</v>
      </c>
      <c r="C464" s="68">
        <f t="shared" si="49"/>
        <v>902907.24633514904</v>
      </c>
      <c r="D464" s="67">
        <f t="array" ref="D464">SUM($B$7:$B459*$F$1009*EXP(-$F$1009*($A464-$A$7:$A459)))*$F$1010</f>
        <v>24779098.062680051</v>
      </c>
      <c r="E464" s="67">
        <f t="shared" si="47"/>
        <v>47.239162956213924</v>
      </c>
      <c r="F464" s="70">
        <f t="shared" si="45"/>
        <v>2.8683619747013096</v>
      </c>
      <c r="G464" s="67">
        <f>E464/'Lookup Tables'!$C$48</f>
        <v>94.478325912427849</v>
      </c>
      <c r="H464" s="70">
        <f t="shared" si="48"/>
        <v>2.7498842378954426E-2</v>
      </c>
      <c r="I464" s="71">
        <f t="shared" si="46"/>
        <v>0.13604878931389611</v>
      </c>
      <c r="L464" s="74"/>
      <c r="M464" s="74"/>
      <c r="N464" s="74"/>
      <c r="O464" s="74"/>
      <c r="P464" s="74"/>
      <c r="Q464" s="74"/>
      <c r="R464" s="74"/>
      <c r="S464" s="74"/>
      <c r="T464" s="74"/>
      <c r="U464" s="74"/>
      <c r="V464" s="74"/>
      <c r="W464" s="74"/>
      <c r="X464" s="74"/>
      <c r="Y464" s="74"/>
      <c r="Z464" s="74"/>
    </row>
    <row r="465" spans="1:26" x14ac:dyDescent="0.3">
      <c r="A465" s="66">
        <f t="shared" si="44"/>
        <v>2035.7999999999583</v>
      </c>
      <c r="B465" s="67">
        <f>LOOKUP(A465+0.01,Amounts!$A$4:$A$103,Amounts!$B$4:$B$103)*0.1*$A$2</f>
        <v>0</v>
      </c>
      <c r="C465" s="68">
        <f t="shared" si="49"/>
        <v>902907.24633514904</v>
      </c>
      <c r="D465" s="67">
        <f t="array" ref="D465">SUM($B$7:$B460*$F$1009*EXP(-$F$1009*($A465-$A$7:$A460)))*$F$1010</f>
        <v>24606250.050081011</v>
      </c>
      <c r="E465" s="67">
        <f t="shared" si="47"/>
        <v>46.909643479226936</v>
      </c>
      <c r="F465" s="70">
        <f t="shared" si="45"/>
        <v>2.8483535520586596</v>
      </c>
      <c r="G465" s="67">
        <f>E465/'Lookup Tables'!$C$48</f>
        <v>93.819286958453873</v>
      </c>
      <c r="H465" s="70">
        <f t="shared" si="48"/>
        <v>2.7307022634670226E-2</v>
      </c>
      <c r="I465" s="71">
        <f t="shared" si="46"/>
        <v>0.13509977322017358</v>
      </c>
      <c r="L465" s="74"/>
      <c r="M465" s="74"/>
      <c r="N465" s="74"/>
      <c r="O465" s="74"/>
      <c r="P465" s="74"/>
      <c r="Q465" s="74"/>
      <c r="R465" s="74"/>
      <c r="S465" s="74"/>
      <c r="T465" s="74"/>
      <c r="U465" s="74"/>
      <c r="V465" s="74"/>
      <c r="W465" s="74"/>
      <c r="X465" s="74"/>
      <c r="Y465" s="74"/>
      <c r="Z465" s="74"/>
    </row>
    <row r="466" spans="1:26" x14ac:dyDescent="0.3">
      <c r="A466" s="66">
        <f t="shared" si="44"/>
        <v>2035.8999999999583</v>
      </c>
      <c r="B466" s="67">
        <f>LOOKUP(A466+0.01,Amounts!$A$4:$A$103,Amounts!$B$4:$B$103)*0.1*$A$2</f>
        <v>0</v>
      </c>
      <c r="C466" s="68">
        <f t="shared" si="49"/>
        <v>902907.24633514904</v>
      </c>
      <c r="D466" s="67">
        <f t="array" ref="D466">SUM($B$7:$B461*$F$1009*EXP(-$F$1009*($A466-$A$7:$A461)))*$F$1010</f>
        <v>24434607.748657748</v>
      </c>
      <c r="E466" s="67">
        <f t="shared" si="47"/>
        <v>46.582422584156298</v>
      </c>
      <c r="F466" s="70">
        <f t="shared" si="45"/>
        <v>2.8284846993099704</v>
      </c>
      <c r="G466" s="67">
        <f>E466/'Lookup Tables'!$C$48</f>
        <v>93.164845168312596</v>
      </c>
      <c r="H466" s="70">
        <f t="shared" si="48"/>
        <v>2.7116540939958814E-2</v>
      </c>
      <c r="I466" s="71">
        <f t="shared" si="46"/>
        <v>0.13415737704237013</v>
      </c>
      <c r="L466" s="74"/>
      <c r="M466" s="74"/>
      <c r="N466" s="74"/>
      <c r="O466" s="74"/>
      <c r="P466" s="74"/>
      <c r="Q466" s="74"/>
      <c r="R466" s="74"/>
      <c r="S466" s="74"/>
      <c r="T466" s="74"/>
      <c r="U466" s="74"/>
      <c r="V466" s="74"/>
      <c r="W466" s="74"/>
      <c r="X466" s="74"/>
      <c r="Y466" s="74"/>
      <c r="Z466" s="74"/>
    </row>
    <row r="467" spans="1:26" x14ac:dyDescent="0.3">
      <c r="A467" s="66">
        <f t="shared" ref="A467:A530" si="50">A466+0.1</f>
        <v>2035.9999999999582</v>
      </c>
      <c r="B467" s="67">
        <f>LOOKUP(A467+0.01,Amounts!$A$4:$A$103,Amounts!$B$4:$B$103)*0.1*$A$2</f>
        <v>0</v>
      </c>
      <c r="C467" s="68">
        <f t="shared" si="49"/>
        <v>902907.24633514904</v>
      </c>
      <c r="D467" s="67">
        <f t="array" ref="D467">SUM($B$7:$B462*$F$1009*EXP(-$F$1009*($A467-$A$7:$A462)))*$F$1010</f>
        <v>24264162.747903127</v>
      </c>
      <c r="E467" s="67">
        <f t="shared" si="47"/>
        <v>46.257484237112664</v>
      </c>
      <c r="F467" s="70">
        <f t="shared" ref="F467:F530" si="51">E467*60*1012/1000000</f>
        <v>2.8087544428774813</v>
      </c>
      <c r="G467" s="67">
        <f>E467/'Lookup Tables'!$C$48</f>
        <v>92.514968474225327</v>
      </c>
      <c r="H467" s="70">
        <f t="shared" si="48"/>
        <v>2.692738796117905E-2</v>
      </c>
      <c r="I467" s="71">
        <f t="shared" ref="I467:I530" si="52">G467*60*24/1000000</f>
        <v>0.13322155460288448</v>
      </c>
      <c r="L467" s="74"/>
      <c r="M467" s="74"/>
      <c r="N467" s="74"/>
      <c r="O467" s="74"/>
      <c r="P467" s="74"/>
      <c r="Q467" s="74"/>
      <c r="R467" s="74"/>
      <c r="S467" s="74"/>
      <c r="T467" s="74"/>
      <c r="U467" s="74"/>
      <c r="V467" s="74"/>
      <c r="W467" s="74"/>
      <c r="X467" s="74"/>
      <c r="Y467" s="74"/>
      <c r="Z467" s="74"/>
    </row>
    <row r="468" spans="1:26" x14ac:dyDescent="0.3">
      <c r="A468" s="66">
        <f t="shared" si="50"/>
        <v>2036.0999999999581</v>
      </c>
      <c r="B468" s="67">
        <f>LOOKUP(A468+0.01,Amounts!$A$4:$A$103,Amounts!$B$4:$B$103)*0.1*$A$2</f>
        <v>0</v>
      </c>
      <c r="C468" s="68">
        <f t="shared" si="49"/>
        <v>902907.24633514904</v>
      </c>
      <c r="D468" s="67">
        <f t="array" ref="D468">SUM($B$7:$B463*$F$1009*EXP(-$F$1009*($A468-$A$7:$A463)))*$F$1010</f>
        <v>24094906.695978004</v>
      </c>
      <c r="E468" s="67">
        <f t="shared" si="47"/>
        <v>45.934812516051984</v>
      </c>
      <c r="F468" s="70">
        <f t="shared" si="51"/>
        <v>2.7891618159746758</v>
      </c>
      <c r="G468" s="67">
        <f>E468/'Lookup Tables'!$C$48</f>
        <v>91.869625032103968</v>
      </c>
      <c r="H468" s="70">
        <f t="shared" si="48"/>
        <v>2.6739554429797082E-2</v>
      </c>
      <c r="I468" s="71">
        <f t="shared" si="52"/>
        <v>0.13229226004622971</v>
      </c>
      <c r="L468" s="74"/>
      <c r="M468" s="74"/>
      <c r="N468" s="74"/>
      <c r="O468" s="74"/>
      <c r="P468" s="74"/>
      <c r="Q468" s="74"/>
      <c r="R468" s="74"/>
      <c r="S468" s="74"/>
      <c r="T468" s="74"/>
      <c r="U468" s="74"/>
      <c r="V468" s="74"/>
      <c r="W468" s="74"/>
      <c r="X468" s="74"/>
      <c r="Y468" s="74"/>
      <c r="Z468" s="74"/>
    </row>
    <row r="469" spans="1:26" x14ac:dyDescent="0.3">
      <c r="A469" s="66">
        <f t="shared" si="50"/>
        <v>2036.199999999958</v>
      </c>
      <c r="B469" s="67">
        <f>LOOKUP(A469+0.01,Amounts!$A$4:$A$103,Amounts!$B$4:$B$103)*0.1*$A$2</f>
        <v>0</v>
      </c>
      <c r="C469" s="68">
        <f t="shared" si="49"/>
        <v>902907.24633514904</v>
      </c>
      <c r="D469" s="67">
        <f t="array" ref="D469">SUM($B$7:$B464*$F$1009*EXP(-$F$1009*($A469-$A$7:$A464)))*$F$1010</f>
        <v>23926831.299301993</v>
      </c>
      <c r="E469" s="67">
        <f t="shared" si="47"/>
        <v>45.614391609995415</v>
      </c>
      <c r="F469" s="70">
        <f t="shared" si="51"/>
        <v>2.7697058585589218</v>
      </c>
      <c r="G469" s="67">
        <f>E469/'Lookup Tables'!$C$48</f>
        <v>91.228783219990831</v>
      </c>
      <c r="H469" s="70">
        <f t="shared" si="48"/>
        <v>2.6553031141932342E-2</v>
      </c>
      <c r="I469" s="71">
        <f t="shared" si="52"/>
        <v>0.13136944783678681</v>
      </c>
      <c r="L469" s="74"/>
      <c r="M469" s="74"/>
      <c r="N469" s="74"/>
      <c r="O469" s="74"/>
      <c r="P469" s="74"/>
      <c r="Q469" s="74"/>
      <c r="R469" s="74"/>
      <c r="S469" s="74"/>
      <c r="T469" s="74"/>
      <c r="U469" s="74"/>
      <c r="V469" s="74"/>
      <c r="W469" s="74"/>
      <c r="X469" s="74"/>
      <c r="Y469" s="74"/>
      <c r="Z469" s="74"/>
    </row>
    <row r="470" spans="1:26" x14ac:dyDescent="0.3">
      <c r="A470" s="66">
        <f t="shared" si="50"/>
        <v>2036.2999999999579</v>
      </c>
      <c r="B470" s="67">
        <f>LOOKUP(A470+0.01,Amounts!$A$4:$A$103,Amounts!$B$4:$B$103)*0.1*$A$2</f>
        <v>0</v>
      </c>
      <c r="C470" s="68">
        <f t="shared" si="49"/>
        <v>902907.24633514904</v>
      </c>
      <c r="D470" s="67">
        <f t="array" ref="D470">SUM($B$7:$B465*$F$1009*EXP(-$F$1009*($A470-$A$7:$A465)))*$F$1010</f>
        <v>23759928.322147004</v>
      </c>
      <c r="E470" s="67">
        <f t="shared" si="47"/>
        <v>45.296205818254421</v>
      </c>
      <c r="F470" s="70">
        <f t="shared" si="51"/>
        <v>2.7503856172844081</v>
      </c>
      <c r="G470" s="67">
        <f>E470/'Lookup Tables'!$C$48</f>
        <v>90.592411636508842</v>
      </c>
      <c r="H470" s="70">
        <f t="shared" si="48"/>
        <v>2.6367808957906379E-2</v>
      </c>
      <c r="I470" s="71">
        <f t="shared" si="52"/>
        <v>0.13045307275657275</v>
      </c>
      <c r="L470" s="74"/>
      <c r="M470" s="74"/>
      <c r="N470" s="74"/>
      <c r="O470" s="74"/>
      <c r="P470" s="74"/>
      <c r="Q470" s="74"/>
      <c r="R470" s="74"/>
      <c r="S470" s="74"/>
      <c r="T470" s="74"/>
      <c r="U470" s="74"/>
      <c r="V470" s="74"/>
      <c r="W470" s="74"/>
      <c r="X470" s="74"/>
      <c r="Y470" s="74"/>
      <c r="Z470" s="74"/>
    </row>
    <row r="471" spans="1:26" x14ac:dyDescent="0.3">
      <c r="A471" s="66">
        <f t="shared" si="50"/>
        <v>2036.3999999999578</v>
      </c>
      <c r="B471" s="67">
        <f>LOOKUP(A471+0.01,Amounts!$A$4:$A$103,Amounts!$B$4:$B$103)*0.1*$A$2</f>
        <v>0</v>
      </c>
      <c r="C471" s="68">
        <f t="shared" si="49"/>
        <v>902907.24633514904</v>
      </c>
      <c r="D471" s="67">
        <f t="array" ref="D471">SUM($B$7:$B466*$F$1009*EXP(-$F$1009*($A471-$A$7:$A466)))*$F$1010</f>
        <v>23594189.586233772</v>
      </c>
      <c r="E471" s="67">
        <f t="shared" si="47"/>
        <v>44.98023954966154</v>
      </c>
      <c r="F471" s="70">
        <f t="shared" si="51"/>
        <v>2.7312001454554489</v>
      </c>
      <c r="G471" s="67">
        <f>E471/'Lookup Tables'!$C$48</f>
        <v>89.960479099323081</v>
      </c>
      <c r="H471" s="70">
        <f t="shared" si="48"/>
        <v>2.6183878801795114E-2</v>
      </c>
      <c r="I471" s="71">
        <f t="shared" si="52"/>
        <v>0.12954308990302524</v>
      </c>
      <c r="L471" s="74"/>
      <c r="M471" s="74"/>
      <c r="N471" s="74"/>
      <c r="O471" s="74"/>
      <c r="P471" s="74"/>
      <c r="Q471" s="74"/>
      <c r="R471" s="74"/>
      <c r="S471" s="74"/>
      <c r="T471" s="74"/>
      <c r="U471" s="74"/>
      <c r="V471" s="74"/>
      <c r="W471" s="74"/>
      <c r="X471" s="74"/>
      <c r="Y471" s="74"/>
      <c r="Z471" s="74"/>
    </row>
    <row r="472" spans="1:26" x14ac:dyDescent="0.3">
      <c r="A472" s="66">
        <f t="shared" si="50"/>
        <v>2036.4999999999577</v>
      </c>
      <c r="B472" s="67">
        <f>LOOKUP(A472+0.01,Amounts!$A$4:$A$103,Amounts!$B$4:$B$103)*0.1*$A$2</f>
        <v>0</v>
      </c>
      <c r="C472" s="68">
        <f t="shared" si="49"/>
        <v>902907.24633514904</v>
      </c>
      <c r="D472" s="67">
        <f t="array" ref="D472">SUM($B$7:$B467*$F$1009*EXP(-$F$1009*($A472-$A$7:$A467)))*$F$1010</f>
        <v>23429606.970331084</v>
      </c>
      <c r="E472" s="67">
        <f t="shared" si="47"/>
        <v>44.666477321806411</v>
      </c>
      <c r="F472" s="70">
        <f t="shared" si="51"/>
        <v>2.7121485029800856</v>
      </c>
      <c r="G472" s="67">
        <f>E472/'Lookup Tables'!$C$48</f>
        <v>89.332954643612823</v>
      </c>
      <c r="H472" s="70">
        <f t="shared" si="48"/>
        <v>2.60012316609841E-2</v>
      </c>
      <c r="I472" s="71">
        <f t="shared" si="52"/>
        <v>0.12863945468680246</v>
      </c>
      <c r="L472" s="74"/>
      <c r="M472" s="74"/>
      <c r="N472" s="74"/>
      <c r="O472" s="74"/>
      <c r="P472" s="74"/>
      <c r="Q472" s="74"/>
      <c r="R472" s="74"/>
      <c r="S472" s="74"/>
      <c r="T472" s="74"/>
      <c r="U472" s="74"/>
      <c r="V472" s="74"/>
      <c r="W472" s="74"/>
      <c r="X472" s="74"/>
      <c r="Y472" s="74"/>
      <c r="Z472" s="74"/>
    </row>
    <row r="473" spans="1:26" x14ac:dyDescent="0.3">
      <c r="A473" s="66">
        <f t="shared" si="50"/>
        <v>2036.5999999999576</v>
      </c>
      <c r="B473" s="67">
        <f>LOOKUP(A473+0.01,Amounts!$A$4:$A$103,Amounts!$B$4:$B$103)*0.1*$A$2</f>
        <v>0</v>
      </c>
      <c r="C473" s="68">
        <f t="shared" si="49"/>
        <v>902907.24633514904</v>
      </c>
      <c r="D473" s="67">
        <f t="array" ref="D473">SUM($B$7:$B468*$F$1009*EXP(-$F$1009*($A473-$A$7:$A468)))*$F$1010</f>
        <v>23266172.409857821</v>
      </c>
      <c r="E473" s="67">
        <f t="shared" si="47"/>
        <v>44.354903760277089</v>
      </c>
      <c r="F473" s="70">
        <f t="shared" si="51"/>
        <v>2.6932297563240248</v>
      </c>
      <c r="G473" s="67">
        <f>E473/'Lookup Tables'!$C$48</f>
        <v>88.709807520554179</v>
      </c>
      <c r="H473" s="70">
        <f t="shared" si="48"/>
        <v>2.5819858585726906E-2</v>
      </c>
      <c r="I473" s="71">
        <f t="shared" si="52"/>
        <v>0.12774212282959801</v>
      </c>
      <c r="L473" s="74"/>
      <c r="M473" s="74"/>
      <c r="N473" s="74"/>
      <c r="O473" s="74"/>
      <c r="P473" s="74"/>
      <c r="Q473" s="74"/>
      <c r="R473" s="74"/>
      <c r="S473" s="74"/>
      <c r="T473" s="74"/>
      <c r="U473" s="74"/>
      <c r="V473" s="74"/>
      <c r="W473" s="74"/>
      <c r="X473" s="74"/>
      <c r="Y473" s="74"/>
      <c r="Z473" s="74"/>
    </row>
    <row r="474" spans="1:26" x14ac:dyDescent="0.3">
      <c r="A474" s="66">
        <f t="shared" si="50"/>
        <v>2036.6999999999575</v>
      </c>
      <c r="B474" s="67">
        <f>LOOKUP(A474+0.01,Amounts!$A$4:$A$103,Amounts!$B$4:$B$103)*0.1*$A$2</f>
        <v>0</v>
      </c>
      <c r="C474" s="68">
        <f t="shared" si="49"/>
        <v>902907.24633514904</v>
      </c>
      <c r="D474" s="67">
        <f t="array" ref="D474">SUM($B$7:$B469*$F$1009*EXP(-$F$1009*($A474-$A$7:$A469)))*$F$1010</f>
        <v>23103877.89648781</v>
      </c>
      <c r="E474" s="67">
        <f t="shared" si="47"/>
        <v>44.045503597906681</v>
      </c>
      <c r="F474" s="70">
        <f t="shared" si="51"/>
        <v>2.674442978464894</v>
      </c>
      <c r="G474" s="67">
        <f>E474/'Lookup Tables'!$C$48</f>
        <v>88.091007195813361</v>
      </c>
      <c r="H474" s="70">
        <f t="shared" si="48"/>
        <v>2.5639750688706529E-2</v>
      </c>
      <c r="I474" s="71">
        <f t="shared" si="52"/>
        <v>0.12685105036197125</v>
      </c>
      <c r="L474" s="74"/>
      <c r="M474" s="74"/>
      <c r="N474" s="74"/>
      <c r="O474" s="74"/>
      <c r="P474" s="74"/>
      <c r="Q474" s="74"/>
      <c r="R474" s="74"/>
      <c r="S474" s="74"/>
      <c r="T474" s="74"/>
      <c r="U474" s="74"/>
      <c r="V474" s="74"/>
      <c r="W474" s="74"/>
      <c r="X474" s="74"/>
      <c r="Y474" s="74"/>
      <c r="Z474" s="74"/>
    </row>
    <row r="475" spans="1:26" x14ac:dyDescent="0.3">
      <c r="A475" s="66">
        <f t="shared" si="50"/>
        <v>2036.7999999999574</v>
      </c>
      <c r="B475" s="67">
        <f>LOOKUP(A475+0.01,Amounts!$A$4:$A$103,Amounts!$B$4:$B$103)*0.1*$A$2</f>
        <v>0</v>
      </c>
      <c r="C475" s="68">
        <f t="shared" si="49"/>
        <v>902907.24633514904</v>
      </c>
      <c r="D475" s="67">
        <f t="array" ref="D475">SUM($B$7:$B470*$F$1009*EXP(-$F$1009*($A475-$A$7:$A470)))*$F$1010</f>
        <v>22942715.477757443</v>
      </c>
      <c r="E475" s="67">
        <f t="shared" si="47"/>
        <v>43.738261674025374</v>
      </c>
      <c r="F475" s="70">
        <f t="shared" si="51"/>
        <v>2.6557872488468206</v>
      </c>
      <c r="G475" s="67">
        <f>E475/'Lookup Tables'!$C$48</f>
        <v>87.476523348050748</v>
      </c>
      <c r="H475" s="70">
        <f t="shared" si="48"/>
        <v>2.5460899144600004E-2</v>
      </c>
      <c r="I475" s="71">
        <f t="shared" si="52"/>
        <v>0.1259661936211931</v>
      </c>
      <c r="L475" s="74"/>
      <c r="M475" s="74"/>
      <c r="N475" s="74"/>
      <c r="O475" s="74"/>
      <c r="P475" s="74"/>
      <c r="Q475" s="74"/>
      <c r="R475" s="74"/>
      <c r="S475" s="74"/>
      <c r="T475" s="74"/>
      <c r="U475" s="74"/>
      <c r="V475" s="74"/>
      <c r="W475" s="74"/>
      <c r="X475" s="74"/>
      <c r="Y475" s="74"/>
      <c r="Z475" s="74"/>
    </row>
    <row r="476" spans="1:26" x14ac:dyDescent="0.3">
      <c r="A476" s="66">
        <f t="shared" si="50"/>
        <v>2036.8999999999573</v>
      </c>
      <c r="B476" s="67">
        <f>LOOKUP(A476+0.01,Amounts!$A$4:$A$103,Amounts!$B$4:$B$103)*0.1*$A$2</f>
        <v>0</v>
      </c>
      <c r="C476" s="68">
        <f t="shared" si="49"/>
        <v>902907.24633514904</v>
      </c>
      <c r="D476" s="67">
        <f t="array" ref="D476">SUM($B$7:$B471*$F$1009*EXP(-$F$1009*($A476-$A$7:$A471)))*$F$1010</f>
        <v>22782677.256675944</v>
      </c>
      <c r="E476" s="67">
        <f t="shared" si="47"/>
        <v>43.433162933717398</v>
      </c>
      <c r="F476" s="70">
        <f t="shared" si="51"/>
        <v>2.6372616533353201</v>
      </c>
      <c r="G476" s="67">
        <f>E476/'Lookup Tables'!$C$48</f>
        <v>86.866325867434796</v>
      </c>
      <c r="H476" s="70">
        <f t="shared" si="48"/>
        <v>2.5283295189645862E-2</v>
      </c>
      <c r="I476" s="71">
        <f t="shared" si="52"/>
        <v>0.12508750924910611</v>
      </c>
      <c r="L476" s="74"/>
      <c r="M476" s="74"/>
      <c r="N476" s="74"/>
      <c r="O476" s="74"/>
      <c r="P476" s="74"/>
      <c r="Q476" s="74"/>
      <c r="R476" s="74"/>
      <c r="S476" s="74"/>
      <c r="T476" s="74"/>
      <c r="U476" s="74"/>
      <c r="V476" s="74"/>
      <c r="W476" s="74"/>
      <c r="X476" s="74"/>
      <c r="Y476" s="74"/>
      <c r="Z476" s="74"/>
    </row>
    <row r="477" spans="1:26" x14ac:dyDescent="0.3">
      <c r="A477" s="66">
        <f t="shared" si="50"/>
        <v>2036.9999999999573</v>
      </c>
      <c r="B477" s="67">
        <f>LOOKUP(A477+0.01,Amounts!$A$4:$A$103,Amounts!$B$4:$B$103)*0.1*$A$2</f>
        <v>0</v>
      </c>
      <c r="C477" s="68">
        <f t="shared" si="49"/>
        <v>902907.24633514904</v>
      </c>
      <c r="D477" s="67">
        <f t="array" ref="D477">SUM($B$7:$B472*$F$1009*EXP(-$F$1009*($A477-$A$7:$A472)))*$F$1010</f>
        <v>22623755.391338456</v>
      </c>
      <c r="E477" s="67">
        <f t="shared" si="47"/>
        <v>43.130192427083422</v>
      </c>
      <c r="F477" s="70">
        <f t="shared" si="51"/>
        <v>2.6188652841725051</v>
      </c>
      <c r="G477" s="67">
        <f>E477/'Lookup Tables'!$C$48</f>
        <v>86.260384854166844</v>
      </c>
      <c r="H477" s="70">
        <f t="shared" si="48"/>
        <v>2.5106930121214781E-2</v>
      </c>
      <c r="I477" s="71">
        <f t="shared" si="52"/>
        <v>0.12421495419000025</v>
      </c>
      <c r="L477" s="74"/>
      <c r="M477" s="74"/>
      <c r="N477" s="74"/>
      <c r="O477" s="74"/>
      <c r="P477" s="74"/>
      <c r="Q477" s="74"/>
      <c r="R477" s="74"/>
      <c r="S477" s="74"/>
      <c r="T477" s="74"/>
      <c r="U477" s="74"/>
      <c r="V477" s="74"/>
      <c r="W477" s="74"/>
      <c r="X477" s="74"/>
      <c r="Y477" s="74"/>
      <c r="Z477" s="74"/>
    </row>
    <row r="478" spans="1:26" x14ac:dyDescent="0.3">
      <c r="A478" s="66">
        <f t="shared" si="50"/>
        <v>2037.0999999999572</v>
      </c>
      <c r="B478" s="67">
        <f>LOOKUP(A478+0.01,Amounts!$A$4:$A$103,Amounts!$B$4:$B$103)*0.1*$A$2</f>
        <v>0</v>
      </c>
      <c r="C478" s="68">
        <f t="shared" si="49"/>
        <v>902907.24633514904</v>
      </c>
      <c r="D478" s="67">
        <f t="array" ref="D478">SUM($B$7:$B473*$F$1009*EXP(-$F$1009*($A478-$A$7:$A473)))*$F$1010</f>
        <v>22465942.094541788</v>
      </c>
      <c r="E478" s="67">
        <f t="shared" si="47"/>
        <v>42.829335308508028</v>
      </c>
      <c r="F478" s="70">
        <f t="shared" si="51"/>
        <v>2.6005972399326076</v>
      </c>
      <c r="G478" s="67">
        <f>E478/'Lookup Tables'!$C$48</f>
        <v>85.658670617016057</v>
      </c>
      <c r="H478" s="70">
        <f t="shared" si="48"/>
        <v>2.4931795297383132E-2</v>
      </c>
      <c r="I478" s="71">
        <f t="shared" si="52"/>
        <v>0.12334848568850314</v>
      </c>
      <c r="L478" s="74"/>
      <c r="M478" s="74"/>
      <c r="N478" s="74"/>
      <c r="O478" s="74"/>
      <c r="P478" s="74"/>
      <c r="Q478" s="74"/>
      <c r="R478" s="74"/>
      <c r="S478" s="74"/>
      <c r="T478" s="74"/>
      <c r="U478" s="74"/>
      <c r="V478" s="74"/>
      <c r="W478" s="74"/>
      <c r="X478" s="74"/>
      <c r="Y478" s="74"/>
      <c r="Z478" s="74"/>
    </row>
    <row r="479" spans="1:26" x14ac:dyDescent="0.3">
      <c r="A479" s="66">
        <f t="shared" si="50"/>
        <v>2037.1999999999571</v>
      </c>
      <c r="B479" s="67">
        <f>LOOKUP(A479+0.01,Amounts!$A$4:$A$103,Amounts!$B$4:$B$103)*0.1*$A$2</f>
        <v>0</v>
      </c>
      <c r="C479" s="68">
        <f t="shared" si="49"/>
        <v>902907.24633514904</v>
      </c>
      <c r="D479" s="67">
        <f t="array" ref="D479">SUM($B$7:$B474*$F$1009*EXP(-$F$1009*($A479-$A$7:$A474)))*$F$1010</f>
        <v>22309229.633402813</v>
      </c>
      <c r="E479" s="67">
        <f t="shared" si="47"/>
        <v>42.53057683593218</v>
      </c>
      <c r="F479" s="70">
        <f t="shared" si="51"/>
        <v>2.5824566254778021</v>
      </c>
      <c r="G479" s="67">
        <f>E479/'Lookup Tables'!$C$48</f>
        <v>85.061153671864361</v>
      </c>
      <c r="H479" s="70">
        <f t="shared" si="48"/>
        <v>2.4757882136509483E-2</v>
      </c>
      <c r="I479" s="71">
        <f t="shared" si="52"/>
        <v>0.12248806128748468</v>
      </c>
      <c r="L479" s="74"/>
      <c r="M479" s="74"/>
      <c r="N479" s="74"/>
      <c r="O479" s="74"/>
      <c r="P479" s="74"/>
      <c r="Q479" s="74"/>
      <c r="R479" s="74"/>
      <c r="S479" s="74"/>
      <c r="T479" s="74"/>
      <c r="U479" s="74"/>
      <c r="V479" s="74"/>
      <c r="W479" s="74"/>
      <c r="X479" s="74"/>
      <c r="Y479" s="74"/>
      <c r="Z479" s="74"/>
    </row>
    <row r="480" spans="1:26" x14ac:dyDescent="0.3">
      <c r="A480" s="66">
        <f t="shared" si="50"/>
        <v>2037.299999999957</v>
      </c>
      <c r="B480" s="67">
        <f>LOOKUP(A480+0.01,Amounts!$A$4:$A$103,Amounts!$B$4:$B$103)*0.1*$A$2</f>
        <v>0</v>
      </c>
      <c r="C480" s="68">
        <f t="shared" si="49"/>
        <v>902907.24633514904</v>
      </c>
      <c r="D480" s="67">
        <f t="array" ref="D480">SUM($B$7:$B475*$F$1009*EXP(-$F$1009*($A480-$A$7:$A475)))*$F$1010</f>
        <v>22153610.328979593</v>
      </c>
      <c r="E480" s="67">
        <f t="shared" si="47"/>
        <v>42.233902370130977</v>
      </c>
      <c r="F480" s="70">
        <f t="shared" si="51"/>
        <v>2.564442551914353</v>
      </c>
      <c r="G480" s="67">
        <f>E480/'Lookup Tables'!$C$48</f>
        <v>84.467804740261954</v>
      </c>
      <c r="H480" s="70">
        <f t="shared" si="48"/>
        <v>2.458518211681418E-2</v>
      </c>
      <c r="I480" s="71">
        <f t="shared" si="52"/>
        <v>0.12163363882597722</v>
      </c>
      <c r="L480" s="74"/>
      <c r="M480" s="74"/>
      <c r="N480" s="74"/>
      <c r="O480" s="74"/>
      <c r="P480" s="74"/>
      <c r="Q480" s="74"/>
      <c r="R480" s="74"/>
      <c r="S480" s="74"/>
      <c r="T480" s="74"/>
      <c r="U480" s="74"/>
      <c r="V480" s="74"/>
      <c r="W480" s="74"/>
      <c r="X480" s="74"/>
      <c r="Y480" s="74"/>
      <c r="Z480" s="74"/>
    </row>
    <row r="481" spans="1:26" x14ac:dyDescent="0.3">
      <c r="A481" s="66">
        <f t="shared" si="50"/>
        <v>2037.3999999999569</v>
      </c>
      <c r="B481" s="67">
        <f>LOOKUP(A481+0.01,Amounts!$A$4:$A$103,Amounts!$B$4:$B$103)*0.1*$A$2</f>
        <v>0</v>
      </c>
      <c r="C481" s="68">
        <f t="shared" si="49"/>
        <v>902907.24633514904</v>
      </c>
      <c r="D481" s="67">
        <f t="array" ref="D481">SUM($B$7:$B476*$F$1009*EXP(-$F$1009*($A481-$A$7:$A476)))*$F$1010</f>
        <v>21999076.555895068</v>
      </c>
      <c r="E481" s="67">
        <f t="shared" si="47"/>
        <v>41.939297373996226</v>
      </c>
      <c r="F481" s="70">
        <f t="shared" si="51"/>
        <v>2.5465541365490507</v>
      </c>
      <c r="G481" s="67">
        <f>E481/'Lookup Tables'!$C$48</f>
        <v>83.878594747992452</v>
      </c>
      <c r="H481" s="70">
        <f t="shared" si="48"/>
        <v>2.4413686775961695E-2</v>
      </c>
      <c r="I481" s="71">
        <f t="shared" si="52"/>
        <v>0.12078517643710913</v>
      </c>
      <c r="L481" s="74"/>
      <c r="M481" s="74"/>
      <c r="N481" s="74"/>
      <c r="O481" s="74"/>
      <c r="P481" s="74"/>
      <c r="Q481" s="74"/>
      <c r="R481" s="74"/>
      <c r="S481" s="74"/>
      <c r="T481" s="74"/>
      <c r="U481" s="74"/>
      <c r="V481" s="74"/>
      <c r="W481" s="74"/>
      <c r="X481" s="74"/>
      <c r="Y481" s="74"/>
      <c r="Z481" s="74"/>
    </row>
    <row r="482" spans="1:26" x14ac:dyDescent="0.3">
      <c r="A482" s="66">
        <f t="shared" si="50"/>
        <v>2037.4999999999568</v>
      </c>
      <c r="B482" s="67">
        <f>LOOKUP(A482+0.01,Amounts!$A$4:$A$103,Amounts!$B$4:$B$103)*0.1*$A$2</f>
        <v>0</v>
      </c>
      <c r="C482" s="68">
        <f t="shared" si="49"/>
        <v>902907.24633514904</v>
      </c>
      <c r="D482" s="67">
        <f t="array" ref="D482">SUM($B$7:$B477*$F$1009*EXP(-$F$1009*($A482-$A$7:$A477)))*$F$1010</f>
        <v>21845620.741963428</v>
      </c>
      <c r="E482" s="67">
        <f t="shared" si="47"/>
        <v>41.646747411824151</v>
      </c>
      <c r="F482" s="70">
        <f t="shared" si="51"/>
        <v>2.5287905028459621</v>
      </c>
      <c r="G482" s="67">
        <f>E482/'Lookup Tables'!$C$48</f>
        <v>83.293494823648302</v>
      </c>
      <c r="H482" s="70">
        <f t="shared" si="48"/>
        <v>2.4243387710645999E-2</v>
      </c>
      <c r="I482" s="71">
        <f t="shared" si="52"/>
        <v>0.11994263254605354</v>
      </c>
      <c r="L482" s="74"/>
      <c r="M482" s="74"/>
      <c r="N482" s="74"/>
      <c r="O482" s="74"/>
      <c r="P482" s="74"/>
      <c r="Q482" s="74"/>
      <c r="R482" s="74"/>
      <c r="S482" s="74"/>
      <c r="T482" s="74"/>
      <c r="U482" s="74"/>
      <c r="V482" s="74"/>
      <c r="W482" s="74"/>
      <c r="X482" s="74"/>
      <c r="Y482" s="74"/>
      <c r="Z482" s="74"/>
    </row>
    <row r="483" spans="1:26" x14ac:dyDescent="0.3">
      <c r="A483" s="66">
        <f t="shared" si="50"/>
        <v>2037.5999999999567</v>
      </c>
      <c r="B483" s="67">
        <f>LOOKUP(A483+0.01,Amounts!$A$4:$A$103,Amounts!$B$4:$B$103)*0.1*$A$2</f>
        <v>0</v>
      </c>
      <c r="C483" s="68">
        <f t="shared" si="49"/>
        <v>902907.24633514904</v>
      </c>
      <c r="D483" s="67">
        <f t="array" ref="D483">SUM($B$7:$B478*$F$1009*EXP(-$F$1009*($A483-$A$7:$A478)))*$F$1010</f>
        <v>21693235.367819097</v>
      </c>
      <c r="E483" s="67">
        <f t="shared" si="47"/>
        <v>41.356238148608092</v>
      </c>
      <c r="F483" s="70">
        <f t="shared" si="51"/>
        <v>2.5111507803834834</v>
      </c>
      <c r="G483" s="67">
        <f>E483/'Lookup Tables'!$C$48</f>
        <v>82.712476297216185</v>
      </c>
      <c r="H483" s="70">
        <f t="shared" si="48"/>
        <v>2.4074276576178836E-2</v>
      </c>
      <c r="I483" s="71">
        <f t="shared" si="52"/>
        <v>0.1191059658679913</v>
      </c>
      <c r="L483" s="74"/>
      <c r="M483" s="74"/>
      <c r="N483" s="74"/>
      <c r="O483" s="74"/>
      <c r="P483" s="74"/>
      <c r="Q483" s="74"/>
      <c r="R483" s="74"/>
      <c r="S483" s="74"/>
      <c r="T483" s="74"/>
      <c r="U483" s="74"/>
      <c r="V483" s="74"/>
      <c r="W483" s="74"/>
      <c r="X483" s="74"/>
      <c r="Y483" s="74"/>
      <c r="Z483" s="74"/>
    </row>
    <row r="484" spans="1:26" x14ac:dyDescent="0.3">
      <c r="A484" s="66">
        <f t="shared" si="50"/>
        <v>2037.6999999999566</v>
      </c>
      <c r="B484" s="67">
        <f>LOOKUP(A484+0.01,Amounts!$A$4:$A$103,Amounts!$B$4:$B$103)*0.1*$A$2</f>
        <v>0</v>
      </c>
      <c r="C484" s="68">
        <f t="shared" si="49"/>
        <v>902907.24633514904</v>
      </c>
      <c r="D484" s="67">
        <f t="array" ref="D484">SUM($B$7:$B479*$F$1009*EXP(-$F$1009*($A484-$A$7:$A479)))*$F$1010</f>
        <v>21541912.966548253</v>
      </c>
      <c r="E484" s="67">
        <f t="shared" si="47"/>
        <v>41.067755349336025</v>
      </c>
      <c r="F484" s="70">
        <f t="shared" si="51"/>
        <v>2.4936341048116835</v>
      </c>
      <c r="G484" s="67">
        <f>E484/'Lookup Tables'!$C$48</f>
        <v>82.13551069867205</v>
      </c>
      <c r="H484" s="70">
        <f t="shared" si="48"/>
        <v>2.3906345086080773E-2</v>
      </c>
      <c r="I484" s="71">
        <f t="shared" si="52"/>
        <v>0.11827513540608775</v>
      </c>
      <c r="L484" s="74"/>
      <c r="M484" s="74"/>
      <c r="N484" s="74"/>
      <c r="O484" s="74"/>
      <c r="P484" s="74"/>
      <c r="Q484" s="74"/>
      <c r="R484" s="74"/>
      <c r="S484" s="74"/>
      <c r="T484" s="74"/>
      <c r="U484" s="74"/>
      <c r="V484" s="74"/>
      <c r="W484" s="74"/>
      <c r="X484" s="74"/>
      <c r="Y484" s="74"/>
      <c r="Z484" s="74"/>
    </row>
    <row r="485" spans="1:26" x14ac:dyDescent="0.3">
      <c r="A485" s="66">
        <f t="shared" si="50"/>
        <v>2037.7999999999565</v>
      </c>
      <c r="B485" s="67">
        <f>LOOKUP(A485+0.01,Amounts!$A$4:$A$103,Amounts!$B$4:$B$103)*0.1*$A$2</f>
        <v>0</v>
      </c>
      <c r="C485" s="68">
        <f t="shared" si="49"/>
        <v>902907.24633514904</v>
      </c>
      <c r="D485" s="67">
        <f t="array" ref="D485">SUM($B$7:$B480*$F$1009*EXP(-$F$1009*($A485-$A$7:$A480)))*$F$1010</f>
        <v>21391646.123322945</v>
      </c>
      <c r="E485" s="67">
        <f t="shared" si="47"/>
        <v>40.78128487829305</v>
      </c>
      <c r="F485" s="70">
        <f t="shared" si="51"/>
        <v>2.4762396178099539</v>
      </c>
      <c r="G485" s="67">
        <f>E485/'Lookup Tables'!$C$48</f>
        <v>81.5625697565861</v>
      </c>
      <c r="H485" s="70">
        <f t="shared" si="48"/>
        <v>2.3739585011675196E-2</v>
      </c>
      <c r="I485" s="71">
        <f t="shared" si="52"/>
        <v>0.11745010044948399</v>
      </c>
      <c r="L485" s="74"/>
      <c r="M485" s="74"/>
      <c r="N485" s="74"/>
      <c r="O485" s="74"/>
      <c r="P485" s="74"/>
      <c r="Q485" s="74"/>
      <c r="R485" s="74"/>
      <c r="S485" s="74"/>
      <c r="T485" s="74"/>
      <c r="U485" s="74"/>
      <c r="V485" s="74"/>
      <c r="W485" s="74"/>
      <c r="X485" s="74"/>
      <c r="Y485" s="74"/>
      <c r="Z485" s="74"/>
    </row>
    <row r="486" spans="1:26" x14ac:dyDescent="0.3">
      <c r="A486" s="66">
        <f t="shared" si="50"/>
        <v>2037.8999999999564</v>
      </c>
      <c r="B486" s="67">
        <f>LOOKUP(A486+0.01,Amounts!$A$4:$A$103,Amounts!$B$4:$B$103)*0.1*$A$2</f>
        <v>0</v>
      </c>
      <c r="C486" s="68">
        <f t="shared" si="49"/>
        <v>902907.24633514904</v>
      </c>
      <c r="D486" s="67">
        <f t="array" ref="D486">SUM($B$7:$B481*$F$1009*EXP(-$F$1009*($A486-$A$7:$A481)))*$F$1010</f>
        <v>21242427.475037798</v>
      </c>
      <c r="E486" s="67">
        <f t="shared" si="47"/>
        <v>40.496812698368764</v>
      </c>
      <c r="F486" s="70">
        <f t="shared" si="51"/>
        <v>2.4589664670449514</v>
      </c>
      <c r="G486" s="67">
        <f>E486/'Lookup Tables'!$C$48</f>
        <v>80.993625396737528</v>
      </c>
      <c r="H486" s="70">
        <f t="shared" si="48"/>
        <v>2.3573988181685074E-2</v>
      </c>
      <c r="I486" s="71">
        <f t="shared" si="52"/>
        <v>0.11663082057130203</v>
      </c>
      <c r="L486" s="74"/>
      <c r="M486" s="74"/>
      <c r="N486" s="74"/>
      <c r="O486" s="74"/>
      <c r="P486" s="74"/>
      <c r="Q486" s="74"/>
      <c r="R486" s="74"/>
      <c r="S486" s="74"/>
      <c r="T486" s="74"/>
      <c r="U486" s="74"/>
      <c r="V486" s="74"/>
      <c r="W486" s="74"/>
      <c r="X486" s="74"/>
      <c r="Y486" s="74"/>
      <c r="Z486" s="74"/>
    </row>
    <row r="487" spans="1:26" x14ac:dyDescent="0.3">
      <c r="A487" s="66">
        <f t="shared" si="50"/>
        <v>2037.9999999999563</v>
      </c>
      <c r="B487" s="67">
        <f>LOOKUP(A487+0.01,Amounts!$A$4:$A$103,Amounts!$B$4:$B$103)*0.1*$A$2</f>
        <v>0</v>
      </c>
      <c r="C487" s="68">
        <f t="shared" si="49"/>
        <v>902907.24633514904</v>
      </c>
      <c r="D487" s="67">
        <f t="array" ref="D487">SUM($B$7:$B482*$F$1009*EXP(-$F$1009*($A487-$A$7:$A482)))*$F$1010</f>
        <v>21094249.709949192</v>
      </c>
      <c r="E487" s="67">
        <f t="shared" si="47"/>
        <v>40.214324870369467</v>
      </c>
      <c r="F487" s="70">
        <f t="shared" si="51"/>
        <v>2.4418138061288346</v>
      </c>
      <c r="G487" s="67">
        <f>E487/'Lookup Tables'!$C$48</f>
        <v>80.428649740738933</v>
      </c>
      <c r="H487" s="70">
        <f t="shared" si="48"/>
        <v>2.340954648183265E-2</v>
      </c>
      <c r="I487" s="71">
        <f t="shared" si="52"/>
        <v>0.11581725562666408</v>
      </c>
      <c r="L487" s="74"/>
      <c r="M487" s="74"/>
      <c r="N487" s="74"/>
      <c r="O487" s="74"/>
      <c r="P487" s="74"/>
      <c r="Q487" s="74"/>
      <c r="R487" s="74"/>
      <c r="S487" s="74"/>
      <c r="T487" s="74"/>
      <c r="U487" s="74"/>
      <c r="V487" s="74"/>
      <c r="W487" s="74"/>
      <c r="X487" s="74"/>
      <c r="Y487" s="74"/>
      <c r="Z487" s="74"/>
    </row>
    <row r="488" spans="1:26" x14ac:dyDescent="0.3">
      <c r="A488" s="66">
        <f t="shared" si="50"/>
        <v>2038.0999999999563</v>
      </c>
      <c r="B488" s="67">
        <f>LOOKUP(A488+0.01,Amounts!$A$4:$A$103,Amounts!$B$4:$B$103)*0.1*$A$2</f>
        <v>0</v>
      </c>
      <c r="C488" s="68">
        <f t="shared" si="49"/>
        <v>902907.24633514904</v>
      </c>
      <c r="D488" s="67">
        <f t="array" ref="D488">SUM($B$7:$B483*$F$1009*EXP(-$F$1009*($A488-$A$7:$A483)))*$F$1010</f>
        <v>20947105.567316987</v>
      </c>
      <c r="E488" s="67">
        <f t="shared" si="47"/>
        <v>39.93380755233504</v>
      </c>
      <c r="F488" s="70">
        <f t="shared" si="51"/>
        <v>2.4247807945777837</v>
      </c>
      <c r="G488" s="67">
        <f>E488/'Lookup Tables'!$C$48</f>
        <v>79.86761510467008</v>
      </c>
      <c r="H488" s="70">
        <f t="shared" si="48"/>
        <v>2.3246251854441687E-2</v>
      </c>
      <c r="I488" s="71">
        <f t="shared" si="52"/>
        <v>0.11500936575072492</v>
      </c>
      <c r="L488" s="74"/>
      <c r="M488" s="74"/>
      <c r="N488" s="74"/>
      <c r="O488" s="74"/>
      <c r="P488" s="74"/>
      <c r="Q488" s="74"/>
      <c r="R488" s="74"/>
      <c r="S488" s="74"/>
      <c r="T488" s="74"/>
      <c r="U488" s="74"/>
      <c r="V488" s="74"/>
      <c r="W488" s="74"/>
      <c r="X488" s="74"/>
      <c r="Y488" s="74"/>
      <c r="Z488" s="74"/>
    </row>
    <row r="489" spans="1:26" x14ac:dyDescent="0.3">
      <c r="A489" s="66">
        <f t="shared" si="50"/>
        <v>2038.1999999999562</v>
      </c>
      <c r="B489" s="67">
        <f>LOOKUP(A489+0.01,Amounts!$A$4:$A$103,Amounts!$B$4:$B$103)*0.1*$A$2</f>
        <v>0</v>
      </c>
      <c r="C489" s="68">
        <f t="shared" si="49"/>
        <v>902907.24633514904</v>
      </c>
      <c r="D489" s="67">
        <f t="array" ref="D489">SUM($B$7:$B484*$F$1009*EXP(-$F$1009*($A489-$A$7:$A484)))*$F$1010</f>
        <v>20800987.83704875</v>
      </c>
      <c r="E489" s="67">
        <f t="shared" si="47"/>
        <v>39.655246998860768</v>
      </c>
      <c r="F489" s="70">
        <f t="shared" si="51"/>
        <v>2.407866597770826</v>
      </c>
      <c r="G489" s="67">
        <f>E489/'Lookup Tables'!$C$48</f>
        <v>79.310493997721537</v>
      </c>
      <c r="H489" s="70">
        <f t="shared" si="48"/>
        <v>2.3084096298042787E-2</v>
      </c>
      <c r="I489" s="71">
        <f t="shared" si="52"/>
        <v>0.11420711135671902</v>
      </c>
      <c r="L489" s="74"/>
      <c r="M489" s="74"/>
      <c r="N489" s="74"/>
      <c r="O489" s="74"/>
      <c r="P489" s="74"/>
      <c r="Q489" s="74"/>
      <c r="R489" s="74"/>
      <c r="S489" s="74"/>
      <c r="T489" s="74"/>
      <c r="U489" s="74"/>
      <c r="V489" s="74"/>
      <c r="W489" s="74"/>
      <c r="X489" s="74"/>
      <c r="Y489" s="74"/>
      <c r="Z489" s="74"/>
    </row>
    <row r="490" spans="1:26" x14ac:dyDescent="0.3">
      <c r="A490" s="66">
        <f t="shared" si="50"/>
        <v>2038.2999999999561</v>
      </c>
      <c r="B490" s="67">
        <f>LOOKUP(A490+0.01,Amounts!$A$4:$A$103,Amounts!$B$4:$B$103)*0.1*$A$2</f>
        <v>0</v>
      </c>
      <c r="C490" s="68">
        <f t="shared" si="49"/>
        <v>902907.24633514904</v>
      </c>
      <c r="D490" s="67">
        <f t="array" ref="D490">SUM($B$7:$B485*$F$1009*EXP(-$F$1009*($A490-$A$7:$A485)))*$F$1010</f>
        <v>20655889.359346468</v>
      </c>
      <c r="E490" s="67">
        <f t="shared" si="47"/>
        <v>39.378629560423818</v>
      </c>
      <c r="F490" s="70">
        <f t="shared" si="51"/>
        <v>2.3910703869089338</v>
      </c>
      <c r="G490" s="67">
        <f>E490/'Lookup Tables'!$C$48</f>
        <v>78.757259120847635</v>
      </c>
      <c r="H490" s="70">
        <f t="shared" si="48"/>
        <v>2.2923071866981243E-2</v>
      </c>
      <c r="I490" s="71">
        <f t="shared" si="52"/>
        <v>0.11341045313402058</v>
      </c>
      <c r="L490" s="74"/>
      <c r="M490" s="74"/>
      <c r="N490" s="74"/>
      <c r="O490" s="74"/>
      <c r="P490" s="74"/>
      <c r="Q490" s="74"/>
      <c r="R490" s="74"/>
      <c r="S490" s="74"/>
      <c r="T490" s="74"/>
      <c r="U490" s="74"/>
      <c r="V490" s="74"/>
      <c r="W490" s="74"/>
      <c r="X490" s="74"/>
      <c r="Y490" s="74"/>
      <c r="Z490" s="74"/>
    </row>
    <row r="491" spans="1:26" x14ac:dyDescent="0.3">
      <c r="A491" s="66">
        <f t="shared" si="50"/>
        <v>2038.399999999956</v>
      </c>
      <c r="B491" s="67">
        <f>LOOKUP(A491+0.01,Amounts!$A$4:$A$103,Amounts!$B$4:$B$103)*0.1*$A$2</f>
        <v>0</v>
      </c>
      <c r="C491" s="68">
        <f t="shared" si="49"/>
        <v>902907.24633514904</v>
      </c>
      <c r="D491" s="67">
        <f t="array" ref="D491">SUM($B$7:$B486*$F$1009*EXP(-$F$1009*($A491-$A$7:$A486)))*$F$1010</f>
        <v>20511803.024355695</v>
      </c>
      <c r="E491" s="67">
        <f t="shared" si="47"/>
        <v>39.103941682714328</v>
      </c>
      <c r="F491" s="70">
        <f t="shared" si="51"/>
        <v>2.374391338974414</v>
      </c>
      <c r="G491" s="67">
        <f>E491/'Lookup Tables'!$C$48</f>
        <v>78.207883365428657</v>
      </c>
      <c r="H491" s="70">
        <f t="shared" si="48"/>
        <v>2.2763170671027705E-2</v>
      </c>
      <c r="I491" s="71">
        <f t="shared" si="52"/>
        <v>0.11261935204621727</v>
      </c>
      <c r="L491" s="74"/>
      <c r="M491" s="74"/>
      <c r="N491" s="74"/>
      <c r="O491" s="74"/>
      <c r="P491" s="74"/>
      <c r="Q491" s="74"/>
      <c r="R491" s="74"/>
      <c r="S491" s="74"/>
      <c r="T491" s="74"/>
      <c r="U491" s="74"/>
      <c r="V491" s="74"/>
      <c r="W491" s="74"/>
      <c r="X491" s="74"/>
      <c r="Y491" s="74"/>
      <c r="Z491" s="74"/>
    </row>
    <row r="492" spans="1:26" x14ac:dyDescent="0.3">
      <c r="A492" s="66">
        <f t="shared" si="50"/>
        <v>2038.4999999999559</v>
      </c>
      <c r="B492" s="67">
        <f>LOOKUP(A492+0.01,Amounts!$A$4:$A$103,Amounts!$B$4:$B$103)*0.1*$A$2</f>
        <v>0</v>
      </c>
      <c r="C492" s="68">
        <f t="shared" si="49"/>
        <v>902907.24633514904</v>
      </c>
      <c r="D492" s="67">
        <f t="array" ref="D492">SUM($B$7:$B487*$F$1009*EXP(-$F$1009*($A492-$A$7:$A487)))*$F$1010</f>
        <v>20368721.771817189</v>
      </c>
      <c r="E492" s="67">
        <f t="shared" si="47"/>
        <v>38.83116990597135</v>
      </c>
      <c r="F492" s="70">
        <f t="shared" si="51"/>
        <v>2.3578286366905803</v>
      </c>
      <c r="G492" s="67">
        <f>E492/'Lookup Tables'!$C$48</f>
        <v>77.662339811942701</v>
      </c>
      <c r="H492" s="70">
        <f t="shared" si="48"/>
        <v>2.2604384874991581E-2</v>
      </c>
      <c r="I492" s="71">
        <f t="shared" si="52"/>
        <v>0.11183376932919749</v>
      </c>
      <c r="L492" s="74"/>
      <c r="M492" s="74"/>
      <c r="N492" s="74"/>
      <c r="O492" s="74"/>
      <c r="P492" s="74"/>
      <c r="Q492" s="74"/>
      <c r="R492" s="74"/>
      <c r="S492" s="74"/>
      <c r="T492" s="74"/>
      <c r="U492" s="74"/>
      <c r="V492" s="74"/>
      <c r="W492" s="74"/>
      <c r="X492" s="74"/>
      <c r="Y492" s="74"/>
      <c r="Z492" s="74"/>
    </row>
    <row r="493" spans="1:26" x14ac:dyDescent="0.3">
      <c r="A493" s="66">
        <f t="shared" si="50"/>
        <v>2038.5999999999558</v>
      </c>
      <c r="B493" s="67">
        <f>LOOKUP(A493+0.01,Amounts!$A$4:$A$103,Amounts!$B$4:$B$103)*0.1*$A$2</f>
        <v>0</v>
      </c>
      <c r="C493" s="68">
        <f t="shared" si="49"/>
        <v>902907.24633514904</v>
      </c>
      <c r="D493" s="67">
        <f t="array" ref="D493">SUM($B$7:$B488*$F$1009*EXP(-$F$1009*($A493-$A$7:$A488)))*$F$1010</f>
        <v>20226638.590720952</v>
      </c>
      <c r="E493" s="67">
        <f t="shared" si="47"/>
        <v>38.560300864323253</v>
      </c>
      <c r="F493" s="70">
        <f t="shared" si="51"/>
        <v>2.3413814684817078</v>
      </c>
      <c r="G493" s="67">
        <f>E493/'Lookup Tables'!$C$48</f>
        <v>77.120601728646506</v>
      </c>
      <c r="H493" s="70">
        <f t="shared" si="48"/>
        <v>2.2446706698337104E-2</v>
      </c>
      <c r="I493" s="71">
        <f t="shared" si="52"/>
        <v>0.11105366648925095</v>
      </c>
      <c r="L493" s="74"/>
      <c r="M493" s="74"/>
      <c r="N493" s="74"/>
      <c r="O493" s="74"/>
      <c r="P493" s="74"/>
      <c r="Q493" s="74"/>
      <c r="R493" s="74"/>
      <c r="S493" s="74"/>
      <c r="T493" s="74"/>
      <c r="U493" s="74"/>
      <c r="V493" s="74"/>
      <c r="W493" s="74"/>
      <c r="X493" s="74"/>
      <c r="Y493" s="74"/>
      <c r="Z493" s="74"/>
    </row>
    <row r="494" spans="1:26" x14ac:dyDescent="0.3">
      <c r="A494" s="66">
        <f t="shared" si="50"/>
        <v>2038.6999999999557</v>
      </c>
      <c r="B494" s="67">
        <f>LOOKUP(A494+0.01,Amounts!$A$4:$A$103,Amounts!$B$4:$B$103)*0.1*$A$2</f>
        <v>0</v>
      </c>
      <c r="C494" s="68">
        <f t="shared" si="49"/>
        <v>902907.24633514904</v>
      </c>
      <c r="D494" s="67">
        <f t="array" ref="D494">SUM($B$7:$B489*$F$1009*EXP(-$F$1009*($A494-$A$7:$A489)))*$F$1010</f>
        <v>20085546.518962674</v>
      </c>
      <c r="E494" s="67">
        <f t="shared" si="47"/>
        <v>38.291321285132781</v>
      </c>
      <c r="F494" s="70">
        <f t="shared" si="51"/>
        <v>2.3250490284332623</v>
      </c>
      <c r="G494" s="67">
        <f>E494/'Lookup Tables'!$C$48</f>
        <v>76.582642570265563</v>
      </c>
      <c r="H494" s="70">
        <f t="shared" si="48"/>
        <v>2.2290128414802064E-2</v>
      </c>
      <c r="I494" s="71">
        <f t="shared" si="52"/>
        <v>0.11027900530118243</v>
      </c>
      <c r="L494" s="74"/>
      <c r="M494" s="74"/>
      <c r="N494" s="74"/>
      <c r="O494" s="74"/>
      <c r="P494" s="74"/>
      <c r="Q494" s="74"/>
      <c r="R494" s="74"/>
      <c r="S494" s="74"/>
      <c r="T494" s="74"/>
      <c r="U494" s="74"/>
      <c r="V494" s="74"/>
      <c r="W494" s="74"/>
      <c r="X494" s="74"/>
      <c r="Y494" s="74"/>
      <c r="Z494" s="74"/>
    </row>
    <row r="495" spans="1:26" x14ac:dyDescent="0.3">
      <c r="A495" s="66">
        <f t="shared" si="50"/>
        <v>2038.7999999999556</v>
      </c>
      <c r="B495" s="67">
        <f>LOOKUP(A495+0.01,Amounts!$A$4:$A$103,Amounts!$B$4:$B$103)*0.1*$A$2</f>
        <v>0</v>
      </c>
      <c r="C495" s="68">
        <f t="shared" si="49"/>
        <v>902907.24633514904</v>
      </c>
      <c r="D495" s="67">
        <f t="array" ref="D495">SUM($B$7:$B490*$F$1009*EXP(-$F$1009*($A495-$A$7:$A490)))*$F$1010</f>
        <v>19945438.643002618</v>
      </c>
      <c r="E495" s="67">
        <f t="shared" si="47"/>
        <v>38.024217988346756</v>
      </c>
      <c r="F495" s="70">
        <f t="shared" si="51"/>
        <v>2.308830516252415</v>
      </c>
      <c r="G495" s="67">
        <f>E495/'Lookup Tables'!$C$48</f>
        <v>76.048435976693511</v>
      </c>
      <c r="H495" s="70">
        <f t="shared" si="48"/>
        <v>2.2134642352019236E-2</v>
      </c>
      <c r="I495" s="71">
        <f t="shared" si="52"/>
        <v>0.10950974780643866</v>
      </c>
      <c r="L495" s="74"/>
      <c r="M495" s="74"/>
      <c r="N495" s="74"/>
      <c r="O495" s="74"/>
      <c r="P495" s="74"/>
      <c r="Q495" s="74"/>
      <c r="R495" s="74"/>
      <c r="S495" s="74"/>
      <c r="T495" s="74"/>
      <c r="U495" s="74"/>
      <c r="V495" s="74"/>
      <c r="W495" s="74"/>
      <c r="X495" s="74"/>
      <c r="Y495" s="74"/>
      <c r="Z495" s="74"/>
    </row>
    <row r="496" spans="1:26" x14ac:dyDescent="0.3">
      <c r="A496" s="66">
        <f t="shared" si="50"/>
        <v>2038.8999999999555</v>
      </c>
      <c r="B496" s="67">
        <f>LOOKUP(A496+0.01,Amounts!$A$4:$A$103,Amounts!$B$4:$B$103)*0.1*$A$2</f>
        <v>0</v>
      </c>
      <c r="C496" s="68">
        <f t="shared" si="49"/>
        <v>902907.24633514904</v>
      </c>
      <c r="D496" s="67">
        <f t="array" ref="D496">SUM($B$7:$B491*$F$1009*EXP(-$F$1009*($A496-$A$7:$A491)))*$F$1010</f>
        <v>19806308.097526826</v>
      </c>
      <c r="E496" s="67">
        <f t="shared" si="47"/>
        <v>37.758977885850179</v>
      </c>
      <c r="F496" s="70">
        <f t="shared" si="51"/>
        <v>2.2927251372288229</v>
      </c>
      <c r="G496" s="67">
        <f>E496/'Lookup Tables'!$C$48</f>
        <v>75.517955771700358</v>
      </c>
      <c r="H496" s="70">
        <f t="shared" si="48"/>
        <v>2.1980240891140434E-2</v>
      </c>
      <c r="I496" s="71">
        <f t="shared" si="52"/>
        <v>0.10874585631124851</v>
      </c>
      <c r="L496" s="74"/>
      <c r="M496" s="74"/>
      <c r="N496" s="74"/>
      <c r="O496" s="74"/>
      <c r="P496" s="74"/>
      <c r="Q496" s="74"/>
      <c r="R496" s="74"/>
      <c r="S496" s="74"/>
      <c r="T496" s="74"/>
      <c r="U496" s="74"/>
      <c r="V496" s="74"/>
      <c r="W496" s="74"/>
      <c r="X496" s="74"/>
      <c r="Y496" s="74"/>
      <c r="Z496" s="74"/>
    </row>
    <row r="497" spans="1:26" x14ac:dyDescent="0.3">
      <c r="A497" s="66">
        <f t="shared" si="50"/>
        <v>2038.9999999999554</v>
      </c>
      <c r="B497" s="67">
        <f>LOOKUP(A497+0.01,Amounts!$A$4:$A$103,Amounts!$B$4:$B$103)*0.1*$A$2</f>
        <v>0</v>
      </c>
      <c r="C497" s="68">
        <f t="shared" si="49"/>
        <v>902907.24633514904</v>
      </c>
      <c r="D497" s="67">
        <f t="array" ref="D497">SUM($B$7:$B492*$F$1009*EXP(-$F$1009*($A497-$A$7:$A492)))*$F$1010</f>
        <v>19668148.065110724</v>
      </c>
      <c r="E497" s="67">
        <f t="shared" si="47"/>
        <v>37.495587980824958</v>
      </c>
      <c r="F497" s="70">
        <f t="shared" si="51"/>
        <v>2.2767321021956914</v>
      </c>
      <c r="G497" s="67">
        <f>E497/'Lookup Tables'!$C$48</f>
        <v>74.991175961649915</v>
      </c>
      <c r="H497" s="70">
        <f t="shared" si="48"/>
        <v>2.1826916466463186E-2</v>
      </c>
      <c r="I497" s="71">
        <f t="shared" si="52"/>
        <v>0.10798729338477586</v>
      </c>
      <c r="L497" s="74"/>
      <c r="M497" s="74"/>
      <c r="N497" s="74"/>
      <c r="O497" s="74"/>
      <c r="P497" s="74"/>
      <c r="Q497" s="74"/>
      <c r="R497" s="74"/>
      <c r="S497" s="74"/>
      <c r="T497" s="74"/>
      <c r="U497" s="74"/>
      <c r="V497" s="74"/>
      <c r="W497" s="74"/>
      <c r="X497" s="74"/>
      <c r="Y497" s="74"/>
      <c r="Z497" s="74"/>
    </row>
    <row r="498" spans="1:26" x14ac:dyDescent="0.3">
      <c r="A498" s="66">
        <f t="shared" si="50"/>
        <v>2039.0999999999553</v>
      </c>
      <c r="B498" s="67">
        <f>LOOKUP(A498+0.01,Amounts!$A$4:$A$103,Amounts!$B$4:$B$103)*0.1*$A$2</f>
        <v>0</v>
      </c>
      <c r="C498" s="68">
        <f t="shared" si="49"/>
        <v>902907.24633514904</v>
      </c>
      <c r="D498" s="67">
        <f t="array" ref="D498">SUM($B$7:$B493*$F$1009*EXP(-$F$1009*($A498-$A$7:$A493)))*$F$1010</f>
        <v>19530951.77588509</v>
      </c>
      <c r="E498" s="67">
        <f t="shared" si="47"/>
        <v>37.234035367113052</v>
      </c>
      <c r="F498" s="70">
        <f t="shared" si="51"/>
        <v>2.2608506274911044</v>
      </c>
      <c r="G498" s="67">
        <f>E498/'Lookup Tables'!$C$48</f>
        <v>74.468070734226103</v>
      </c>
      <c r="H498" s="70">
        <f t="shared" si="48"/>
        <v>2.1674661565060004E-2</v>
      </c>
      <c r="I498" s="71">
        <f t="shared" si="52"/>
        <v>0.10723402185728557</v>
      </c>
      <c r="L498" s="74"/>
      <c r="M498" s="74"/>
      <c r="N498" s="74"/>
      <c r="O498" s="74"/>
      <c r="P498" s="74"/>
      <c r="Q498" s="74"/>
      <c r="R498" s="74"/>
      <c r="S498" s="74"/>
      <c r="T498" s="74"/>
      <c r="U498" s="74"/>
      <c r="V498" s="74"/>
      <c r="W498" s="74"/>
      <c r="X498" s="74"/>
      <c r="Y498" s="74"/>
      <c r="Z498" s="74"/>
    </row>
    <row r="499" spans="1:26" x14ac:dyDescent="0.3">
      <c r="A499" s="66">
        <f t="shared" si="50"/>
        <v>2039.1999999999553</v>
      </c>
      <c r="B499" s="67">
        <f>LOOKUP(A499+0.01,Amounts!$A$4:$A$103,Amounts!$B$4:$B$103)*0.1*$A$2</f>
        <v>0</v>
      </c>
      <c r="C499" s="68">
        <f t="shared" si="49"/>
        <v>902907.24633514904</v>
      </c>
      <c r="D499" s="67">
        <f t="array" ref="D499">SUM($B$7:$B494*$F$1009*EXP(-$F$1009*($A499-$A$7:$A494)))*$F$1010</f>
        <v>19394712.50720429</v>
      </c>
      <c r="E499" s="67">
        <f t="shared" si="47"/>
        <v>36.974307228584038</v>
      </c>
      <c r="F499" s="70">
        <f t="shared" si="51"/>
        <v>2.2450799349196227</v>
      </c>
      <c r="G499" s="67">
        <f>E499/'Lookup Tables'!$C$48</f>
        <v>73.948614457168077</v>
      </c>
      <c r="H499" s="70">
        <f t="shared" si="48"/>
        <v>2.1523468726410245E-2</v>
      </c>
      <c r="I499" s="71">
        <f t="shared" si="52"/>
        <v>0.10648600481832202</v>
      </c>
      <c r="L499" s="74"/>
      <c r="M499" s="74"/>
      <c r="N499" s="74"/>
      <c r="O499" s="74"/>
      <c r="P499" s="74"/>
      <c r="Q499" s="74"/>
      <c r="R499" s="74"/>
      <c r="S499" s="74"/>
      <c r="T499" s="74"/>
      <c r="U499" s="74"/>
      <c r="V499" s="74"/>
      <c r="W499" s="74"/>
      <c r="X499" s="74"/>
      <c r="Y499" s="74"/>
      <c r="Z499" s="74"/>
    </row>
    <row r="500" spans="1:26" x14ac:dyDescent="0.3">
      <c r="A500" s="66">
        <f t="shared" si="50"/>
        <v>2039.2999999999552</v>
      </c>
      <c r="B500" s="67">
        <f>LOOKUP(A500+0.01,Amounts!$A$4:$A$103,Amounts!$B$4:$B$103)*0.1*$A$2</f>
        <v>0</v>
      </c>
      <c r="C500" s="68">
        <f t="shared" si="49"/>
        <v>902907.24633514904</v>
      </c>
      <c r="D500" s="67">
        <f t="array" ref="D500">SUM($B$7:$B495*$F$1009*EXP(-$F$1009*($A500-$A$7:$A495)))*$F$1010</f>
        <v>19259423.583316911</v>
      </c>
      <c r="E500" s="67">
        <f t="shared" si="47"/>
        <v>36.716390838507188</v>
      </c>
      <c r="F500" s="70">
        <f t="shared" si="51"/>
        <v>2.2294192517141567</v>
      </c>
      <c r="G500" s="67">
        <f>E500/'Lookup Tables'!$C$48</f>
        <v>73.432781677014376</v>
      </c>
      <c r="H500" s="70">
        <f t="shared" si="48"/>
        <v>2.1373330542034573E-2</v>
      </c>
      <c r="I500" s="71">
        <f t="shared" si="52"/>
        <v>0.10574320561490069</v>
      </c>
      <c r="L500" s="74"/>
      <c r="M500" s="74"/>
      <c r="N500" s="74"/>
      <c r="O500" s="74"/>
      <c r="P500" s="74"/>
      <c r="Q500" s="74"/>
      <c r="R500" s="74"/>
      <c r="S500" s="74"/>
      <c r="T500" s="74"/>
      <c r="U500" s="74"/>
      <c r="V500" s="74"/>
      <c r="W500" s="74"/>
      <c r="X500" s="74"/>
      <c r="Y500" s="74"/>
      <c r="Z500" s="74"/>
    </row>
    <row r="501" spans="1:26" x14ac:dyDescent="0.3">
      <c r="A501" s="66">
        <f t="shared" si="50"/>
        <v>2039.3999999999551</v>
      </c>
      <c r="B501" s="67">
        <f>LOOKUP(A501+0.01,Amounts!$A$4:$A$103,Amounts!$B$4:$B$103)*0.1*$A$2</f>
        <v>0</v>
      </c>
      <c r="C501" s="68">
        <f t="shared" si="49"/>
        <v>902907.24633514904</v>
      </c>
      <c r="D501" s="67">
        <f t="array" ref="D501">SUM($B$7:$B496*$F$1009*EXP(-$F$1009*($A501-$A$7:$A496)))*$F$1010</f>
        <v>19125078.375038609</v>
      </c>
      <c r="E501" s="67">
        <f t="shared" si="47"/>
        <v>36.460273558927774</v>
      </c>
      <c r="F501" s="70">
        <f t="shared" si="51"/>
        <v>2.2138678104980944</v>
      </c>
      <c r="G501" s="67">
        <f>E501/'Lookup Tables'!$C$48</f>
        <v>72.920547117855548</v>
      </c>
      <c r="H501" s="70">
        <f t="shared" si="48"/>
        <v>2.1224239655131927E-2</v>
      </c>
      <c r="I501" s="71">
        <f t="shared" si="52"/>
        <v>0.10500558784971199</v>
      </c>
      <c r="L501" s="74"/>
      <c r="M501" s="74"/>
      <c r="N501" s="74"/>
      <c r="O501" s="74"/>
      <c r="P501" s="74"/>
      <c r="Q501" s="74"/>
      <c r="R501" s="74"/>
      <c r="S501" s="74"/>
      <c r="T501" s="74"/>
      <c r="U501" s="74"/>
      <c r="V501" s="74"/>
      <c r="W501" s="74"/>
      <c r="X501" s="74"/>
      <c r="Y501" s="74"/>
      <c r="Z501" s="74"/>
    </row>
    <row r="502" spans="1:26" x14ac:dyDescent="0.3">
      <c r="A502" s="66">
        <f t="shared" si="50"/>
        <v>2039.499999999955</v>
      </c>
      <c r="B502" s="67">
        <f>LOOKUP(A502+0.01,Amounts!$A$4:$A$103,Amounts!$B$4:$B$103)*0.1*$A$2</f>
        <v>0</v>
      </c>
      <c r="C502" s="68">
        <f t="shared" si="49"/>
        <v>902907.24633514904</v>
      </c>
      <c r="D502" s="67">
        <f t="array" ref="D502">SUM($B$7:$B497*$F$1009*EXP(-$F$1009*($A502-$A$7:$A497)))*$F$1010</f>
        <v>18991670.299427297</v>
      </c>
      <c r="E502" s="67">
        <f t="shared" si="47"/>
        <v>36.205942840047847</v>
      </c>
      <c r="F502" s="70">
        <f t="shared" si="51"/>
        <v>2.1984248492477052</v>
      </c>
      <c r="G502" s="67">
        <f>E502/'Lookup Tables'!$C$48</f>
        <v>72.411885680095693</v>
      </c>
      <c r="H502" s="70">
        <f t="shared" si="48"/>
        <v>2.1076188760218988E-2</v>
      </c>
      <c r="I502" s="71">
        <f t="shared" si="52"/>
        <v>0.10427311537933778</v>
      </c>
      <c r="L502" s="74"/>
      <c r="M502" s="74"/>
      <c r="N502" s="74"/>
      <c r="O502" s="74"/>
      <c r="P502" s="74"/>
      <c r="Q502" s="74"/>
      <c r="R502" s="74"/>
      <c r="S502" s="74"/>
      <c r="T502" s="74"/>
      <c r="U502" s="74"/>
      <c r="V502" s="74"/>
      <c r="W502" s="74"/>
      <c r="X502" s="74"/>
      <c r="Y502" s="74"/>
      <c r="Z502" s="74"/>
    </row>
    <row r="503" spans="1:26" x14ac:dyDescent="0.3">
      <c r="A503" s="66">
        <f t="shared" si="50"/>
        <v>2039.5999999999549</v>
      </c>
      <c r="B503" s="67">
        <f>LOOKUP(A503+0.01,Amounts!$A$4:$A$103,Amounts!$B$4:$B$103)*0.1*$A$2</f>
        <v>0</v>
      </c>
      <c r="C503" s="68">
        <f t="shared" si="49"/>
        <v>902907.24633514904</v>
      </c>
      <c r="D503" s="67">
        <f t="array" ref="D503">SUM($B$7:$B498*$F$1009*EXP(-$F$1009*($A503-$A$7:$A498)))*$F$1010</f>
        <v>18859192.819460578</v>
      </c>
      <c r="E503" s="67">
        <f t="shared" si="47"/>
        <v>35.953386219611296</v>
      </c>
      <c r="F503" s="70">
        <f t="shared" si="51"/>
        <v>2.1830896112547977</v>
      </c>
      <c r="G503" s="67">
        <f>E503/'Lookup Tables'!$C$48</f>
        <v>71.906772439222593</v>
      </c>
      <c r="H503" s="70">
        <f t="shared" si="48"/>
        <v>2.0929170602772308E-2</v>
      </c>
      <c r="I503" s="71">
        <f t="shared" si="52"/>
        <v>0.10354575231248053</v>
      </c>
      <c r="L503" s="74"/>
      <c r="M503" s="74"/>
      <c r="N503" s="74"/>
      <c r="O503" s="74"/>
      <c r="P503" s="74"/>
      <c r="Q503" s="74"/>
      <c r="R503" s="74"/>
      <c r="S503" s="74"/>
      <c r="T503" s="74"/>
      <c r="U503" s="74"/>
      <c r="V503" s="74"/>
      <c r="W503" s="74"/>
      <c r="X503" s="74"/>
      <c r="Y503" s="74"/>
      <c r="Z503" s="74"/>
    </row>
    <row r="504" spans="1:26" x14ac:dyDescent="0.3">
      <c r="A504" s="66">
        <f t="shared" si="50"/>
        <v>2039.6999999999548</v>
      </c>
      <c r="B504" s="67">
        <f>LOOKUP(A504+0.01,Amounts!$A$4:$A$103,Amounts!$B$4:$B$103)*0.1*$A$2</f>
        <v>0</v>
      </c>
      <c r="C504" s="68">
        <f t="shared" si="49"/>
        <v>902907.24633514904</v>
      </c>
      <c r="D504" s="67">
        <f t="array" ref="D504">SUM($B$7:$B499*$F$1009*EXP(-$F$1009*($A504-$A$7:$A499)))*$F$1010</f>
        <v>18727639.443715427</v>
      </c>
      <c r="E504" s="67">
        <f t="shared" si="47"/>
        <v>35.702591322293181</v>
      </c>
      <c r="F504" s="70">
        <f t="shared" si="51"/>
        <v>2.167861345089642</v>
      </c>
      <c r="G504" s="67">
        <f>E504/'Lookup Tables'!$C$48</f>
        <v>71.405182644586361</v>
      </c>
      <c r="H504" s="70">
        <f t="shared" si="48"/>
        <v>2.0783177978872743E-2</v>
      </c>
      <c r="I504" s="71">
        <f t="shared" si="52"/>
        <v>0.10282346300820436</v>
      </c>
      <c r="L504" s="74"/>
      <c r="M504" s="74"/>
      <c r="N504" s="74"/>
      <c r="O504" s="74"/>
      <c r="P504" s="74"/>
      <c r="Q504" s="74"/>
      <c r="R504" s="74"/>
      <c r="S504" s="74"/>
      <c r="T504" s="74"/>
      <c r="U504" s="74"/>
      <c r="V504" s="74"/>
      <c r="W504" s="74"/>
      <c r="X504" s="74"/>
      <c r="Y504" s="74"/>
      <c r="Z504" s="74"/>
    </row>
    <row r="505" spans="1:26" x14ac:dyDescent="0.3">
      <c r="A505" s="66">
        <f t="shared" si="50"/>
        <v>2039.7999999999547</v>
      </c>
      <c r="B505" s="67">
        <f>LOOKUP(A505+0.01,Amounts!$A$4:$A$103,Amounts!$B$4:$B$103)*0.1*$A$2</f>
        <v>0</v>
      </c>
      <c r="C505" s="68">
        <f t="shared" si="49"/>
        <v>902907.24633514904</v>
      </c>
      <c r="D505" s="67">
        <f t="array" ref="D505">SUM($B$7:$B500*$F$1009*EXP(-$F$1009*($A505-$A$7:$A500)))*$F$1010</f>
        <v>18597003.726050112</v>
      </c>
      <c r="E505" s="67">
        <f t="shared" si="47"/>
        <v>35.453545859093367</v>
      </c>
      <c r="F505" s="70">
        <f t="shared" si="51"/>
        <v>2.1527393045641494</v>
      </c>
      <c r="G505" s="67">
        <f>E505/'Lookup Tables'!$C$48</f>
        <v>70.907091718186734</v>
      </c>
      <c r="H505" s="70">
        <f t="shared" si="48"/>
        <v>2.063820373485252E-2</v>
      </c>
      <c r="I505" s="71">
        <f t="shared" si="52"/>
        <v>0.10210621207418891</v>
      </c>
      <c r="L505" s="74"/>
      <c r="M505" s="74"/>
      <c r="N505" s="74"/>
      <c r="O505" s="74"/>
      <c r="P505" s="74"/>
      <c r="Q505" s="74"/>
      <c r="R505" s="74"/>
      <c r="S505" s="74"/>
      <c r="T505" s="74"/>
      <c r="U505" s="74"/>
      <c r="V505" s="74"/>
      <c r="W505" s="74"/>
      <c r="X505" s="74"/>
      <c r="Y505" s="74"/>
      <c r="Z505" s="74"/>
    </row>
    <row r="506" spans="1:26" x14ac:dyDescent="0.3">
      <c r="A506" s="66">
        <f t="shared" si="50"/>
        <v>2039.8999999999546</v>
      </c>
      <c r="B506" s="67">
        <f>LOOKUP(A506+0.01,Amounts!$A$4:$A$103,Amounts!$B$4:$B$103)*0.1*$A$2</f>
        <v>0</v>
      </c>
      <c r="C506" s="68">
        <f t="shared" si="49"/>
        <v>902907.24633514904</v>
      </c>
      <c r="D506" s="67">
        <f t="array" ref="D506">SUM($B$7:$B501*$F$1009*EXP(-$F$1009*($A506-$A$7:$A501)))*$F$1010</f>
        <v>18467279.265288327</v>
      </c>
      <c r="E506" s="67">
        <f t="shared" si="47"/>
        <v>35.206237626734321</v>
      </c>
      <c r="F506" s="70">
        <f t="shared" si="51"/>
        <v>2.1377227486953085</v>
      </c>
      <c r="G506" s="67">
        <f>E506/'Lookup Tables'!$C$48</f>
        <v>70.412475253468642</v>
      </c>
      <c r="H506" s="70">
        <f t="shared" si="48"/>
        <v>2.0494240766944664E-2</v>
      </c>
      <c r="I506" s="71">
        <f t="shared" si="52"/>
        <v>0.10139396436499486</v>
      </c>
      <c r="L506" s="74"/>
      <c r="M506" s="74"/>
      <c r="N506" s="74"/>
      <c r="O506" s="74"/>
      <c r="P506" s="74"/>
      <c r="Q506" s="74"/>
      <c r="R506" s="74"/>
      <c r="S506" s="74"/>
      <c r="T506" s="74"/>
      <c r="U506" s="74"/>
      <c r="V506" s="74"/>
      <c r="W506" s="74"/>
      <c r="X506" s="74"/>
      <c r="Y506" s="74"/>
      <c r="Z506" s="74"/>
    </row>
    <row r="507" spans="1:26" x14ac:dyDescent="0.3">
      <c r="A507" s="66">
        <f t="shared" si="50"/>
        <v>2039.9999999999545</v>
      </c>
      <c r="B507" s="67">
        <f>LOOKUP(A507+0.01,Amounts!$A$4:$A$103,Amounts!$B$4:$B$103)*0.1*$A$2</f>
        <v>0</v>
      </c>
      <c r="C507" s="68">
        <f t="shared" si="49"/>
        <v>902907.24633514904</v>
      </c>
      <c r="D507" s="67">
        <f t="array" ref="D507">SUM($B$7:$B502*$F$1009*EXP(-$F$1009*($A507-$A$7:$A502)))*$F$1010</f>
        <v>18338459.704905543</v>
      </c>
      <c r="E507" s="67">
        <f t="shared" si="47"/>
        <v>34.960654507063175</v>
      </c>
      <c r="F507" s="70">
        <f t="shared" si="51"/>
        <v>2.1228109416688761</v>
      </c>
      <c r="G507" s="67">
        <f>E507/'Lookup Tables'!$C$48</f>
        <v>69.921309014126351</v>
      </c>
      <c r="H507" s="70">
        <f t="shared" si="48"/>
        <v>2.0351282020934953E-2</v>
      </c>
      <c r="I507" s="71">
        <f t="shared" si="52"/>
        <v>0.10068668498034195</v>
      </c>
      <c r="L507" s="74"/>
      <c r="M507" s="74"/>
      <c r="N507" s="74"/>
      <c r="O507" s="74"/>
      <c r="P507" s="74"/>
      <c r="Q507" s="74"/>
      <c r="R507" s="74"/>
      <c r="S507" s="74"/>
      <c r="T507" s="74"/>
      <c r="U507" s="74"/>
      <c r="V507" s="74"/>
      <c r="W507" s="74"/>
      <c r="X507" s="74"/>
      <c r="Y507" s="74"/>
      <c r="Z507" s="74"/>
    </row>
    <row r="508" spans="1:26" x14ac:dyDescent="0.3">
      <c r="A508" s="66">
        <f t="shared" si="50"/>
        <v>2040.0999999999544</v>
      </c>
      <c r="B508" s="67">
        <f>LOOKUP(A508+0.01,Amounts!$A$4:$A$103,Amounts!$B$4:$B$103)*0.1*$A$2</f>
        <v>0</v>
      </c>
      <c r="C508" s="68">
        <f t="shared" si="49"/>
        <v>902907.24633514904</v>
      </c>
      <c r="D508" s="67">
        <f t="array" ref="D508">SUM($B$7:$B503*$F$1009*EXP(-$F$1009*($A508-$A$7:$A503)))*$F$1010</f>
        <v>18210538.732717521</v>
      </c>
      <c r="E508" s="67">
        <f t="shared" si="47"/>
        <v>34.716784466457923</v>
      </c>
      <c r="F508" s="70">
        <f t="shared" si="51"/>
        <v>2.1080031528033252</v>
      </c>
      <c r="G508" s="67">
        <f>E508/'Lookup Tables'!$C$48</f>
        <v>69.433568932915847</v>
      </c>
      <c r="H508" s="70">
        <f t="shared" si="48"/>
        <v>2.0209320491816219E-2</v>
      </c>
      <c r="I508" s="71">
        <f t="shared" si="52"/>
        <v>9.9984339263398808E-2</v>
      </c>
      <c r="L508" s="74"/>
      <c r="M508" s="74"/>
      <c r="N508" s="74"/>
      <c r="O508" s="74"/>
      <c r="P508" s="74"/>
      <c r="Q508" s="74"/>
      <c r="R508" s="74"/>
      <c r="S508" s="74"/>
      <c r="T508" s="74"/>
      <c r="U508" s="74"/>
      <c r="V508" s="74"/>
      <c r="W508" s="74"/>
      <c r="X508" s="74"/>
      <c r="Y508" s="74"/>
      <c r="Z508" s="74"/>
    </row>
    <row r="509" spans="1:26" x14ac:dyDescent="0.3">
      <c r="A509" s="66">
        <f t="shared" si="50"/>
        <v>2040.1999999999543</v>
      </c>
      <c r="B509" s="67">
        <f>LOOKUP(A509+0.01,Amounts!$A$4:$A$103,Amounts!$B$4:$B$103)*0.1*$A$2</f>
        <v>0</v>
      </c>
      <c r="C509" s="68">
        <f t="shared" si="49"/>
        <v>902907.24633514904</v>
      </c>
      <c r="D509" s="67">
        <f t="array" ref="D509">SUM($B$7:$B504*$F$1009*EXP(-$F$1009*($A509-$A$7:$A504)))*$F$1010</f>
        <v>18083510.080571037</v>
      </c>
      <c r="E509" s="67">
        <f t="shared" si="47"/>
        <v>34.474615555237797</v>
      </c>
      <c r="F509" s="70">
        <f t="shared" si="51"/>
        <v>2.093298656514039</v>
      </c>
      <c r="G509" s="67">
        <f>E509/'Lookup Tables'!$C$48</f>
        <v>68.949231110475594</v>
      </c>
      <c r="H509" s="70">
        <f t="shared" si="48"/>
        <v>2.0068349223445147E-2</v>
      </c>
      <c r="I509" s="71">
        <f t="shared" si="52"/>
        <v>9.9286892799084842E-2</v>
      </c>
      <c r="L509" s="74"/>
      <c r="M509" s="74"/>
      <c r="N509" s="74"/>
      <c r="O509" s="74"/>
      <c r="P509" s="74"/>
      <c r="Q509" s="74"/>
      <c r="R509" s="74"/>
      <c r="S509" s="74"/>
      <c r="T509" s="74"/>
      <c r="U509" s="74"/>
      <c r="V509" s="74"/>
      <c r="W509" s="74"/>
      <c r="X509" s="74"/>
      <c r="Y509" s="74"/>
      <c r="Z509" s="74"/>
    </row>
    <row r="510" spans="1:26" x14ac:dyDescent="0.3">
      <c r="A510" s="66">
        <f t="shared" si="50"/>
        <v>2040.2999999999543</v>
      </c>
      <c r="B510" s="67">
        <f>LOOKUP(A510+0.01,Amounts!$A$4:$A$103,Amounts!$B$4:$B$103)*0.1*$A$2</f>
        <v>0</v>
      </c>
      <c r="C510" s="68">
        <f t="shared" si="49"/>
        <v>902907.24633514904</v>
      </c>
      <c r="D510" s="67">
        <f t="array" ref="D510">SUM($B$7:$B505*$F$1009*EXP(-$F$1009*($A510-$A$7:$A505)))*$F$1010</f>
        <v>17957367.524036702</v>
      </c>
      <c r="E510" s="67">
        <f t="shared" si="47"/>
        <v>34.234135907077658</v>
      </c>
      <c r="F510" s="70">
        <f t="shared" si="51"/>
        <v>2.0786967322777552</v>
      </c>
      <c r="G510" s="67">
        <f>E510/'Lookup Tables'!$C$48</f>
        <v>68.468271814155315</v>
      </c>
      <c r="H510" s="70">
        <f t="shared" si="48"/>
        <v>1.9928361308201359E-2</v>
      </c>
      <c r="I510" s="71">
        <f t="shared" si="52"/>
        <v>9.8594311412383659E-2</v>
      </c>
      <c r="L510" s="74"/>
      <c r="M510" s="74"/>
      <c r="N510" s="74"/>
      <c r="O510" s="74"/>
      <c r="P510" s="74"/>
      <c r="Q510" s="74"/>
      <c r="R510" s="74"/>
      <c r="S510" s="74"/>
      <c r="T510" s="74"/>
      <c r="U510" s="74"/>
      <c r="V510" s="74"/>
      <c r="W510" s="74"/>
      <c r="X510" s="74"/>
      <c r="Y510" s="74"/>
      <c r="Z510" s="74"/>
    </row>
    <row r="511" spans="1:26" x14ac:dyDescent="0.3">
      <c r="A511" s="66">
        <f t="shared" si="50"/>
        <v>2040.3999999999542</v>
      </c>
      <c r="B511" s="67">
        <f>LOOKUP(A511+0.01,Amounts!$A$4:$A$103,Amounts!$B$4:$B$103)*0.1*$A$2</f>
        <v>0</v>
      </c>
      <c r="C511" s="68">
        <f t="shared" si="49"/>
        <v>902907.24633514904</v>
      </c>
      <c r="D511" s="67">
        <f t="array" ref="D511">SUM($B$7:$B506*$F$1009*EXP(-$F$1009*($A511-$A$7:$A506)))*$F$1010</f>
        <v>17832104.882104032</v>
      </c>
      <c r="E511" s="67">
        <f t="shared" si="47"/>
        <v>33.99533373842668</v>
      </c>
      <c r="F511" s="70">
        <f t="shared" si="51"/>
        <v>2.0641966645972678</v>
      </c>
      <c r="G511" s="67">
        <f>E511/'Lookup Tables'!$C$48</f>
        <v>67.990667476853361</v>
      </c>
      <c r="H511" s="70">
        <f t="shared" si="48"/>
        <v>1.9789349886649023E-2</v>
      </c>
      <c r="I511" s="71">
        <f t="shared" si="52"/>
        <v>9.7906561166668835E-2</v>
      </c>
      <c r="L511" s="74"/>
      <c r="M511" s="74"/>
      <c r="N511" s="74"/>
      <c r="O511" s="74"/>
      <c r="P511" s="74"/>
      <c r="Q511" s="74"/>
      <c r="R511" s="74"/>
      <c r="S511" s="74"/>
      <c r="T511" s="74"/>
      <c r="U511" s="74"/>
      <c r="V511" s="74"/>
      <c r="W511" s="74"/>
      <c r="X511" s="74"/>
      <c r="Y511" s="74"/>
      <c r="Z511" s="74"/>
    </row>
    <row r="512" spans="1:26" x14ac:dyDescent="0.3">
      <c r="A512" s="66">
        <f t="shared" si="50"/>
        <v>2040.4999999999541</v>
      </c>
      <c r="B512" s="67">
        <f>LOOKUP(A512+0.01,Amounts!$A$4:$A$103,Amounts!$B$4:$B$103)*0.1*$A$2</f>
        <v>0</v>
      </c>
      <c r="C512" s="68">
        <f t="shared" si="49"/>
        <v>902907.24633514904</v>
      </c>
      <c r="D512" s="67">
        <f t="array" ref="D512">SUM($B$7:$B507*$F$1009*EXP(-$F$1009*($A512-$A$7:$A507)))*$F$1010</f>
        <v>17707716.016878489</v>
      </c>
      <c r="E512" s="67">
        <f t="shared" si="47"/>
        <v>33.758197347930775</v>
      </c>
      <c r="F512" s="70">
        <f t="shared" si="51"/>
        <v>2.0497977429663568</v>
      </c>
      <c r="G512" s="67">
        <f>E512/'Lookup Tables'!$C$48</f>
        <v>67.51639469586155</v>
      </c>
      <c r="H512" s="70">
        <f t="shared" si="48"/>
        <v>1.9651308147200647E-2</v>
      </c>
      <c r="I512" s="71">
        <f t="shared" si="52"/>
        <v>9.7223608362040623E-2</v>
      </c>
      <c r="L512" s="74"/>
      <c r="M512" s="74"/>
      <c r="N512" s="74"/>
      <c r="O512" s="74"/>
      <c r="P512" s="74"/>
      <c r="Q512" s="74"/>
      <c r="R512" s="74"/>
      <c r="S512" s="74"/>
      <c r="T512" s="74"/>
      <c r="U512" s="74"/>
      <c r="V512" s="74"/>
      <c r="W512" s="74"/>
      <c r="X512" s="74"/>
      <c r="Y512" s="74"/>
      <c r="Z512" s="74"/>
    </row>
    <row r="513" spans="1:26" x14ac:dyDescent="0.3">
      <c r="A513" s="66">
        <f t="shared" si="50"/>
        <v>2040.599999999954</v>
      </c>
      <c r="B513" s="67">
        <f>LOOKUP(A513+0.01,Amounts!$A$4:$A$103,Amounts!$B$4:$B$103)*0.1*$A$2</f>
        <v>0</v>
      </c>
      <c r="C513" s="68">
        <f t="shared" si="49"/>
        <v>902907.24633514904</v>
      </c>
      <c r="D513" s="67">
        <f t="array" ref="D513">SUM($B$7:$B508*$F$1009*EXP(-$F$1009*($A513-$A$7:$A508)))*$F$1010</f>
        <v>17584194.833280802</v>
      </c>
      <c r="E513" s="67">
        <f t="shared" si="47"/>
        <v>33.522715115859391</v>
      </c>
      <c r="F513" s="70">
        <f t="shared" si="51"/>
        <v>2.0354992618349823</v>
      </c>
      <c r="G513" s="67">
        <f>E513/'Lookup Tables'!$C$48</f>
        <v>67.045430231718782</v>
      </c>
      <c r="H513" s="70">
        <f t="shared" si="48"/>
        <v>1.9514229325783394E-2</v>
      </c>
      <c r="I513" s="71">
        <f t="shared" si="52"/>
        <v>9.6545419533675042E-2</v>
      </c>
      <c r="L513" s="74"/>
      <c r="M513" s="74"/>
      <c r="N513" s="74"/>
      <c r="O513" s="74"/>
      <c r="P513" s="74"/>
      <c r="Q513" s="74"/>
      <c r="R513" s="74"/>
      <c r="S513" s="74"/>
      <c r="T513" s="74"/>
      <c r="U513" s="74"/>
      <c r="V513" s="74"/>
      <c r="W513" s="74"/>
      <c r="X513" s="74"/>
      <c r="Y513" s="74"/>
      <c r="Z513" s="74"/>
    </row>
    <row r="514" spans="1:26" x14ac:dyDescent="0.3">
      <c r="A514" s="66">
        <f t="shared" si="50"/>
        <v>2040.6999999999539</v>
      </c>
      <c r="B514" s="67">
        <f>LOOKUP(A514+0.01,Amounts!$A$4:$A$103,Amounts!$B$4:$B$103)*0.1*$A$2</f>
        <v>0</v>
      </c>
      <c r="C514" s="68">
        <f t="shared" si="49"/>
        <v>902907.24633514904</v>
      </c>
      <c r="D514" s="67">
        <f t="array" ref="D514">SUM($B$7:$B509*$F$1009*EXP(-$F$1009*($A514-$A$7:$A509)))*$F$1010</f>
        <v>17461535.278748248</v>
      </c>
      <c r="E514" s="67">
        <f t="shared" si="47"/>
        <v>33.288875503536026</v>
      </c>
      <c r="F514" s="70">
        <f t="shared" si="51"/>
        <v>2.0213005205747074</v>
      </c>
      <c r="G514" s="67">
        <f>E514/'Lookup Tables'!$C$48</f>
        <v>66.577751007072052</v>
      </c>
      <c r="H514" s="70">
        <f t="shared" si="48"/>
        <v>1.9378106705507579E-2</v>
      </c>
      <c r="I514" s="71">
        <f t="shared" si="52"/>
        <v>9.5871961450183771E-2</v>
      </c>
      <c r="L514" s="74"/>
      <c r="M514" s="74"/>
      <c r="N514" s="74"/>
      <c r="O514" s="74"/>
      <c r="P514" s="74"/>
      <c r="Q514" s="74"/>
      <c r="R514" s="74"/>
      <c r="S514" s="74"/>
      <c r="T514" s="74"/>
      <c r="U514" s="74"/>
      <c r="V514" s="74"/>
      <c r="W514" s="74"/>
      <c r="X514" s="74"/>
      <c r="Y514" s="74"/>
      <c r="Z514" s="74"/>
    </row>
    <row r="515" spans="1:26" x14ac:dyDescent="0.3">
      <c r="A515" s="66">
        <f t="shared" si="50"/>
        <v>2040.7999999999538</v>
      </c>
      <c r="B515" s="67">
        <f>LOOKUP(A515+0.01,Amounts!$A$4:$A$103,Amounts!$B$4:$B$103)*0.1*$A$2</f>
        <v>0</v>
      </c>
      <c r="C515" s="68">
        <f t="shared" si="49"/>
        <v>902907.24633514904</v>
      </c>
      <c r="D515" s="67">
        <f t="array" ref="D515">SUM($B$7:$B510*$F$1009*EXP(-$F$1009*($A515-$A$7:$A510)))*$F$1010</f>
        <v>17339731.342938121</v>
      </c>
      <c r="E515" s="67">
        <f t="shared" si="47"/>
        <v>33.05666705277288</v>
      </c>
      <c r="F515" s="70">
        <f t="shared" si="51"/>
        <v>2.0072008234443692</v>
      </c>
      <c r="G515" s="67">
        <f>E515/'Lookup Tables'!$C$48</f>
        <v>66.113334105545761</v>
      </c>
      <c r="H515" s="70">
        <f t="shared" si="48"/>
        <v>1.9242933616337568E-2</v>
      </c>
      <c r="I515" s="71">
        <f t="shared" si="52"/>
        <v>9.5203201111985894E-2</v>
      </c>
      <c r="L515" s="74"/>
      <c r="M515" s="74"/>
      <c r="N515" s="74"/>
      <c r="O515" s="74"/>
      <c r="P515" s="74"/>
      <c r="Q515" s="74"/>
      <c r="R515" s="74"/>
      <c r="S515" s="74"/>
      <c r="T515" s="74"/>
      <c r="U515" s="74"/>
      <c r="V515" s="74"/>
      <c r="W515" s="74"/>
      <c r="X515" s="74"/>
      <c r="Y515" s="74"/>
      <c r="Z515" s="74"/>
    </row>
    <row r="516" spans="1:26" x14ac:dyDescent="0.3">
      <c r="A516" s="66">
        <f t="shared" si="50"/>
        <v>2040.8999999999537</v>
      </c>
      <c r="B516" s="67">
        <f>LOOKUP(A516+0.01,Amounts!$A$4:$A$103,Amounts!$B$4:$B$103)*0.1*$A$2</f>
        <v>0</v>
      </c>
      <c r="C516" s="68">
        <f t="shared" si="49"/>
        <v>902907.24633514904</v>
      </c>
      <c r="D516" s="67">
        <f t="array" ref="D516">SUM($B$7:$B511*$F$1009*EXP(-$F$1009*($A516-$A$7:$A511)))*$F$1010</f>
        <v>17218777.057433195</v>
      </c>
      <c r="E516" s="67">
        <f t="shared" si="47"/>
        <v>32.82607838530943</v>
      </c>
      <c r="F516" s="70">
        <f t="shared" si="51"/>
        <v>1.9931994795559886</v>
      </c>
      <c r="G516" s="67">
        <f>E516/'Lookup Tables'!$C$48</f>
        <v>65.652156770618859</v>
      </c>
      <c r="H516" s="70">
        <f t="shared" si="48"/>
        <v>1.9108703434764965E-2</v>
      </c>
      <c r="I516" s="71">
        <f t="shared" si="52"/>
        <v>9.4539105749691169E-2</v>
      </c>
      <c r="L516" s="74"/>
      <c r="M516" s="74"/>
      <c r="N516" s="74"/>
      <c r="O516" s="74"/>
      <c r="P516" s="74"/>
      <c r="Q516" s="74"/>
      <c r="R516" s="74"/>
      <c r="S516" s="74"/>
      <c r="T516" s="74"/>
      <c r="U516" s="74"/>
      <c r="V516" s="74"/>
      <c r="W516" s="74"/>
      <c r="X516" s="74"/>
      <c r="Y516" s="74"/>
      <c r="Z516" s="74"/>
    </row>
    <row r="517" spans="1:26" x14ac:dyDescent="0.3">
      <c r="A517" s="66">
        <f t="shared" si="50"/>
        <v>2040.9999999999536</v>
      </c>
      <c r="B517" s="67">
        <f>LOOKUP(A517+0.01,Amounts!$A$4:$A$103,Amounts!$B$4:$B$103)*0.1*$A$2</f>
        <v>0</v>
      </c>
      <c r="C517" s="68">
        <f t="shared" si="49"/>
        <v>902907.24633514904</v>
      </c>
      <c r="D517" s="67">
        <f t="array" ref="D517">SUM($B$7:$B512*$F$1009*EXP(-$F$1009*($A517-$A$7:$A512)))*$F$1010</f>
        <v>17098666.495449275</v>
      </c>
      <c r="E517" s="67">
        <f t="shared" si="47"/>
        <v>32.597098202254806</v>
      </c>
      <c r="F517" s="70">
        <f t="shared" si="51"/>
        <v>1.9792958028409118</v>
      </c>
      <c r="G517" s="67">
        <f>E517/'Lookup Tables'!$C$48</f>
        <v>65.194196404509611</v>
      </c>
      <c r="H517" s="70">
        <f t="shared" si="48"/>
        <v>1.8975409583483989E-2</v>
      </c>
      <c r="I517" s="71">
        <f t="shared" si="52"/>
        <v>9.3879642822493836E-2</v>
      </c>
      <c r="L517" s="74"/>
      <c r="M517" s="74"/>
      <c r="N517" s="74"/>
      <c r="O517" s="74"/>
      <c r="P517" s="74"/>
      <c r="Q517" s="74"/>
      <c r="R517" s="74"/>
      <c r="S517" s="74"/>
      <c r="T517" s="74"/>
      <c r="U517" s="74"/>
      <c r="V517" s="74"/>
      <c r="W517" s="74"/>
      <c r="X517" s="74"/>
      <c r="Y517" s="74"/>
      <c r="Z517" s="74"/>
    </row>
    <row r="518" spans="1:26" x14ac:dyDescent="0.3">
      <c r="A518" s="66">
        <f t="shared" si="50"/>
        <v>2041.0999999999535</v>
      </c>
      <c r="B518" s="67">
        <f>LOOKUP(A518+0.01,Amounts!$A$4:$A$103,Amounts!$B$4:$B$103)*0.1*$A$2</f>
        <v>0</v>
      </c>
      <c r="C518" s="68">
        <f t="shared" si="49"/>
        <v>902907.24633514904</v>
      </c>
      <c r="D518" s="67">
        <f t="array" ref="D518">SUM($B$7:$B513*$F$1009*EXP(-$F$1009*($A518-$A$7:$A513)))*$F$1010</f>
        <v>16979393.771544795</v>
      </c>
      <c r="E518" s="67">
        <f t="shared" si="47"/>
        <v>32.369715283534255</v>
      </c>
      <c r="F518" s="70">
        <f t="shared" si="51"/>
        <v>1.9654891120161999</v>
      </c>
      <c r="G518" s="67">
        <f>E518/'Lookup Tables'!$C$48</f>
        <v>64.73943056706851</v>
      </c>
      <c r="H518" s="70">
        <f t="shared" si="48"/>
        <v>1.8843045531069285E-2</v>
      </c>
      <c r="I518" s="71">
        <f t="shared" si="52"/>
        <v>9.3224780016578648E-2</v>
      </c>
      <c r="L518" s="74"/>
      <c r="M518" s="74"/>
      <c r="N518" s="74"/>
      <c r="O518" s="74"/>
      <c r="P518" s="74"/>
      <c r="Q518" s="74"/>
      <c r="R518" s="74"/>
      <c r="S518" s="74"/>
      <c r="T518" s="74"/>
      <c r="U518" s="74"/>
      <c r="V518" s="74"/>
      <c r="W518" s="74"/>
      <c r="X518" s="74"/>
      <c r="Y518" s="74"/>
      <c r="Z518" s="74"/>
    </row>
    <row r="519" spans="1:26" x14ac:dyDescent="0.3">
      <c r="A519" s="66">
        <f t="shared" si="50"/>
        <v>2041.1999999999534</v>
      </c>
      <c r="B519" s="67">
        <f>LOOKUP(A519+0.01,Amounts!$A$4:$A$103,Amounts!$B$4:$B$103)*0.1*$A$2</f>
        <v>0</v>
      </c>
      <c r="C519" s="68">
        <f t="shared" si="49"/>
        <v>902907.24633514904</v>
      </c>
      <c r="D519" s="67">
        <f t="array" ref="D519">SUM($B$7:$B514*$F$1009*EXP(-$F$1009*($A519-$A$7:$A514)))*$F$1010</f>
        <v>16860953.04133242</v>
      </c>
      <c r="E519" s="67">
        <f t="shared" ref="E519:E582" si="53">D519/(365*24*60)*1.00201</f>
        <v>32.143918487339235</v>
      </c>
      <c r="F519" s="70">
        <f t="shared" si="51"/>
        <v>1.9517787305512384</v>
      </c>
      <c r="G519" s="67">
        <f>E519/'Lookup Tables'!$C$48</f>
        <v>64.28783697467847</v>
      </c>
      <c r="H519" s="70">
        <f t="shared" ref="H519:H582" si="54">G519*60*24*365/(C519*2000)</f>
        <v>1.8711604791655782E-2</v>
      </c>
      <c r="I519" s="71">
        <f t="shared" si="52"/>
        <v>9.2574485243536994E-2</v>
      </c>
      <c r="L519" s="74"/>
      <c r="M519" s="74"/>
      <c r="N519" s="74"/>
      <c r="O519" s="74"/>
      <c r="P519" s="74"/>
      <c r="Q519" s="74"/>
      <c r="R519" s="74"/>
      <c r="S519" s="74"/>
      <c r="T519" s="74"/>
      <c r="U519" s="74"/>
      <c r="V519" s="74"/>
      <c r="W519" s="74"/>
      <c r="X519" s="74"/>
      <c r="Y519" s="74"/>
      <c r="Z519" s="74"/>
    </row>
    <row r="520" spans="1:26" x14ac:dyDescent="0.3">
      <c r="A520" s="66">
        <f t="shared" si="50"/>
        <v>2041.2999999999533</v>
      </c>
      <c r="B520" s="67">
        <f>LOOKUP(A520+0.01,Amounts!$A$4:$A$103,Amounts!$B$4:$B$103)*0.1*$A$2</f>
        <v>0</v>
      </c>
      <c r="C520" s="68">
        <f t="shared" si="49"/>
        <v>902907.24633514904</v>
      </c>
      <c r="D520" s="67">
        <f t="array" ref="D520">SUM($B$7:$B515*$F$1009*EXP(-$F$1009*($A520-$A$7:$A515)))*$F$1010</f>
        <v>16743338.50119267</v>
      </c>
      <c r="E520" s="67">
        <f t="shared" si="53"/>
        <v>31.919696749581561</v>
      </c>
      <c r="F520" s="70">
        <f t="shared" si="51"/>
        <v>1.9381639866345923</v>
      </c>
      <c r="G520" s="67">
        <f>E520/'Lookup Tables'!$C$48</f>
        <v>63.839393499163123</v>
      </c>
      <c r="H520" s="70">
        <f t="shared" si="54"/>
        <v>1.8581080924620953E-2</v>
      </c>
      <c r="I520" s="71">
        <f t="shared" si="52"/>
        <v>9.1928726638794894E-2</v>
      </c>
      <c r="L520" s="74"/>
      <c r="M520" s="74"/>
      <c r="N520" s="74"/>
      <c r="O520" s="74"/>
      <c r="P520" s="74"/>
      <c r="Q520" s="74"/>
      <c r="R520" s="74"/>
      <c r="S520" s="74"/>
      <c r="T520" s="74"/>
      <c r="U520" s="74"/>
      <c r="V520" s="74"/>
      <c r="W520" s="74"/>
      <c r="X520" s="74"/>
      <c r="Y520" s="74"/>
      <c r="Z520" s="74"/>
    </row>
    <row r="521" spans="1:26" x14ac:dyDescent="0.3">
      <c r="A521" s="66">
        <f t="shared" si="50"/>
        <v>2041.3999999999533</v>
      </c>
      <c r="B521" s="67">
        <f>LOOKUP(A521+0.01,Amounts!$A$4:$A$103,Amounts!$B$4:$B$103)*0.1*$A$2</f>
        <v>0</v>
      </c>
      <c r="C521" s="68">
        <f t="shared" ref="C521:C584" si="55">C520+B521</f>
        <v>902907.24633514904</v>
      </c>
      <c r="D521" s="67">
        <f t="array" ref="D521">SUM($B$7:$B516*$F$1009*EXP(-$F$1009*($A521-$A$7:$A516)))*$F$1010</f>
        <v>16626544.387989547</v>
      </c>
      <c r="E521" s="67">
        <f t="shared" si="53"/>
        <v>31.697039083351232</v>
      </c>
      <c r="F521" s="70">
        <f t="shared" si="51"/>
        <v>1.9246442131410868</v>
      </c>
      <c r="G521" s="67">
        <f>E521/'Lookup Tables'!$C$48</f>
        <v>63.394078166702464</v>
      </c>
      <c r="H521" s="70">
        <f t="shared" si="54"/>
        <v>1.8451467534269204E-2</v>
      </c>
      <c r="I521" s="71">
        <f t="shared" si="52"/>
        <v>9.1287472560051555E-2</v>
      </c>
      <c r="L521" s="74"/>
      <c r="M521" s="74"/>
      <c r="N521" s="74"/>
      <c r="O521" s="74"/>
      <c r="P521" s="74"/>
      <c r="Q521" s="74"/>
      <c r="R521" s="74"/>
      <c r="S521" s="74"/>
      <c r="T521" s="74"/>
      <c r="U521" s="74"/>
      <c r="V521" s="74"/>
      <c r="W521" s="74"/>
      <c r="X521" s="74"/>
      <c r="Y521" s="74"/>
      <c r="Z521" s="74"/>
    </row>
    <row r="522" spans="1:26" x14ac:dyDescent="0.3">
      <c r="A522" s="66">
        <f t="shared" si="50"/>
        <v>2041.4999999999532</v>
      </c>
      <c r="B522" s="67">
        <f>LOOKUP(A522+0.01,Amounts!$A$4:$A$103,Amounts!$B$4:$B$103)*0.1*$A$2</f>
        <v>0</v>
      </c>
      <c r="C522" s="68">
        <f t="shared" si="55"/>
        <v>902907.24633514904</v>
      </c>
      <c r="D522" s="67">
        <f t="array" ref="D522">SUM($B$7:$B517*$F$1009*EXP(-$F$1009*($A522-$A$7:$A517)))*$F$1010</f>
        <v>16510564.978788132</v>
      </c>
      <c r="E522" s="67">
        <f t="shared" si="53"/>
        <v>31.475934578378041</v>
      </c>
      <c r="F522" s="70">
        <f t="shared" si="51"/>
        <v>1.9112187475991147</v>
      </c>
      <c r="G522" s="67">
        <f>E522/'Lookup Tables'!$C$48</f>
        <v>62.951869156756082</v>
      </c>
      <c r="H522" s="70">
        <f t="shared" si="54"/>
        <v>1.8322758269518465E-2</v>
      </c>
      <c r="I522" s="71">
        <f t="shared" si="52"/>
        <v>9.0650691585728749E-2</v>
      </c>
      <c r="L522" s="74"/>
      <c r="M522" s="74"/>
      <c r="N522" s="74"/>
      <c r="O522" s="74"/>
      <c r="P522" s="74"/>
      <c r="Q522" s="74"/>
      <c r="R522" s="74"/>
      <c r="S522" s="74"/>
      <c r="T522" s="74"/>
      <c r="U522" s="74"/>
      <c r="V522" s="74"/>
      <c r="W522" s="74"/>
      <c r="X522" s="74"/>
      <c r="Y522" s="74"/>
      <c r="Z522" s="74"/>
    </row>
    <row r="523" spans="1:26" x14ac:dyDescent="0.3">
      <c r="A523" s="66">
        <f t="shared" si="50"/>
        <v>2041.5999999999531</v>
      </c>
      <c r="B523" s="67">
        <f>LOOKUP(A523+0.01,Amounts!$A$4:$A$103,Amounts!$B$4:$B$103)*0.1*$A$2</f>
        <v>0</v>
      </c>
      <c r="C523" s="68">
        <f t="shared" si="55"/>
        <v>902907.24633514904</v>
      </c>
      <c r="D523" s="67">
        <f t="array" ref="D523">SUM($B$7:$B518*$F$1009*EXP(-$F$1009*($A523-$A$7:$A518)))*$F$1010</f>
        <v>16395394.59057417</v>
      </c>
      <c r="E523" s="67">
        <f t="shared" si="53"/>
        <v>31.256372400497003</v>
      </c>
      <c r="F523" s="70">
        <f t="shared" si="51"/>
        <v>1.8978869321581779</v>
      </c>
      <c r="G523" s="67">
        <f>E523/'Lookup Tables'!$C$48</f>
        <v>62.512744800994007</v>
      </c>
      <c r="H523" s="70">
        <f t="shared" si="54"/>
        <v>1.8194946823589016E-2</v>
      </c>
      <c r="I523" s="71">
        <f t="shared" si="52"/>
        <v>9.0018352513431363E-2</v>
      </c>
      <c r="L523" s="74"/>
      <c r="M523" s="74"/>
      <c r="N523" s="74"/>
      <c r="O523" s="74"/>
      <c r="P523" s="74"/>
      <c r="Q523" s="74"/>
      <c r="R523" s="74"/>
      <c r="S523" s="74"/>
      <c r="T523" s="74"/>
      <c r="U523" s="74"/>
      <c r="V523" s="74"/>
      <c r="W523" s="74"/>
      <c r="X523" s="74"/>
      <c r="Y523" s="74"/>
      <c r="Z523" s="74"/>
    </row>
    <row r="524" spans="1:26" x14ac:dyDescent="0.3">
      <c r="A524" s="66">
        <f t="shared" si="50"/>
        <v>2041.699999999953</v>
      </c>
      <c r="B524" s="67">
        <f>LOOKUP(A524+0.01,Amounts!$A$4:$A$103,Amounts!$B$4:$B$103)*0.1*$A$2</f>
        <v>0</v>
      </c>
      <c r="C524" s="68">
        <f t="shared" si="55"/>
        <v>902907.24633514904</v>
      </c>
      <c r="D524" s="67">
        <f t="array" ref="D524">SUM($B$7:$B519*$F$1009*EXP(-$F$1009*($A524-$A$7:$A519)))*$F$1010</f>
        <v>16281027.579975592</v>
      </c>
      <c r="E524" s="67">
        <f t="shared" si="53"/>
        <v>31.038341791117475</v>
      </c>
      <c r="F524" s="70">
        <f t="shared" si="51"/>
        <v>1.8846481135566531</v>
      </c>
      <c r="G524" s="67">
        <f>E524/'Lookup Tables'!$C$48</f>
        <v>62.076683582234949</v>
      </c>
      <c r="H524" s="70">
        <f t="shared" si="54"/>
        <v>1.8068026933694432E-2</v>
      </c>
      <c r="I524" s="71">
        <f t="shared" si="52"/>
        <v>8.9390424358418333E-2</v>
      </c>
      <c r="L524" s="74"/>
      <c r="M524" s="74"/>
      <c r="N524" s="74"/>
      <c r="O524" s="74"/>
      <c r="P524" s="74"/>
      <c r="Q524" s="74"/>
      <c r="R524" s="74"/>
      <c r="S524" s="74"/>
      <c r="T524" s="74"/>
      <c r="U524" s="74"/>
      <c r="V524" s="74"/>
      <c r="W524" s="74"/>
      <c r="X524" s="74"/>
      <c r="Y524" s="74"/>
      <c r="Z524" s="74"/>
    </row>
    <row r="525" spans="1:26" x14ac:dyDescent="0.3">
      <c r="A525" s="66">
        <f t="shared" si="50"/>
        <v>2041.7999999999529</v>
      </c>
      <c r="B525" s="67">
        <f>LOOKUP(A525+0.01,Amounts!$A$4:$A$103,Amounts!$B$4:$B$103)*0.1*$A$2</f>
        <v>0</v>
      </c>
      <c r="C525" s="68">
        <f t="shared" si="55"/>
        <v>902907.24633514904</v>
      </c>
      <c r="D525" s="67">
        <f t="array" ref="D525">SUM($B$7:$B520*$F$1009*EXP(-$F$1009*($A525-$A$7:$A520)))*$F$1010</f>
        <v>16167458.342986003</v>
      </c>
      <c r="E525" s="67">
        <f t="shared" si="53"/>
        <v>30.821832066695976</v>
      </c>
      <c r="F525" s="70">
        <f t="shared" si="51"/>
        <v>1.8715016430897797</v>
      </c>
      <c r="G525" s="67">
        <f>E525/'Lookup Tables'!$C$48</f>
        <v>61.643664133391951</v>
      </c>
      <c r="H525" s="70">
        <f t="shared" si="54"/>
        <v>1.7941992380734715E-2</v>
      </c>
      <c r="I525" s="71">
        <f t="shared" si="52"/>
        <v>8.8766876352084426E-2</v>
      </c>
      <c r="L525" s="74"/>
      <c r="M525" s="74"/>
      <c r="N525" s="74"/>
      <c r="O525" s="74"/>
      <c r="P525" s="74"/>
      <c r="Q525" s="74"/>
      <c r="R525" s="74"/>
      <c r="S525" s="74"/>
      <c r="T525" s="74"/>
      <c r="U525" s="74"/>
      <c r="V525" s="74"/>
      <c r="W525" s="74"/>
      <c r="X525" s="74"/>
      <c r="Y525" s="74"/>
      <c r="Z525" s="74"/>
    </row>
    <row r="526" spans="1:26" x14ac:dyDescent="0.3">
      <c r="A526" s="66">
        <f t="shared" si="50"/>
        <v>2041.8999999999528</v>
      </c>
      <c r="B526" s="67">
        <f>LOOKUP(A526+0.01,Amounts!$A$4:$A$103,Amounts!$B$4:$B$103)*0.1*$A$2</f>
        <v>0</v>
      </c>
      <c r="C526" s="68">
        <f t="shared" si="55"/>
        <v>902907.24633514904</v>
      </c>
      <c r="D526" s="67">
        <f t="array" ref="D526">SUM($B$7:$B521*$F$1009*EXP(-$F$1009*($A526-$A$7:$A521)))*$F$1010</f>
        <v>16054681.314690063</v>
      </c>
      <c r="E526" s="67">
        <f t="shared" si="53"/>
        <v>30.606832618212692</v>
      </c>
      <c r="F526" s="70">
        <f t="shared" si="51"/>
        <v>1.8584468765778746</v>
      </c>
      <c r="G526" s="67">
        <f>E526/'Lookup Tables'!$C$48</f>
        <v>61.213665236425385</v>
      </c>
      <c r="H526" s="70">
        <f t="shared" si="54"/>
        <v>1.7816836988991554E-2</v>
      </c>
      <c r="I526" s="71">
        <f t="shared" si="52"/>
        <v>8.8147677940452557E-2</v>
      </c>
      <c r="L526" s="74"/>
      <c r="M526" s="74"/>
      <c r="N526" s="74"/>
      <c r="O526" s="74"/>
      <c r="P526" s="74"/>
      <c r="Q526" s="74"/>
      <c r="R526" s="74"/>
      <c r="S526" s="74"/>
      <c r="T526" s="74"/>
      <c r="U526" s="74"/>
      <c r="V526" s="74"/>
      <c r="W526" s="74"/>
      <c r="X526" s="74"/>
      <c r="Y526" s="74"/>
      <c r="Z526" s="74"/>
    </row>
    <row r="527" spans="1:26" x14ac:dyDescent="0.3">
      <c r="A527" s="66">
        <f t="shared" si="50"/>
        <v>2041.9999999999527</v>
      </c>
      <c r="B527" s="67">
        <f>LOOKUP(A527+0.01,Amounts!$A$4:$A$103,Amounts!$B$4:$B$103)*0.1*$A$2</f>
        <v>0</v>
      </c>
      <c r="C527" s="68">
        <f t="shared" si="55"/>
        <v>902907.24633514904</v>
      </c>
      <c r="D527" s="67">
        <f t="array" ref="D527">SUM($B$7:$B522*$F$1009*EXP(-$F$1009*($A527-$A$7:$A522)))*$F$1010</f>
        <v>15942690.968990823</v>
      </c>
      <c r="E527" s="67">
        <f t="shared" si="53"/>
        <v>30.393332910651626</v>
      </c>
      <c r="F527" s="70">
        <f t="shared" si="51"/>
        <v>1.8454831743347668</v>
      </c>
      <c r="G527" s="67">
        <f>E527/'Lookup Tables'!$C$48</f>
        <v>60.786665821303252</v>
      </c>
      <c r="H527" s="70">
        <f t="shared" si="54"/>
        <v>1.769255462582571E-2</v>
      </c>
      <c r="I527" s="71">
        <f t="shared" si="52"/>
        <v>8.7532798782676696E-2</v>
      </c>
      <c r="L527" s="74"/>
      <c r="M527" s="74"/>
      <c r="N527" s="74"/>
      <c r="O527" s="74"/>
      <c r="P527" s="74"/>
      <c r="Q527" s="74"/>
      <c r="R527" s="74"/>
      <c r="S527" s="74"/>
      <c r="T527" s="74"/>
      <c r="U527" s="74"/>
      <c r="V527" s="74"/>
      <c r="W527" s="74"/>
      <c r="X527" s="74"/>
      <c r="Y527" s="74"/>
      <c r="Z527" s="74"/>
    </row>
    <row r="528" spans="1:26" x14ac:dyDescent="0.3">
      <c r="A528" s="66">
        <f t="shared" si="50"/>
        <v>2042.0999999999526</v>
      </c>
      <c r="B528" s="67">
        <f>LOOKUP(A528+0.01,Amounts!$A$4:$A$103,Amounts!$B$4:$B$103)*0.1*$A$2</f>
        <v>0</v>
      </c>
      <c r="C528" s="68">
        <f t="shared" si="55"/>
        <v>902907.24633514904</v>
      </c>
      <c r="D528" s="67">
        <f t="array" ref="D528">SUM($B$7:$B523*$F$1009*EXP(-$F$1009*($A528-$A$7:$A523)))*$F$1010</f>
        <v>15831481.818338932</v>
      </c>
      <c r="E528" s="67">
        <f t="shared" si="53"/>
        <v>30.18132248248439</v>
      </c>
      <c r="F528" s="70">
        <f t="shared" si="51"/>
        <v>1.8326099011364521</v>
      </c>
      <c r="G528" s="67">
        <f>E528/'Lookup Tables'!$C$48</f>
        <v>60.36264496496878</v>
      </c>
      <c r="H528" s="70">
        <f t="shared" si="54"/>
        <v>1.7569139201376521E-2</v>
      </c>
      <c r="I528" s="71">
        <f t="shared" si="52"/>
        <v>8.692220874955503E-2</v>
      </c>
      <c r="L528" s="74"/>
      <c r="M528" s="74"/>
      <c r="N528" s="74"/>
      <c r="O528" s="74"/>
      <c r="P528" s="74"/>
      <c r="Q528" s="74"/>
      <c r="R528" s="74"/>
      <c r="S528" s="74"/>
      <c r="T528" s="74"/>
      <c r="U528" s="74"/>
      <c r="V528" s="74"/>
      <c r="W528" s="74"/>
      <c r="X528" s="74"/>
      <c r="Y528" s="74"/>
      <c r="Z528" s="74"/>
    </row>
    <row r="529" spans="1:26" x14ac:dyDescent="0.3">
      <c r="A529" s="66">
        <f t="shared" si="50"/>
        <v>2042.1999999999525</v>
      </c>
      <c r="B529" s="67">
        <f>LOOKUP(A529+0.01,Amounts!$A$4:$A$103,Amounts!$B$4:$B$103)*0.1*$A$2</f>
        <v>0</v>
      </c>
      <c r="C529" s="68">
        <f t="shared" si="55"/>
        <v>902907.24633514904</v>
      </c>
      <c r="D529" s="67">
        <f t="array" ref="D529">SUM($B$7:$B524*$F$1009*EXP(-$F$1009*($A529-$A$7:$A524)))*$F$1010</f>
        <v>15721048.413463756</v>
      </c>
      <c r="E529" s="67">
        <f t="shared" si="53"/>
        <v>29.970790945157571</v>
      </c>
      <c r="F529" s="70">
        <f t="shared" si="51"/>
        <v>1.8198264261899679</v>
      </c>
      <c r="G529" s="67">
        <f>E529/'Lookup Tables'!$C$48</f>
        <v>59.941581890315142</v>
      </c>
      <c r="H529" s="70">
        <f t="shared" si="54"/>
        <v>1.7446584668263494E-2</v>
      </c>
      <c r="I529" s="71">
        <f t="shared" si="52"/>
        <v>8.6315877922053807E-2</v>
      </c>
      <c r="L529" s="74"/>
      <c r="M529" s="74"/>
      <c r="N529" s="74"/>
      <c r="O529" s="74"/>
      <c r="P529" s="74"/>
      <c r="Q529" s="74"/>
      <c r="R529" s="74"/>
      <c r="S529" s="74"/>
      <c r="T529" s="74"/>
      <c r="U529" s="74"/>
      <c r="V529" s="74"/>
      <c r="W529" s="74"/>
      <c r="X529" s="74"/>
      <c r="Y529" s="74"/>
      <c r="Z529" s="74"/>
    </row>
    <row r="530" spans="1:26" x14ac:dyDescent="0.3">
      <c r="A530" s="66">
        <f t="shared" si="50"/>
        <v>2042.2999999999524</v>
      </c>
      <c r="B530" s="67">
        <f>LOOKUP(A530+0.01,Amounts!$A$4:$A$103,Amounts!$B$4:$B$103)*0.1*$A$2</f>
        <v>0</v>
      </c>
      <c r="C530" s="68">
        <f t="shared" si="55"/>
        <v>902907.24633514904</v>
      </c>
      <c r="D530" s="67">
        <f t="array" ref="D530">SUM($B$7:$B525*$F$1009*EXP(-$F$1009*($A530-$A$7:$A525)))*$F$1010</f>
        <v>15611385.343106365</v>
      </c>
      <c r="E530" s="67">
        <f t="shared" si="53"/>
        <v>29.761727982583732</v>
      </c>
      <c r="F530" s="70">
        <f t="shared" si="51"/>
        <v>1.8071321231024839</v>
      </c>
      <c r="G530" s="67">
        <f>E530/'Lookup Tables'!$C$48</f>
        <v>59.523455965167464</v>
      </c>
      <c r="H530" s="70">
        <f t="shared" si="54"/>
        <v>1.7324885021289982E-2</v>
      </c>
      <c r="I530" s="71">
        <f t="shared" si="52"/>
        <v>8.571377658984114E-2</v>
      </c>
      <c r="L530" s="74"/>
      <c r="M530" s="74"/>
      <c r="N530" s="74"/>
      <c r="O530" s="74"/>
      <c r="P530" s="74"/>
      <c r="Q530" s="74"/>
      <c r="R530" s="74"/>
      <c r="S530" s="74"/>
      <c r="T530" s="74"/>
      <c r="U530" s="74"/>
      <c r="V530" s="74"/>
      <c r="W530" s="74"/>
      <c r="X530" s="74"/>
      <c r="Y530" s="74"/>
      <c r="Z530" s="74"/>
    </row>
    <row r="531" spans="1:26" x14ac:dyDescent="0.3">
      <c r="A531" s="66">
        <f t="shared" ref="A531:A594" si="56">A530+0.1</f>
        <v>2042.3999999999523</v>
      </c>
      <c r="B531" s="67">
        <f>LOOKUP(A531+0.01,Amounts!$A$4:$A$103,Amounts!$B$4:$B$103)*0.1*$A$2</f>
        <v>0</v>
      </c>
      <c r="C531" s="68">
        <f t="shared" si="55"/>
        <v>902907.24633514904</v>
      </c>
      <c r="D531" s="67">
        <f t="array" ref="D531">SUM($B$7:$B526*$F$1009*EXP(-$F$1009*($A531-$A$7:$A526)))*$F$1010</f>
        <v>15502487.233754367</v>
      </c>
      <c r="E531" s="67">
        <f t="shared" si="53"/>
        <v>29.554123350635873</v>
      </c>
      <c r="F531" s="70">
        <f t="shared" ref="F531:F594" si="57">E531*60*1012/1000000</f>
        <v>1.7945263698506104</v>
      </c>
      <c r="G531" s="67">
        <f>E531/'Lookup Tables'!$C$48</f>
        <v>59.108246701271746</v>
      </c>
      <c r="H531" s="70">
        <f t="shared" si="54"/>
        <v>1.7204034297148948E-2</v>
      </c>
      <c r="I531" s="71">
        <f t="shared" ref="I531:I594" si="58">G531*60*24/1000000</f>
        <v>8.511587524983133E-2</v>
      </c>
      <c r="L531" s="74"/>
      <c r="M531" s="74"/>
      <c r="N531" s="74"/>
      <c r="O531" s="74"/>
      <c r="P531" s="74"/>
      <c r="Q531" s="74"/>
      <c r="R531" s="74"/>
      <c r="S531" s="74"/>
      <c r="T531" s="74"/>
      <c r="U531" s="74"/>
      <c r="V531" s="74"/>
      <c r="W531" s="74"/>
      <c r="X531" s="74"/>
      <c r="Y531" s="74"/>
      <c r="Z531" s="74"/>
    </row>
    <row r="532" spans="1:26" x14ac:dyDescent="0.3">
      <c r="A532" s="66">
        <f t="shared" si="56"/>
        <v>2042.4999999999523</v>
      </c>
      <c r="B532" s="67">
        <f>LOOKUP(A532+0.01,Amounts!$A$4:$A$103,Amounts!$B$4:$B$103)*0.1*$A$2</f>
        <v>0</v>
      </c>
      <c r="C532" s="68">
        <f t="shared" si="55"/>
        <v>902907.24633514904</v>
      </c>
      <c r="D532" s="67">
        <f t="array" ref="D532">SUM($B$7:$B527*$F$1009*EXP(-$F$1009*($A532-$A$7:$A527)))*$F$1010</f>
        <v>15394348.749378614</v>
      </c>
      <c r="E532" s="67">
        <f t="shared" si="53"/>
        <v>29.347966876645483</v>
      </c>
      <c r="F532" s="70">
        <f t="shared" si="57"/>
        <v>1.7820085487499138</v>
      </c>
      <c r="G532" s="67">
        <f>E532/'Lookup Tables'!$C$48</f>
        <v>58.695933753290966</v>
      </c>
      <c r="H532" s="70">
        <f t="shared" si="54"/>
        <v>1.7084026574130707E-2</v>
      </c>
      <c r="I532" s="71">
        <f t="shared" si="58"/>
        <v>8.4522144604738988E-2</v>
      </c>
      <c r="L532" s="74"/>
      <c r="M532" s="74"/>
      <c r="N532" s="74"/>
      <c r="O532" s="74"/>
      <c r="P532" s="74"/>
      <c r="Q532" s="74"/>
      <c r="R532" s="74"/>
      <c r="S532" s="74"/>
      <c r="T532" s="74"/>
      <c r="U532" s="74"/>
      <c r="V532" s="74"/>
      <c r="W532" s="74"/>
      <c r="X532" s="74"/>
      <c r="Y532" s="74"/>
      <c r="Z532" s="74"/>
    </row>
    <row r="533" spans="1:26" x14ac:dyDescent="0.3">
      <c r="A533" s="66">
        <f t="shared" si="56"/>
        <v>2042.5999999999522</v>
      </c>
      <c r="B533" s="67">
        <f>LOOKUP(A533+0.01,Amounts!$A$4:$A$103,Amounts!$B$4:$B$103)*0.1*$A$2</f>
        <v>0</v>
      </c>
      <c r="C533" s="68">
        <f t="shared" si="55"/>
        <v>902907.24633514904</v>
      </c>
      <c r="D533" s="67">
        <f t="array" ref="D533">SUM($B$7:$B528*$F$1009*EXP(-$F$1009*($A533-$A$7:$A528)))*$F$1010</f>
        <v>15286964.591171738</v>
      </c>
      <c r="E533" s="67">
        <f t="shared" si="53"/>
        <v>29.143248458904097</v>
      </c>
      <c r="F533" s="70">
        <f t="shared" si="57"/>
        <v>1.7695780464246567</v>
      </c>
      <c r="G533" s="67">
        <f>E533/'Lookup Tables'!$C$48</f>
        <v>58.286496917808194</v>
      </c>
      <c r="H533" s="70">
        <f t="shared" si="54"/>
        <v>1.696485597183283E-2</v>
      </c>
      <c r="I533" s="71">
        <f t="shared" si="58"/>
        <v>8.3932555561643793E-2</v>
      </c>
      <c r="L533" s="74"/>
      <c r="M533" s="74"/>
      <c r="N533" s="74"/>
      <c r="O533" s="74"/>
      <c r="P533" s="74"/>
      <c r="Q533" s="74"/>
      <c r="R533" s="74"/>
      <c r="S533" s="74"/>
      <c r="T533" s="74"/>
      <c r="U533" s="74"/>
      <c r="V533" s="74"/>
      <c r="W533" s="74"/>
      <c r="X533" s="74"/>
      <c r="Y533" s="74"/>
      <c r="Z533" s="74"/>
    </row>
    <row r="534" spans="1:26" x14ac:dyDescent="0.3">
      <c r="A534" s="66">
        <f t="shared" si="56"/>
        <v>2042.6999999999521</v>
      </c>
      <c r="B534" s="67">
        <f>LOOKUP(A534+0.01,Amounts!$A$4:$A$103,Amounts!$B$4:$B$103)*0.1*$A$2</f>
        <v>0</v>
      </c>
      <c r="C534" s="68">
        <f t="shared" si="55"/>
        <v>902907.24633514904</v>
      </c>
      <c r="D534" s="67">
        <f t="array" ref="D534">SUM($B$7:$B529*$F$1009*EXP(-$F$1009*($A534-$A$7:$A529)))*$F$1010</f>
        <v>15180329.497288506</v>
      </c>
      <c r="E534" s="67">
        <f t="shared" si="53"/>
        <v>28.939958066168298</v>
      </c>
      <c r="F534" s="70">
        <f t="shared" si="57"/>
        <v>1.7572342537777392</v>
      </c>
      <c r="G534" s="67">
        <f>E534/'Lookup Tables'!$C$48</f>
        <v>57.879916132336596</v>
      </c>
      <c r="H534" s="70">
        <f t="shared" si="54"/>
        <v>1.684651665087198E-2</v>
      </c>
      <c r="I534" s="71">
        <f t="shared" si="58"/>
        <v>8.3347079230564711E-2</v>
      </c>
      <c r="L534" s="74"/>
      <c r="M534" s="74"/>
      <c r="N534" s="74"/>
      <c r="O534" s="74"/>
      <c r="P534" s="74"/>
      <c r="Q534" s="74"/>
      <c r="R534" s="74"/>
      <c r="S534" s="74"/>
      <c r="T534" s="74"/>
      <c r="U534" s="74"/>
      <c r="V534" s="74"/>
      <c r="W534" s="74"/>
      <c r="X534" s="74"/>
      <c r="Y534" s="74"/>
      <c r="Z534" s="74"/>
    </row>
    <row r="535" spans="1:26" x14ac:dyDescent="0.3">
      <c r="A535" s="66">
        <f t="shared" si="56"/>
        <v>2042.799999999952</v>
      </c>
      <c r="B535" s="67">
        <f>LOOKUP(A535+0.01,Amounts!$A$4:$A$103,Amounts!$B$4:$B$103)*0.1*$A$2</f>
        <v>0</v>
      </c>
      <c r="C535" s="68">
        <f t="shared" si="55"/>
        <v>902907.24633514904</v>
      </c>
      <c r="D535" s="67">
        <f t="array" ref="D535">SUM($B$7:$B530*$F$1009*EXP(-$F$1009*($A535-$A$7:$A530)))*$F$1010</f>
        <v>15074438.242587972</v>
      </c>
      <c r="E535" s="67">
        <f t="shared" si="53"/>
        <v>28.738085737168142</v>
      </c>
      <c r="F535" s="70">
        <f t="shared" si="57"/>
        <v>1.7449765659608496</v>
      </c>
      <c r="G535" s="67">
        <f>E535/'Lookup Tables'!$C$48</f>
        <v>57.476171474336283</v>
      </c>
      <c r="H535" s="70">
        <f t="shared" si="54"/>
        <v>1.6729002812597722E-2</v>
      </c>
      <c r="I535" s="71">
        <f t="shared" si="58"/>
        <v>8.2765686923044243E-2</v>
      </c>
      <c r="L535" s="74"/>
      <c r="M535" s="74"/>
      <c r="N535" s="74"/>
      <c r="O535" s="74"/>
      <c r="P535" s="74"/>
      <c r="Q535" s="74"/>
      <c r="R535" s="74"/>
      <c r="S535" s="74"/>
      <c r="T535" s="74"/>
      <c r="U535" s="74"/>
      <c r="V535" s="74"/>
      <c r="W535" s="74"/>
      <c r="X535" s="74"/>
      <c r="Y535" s="74"/>
      <c r="Z535" s="74"/>
    </row>
    <row r="536" spans="1:26" x14ac:dyDescent="0.3">
      <c r="A536" s="66">
        <f t="shared" si="56"/>
        <v>2042.8999999999519</v>
      </c>
      <c r="B536" s="67">
        <f>LOOKUP(A536+0.01,Amounts!$A$4:$A$103,Amounts!$B$4:$B$103)*0.1*$A$2</f>
        <v>0</v>
      </c>
      <c r="C536" s="68">
        <f t="shared" si="55"/>
        <v>902907.24633514904</v>
      </c>
      <c r="D536" s="67">
        <f t="array" ref="D536">SUM($B$7:$B531*$F$1009*EXP(-$F$1009*($A536-$A$7:$A531)))*$F$1010</f>
        <v>14969285.638377473</v>
      </c>
      <c r="E536" s="67">
        <f t="shared" si="53"/>
        <v>28.537621580119126</v>
      </c>
      <c r="F536" s="70">
        <f t="shared" si="57"/>
        <v>1.7328043823448331</v>
      </c>
      <c r="G536" s="67">
        <f>E536/'Lookup Tables'!$C$48</f>
        <v>57.075243160238252</v>
      </c>
      <c r="H536" s="70">
        <f t="shared" si="54"/>
        <v>1.6612308698808483E-2</v>
      </c>
      <c r="I536" s="71">
        <f t="shared" si="58"/>
        <v>8.2188350150743078E-2</v>
      </c>
      <c r="L536" s="74"/>
      <c r="M536" s="74"/>
      <c r="N536" s="74"/>
      <c r="O536" s="74"/>
      <c r="P536" s="74"/>
      <c r="Q536" s="74"/>
      <c r="R536" s="74"/>
      <c r="S536" s="74"/>
      <c r="T536" s="74"/>
      <c r="U536" s="74"/>
      <c r="V536" s="74"/>
      <c r="W536" s="74"/>
      <c r="X536" s="74"/>
      <c r="Y536" s="74"/>
      <c r="Z536" s="74"/>
    </row>
    <row r="537" spans="1:26" x14ac:dyDescent="0.3">
      <c r="A537" s="66">
        <f t="shared" si="56"/>
        <v>2042.9999999999518</v>
      </c>
      <c r="B537" s="67">
        <f>LOOKUP(A537+0.01,Amounts!$A$4:$A$103,Amounts!$B$4:$B$103)*0.1*$A$2</f>
        <v>0</v>
      </c>
      <c r="C537" s="68">
        <f t="shared" si="55"/>
        <v>902907.24633514904</v>
      </c>
      <c r="D537" s="67">
        <f t="array" ref="D537">SUM($B$7:$B532*$F$1009*EXP(-$F$1009*($A537-$A$7:$A532)))*$F$1010</f>
        <v>14864866.532158358</v>
      </c>
      <c r="E537" s="67">
        <f t="shared" si="53"/>
        <v>28.338555772237438</v>
      </c>
      <c r="F537" s="70">
        <f t="shared" si="57"/>
        <v>1.7207171064902571</v>
      </c>
      <c r="G537" s="67">
        <f>E537/'Lookup Tables'!$C$48</f>
        <v>56.677111544474876</v>
      </c>
      <c r="H537" s="70">
        <f t="shared" si="54"/>
        <v>1.6496428591469332E-2</v>
      </c>
      <c r="I537" s="71">
        <f t="shared" si="58"/>
        <v>8.1615040624043816E-2</v>
      </c>
      <c r="L537" s="74"/>
      <c r="M537" s="74"/>
      <c r="N537" s="74"/>
      <c r="O537" s="74"/>
      <c r="P537" s="74"/>
      <c r="Q537" s="74"/>
      <c r="R537" s="74"/>
      <c r="S537" s="74"/>
      <c r="T537" s="74"/>
      <c r="U537" s="74"/>
      <c r="V537" s="74"/>
      <c r="W537" s="74"/>
      <c r="X537" s="74"/>
      <c r="Y537" s="74"/>
      <c r="Z537" s="74"/>
    </row>
    <row r="538" spans="1:26" x14ac:dyDescent="0.3">
      <c r="A538" s="66">
        <f t="shared" si="56"/>
        <v>2043.0999999999517</v>
      </c>
      <c r="B538" s="67">
        <f>LOOKUP(A538+0.01,Amounts!$A$4:$A$103,Amounts!$B$4:$B$103)*0.1*$A$2</f>
        <v>0</v>
      </c>
      <c r="C538" s="68">
        <f t="shared" si="55"/>
        <v>902907.24633514904</v>
      </c>
      <c r="D538" s="67">
        <f t="array" ref="D538">SUM($B$7:$B533*$F$1009*EXP(-$F$1009*($A538-$A$7:$A533)))*$F$1010</f>
        <v>14761175.807373537</v>
      </c>
      <c r="E538" s="67">
        <f t="shared" si="53"/>
        <v>28.140878559258674</v>
      </c>
      <c r="F538" s="70">
        <f t="shared" si="57"/>
        <v>1.7087141461181867</v>
      </c>
      <c r="G538" s="67">
        <f>E538/'Lookup Tables'!$C$48</f>
        <v>56.281757118517348</v>
      </c>
      <c r="H538" s="70">
        <f t="shared" si="54"/>
        <v>1.638135681243183E-2</v>
      </c>
      <c r="I538" s="71">
        <f t="shared" si="58"/>
        <v>8.1045730250664985E-2</v>
      </c>
      <c r="L538" s="74"/>
      <c r="M538" s="74"/>
      <c r="N538" s="74"/>
      <c r="O538" s="74"/>
      <c r="P538" s="74"/>
      <c r="Q538" s="74"/>
      <c r="R538" s="74"/>
      <c r="S538" s="74"/>
      <c r="T538" s="74"/>
      <c r="U538" s="74"/>
      <c r="V538" s="74"/>
      <c r="W538" s="74"/>
      <c r="X538" s="74"/>
      <c r="Y538" s="74"/>
      <c r="Z538" s="74"/>
    </row>
    <row r="539" spans="1:26" x14ac:dyDescent="0.3">
      <c r="A539" s="66">
        <f t="shared" si="56"/>
        <v>2043.1999999999516</v>
      </c>
      <c r="B539" s="67">
        <f>LOOKUP(A539+0.01,Amounts!$A$4:$A$103,Amounts!$B$4:$B$103)*0.1*$A$2</f>
        <v>0</v>
      </c>
      <c r="C539" s="68">
        <f t="shared" si="55"/>
        <v>902907.24633514904</v>
      </c>
      <c r="D539" s="67">
        <f t="array" ref="D539">SUM($B$7:$B534*$F$1009*EXP(-$F$1009*($A539-$A$7:$A534)))*$F$1010</f>
        <v>14658208.383156747</v>
      </c>
      <c r="E539" s="67">
        <f t="shared" si="53"/>
        <v>27.944580254959842</v>
      </c>
      <c r="F539" s="70">
        <f t="shared" si="57"/>
        <v>1.6967949130811617</v>
      </c>
      <c r="G539" s="67">
        <f>E539/'Lookup Tables'!$C$48</f>
        <v>55.889160509919684</v>
      </c>
      <c r="H539" s="70">
        <f t="shared" si="54"/>
        <v>1.6267087723155778E-2</v>
      </c>
      <c r="I539" s="71">
        <f t="shared" si="58"/>
        <v>8.0480391134284346E-2</v>
      </c>
      <c r="L539" s="74"/>
      <c r="M539" s="74"/>
      <c r="N539" s="74"/>
      <c r="O539" s="74"/>
      <c r="P539" s="74"/>
      <c r="Q539" s="74"/>
      <c r="R539" s="74"/>
      <c r="S539" s="74"/>
      <c r="T539" s="74"/>
      <c r="U539" s="74"/>
      <c r="V539" s="74"/>
      <c r="W539" s="74"/>
      <c r="X539" s="74"/>
      <c r="Y539" s="74"/>
      <c r="Z539" s="74"/>
    </row>
    <row r="540" spans="1:26" x14ac:dyDescent="0.3">
      <c r="A540" s="66">
        <f t="shared" si="56"/>
        <v>2043.2999999999515</v>
      </c>
      <c r="B540" s="67">
        <f>LOOKUP(A540+0.01,Amounts!$A$4:$A$103,Amounts!$B$4:$B$103)*0.1*$A$2</f>
        <v>0</v>
      </c>
      <c r="C540" s="68">
        <f t="shared" si="55"/>
        <v>902907.24633514904</v>
      </c>
      <c r="D540" s="67">
        <f t="array" ref="D540">SUM($B$7:$B535*$F$1009*EXP(-$F$1009*($A540-$A$7:$A535)))*$F$1010</f>
        <v>14555959.214083595</v>
      </c>
      <c r="E540" s="67">
        <f t="shared" si="53"/>
        <v>27.749651240684749</v>
      </c>
      <c r="F540" s="70">
        <f t="shared" si="57"/>
        <v>1.684958823334378</v>
      </c>
      <c r="G540" s="67">
        <f>E540/'Lookup Tables'!$C$48</f>
        <v>55.499302481369497</v>
      </c>
      <c r="H540" s="70">
        <f t="shared" si="54"/>
        <v>1.6153615724432937E-2</v>
      </c>
      <c r="I540" s="71">
        <f t="shared" si="58"/>
        <v>7.9918995573172086E-2</v>
      </c>
      <c r="L540" s="74"/>
      <c r="M540" s="74"/>
      <c r="N540" s="74"/>
      <c r="O540" s="74"/>
      <c r="P540" s="74"/>
      <c r="Q540" s="74"/>
      <c r="R540" s="74"/>
      <c r="S540" s="74"/>
      <c r="T540" s="74"/>
      <c r="U540" s="74"/>
      <c r="V540" s="74"/>
      <c r="W540" s="74"/>
      <c r="X540" s="74"/>
      <c r="Y540" s="74"/>
      <c r="Z540" s="74"/>
    </row>
    <row r="541" spans="1:26" x14ac:dyDescent="0.3">
      <c r="A541" s="66">
        <f t="shared" si="56"/>
        <v>2043.3999999999514</v>
      </c>
      <c r="B541" s="67">
        <f>LOOKUP(A541+0.01,Amounts!$A$4:$A$103,Amounts!$B$4:$B$103)*0.1*$A$2</f>
        <v>0</v>
      </c>
      <c r="C541" s="68">
        <f t="shared" si="55"/>
        <v>902907.24633514904</v>
      </c>
      <c r="D541" s="67">
        <f t="array" ref="D541">SUM($B$7:$B536*$F$1009*EXP(-$F$1009*($A541-$A$7:$A536)))*$F$1010</f>
        <v>14454423.28992435</v>
      </c>
      <c r="E541" s="67">
        <f t="shared" si="53"/>
        <v>27.556081964872718</v>
      </c>
      <c r="F541" s="70">
        <f t="shared" si="57"/>
        <v>1.6732052969070714</v>
      </c>
      <c r="G541" s="67">
        <f>E541/'Lookup Tables'!$C$48</f>
        <v>55.112163929745435</v>
      </c>
      <c r="H541" s="70">
        <f t="shared" si="54"/>
        <v>1.6040935256112672E-2</v>
      </c>
      <c r="I541" s="71">
        <f t="shared" si="58"/>
        <v>7.9361516058833431E-2</v>
      </c>
      <c r="L541" s="74"/>
      <c r="M541" s="74"/>
      <c r="N541" s="74"/>
      <c r="O541" s="74"/>
      <c r="P541" s="74"/>
      <c r="Q541" s="74"/>
      <c r="R541" s="74"/>
      <c r="S541" s="74"/>
      <c r="T541" s="74"/>
      <c r="U541" s="74"/>
      <c r="V541" s="74"/>
      <c r="W541" s="74"/>
      <c r="X541" s="74"/>
      <c r="Y541" s="74"/>
      <c r="Z541" s="74"/>
    </row>
    <row r="542" spans="1:26" x14ac:dyDescent="0.3">
      <c r="A542" s="66">
        <f t="shared" si="56"/>
        <v>2043.4999999999513</v>
      </c>
      <c r="B542" s="67">
        <f>LOOKUP(A542+0.01,Amounts!$A$4:$A$103,Amounts!$B$4:$B$103)*0.1*$A$2</f>
        <v>0</v>
      </c>
      <c r="C542" s="68">
        <f t="shared" si="55"/>
        <v>902907.24633514904</v>
      </c>
      <c r="D542" s="67">
        <f t="array" ref="D542">SUM($B$7:$B537*$F$1009*EXP(-$F$1009*($A542-$A$7:$A537)))*$F$1010</f>
        <v>14353595.635398393</v>
      </c>
      <c r="E542" s="67">
        <f t="shared" si="53"/>
        <v>27.363862942590458</v>
      </c>
      <c r="F542" s="70">
        <f t="shared" si="57"/>
        <v>1.6615337578740925</v>
      </c>
      <c r="G542" s="67">
        <f>E542/'Lookup Tables'!$C$48</f>
        <v>54.727725885180917</v>
      </c>
      <c r="H542" s="70">
        <f t="shared" si="54"/>
        <v>1.5929040796829469E-2</v>
      </c>
      <c r="I542" s="71">
        <f t="shared" si="58"/>
        <v>7.8807925274660517E-2</v>
      </c>
      <c r="L542" s="74"/>
      <c r="M542" s="74"/>
      <c r="N542" s="74"/>
      <c r="O542" s="74"/>
      <c r="P542" s="74"/>
      <c r="Q542" s="74"/>
      <c r="R542" s="74"/>
      <c r="S542" s="74"/>
      <c r="T542" s="74"/>
      <c r="U542" s="74"/>
      <c r="V542" s="74"/>
      <c r="W542" s="74"/>
      <c r="X542" s="74"/>
      <c r="Y542" s="74"/>
      <c r="Z542" s="74"/>
    </row>
    <row r="543" spans="1:26" x14ac:dyDescent="0.3">
      <c r="A543" s="66">
        <f t="shared" si="56"/>
        <v>2043.5999999999513</v>
      </c>
      <c r="B543" s="67">
        <f>LOOKUP(A543+0.01,Amounts!$A$4:$A$103,Amounts!$B$4:$B$103)*0.1*$A$2</f>
        <v>0</v>
      </c>
      <c r="C543" s="68">
        <f t="shared" si="55"/>
        <v>902907.24633514904</v>
      </c>
      <c r="D543" s="67">
        <f t="array" ref="D543">SUM($B$7:$B538*$F$1009*EXP(-$F$1009*($A543-$A$7:$A538)))*$F$1010</f>
        <v>14253471.309930496</v>
      </c>
      <c r="E543" s="67">
        <f t="shared" si="53"/>
        <v>27.172984755067461</v>
      </c>
      <c r="F543" s="70">
        <f t="shared" si="57"/>
        <v>1.6499436343276963</v>
      </c>
      <c r="G543" s="67">
        <f>E543/'Lookup Tables'!$C$48</f>
        <v>54.345969510134921</v>
      </c>
      <c r="H543" s="70">
        <f t="shared" si="54"/>
        <v>1.581792686373246E-2</v>
      </c>
      <c r="I543" s="71">
        <f t="shared" si="58"/>
        <v>7.8258196094594279E-2</v>
      </c>
      <c r="L543" s="74"/>
      <c r="M543" s="74"/>
      <c r="N543" s="74"/>
      <c r="O543" s="74"/>
      <c r="P543" s="74"/>
      <c r="Q543" s="74"/>
      <c r="R543" s="74"/>
      <c r="S543" s="74"/>
      <c r="T543" s="74"/>
      <c r="U543" s="74"/>
      <c r="V543" s="74"/>
      <c r="W543" s="74"/>
      <c r="X543" s="74"/>
      <c r="Y543" s="74"/>
      <c r="Z543" s="74"/>
    </row>
    <row r="544" spans="1:26" x14ac:dyDescent="0.3">
      <c r="A544" s="66">
        <f t="shared" si="56"/>
        <v>2043.6999999999512</v>
      </c>
      <c r="B544" s="67">
        <f>LOOKUP(A544+0.01,Amounts!$A$4:$A$103,Amounts!$B$4:$B$103)*0.1*$A$2</f>
        <v>0</v>
      </c>
      <c r="C544" s="68">
        <f t="shared" si="55"/>
        <v>902907.24633514904</v>
      </c>
      <c r="D544" s="67">
        <f t="array" ref="D544">SUM($B$7:$B539*$F$1009*EXP(-$F$1009*($A544-$A$7:$A539)))*$F$1010</f>
        <v>14154045.40740867</v>
      </c>
      <c r="E544" s="67">
        <f t="shared" si="53"/>
        <v>26.983438049234326</v>
      </c>
      <c r="F544" s="70">
        <f t="shared" si="57"/>
        <v>1.6384343583495085</v>
      </c>
      <c r="G544" s="67">
        <f>E544/'Lookup Tables'!$C$48</f>
        <v>53.966876098468653</v>
      </c>
      <c r="H544" s="70">
        <f t="shared" si="54"/>
        <v>1.5707588012216681E-2</v>
      </c>
      <c r="I544" s="71">
        <f t="shared" si="58"/>
        <v>7.771230158179486E-2</v>
      </c>
      <c r="L544" s="74"/>
      <c r="M544" s="74"/>
      <c r="N544" s="74"/>
      <c r="O544" s="74"/>
      <c r="P544" s="74"/>
      <c r="Q544" s="74"/>
      <c r="R544" s="74"/>
      <c r="S544" s="74"/>
      <c r="T544" s="74"/>
      <c r="U544" s="74"/>
      <c r="V544" s="74"/>
      <c r="W544" s="74"/>
      <c r="X544" s="74"/>
      <c r="Y544" s="74"/>
      <c r="Z544" s="74"/>
    </row>
    <row r="545" spans="1:26" x14ac:dyDescent="0.3">
      <c r="A545" s="66">
        <f t="shared" si="56"/>
        <v>2043.7999999999511</v>
      </c>
      <c r="B545" s="67">
        <f>LOOKUP(A545+0.01,Amounts!$A$4:$A$103,Amounts!$B$4:$B$103)*0.1*$A$2</f>
        <v>0</v>
      </c>
      <c r="C545" s="68">
        <f t="shared" si="55"/>
        <v>902907.24633514904</v>
      </c>
      <c r="D545" s="67">
        <f t="array" ref="D545">SUM($B$7:$B540*$F$1009*EXP(-$F$1009*($A545-$A$7:$A540)))*$F$1010</f>
        <v>14055313.055943798</v>
      </c>
      <c r="E545" s="67">
        <f t="shared" si="53"/>
        <v>26.795213537264548</v>
      </c>
      <c r="F545" s="70">
        <f t="shared" si="57"/>
        <v>1.6270053659827033</v>
      </c>
      <c r="G545" s="67">
        <f>E545/'Lookup Tables'!$C$48</f>
        <v>53.590427074529096</v>
      </c>
      <c r="H545" s="70">
        <f t="shared" si="54"/>
        <v>1.5598018835656332E-2</v>
      </c>
      <c r="I545" s="71">
        <f t="shared" si="58"/>
        <v>7.7170214987321906E-2</v>
      </c>
      <c r="L545" s="74"/>
      <c r="M545" s="74"/>
      <c r="N545" s="74"/>
      <c r="O545" s="74"/>
      <c r="P545" s="74"/>
      <c r="Q545" s="74"/>
      <c r="R545" s="74"/>
      <c r="S545" s="74"/>
      <c r="T545" s="74"/>
      <c r="U545" s="74"/>
      <c r="V545" s="74"/>
      <c r="W545" s="74"/>
      <c r="X545" s="74"/>
      <c r="Y545" s="74"/>
      <c r="Z545" s="74"/>
    </row>
    <row r="546" spans="1:26" x14ac:dyDescent="0.3">
      <c r="A546" s="66">
        <f t="shared" si="56"/>
        <v>2043.899999999951</v>
      </c>
      <c r="B546" s="67">
        <f>LOOKUP(A546+0.01,Amounts!$A$4:$A$103,Amounts!$B$4:$B$103)*0.1*$A$2</f>
        <v>0</v>
      </c>
      <c r="C546" s="68">
        <f t="shared" si="55"/>
        <v>902907.24633514904</v>
      </c>
      <c r="D546" s="67">
        <f t="array" ref="D546">SUM($B$7:$B541*$F$1009*EXP(-$F$1009*($A546-$A$7:$A541)))*$F$1010</f>
        <v>13957269.417630905</v>
      </c>
      <c r="E546" s="67">
        <f t="shared" si="53"/>
        <v>26.608301996119376</v>
      </c>
      <c r="F546" s="70">
        <f t="shared" si="57"/>
        <v>1.6156560972043685</v>
      </c>
      <c r="G546" s="67">
        <f>E546/'Lookup Tables'!$C$48</f>
        <v>53.216603992238753</v>
      </c>
      <c r="H546" s="70">
        <f t="shared" si="54"/>
        <v>1.5489213965139836E-2</v>
      </c>
      <c r="I546" s="71">
        <f t="shared" si="58"/>
        <v>7.6631909748823807E-2</v>
      </c>
      <c r="L546" s="74"/>
      <c r="M546" s="74"/>
      <c r="N546" s="74"/>
      <c r="O546" s="74"/>
      <c r="P546" s="74"/>
      <c r="Q546" s="74"/>
      <c r="R546" s="74"/>
      <c r="S546" s="74"/>
      <c r="T546" s="74"/>
      <c r="U546" s="74"/>
      <c r="V546" s="74"/>
      <c r="W546" s="74"/>
      <c r="X546" s="74"/>
      <c r="Y546" s="74"/>
      <c r="Z546" s="74"/>
    </row>
    <row r="547" spans="1:26" x14ac:dyDescent="0.3">
      <c r="A547" s="66">
        <f t="shared" si="56"/>
        <v>2043.9999999999509</v>
      </c>
      <c r="B547" s="67">
        <f>LOOKUP(A547+0.01,Amounts!$A$4:$A$103,Amounts!$B$4:$B$103)*0.1*$A$2</f>
        <v>0</v>
      </c>
      <c r="C547" s="68">
        <f t="shared" si="55"/>
        <v>902907.24633514904</v>
      </c>
      <c r="D547" s="67">
        <f t="array" ref="D547">SUM($B$7:$B542*$F$1009*EXP(-$F$1009*($A547-$A$7:$A542)))*$F$1010</f>
        <v>13859909.688312098</v>
      </c>
      <c r="E547" s="67">
        <f t="shared" si="53"/>
        <v>26.422694267095903</v>
      </c>
      <c r="F547" s="70">
        <f t="shared" si="57"/>
        <v>1.6043859958980633</v>
      </c>
      <c r="G547" s="67">
        <f>E547/'Lookup Tables'!$C$48</f>
        <v>52.845388534191805</v>
      </c>
      <c r="H547" s="70">
        <f t="shared" si="54"/>
        <v>1.5381168069206771E-2</v>
      </c>
      <c r="I547" s="71">
        <f t="shared" si="58"/>
        <v>7.6097359489236197E-2</v>
      </c>
      <c r="L547" s="74"/>
      <c r="M547" s="74"/>
      <c r="N547" s="74"/>
      <c r="O547" s="74"/>
      <c r="P547" s="74"/>
      <c r="Q547" s="74"/>
      <c r="R547" s="74"/>
      <c r="S547" s="74"/>
      <c r="T547" s="74"/>
      <c r="U547" s="74"/>
      <c r="V547" s="74"/>
      <c r="W547" s="74"/>
      <c r="X547" s="74"/>
      <c r="Y547" s="74"/>
      <c r="Z547" s="74"/>
    </row>
    <row r="548" spans="1:26" x14ac:dyDescent="0.3">
      <c r="A548" s="66">
        <f t="shared" si="56"/>
        <v>2044.0999999999508</v>
      </c>
      <c r="B548" s="67">
        <f>LOOKUP(A548+0.01,Amounts!$A$4:$A$103,Amounts!$B$4:$B$103)*0.1*$A$2</f>
        <v>0</v>
      </c>
      <c r="C548" s="68">
        <f t="shared" si="55"/>
        <v>902907.24633514904</v>
      </c>
      <c r="D548" s="67">
        <f t="array" ref="D548">SUM($B$7:$B543*$F$1009*EXP(-$F$1009*($A548-$A$7:$A543)))*$F$1010</f>
        <v>13763229.097341159</v>
      </c>
      <c r="E548" s="67">
        <f t="shared" si="53"/>
        <v>26.238381255378265</v>
      </c>
      <c r="F548" s="70">
        <f t="shared" si="57"/>
        <v>1.5931945098265683</v>
      </c>
      <c r="G548" s="67">
        <f>E548/'Lookup Tables'!$C$48</f>
        <v>52.476762510756529</v>
      </c>
      <c r="H548" s="70">
        <f t="shared" si="54"/>
        <v>1.5273875853586619E-2</v>
      </c>
      <c r="I548" s="71">
        <f t="shared" si="58"/>
        <v>7.5566538015489404E-2</v>
      </c>
      <c r="L548" s="74"/>
      <c r="M548" s="74"/>
      <c r="N548" s="74"/>
      <c r="O548" s="74"/>
      <c r="P548" s="74"/>
      <c r="Q548" s="74"/>
      <c r="R548" s="74"/>
      <c r="S548" s="74"/>
      <c r="T548" s="74"/>
      <c r="U548" s="74"/>
      <c r="V548" s="74"/>
      <c r="W548" s="74"/>
      <c r="X548" s="74"/>
      <c r="Y548" s="74"/>
      <c r="Z548" s="74"/>
    </row>
    <row r="549" spans="1:26" x14ac:dyDescent="0.3">
      <c r="A549" s="66">
        <f t="shared" si="56"/>
        <v>2044.1999999999507</v>
      </c>
      <c r="B549" s="67">
        <f>LOOKUP(A549+0.01,Amounts!$A$4:$A$103,Amounts!$B$4:$B$103)*0.1*$A$2</f>
        <v>0</v>
      </c>
      <c r="C549" s="68">
        <f t="shared" si="55"/>
        <v>902907.24633514904</v>
      </c>
      <c r="D549" s="67">
        <f t="array" ref="D549">SUM($B$7:$B544*$F$1009*EXP(-$F$1009*($A549-$A$7:$A544)))*$F$1010</f>
        <v>13667222.907349784</v>
      </c>
      <c r="E549" s="67">
        <f t="shared" si="53"/>
        <v>26.055353929592005</v>
      </c>
      <c r="F549" s="70">
        <f t="shared" si="57"/>
        <v>1.5820810906048266</v>
      </c>
      <c r="G549" s="67">
        <f>E549/'Lookup Tables'!$C$48</f>
        <v>52.110707859184011</v>
      </c>
      <c r="H549" s="70">
        <f t="shared" si="54"/>
        <v>1.5167332060939337E-2</v>
      </c>
      <c r="I549" s="71">
        <f t="shared" si="58"/>
        <v>7.5039419317224978E-2</v>
      </c>
      <c r="L549" s="74"/>
      <c r="M549" s="74"/>
      <c r="N549" s="74"/>
      <c r="O549" s="74"/>
      <c r="P549" s="74"/>
      <c r="Q549" s="74"/>
      <c r="R549" s="74"/>
      <c r="S549" s="74"/>
      <c r="T549" s="74"/>
      <c r="U549" s="74"/>
      <c r="V549" s="74"/>
      <c r="W549" s="74"/>
      <c r="X549" s="74"/>
      <c r="Y549" s="74"/>
      <c r="Z549" s="74"/>
    </row>
    <row r="550" spans="1:26" x14ac:dyDescent="0.3">
      <c r="A550" s="66">
        <f t="shared" si="56"/>
        <v>2044.2999999999506</v>
      </c>
      <c r="B550" s="67">
        <f>LOOKUP(A550+0.01,Amounts!$A$4:$A$103,Amounts!$B$4:$B$103)*0.1*$A$2</f>
        <v>0</v>
      </c>
      <c r="C550" s="68">
        <f t="shared" si="55"/>
        <v>902907.24633514904</v>
      </c>
      <c r="D550" s="67">
        <f t="array" ref="D550">SUM($B$7:$B545*$F$1009*EXP(-$F$1009*($A550-$A$7:$A545)))*$F$1010</f>
        <v>13571886.414015455</v>
      </c>
      <c r="E550" s="67">
        <f t="shared" si="53"/>
        <v>25.873603321361543</v>
      </c>
      <c r="F550" s="70">
        <f t="shared" si="57"/>
        <v>1.5710451936730729</v>
      </c>
      <c r="G550" s="67">
        <f>E550/'Lookup Tables'!$C$48</f>
        <v>51.747206642723086</v>
      </c>
      <c r="H550" s="70">
        <f t="shared" si="54"/>
        <v>1.5061531470597777E-2</v>
      </c>
      <c r="I550" s="71">
        <f t="shared" si="58"/>
        <v>7.4515977565521238E-2</v>
      </c>
      <c r="L550" s="74"/>
      <c r="M550" s="74"/>
      <c r="N550" s="74"/>
      <c r="O550" s="74"/>
      <c r="P550" s="74"/>
      <c r="Q550" s="74"/>
      <c r="R550" s="74"/>
      <c r="S550" s="74"/>
      <c r="T550" s="74"/>
      <c r="U550" s="74"/>
      <c r="V550" s="74"/>
      <c r="W550" s="74"/>
      <c r="X550" s="74"/>
      <c r="Y550" s="74"/>
      <c r="Z550" s="74"/>
    </row>
    <row r="551" spans="1:26" x14ac:dyDescent="0.3">
      <c r="A551" s="66">
        <f t="shared" si="56"/>
        <v>2044.3999999999505</v>
      </c>
      <c r="B551" s="67">
        <f>LOOKUP(A551+0.01,Amounts!$A$4:$A$103,Amounts!$B$4:$B$103)*0.1*$A$2</f>
        <v>0</v>
      </c>
      <c r="C551" s="68">
        <f t="shared" si="55"/>
        <v>902907.24633514904</v>
      </c>
      <c r="D551" s="67">
        <f t="array" ref="D551">SUM($B$7:$B546*$F$1009*EXP(-$F$1009*($A551-$A$7:$A546)))*$F$1010</f>
        <v>13477214.945830921</v>
      </c>
      <c r="E551" s="67">
        <f t="shared" si="53"/>
        <v>25.693120524870704</v>
      </c>
      <c r="F551" s="70">
        <f t="shared" si="57"/>
        <v>1.5600862782701492</v>
      </c>
      <c r="G551" s="67">
        <f>E551/'Lookup Tables'!$C$48</f>
        <v>51.386241049741407</v>
      </c>
      <c r="H551" s="70">
        <f t="shared" si="54"/>
        <v>1.4956468898311839E-2</v>
      </c>
      <c r="I551" s="71">
        <f t="shared" si="58"/>
        <v>7.3996187111627629E-2</v>
      </c>
      <c r="L551" s="74"/>
      <c r="M551" s="74"/>
      <c r="N551" s="74"/>
      <c r="O551" s="74"/>
      <c r="P551" s="74"/>
      <c r="Q551" s="74"/>
      <c r="R551" s="74"/>
      <c r="S551" s="74"/>
      <c r="T551" s="74"/>
      <c r="U551" s="74"/>
      <c r="V551" s="74"/>
      <c r="W551" s="74"/>
      <c r="X551" s="74"/>
      <c r="Y551" s="74"/>
      <c r="Z551" s="74"/>
    </row>
    <row r="552" spans="1:26" x14ac:dyDescent="0.3">
      <c r="A552" s="66">
        <f t="shared" si="56"/>
        <v>2044.4999999999504</v>
      </c>
      <c r="B552" s="67">
        <f>LOOKUP(A552+0.01,Amounts!$A$4:$A$103,Amounts!$B$4:$B$103)*0.1*$A$2</f>
        <v>0</v>
      </c>
      <c r="C552" s="68">
        <f t="shared" si="55"/>
        <v>902907.24633514904</v>
      </c>
      <c r="D552" s="67">
        <f t="array" ref="D552">SUM($B$7:$B547*$F$1009*EXP(-$F$1009*($A552-$A$7:$A547)))*$F$1010</f>
        <v>13383203.863875307</v>
      </c>
      <c r="E552" s="67">
        <f t="shared" si="53"/>
        <v>25.513896696426364</v>
      </c>
      <c r="F552" s="70">
        <f t="shared" si="57"/>
        <v>1.5492038074070089</v>
      </c>
      <c r="G552" s="67">
        <f>E552/'Lookup Tables'!$C$48</f>
        <v>51.027793392852729</v>
      </c>
      <c r="H552" s="70">
        <f t="shared" si="54"/>
        <v>1.4852139195994466E-2</v>
      </c>
      <c r="I552" s="71">
        <f t="shared" si="58"/>
        <v>7.3480022485707924E-2</v>
      </c>
      <c r="L552" s="74"/>
      <c r="M552" s="74"/>
      <c r="N552" s="74"/>
      <c r="O552" s="74"/>
      <c r="P552" s="74"/>
      <c r="Q552" s="74"/>
      <c r="R552" s="74"/>
      <c r="S552" s="74"/>
      <c r="T552" s="74"/>
      <c r="U552" s="74"/>
      <c r="V552" s="74"/>
      <c r="W552" s="74"/>
      <c r="X552" s="74"/>
      <c r="Y552" s="74"/>
      <c r="Z552" s="74"/>
    </row>
    <row r="553" spans="1:26" x14ac:dyDescent="0.3">
      <c r="A553" s="66">
        <f t="shared" si="56"/>
        <v>2044.5999999999503</v>
      </c>
      <c r="B553" s="67">
        <f>LOOKUP(A553+0.01,Amounts!$A$4:$A$103,Amounts!$B$4:$B$103)*0.1*$A$2</f>
        <v>0</v>
      </c>
      <c r="C553" s="68">
        <f t="shared" si="55"/>
        <v>902907.24633514904</v>
      </c>
      <c r="D553" s="67">
        <f t="array" ref="D553">SUM($B$7:$B548*$F$1009*EXP(-$F$1009*($A553-$A$7:$A548)))*$F$1010</f>
        <v>13289848.56158678</v>
      </c>
      <c r="E553" s="67">
        <f t="shared" si="53"/>
        <v>25.335923054025059</v>
      </c>
      <c r="F553" s="70">
        <f t="shared" si="57"/>
        <v>1.5383972478404018</v>
      </c>
      <c r="G553" s="67">
        <f>E553/'Lookup Tables'!$C$48</f>
        <v>50.671846108050119</v>
      </c>
      <c r="H553" s="70">
        <f t="shared" si="54"/>
        <v>1.4748537251469365E-2</v>
      </c>
      <c r="I553" s="71">
        <f t="shared" si="58"/>
        <v>7.2967458395592169E-2</v>
      </c>
      <c r="L553" s="74"/>
      <c r="M553" s="74"/>
      <c r="N553" s="74"/>
      <c r="O553" s="74"/>
      <c r="P553" s="74"/>
      <c r="Q553" s="74"/>
      <c r="R553" s="74"/>
      <c r="S553" s="74"/>
      <c r="T553" s="74"/>
      <c r="U553" s="74"/>
      <c r="V553" s="74"/>
      <c r="W553" s="74"/>
      <c r="X553" s="74"/>
      <c r="Y553" s="74"/>
      <c r="Z553" s="74"/>
    </row>
    <row r="554" spans="1:26" x14ac:dyDescent="0.3">
      <c r="A554" s="66">
        <f t="shared" si="56"/>
        <v>2044.6999999999503</v>
      </c>
      <c r="B554" s="67">
        <f>LOOKUP(A554+0.01,Amounts!$A$4:$A$103,Amounts!$B$4:$B$103)*0.1*$A$2</f>
        <v>0</v>
      </c>
      <c r="C554" s="68">
        <f t="shared" si="55"/>
        <v>902907.24633514904</v>
      </c>
      <c r="D554" s="67">
        <f t="array" ref="D554">SUM($B$7:$B549*$F$1009*EXP(-$F$1009*($A554-$A$7:$A549)))*$F$1010</f>
        <v>13197144.464536848</v>
      </c>
      <c r="E554" s="67">
        <f t="shared" si="53"/>
        <v>25.159190876922693</v>
      </c>
      <c r="F554" s="70">
        <f t="shared" si="57"/>
        <v>1.5276660700467459</v>
      </c>
      <c r="G554" s="67">
        <f>E554/'Lookup Tables'!$C$48</f>
        <v>50.318381753845387</v>
      </c>
      <c r="H554" s="70">
        <f t="shared" si="54"/>
        <v>1.4645657988220519E-2</v>
      </c>
      <c r="I554" s="71">
        <f t="shared" si="58"/>
        <v>7.245846972553735E-2</v>
      </c>
      <c r="L554" s="74"/>
      <c r="M554" s="74"/>
      <c r="N554" s="74"/>
      <c r="O554" s="74"/>
      <c r="P554" s="74"/>
      <c r="Q554" s="74"/>
      <c r="R554" s="74"/>
      <c r="S554" s="74"/>
      <c r="T554" s="74"/>
      <c r="U554" s="74"/>
      <c r="V554" s="74"/>
      <c r="W554" s="74"/>
      <c r="X554" s="74"/>
      <c r="Y554" s="74"/>
      <c r="Z554" s="74"/>
    </row>
    <row r="555" spans="1:26" x14ac:dyDescent="0.3">
      <c r="A555" s="66">
        <f t="shared" si="56"/>
        <v>2044.7999999999502</v>
      </c>
      <c r="B555" s="67">
        <f>LOOKUP(A555+0.01,Amounts!$A$4:$A$103,Amounts!$B$4:$B$103)*0.1*$A$2</f>
        <v>0</v>
      </c>
      <c r="C555" s="68">
        <f t="shared" si="55"/>
        <v>902907.24633514904</v>
      </c>
      <c r="D555" s="67">
        <f t="array" ref="D555">SUM($B$7:$B550*$F$1009*EXP(-$F$1009*($A555-$A$7:$A550)))*$F$1010</f>
        <v>13105087.030206216</v>
      </c>
      <c r="E555" s="67">
        <f t="shared" si="53"/>
        <v>24.983691505207254</v>
      </c>
      <c r="F555" s="70">
        <f t="shared" si="57"/>
        <v>1.5170097481961844</v>
      </c>
      <c r="G555" s="67">
        <f>E555/'Lookup Tables'!$C$48</f>
        <v>49.967383010414508</v>
      </c>
      <c r="H555" s="70">
        <f t="shared" si="54"/>
        <v>1.454349636514346E-2</v>
      </c>
      <c r="I555" s="71">
        <f t="shared" si="58"/>
        <v>7.1953031534996895E-2</v>
      </c>
      <c r="L555" s="74"/>
      <c r="M555" s="74"/>
      <c r="N555" s="74"/>
      <c r="O555" s="74"/>
      <c r="P555" s="74"/>
      <c r="Q555" s="74"/>
      <c r="R555" s="74"/>
      <c r="S555" s="74"/>
      <c r="T555" s="74"/>
      <c r="U555" s="74"/>
      <c r="V555" s="74"/>
      <c r="W555" s="74"/>
      <c r="X555" s="74"/>
      <c r="Y555" s="74"/>
      <c r="Z555" s="74"/>
    </row>
    <row r="556" spans="1:26" x14ac:dyDescent="0.3">
      <c r="A556" s="66">
        <f t="shared" si="56"/>
        <v>2044.8999999999501</v>
      </c>
      <c r="B556" s="67">
        <f>LOOKUP(A556+0.01,Amounts!$A$4:$A$103,Amounts!$B$4:$B$103)*0.1*$A$2</f>
        <v>0</v>
      </c>
      <c r="C556" s="68">
        <f t="shared" si="55"/>
        <v>902907.24633514904</v>
      </c>
      <c r="D556" s="67">
        <f t="array" ref="D556">SUM($B$7:$B551*$F$1009*EXP(-$F$1009*($A556-$A$7:$A551)))*$F$1010</f>
        <v>13013671.747762173</v>
      </c>
      <c r="E556" s="67">
        <f t="shared" si="53"/>
        <v>24.809416339374383</v>
      </c>
      <c r="F556" s="70">
        <f t="shared" si="57"/>
        <v>1.5064277601268126</v>
      </c>
      <c r="G556" s="67">
        <f>E556/'Lookup Tables'!$C$48</f>
        <v>49.618832678748767</v>
      </c>
      <c r="H556" s="70">
        <f t="shared" si="54"/>
        <v>1.4442047376298206E-2</v>
      </c>
      <c r="I556" s="71">
        <f t="shared" si="58"/>
        <v>7.1451119057398232E-2</v>
      </c>
      <c r="L556" s="74"/>
      <c r="M556" s="74"/>
      <c r="N556" s="74"/>
      <c r="O556" s="74"/>
      <c r="P556" s="74"/>
      <c r="Q556" s="74"/>
      <c r="R556" s="74"/>
      <c r="S556" s="74"/>
      <c r="T556" s="74"/>
      <c r="U556" s="74"/>
      <c r="V556" s="74"/>
      <c r="W556" s="74"/>
      <c r="X556" s="74"/>
      <c r="Y556" s="74"/>
      <c r="Z556" s="74"/>
    </row>
    <row r="557" spans="1:26" x14ac:dyDescent="0.3">
      <c r="A557" s="66">
        <f t="shared" si="56"/>
        <v>2044.99999999995</v>
      </c>
      <c r="B557" s="67">
        <f>LOOKUP(A557+0.01,Amounts!$A$4:$A$103,Amounts!$B$4:$B$103)*0.1*$A$2</f>
        <v>0</v>
      </c>
      <c r="C557" s="68">
        <f t="shared" si="55"/>
        <v>902907.24633514904</v>
      </c>
      <c r="D557" s="67">
        <f t="array" ref="D557">SUM($B$7:$B552*$F$1009*EXP(-$F$1009*($A557-$A$7:$A552)))*$F$1010</f>
        <v>12922894.137837598</v>
      </c>
      <c r="E557" s="67">
        <f t="shared" si="53"/>
        <v>24.636356839906114</v>
      </c>
      <c r="F557" s="70">
        <f t="shared" si="57"/>
        <v>1.4959195873190991</v>
      </c>
      <c r="G557" s="67">
        <f>E557/'Lookup Tables'!$C$48</f>
        <v>49.272713679812227</v>
      </c>
      <c r="H557" s="70">
        <f t="shared" si="54"/>
        <v>1.4341306050664011E-2</v>
      </c>
      <c r="I557" s="71">
        <f t="shared" si="58"/>
        <v>7.0952707698929599E-2</v>
      </c>
      <c r="L557" s="74"/>
      <c r="M557" s="74"/>
      <c r="N557" s="74"/>
      <c r="O557" s="74"/>
      <c r="P557" s="74"/>
      <c r="Q557" s="74"/>
      <c r="R557" s="74"/>
      <c r="S557" s="74"/>
      <c r="T557" s="74"/>
      <c r="U557" s="74"/>
      <c r="V557" s="74"/>
      <c r="W557" s="74"/>
      <c r="X557" s="74"/>
      <c r="Y557" s="74"/>
      <c r="Z557" s="74"/>
    </row>
    <row r="558" spans="1:26" x14ac:dyDescent="0.3">
      <c r="A558" s="66">
        <f t="shared" si="56"/>
        <v>2045.0999999999499</v>
      </c>
      <c r="B558" s="67">
        <f>LOOKUP(A558+0.01,Amounts!$A$4:$A$103,Amounts!$B$4:$B$103)*0.1*$A$2</f>
        <v>0</v>
      </c>
      <c r="C558" s="68">
        <f t="shared" si="55"/>
        <v>902907.24633514904</v>
      </c>
      <c r="D558" s="67">
        <f t="array" ref="D558">SUM($B$7:$B553*$F$1009*EXP(-$F$1009*($A558-$A$7:$A553)))*$F$1010</f>
        <v>12832749.752311429</v>
      </c>
      <c r="E558" s="67">
        <f t="shared" si="53"/>
        <v>24.464504526852316</v>
      </c>
      <c r="F558" s="70">
        <f t="shared" si="57"/>
        <v>1.4854847148704726</v>
      </c>
      <c r="G558" s="67">
        <f>E558/'Lookup Tables'!$C$48</f>
        <v>48.929009053704632</v>
      </c>
      <c r="H558" s="70">
        <f t="shared" si="54"/>
        <v>1.4241267451895752E-2</v>
      </c>
      <c r="I558" s="71">
        <f t="shared" si="58"/>
        <v>7.0457773037334664E-2</v>
      </c>
      <c r="L558" s="74"/>
      <c r="M558" s="74"/>
      <c r="N558" s="74"/>
      <c r="O558" s="74"/>
      <c r="P558" s="74"/>
      <c r="Q558" s="74"/>
      <c r="R558" s="74"/>
      <c r="S558" s="74"/>
      <c r="T558" s="74"/>
      <c r="U558" s="74"/>
      <c r="V558" s="74"/>
      <c r="W558" s="74"/>
      <c r="X558" s="74"/>
      <c r="Y558" s="74"/>
      <c r="Z558" s="74"/>
    </row>
    <row r="559" spans="1:26" x14ac:dyDescent="0.3">
      <c r="A559" s="66">
        <f t="shared" si="56"/>
        <v>2045.1999999999498</v>
      </c>
      <c r="B559" s="67">
        <f>LOOKUP(A559+0.01,Amounts!$A$4:$A$103,Amounts!$B$4:$B$103)*0.1*$A$2</f>
        <v>0</v>
      </c>
      <c r="C559" s="68">
        <f t="shared" si="55"/>
        <v>902907.24633514904</v>
      </c>
      <c r="D559" s="67">
        <f t="array" ref="D559">SUM($B$7:$B554*$F$1009*EXP(-$F$1009*($A559-$A$7:$A554)))*$F$1010</f>
        <v>12743234.174090749</v>
      </c>
      <c r="E559" s="67">
        <f t="shared" si="53"/>
        <v>24.293850979415279</v>
      </c>
      <c r="F559" s="70">
        <f t="shared" si="57"/>
        <v>1.4751226314700958</v>
      </c>
      <c r="G559" s="67">
        <f>E559/'Lookup Tables'!$C$48</f>
        <v>48.587701958830557</v>
      </c>
      <c r="H559" s="70">
        <f t="shared" si="54"/>
        <v>1.4141926678082077E-2</v>
      </c>
      <c r="I559" s="71">
        <f t="shared" si="58"/>
        <v>6.9966290820716009E-2</v>
      </c>
      <c r="L559" s="74"/>
      <c r="M559" s="74"/>
      <c r="N559" s="74"/>
      <c r="O559" s="74"/>
      <c r="P559" s="74"/>
      <c r="Q559" s="74"/>
      <c r="R559" s="74"/>
      <c r="S559" s="74"/>
      <c r="T559" s="74"/>
      <c r="U559" s="74"/>
      <c r="V559" s="74"/>
      <c r="W559" s="74"/>
      <c r="X559" s="74"/>
      <c r="Y559" s="74"/>
      <c r="Z559" s="74"/>
    </row>
    <row r="560" spans="1:26" x14ac:dyDescent="0.3">
      <c r="A560" s="66">
        <f t="shared" si="56"/>
        <v>2045.2999999999497</v>
      </c>
      <c r="B560" s="67">
        <f>LOOKUP(A560+0.01,Amounts!$A$4:$A$103,Amounts!$B$4:$B$103)*0.1*$A$2</f>
        <v>0</v>
      </c>
      <c r="C560" s="68">
        <f t="shared" si="55"/>
        <v>902907.24633514904</v>
      </c>
      <c r="D560" s="67">
        <f t="array" ref="D560">SUM($B$7:$B555*$F$1009*EXP(-$F$1009*($A560-$A$7:$A555)))*$F$1010</f>
        <v>12654343.016894309</v>
      </c>
      <c r="E560" s="67">
        <f t="shared" si="53"/>
        <v>24.124387835537036</v>
      </c>
      <c r="F560" s="70">
        <f t="shared" si="57"/>
        <v>1.4648328293738089</v>
      </c>
      <c r="G560" s="67">
        <f>E560/'Lookup Tables'!$C$48</f>
        <v>48.248775671074071</v>
      </c>
      <c r="H560" s="70">
        <f t="shared" si="54"/>
        <v>1.4043278861505196E-2</v>
      </c>
      <c r="I560" s="71">
        <f t="shared" si="58"/>
        <v>6.9478236966346654E-2</v>
      </c>
      <c r="L560" s="74"/>
      <c r="M560" s="74"/>
      <c r="N560" s="74"/>
      <c r="O560" s="74"/>
      <c r="P560" s="74"/>
      <c r="Q560" s="74"/>
      <c r="R560" s="74"/>
      <c r="S560" s="74"/>
      <c r="T560" s="74"/>
      <c r="U560" s="74"/>
      <c r="V560" s="74"/>
      <c r="W560" s="74"/>
      <c r="X560" s="74"/>
      <c r="Y560" s="74"/>
      <c r="Z560" s="74"/>
    </row>
    <row r="561" spans="1:26" x14ac:dyDescent="0.3">
      <c r="A561" s="66">
        <f t="shared" si="56"/>
        <v>2045.3999999999496</v>
      </c>
      <c r="B561" s="67">
        <f>LOOKUP(A561+0.01,Amounts!$A$4:$A$103,Amounts!$B$4:$B$103)*0.1*$A$2</f>
        <v>0</v>
      </c>
      <c r="C561" s="68">
        <f t="shared" si="55"/>
        <v>902907.24633514904</v>
      </c>
      <c r="D561" s="67">
        <f t="array" ref="D561">SUM($B$7:$B556*$F$1009*EXP(-$F$1009*($A561-$A$7:$A556)))*$F$1010</f>
        <v>12566071.92503763</v>
      </c>
      <c r="E561" s="67">
        <f t="shared" si="53"/>
        <v>23.956106791489642</v>
      </c>
      <c r="F561" s="70">
        <f t="shared" si="57"/>
        <v>1.4546148043792511</v>
      </c>
      <c r="G561" s="67">
        <f>E561/'Lookup Tables'!$C$48</f>
        <v>47.912213582979284</v>
      </c>
      <c r="H561" s="70">
        <f t="shared" si="54"/>
        <v>1.3945319168402371E-2</v>
      </c>
      <c r="I561" s="71">
        <f t="shared" si="58"/>
        <v>6.8993587559490172E-2</v>
      </c>
      <c r="L561" s="74"/>
      <c r="M561" s="74"/>
      <c r="N561" s="74"/>
      <c r="O561" s="74"/>
      <c r="P561" s="74"/>
      <c r="Q561" s="74"/>
      <c r="R561" s="74"/>
      <c r="S561" s="74"/>
      <c r="T561" s="74"/>
      <c r="U561" s="74"/>
      <c r="V561" s="74"/>
      <c r="W561" s="74"/>
      <c r="X561" s="74"/>
      <c r="Y561" s="74"/>
      <c r="Z561" s="74"/>
    </row>
    <row r="562" spans="1:26" x14ac:dyDescent="0.3">
      <c r="A562" s="66">
        <f t="shared" si="56"/>
        <v>2045.4999999999495</v>
      </c>
      <c r="B562" s="67">
        <f>LOOKUP(A562+0.01,Amounts!$A$4:$A$103,Amounts!$B$4:$B$103)*0.1*$A$2</f>
        <v>0</v>
      </c>
      <c r="C562" s="68">
        <f t="shared" si="55"/>
        <v>902907.24633514904</v>
      </c>
      <c r="D562" s="67">
        <f t="array" ref="D562">SUM($B$7:$B557*$F$1009*EXP(-$F$1009*($A562-$A$7:$A557)))*$F$1010</f>
        <v>12478416.573219536</v>
      </c>
      <c r="E562" s="67">
        <f t="shared" si="53"/>
        <v>23.788999601468245</v>
      </c>
      <c r="F562" s="70">
        <f t="shared" si="57"/>
        <v>1.444468055801152</v>
      </c>
      <c r="G562" s="67">
        <f>E562/'Lookup Tables'!$C$48</f>
        <v>47.577999202936489</v>
      </c>
      <c r="H562" s="70">
        <f t="shared" si="54"/>
        <v>1.384804279872902E-2</v>
      </c>
      <c r="I562" s="71">
        <f t="shared" si="58"/>
        <v>6.8512318852228554E-2</v>
      </c>
      <c r="L562" s="74"/>
      <c r="M562" s="74"/>
      <c r="N562" s="74"/>
      <c r="O562" s="74"/>
      <c r="P562" s="74"/>
      <c r="Q562" s="74"/>
      <c r="R562" s="74"/>
      <c r="S562" s="74"/>
      <c r="T562" s="74"/>
      <c r="U562" s="74"/>
      <c r="V562" s="74"/>
      <c r="W562" s="74"/>
      <c r="X562" s="74"/>
      <c r="Y562" s="74"/>
      <c r="Z562" s="74"/>
    </row>
    <row r="563" spans="1:26" x14ac:dyDescent="0.3">
      <c r="A563" s="66">
        <f t="shared" si="56"/>
        <v>2045.5999999999494</v>
      </c>
      <c r="B563" s="67">
        <f>LOOKUP(A563+0.01,Amounts!$A$4:$A$103,Amounts!$B$4:$B$103)*0.1*$A$2</f>
        <v>0</v>
      </c>
      <c r="C563" s="68">
        <f t="shared" si="55"/>
        <v>902907.24633514904</v>
      </c>
      <c r="D563" s="67">
        <f t="array" ref="D563">SUM($B$7:$B558*$F$1009*EXP(-$F$1009*($A563-$A$7:$A558)))*$F$1010</f>
        <v>12391372.666310256</v>
      </c>
      <c r="E563" s="67">
        <f t="shared" si="53"/>
        <v>23.623058077187103</v>
      </c>
      <c r="F563" s="70">
        <f t="shared" si="57"/>
        <v>1.4343920864468007</v>
      </c>
      <c r="G563" s="67">
        <f>E563/'Lookup Tables'!$C$48</f>
        <v>47.246116154374207</v>
      </c>
      <c r="H563" s="70">
        <f t="shared" si="54"/>
        <v>1.375144498592357E-2</v>
      </c>
      <c r="I563" s="71">
        <f t="shared" si="58"/>
        <v>6.8034407262298854E-2</v>
      </c>
      <c r="L563" s="74"/>
      <c r="M563" s="74"/>
      <c r="N563" s="74"/>
      <c r="O563" s="74"/>
      <c r="P563" s="74"/>
      <c r="Q563" s="74"/>
      <c r="R563" s="74"/>
      <c r="S563" s="74"/>
      <c r="T563" s="74"/>
      <c r="U563" s="74"/>
      <c r="V563" s="74"/>
      <c r="W563" s="74"/>
      <c r="X563" s="74"/>
      <c r="Y563" s="74"/>
      <c r="Z563" s="74"/>
    </row>
    <row r="564" spans="1:26" x14ac:dyDescent="0.3">
      <c r="A564" s="66">
        <f t="shared" si="56"/>
        <v>2045.6999999999493</v>
      </c>
      <c r="B564" s="67">
        <f>LOOKUP(A564+0.01,Amounts!$A$4:$A$103,Amounts!$B$4:$B$103)*0.1*$A$2</f>
        <v>0</v>
      </c>
      <c r="C564" s="68">
        <f t="shared" si="55"/>
        <v>902907.24633514904</v>
      </c>
      <c r="D564" s="67">
        <f t="array" ref="D564">SUM($B$7:$B559*$F$1009*EXP(-$F$1009*($A564-$A$7:$A559)))*$F$1010</f>
        <v>12304935.93914094</v>
      </c>
      <c r="E564" s="67">
        <f t="shared" si="53"/>
        <v>23.458274087478337</v>
      </c>
      <c r="F564" s="70">
        <f t="shared" si="57"/>
        <v>1.4243864025916846</v>
      </c>
      <c r="G564" s="67">
        <f>E564/'Lookup Tables'!$C$48</f>
        <v>46.916548174956674</v>
      </c>
      <c r="H564" s="70">
        <f t="shared" si="54"/>
        <v>1.3655520996673869E-2</v>
      </c>
      <c r="I564" s="71">
        <f t="shared" si="58"/>
        <v>6.7559829371937608E-2</v>
      </c>
      <c r="L564" s="74"/>
      <c r="M564" s="74"/>
      <c r="N564" s="74"/>
      <c r="O564" s="74"/>
      <c r="P564" s="74"/>
      <c r="Q564" s="74"/>
      <c r="R564" s="74"/>
      <c r="S564" s="74"/>
      <c r="T564" s="74"/>
      <c r="U564" s="74"/>
      <c r="V564" s="74"/>
      <c r="W564" s="74"/>
      <c r="X564" s="74"/>
      <c r="Y564" s="74"/>
      <c r="Z564" s="74"/>
    </row>
    <row r="565" spans="1:26" x14ac:dyDescent="0.3">
      <c r="A565" s="66">
        <f t="shared" si="56"/>
        <v>2045.7999999999493</v>
      </c>
      <c r="B565" s="67">
        <f>LOOKUP(A565+0.01,Amounts!$A$4:$A$103,Amounts!$B$4:$B$103)*0.1*$A$2</f>
        <v>0</v>
      </c>
      <c r="C565" s="68">
        <f t="shared" si="55"/>
        <v>902907.24633514904</v>
      </c>
      <c r="D565" s="67">
        <f t="array" ref="D565">SUM($B$7:$B560*$F$1009*EXP(-$F$1009*($A565-$A$7:$A560)))*$F$1010</f>
        <v>12219102.156294655</v>
      </c>
      <c r="E565" s="67">
        <f t="shared" si="53"/>
        <v>23.294639557893472</v>
      </c>
      <c r="F565" s="70">
        <f t="shared" si="57"/>
        <v>1.4144505139552919</v>
      </c>
      <c r="G565" s="67">
        <f>E565/'Lookup Tables'!$C$48</f>
        <v>46.589279115786944</v>
      </c>
      <c r="H565" s="70">
        <f t="shared" si="54"/>
        <v>1.3560266130685256E-2</v>
      </c>
      <c r="I565" s="71">
        <f t="shared" si="58"/>
        <v>6.7088561926733209E-2</v>
      </c>
      <c r="L565" s="74"/>
      <c r="M565" s="74"/>
      <c r="N565" s="74"/>
      <c r="O565" s="74"/>
      <c r="P565" s="74"/>
      <c r="Q565" s="74"/>
      <c r="R565" s="74"/>
      <c r="S565" s="74"/>
      <c r="T565" s="74"/>
      <c r="U565" s="74"/>
      <c r="V565" s="74"/>
      <c r="W565" s="74"/>
      <c r="X565" s="74"/>
      <c r="Y565" s="74"/>
      <c r="Z565" s="74"/>
    </row>
    <row r="566" spans="1:26" x14ac:dyDescent="0.3">
      <c r="A566" s="66">
        <f t="shared" si="56"/>
        <v>2045.8999999999492</v>
      </c>
      <c r="B566" s="67">
        <f>LOOKUP(A566+0.01,Amounts!$A$4:$A$103,Amounts!$B$4:$B$103)*0.1*$A$2</f>
        <v>0</v>
      </c>
      <c r="C566" s="68">
        <f t="shared" si="55"/>
        <v>902907.24633514904</v>
      </c>
      <c r="D566" s="67">
        <f t="array" ref="D566">SUM($B$7:$B561*$F$1009*EXP(-$F$1009*($A566-$A$7:$A561)))*$F$1010</f>
        <v>12133867.111898869</v>
      </c>
      <c r="E566" s="67">
        <f t="shared" si="53"/>
        <v>23.132146470307813</v>
      </c>
      <c r="F566" s="70">
        <f t="shared" si="57"/>
        <v>1.4045839336770902</v>
      </c>
      <c r="G566" s="67">
        <f>E566/'Lookup Tables'!$C$48</f>
        <v>46.264292940615626</v>
      </c>
      <c r="H566" s="70">
        <f t="shared" si="54"/>
        <v>1.3465675720450224E-2</v>
      </c>
      <c r="I566" s="71">
        <f t="shared" si="58"/>
        <v>6.6620581834486492E-2</v>
      </c>
      <c r="L566" s="74"/>
      <c r="M566" s="74"/>
      <c r="N566" s="74"/>
      <c r="O566" s="74"/>
      <c r="P566" s="74"/>
      <c r="Q566" s="74"/>
      <c r="R566" s="74"/>
      <c r="S566" s="74"/>
      <c r="T566" s="74"/>
      <c r="U566" s="74"/>
      <c r="V566" s="74"/>
      <c r="W566" s="74"/>
      <c r="X566" s="74"/>
      <c r="Y566" s="74"/>
      <c r="Z566" s="74"/>
    </row>
    <row r="567" spans="1:26" x14ac:dyDescent="0.3">
      <c r="A567" s="66">
        <f t="shared" si="56"/>
        <v>2045.9999999999491</v>
      </c>
      <c r="B567" s="67">
        <f>LOOKUP(A567+0.01,Amounts!$A$4:$A$103,Amounts!$B$4:$B$103)*0.1*$A$2</f>
        <v>0</v>
      </c>
      <c r="C567" s="68">
        <f t="shared" si="55"/>
        <v>902907.24633514904</v>
      </c>
      <c r="D567" s="67">
        <f t="array" ref="D567">SUM($B$7:$B562*$F$1009*EXP(-$F$1009*($A567-$A$7:$A562)))*$F$1010</f>
        <v>12049226.629419353</v>
      </c>
      <c r="E567" s="67">
        <f t="shared" si="53"/>
        <v>22.970786862527564</v>
      </c>
      <c r="F567" s="70">
        <f t="shared" si="57"/>
        <v>1.3947861782926738</v>
      </c>
      <c r="G567" s="67">
        <f>E567/'Lookup Tables'!$C$48</f>
        <v>45.941573725055129</v>
      </c>
      <c r="H567" s="70">
        <f t="shared" si="54"/>
        <v>1.337174513101976E-2</v>
      </c>
      <c r="I567" s="71">
        <f t="shared" si="58"/>
        <v>6.6155866164079383E-2</v>
      </c>
      <c r="L567" s="74"/>
      <c r="M567" s="74"/>
      <c r="N567" s="74"/>
      <c r="O567" s="74"/>
      <c r="P567" s="74"/>
      <c r="Q567" s="74"/>
      <c r="R567" s="74"/>
      <c r="S567" s="74"/>
      <c r="T567" s="74"/>
      <c r="U567" s="74"/>
      <c r="V567" s="74"/>
      <c r="W567" s="74"/>
      <c r="X567" s="74"/>
      <c r="Y567" s="74"/>
      <c r="Z567" s="74"/>
    </row>
    <row r="568" spans="1:26" x14ac:dyDescent="0.3">
      <c r="A568" s="66">
        <f t="shared" si="56"/>
        <v>2046.099999999949</v>
      </c>
      <c r="B568" s="67">
        <f>LOOKUP(A568+0.01,Amounts!$A$4:$A$103,Amounts!$B$4:$B$103)*0.1*$A$2</f>
        <v>0</v>
      </c>
      <c r="C568" s="68">
        <f t="shared" si="55"/>
        <v>902907.24633514904</v>
      </c>
      <c r="D568" s="67">
        <f t="array" ref="D568">SUM($B$7:$B563*$F$1009*EXP(-$F$1009*($A568-$A$7:$A563)))*$F$1010</f>
        <v>11965176.561455533</v>
      </c>
      <c r="E568" s="67">
        <f t="shared" si="53"/>
        <v>22.810552827899656</v>
      </c>
      <c r="F568" s="70">
        <f t="shared" si="57"/>
        <v>1.3850567677100671</v>
      </c>
      <c r="G568" s="67">
        <f>E568/'Lookup Tables'!$C$48</f>
        <v>45.621105655799312</v>
      </c>
      <c r="H568" s="70">
        <f t="shared" si="54"/>
        <v>1.3278469759776179E-2</v>
      </c>
      <c r="I568" s="71">
        <f t="shared" si="58"/>
        <v>6.5694392144351008E-2</v>
      </c>
      <c r="L568" s="74"/>
      <c r="M568" s="74"/>
      <c r="N568" s="74"/>
      <c r="O568" s="74"/>
      <c r="P568" s="74"/>
      <c r="Q568" s="74"/>
      <c r="R568" s="74"/>
      <c r="S568" s="74"/>
      <c r="T568" s="74"/>
      <c r="U568" s="74"/>
      <c r="V568" s="74"/>
      <c r="W568" s="74"/>
      <c r="X568" s="74"/>
      <c r="Y568" s="74"/>
      <c r="Z568" s="74"/>
    </row>
    <row r="569" spans="1:26" x14ac:dyDescent="0.3">
      <c r="A569" s="66">
        <f t="shared" si="56"/>
        <v>2046.1999999999489</v>
      </c>
      <c r="B569" s="67">
        <f>LOOKUP(A569+0.01,Amounts!$A$4:$A$103,Amounts!$B$4:$B$103)*0.1*$A$2</f>
        <v>0</v>
      </c>
      <c r="C569" s="68">
        <f t="shared" si="55"/>
        <v>902907.24633514904</v>
      </c>
      <c r="D569" s="67">
        <f t="array" ref="D569">SUM($B$7:$B564*$F$1009*EXP(-$F$1009*($A569-$A$7:$A564)))*$F$1010</f>
        <v>11881712.789537258</v>
      </c>
      <c r="E569" s="67">
        <f t="shared" si="53"/>
        <v>22.651436514924331</v>
      </c>
      <c r="F569" s="70">
        <f t="shared" si="57"/>
        <v>1.3753952251862052</v>
      </c>
      <c r="G569" s="67">
        <f>E569/'Lookup Tables'!$C$48</f>
        <v>45.302873029848662</v>
      </c>
      <c r="H569" s="70">
        <f t="shared" si="54"/>
        <v>1.3185845036207634E-2</v>
      </c>
      <c r="I569" s="71">
        <f t="shared" si="58"/>
        <v>6.5236137162982072E-2</v>
      </c>
      <c r="L569" s="74"/>
      <c r="M569" s="74"/>
      <c r="N569" s="74"/>
      <c r="O569" s="74"/>
      <c r="P569" s="74"/>
      <c r="Q569" s="74"/>
      <c r="R569" s="74"/>
      <c r="S569" s="74"/>
      <c r="T569" s="74"/>
      <c r="U569" s="74"/>
      <c r="V569" s="74"/>
      <c r="W569" s="74"/>
      <c r="X569" s="74"/>
      <c r="Y569" s="74"/>
      <c r="Z569" s="74"/>
    </row>
    <row r="570" spans="1:26" x14ac:dyDescent="0.3">
      <c r="A570" s="66">
        <f t="shared" si="56"/>
        <v>2046.2999999999488</v>
      </c>
      <c r="B570" s="67">
        <f>LOOKUP(A570+0.01,Amounts!$A$4:$A$103,Amounts!$B$4:$B$103)*0.1*$A$2</f>
        <v>0</v>
      </c>
      <c r="C570" s="68">
        <f t="shared" si="55"/>
        <v>902907.24633514904</v>
      </c>
      <c r="D570" s="67">
        <f t="array" ref="D570">SUM($B$7:$B565*$F$1009*EXP(-$F$1009*($A570-$A$7:$A565)))*$F$1010</f>
        <v>11798831.223923009</v>
      </c>
      <c r="E570" s="67">
        <f t="shared" si="53"/>
        <v>22.493430126870425</v>
      </c>
      <c r="F570" s="70">
        <f t="shared" si="57"/>
        <v>1.3658010773035723</v>
      </c>
      <c r="G570" s="67">
        <f>E570/'Lookup Tables'!$C$48</f>
        <v>44.986860253740851</v>
      </c>
      <c r="H570" s="70">
        <f t="shared" si="54"/>
        <v>1.3093866421684138E-2</v>
      </c>
      <c r="I570" s="71">
        <f t="shared" si="58"/>
        <v>6.4781078765386829E-2</v>
      </c>
      <c r="L570" s="74"/>
      <c r="M570" s="74"/>
      <c r="N570" s="74"/>
      <c r="O570" s="74"/>
      <c r="P570" s="74"/>
      <c r="Q570" s="74"/>
      <c r="R570" s="74"/>
      <c r="S570" s="74"/>
      <c r="T570" s="74"/>
      <c r="U570" s="74"/>
      <c r="V570" s="74"/>
      <c r="W570" s="74"/>
      <c r="X570" s="74"/>
      <c r="Y570" s="74"/>
      <c r="Z570" s="74"/>
    </row>
    <row r="571" spans="1:26" x14ac:dyDescent="0.3">
      <c r="A571" s="66">
        <f t="shared" si="56"/>
        <v>2046.3999999999487</v>
      </c>
      <c r="B571" s="67">
        <f>LOOKUP(A571+0.01,Amounts!$A$4:$A$103,Amounts!$B$4:$B$103)*0.1*$A$2</f>
        <v>0</v>
      </c>
      <c r="C571" s="68">
        <f t="shared" si="55"/>
        <v>902907.24633514904</v>
      </c>
      <c r="D571" s="67">
        <f t="array" ref="D571">SUM($B$7:$B566*$F$1009*EXP(-$F$1009*($A571-$A$7:$A566)))*$F$1010</f>
        <v>11716527.803399479</v>
      </c>
      <c r="E571" s="67">
        <f t="shared" si="53"/>
        <v>22.336525921393289</v>
      </c>
      <c r="F571" s="70">
        <f t="shared" si="57"/>
        <v>1.3562738539470005</v>
      </c>
      <c r="G571" s="67">
        <f>E571/'Lookup Tables'!$C$48</f>
        <v>44.673051842786577</v>
      </c>
      <c r="H571" s="70">
        <f t="shared" si="54"/>
        <v>1.3002529409235164E-2</v>
      </c>
      <c r="I571" s="71">
        <f t="shared" si="58"/>
        <v>6.4329194653612684E-2</v>
      </c>
      <c r="L571" s="74"/>
      <c r="M571" s="74"/>
      <c r="N571" s="74"/>
      <c r="O571" s="74"/>
      <c r="P571" s="74"/>
      <c r="Q571" s="74"/>
      <c r="R571" s="74"/>
      <c r="S571" s="74"/>
      <c r="T571" s="74"/>
      <c r="U571" s="74"/>
      <c r="V571" s="74"/>
      <c r="W571" s="74"/>
      <c r="X571" s="74"/>
      <c r="Y571" s="74"/>
      <c r="Z571" s="74"/>
    </row>
    <row r="572" spans="1:26" x14ac:dyDescent="0.3">
      <c r="A572" s="66">
        <f t="shared" si="56"/>
        <v>2046.4999999999486</v>
      </c>
      <c r="B572" s="67">
        <f>LOOKUP(A572+0.01,Amounts!$A$4:$A$103,Amounts!$B$4:$B$103)*0.1*$A$2</f>
        <v>0</v>
      </c>
      <c r="C572" s="68">
        <f t="shared" si="55"/>
        <v>902907.24633514904</v>
      </c>
      <c r="D572" s="67">
        <f t="array" ref="D572">SUM($B$7:$B567*$F$1009*EXP(-$F$1009*($A572-$A$7:$A567)))*$F$1010</f>
        <v>11634798.495082602</v>
      </c>
      <c r="E572" s="67">
        <f t="shared" si="53"/>
        <v>22.180716210155477</v>
      </c>
      <c r="F572" s="70">
        <f t="shared" si="57"/>
        <v>1.3468130882806406</v>
      </c>
      <c r="G572" s="67">
        <f>E572/'Lookup Tables'!$C$48</f>
        <v>44.361432420310955</v>
      </c>
      <c r="H572" s="70">
        <f t="shared" si="54"/>
        <v>1.2911829523328835E-2</v>
      </c>
      <c r="I572" s="71">
        <f t="shared" si="58"/>
        <v>6.3880462685247774E-2</v>
      </c>
      <c r="L572" s="74"/>
      <c r="M572" s="74"/>
      <c r="N572" s="74"/>
      <c r="O572" s="74"/>
      <c r="P572" s="74"/>
      <c r="Q572" s="74"/>
      <c r="R572" s="74"/>
      <c r="S572" s="74"/>
      <c r="T572" s="74"/>
      <c r="U572" s="74"/>
      <c r="V572" s="74"/>
      <c r="W572" s="74"/>
      <c r="X572" s="74"/>
      <c r="Y572" s="74"/>
      <c r="Z572" s="74"/>
    </row>
    <row r="573" spans="1:26" x14ac:dyDescent="0.3">
      <c r="A573" s="66">
        <f t="shared" si="56"/>
        <v>2046.5999999999485</v>
      </c>
      <c r="B573" s="67">
        <f>LOOKUP(A573+0.01,Amounts!$A$4:$A$103,Amounts!$B$4:$B$103)*0.1*$A$2</f>
        <v>0</v>
      </c>
      <c r="C573" s="68">
        <f t="shared" si="55"/>
        <v>902907.24633514904</v>
      </c>
      <c r="D573" s="67">
        <f t="array" ref="D573">SUM($B$7:$B568*$F$1009*EXP(-$F$1009*($A573-$A$7:$A568)))*$F$1010</f>
        <v>11553639.294219913</v>
      </c>
      <c r="E573" s="67">
        <f t="shared" si="53"/>
        <v>22.025993358449956</v>
      </c>
      <c r="F573" s="70">
        <f t="shared" si="57"/>
        <v>1.3374183167250813</v>
      </c>
      <c r="G573" s="67">
        <f>E573/'Lookup Tables'!$C$48</f>
        <v>44.051986716899911</v>
      </c>
      <c r="H573" s="70">
        <f t="shared" si="54"/>
        <v>1.2821762319652595E-2</v>
      </c>
      <c r="I573" s="71">
        <f t="shared" si="58"/>
        <v>6.3434860872335866E-2</v>
      </c>
      <c r="L573" s="74"/>
      <c r="M573" s="74"/>
      <c r="N573" s="74"/>
      <c r="O573" s="74"/>
      <c r="P573" s="74"/>
      <c r="Q573" s="74"/>
      <c r="R573" s="74"/>
      <c r="S573" s="74"/>
      <c r="T573" s="74"/>
      <c r="U573" s="74"/>
      <c r="V573" s="74"/>
      <c r="W573" s="74"/>
      <c r="X573" s="74"/>
      <c r="Y573" s="74"/>
      <c r="Z573" s="74"/>
    </row>
    <row r="574" spans="1:26" x14ac:dyDescent="0.3">
      <c r="A574" s="66">
        <f t="shared" si="56"/>
        <v>2046.6999999999484</v>
      </c>
      <c r="B574" s="67">
        <f>LOOKUP(A574+0.01,Amounts!$A$4:$A$103,Amounts!$B$4:$B$103)*0.1*$A$2</f>
        <v>0</v>
      </c>
      <c r="C574" s="68">
        <f t="shared" si="55"/>
        <v>902907.24633514904</v>
      </c>
      <c r="D574" s="67">
        <f t="array" ref="D574">SUM($B$7:$B569*$F$1009*EXP(-$F$1009*($A574-$A$7:$A569)))*$F$1010</f>
        <v>11473046.223994339</v>
      </c>
      <c r="E574" s="67">
        <f t="shared" si="53"/>
        <v>21.872349784826046</v>
      </c>
      <c r="F574" s="70">
        <f t="shared" si="57"/>
        <v>1.3280890789346376</v>
      </c>
      <c r="G574" s="67">
        <f>E574/'Lookup Tables'!$C$48</f>
        <v>43.744699569652091</v>
      </c>
      <c r="H574" s="70">
        <f t="shared" si="54"/>
        <v>1.2732323384895444E-2</v>
      </c>
      <c r="I574" s="71">
        <f t="shared" si="58"/>
        <v>6.2992367380299008E-2</v>
      </c>
      <c r="L574" s="74"/>
      <c r="M574" s="74"/>
      <c r="N574" s="74"/>
      <c r="O574" s="74"/>
      <c r="P574" s="74"/>
      <c r="Q574" s="74"/>
      <c r="R574" s="74"/>
      <c r="S574" s="74"/>
      <c r="T574" s="74"/>
      <c r="U574" s="74"/>
      <c r="V574" s="74"/>
      <c r="W574" s="74"/>
      <c r="X574" s="74"/>
      <c r="Y574" s="74"/>
      <c r="Z574" s="74"/>
    </row>
    <row r="575" spans="1:26" x14ac:dyDescent="0.3">
      <c r="A575" s="66">
        <f t="shared" si="56"/>
        <v>2046.7999999999483</v>
      </c>
      <c r="B575" s="67">
        <f>LOOKUP(A575+0.01,Amounts!$A$4:$A$103,Amounts!$B$4:$B$103)*0.1*$A$2</f>
        <v>0</v>
      </c>
      <c r="C575" s="68">
        <f t="shared" si="55"/>
        <v>902907.24633514904</v>
      </c>
      <c r="D575" s="67">
        <f t="array" ref="D575">SUM($B$7:$B570*$F$1009*EXP(-$F$1009*($A575-$A$7:$A570)))*$F$1010</f>
        <v>11393015.335329309</v>
      </c>
      <c r="E575" s="67">
        <f t="shared" si="53"/>
        <v>21.719777960717888</v>
      </c>
      <c r="F575" s="70">
        <f t="shared" si="57"/>
        <v>1.3188249177747902</v>
      </c>
      <c r="G575" s="67">
        <f>E575/'Lookup Tables'!$C$48</f>
        <v>43.439555921435776</v>
      </c>
      <c r="H575" s="70">
        <f t="shared" si="54"/>
        <v>1.2643508336531684E-2</v>
      </c>
      <c r="I575" s="71">
        <f t="shared" si="58"/>
        <v>6.2552960526867527E-2</v>
      </c>
      <c r="L575" s="74"/>
      <c r="M575" s="74"/>
      <c r="N575" s="74"/>
      <c r="O575" s="74"/>
      <c r="P575" s="74"/>
      <c r="Q575" s="74"/>
      <c r="R575" s="74"/>
      <c r="S575" s="74"/>
      <c r="T575" s="74"/>
      <c r="U575" s="74"/>
      <c r="V575" s="74"/>
      <c r="W575" s="74"/>
      <c r="X575" s="74"/>
      <c r="Y575" s="74"/>
      <c r="Z575" s="74"/>
    </row>
    <row r="576" spans="1:26" x14ac:dyDescent="0.3">
      <c r="A576" s="66">
        <f t="shared" si="56"/>
        <v>2046.8999999999482</v>
      </c>
      <c r="B576" s="67">
        <f>LOOKUP(A576+0.01,Amounts!$A$4:$A$103,Amounts!$B$4:$B$103)*0.1*$A$2</f>
        <v>0</v>
      </c>
      <c r="C576" s="68">
        <f t="shared" si="55"/>
        <v>902907.24633514904</v>
      </c>
      <c r="D576" s="67">
        <f t="array" ref="D576">SUM($B$7:$B571*$F$1009*EXP(-$F$1009*($A576-$A$7:$A571)))*$F$1010</f>
        <v>11313542.706695264</v>
      </c>
      <c r="E576" s="67">
        <f t="shared" si="53"/>
        <v>21.568270410075577</v>
      </c>
      <c r="F576" s="70">
        <f t="shared" si="57"/>
        <v>1.3096253792997889</v>
      </c>
      <c r="G576" s="67">
        <f>E576/'Lookup Tables'!$C$48</f>
        <v>43.136540820151154</v>
      </c>
      <c r="H576" s="70">
        <f t="shared" si="54"/>
        <v>1.255531282260617E-2</v>
      </c>
      <c r="I576" s="71">
        <f t="shared" si="58"/>
        <v>6.2116618781017666E-2</v>
      </c>
      <c r="L576" s="74"/>
      <c r="M576" s="74"/>
      <c r="N576" s="74"/>
      <c r="O576" s="74"/>
      <c r="P576" s="74"/>
      <c r="Q576" s="74"/>
      <c r="R576" s="74"/>
      <c r="S576" s="74"/>
      <c r="T576" s="74"/>
      <c r="U576" s="74"/>
      <c r="V576" s="74"/>
      <c r="W576" s="74"/>
      <c r="X576" s="74"/>
      <c r="Y576" s="74"/>
      <c r="Z576" s="74"/>
    </row>
    <row r="577" spans="1:26" x14ac:dyDescent="0.3">
      <c r="A577" s="66">
        <f t="shared" si="56"/>
        <v>2046.9999999999482</v>
      </c>
      <c r="B577" s="67">
        <f>LOOKUP(A577+0.01,Amounts!$A$4:$A$103,Amounts!$B$4:$B$103)*0.1*$A$2</f>
        <v>0</v>
      </c>
      <c r="C577" s="68">
        <f t="shared" si="55"/>
        <v>902907.24633514904</v>
      </c>
      <c r="D577" s="67">
        <f t="array" ref="D577">SUM($B$7:$B572*$F$1009*EXP(-$F$1009*($A577-$A$7:$A572)))*$F$1010</f>
        <v>11234624.443917502</v>
      </c>
      <c r="E577" s="67">
        <f t="shared" si="53"/>
        <v>21.417819708998817</v>
      </c>
      <c r="F577" s="70">
        <f t="shared" si="57"/>
        <v>1.3004900127304082</v>
      </c>
      <c r="G577" s="67">
        <f>E577/'Lookup Tables'!$C$48</f>
        <v>42.835639417997633</v>
      </c>
      <c r="H577" s="70">
        <f t="shared" si="54"/>
        <v>1.2467732521521075E-2</v>
      </c>
      <c r="I577" s="71">
        <f t="shared" si="58"/>
        <v>6.1683320761916592E-2</v>
      </c>
      <c r="L577" s="74"/>
      <c r="M577" s="74"/>
      <c r="N577" s="74"/>
      <c r="O577" s="74"/>
      <c r="P577" s="74"/>
      <c r="Q577" s="74"/>
      <c r="R577" s="74"/>
      <c r="S577" s="74"/>
      <c r="T577" s="74"/>
      <c r="U577" s="74"/>
      <c r="V577" s="74"/>
      <c r="W577" s="74"/>
      <c r="X577" s="74"/>
      <c r="Y577" s="74"/>
      <c r="Z577" s="74"/>
    </row>
    <row r="578" spans="1:26" x14ac:dyDescent="0.3">
      <c r="A578" s="66">
        <f t="shared" si="56"/>
        <v>2047.0999999999481</v>
      </c>
      <c r="B578" s="67">
        <f>LOOKUP(A578+0.01,Amounts!$A$4:$A$103,Amounts!$B$4:$B$103)*0.1*$A$2</f>
        <v>0</v>
      </c>
      <c r="C578" s="68">
        <f t="shared" si="55"/>
        <v>902907.24633514904</v>
      </c>
      <c r="D578" s="67">
        <f t="array" ref="D578">SUM($B$7:$B573*$F$1009*EXP(-$F$1009*($A578-$A$7:$A573)))*$F$1010</f>
        <v>11156256.679985352</v>
      </c>
      <c r="E578" s="67">
        <f t="shared" si="53"/>
        <v>21.268418485373143</v>
      </c>
      <c r="F578" s="70">
        <f t="shared" si="57"/>
        <v>1.2914183704318571</v>
      </c>
      <c r="G578" s="67">
        <f>E578/'Lookup Tables'!$C$48</f>
        <v>42.536836970746286</v>
      </c>
      <c r="H578" s="70">
        <f t="shared" si="54"/>
        <v>1.2380763141824118E-2</v>
      </c>
      <c r="I578" s="71">
        <f t="shared" si="58"/>
        <v>6.125304523787465E-2</v>
      </c>
      <c r="L578" s="74"/>
      <c r="M578" s="74"/>
      <c r="N578" s="74"/>
      <c r="O578" s="74"/>
      <c r="P578" s="74"/>
      <c r="Q578" s="74"/>
      <c r="R578" s="74"/>
      <c r="S578" s="74"/>
      <c r="T578" s="74"/>
      <c r="U578" s="74"/>
      <c r="V578" s="74"/>
      <c r="W578" s="74"/>
      <c r="X578" s="74"/>
      <c r="Y578" s="74"/>
      <c r="Z578" s="74"/>
    </row>
    <row r="579" spans="1:26" x14ac:dyDescent="0.3">
      <c r="A579" s="66">
        <f t="shared" si="56"/>
        <v>2047.199999999948</v>
      </c>
      <c r="B579" s="67">
        <f>LOOKUP(A579+0.01,Amounts!$A$4:$A$103,Amounts!$B$4:$B$103)*0.1*$A$2</f>
        <v>0</v>
      </c>
      <c r="C579" s="68">
        <f t="shared" si="55"/>
        <v>902907.24633514904</v>
      </c>
      <c r="D579" s="67">
        <f t="array" ref="D579">SUM($B$7:$B574*$F$1009*EXP(-$F$1009*($A579-$A$7:$A574)))*$F$1010</f>
        <v>11078435.574862706</v>
      </c>
      <c r="E579" s="67">
        <f t="shared" si="53"/>
        <v>21.120059418508713</v>
      </c>
      <c r="F579" s="70">
        <f t="shared" si="57"/>
        <v>1.282410007891849</v>
      </c>
      <c r="G579" s="67">
        <f>E579/'Lookup Tables'!$C$48</f>
        <v>42.240118837017427</v>
      </c>
      <c r="H579" s="70">
        <f t="shared" si="54"/>
        <v>1.2294400421998301E-2</v>
      </c>
      <c r="I579" s="71">
        <f t="shared" si="58"/>
        <v>6.0825771125305093E-2</v>
      </c>
      <c r="L579" s="74"/>
      <c r="M579" s="74"/>
      <c r="N579" s="74"/>
      <c r="O579" s="74"/>
      <c r="P579" s="74"/>
      <c r="Q579" s="74"/>
      <c r="R579" s="74"/>
      <c r="S579" s="74"/>
      <c r="T579" s="74"/>
      <c r="U579" s="74"/>
      <c r="V579" s="74"/>
      <c r="W579" s="74"/>
      <c r="X579" s="74"/>
      <c r="Y579" s="74"/>
      <c r="Z579" s="74"/>
    </row>
    <row r="580" spans="1:26" x14ac:dyDescent="0.3">
      <c r="A580" s="66">
        <f t="shared" si="56"/>
        <v>2047.2999999999479</v>
      </c>
      <c r="B580" s="67">
        <f>LOOKUP(A580+0.01,Amounts!$A$4:$A$103,Amounts!$B$4:$B$103)*0.1*$A$2</f>
        <v>0</v>
      </c>
      <c r="C580" s="68">
        <f t="shared" si="55"/>
        <v>902907.24633514904</v>
      </c>
      <c r="D580" s="67">
        <f t="array" ref="D580">SUM($B$7:$B575*$F$1009*EXP(-$F$1009*($A580-$A$7:$A575)))*$F$1010</f>
        <v>11001157.315299843</v>
      </c>
      <c r="E580" s="67">
        <f t="shared" si="53"/>
        <v>20.972735238781574</v>
      </c>
      <c r="F580" s="70">
        <f t="shared" si="57"/>
        <v>1.2734644836988172</v>
      </c>
      <c r="G580" s="67">
        <f>E580/'Lookup Tables'!$C$48</f>
        <v>41.945470477563148</v>
      </c>
      <c r="H580" s="70">
        <f t="shared" si="54"/>
        <v>1.2208640130253072E-2</v>
      </c>
      <c r="I580" s="71">
        <f t="shared" si="58"/>
        <v>6.0401477487690938E-2</v>
      </c>
      <c r="L580" s="74"/>
      <c r="M580" s="74"/>
      <c r="N580" s="74"/>
      <c r="O580" s="74"/>
      <c r="P580" s="74"/>
      <c r="Q580" s="74"/>
      <c r="R580" s="74"/>
      <c r="S580" s="74"/>
      <c r="T580" s="74"/>
      <c r="U580" s="74"/>
      <c r="V580" s="74"/>
      <c r="W580" s="74"/>
      <c r="X580" s="74"/>
      <c r="Y580" s="74"/>
      <c r="Z580" s="74"/>
    </row>
    <row r="581" spans="1:26" x14ac:dyDescent="0.3">
      <c r="A581" s="66">
        <f t="shared" si="56"/>
        <v>2047.3999999999478</v>
      </c>
      <c r="B581" s="67">
        <f>LOOKUP(A581+0.01,Amounts!$A$4:$A$103,Amounts!$B$4:$B$103)*0.1*$A$2</f>
        <v>0</v>
      </c>
      <c r="C581" s="68">
        <f t="shared" si="55"/>
        <v>902907.24633514904</v>
      </c>
      <c r="D581" s="67">
        <f t="array" ref="D581">SUM($B$7:$B576*$F$1009*EXP(-$F$1009*($A581-$A$7:$A576)))*$F$1010</f>
        <v>10924418.11464658</v>
      </c>
      <c r="E581" s="67">
        <f t="shared" si="53"/>
        <v>20.826438727277438</v>
      </c>
      <c r="F581" s="70">
        <f t="shared" si="57"/>
        <v>1.2645813595202862</v>
      </c>
      <c r="G581" s="67">
        <f>E581/'Lookup Tables'!$C$48</f>
        <v>41.652877454554876</v>
      </c>
      <c r="H581" s="70">
        <f t="shared" si="54"/>
        <v>1.2123478064316974E-2</v>
      </c>
      <c r="I581" s="71">
        <f t="shared" si="58"/>
        <v>5.9980143534559022E-2</v>
      </c>
      <c r="L581" s="74"/>
      <c r="M581" s="74"/>
      <c r="N581" s="74"/>
      <c r="O581" s="74"/>
      <c r="P581" s="74"/>
      <c r="Q581" s="74"/>
      <c r="R581" s="74"/>
      <c r="S581" s="74"/>
      <c r="T581" s="74"/>
      <c r="U581" s="74"/>
      <c r="V581" s="74"/>
      <c r="W581" s="74"/>
      <c r="X581" s="74"/>
      <c r="Y581" s="74"/>
      <c r="Z581" s="74"/>
    </row>
    <row r="582" spans="1:26" x14ac:dyDescent="0.3">
      <c r="A582" s="66">
        <f t="shared" si="56"/>
        <v>2047.4999999999477</v>
      </c>
      <c r="B582" s="67">
        <f>LOOKUP(A582+0.01,Amounts!$A$4:$A$103,Amounts!$B$4:$B$103)*0.1*$A$2</f>
        <v>0</v>
      </c>
      <c r="C582" s="68">
        <f t="shared" si="55"/>
        <v>902907.24633514904</v>
      </c>
      <c r="D582" s="67">
        <f t="array" ref="D582">SUM($B$7:$B577*$F$1009*EXP(-$F$1009*($A582-$A$7:$A577)))*$F$1010</f>
        <v>10848214.212666735</v>
      </c>
      <c r="E582" s="67">
        <f t="shared" si="53"/>
        <v>20.681162715437971</v>
      </c>
      <c r="F582" s="70">
        <f t="shared" si="57"/>
        <v>1.2557602000813937</v>
      </c>
      <c r="G582" s="67">
        <f>E582/'Lookup Tables'!$C$48</f>
        <v>41.362325430875941</v>
      </c>
      <c r="H582" s="70">
        <f t="shared" si="54"/>
        <v>1.2038910051231739E-2</v>
      </c>
      <c r="I582" s="71">
        <f t="shared" si="58"/>
        <v>5.9561748620461361E-2</v>
      </c>
      <c r="L582" s="74"/>
      <c r="M582" s="74"/>
      <c r="N582" s="74"/>
      <c r="O582" s="74"/>
      <c r="P582" s="74"/>
      <c r="Q582" s="74"/>
      <c r="R582" s="74"/>
      <c r="S582" s="74"/>
      <c r="T582" s="74"/>
      <c r="U582" s="74"/>
      <c r="V582" s="74"/>
      <c r="W582" s="74"/>
      <c r="X582" s="74"/>
      <c r="Y582" s="74"/>
      <c r="Z582" s="74"/>
    </row>
    <row r="583" spans="1:26" x14ac:dyDescent="0.3">
      <c r="A583" s="66">
        <f t="shared" si="56"/>
        <v>2047.5999999999476</v>
      </c>
      <c r="B583" s="67">
        <f>LOOKUP(A583+0.01,Amounts!$A$4:$A$103,Amounts!$B$4:$B$103)*0.1*$A$2</f>
        <v>0</v>
      </c>
      <c r="C583" s="68">
        <f t="shared" si="55"/>
        <v>902907.24633514904</v>
      </c>
      <c r="D583" s="67">
        <f t="array" ref="D583">SUM($B$7:$B578*$F$1009*EXP(-$F$1009*($A583-$A$7:$A578)))*$F$1010</f>
        <v>10772541.875353854</v>
      </c>
      <c r="E583" s="67">
        <f t="shared" ref="E583:E646" si="59">D583/(365*24*60)*1.00201</f>
        <v>20.536900084709504</v>
      </c>
      <c r="F583" s="70">
        <f t="shared" si="57"/>
        <v>1.2470005731435612</v>
      </c>
      <c r="G583" s="67">
        <f>E583/'Lookup Tables'!$C$48</f>
        <v>41.073800169419009</v>
      </c>
      <c r="H583" s="70">
        <f t="shared" ref="H583:H646" si="60">G583*60*24*365/(C583*2000)</f>
        <v>1.1954931947147794E-2</v>
      </c>
      <c r="I583" s="71">
        <f t="shared" si="58"/>
        <v>5.9146272243963377E-2</v>
      </c>
      <c r="L583" s="74"/>
      <c r="M583" s="74"/>
      <c r="N583" s="74"/>
      <c r="O583" s="74"/>
      <c r="P583" s="74"/>
      <c r="Q583" s="74"/>
      <c r="R583" s="74"/>
      <c r="S583" s="74"/>
      <c r="T583" s="74"/>
      <c r="U583" s="74"/>
      <c r="V583" s="74"/>
      <c r="W583" s="74"/>
      <c r="X583" s="74"/>
      <c r="Y583" s="74"/>
      <c r="Z583" s="74"/>
    </row>
    <row r="584" spans="1:26" x14ac:dyDescent="0.3">
      <c r="A584" s="66">
        <f t="shared" si="56"/>
        <v>2047.6999999999475</v>
      </c>
      <c r="B584" s="67">
        <f>LOOKUP(A584+0.01,Amounts!$A$4:$A$103,Amounts!$B$4:$B$103)*0.1*$A$2</f>
        <v>0</v>
      </c>
      <c r="C584" s="68">
        <f t="shared" si="55"/>
        <v>902907.24633514904</v>
      </c>
      <c r="D584" s="67">
        <f t="array" ref="D584">SUM($B$7:$B579*$F$1009*EXP(-$F$1009*($A584-$A$7:$A579)))*$F$1010</f>
        <v>10697397.394748274</v>
      </c>
      <c r="E584" s="67">
        <f t="shared" si="59"/>
        <v>20.393643766194291</v>
      </c>
      <c r="F584" s="70">
        <f t="shared" si="57"/>
        <v>1.2383020494833172</v>
      </c>
      <c r="G584" s="67">
        <f>E584/'Lookup Tables'!$C$48</f>
        <v>40.787287532388582</v>
      </c>
      <c r="H584" s="70">
        <f t="shared" si="60"/>
        <v>1.1871539637121245E-2</v>
      </c>
      <c r="I584" s="71">
        <f t="shared" si="58"/>
        <v>5.8733694046639556E-2</v>
      </c>
      <c r="L584" s="74"/>
      <c r="M584" s="74"/>
      <c r="N584" s="74"/>
      <c r="O584" s="74"/>
      <c r="P584" s="74"/>
      <c r="Q584" s="74"/>
      <c r="R584" s="74"/>
      <c r="S584" s="74"/>
      <c r="T584" s="74"/>
      <c r="U584" s="74"/>
      <c r="V584" s="74"/>
      <c r="W584" s="74"/>
      <c r="X584" s="74"/>
      <c r="Y584" s="74"/>
      <c r="Z584" s="74"/>
    </row>
    <row r="585" spans="1:26" x14ac:dyDescent="0.3">
      <c r="A585" s="66">
        <f t="shared" si="56"/>
        <v>2047.7999999999474</v>
      </c>
      <c r="B585" s="67">
        <f>LOOKUP(A585+0.01,Amounts!$A$4:$A$103,Amounts!$B$4:$B$103)*0.1*$A$2</f>
        <v>0</v>
      </c>
      <c r="C585" s="68">
        <f t="shared" ref="C585:C648" si="61">C584+B585</f>
        <v>902907.24633514904</v>
      </c>
      <c r="D585" s="67">
        <f t="array" ref="D585">SUM($B$7:$B580*$F$1009*EXP(-$F$1009*($A585-$A$7:$A580)))*$F$1010</f>
        <v>10622777.088755414</v>
      </c>
      <c r="E585" s="67">
        <f t="shared" si="59"/>
        <v>20.251386740304056</v>
      </c>
      <c r="F585" s="70">
        <f t="shared" si="57"/>
        <v>1.2296642028712623</v>
      </c>
      <c r="G585" s="67">
        <f>E585/'Lookup Tables'!$C$48</f>
        <v>40.502773480608113</v>
      </c>
      <c r="H585" s="70">
        <f t="shared" si="60"/>
        <v>1.178872903491222E-2</v>
      </c>
      <c r="I585" s="71">
        <f t="shared" si="58"/>
        <v>5.8323993812075682E-2</v>
      </c>
      <c r="L585" s="74"/>
      <c r="M585" s="74"/>
      <c r="N585" s="74"/>
      <c r="O585" s="74"/>
      <c r="P585" s="74"/>
      <c r="Q585" s="74"/>
      <c r="R585" s="74"/>
      <c r="S585" s="74"/>
      <c r="T585" s="74"/>
      <c r="U585" s="74"/>
      <c r="V585" s="74"/>
      <c r="W585" s="74"/>
      <c r="X585" s="74"/>
      <c r="Y585" s="74"/>
      <c r="Z585" s="74"/>
    </row>
    <row r="586" spans="1:26" x14ac:dyDescent="0.3">
      <c r="A586" s="66">
        <f t="shared" si="56"/>
        <v>2047.8999999999473</v>
      </c>
      <c r="B586" s="67">
        <f>LOOKUP(A586+0.01,Amounts!$A$4:$A$103,Amounts!$B$4:$B$103)*0.1*$A$2</f>
        <v>0</v>
      </c>
      <c r="C586" s="68">
        <f t="shared" si="61"/>
        <v>902907.24633514904</v>
      </c>
      <c r="D586" s="67">
        <f t="array" ref="D586">SUM($B$7:$B581*$F$1009*EXP(-$F$1009*($A586-$A$7:$A581)))*$F$1010</f>
        <v>10548677.300965343</v>
      </c>
      <c r="E586" s="67">
        <f t="shared" si="59"/>
        <v>20.110122036416065</v>
      </c>
      <c r="F586" s="70">
        <f t="shared" si="57"/>
        <v>1.2210866100511835</v>
      </c>
      <c r="G586" s="67">
        <f>E586/'Lookup Tables'!$C$48</f>
        <v>40.220244072832131</v>
      </c>
      <c r="H586" s="70">
        <f t="shared" si="60"/>
        <v>1.1706496082784637E-2</v>
      </c>
      <c r="I586" s="71">
        <f t="shared" si="58"/>
        <v>5.7917151464878275E-2</v>
      </c>
      <c r="L586" s="74"/>
      <c r="M586" s="74"/>
      <c r="N586" s="74"/>
      <c r="O586" s="74"/>
      <c r="P586" s="74"/>
      <c r="Q586" s="74"/>
      <c r="R586" s="74"/>
      <c r="S586" s="74"/>
      <c r="T586" s="74"/>
      <c r="U586" s="74"/>
      <c r="V586" s="74"/>
      <c r="W586" s="74"/>
      <c r="X586" s="74"/>
      <c r="Y586" s="74"/>
      <c r="Z586" s="74"/>
    </row>
    <row r="587" spans="1:26" x14ac:dyDescent="0.3">
      <c r="A587" s="66">
        <f t="shared" si="56"/>
        <v>2047.9999999999472</v>
      </c>
      <c r="B587" s="67">
        <f>LOOKUP(A587+0.01,Amounts!$A$4:$A$103,Amounts!$B$4:$B$103)*0.1*$A$2</f>
        <v>0</v>
      </c>
      <c r="C587" s="68">
        <f t="shared" si="61"/>
        <v>902907.24633514904</v>
      </c>
      <c r="D587" s="67">
        <f t="array" ref="D587">SUM($B$7:$B582*$F$1009*EXP(-$F$1009*($A587-$A$7:$A582)))*$F$1010</f>
        <v>10475094.400473641</v>
      </c>
      <c r="E587" s="67">
        <f t="shared" si="59"/>
        <v>19.969842732531571</v>
      </c>
      <c r="F587" s="70">
        <f t="shared" si="57"/>
        <v>1.2125688507193171</v>
      </c>
      <c r="G587" s="67">
        <f>E587/'Lookup Tables'!$C$48</f>
        <v>39.939685465063143</v>
      </c>
      <c r="H587" s="70">
        <f t="shared" si="60"/>
        <v>1.1624836751307389E-2</v>
      </c>
      <c r="I587" s="71">
        <f t="shared" si="58"/>
        <v>5.751314706969092E-2</v>
      </c>
      <c r="L587" s="74"/>
      <c r="M587" s="74"/>
      <c r="N587" s="74"/>
      <c r="O587" s="74"/>
      <c r="P587" s="74"/>
      <c r="Q587" s="74"/>
      <c r="R587" s="74"/>
      <c r="S587" s="74"/>
      <c r="T587" s="74"/>
      <c r="U587" s="74"/>
      <c r="V587" s="74"/>
      <c r="W587" s="74"/>
      <c r="X587" s="74"/>
      <c r="Y587" s="74"/>
      <c r="Z587" s="74"/>
    </row>
    <row r="588" spans="1:26" x14ac:dyDescent="0.3">
      <c r="A588" s="66">
        <f t="shared" si="56"/>
        <v>2048.0999999999472</v>
      </c>
      <c r="B588" s="67">
        <f>LOOKUP(A588+0.01,Amounts!$A$4:$A$103,Amounts!$B$4:$B$103)*0.1*$A$2</f>
        <v>0</v>
      </c>
      <c r="C588" s="68">
        <f t="shared" si="61"/>
        <v>902907.24633514904</v>
      </c>
      <c r="D588" s="67">
        <f t="array" ref="D588">SUM($B$7:$B583*$F$1009*EXP(-$F$1009*($A588-$A$7:$A583)))*$F$1010</f>
        <v>10402024.781703455</v>
      </c>
      <c r="E588" s="67">
        <f t="shared" si="59"/>
        <v>19.830541954936606</v>
      </c>
      <c r="F588" s="70">
        <f t="shared" si="57"/>
        <v>1.2041105075037508</v>
      </c>
      <c r="G588" s="67">
        <f>E588/'Lookup Tables'!$C$48</f>
        <v>39.661083909873213</v>
      </c>
      <c r="H588" s="70">
        <f t="shared" si="60"/>
        <v>1.1543747039156893E-2</v>
      </c>
      <c r="I588" s="71">
        <f t="shared" si="58"/>
        <v>5.7111960830217426E-2</v>
      </c>
      <c r="L588" s="74"/>
      <c r="M588" s="74"/>
      <c r="N588" s="74"/>
      <c r="O588" s="74"/>
      <c r="P588" s="74"/>
      <c r="Q588" s="74"/>
      <c r="R588" s="74"/>
      <c r="S588" s="74"/>
      <c r="T588" s="74"/>
      <c r="U588" s="74"/>
      <c r="V588" s="74"/>
      <c r="W588" s="74"/>
      <c r="X588" s="74"/>
      <c r="Y588" s="74"/>
      <c r="Z588" s="74"/>
    </row>
    <row r="589" spans="1:26" x14ac:dyDescent="0.3">
      <c r="A589" s="66">
        <f t="shared" si="56"/>
        <v>2048.1999999999471</v>
      </c>
      <c r="B589" s="67">
        <f>LOOKUP(A589+0.01,Amounts!$A$4:$A$103,Amounts!$B$4:$B$103)*0.1*$A$2</f>
        <v>0</v>
      </c>
      <c r="C589" s="68">
        <f t="shared" si="61"/>
        <v>902907.24633514904</v>
      </c>
      <c r="D589" s="67">
        <f t="array" ref="D589">SUM($B$7:$B584*$F$1009*EXP(-$F$1009*($A589-$A$7:$A584)))*$F$1010</f>
        <v>10329464.864228847</v>
      </c>
      <c r="E589" s="67">
        <f t="shared" si="59"/>
        <v>19.692212877865195</v>
      </c>
      <c r="F589" s="70">
        <f t="shared" si="57"/>
        <v>1.1957111659439745</v>
      </c>
      <c r="G589" s="67">
        <f>E589/'Lookup Tables'!$C$48</f>
        <v>39.384425755730391</v>
      </c>
      <c r="H589" s="70">
        <f t="shared" si="60"/>
        <v>1.1463222972921031E-2</v>
      </c>
      <c r="I589" s="71">
        <f t="shared" si="58"/>
        <v>5.671357308825177E-2</v>
      </c>
      <c r="L589" s="74"/>
      <c r="M589" s="74"/>
      <c r="N589" s="74"/>
      <c r="O589" s="74"/>
      <c r="P589" s="74"/>
      <c r="Q589" s="74"/>
      <c r="R589" s="74"/>
      <c r="S589" s="74"/>
      <c r="T589" s="74"/>
      <c r="U589" s="74"/>
      <c r="V589" s="74"/>
      <c r="W589" s="74"/>
      <c r="X589" s="74"/>
      <c r="Y589" s="74"/>
      <c r="Z589" s="74"/>
    </row>
    <row r="590" spans="1:26" x14ac:dyDescent="0.3">
      <c r="A590" s="66">
        <f t="shared" si="56"/>
        <v>2048.299999999947</v>
      </c>
      <c r="B590" s="67">
        <f>LOOKUP(A590+0.01,Amounts!$A$4:$A$103,Amounts!$B$4:$B$103)*0.1*$A$2</f>
        <v>0</v>
      </c>
      <c r="C590" s="68">
        <f t="shared" si="61"/>
        <v>902907.24633514904</v>
      </c>
      <c r="D590" s="67">
        <f t="array" ref="D590">SUM($B$7:$B585*$F$1009*EXP(-$F$1009*($A590-$A$7:$A585)))*$F$1010</f>
        <v>10257411.09259934</v>
      </c>
      <c r="E590" s="67">
        <f t="shared" si="59"/>
        <v>19.554848723164888</v>
      </c>
      <c r="F590" s="70">
        <f t="shared" si="57"/>
        <v>1.1873704144705721</v>
      </c>
      <c r="G590" s="67">
        <f>E590/'Lookup Tables'!$C$48</f>
        <v>39.109697446329776</v>
      </c>
      <c r="H590" s="70">
        <f t="shared" si="60"/>
        <v>1.1383260606904439E-2</v>
      </c>
      <c r="I590" s="71">
        <f t="shared" si="58"/>
        <v>5.6317964322714874E-2</v>
      </c>
      <c r="L590" s="74"/>
      <c r="M590" s="74"/>
      <c r="N590" s="74"/>
      <c r="O590" s="74"/>
      <c r="P590" s="74"/>
      <c r="Q590" s="74"/>
      <c r="R590" s="74"/>
      <c r="S590" s="74"/>
      <c r="T590" s="74"/>
      <c r="U590" s="74"/>
      <c r="V590" s="74"/>
      <c r="W590" s="74"/>
      <c r="X590" s="74"/>
      <c r="Y590" s="74"/>
      <c r="Z590" s="74"/>
    </row>
    <row r="591" spans="1:26" x14ac:dyDescent="0.3">
      <c r="A591" s="66">
        <f t="shared" si="56"/>
        <v>2048.3999999999469</v>
      </c>
      <c r="B591" s="67">
        <f>LOOKUP(A591+0.01,Amounts!$A$4:$A$103,Amounts!$B$4:$B$103)*0.1*$A$2</f>
        <v>0</v>
      </c>
      <c r="C591" s="68">
        <f t="shared" si="61"/>
        <v>902907.24633514904</v>
      </c>
      <c r="D591" s="67">
        <f t="array" ref="D591">SUM($B$7:$B586*$F$1009*EXP(-$F$1009*($A591-$A$7:$A586)))*$F$1010</f>
        <v>10185859.936165713</v>
      </c>
      <c r="E591" s="67">
        <f t="shared" si="59"/>
        <v>19.418442759964623</v>
      </c>
      <c r="F591" s="70">
        <f t="shared" si="57"/>
        <v>1.1790878443850519</v>
      </c>
      <c r="G591" s="67">
        <f>E591/'Lookup Tables'!$C$48</f>
        <v>38.836885519929247</v>
      </c>
      <c r="H591" s="70">
        <f t="shared" si="60"/>
        <v>1.1303856022935193E-2</v>
      </c>
      <c r="I591" s="71">
        <f t="shared" si="58"/>
        <v>5.5925115148698114E-2</v>
      </c>
      <c r="L591" s="74"/>
      <c r="M591" s="74"/>
      <c r="N591" s="74"/>
      <c r="O591" s="74"/>
      <c r="P591" s="74"/>
      <c r="Q591" s="74"/>
      <c r="R591" s="74"/>
      <c r="S591" s="74"/>
      <c r="T591" s="74"/>
      <c r="U591" s="74"/>
      <c r="V591" s="74"/>
      <c r="W591" s="74"/>
      <c r="X591" s="74"/>
      <c r="Y591" s="74"/>
      <c r="Z591" s="74"/>
    </row>
    <row r="592" spans="1:26" x14ac:dyDescent="0.3">
      <c r="A592" s="66">
        <f t="shared" si="56"/>
        <v>2048.4999999999468</v>
      </c>
      <c r="B592" s="67">
        <f>LOOKUP(A592+0.01,Amounts!$A$4:$A$103,Amounts!$B$4:$B$103)*0.1*$A$2</f>
        <v>0</v>
      </c>
      <c r="C592" s="68">
        <f t="shared" si="61"/>
        <v>902907.24633514904</v>
      </c>
      <c r="D592" s="67">
        <f t="array" ref="D592">SUM($B$7:$B587*$F$1009*EXP(-$F$1009*($A592-$A$7:$A587)))*$F$1010</f>
        <v>10114807.888906978</v>
      </c>
      <c r="E592" s="67">
        <f t="shared" si="59"/>
        <v>19.282988304344904</v>
      </c>
      <c r="F592" s="70">
        <f t="shared" si="57"/>
        <v>1.1708630498398225</v>
      </c>
      <c r="G592" s="67">
        <f>E592/'Lookup Tables'!$C$48</f>
        <v>38.565976608689809</v>
      </c>
      <c r="H592" s="70">
        <f t="shared" si="60"/>
        <v>1.1225005330172788E-2</v>
      </c>
      <c r="I592" s="71">
        <f t="shared" si="58"/>
        <v>5.5535006316513334E-2</v>
      </c>
      <c r="L592" s="74"/>
      <c r="M592" s="74"/>
      <c r="N592" s="74"/>
      <c r="O592" s="74"/>
      <c r="P592" s="74"/>
      <c r="Q592" s="74"/>
      <c r="R592" s="74"/>
      <c r="S592" s="74"/>
      <c r="T592" s="74"/>
      <c r="U592" s="74"/>
      <c r="V592" s="74"/>
      <c r="W592" s="74"/>
      <c r="X592" s="74"/>
      <c r="Y592" s="74"/>
      <c r="Z592" s="74"/>
    </row>
    <row r="593" spans="1:26" x14ac:dyDescent="0.3">
      <c r="A593" s="66">
        <f t="shared" si="56"/>
        <v>2048.5999999999467</v>
      </c>
      <c r="B593" s="67">
        <f>LOOKUP(A593+0.01,Amounts!$A$4:$A$103,Amounts!$B$4:$B$103)*0.1*$A$2</f>
        <v>0</v>
      </c>
      <c r="C593" s="68">
        <f t="shared" si="61"/>
        <v>902907.24633514904</v>
      </c>
      <c r="D593" s="67">
        <f t="array" ref="D593">SUM($B$7:$B588*$F$1009*EXP(-$F$1009*($A593-$A$7:$A588)))*$F$1010</f>
        <v>10044251.469258608</v>
      </c>
      <c r="E593" s="67">
        <f t="shared" si="59"/>
        <v>19.14847871901031</v>
      </c>
      <c r="F593" s="70">
        <f t="shared" si="57"/>
        <v>1.162695627818306</v>
      </c>
      <c r="G593" s="67">
        <f>E593/'Lookup Tables'!$C$48</f>
        <v>38.29695743802062</v>
      </c>
      <c r="H593" s="70">
        <f t="shared" si="60"/>
        <v>1.11467046649175E-2</v>
      </c>
      <c r="I593" s="71">
        <f t="shared" si="58"/>
        <v>5.5147618710749698E-2</v>
      </c>
      <c r="L593" s="74"/>
      <c r="M593" s="74"/>
      <c r="N593" s="74"/>
      <c r="O593" s="74"/>
      <c r="P593" s="74"/>
      <c r="Q593" s="74"/>
      <c r="R593" s="74"/>
      <c r="S593" s="74"/>
      <c r="T593" s="74"/>
      <c r="U593" s="74"/>
      <c r="V593" s="74"/>
      <c r="W593" s="74"/>
      <c r="X593" s="74"/>
      <c r="Y593" s="74"/>
      <c r="Z593" s="74"/>
    </row>
    <row r="594" spans="1:26" x14ac:dyDescent="0.3">
      <c r="A594" s="66">
        <f t="shared" si="56"/>
        <v>2048.6999999999466</v>
      </c>
      <c r="B594" s="67">
        <f>LOOKUP(A594+0.01,Amounts!$A$4:$A$103,Amounts!$B$4:$B$103)*0.1*$A$2</f>
        <v>0</v>
      </c>
      <c r="C594" s="68">
        <f t="shared" si="61"/>
        <v>902907.24633514904</v>
      </c>
      <c r="D594" s="67">
        <f t="array" ref="D594">SUM($B$7:$B589*$F$1009*EXP(-$F$1009*($A594-$A$7:$A589)))*$F$1010</f>
        <v>9974187.2199419215</v>
      </c>
      <c r="E594" s="67">
        <f t="shared" si="59"/>
        <v>19.014907412964241</v>
      </c>
      <c r="F594" s="70">
        <f t="shared" si="57"/>
        <v>1.1545851781151886</v>
      </c>
      <c r="G594" s="67">
        <f>E594/'Lookup Tables'!$C$48</f>
        <v>38.029814825928483</v>
      </c>
      <c r="H594" s="70">
        <f t="shared" si="60"/>
        <v>1.1068950190421062E-2</v>
      </c>
      <c r="I594" s="71">
        <f t="shared" si="58"/>
        <v>5.4762933349337017E-2</v>
      </c>
      <c r="L594" s="74"/>
      <c r="M594" s="74"/>
      <c r="N594" s="74"/>
      <c r="O594" s="74"/>
      <c r="P594" s="74"/>
      <c r="Q594" s="74"/>
      <c r="R594" s="74"/>
      <c r="S594" s="74"/>
      <c r="T594" s="74"/>
      <c r="U594" s="74"/>
      <c r="V594" s="74"/>
      <c r="W594" s="74"/>
      <c r="X594" s="74"/>
      <c r="Y594" s="74"/>
      <c r="Z594" s="74"/>
    </row>
    <row r="595" spans="1:26" x14ac:dyDescent="0.3">
      <c r="A595" s="66">
        <f t="shared" ref="A595:A658" si="62">A594+0.1</f>
        <v>2048.7999999999465</v>
      </c>
      <c r="B595" s="67">
        <f>LOOKUP(A595+0.01,Amounts!$A$4:$A$103,Amounts!$B$4:$B$103)*0.1*$A$2</f>
        <v>0</v>
      </c>
      <c r="C595" s="68">
        <f t="shared" si="61"/>
        <v>902907.24633514904</v>
      </c>
      <c r="D595" s="67">
        <f t="array" ref="D595">SUM($B$7:$B590*$F$1009*EXP(-$F$1009*($A595-$A$7:$A590)))*$F$1010</f>
        <v>9904611.7077946812</v>
      </c>
      <c r="E595" s="67">
        <f t="shared" si="59"/>
        <v>18.882267841185975</v>
      </c>
      <c r="F595" s="70">
        <f t="shared" ref="F595:F658" si="63">E595*60*1012/1000000</f>
        <v>1.1465313033168123</v>
      </c>
      <c r="G595" s="67">
        <f>E595/'Lookup Tables'!$C$48</f>
        <v>37.76453568237195</v>
      </c>
      <c r="H595" s="70">
        <f t="shared" si="60"/>
        <v>1.0991738096698671E-2</v>
      </c>
      <c r="I595" s="71">
        <f t="shared" ref="I595:I658" si="64">G595*60*24/1000000</f>
        <v>5.4380931382615606E-2</v>
      </c>
      <c r="L595" s="74"/>
      <c r="M595" s="74"/>
      <c r="N595" s="74"/>
      <c r="O595" s="74"/>
      <c r="P595" s="74"/>
      <c r="Q595" s="74"/>
      <c r="R595" s="74"/>
      <c r="S595" s="74"/>
      <c r="T595" s="74"/>
      <c r="U595" s="74"/>
      <c r="V595" s="74"/>
      <c r="W595" s="74"/>
      <c r="X595" s="74"/>
      <c r="Y595" s="74"/>
      <c r="Z595" s="74"/>
    </row>
    <row r="596" spans="1:26" x14ac:dyDescent="0.3">
      <c r="A596" s="66">
        <f t="shared" si="62"/>
        <v>2048.8999999999464</v>
      </c>
      <c r="B596" s="67">
        <f>LOOKUP(A596+0.01,Amounts!$A$4:$A$103,Amounts!$B$4:$B$103)*0.1*$A$2</f>
        <v>0</v>
      </c>
      <c r="C596" s="68">
        <f t="shared" si="61"/>
        <v>902907.24633514904</v>
      </c>
      <c r="D596" s="67">
        <f t="array" ref="D596">SUM($B$7:$B591*$F$1009*EXP(-$F$1009*($A596-$A$7:$A591)))*$F$1010</f>
        <v>9835521.5236028749</v>
      </c>
      <c r="E596" s="67">
        <f t="shared" si="59"/>
        <v>18.750553504309966</v>
      </c>
      <c r="F596" s="70">
        <f t="shared" si="63"/>
        <v>1.1385336087817013</v>
      </c>
      <c r="G596" s="67">
        <f>E596/'Lookup Tables'!$C$48</f>
        <v>37.501107008619933</v>
      </c>
      <c r="H596" s="70">
        <f t="shared" si="60"/>
        <v>1.0915064600342287E-2</v>
      </c>
      <c r="I596" s="71">
        <f t="shared" si="64"/>
        <v>5.4001594092412709E-2</v>
      </c>
      <c r="L596" s="74"/>
      <c r="M596" s="74"/>
      <c r="N596" s="74"/>
      <c r="O596" s="74"/>
      <c r="P596" s="74"/>
      <c r="Q596" s="74"/>
      <c r="R596" s="74"/>
      <c r="S596" s="74"/>
      <c r="T596" s="74"/>
      <c r="U596" s="74"/>
      <c r="V596" s="74"/>
      <c r="W596" s="74"/>
      <c r="X596" s="74"/>
      <c r="Y596" s="74"/>
      <c r="Z596" s="74"/>
    </row>
    <row r="597" spans="1:26" x14ac:dyDescent="0.3">
      <c r="A597" s="66">
        <f t="shared" si="62"/>
        <v>2048.9999999999463</v>
      </c>
      <c r="B597" s="67">
        <f>LOOKUP(A597+0.01,Amounts!$A$4:$A$103,Amounts!$B$4:$B$103)*0.1*$A$2</f>
        <v>0</v>
      </c>
      <c r="C597" s="68">
        <f t="shared" si="61"/>
        <v>902907.24633514904</v>
      </c>
      <c r="D597" s="67">
        <f t="array" ref="D597">SUM($B$7:$B592*$F$1009*EXP(-$F$1009*($A597-$A$7:$A592)))*$F$1010</f>
        <v>9766913.2819336504</v>
      </c>
      <c r="E597" s="67">
        <f t="shared" si="59"/>
        <v>18.619757948307338</v>
      </c>
      <c r="F597" s="70">
        <f t="shared" si="63"/>
        <v>1.1305917026212216</v>
      </c>
      <c r="G597" s="67">
        <f>E597/'Lookup Tables'!$C$48</f>
        <v>37.239515896614677</v>
      </c>
      <c r="H597" s="70">
        <f t="shared" si="60"/>
        <v>1.0838925944335241E-2</v>
      </c>
      <c r="I597" s="71">
        <f t="shared" si="64"/>
        <v>5.3624902891125134E-2</v>
      </c>
      <c r="L597" s="74"/>
      <c r="M597" s="74"/>
      <c r="N597" s="74"/>
      <c r="O597" s="74"/>
      <c r="P597" s="74"/>
      <c r="Q597" s="74"/>
      <c r="R597" s="74"/>
      <c r="S597" s="74"/>
      <c r="T597" s="74"/>
      <c r="U597" s="74"/>
      <c r="V597" s="74"/>
      <c r="W597" s="74"/>
      <c r="X597" s="74"/>
      <c r="Y597" s="74"/>
      <c r="Z597" s="74"/>
    </row>
    <row r="598" spans="1:26" x14ac:dyDescent="0.3">
      <c r="A598" s="66">
        <f t="shared" si="62"/>
        <v>2049.0999999999462</v>
      </c>
      <c r="B598" s="67">
        <f>LOOKUP(A598+0.01,Amounts!$A$4:$A$103,Amounts!$B$4:$B$103)*0.1*$A$2</f>
        <v>0</v>
      </c>
      <c r="C598" s="68">
        <f t="shared" si="61"/>
        <v>902907.24633514904</v>
      </c>
      <c r="D598" s="67">
        <f t="array" ref="D598">SUM($B$7:$B593*$F$1009*EXP(-$F$1009*($A598-$A$7:$A593)))*$F$1010</f>
        <v>9698783.6209694371</v>
      </c>
      <c r="E598" s="67">
        <f t="shared" si="59"/>
        <v>18.489874764169684</v>
      </c>
      <c r="F598" s="70">
        <f t="shared" si="63"/>
        <v>1.1227051956803831</v>
      </c>
      <c r="G598" s="67">
        <f>E598/'Lookup Tables'!$C$48</f>
        <v>36.979749528339369</v>
      </c>
      <c r="H598" s="70">
        <f t="shared" si="60"/>
        <v>1.0763318397868158E-2</v>
      </c>
      <c r="I598" s="71">
        <f t="shared" si="64"/>
        <v>5.3250839320808686E-2</v>
      </c>
      <c r="L598" s="74"/>
      <c r="M598" s="74"/>
      <c r="N598" s="74"/>
      <c r="O598" s="74"/>
      <c r="P598" s="74"/>
      <c r="Q598" s="74"/>
      <c r="R598" s="74"/>
      <c r="S598" s="74"/>
      <c r="T598" s="74"/>
      <c r="U598" s="74"/>
      <c r="V598" s="74"/>
      <c r="W598" s="74"/>
      <c r="X598" s="74"/>
      <c r="Y598" s="74"/>
      <c r="Z598" s="74"/>
    </row>
    <row r="599" spans="1:26" x14ac:dyDescent="0.3">
      <c r="A599" s="66">
        <f t="shared" si="62"/>
        <v>2049.1999999999462</v>
      </c>
      <c r="B599" s="67">
        <f>LOOKUP(A599+0.01,Amounts!$A$4:$A$103,Amounts!$B$4:$B$103)*0.1*$A$2</f>
        <v>0</v>
      </c>
      <c r="C599" s="68">
        <f t="shared" si="61"/>
        <v>902907.24633514904</v>
      </c>
      <c r="D599" s="67">
        <f t="array" ref="D599">SUM($B$7:$B594*$F$1009*EXP(-$F$1009*($A599-$A$7:$A594)))*$F$1010</f>
        <v>9631129.2023432199</v>
      </c>
      <c r="E599" s="67">
        <f t="shared" si="59"/>
        <v>18.360897587594998</v>
      </c>
      <c r="F599" s="70">
        <f t="shared" si="63"/>
        <v>1.1148737015187682</v>
      </c>
      <c r="G599" s="67">
        <f>E599/'Lookup Tables'!$C$48</f>
        <v>36.721795175189996</v>
      </c>
      <c r="H599" s="70">
        <f t="shared" si="60"/>
        <v>1.0688238256156135E-2</v>
      </c>
      <c r="I599" s="71">
        <f t="shared" si="64"/>
        <v>5.2879385052273596E-2</v>
      </c>
      <c r="L599" s="74"/>
      <c r="M599" s="74"/>
      <c r="N599" s="74"/>
      <c r="O599" s="74"/>
      <c r="P599" s="74"/>
      <c r="Q599" s="74"/>
      <c r="R599" s="74"/>
      <c r="S599" s="74"/>
      <c r="T599" s="74"/>
      <c r="U599" s="74"/>
      <c r="V599" s="74"/>
      <c r="W599" s="74"/>
      <c r="X599" s="74"/>
      <c r="Y599" s="74"/>
      <c r="Z599" s="74"/>
    </row>
    <row r="600" spans="1:26" x14ac:dyDescent="0.3">
      <c r="A600" s="66">
        <f t="shared" si="62"/>
        <v>2049.2999999999461</v>
      </c>
      <c r="B600" s="67">
        <f>LOOKUP(A600+0.01,Amounts!$A$4:$A$103,Amounts!$B$4:$B$103)*0.1*$A$2</f>
        <v>0</v>
      </c>
      <c r="C600" s="68">
        <f t="shared" si="61"/>
        <v>902907.24633514904</v>
      </c>
      <c r="D600" s="67">
        <f t="array" ref="D600">SUM($B$7:$B595*$F$1009*EXP(-$F$1009*($A600-$A$7:$A595)))*$F$1010</f>
        <v>9563946.7109749503</v>
      </c>
      <c r="E600" s="67">
        <f t="shared" si="59"/>
        <v>18.232820098675816</v>
      </c>
      <c r="F600" s="70">
        <f t="shared" si="63"/>
        <v>1.1070968363915956</v>
      </c>
      <c r="G600" s="67">
        <f>E600/'Lookup Tables'!$C$48</f>
        <v>36.465640197351632</v>
      </c>
      <c r="H600" s="70">
        <f t="shared" si="60"/>
        <v>1.0613681840257204E-2</v>
      </c>
      <c r="I600" s="71">
        <f t="shared" si="64"/>
        <v>5.2510521884186354E-2</v>
      </c>
      <c r="L600" s="74"/>
      <c r="M600" s="74"/>
      <c r="N600" s="74"/>
      <c r="O600" s="74"/>
      <c r="P600" s="74"/>
      <c r="Q600" s="74"/>
      <c r="R600" s="74"/>
      <c r="S600" s="74"/>
      <c r="T600" s="74"/>
      <c r="U600" s="74"/>
      <c r="V600" s="74"/>
      <c r="W600" s="74"/>
      <c r="X600" s="74"/>
      <c r="Y600" s="74"/>
      <c r="Z600" s="74"/>
    </row>
    <row r="601" spans="1:26" x14ac:dyDescent="0.3">
      <c r="A601" s="66">
        <f t="shared" si="62"/>
        <v>2049.399999999946</v>
      </c>
      <c r="B601" s="67">
        <f>LOOKUP(A601+0.01,Amounts!$A$4:$A$103,Amounts!$B$4:$B$103)*0.1*$A$2</f>
        <v>0</v>
      </c>
      <c r="C601" s="68">
        <f t="shared" si="61"/>
        <v>902907.24633514904</v>
      </c>
      <c r="D601" s="67">
        <f t="array" ref="D601">SUM($B$7:$B596*$F$1009*EXP(-$F$1009*($A601-$A$7:$A596)))*$F$1010</f>
        <v>9497232.8549091071</v>
      </c>
      <c r="E601" s="67">
        <f t="shared" si="59"/>
        <v>18.105636021589564</v>
      </c>
      <c r="F601" s="70">
        <f t="shared" si="63"/>
        <v>1.0993742192309182</v>
      </c>
      <c r="G601" s="67">
        <f>E601/'Lookup Tables'!$C$48</f>
        <v>36.211272043179129</v>
      </c>
      <c r="H601" s="70">
        <f t="shared" si="60"/>
        <v>1.0539645496892073E-2</v>
      </c>
      <c r="I601" s="71">
        <f t="shared" si="64"/>
        <v>5.2144231742177943E-2</v>
      </c>
      <c r="L601" s="74"/>
      <c r="M601" s="74"/>
      <c r="N601" s="74"/>
      <c r="O601" s="74"/>
      <c r="P601" s="74"/>
      <c r="Q601" s="74"/>
      <c r="R601" s="74"/>
      <c r="S601" s="74"/>
      <c r="T601" s="74"/>
      <c r="U601" s="74"/>
      <c r="V601" s="74"/>
      <c r="W601" s="74"/>
      <c r="X601" s="74"/>
      <c r="Y601" s="74"/>
      <c r="Z601" s="74"/>
    </row>
    <row r="602" spans="1:26" x14ac:dyDescent="0.3">
      <c r="A602" s="66">
        <f t="shared" si="62"/>
        <v>2049.4999999999459</v>
      </c>
      <c r="B602" s="67">
        <f>LOOKUP(A602+0.01,Amounts!$A$4:$A$103,Amounts!$B$4:$B$103)*0.1*$A$2</f>
        <v>0</v>
      </c>
      <c r="C602" s="68">
        <f t="shared" si="61"/>
        <v>902907.24633514904</v>
      </c>
      <c r="D602" s="67">
        <f t="array" ref="D602">SUM($B$7:$B597*$F$1009*EXP(-$F$1009*($A602-$A$7:$A597)))*$F$1010</f>
        <v>9430984.3651533946</v>
      </c>
      <c r="E602" s="67">
        <f t="shared" si="59"/>
        <v>17.979339124291005</v>
      </c>
      <c r="F602" s="70">
        <f t="shared" si="63"/>
        <v>1.0917054716269496</v>
      </c>
      <c r="G602" s="67">
        <f>E602/'Lookup Tables'!$C$48</f>
        <v>35.958678248582011</v>
      </c>
      <c r="H602" s="70">
        <f t="shared" si="60"/>
        <v>1.0466125598265097E-2</v>
      </c>
      <c r="I602" s="71">
        <f t="shared" si="64"/>
        <v>5.1780496677958095E-2</v>
      </c>
      <c r="L602" s="74"/>
      <c r="M602" s="74"/>
      <c r="N602" s="74"/>
      <c r="O602" s="74"/>
      <c r="P602" s="74"/>
      <c r="Q602" s="74"/>
      <c r="R602" s="74"/>
      <c r="S602" s="74"/>
      <c r="T602" s="74"/>
      <c r="U602" s="74"/>
      <c r="V602" s="74"/>
      <c r="W602" s="74"/>
      <c r="X602" s="74"/>
      <c r="Y602" s="74"/>
      <c r="Z602" s="74"/>
    </row>
    <row r="603" spans="1:26" x14ac:dyDescent="0.3">
      <c r="A603" s="66">
        <f t="shared" si="62"/>
        <v>2049.5999999999458</v>
      </c>
      <c r="B603" s="67">
        <f>LOOKUP(A603+0.01,Amounts!$A$4:$A$103,Amounts!$B$4:$B$103)*0.1*$A$2</f>
        <v>0</v>
      </c>
      <c r="C603" s="68">
        <f t="shared" si="61"/>
        <v>902907.24633514904</v>
      </c>
      <c r="D603" s="67">
        <f t="array" ref="D603">SUM($B$7:$B598*$F$1009*EXP(-$F$1009*($A603-$A$7:$A598)))*$F$1010</f>
        <v>9365197.9955185596</v>
      </c>
      <c r="E603" s="67">
        <f t="shared" si="59"/>
        <v>17.853923218206912</v>
      </c>
      <c r="F603" s="70">
        <f t="shared" si="63"/>
        <v>1.0840902178095237</v>
      </c>
      <c r="G603" s="67">
        <f>E603/'Lookup Tables'!$C$48</f>
        <v>35.707846436413824</v>
      </c>
      <c r="H603" s="70">
        <f t="shared" si="60"/>
        <v>1.0393118541886539E-2</v>
      </c>
      <c r="I603" s="71">
        <f t="shared" si="64"/>
        <v>5.1419298868435916E-2</v>
      </c>
      <c r="L603" s="74"/>
      <c r="M603" s="74"/>
      <c r="N603" s="74"/>
      <c r="O603" s="74"/>
      <c r="P603" s="74"/>
      <c r="Q603" s="74"/>
      <c r="R603" s="74"/>
      <c r="S603" s="74"/>
      <c r="T603" s="74"/>
      <c r="U603" s="74"/>
      <c r="V603" s="74"/>
      <c r="W603" s="74"/>
      <c r="X603" s="74"/>
      <c r="Y603" s="74"/>
      <c r="Z603" s="74"/>
    </row>
    <row r="604" spans="1:26" x14ac:dyDescent="0.3">
      <c r="A604" s="66">
        <f t="shared" si="62"/>
        <v>2049.6999999999457</v>
      </c>
      <c r="B604" s="67">
        <f>LOOKUP(A604+0.01,Amounts!$A$4:$A$103,Amounts!$B$4:$B$103)*0.1*$A$2</f>
        <v>0</v>
      </c>
      <c r="C604" s="68">
        <f t="shared" si="61"/>
        <v>902907.24633514904</v>
      </c>
      <c r="D604" s="67">
        <f t="array" ref="D604">SUM($B$7:$B599*$F$1009*EXP(-$F$1009*($A604-$A$7:$A599)))*$F$1010</f>
        <v>9299870.5224593282</v>
      </c>
      <c r="E604" s="67">
        <f t="shared" si="59"/>
        <v>17.729382157932786</v>
      </c>
      <c r="F604" s="70">
        <f t="shared" si="63"/>
        <v>1.076528084629679</v>
      </c>
      <c r="G604" s="67">
        <f>E604/'Lookup Tables'!$C$48</f>
        <v>35.458764315865572</v>
      </c>
      <c r="H604" s="70">
        <f t="shared" si="60"/>
        <v>1.0320620750396024E-2</v>
      </c>
      <c r="I604" s="71">
        <f t="shared" si="64"/>
        <v>5.1060620614846425E-2</v>
      </c>
      <c r="L604" s="74"/>
      <c r="M604" s="74"/>
      <c r="N604" s="74"/>
      <c r="O604" s="74"/>
      <c r="P604" s="74"/>
      <c r="Q604" s="74"/>
      <c r="R604" s="74"/>
      <c r="S604" s="74"/>
      <c r="T604" s="74"/>
      <c r="U604" s="74"/>
      <c r="V604" s="74"/>
      <c r="W604" s="74"/>
      <c r="X604" s="74"/>
      <c r="Y604" s="74"/>
      <c r="Z604" s="74"/>
    </row>
    <row r="605" spans="1:26" x14ac:dyDescent="0.3">
      <c r="A605" s="66">
        <f t="shared" si="62"/>
        <v>2049.7999999999456</v>
      </c>
      <c r="B605" s="67">
        <f>LOOKUP(A605+0.01,Amounts!$A$4:$A$103,Amounts!$B$4:$B$103)*0.1*$A$2</f>
        <v>0</v>
      </c>
      <c r="C605" s="68">
        <f t="shared" si="61"/>
        <v>902907.24633514904</v>
      </c>
      <c r="D605" s="67">
        <f t="array" ref="D605">SUM($B$7:$B600*$F$1009*EXP(-$F$1009*($A605-$A$7:$A600)))*$F$1010</f>
        <v>9234998.7449164484</v>
      </c>
      <c r="E605" s="67">
        <f t="shared" si="59"/>
        <v>17.605709840931755</v>
      </c>
      <c r="F605" s="70">
        <f t="shared" si="63"/>
        <v>1.0690187015413763</v>
      </c>
      <c r="G605" s="67">
        <f>E605/'Lookup Tables'!$C$48</f>
        <v>35.211419681863511</v>
      </c>
      <c r="H605" s="70">
        <f t="shared" si="60"/>
        <v>1.0248628671387263E-2</v>
      </c>
      <c r="I605" s="71">
        <f t="shared" si="64"/>
        <v>5.0704444341883453E-2</v>
      </c>
      <c r="L605" s="74"/>
      <c r="M605" s="74"/>
      <c r="N605" s="74"/>
      <c r="O605" s="74"/>
      <c r="P605" s="74"/>
      <c r="Q605" s="74"/>
      <c r="R605" s="74"/>
      <c r="S605" s="74"/>
      <c r="T605" s="74"/>
      <c r="U605" s="74"/>
      <c r="V605" s="74"/>
      <c r="W605" s="74"/>
      <c r="X605" s="74"/>
      <c r="Y605" s="74"/>
      <c r="Z605" s="74"/>
    </row>
    <row r="606" spans="1:26" x14ac:dyDescent="0.3">
      <c r="A606" s="66">
        <f t="shared" si="62"/>
        <v>2049.8999999999455</v>
      </c>
      <c r="B606" s="67">
        <f>LOOKUP(A606+0.01,Amounts!$A$4:$A$103,Amounts!$B$4:$B$103)*0.1*$A$2</f>
        <v>0</v>
      </c>
      <c r="C606" s="68">
        <f t="shared" si="61"/>
        <v>902907.24633514904</v>
      </c>
      <c r="D606" s="67">
        <f t="array" ref="D606">SUM($B$7:$B601*$F$1009*EXP(-$F$1009*($A606-$A$7:$A601)))*$F$1010</f>
        <v>9170579.4841598403</v>
      </c>
      <c r="E606" s="67">
        <f t="shared" si="59"/>
        <v>17.482900207235542</v>
      </c>
      <c r="F606" s="70">
        <f t="shared" si="63"/>
        <v>1.061561700583342</v>
      </c>
      <c r="G606" s="67">
        <f>E606/'Lookup Tables'!$C$48</f>
        <v>34.965800414471083</v>
      </c>
      <c r="H606" s="70">
        <f t="shared" si="60"/>
        <v>1.0177138777233981E-2</v>
      </c>
      <c r="I606" s="71">
        <f t="shared" si="64"/>
        <v>5.0350752596838355E-2</v>
      </c>
      <c r="L606" s="74"/>
      <c r="M606" s="74"/>
      <c r="N606" s="74"/>
      <c r="O606" s="74"/>
      <c r="P606" s="74"/>
      <c r="Q606" s="74"/>
      <c r="R606" s="74"/>
      <c r="S606" s="74"/>
      <c r="T606" s="74"/>
      <c r="U606" s="74"/>
      <c r="V606" s="74"/>
      <c r="W606" s="74"/>
      <c r="X606" s="74"/>
      <c r="Y606" s="74"/>
      <c r="Z606" s="74"/>
    </row>
    <row r="607" spans="1:26" x14ac:dyDescent="0.3">
      <c r="A607" s="66">
        <f t="shared" si="62"/>
        <v>2049.9999999999454</v>
      </c>
      <c r="B607" s="67">
        <f>LOOKUP(A607+0.01,Amounts!$A$4:$A$103,Amounts!$B$4:$B$103)*0.1*$A$2</f>
        <v>0</v>
      </c>
      <c r="C607" s="68">
        <f t="shared" si="61"/>
        <v>902907.24633514904</v>
      </c>
      <c r="D607" s="67">
        <f t="array" ref="D607">SUM($B$7:$B602*$F$1009*EXP(-$F$1009*($A607-$A$7:$A602)))*$F$1010</f>
        <v>9106609.583632838</v>
      </c>
      <c r="E607" s="67">
        <f t="shared" si="59"/>
        <v>17.360947239147528</v>
      </c>
      <c r="F607" s="70">
        <f t="shared" si="63"/>
        <v>1.0541567163610379</v>
      </c>
      <c r="G607" s="67">
        <f>E607/'Lookup Tables'!$C$48</f>
        <v>34.721894478295056</v>
      </c>
      <c r="H607" s="70">
        <f t="shared" si="60"/>
        <v>1.0106147564917067E-2</v>
      </c>
      <c r="I607" s="71">
        <f t="shared" si="64"/>
        <v>4.9999528048744878E-2</v>
      </c>
      <c r="L607" s="74"/>
      <c r="M607" s="74"/>
      <c r="N607" s="74"/>
      <c r="O607" s="74"/>
      <c r="P607" s="74"/>
      <c r="Q607" s="74"/>
      <c r="R607" s="74"/>
      <c r="S607" s="74"/>
      <c r="T607" s="74"/>
      <c r="U607" s="74"/>
      <c r="V607" s="74"/>
      <c r="W607" s="74"/>
      <c r="X607" s="74"/>
      <c r="Y607" s="74"/>
      <c r="Z607" s="74"/>
    </row>
    <row r="608" spans="1:26" x14ac:dyDescent="0.3">
      <c r="A608" s="66">
        <f t="shared" si="62"/>
        <v>2050.0999999999453</v>
      </c>
      <c r="B608" s="67">
        <f>LOOKUP(A608+0.01,Amounts!$A$4:$A$103,Amounts!$B$4:$B$103)*0.1*$A$2</f>
        <v>0</v>
      </c>
      <c r="C608" s="68">
        <f t="shared" si="61"/>
        <v>902907.24633514904</v>
      </c>
      <c r="D608" s="67">
        <f t="array" ref="D608">SUM($B$7:$B603*$F$1009*EXP(-$F$1009*($A608-$A$7:$A603)))*$F$1010</f>
        <v>9043085.9087975193</v>
      </c>
      <c r="E608" s="67">
        <f t="shared" si="59"/>
        <v>17.239844960947874</v>
      </c>
      <c r="F608" s="70">
        <f t="shared" si="63"/>
        <v>1.0468033860287549</v>
      </c>
      <c r="G608" s="67">
        <f>E608/'Lookup Tables'!$C$48</f>
        <v>34.479689921895748</v>
      </c>
      <c r="H608" s="70">
        <f t="shared" si="60"/>
        <v>1.0035651555852905E-2</v>
      </c>
      <c r="I608" s="71">
        <f t="shared" si="64"/>
        <v>4.9650753487529876E-2</v>
      </c>
      <c r="L608" s="74"/>
      <c r="M608" s="74"/>
      <c r="N608" s="74"/>
      <c r="O608" s="74"/>
      <c r="P608" s="74"/>
      <c r="Q608" s="74"/>
      <c r="R608" s="74"/>
      <c r="S608" s="74"/>
      <c r="T608" s="74"/>
      <c r="U608" s="74"/>
      <c r="V608" s="74"/>
      <c r="W608" s="74"/>
      <c r="X608" s="74"/>
      <c r="Y608" s="74"/>
      <c r="Z608" s="74"/>
    </row>
    <row r="609" spans="1:26" x14ac:dyDescent="0.3">
      <c r="A609" s="66">
        <f t="shared" si="62"/>
        <v>2050.1999999999452</v>
      </c>
      <c r="B609" s="67">
        <f>LOOKUP(A609+0.01,Amounts!$A$4:$A$103,Amounts!$B$4:$B$103)*0.1*$A$2</f>
        <v>0</v>
      </c>
      <c r="C609" s="68">
        <f t="shared" si="61"/>
        <v>902907.24633514904</v>
      </c>
      <c r="D609" s="67">
        <f t="array" ref="D609">SUM($B$7:$B604*$F$1009*EXP(-$F$1009*($A609-$A$7:$A604)))*$F$1010</f>
        <v>8980005.3469811007</v>
      </c>
      <c r="E609" s="67">
        <f t="shared" si="59"/>
        <v>17.119587438600711</v>
      </c>
      <c r="F609" s="70">
        <f t="shared" si="63"/>
        <v>1.039501349271835</v>
      </c>
      <c r="G609" s="67">
        <f>E609/'Lookup Tables'!$C$48</f>
        <v>34.239174877201421</v>
      </c>
      <c r="H609" s="70">
        <f t="shared" si="60"/>
        <v>9.965647295722949E-3</v>
      </c>
      <c r="I609" s="71">
        <f t="shared" si="64"/>
        <v>4.9304411823170038E-2</v>
      </c>
      <c r="L609" s="74"/>
      <c r="M609" s="74"/>
      <c r="N609" s="74"/>
      <c r="O609" s="74"/>
      <c r="P609" s="74"/>
      <c r="Q609" s="74"/>
      <c r="R609" s="74"/>
      <c r="S609" s="74"/>
      <c r="T609" s="74"/>
      <c r="U609" s="74"/>
      <c r="V609" s="74"/>
      <c r="W609" s="74"/>
      <c r="X609" s="74"/>
      <c r="Y609" s="74"/>
      <c r="Z609" s="74"/>
    </row>
    <row r="610" spans="1:26" x14ac:dyDescent="0.3">
      <c r="A610" s="66">
        <f t="shared" si="62"/>
        <v>2050.2999999999452</v>
      </c>
      <c r="B610" s="67">
        <f>LOOKUP(A610+0.01,Amounts!$A$4:$A$103,Amounts!$B$4:$B$103)*0.1*$A$2</f>
        <v>0</v>
      </c>
      <c r="C610" s="68">
        <f t="shared" si="61"/>
        <v>902907.24633514904</v>
      </c>
      <c r="D610" s="67">
        <f t="array" ref="D610">SUM($B$7:$B605*$F$1009*EXP(-$F$1009*($A610-$A$7:$A605)))*$F$1010</f>
        <v>8917364.8072234392</v>
      </c>
      <c r="E610" s="67">
        <f t="shared" si="59"/>
        <v>17.000168779463394</v>
      </c>
      <c r="F610" s="70">
        <f t="shared" si="63"/>
        <v>1.0322502482890172</v>
      </c>
      <c r="G610" s="67">
        <f>E610/'Lookup Tables'!$C$48</f>
        <v>34.000337558926788</v>
      </c>
      <c r="H610" s="70">
        <f t="shared" si="60"/>
        <v>9.8961313543044493E-3</v>
      </c>
      <c r="I610" s="71">
        <f t="shared" si="64"/>
        <v>4.8960486084854572E-2</v>
      </c>
      <c r="L610" s="74"/>
      <c r="M610" s="74"/>
      <c r="N610" s="74"/>
      <c r="O610" s="74"/>
      <c r="P610" s="74"/>
      <c r="Q610" s="74"/>
      <c r="R610" s="74"/>
      <c r="S610" s="74"/>
      <c r="T610" s="74"/>
      <c r="U610" s="74"/>
      <c r="V610" s="74"/>
      <c r="W610" s="74"/>
      <c r="X610" s="74"/>
      <c r="Y610" s="74"/>
      <c r="Z610" s="74"/>
    </row>
    <row r="611" spans="1:26" x14ac:dyDescent="0.3">
      <c r="A611" s="66">
        <f t="shared" si="62"/>
        <v>2050.3999999999451</v>
      </c>
      <c r="B611" s="67">
        <f>LOOKUP(A611+0.01,Amounts!$A$4:$A$103,Amounts!$B$4:$B$103)*0.1*$A$2</f>
        <v>0</v>
      </c>
      <c r="C611" s="68">
        <f t="shared" si="61"/>
        <v>902907.24633514904</v>
      </c>
      <c r="D611" s="67">
        <f t="array" ref="D611">SUM($B$7:$B606*$F$1009*EXP(-$F$1009*($A611-$A$7:$A606)))*$F$1010</f>
        <v>8855161.2201255448</v>
      </c>
      <c r="E611" s="67">
        <f t="shared" si="59"/>
        <v>16.881583131997711</v>
      </c>
      <c r="F611" s="70">
        <f t="shared" si="63"/>
        <v>1.0250497277749011</v>
      </c>
      <c r="G611" s="67">
        <f>E611/'Lookup Tables'!$C$48</f>
        <v>33.763166263995423</v>
      </c>
      <c r="H611" s="70">
        <f t="shared" si="60"/>
        <v>9.8271003253023563E-3</v>
      </c>
      <c r="I611" s="71">
        <f t="shared" si="64"/>
        <v>4.8618959420153415E-2</v>
      </c>
      <c r="L611" s="74"/>
      <c r="M611" s="74"/>
      <c r="N611" s="74"/>
      <c r="O611" s="74"/>
      <c r="P611" s="74"/>
      <c r="Q611" s="74"/>
      <c r="R611" s="74"/>
      <c r="S611" s="74"/>
      <c r="T611" s="74"/>
      <c r="U611" s="74"/>
      <c r="V611" s="74"/>
      <c r="W611" s="74"/>
      <c r="X611" s="74"/>
      <c r="Y611" s="74"/>
      <c r="Z611" s="74"/>
    </row>
    <row r="612" spans="1:26" x14ac:dyDescent="0.3">
      <c r="A612" s="66">
        <f t="shared" si="62"/>
        <v>2050.499999999945</v>
      </c>
      <c r="B612" s="67">
        <f>LOOKUP(A612+0.01,Amounts!$A$4:$A$103,Amounts!$B$4:$B$103)*0.1*$A$2</f>
        <v>0</v>
      </c>
      <c r="C612" s="68">
        <f t="shared" si="61"/>
        <v>902907.24633514904</v>
      </c>
      <c r="D612" s="67">
        <f t="array" ref="D612">SUM($B$7:$B607*$F$1009*EXP(-$F$1009*($A612-$A$7:$A607)))*$F$1010</f>
        <v>8793391.5376992077</v>
      </c>
      <c r="E612" s="67">
        <f t="shared" si="59"/>
        <v>16.763824685483225</v>
      </c>
      <c r="F612" s="70">
        <f t="shared" si="63"/>
        <v>1.0178994349025414</v>
      </c>
      <c r="G612" s="67">
        <f>E612/'Lookup Tables'!$C$48</f>
        <v>33.527649370966451</v>
      </c>
      <c r="H612" s="70">
        <f t="shared" si="60"/>
        <v>9.7585508261824432E-3</v>
      </c>
      <c r="I612" s="71">
        <f t="shared" si="64"/>
        <v>4.8279815094191693E-2</v>
      </c>
      <c r="L612" s="74"/>
      <c r="M612" s="74"/>
      <c r="N612" s="74"/>
      <c r="O612" s="74"/>
      <c r="P612" s="74"/>
      <c r="Q612" s="74"/>
      <c r="R612" s="74"/>
      <c r="S612" s="74"/>
      <c r="T612" s="74"/>
      <c r="U612" s="74"/>
      <c r="V612" s="74"/>
      <c r="W612" s="74"/>
      <c r="X612" s="74"/>
      <c r="Y612" s="74"/>
      <c r="Z612" s="74"/>
    </row>
    <row r="613" spans="1:26" x14ac:dyDescent="0.3">
      <c r="A613" s="66">
        <f t="shared" si="62"/>
        <v>2050.5999999999449</v>
      </c>
      <c r="B613" s="67">
        <f>LOOKUP(A613+0.01,Amounts!$A$4:$A$103,Amounts!$B$4:$B$103)*0.1*$A$2</f>
        <v>0</v>
      </c>
      <c r="C613" s="68">
        <f t="shared" si="61"/>
        <v>902907.24633514904</v>
      </c>
      <c r="D613" s="67">
        <f t="array" ref="D613">SUM($B$7:$B608*$F$1009*EXP(-$F$1009*($A613-$A$7:$A608)))*$F$1010</f>
        <v>8732052.7332176361</v>
      </c>
      <c r="E613" s="67">
        <f t="shared" si="59"/>
        <v>16.646887669732504</v>
      </c>
      <c r="F613" s="70">
        <f t="shared" si="63"/>
        <v>1.0107990193061576</v>
      </c>
      <c r="G613" s="67">
        <f>E613/'Lookup Tables'!$C$48</f>
        <v>33.293775339465007</v>
      </c>
      <c r="H613" s="70">
        <f t="shared" si="60"/>
        <v>9.6904794980055449E-3</v>
      </c>
      <c r="I613" s="71">
        <f t="shared" si="64"/>
        <v>4.794303648882961E-2</v>
      </c>
      <c r="L613" s="74"/>
      <c r="M613" s="74"/>
      <c r="N613" s="74"/>
      <c r="O613" s="74"/>
      <c r="P613" s="74"/>
      <c r="Q613" s="74"/>
      <c r="R613" s="74"/>
      <c r="S613" s="74"/>
      <c r="T613" s="74"/>
      <c r="U613" s="74"/>
      <c r="V613" s="74"/>
      <c r="W613" s="74"/>
      <c r="X613" s="74"/>
      <c r="Y613" s="74"/>
      <c r="Z613" s="74"/>
    </row>
    <row r="614" spans="1:26" x14ac:dyDescent="0.3">
      <c r="A614" s="66">
        <f t="shared" si="62"/>
        <v>2050.6999999999448</v>
      </c>
      <c r="B614" s="67">
        <f>LOOKUP(A614+0.01,Amounts!$A$4:$A$103,Amounts!$B$4:$B$103)*0.1*$A$2</f>
        <v>0</v>
      </c>
      <c r="C614" s="68">
        <f t="shared" si="61"/>
        <v>902907.24633514904</v>
      </c>
      <c r="D614" s="67">
        <f t="array" ref="D614">SUM($B$7:$B609*$F$1009*EXP(-$F$1009*($A614-$A$7:$A609)))*$F$1010</f>
        <v>8671141.8010671325</v>
      </c>
      <c r="E614" s="67">
        <f t="shared" si="59"/>
        <v>16.530766354808367</v>
      </c>
      <c r="F614" s="70">
        <f t="shared" si="63"/>
        <v>1.0037481330639642</v>
      </c>
      <c r="G614" s="67">
        <f>E614/'Lookup Tables'!$C$48</f>
        <v>33.061532709616735</v>
      </c>
      <c r="H614" s="70">
        <f t="shared" si="60"/>
        <v>9.6228830052629555E-3</v>
      </c>
      <c r="I614" s="71">
        <f t="shared" si="64"/>
        <v>4.7608607101848097E-2</v>
      </c>
      <c r="L614" s="74"/>
      <c r="M614" s="74"/>
      <c r="N614" s="74"/>
      <c r="O614" s="74"/>
      <c r="P614" s="74"/>
      <c r="Q614" s="74"/>
      <c r="R614" s="74"/>
      <c r="S614" s="74"/>
      <c r="T614" s="74"/>
      <c r="U614" s="74"/>
      <c r="V614" s="74"/>
      <c r="W614" s="74"/>
      <c r="X614" s="74"/>
      <c r="Y614" s="74"/>
      <c r="Z614" s="74"/>
    </row>
    <row r="615" spans="1:26" x14ac:dyDescent="0.3">
      <c r="A615" s="66">
        <f t="shared" si="62"/>
        <v>2050.7999999999447</v>
      </c>
      <c r="B615" s="67">
        <f>LOOKUP(A615+0.01,Amounts!$A$4:$A$103,Amounts!$B$4:$B$103)*0.1*$A$2</f>
        <v>0</v>
      </c>
      <c r="C615" s="68">
        <f t="shared" si="61"/>
        <v>902907.24633514904</v>
      </c>
      <c r="D615" s="67">
        <f t="array" ref="D615">SUM($B$7:$B610*$F$1009*EXP(-$F$1009*($A615-$A$7:$A610)))*$F$1010</f>
        <v>8610655.7565998323</v>
      </c>
      <c r="E615" s="67">
        <f t="shared" si="59"/>
        <v>16.415455050743148</v>
      </c>
      <c r="F615" s="70">
        <f t="shared" si="63"/>
        <v>0.9967464306811239</v>
      </c>
      <c r="G615" s="67">
        <f>E615/'Lookup Tables'!$C$48</f>
        <v>32.830910101486296</v>
      </c>
      <c r="H615" s="70">
        <f t="shared" si="60"/>
        <v>9.5557580357129995E-3</v>
      </c>
      <c r="I615" s="71">
        <f t="shared" si="64"/>
        <v>4.7276510546140266E-2</v>
      </c>
      <c r="L615" s="74"/>
      <c r="M615" s="74"/>
      <c r="N615" s="74"/>
      <c r="O615" s="74"/>
      <c r="P615" s="74"/>
      <c r="Q615" s="74"/>
      <c r="R615" s="74"/>
      <c r="S615" s="74"/>
      <c r="T615" s="74"/>
      <c r="U615" s="74"/>
      <c r="V615" s="74"/>
      <c r="W615" s="74"/>
      <c r="X615" s="74"/>
      <c r="Y615" s="74"/>
      <c r="Z615" s="74"/>
    </row>
    <row r="616" spans="1:26" x14ac:dyDescent="0.3">
      <c r="A616" s="66">
        <f t="shared" si="62"/>
        <v>2050.8999999999446</v>
      </c>
      <c r="B616" s="67">
        <f>LOOKUP(A616+0.01,Amounts!$A$4:$A$103,Amounts!$B$4:$B$103)*0.1*$A$2</f>
        <v>0</v>
      </c>
      <c r="C616" s="68">
        <f t="shared" si="61"/>
        <v>902907.24633514904</v>
      </c>
      <c r="D616" s="67">
        <f t="array" ref="D616">SUM($B$7:$B611*$F$1009*EXP(-$F$1009*($A616-$A$7:$A611)))*$F$1010</f>
        <v>8550591.6359874532</v>
      </c>
      <c r="E616" s="67">
        <f t="shared" si="59"/>
        <v>16.300948107259874</v>
      </c>
      <c r="F616" s="70">
        <f t="shared" si="63"/>
        <v>0.98979356907281957</v>
      </c>
      <c r="G616" s="67">
        <f>E616/'Lookup Tables'!$C$48</f>
        <v>32.601896214519748</v>
      </c>
      <c r="H616" s="70">
        <f t="shared" si="60"/>
        <v>9.4891013002187455E-3</v>
      </c>
      <c r="I616" s="71">
        <f t="shared" si="64"/>
        <v>4.6946730548908439E-2</v>
      </c>
      <c r="L616" s="74"/>
      <c r="M616" s="74"/>
      <c r="N616" s="74"/>
      <c r="O616" s="74"/>
      <c r="P616" s="74"/>
      <c r="Q616" s="74"/>
      <c r="R616" s="74"/>
      <c r="S616" s="74"/>
      <c r="T616" s="74"/>
      <c r="U616" s="74"/>
      <c r="V616" s="74"/>
      <c r="W616" s="74"/>
      <c r="X616" s="74"/>
      <c r="Y616" s="74"/>
      <c r="Z616" s="74"/>
    </row>
    <row r="617" spans="1:26" x14ac:dyDescent="0.3">
      <c r="A617" s="66">
        <f t="shared" si="62"/>
        <v>2050.9999999999445</v>
      </c>
      <c r="B617" s="67">
        <f>LOOKUP(A617+0.01,Amounts!$A$4:$A$103,Amounts!$B$4:$B$103)*0.1*$A$2</f>
        <v>0</v>
      </c>
      <c r="C617" s="68">
        <f t="shared" si="61"/>
        <v>902907.24633514904</v>
      </c>
      <c r="D617" s="67">
        <f t="array" ref="D617">SUM($B$7:$B612*$F$1009*EXP(-$F$1009*($A617-$A$7:$A612)))*$F$1010</f>
        <v>8490946.4960760735</v>
      </c>
      <c r="E617" s="67">
        <f t="shared" si="59"/>
        <v>16.187239913495411</v>
      </c>
      <c r="F617" s="70">
        <f t="shared" si="63"/>
        <v>0.98288920754744136</v>
      </c>
      <c r="G617" s="67">
        <f>E617/'Lookup Tables'!$C$48</f>
        <v>32.374479826990822</v>
      </c>
      <c r="H617" s="70">
        <f t="shared" si="60"/>
        <v>9.4229095325868151E-3</v>
      </c>
      <c r="I617" s="71">
        <f t="shared" si="64"/>
        <v>4.6619250950866789E-2</v>
      </c>
      <c r="L617" s="74"/>
      <c r="M617" s="74"/>
      <c r="N617" s="74"/>
      <c r="O617" s="74"/>
      <c r="P617" s="74"/>
      <c r="Q617" s="74"/>
      <c r="R617" s="74"/>
      <c r="S617" s="74"/>
      <c r="T617" s="74"/>
      <c r="U617" s="74"/>
      <c r="V617" s="74"/>
      <c r="W617" s="74"/>
      <c r="X617" s="74"/>
      <c r="Y617" s="74"/>
      <c r="Z617" s="74"/>
    </row>
    <row r="618" spans="1:26" x14ac:dyDescent="0.3">
      <c r="A618" s="66">
        <f t="shared" si="62"/>
        <v>2051.0999999999444</v>
      </c>
      <c r="B618" s="67">
        <f>LOOKUP(A618+0.01,Amounts!$A$4:$A$103,Amounts!$B$4:$B$103)*0.1*$A$2</f>
        <v>0</v>
      </c>
      <c r="C618" s="68">
        <f t="shared" si="61"/>
        <v>902907.24633514904</v>
      </c>
      <c r="D618" s="67">
        <f t="array" ref="D618">SUM($B$7:$B613*$F$1009*EXP(-$F$1009*($A618-$A$7:$A613)))*$F$1010</f>
        <v>8431717.4142419007</v>
      </c>
      <c r="E618" s="67">
        <f t="shared" si="59"/>
        <v>16.074324897725511</v>
      </c>
      <c r="F618" s="70">
        <f t="shared" si="63"/>
        <v>0.97603300778989299</v>
      </c>
      <c r="G618" s="67">
        <f>E618/'Lookup Tables'!$C$48</f>
        <v>32.148649795451021</v>
      </c>
      <c r="H618" s="70">
        <f t="shared" si="60"/>
        <v>9.3571794894073534E-3</v>
      </c>
      <c r="I618" s="71">
        <f t="shared" si="64"/>
        <v>4.629405570544947E-2</v>
      </c>
      <c r="L618" s="74"/>
      <c r="M618" s="74"/>
      <c r="N618" s="74"/>
      <c r="O618" s="74"/>
      <c r="P618" s="74"/>
      <c r="Q618" s="74"/>
      <c r="R618" s="74"/>
      <c r="S618" s="74"/>
      <c r="T618" s="74"/>
      <c r="U618" s="74"/>
      <c r="V618" s="74"/>
      <c r="W618" s="74"/>
      <c r="X618" s="74"/>
      <c r="Y618" s="74"/>
      <c r="Z618" s="74"/>
    </row>
    <row r="619" spans="1:26" x14ac:dyDescent="0.3">
      <c r="A619" s="66">
        <f t="shared" si="62"/>
        <v>2051.1999999999443</v>
      </c>
      <c r="B619" s="67">
        <f>LOOKUP(A619+0.01,Amounts!$A$4:$A$103,Amounts!$B$4:$B$103)*0.1*$A$2</f>
        <v>0</v>
      </c>
      <c r="C619" s="68">
        <f t="shared" si="61"/>
        <v>902907.24633514904</v>
      </c>
      <c r="D619" s="67">
        <f t="array" ref="D619">SUM($B$7:$B614*$F$1009*EXP(-$F$1009*($A619-$A$7:$A614)))*$F$1010</f>
        <v>8372901.4882480772</v>
      </c>
      <c r="E619" s="67">
        <f t="shared" si="59"/>
        <v>15.962197527091812</v>
      </c>
      <c r="F619" s="70">
        <f t="shared" si="63"/>
        <v>0.96922463384501489</v>
      </c>
      <c r="G619" s="67">
        <f>E619/'Lookup Tables'!$C$48</f>
        <v>31.924395054183623</v>
      </c>
      <c r="H619" s="70">
        <f t="shared" si="60"/>
        <v>9.2919079498950917E-3</v>
      </c>
      <c r="I619" s="71">
        <f t="shared" si="64"/>
        <v>4.5971128878024424E-2</v>
      </c>
      <c r="L619" s="74"/>
      <c r="M619" s="74"/>
      <c r="N619" s="74"/>
      <c r="O619" s="74"/>
      <c r="P619" s="74"/>
      <c r="Q619" s="74"/>
      <c r="R619" s="74"/>
      <c r="S619" s="74"/>
      <c r="T619" s="74"/>
      <c r="U619" s="74"/>
      <c r="V619" s="74"/>
      <c r="W619" s="74"/>
      <c r="X619" s="74"/>
      <c r="Y619" s="74"/>
      <c r="Z619" s="74"/>
    </row>
    <row r="620" spans="1:26" x14ac:dyDescent="0.3">
      <c r="A620" s="66">
        <f t="shared" si="62"/>
        <v>2051.2999999999442</v>
      </c>
      <c r="B620" s="67">
        <f>LOOKUP(A620+0.01,Amounts!$A$4:$A$103,Amounts!$B$4:$B$103)*0.1*$A$2</f>
        <v>0</v>
      </c>
      <c r="C620" s="68">
        <f t="shared" si="61"/>
        <v>902907.24633514904</v>
      </c>
      <c r="D620" s="67">
        <f t="array" ref="D620">SUM($B$7:$B615*$F$1009*EXP(-$F$1009*($A620-$A$7:$A615)))*$F$1010</f>
        <v>8314495.8361024549</v>
      </c>
      <c r="E620" s="67">
        <f t="shared" si="59"/>
        <v>15.85085230733071</v>
      </c>
      <c r="F620" s="70">
        <f t="shared" si="63"/>
        <v>0.96246375210112067</v>
      </c>
      <c r="G620" s="67">
        <f>E620/'Lookup Tables'!$C$48</f>
        <v>31.70170461466142</v>
      </c>
      <c r="H620" s="70">
        <f t="shared" si="60"/>
        <v>9.2270917157315294E-3</v>
      </c>
      <c r="I620" s="71">
        <f t="shared" si="64"/>
        <v>4.565045464511245E-2</v>
      </c>
      <c r="L620" s="74"/>
      <c r="M620" s="74"/>
      <c r="N620" s="74"/>
      <c r="O620" s="74"/>
      <c r="P620" s="74"/>
      <c r="Q620" s="74"/>
      <c r="R620" s="74"/>
      <c r="S620" s="74"/>
      <c r="T620" s="74"/>
      <c r="U620" s="74"/>
      <c r="V620" s="74"/>
      <c r="W620" s="74"/>
      <c r="X620" s="74"/>
      <c r="Y620" s="74"/>
      <c r="Z620" s="74"/>
    </row>
    <row r="621" spans="1:26" x14ac:dyDescent="0.3">
      <c r="A621" s="66">
        <f t="shared" si="62"/>
        <v>2051.3999999999442</v>
      </c>
      <c r="B621" s="67">
        <f>LOOKUP(A621+0.01,Amounts!$A$4:$A$103,Amounts!$B$4:$B$103)*0.1*$A$2</f>
        <v>0</v>
      </c>
      <c r="C621" s="68">
        <f t="shared" si="61"/>
        <v>902907.24633514904</v>
      </c>
      <c r="D621" s="67">
        <f t="array" ref="D621">SUM($B$7:$B616*$F$1009*EXP(-$F$1009*($A621-$A$7:$A616)))*$F$1010</f>
        <v>8256497.5959163951</v>
      </c>
      <c r="E621" s="67">
        <f t="shared" si="59"/>
        <v>15.740283782504163</v>
      </c>
      <c r="F621" s="70">
        <f t="shared" si="63"/>
        <v>0.95575003127365277</v>
      </c>
      <c r="G621" s="67">
        <f>E621/'Lookup Tables'!$C$48</f>
        <v>31.480567565008325</v>
      </c>
      <c r="H621" s="70">
        <f t="shared" si="60"/>
        <v>9.1627276109082292E-3</v>
      </c>
      <c r="I621" s="71">
        <f t="shared" si="64"/>
        <v>4.5332017293611991E-2</v>
      </c>
      <c r="L621" s="74"/>
      <c r="M621" s="74"/>
      <c r="N621" s="74"/>
      <c r="O621" s="74"/>
      <c r="P621" s="74"/>
      <c r="Q621" s="74"/>
      <c r="R621" s="74"/>
      <c r="S621" s="74"/>
      <c r="T621" s="74"/>
      <c r="U621" s="74"/>
      <c r="V621" s="74"/>
      <c r="W621" s="74"/>
      <c r="X621" s="74"/>
      <c r="Y621" s="74"/>
      <c r="Z621" s="74"/>
    </row>
    <row r="622" spans="1:26" x14ac:dyDescent="0.3">
      <c r="A622" s="66">
        <f t="shared" si="62"/>
        <v>2051.4999999999441</v>
      </c>
      <c r="B622" s="67">
        <f>LOOKUP(A622+0.01,Amounts!$A$4:$A$103,Amounts!$B$4:$B$103)*0.1*$A$2</f>
        <v>0</v>
      </c>
      <c r="C622" s="68">
        <f t="shared" si="61"/>
        <v>902907.24633514904</v>
      </c>
      <c r="D622" s="67">
        <f t="array" ref="D622">SUM($B$7:$B617*$F$1009*EXP(-$F$1009*($A622-$A$7:$A617)))*$F$1010</f>
        <v>8198903.9257645262</v>
      </c>
      <c r="E622" s="67">
        <f t="shared" si="59"/>
        <v>15.630486534732333</v>
      </c>
      <c r="F622" s="70">
        <f t="shared" si="63"/>
        <v>0.9490831423889472</v>
      </c>
      <c r="G622" s="67">
        <f>E622/'Lookup Tables'!$C$48</f>
        <v>31.260973069464665</v>
      </c>
      <c r="H622" s="70">
        <f t="shared" si="60"/>
        <v>9.0988124815711748E-3</v>
      </c>
      <c r="I622" s="71">
        <f t="shared" si="64"/>
        <v>4.5015801220029114E-2</v>
      </c>
      <c r="L622" s="74"/>
      <c r="M622" s="74"/>
      <c r="N622" s="74"/>
      <c r="O622" s="74"/>
      <c r="P622" s="74"/>
      <c r="Q622" s="74"/>
      <c r="R622" s="74"/>
      <c r="S622" s="74"/>
      <c r="T622" s="74"/>
      <c r="U622" s="74"/>
      <c r="V622" s="74"/>
      <c r="W622" s="74"/>
      <c r="X622" s="74"/>
      <c r="Y622" s="74"/>
      <c r="Z622" s="74"/>
    </row>
    <row r="623" spans="1:26" x14ac:dyDescent="0.3">
      <c r="A623" s="66">
        <f t="shared" si="62"/>
        <v>2051.599999999944</v>
      </c>
      <c r="B623" s="67">
        <f>LOOKUP(A623+0.01,Amounts!$A$4:$A$103,Amounts!$B$4:$B$103)*0.1*$A$2</f>
        <v>0</v>
      </c>
      <c r="C623" s="68">
        <f t="shared" si="61"/>
        <v>902907.24633514904</v>
      </c>
      <c r="D623" s="67">
        <f t="array" ref="D623">SUM($B$7:$B618*$F$1009*EXP(-$F$1009*($A623-$A$7:$A618)))*$F$1010</f>
        <v>8141712.0035454854</v>
      </c>
      <c r="E623" s="67">
        <f t="shared" si="59"/>
        <v>15.521455183928106</v>
      </c>
      <c r="F623" s="70">
        <f t="shared" si="63"/>
        <v>0.94246275876811458</v>
      </c>
      <c r="G623" s="67">
        <f>E623/'Lookup Tables'!$C$48</f>
        <v>31.042910367856212</v>
      </c>
      <c r="H623" s="70">
        <f t="shared" si="60"/>
        <v>9.0353431958662394E-3</v>
      </c>
      <c r="I623" s="71">
        <f t="shared" si="64"/>
        <v>4.4701790929712944E-2</v>
      </c>
      <c r="L623" s="74"/>
      <c r="M623" s="74"/>
      <c r="N623" s="74"/>
      <c r="O623" s="74"/>
      <c r="P623" s="74"/>
      <c r="Q623" s="74"/>
      <c r="R623" s="74"/>
      <c r="S623" s="74"/>
      <c r="T623" s="74"/>
      <c r="U623" s="74"/>
      <c r="V623" s="74"/>
      <c r="W623" s="74"/>
      <c r="X623" s="74"/>
      <c r="Y623" s="74"/>
      <c r="Z623" s="74"/>
    </row>
    <row r="624" spans="1:26" x14ac:dyDescent="0.3">
      <c r="A624" s="66">
        <f t="shared" si="62"/>
        <v>2051.6999999999439</v>
      </c>
      <c r="B624" s="67">
        <f>LOOKUP(A624+0.01,Amounts!$A$4:$A$103,Amounts!$B$4:$B$103)*0.1*$A$2</f>
        <v>0</v>
      </c>
      <c r="C624" s="68">
        <f t="shared" si="61"/>
        <v>902907.24633514904</v>
      </c>
      <c r="D624" s="67">
        <f t="array" ref="D624">SUM($B$7:$B619*$F$1009*EXP(-$F$1009*($A624-$A$7:$A619)))*$F$1010</f>
        <v>8084919.026843641</v>
      </c>
      <c r="E624" s="67">
        <f t="shared" si="59"/>
        <v>15.41318438753348</v>
      </c>
      <c r="F624" s="70">
        <f t="shared" si="63"/>
        <v>0.93588855601103293</v>
      </c>
      <c r="G624" s="67">
        <f>E624/'Lookup Tables'!$C$48</f>
        <v>30.82636877506696</v>
      </c>
      <c r="H624" s="70">
        <f t="shared" si="60"/>
        <v>8.9723166437857271E-3</v>
      </c>
      <c r="I624" s="71">
        <f t="shared" si="64"/>
        <v>4.4389971036096425E-2</v>
      </c>
      <c r="L624" s="74"/>
      <c r="M624" s="74"/>
      <c r="N624" s="74"/>
      <c r="O624" s="74"/>
      <c r="P624" s="74"/>
      <c r="Q624" s="74"/>
      <c r="R624" s="74"/>
      <c r="S624" s="74"/>
      <c r="T624" s="74"/>
      <c r="U624" s="74"/>
      <c r="V624" s="74"/>
      <c r="W624" s="74"/>
      <c r="X624" s="74"/>
      <c r="Y624" s="74"/>
      <c r="Z624" s="74"/>
    </row>
    <row r="625" spans="1:26" x14ac:dyDescent="0.3">
      <c r="A625" s="66">
        <f t="shared" si="62"/>
        <v>2051.7999999999438</v>
      </c>
      <c r="B625" s="67">
        <f>LOOKUP(A625+0.01,Amounts!$A$4:$A$103,Amounts!$B$4:$B$103)*0.1*$A$2</f>
        <v>0</v>
      </c>
      <c r="C625" s="68">
        <f t="shared" si="61"/>
        <v>902907.24633514904</v>
      </c>
      <c r="D625" s="67">
        <f t="array" ref="D625">SUM($B$7:$B620*$F$1009*EXP(-$F$1009*($A625-$A$7:$A620)))*$F$1010</f>
        <v>8028522.2127917698</v>
      </c>
      <c r="E625" s="67">
        <f t="shared" si="59"/>
        <v>15.305668840257766</v>
      </c>
      <c r="F625" s="70">
        <f t="shared" si="63"/>
        <v>0.9293602119804516</v>
      </c>
      <c r="G625" s="67">
        <f>E625/'Lookup Tables'!$C$48</f>
        <v>30.611337680515533</v>
      </c>
      <c r="H625" s="70">
        <f t="shared" si="60"/>
        <v>8.9097297370159707E-3</v>
      </c>
      <c r="I625" s="71">
        <f t="shared" si="64"/>
        <v>4.4080326259942369E-2</v>
      </c>
      <c r="L625" s="74"/>
      <c r="M625" s="74"/>
      <c r="N625" s="74"/>
      <c r="O625" s="74"/>
      <c r="P625" s="74"/>
      <c r="Q625" s="74"/>
      <c r="R625" s="74"/>
      <c r="S625" s="74"/>
      <c r="T625" s="74"/>
      <c r="U625" s="74"/>
      <c r="V625" s="74"/>
      <c r="W625" s="74"/>
      <c r="X625" s="74"/>
      <c r="Y625" s="74"/>
      <c r="Z625" s="74"/>
    </row>
    <row r="626" spans="1:26" x14ac:dyDescent="0.3">
      <c r="A626" s="66">
        <f t="shared" si="62"/>
        <v>2051.8999999999437</v>
      </c>
      <c r="B626" s="67">
        <f>LOOKUP(A626+0.01,Amounts!$A$4:$A$103,Amounts!$B$4:$B$103)*0.1*$A$2</f>
        <v>0</v>
      </c>
      <c r="C626" s="68">
        <f t="shared" si="61"/>
        <v>902907.24633514904</v>
      </c>
      <c r="D626" s="67">
        <f t="array" ref="D626">SUM($B$7:$B621*$F$1009*EXP(-$F$1009*($A626-$A$7:$A621)))*$F$1010</f>
        <v>7972518.7979347045</v>
      </c>
      <c r="E626" s="67">
        <f t="shared" si="59"/>
        <v>15.198903273817644</v>
      </c>
      <c r="F626" s="70">
        <f t="shared" si="63"/>
        <v>0.92287740678620733</v>
      </c>
      <c r="G626" s="67">
        <f>E626/'Lookup Tables'!$C$48</f>
        <v>30.397806547635287</v>
      </c>
      <c r="H626" s="70">
        <f t="shared" si="60"/>
        <v>8.8475794087860219E-3</v>
      </c>
      <c r="I626" s="71">
        <f t="shared" si="64"/>
        <v>4.3772841428594812E-2</v>
      </c>
      <c r="L626" s="74"/>
      <c r="M626" s="74"/>
      <c r="N626" s="74"/>
      <c r="O626" s="74"/>
      <c r="P626" s="74"/>
      <c r="Q626" s="74"/>
      <c r="R626" s="74"/>
      <c r="S626" s="74"/>
      <c r="T626" s="74"/>
      <c r="U626" s="74"/>
      <c r="V626" s="74"/>
      <c r="W626" s="74"/>
      <c r="X626" s="74"/>
      <c r="Y626" s="74"/>
      <c r="Z626" s="74"/>
    </row>
    <row r="627" spans="1:26" x14ac:dyDescent="0.3">
      <c r="A627" s="66">
        <f t="shared" si="62"/>
        <v>2051.9999999999436</v>
      </c>
      <c r="B627" s="67">
        <f>LOOKUP(A627+0.01,Amounts!$A$4:$A$103,Amounts!$B$4:$B$103)*0.1*$A$2</f>
        <v>0</v>
      </c>
      <c r="C627" s="68">
        <f t="shared" si="61"/>
        <v>902907.24633514904</v>
      </c>
      <c r="D627" s="67">
        <f t="array" ref="D627">SUM($B$7:$B622*$F$1009*EXP(-$F$1009*($A627-$A$7:$A622)))*$F$1010</f>
        <v>7916906.0380939059</v>
      </c>
      <c r="E627" s="67">
        <f t="shared" si="59"/>
        <v>15.092882456678986</v>
      </c>
      <c r="F627" s="70">
        <f t="shared" si="63"/>
        <v>0.91643982276954805</v>
      </c>
      <c r="G627" s="67">
        <f>E627/'Lookup Tables'!$C$48</f>
        <v>30.185764913357971</v>
      </c>
      <c r="H627" s="70">
        <f t="shared" si="60"/>
        <v>8.7858626137173584E-3</v>
      </c>
      <c r="I627" s="71">
        <f t="shared" si="64"/>
        <v>4.3467501475235475E-2</v>
      </c>
      <c r="L627" s="74"/>
      <c r="M627" s="74"/>
      <c r="N627" s="74"/>
      <c r="O627" s="74"/>
      <c r="P627" s="74"/>
      <c r="Q627" s="74"/>
      <c r="R627" s="74"/>
      <c r="S627" s="74"/>
      <c r="T627" s="74"/>
      <c r="U627" s="74"/>
      <c r="V627" s="74"/>
      <c r="W627" s="74"/>
      <c r="X627" s="74"/>
      <c r="Y627" s="74"/>
      <c r="Z627" s="74"/>
    </row>
    <row r="628" spans="1:26" x14ac:dyDescent="0.3">
      <c r="A628" s="66">
        <f t="shared" si="62"/>
        <v>2052.0999999999435</v>
      </c>
      <c r="B628" s="67">
        <f>LOOKUP(A628+0.01,Amounts!$A$4:$A$103,Amounts!$B$4:$B$103)*0.1*$A$2</f>
        <v>0</v>
      </c>
      <c r="C628" s="68">
        <f t="shared" si="61"/>
        <v>902907.24633514904</v>
      </c>
      <c r="D628" s="67">
        <f t="array" ref="D628">SUM($B$7:$B623*$F$1009*EXP(-$F$1009*($A628-$A$7:$A623)))*$F$1010</f>
        <v>7861681.2082330147</v>
      </c>
      <c r="E628" s="67">
        <f t="shared" si="59"/>
        <v>14.98760119380054</v>
      </c>
      <c r="F628" s="70">
        <f t="shared" si="63"/>
        <v>0.91004714448756874</v>
      </c>
      <c r="G628" s="67">
        <f>E628/'Lookup Tables'!$C$48</f>
        <v>29.97520238760108</v>
      </c>
      <c r="H628" s="70">
        <f t="shared" si="60"/>
        <v>8.7245763276746716E-3</v>
      </c>
      <c r="I628" s="71">
        <f t="shared" si="64"/>
        <v>4.3164291438145555E-2</v>
      </c>
      <c r="L628" s="74"/>
      <c r="M628" s="74"/>
      <c r="N628" s="74"/>
      <c r="O628" s="74"/>
      <c r="P628" s="74"/>
      <c r="Q628" s="74"/>
      <c r="R628" s="74"/>
      <c r="S628" s="74"/>
      <c r="T628" s="74"/>
      <c r="U628" s="74"/>
      <c r="V628" s="74"/>
      <c r="W628" s="74"/>
      <c r="X628" s="74"/>
      <c r="Y628" s="74"/>
      <c r="Z628" s="74"/>
    </row>
    <row r="629" spans="1:26" x14ac:dyDescent="0.3">
      <c r="A629" s="66">
        <f t="shared" si="62"/>
        <v>2052.1999999999434</v>
      </c>
      <c r="B629" s="67">
        <f>LOOKUP(A629+0.01,Amounts!$A$4:$A$103,Amounts!$B$4:$B$103)*0.1*$A$2</f>
        <v>0</v>
      </c>
      <c r="C629" s="68">
        <f t="shared" si="61"/>
        <v>902907.24633514904</v>
      </c>
      <c r="D629" s="67">
        <f t="array" ref="D629">SUM($B$7:$B624*$F$1009*EXP(-$F$1009*($A629-$A$7:$A624)))*$F$1010</f>
        <v>7806841.6023243228</v>
      </c>
      <c r="E629" s="67">
        <f t="shared" si="59"/>
        <v>14.883054326379368</v>
      </c>
      <c r="F629" s="70">
        <f t="shared" si="63"/>
        <v>0.90369905869775513</v>
      </c>
      <c r="G629" s="67">
        <f>E629/'Lookup Tables'!$C$48</f>
        <v>29.766108652758735</v>
      </c>
      <c r="H629" s="70">
        <f t="shared" si="60"/>
        <v>8.6637175476176852E-3</v>
      </c>
      <c r="I629" s="71">
        <f t="shared" si="64"/>
        <v>4.2863196459972573E-2</v>
      </c>
      <c r="L629" s="74"/>
      <c r="M629" s="74"/>
      <c r="N629" s="74"/>
      <c r="O629" s="74"/>
      <c r="P629" s="74"/>
      <c r="Q629" s="74"/>
      <c r="R629" s="74"/>
      <c r="S629" s="74"/>
      <c r="T629" s="74"/>
      <c r="U629" s="74"/>
      <c r="V629" s="74"/>
      <c r="W629" s="74"/>
      <c r="X629" s="74"/>
      <c r="Y629" s="74"/>
      <c r="Z629" s="74"/>
    </row>
    <row r="630" spans="1:26" x14ac:dyDescent="0.3">
      <c r="A630" s="66">
        <f t="shared" si="62"/>
        <v>2052.2999999999433</v>
      </c>
      <c r="B630" s="67">
        <f>LOOKUP(A630+0.01,Amounts!$A$4:$A$103,Amounts!$B$4:$B$103)*0.1*$A$2</f>
        <v>0</v>
      </c>
      <c r="C630" s="68">
        <f t="shared" si="61"/>
        <v>902907.24633514904</v>
      </c>
      <c r="D630" s="67">
        <f t="array" ref="D630">SUM($B$7:$B625*$F$1009*EXP(-$F$1009*($A630-$A$7:$A625)))*$F$1010</f>
        <v>7752384.5332161654</v>
      </c>
      <c r="E630" s="67">
        <f t="shared" si="59"/>
        <v>14.779236731598042</v>
      </c>
      <c r="F630" s="70">
        <f t="shared" si="63"/>
        <v>0.89739525434263312</v>
      </c>
      <c r="G630" s="67">
        <f>E630/'Lookup Tables'!$C$48</f>
        <v>29.558473463196083</v>
      </c>
      <c r="H630" s="70">
        <f t="shared" si="60"/>
        <v>8.6032832914540013E-3</v>
      </c>
      <c r="I630" s="71">
        <f t="shared" si="64"/>
        <v>4.2564201787002355E-2</v>
      </c>
      <c r="L630" s="74"/>
      <c r="M630" s="74"/>
      <c r="N630" s="74"/>
      <c r="O630" s="74"/>
      <c r="P630" s="74"/>
      <c r="Q630" s="74"/>
      <c r="R630" s="74"/>
      <c r="S630" s="74"/>
      <c r="T630" s="74"/>
      <c r="U630" s="74"/>
      <c r="V630" s="74"/>
      <c r="W630" s="74"/>
      <c r="X630" s="74"/>
      <c r="Y630" s="74"/>
      <c r="Z630" s="74"/>
    </row>
    <row r="631" spans="1:26" x14ac:dyDescent="0.3">
      <c r="A631" s="66">
        <f t="shared" si="62"/>
        <v>2052.3999999999432</v>
      </c>
      <c r="B631" s="67">
        <f>LOOKUP(A631+0.01,Amounts!$A$4:$A$103,Amounts!$B$4:$B$103)*0.1*$A$2</f>
        <v>0</v>
      </c>
      <c r="C631" s="68">
        <f t="shared" si="61"/>
        <v>902907.24633514904</v>
      </c>
      <c r="D631" s="67">
        <f t="array" ref="D631">SUM($B$7:$B626*$F$1009*EXP(-$F$1009*($A631-$A$7:$A626)))*$F$1010</f>
        <v>7698307.3325012587</v>
      </c>
      <c r="E631" s="67">
        <f t="shared" si="59"/>
        <v>14.676143322373642</v>
      </c>
      <c r="F631" s="70">
        <f t="shared" si="63"/>
        <v>0.8911354225345276</v>
      </c>
      <c r="G631" s="67">
        <f>E631/'Lookup Tables'!$C$48</f>
        <v>29.352286644747284</v>
      </c>
      <c r="H631" s="70">
        <f t="shared" si="60"/>
        <v>8.5432705978929734E-3</v>
      </c>
      <c r="I631" s="71">
        <f t="shared" si="64"/>
        <v>4.2267292768436091E-2</v>
      </c>
      <c r="L631" s="74"/>
      <c r="M631" s="74"/>
      <c r="N631" s="74"/>
      <c r="O631" s="74"/>
      <c r="P631" s="74"/>
      <c r="Q631" s="74"/>
      <c r="R631" s="74"/>
      <c r="S631" s="74"/>
      <c r="T631" s="74"/>
      <c r="U631" s="74"/>
      <c r="V631" s="74"/>
      <c r="W631" s="74"/>
      <c r="X631" s="74"/>
      <c r="Y631" s="74"/>
      <c r="Z631" s="74"/>
    </row>
    <row r="632" spans="1:26" x14ac:dyDescent="0.3">
      <c r="A632" s="66">
        <f t="shared" si="62"/>
        <v>2052.4999999999432</v>
      </c>
      <c r="B632" s="67">
        <f>LOOKUP(A632+0.01,Amounts!$A$4:$A$103,Amounts!$B$4:$B$103)*0.1*$A$2</f>
        <v>0</v>
      </c>
      <c r="C632" s="68">
        <f t="shared" si="61"/>
        <v>902907.24633514904</v>
      </c>
      <c r="D632" s="67">
        <f t="array" ref="D632">SUM($B$7:$B627*$F$1009*EXP(-$F$1009*($A632-$A$7:$A627)))*$F$1010</f>
        <v>7644607.3503859499</v>
      </c>
      <c r="E632" s="67">
        <f t="shared" si="59"/>
        <v>14.573769047108497</v>
      </c>
      <c r="F632" s="70">
        <f t="shared" si="63"/>
        <v>0.88491925654042791</v>
      </c>
      <c r="G632" s="67">
        <f>E632/'Lookup Tables'!$C$48</f>
        <v>29.147538094216994</v>
      </c>
      <c r="H632" s="70">
        <f t="shared" si="60"/>
        <v>8.4836765263006098E-3</v>
      </c>
      <c r="I632" s="71">
        <f t="shared" si="64"/>
        <v>4.197245485567247E-2</v>
      </c>
      <c r="L632" s="74"/>
      <c r="M632" s="74"/>
      <c r="N632" s="74"/>
      <c r="O632" s="74"/>
      <c r="P632" s="74"/>
      <c r="Q632" s="74"/>
      <c r="R632" s="74"/>
      <c r="S632" s="74"/>
      <c r="T632" s="74"/>
      <c r="U632" s="74"/>
      <c r="V632" s="74"/>
      <c r="W632" s="74"/>
      <c r="X632" s="74"/>
      <c r="Y632" s="74"/>
      <c r="Z632" s="74"/>
    </row>
    <row r="633" spans="1:26" x14ac:dyDescent="0.3">
      <c r="A633" s="66">
        <f t="shared" si="62"/>
        <v>2052.5999999999431</v>
      </c>
      <c r="B633" s="67">
        <f>LOOKUP(A633+0.01,Amounts!$A$4:$A$103,Amounts!$B$4:$B$103)*0.1*$A$2</f>
        <v>0</v>
      </c>
      <c r="C633" s="68">
        <f t="shared" si="61"/>
        <v>902907.24633514904</v>
      </c>
      <c r="D633" s="67">
        <f t="array" ref="D633">SUM($B$7:$B628*$F$1009*EXP(-$F$1009*($A633-$A$7:$A628)))*$F$1010</f>
        <v>7591281.9555603676</v>
      </c>
      <c r="E633" s="67">
        <f t="shared" si="59"/>
        <v>14.472108889442627</v>
      </c>
      <c r="F633" s="70">
        <f t="shared" si="63"/>
        <v>0.8787464517669562</v>
      </c>
      <c r="G633" s="67">
        <f>E633/'Lookup Tables'!$C$48</f>
        <v>28.944217778885253</v>
      </c>
      <c r="H633" s="70">
        <f t="shared" si="60"/>
        <v>8.4244981565554759E-3</v>
      </c>
      <c r="I633" s="71">
        <f t="shared" si="64"/>
        <v>4.1679673601594761E-2</v>
      </c>
      <c r="L633" s="74"/>
      <c r="M633" s="74"/>
      <c r="N633" s="74"/>
      <c r="O633" s="74"/>
      <c r="P633" s="74"/>
      <c r="Q633" s="74"/>
      <c r="R633" s="74"/>
      <c r="S633" s="74"/>
      <c r="T633" s="74"/>
      <c r="U633" s="74"/>
      <c r="V633" s="74"/>
      <c r="W633" s="74"/>
      <c r="X633" s="74"/>
      <c r="Y633" s="74"/>
      <c r="Z633" s="74"/>
    </row>
    <row r="634" spans="1:26" x14ac:dyDescent="0.3">
      <c r="A634" s="66">
        <f t="shared" si="62"/>
        <v>2052.699999999943</v>
      </c>
      <c r="B634" s="67">
        <f>LOOKUP(A634+0.01,Amounts!$A$4:$A$103,Amounts!$B$4:$B$103)*0.1*$A$2</f>
        <v>0</v>
      </c>
      <c r="C634" s="68">
        <f t="shared" si="61"/>
        <v>902907.24633514904</v>
      </c>
      <c r="D634" s="67">
        <f t="array" ref="D634">SUM($B$7:$B629*$F$1009*EXP(-$F$1009*($A634-$A$7:$A629)))*$F$1010</f>
        <v>7538328.5350695029</v>
      </c>
      <c r="E634" s="67">
        <f t="shared" si="59"/>
        <v>14.371157868007979</v>
      </c>
      <c r="F634" s="70">
        <f t="shared" si="63"/>
        <v>0.87261670574544448</v>
      </c>
      <c r="G634" s="67">
        <f>E634/'Lookup Tables'!$C$48</f>
        <v>28.742315736015957</v>
      </c>
      <c r="H634" s="70">
        <f t="shared" si="60"/>
        <v>8.3657325889056229E-3</v>
      </c>
      <c r="I634" s="71">
        <f t="shared" si="64"/>
        <v>4.1388934659862979E-2</v>
      </c>
      <c r="L634" s="74"/>
      <c r="M634" s="74"/>
      <c r="N634" s="74"/>
      <c r="O634" s="74"/>
      <c r="P634" s="74"/>
      <c r="Q634" s="74"/>
      <c r="R634" s="74"/>
      <c r="S634" s="74"/>
      <c r="T634" s="74"/>
      <c r="U634" s="74"/>
      <c r="V634" s="74"/>
      <c r="W634" s="74"/>
      <c r="X634" s="74"/>
      <c r="Y634" s="74"/>
      <c r="Z634" s="74"/>
    </row>
    <row r="635" spans="1:26" x14ac:dyDescent="0.3">
      <c r="A635" s="66">
        <f t="shared" si="62"/>
        <v>2052.7999999999429</v>
      </c>
      <c r="B635" s="67">
        <f>LOOKUP(A635+0.01,Amounts!$A$4:$A$103,Amounts!$B$4:$B$103)*0.1*$A$2</f>
        <v>0</v>
      </c>
      <c r="C635" s="68">
        <f t="shared" si="61"/>
        <v>902907.24633514904</v>
      </c>
      <c r="D635" s="67">
        <f t="array" ref="D635">SUM($B$7:$B630*$F$1009*EXP(-$F$1009*($A635-$A$7:$A630)))*$F$1010</f>
        <v>7485744.4941851506</v>
      </c>
      <c r="E635" s="67">
        <f t="shared" si="59"/>
        <v>14.270911036184291</v>
      </c>
      <c r="F635" s="70">
        <f t="shared" si="63"/>
        <v>0.86652971811711021</v>
      </c>
      <c r="G635" s="67">
        <f>E635/'Lookup Tables'!$C$48</f>
        <v>28.541822072368582</v>
      </c>
      <c r="H635" s="70">
        <f t="shared" si="60"/>
        <v>8.3073769438264684E-3</v>
      </c>
      <c r="I635" s="71">
        <f t="shared" si="64"/>
        <v>4.1100223784210757E-2</v>
      </c>
      <c r="L635" s="74"/>
      <c r="M635" s="74"/>
      <c r="N635" s="74"/>
      <c r="O635" s="74"/>
      <c r="P635" s="74"/>
      <c r="Q635" s="74"/>
      <c r="R635" s="74"/>
      <c r="S635" s="74"/>
      <c r="T635" s="74"/>
      <c r="U635" s="74"/>
      <c r="V635" s="74"/>
      <c r="W635" s="74"/>
      <c r="X635" s="74"/>
      <c r="Y635" s="74"/>
      <c r="Z635" s="74"/>
    </row>
    <row r="636" spans="1:26" x14ac:dyDescent="0.3">
      <c r="A636" s="66">
        <f t="shared" si="62"/>
        <v>2052.8999999999428</v>
      </c>
      <c r="B636" s="67">
        <f>LOOKUP(A636+0.01,Amounts!$A$4:$A$103,Amounts!$B$4:$B$103)*0.1*$A$2</f>
        <v>0</v>
      </c>
      <c r="C636" s="68">
        <f t="shared" si="61"/>
        <v>902907.24633514904</v>
      </c>
      <c r="D636" s="67">
        <f t="array" ref="D636">SUM($B$7:$B631*$F$1009*EXP(-$F$1009*($A636-$A$7:$A631)))*$F$1010</f>
        <v>7433527.2562787887</v>
      </c>
      <c r="E636" s="67">
        <f t="shared" si="59"/>
        <v>14.171363481856753</v>
      </c>
      <c r="F636" s="70">
        <f t="shared" si="63"/>
        <v>0.86048519061834206</v>
      </c>
      <c r="G636" s="67">
        <f>E636/'Lookup Tables'!$C$48</f>
        <v>28.342726963713506</v>
      </c>
      <c r="H636" s="70">
        <f t="shared" si="60"/>
        <v>8.2494283618797324E-3</v>
      </c>
      <c r="I636" s="71">
        <f t="shared" si="64"/>
        <v>4.0813526827747443E-2</v>
      </c>
      <c r="L636" s="74"/>
      <c r="M636" s="74"/>
      <c r="N636" s="74"/>
      <c r="O636" s="74"/>
      <c r="P636" s="74"/>
      <c r="Q636" s="74"/>
      <c r="R636" s="74"/>
      <c r="S636" s="74"/>
      <c r="T636" s="74"/>
      <c r="U636" s="74"/>
      <c r="V636" s="74"/>
      <c r="W636" s="74"/>
      <c r="X636" s="74"/>
      <c r="Y636" s="74"/>
      <c r="Z636" s="74"/>
    </row>
    <row r="637" spans="1:26" x14ac:dyDescent="0.3">
      <c r="A637" s="66">
        <f t="shared" si="62"/>
        <v>2052.9999999999427</v>
      </c>
      <c r="B637" s="67">
        <f>LOOKUP(A637+0.01,Amounts!$A$4:$A$103,Amounts!$B$4:$B$103)*0.1*$A$2</f>
        <v>0</v>
      </c>
      <c r="C637" s="68">
        <f t="shared" si="61"/>
        <v>902907.24633514904</v>
      </c>
      <c r="D637" s="67">
        <f t="array" ref="D637">SUM($B$7:$B632*$F$1009*EXP(-$F$1009*($A637-$A$7:$A632)))*$F$1010</f>
        <v>7381674.2626953116</v>
      </c>
      <c r="E637" s="67">
        <f t="shared" si="59"/>
        <v>14.072510327175285</v>
      </c>
      <c r="F637" s="70">
        <f t="shared" si="63"/>
        <v>0.85448282706608336</v>
      </c>
      <c r="G637" s="67">
        <f>E637/'Lookup Tables'!$C$48</f>
        <v>28.145020654350571</v>
      </c>
      <c r="H637" s="70">
        <f t="shared" si="60"/>
        <v>8.1918840035733066E-3</v>
      </c>
      <c r="I637" s="71">
        <f t="shared" si="64"/>
        <v>4.0528829742264821E-2</v>
      </c>
      <c r="L637" s="74"/>
      <c r="M637" s="74"/>
      <c r="N637" s="74"/>
      <c r="O637" s="74"/>
      <c r="P637" s="74"/>
      <c r="Q637" s="74"/>
      <c r="R637" s="74"/>
      <c r="S637" s="74"/>
      <c r="T637" s="74"/>
      <c r="U637" s="74"/>
      <c r="V637" s="74"/>
      <c r="W637" s="74"/>
      <c r="X637" s="74"/>
      <c r="Y637" s="74"/>
      <c r="Z637" s="74"/>
    </row>
    <row r="638" spans="1:26" x14ac:dyDescent="0.3">
      <c r="A638" s="66">
        <f t="shared" si="62"/>
        <v>2053.0999999999426</v>
      </c>
      <c r="B638" s="67">
        <f>LOOKUP(A638+0.01,Amounts!$A$4:$A$103,Amounts!$B$4:$B$103)*0.1*$A$2</f>
        <v>0</v>
      </c>
      <c r="C638" s="68">
        <f t="shared" si="61"/>
        <v>902907.24633514904</v>
      </c>
      <c r="D638" s="67">
        <f t="array" ref="D638">SUM($B$7:$B633*$F$1009*EXP(-$F$1009*($A638-$A$7:$A633)))*$F$1010</f>
        <v>7330182.9726276565</v>
      </c>
      <c r="E638" s="67">
        <f t="shared" si="59"/>
        <v>13.974346728315522</v>
      </c>
      <c r="F638" s="70">
        <f t="shared" si="63"/>
        <v>0.8485223333433185</v>
      </c>
      <c r="G638" s="67">
        <f>E638/'Lookup Tables'!$C$48</f>
        <v>27.948693456631045</v>
      </c>
      <c r="H638" s="70">
        <f t="shared" si="60"/>
        <v>8.1347410492221134E-3</v>
      </c>
      <c r="I638" s="71">
        <f t="shared" si="64"/>
        <v>4.0246118577548708E-2</v>
      </c>
      <c r="L638" s="74"/>
      <c r="M638" s="74"/>
      <c r="N638" s="74"/>
      <c r="O638" s="74"/>
      <c r="P638" s="74"/>
      <c r="Q638" s="74"/>
      <c r="R638" s="74"/>
      <c r="S638" s="74"/>
      <c r="T638" s="74"/>
      <c r="U638" s="74"/>
      <c r="V638" s="74"/>
      <c r="W638" s="74"/>
      <c r="X638" s="74"/>
      <c r="Y638" s="74"/>
      <c r="Z638" s="74"/>
    </row>
    <row r="639" spans="1:26" x14ac:dyDescent="0.3">
      <c r="A639" s="66">
        <f t="shared" si="62"/>
        <v>2053.1999999999425</v>
      </c>
      <c r="B639" s="67">
        <f>LOOKUP(A639+0.01,Amounts!$A$4:$A$103,Amounts!$B$4:$B$103)*0.1*$A$2</f>
        <v>0</v>
      </c>
      <c r="C639" s="68">
        <f t="shared" si="61"/>
        <v>902907.24633514904</v>
      </c>
      <c r="D639" s="67">
        <f t="array" ref="D639">SUM($B$7:$B634*$F$1009*EXP(-$F$1009*($A639-$A$7:$A634)))*$F$1010</f>
        <v>7279050.86299231</v>
      </c>
      <c r="E639" s="67">
        <f t="shared" si="59"/>
        <v>13.876867875241485</v>
      </c>
      <c r="F639" s="70">
        <f t="shared" si="63"/>
        <v>0.84260341738466304</v>
      </c>
      <c r="G639" s="67">
        <f>E639/'Lookup Tables'!$C$48</f>
        <v>27.753735750482971</v>
      </c>
      <c r="H639" s="70">
        <f t="shared" si="60"/>
        <v>8.0779966988099583E-3</v>
      </c>
      <c r="I639" s="71">
        <f t="shared" si="64"/>
        <v>3.9965379480695479E-2</v>
      </c>
      <c r="L639" s="74"/>
      <c r="M639" s="74"/>
      <c r="N639" s="74"/>
      <c r="O639" s="74"/>
      <c r="P639" s="74"/>
      <c r="Q639" s="74"/>
      <c r="R639" s="74"/>
      <c r="S639" s="74"/>
      <c r="T639" s="74"/>
      <c r="U639" s="74"/>
      <c r="V639" s="74"/>
      <c r="W639" s="74"/>
      <c r="X639" s="74"/>
      <c r="Y639" s="74"/>
      <c r="Z639" s="74"/>
    </row>
    <row r="640" spans="1:26" x14ac:dyDescent="0.3">
      <c r="A640" s="66">
        <f t="shared" si="62"/>
        <v>2053.2999999999424</v>
      </c>
      <c r="B640" s="67">
        <f>LOOKUP(A640+0.01,Amounts!$A$4:$A$103,Amounts!$B$4:$B$103)*0.1*$A$2</f>
        <v>0</v>
      </c>
      <c r="C640" s="68">
        <f t="shared" si="61"/>
        <v>902907.24633514904</v>
      </c>
      <c r="D640" s="67">
        <f t="array" ref="D640">SUM($B$7:$B635*$F$1009*EXP(-$F$1009*($A640-$A$7:$A635)))*$F$1010</f>
        <v>7228275.4283056669</v>
      </c>
      <c r="E640" s="67">
        <f t="shared" si="59"/>
        <v>13.780068991469868</v>
      </c>
      <c r="F640" s="70">
        <f t="shared" si="63"/>
        <v>0.83672578916205032</v>
      </c>
      <c r="G640" s="67">
        <f>E640/'Lookup Tables'!$C$48</f>
        <v>27.560137982939736</v>
      </c>
      <c r="H640" s="70">
        <f t="shared" si="60"/>
        <v>8.0216481718523216E-3</v>
      </c>
      <c r="I640" s="71">
        <f t="shared" si="64"/>
        <v>3.9686598695433221E-2</v>
      </c>
      <c r="L640" s="74"/>
      <c r="M640" s="74"/>
      <c r="N640" s="74"/>
      <c r="O640" s="74"/>
      <c r="P640" s="74"/>
      <c r="Q640" s="74"/>
      <c r="R640" s="74"/>
      <c r="S640" s="74"/>
      <c r="T640" s="74"/>
      <c r="U640" s="74"/>
      <c r="V640" s="74"/>
      <c r="W640" s="74"/>
      <c r="X640" s="74"/>
      <c r="Y640" s="74"/>
      <c r="Z640" s="74"/>
    </row>
    <row r="641" spans="1:26" x14ac:dyDescent="0.3">
      <c r="A641" s="66">
        <f t="shared" si="62"/>
        <v>2053.3999999999423</v>
      </c>
      <c r="B641" s="67">
        <f>LOOKUP(A641+0.01,Amounts!$A$4:$A$103,Amounts!$B$4:$B$103)*0.1*$A$2</f>
        <v>0</v>
      </c>
      <c r="C641" s="68">
        <f t="shared" si="61"/>
        <v>902907.24633514904</v>
      </c>
      <c r="D641" s="67">
        <f t="array" ref="D641">SUM($B$7:$B636*$F$1009*EXP(-$F$1009*($A641-$A$7:$A636)))*$F$1010</f>
        <v>7177854.1805612724</v>
      </c>
      <c r="E641" s="67">
        <f t="shared" si="59"/>
        <v>13.683945333835998</v>
      </c>
      <c r="F641" s="70">
        <f t="shared" si="63"/>
        <v>0.83088916067052188</v>
      </c>
      <c r="G641" s="67">
        <f>E641/'Lookup Tables'!$C$48</f>
        <v>27.367890667671997</v>
      </c>
      <c r="H641" s="70">
        <f t="shared" si="60"/>
        <v>7.9656927072601063E-3</v>
      </c>
      <c r="I641" s="71">
        <f t="shared" si="64"/>
        <v>3.9409762561447681E-2</v>
      </c>
      <c r="L641" s="74"/>
      <c r="M641" s="74"/>
      <c r="N641" s="74"/>
      <c r="O641" s="74"/>
      <c r="P641" s="74"/>
      <c r="Q641" s="74"/>
      <c r="R641" s="74"/>
      <c r="S641" s="74"/>
      <c r="T641" s="74"/>
      <c r="U641" s="74"/>
      <c r="V641" s="74"/>
      <c r="W641" s="74"/>
      <c r="X641" s="74"/>
      <c r="Y641" s="74"/>
      <c r="Z641" s="74"/>
    </row>
    <row r="642" spans="1:26" x14ac:dyDescent="0.3">
      <c r="A642" s="66">
        <f t="shared" si="62"/>
        <v>2053.4999999999422</v>
      </c>
      <c r="B642" s="67">
        <f>LOOKUP(A642+0.01,Amounts!$A$4:$A$103,Amounts!$B$4:$B$103)*0.1*$A$2</f>
        <v>0</v>
      </c>
      <c r="C642" s="68">
        <f t="shared" si="61"/>
        <v>902907.24633514904</v>
      </c>
      <c r="D642" s="67">
        <f t="array" ref="D642">SUM($B$7:$B637*$F$1009*EXP(-$F$1009*($A642-$A$7:$A637)))*$F$1010</f>
        <v>7127784.6491078958</v>
      </c>
      <c r="E642" s="67">
        <f t="shared" si="59"/>
        <v>13.588492192261421</v>
      </c>
      <c r="F642" s="70">
        <f t="shared" si="63"/>
        <v>0.82509324591411359</v>
      </c>
      <c r="G642" s="67">
        <f>E642/'Lookup Tables'!$C$48</f>
        <v>27.176984384522843</v>
      </c>
      <c r="H642" s="70">
        <f t="shared" si="60"/>
        <v>7.9101275632043506E-3</v>
      </c>
      <c r="I642" s="71">
        <f t="shared" si="64"/>
        <v>3.9134857513712894E-2</v>
      </c>
      <c r="L642" s="74"/>
      <c r="M642" s="74"/>
      <c r="N642" s="74"/>
      <c r="O642" s="74"/>
      <c r="P642" s="74"/>
      <c r="Q642" s="74"/>
      <c r="R642" s="74"/>
      <c r="S642" s="74"/>
      <c r="T642" s="74"/>
      <c r="U642" s="74"/>
      <c r="V642" s="74"/>
      <c r="W642" s="74"/>
      <c r="X642" s="74"/>
      <c r="Y642" s="74"/>
      <c r="Z642" s="74"/>
    </row>
    <row r="643" spans="1:26" x14ac:dyDescent="0.3">
      <c r="A643" s="66">
        <f t="shared" si="62"/>
        <v>2053.5999999999422</v>
      </c>
      <c r="B643" s="67">
        <f>LOOKUP(A643+0.01,Amounts!$A$4:$A$103,Amounts!$B$4:$B$103)*0.1*$A$2</f>
        <v>0</v>
      </c>
      <c r="C643" s="68">
        <f t="shared" si="61"/>
        <v>902907.24633514904</v>
      </c>
      <c r="D643" s="67">
        <f t="array" ref="D643">SUM($B$7:$B638*$F$1009*EXP(-$F$1009*($A643-$A$7:$A638)))*$F$1010</f>
        <v>7078064.380528478</v>
      </c>
      <c r="E643" s="67">
        <f t="shared" si="59"/>
        <v>13.4937048895231</v>
      </c>
      <c r="F643" s="70">
        <f t="shared" si="63"/>
        <v>0.81933776089184263</v>
      </c>
      <c r="G643" s="67">
        <f>E643/'Lookup Tables'!$C$48</f>
        <v>26.9874097790462</v>
      </c>
      <c r="H643" s="70">
        <f t="shared" si="60"/>
        <v>7.8549500169818806E-3</v>
      </c>
      <c r="I643" s="71">
        <f t="shared" si="64"/>
        <v>3.8861870081826524E-2</v>
      </c>
      <c r="L643" s="74"/>
      <c r="M643" s="74"/>
      <c r="N643" s="74"/>
      <c r="O643" s="74"/>
      <c r="P643" s="74"/>
      <c r="Q643" s="74"/>
      <c r="R643" s="74"/>
      <c r="S643" s="74"/>
      <c r="T643" s="74"/>
      <c r="U643" s="74"/>
      <c r="V643" s="74"/>
      <c r="W643" s="74"/>
      <c r="X643" s="74"/>
      <c r="Y643" s="74"/>
      <c r="Z643" s="74"/>
    </row>
    <row r="644" spans="1:26" x14ac:dyDescent="0.3">
      <c r="A644" s="66">
        <f t="shared" si="62"/>
        <v>2053.6999999999421</v>
      </c>
      <c r="B644" s="67">
        <f>LOOKUP(A644+0.01,Amounts!$A$4:$A$103,Amounts!$B$4:$B$103)*0.1*$A$2</f>
        <v>0</v>
      </c>
      <c r="C644" s="68">
        <f t="shared" si="61"/>
        <v>902907.24633514904</v>
      </c>
      <c r="D644" s="67">
        <f t="array" ref="D644">SUM($B$7:$B639*$F$1009*EXP(-$F$1009*($A644-$A$7:$A639)))*$F$1010</f>
        <v>7028690.93851991</v>
      </c>
      <c r="E644" s="67">
        <f t="shared" si="59"/>
        <v>13.399578781024232</v>
      </c>
      <c r="F644" s="70">
        <f t="shared" si="63"/>
        <v>0.81362242358379144</v>
      </c>
      <c r="G644" s="67">
        <f>E644/'Lookup Tables'!$C$48</f>
        <v>26.799157562048464</v>
      </c>
      <c r="H644" s="70">
        <f t="shared" si="60"/>
        <v>7.800157364881888E-3</v>
      </c>
      <c r="I644" s="71">
        <f t="shared" si="64"/>
        <v>3.8590786889349797E-2</v>
      </c>
      <c r="L644" s="74"/>
      <c r="M644" s="74"/>
      <c r="N644" s="74"/>
      <c r="O644" s="74"/>
      <c r="P644" s="74"/>
      <c r="Q644" s="74"/>
      <c r="R644" s="74"/>
      <c r="S644" s="74"/>
      <c r="T644" s="74"/>
      <c r="U644" s="74"/>
      <c r="V644" s="74"/>
      <c r="W644" s="74"/>
      <c r="X644" s="74"/>
      <c r="Y644" s="74"/>
      <c r="Z644" s="74"/>
    </row>
    <row r="645" spans="1:26" x14ac:dyDescent="0.3">
      <c r="A645" s="66">
        <f t="shared" si="62"/>
        <v>2053.799999999942</v>
      </c>
      <c r="B645" s="67">
        <f>LOOKUP(A645+0.01,Amounts!$A$4:$A$103,Amounts!$B$4:$B$103)*0.1*$A$2</f>
        <v>0</v>
      </c>
      <c r="C645" s="68">
        <f t="shared" si="61"/>
        <v>902907.24633514904</v>
      </c>
      <c r="D645" s="67">
        <f t="array" ref="D645">SUM($B$7:$B640*$F$1009*EXP(-$F$1009*($A645-$A$7:$A640)))*$F$1010</f>
        <v>6979661.903773658</v>
      </c>
      <c r="E645" s="67">
        <f t="shared" si="59"/>
        <v>13.306109254566673</v>
      </c>
      <c r="F645" s="70">
        <f t="shared" si="63"/>
        <v>0.80794695393728833</v>
      </c>
      <c r="G645" s="67">
        <f>E645/'Lookup Tables'!$C$48</f>
        <v>26.612218509133346</v>
      </c>
      <c r="H645" s="70">
        <f t="shared" si="60"/>
        <v>7.7457469220534566E-3</v>
      </c>
      <c r="I645" s="71">
        <f t="shared" si="64"/>
        <v>3.8321594653152019E-2</v>
      </c>
      <c r="L645" s="74"/>
      <c r="M645" s="74"/>
      <c r="N645" s="74"/>
      <c r="O645" s="74"/>
      <c r="P645" s="74"/>
      <c r="Q645" s="74"/>
      <c r="R645" s="74"/>
      <c r="S645" s="74"/>
      <c r="T645" s="74"/>
      <c r="U645" s="74"/>
      <c r="V645" s="74"/>
      <c r="W645" s="74"/>
      <c r="X645" s="74"/>
      <c r="Y645" s="74"/>
      <c r="Z645" s="74"/>
    </row>
    <row r="646" spans="1:26" x14ac:dyDescent="0.3">
      <c r="A646" s="66">
        <f t="shared" si="62"/>
        <v>2053.8999999999419</v>
      </c>
      <c r="B646" s="67">
        <f>LOOKUP(A646+0.01,Amounts!$A$4:$A$103,Amounts!$B$4:$B$103)*0.1*$A$2</f>
        <v>0</v>
      </c>
      <c r="C646" s="68">
        <f t="shared" si="61"/>
        <v>902907.24633514904</v>
      </c>
      <c r="D646" s="67">
        <f t="array" ref="D646">SUM($B$7:$B641*$F$1009*EXP(-$F$1009*($A646-$A$7:$A641)))*$F$1010</f>
        <v>6930974.8738572029</v>
      </c>
      <c r="E646" s="67">
        <f t="shared" si="59"/>
        <v>13.213291730124917</v>
      </c>
      <c r="F646" s="70">
        <f t="shared" si="63"/>
        <v>0.8023110738531849</v>
      </c>
      <c r="G646" s="67">
        <f>E646/'Lookup Tables'!$C$48</f>
        <v>26.426583460249834</v>
      </c>
      <c r="H646" s="70">
        <f t="shared" si="60"/>
        <v>7.6917160223740023E-3</v>
      </c>
      <c r="I646" s="71">
        <f t="shared" si="64"/>
        <v>3.8054280182759755E-2</v>
      </c>
      <c r="L646" s="74"/>
      <c r="M646" s="74"/>
      <c r="N646" s="74"/>
      <c r="O646" s="74"/>
      <c r="P646" s="74"/>
      <c r="Q646" s="74"/>
      <c r="R646" s="74"/>
      <c r="S646" s="74"/>
      <c r="T646" s="74"/>
      <c r="U646" s="74"/>
      <c r="V646" s="74"/>
      <c r="W646" s="74"/>
      <c r="X646" s="74"/>
      <c r="Y646" s="74"/>
      <c r="Z646" s="74"/>
    </row>
    <row r="647" spans="1:26" x14ac:dyDescent="0.3">
      <c r="A647" s="66">
        <f t="shared" si="62"/>
        <v>2053.9999999999418</v>
      </c>
      <c r="B647" s="67">
        <f>LOOKUP(A647+0.01,Amounts!$A$4:$A$103,Amounts!$B$4:$B$103)*0.1*$A$2</f>
        <v>0</v>
      </c>
      <c r="C647" s="68">
        <f t="shared" si="61"/>
        <v>902907.24633514904</v>
      </c>
      <c r="D647" s="67">
        <f t="array" ref="D647">SUM($B$7:$B642*$F$1009*EXP(-$F$1009*($A647-$A$7:$A642)))*$F$1010</f>
        <v>6882627.463096342</v>
      </c>
      <c r="E647" s="67">
        <f t="shared" ref="E647:E710" si="65">D647/(365*24*60)*1.00201</f>
        <v>13.1211216596217</v>
      </c>
      <c r="F647" s="70">
        <f t="shared" si="63"/>
        <v>0.79671450717222958</v>
      </c>
      <c r="G647" s="67">
        <f>E647/'Lookup Tables'!$C$48</f>
        <v>26.2422433192434</v>
      </c>
      <c r="H647" s="70">
        <f t="shared" ref="H647:H710" si="66">G647*60*24*365/(C647*2000)</f>
        <v>7.6380620183186306E-3</v>
      </c>
      <c r="I647" s="71">
        <f t="shared" si="64"/>
        <v>3.7788830379710495E-2</v>
      </c>
      <c r="L647" s="74"/>
      <c r="M647" s="74"/>
      <c r="N647" s="74"/>
      <c r="O647" s="74"/>
      <c r="P647" s="74"/>
      <c r="Q647" s="74"/>
      <c r="R647" s="74"/>
      <c r="S647" s="74"/>
      <c r="T647" s="74"/>
      <c r="U647" s="74"/>
      <c r="V647" s="74"/>
      <c r="W647" s="74"/>
      <c r="X647" s="74"/>
      <c r="Y647" s="74"/>
      <c r="Z647" s="74"/>
    </row>
    <row r="648" spans="1:26" x14ac:dyDescent="0.3">
      <c r="A648" s="66">
        <f t="shared" si="62"/>
        <v>2054.0999999999417</v>
      </c>
      <c r="B648" s="67">
        <f>LOOKUP(A648+0.01,Amounts!$A$4:$A$103,Amounts!$B$4:$B$103)*0.1*$A$2</f>
        <v>0</v>
      </c>
      <c r="C648" s="68">
        <f t="shared" si="61"/>
        <v>902907.24633514904</v>
      </c>
      <c r="D648" s="67">
        <f t="array" ref="D648">SUM($B$7:$B643*$F$1009*EXP(-$F$1009*($A648-$A$7:$A643)))*$F$1010</f>
        <v>6834617.302458276</v>
      </c>
      <c r="E648" s="67">
        <f t="shared" si="65"/>
        <v>13.029594526705132</v>
      </c>
      <c r="F648" s="70">
        <f t="shared" si="63"/>
        <v>0.79115697966153575</v>
      </c>
      <c r="G648" s="67">
        <f>E648/'Lookup Tables'!$C$48</f>
        <v>26.059189053410265</v>
      </c>
      <c r="H648" s="70">
        <f t="shared" si="66"/>
        <v>7.5847822808304119E-3</v>
      </c>
      <c r="I648" s="71">
        <f t="shared" si="64"/>
        <v>3.7525232236910788E-2</v>
      </c>
      <c r="L648" s="74"/>
      <c r="M648" s="74"/>
      <c r="N648" s="74"/>
      <c r="O648" s="74"/>
      <c r="P648" s="74"/>
      <c r="Q648" s="74"/>
      <c r="R648" s="74"/>
      <c r="S648" s="74"/>
      <c r="T648" s="74"/>
      <c r="U648" s="74"/>
      <c r="V648" s="74"/>
      <c r="W648" s="74"/>
      <c r="X648" s="74"/>
      <c r="Y648" s="74"/>
      <c r="Z648" s="74"/>
    </row>
    <row r="649" spans="1:26" x14ac:dyDescent="0.3">
      <c r="A649" s="66">
        <f t="shared" si="62"/>
        <v>2054.1999999999416</v>
      </c>
      <c r="B649" s="67">
        <f>LOOKUP(A649+0.01,Amounts!$A$4:$A$103,Amounts!$B$4:$B$103)*0.1*$A$2</f>
        <v>0</v>
      </c>
      <c r="C649" s="68">
        <f t="shared" ref="C649:C712" si="67">C648+B649</f>
        <v>902907.24633514904</v>
      </c>
      <c r="D649" s="67">
        <f t="array" ref="D649">SUM($B$7:$B644*$F$1009*EXP(-$F$1009*($A649-$A$7:$A644)))*$F$1010</f>
        <v>6786942.0394355226</v>
      </c>
      <c r="E649" s="67">
        <f t="shared" si="65"/>
        <v>12.938705846527375</v>
      </c>
      <c r="F649" s="70">
        <f t="shared" si="63"/>
        <v>0.78563821900114217</v>
      </c>
      <c r="G649" s="67">
        <f>E649/'Lookup Tables'!$C$48</f>
        <v>25.87741169305475</v>
      </c>
      <c r="H649" s="70">
        <f t="shared" si="66"/>
        <v>7.5318741991915383E-3</v>
      </c>
      <c r="I649" s="71">
        <f t="shared" si="64"/>
        <v>3.7263472837998836E-2</v>
      </c>
      <c r="L649" s="74"/>
      <c r="M649" s="74"/>
      <c r="N649" s="74"/>
      <c r="O649" s="74"/>
      <c r="P649" s="74"/>
      <c r="Q649" s="74"/>
      <c r="R649" s="74"/>
      <c r="S649" s="74"/>
      <c r="T649" s="74"/>
      <c r="U649" s="74"/>
      <c r="V649" s="74"/>
      <c r="W649" s="74"/>
      <c r="X649" s="74"/>
      <c r="Y649" s="74"/>
      <c r="Z649" s="74"/>
    </row>
    <row r="650" spans="1:26" x14ac:dyDescent="0.3">
      <c r="A650" s="66">
        <f t="shared" si="62"/>
        <v>2054.2999999999415</v>
      </c>
      <c r="B650" s="67">
        <f>LOOKUP(A650+0.01,Amounts!$A$4:$A$103,Amounts!$B$4:$B$103)*0.1*$A$2</f>
        <v>0</v>
      </c>
      <c r="C650" s="68">
        <f t="shared" si="67"/>
        <v>902907.24633514904</v>
      </c>
      <c r="D650" s="67">
        <f t="array" ref="D650">SUM($B$7:$B645*$F$1009*EXP(-$F$1009*($A650-$A$7:$A645)))*$F$1010</f>
        <v>6739599.3379306588</v>
      </c>
      <c r="E650" s="67">
        <f t="shared" si="65"/>
        <v>12.848451165524924</v>
      </c>
      <c r="F650" s="70">
        <f t="shared" si="63"/>
        <v>0.7801579547706734</v>
      </c>
      <c r="G650" s="67">
        <f>E650/'Lookup Tables'!$C$48</f>
        <v>25.696902331049849</v>
      </c>
      <c r="H650" s="70">
        <f t="shared" si="66"/>
        <v>7.4793351808954351E-3</v>
      </c>
      <c r="I650" s="71">
        <f t="shared" si="64"/>
        <v>3.7003539356711787E-2</v>
      </c>
      <c r="L650" s="74"/>
      <c r="M650" s="74"/>
      <c r="N650" s="74"/>
      <c r="O650" s="74"/>
      <c r="P650" s="74"/>
      <c r="Q650" s="74"/>
      <c r="R650" s="74"/>
      <c r="S650" s="74"/>
      <c r="T650" s="74"/>
      <c r="U650" s="74"/>
      <c r="V650" s="74"/>
      <c r="W650" s="74"/>
      <c r="X650" s="74"/>
      <c r="Y650" s="74"/>
      <c r="Z650" s="74"/>
    </row>
    <row r="651" spans="1:26" x14ac:dyDescent="0.3">
      <c r="A651" s="66">
        <f t="shared" si="62"/>
        <v>2054.3999999999414</v>
      </c>
      <c r="B651" s="67">
        <f>LOOKUP(A651+0.01,Amounts!$A$4:$A$103,Amounts!$B$4:$B$103)*0.1*$A$2</f>
        <v>0</v>
      </c>
      <c r="C651" s="68">
        <f t="shared" si="67"/>
        <v>902907.24633514904</v>
      </c>
      <c r="D651" s="67">
        <f t="array" ref="D651">SUM($B$7:$B646*$F$1009*EXP(-$F$1009*($A651-$A$7:$A646)))*$F$1010</f>
        <v>6692586.8781418353</v>
      </c>
      <c r="E651" s="67">
        <f t="shared" si="65"/>
        <v>12.758826061200345</v>
      </c>
      <c r="F651" s="70">
        <f t="shared" si="63"/>
        <v>0.774715918436085</v>
      </c>
      <c r="G651" s="67">
        <f>E651/'Lookup Tables'!$C$48</f>
        <v>25.51765212240069</v>
      </c>
      <c r="H651" s="70">
        <f t="shared" si="66"/>
        <v>7.427162651519683E-3</v>
      </c>
      <c r="I651" s="71">
        <f t="shared" si="64"/>
        <v>3.6745419056256994E-2</v>
      </c>
      <c r="L651" s="74"/>
      <c r="M651" s="74"/>
      <c r="N651" s="74"/>
      <c r="O651" s="74"/>
      <c r="P651" s="74"/>
      <c r="Q651" s="74"/>
      <c r="R651" s="74"/>
      <c r="S651" s="74"/>
      <c r="T651" s="74"/>
      <c r="U651" s="74"/>
      <c r="V651" s="74"/>
      <c r="W651" s="74"/>
      <c r="X651" s="74"/>
      <c r="Y651" s="74"/>
      <c r="Z651" s="74"/>
    </row>
    <row r="652" spans="1:26" x14ac:dyDescent="0.3">
      <c r="A652" s="66">
        <f t="shared" si="62"/>
        <v>2054.4999999999413</v>
      </c>
      <c r="B652" s="67">
        <f>LOOKUP(A652+0.01,Amounts!$A$4:$A$103,Amounts!$B$4:$B$103)*0.1*$A$2</f>
        <v>0</v>
      </c>
      <c r="C652" s="68">
        <f t="shared" si="67"/>
        <v>902907.24633514904</v>
      </c>
      <c r="D652" s="67">
        <f t="array" ref="D652">SUM($B$7:$B647*$F$1009*EXP(-$F$1009*($A652-$A$7:$A647)))*$F$1010</f>
        <v>6645902.3564491188</v>
      </c>
      <c r="E652" s="67">
        <f t="shared" si="65"/>
        <v>12.669826141905597</v>
      </c>
      <c r="F652" s="70">
        <f t="shared" si="63"/>
        <v>0.76931184333650793</v>
      </c>
      <c r="G652" s="67">
        <f>E652/'Lookup Tables'!$C$48</f>
        <v>25.339652283811194</v>
      </c>
      <c r="H652" s="70">
        <f t="shared" si="66"/>
        <v>7.3753540545999112E-3</v>
      </c>
      <c r="I652" s="71">
        <f t="shared" si="64"/>
        <v>3.6489099288688119E-2</v>
      </c>
      <c r="L652" s="74"/>
      <c r="M652" s="74"/>
      <c r="N652" s="74"/>
      <c r="O652" s="74"/>
      <c r="P652" s="74"/>
      <c r="Q652" s="74"/>
      <c r="R652" s="74"/>
      <c r="S652" s="74"/>
      <c r="T652" s="74"/>
      <c r="U652" s="74"/>
      <c r="V652" s="74"/>
      <c r="W652" s="74"/>
      <c r="X652" s="74"/>
      <c r="Y652" s="74"/>
      <c r="Z652" s="74"/>
    </row>
    <row r="653" spans="1:26" x14ac:dyDescent="0.3">
      <c r="A653" s="66">
        <f t="shared" si="62"/>
        <v>2054.5999999999412</v>
      </c>
      <c r="B653" s="67">
        <f>LOOKUP(A653+0.01,Amounts!$A$4:$A$103,Amounts!$B$4:$B$103)*0.1*$A$2</f>
        <v>0</v>
      </c>
      <c r="C653" s="68">
        <f t="shared" si="67"/>
        <v>902907.24633514904</v>
      </c>
      <c r="D653" s="67">
        <f t="array" ref="D653">SUM($B$7:$B648*$F$1009*EXP(-$F$1009*($A653-$A$7:$A648)))*$F$1010</f>
        <v>6599543.4853016008</v>
      </c>
      <c r="E653" s="67">
        <f t="shared" si="65"/>
        <v>12.58144704662682</v>
      </c>
      <c r="F653" s="70">
        <f t="shared" si="63"/>
        <v>0.76394546467118063</v>
      </c>
      <c r="G653" s="67">
        <f>E653/'Lookup Tables'!$C$48</f>
        <v>25.162894093253641</v>
      </c>
      <c r="H653" s="70">
        <f t="shared" si="66"/>
        <v>7.3239068515044987E-3</v>
      </c>
      <c r="I653" s="71">
        <f t="shared" si="64"/>
        <v>3.6234567494285247E-2</v>
      </c>
      <c r="L653" s="74"/>
      <c r="M653" s="74"/>
      <c r="N653" s="74"/>
      <c r="O653" s="74"/>
      <c r="P653" s="74"/>
      <c r="Q653" s="74"/>
      <c r="R653" s="74"/>
      <c r="S653" s="74"/>
      <c r="T653" s="74"/>
      <c r="U653" s="74"/>
      <c r="V653" s="74"/>
      <c r="W653" s="74"/>
      <c r="X653" s="74"/>
      <c r="Y653" s="74"/>
      <c r="Z653" s="74"/>
    </row>
    <row r="654" spans="1:26" x14ac:dyDescent="0.3">
      <c r="A654" s="66">
        <f t="shared" si="62"/>
        <v>2054.6999999999412</v>
      </c>
      <c r="B654" s="67">
        <f>LOOKUP(A654+0.01,Amounts!$A$4:$A$103,Amounts!$B$4:$B$103)*0.1*$A$2</f>
        <v>0</v>
      </c>
      <c r="C654" s="68">
        <f t="shared" si="67"/>
        <v>902907.24633514904</v>
      </c>
      <c r="D654" s="67">
        <f t="array" ref="D654">SUM($B$7:$B649*$F$1009*EXP(-$F$1009*($A654-$A$7:$A649)))*$F$1010</f>
        <v>6553507.9931053258</v>
      </c>
      <c r="E654" s="67">
        <f t="shared" si="65"/>
        <v>12.493684444770677</v>
      </c>
      <c r="F654" s="70">
        <f t="shared" si="63"/>
        <v>0.75861651948647546</v>
      </c>
      <c r="G654" s="67">
        <f>E654/'Lookup Tables'!$C$48</f>
        <v>24.987368889541354</v>
      </c>
      <c r="H654" s="70">
        <f t="shared" si="66"/>
        <v>7.2728185213102045E-3</v>
      </c>
      <c r="I654" s="71">
        <f t="shared" si="64"/>
        <v>3.5981811200939545E-2</v>
      </c>
      <c r="L654" s="74"/>
      <c r="M654" s="74"/>
      <c r="N654" s="74"/>
      <c r="O654" s="74"/>
      <c r="P654" s="74"/>
      <c r="Q654" s="74"/>
      <c r="R654" s="74"/>
      <c r="S654" s="74"/>
      <c r="T654" s="74"/>
      <c r="U654" s="74"/>
      <c r="V654" s="74"/>
      <c r="W654" s="74"/>
      <c r="X654" s="74"/>
      <c r="Y654" s="74"/>
      <c r="Z654" s="74"/>
    </row>
    <row r="655" spans="1:26" x14ac:dyDescent="0.3">
      <c r="A655" s="66">
        <f t="shared" si="62"/>
        <v>2054.7999999999411</v>
      </c>
      <c r="B655" s="67">
        <f>LOOKUP(A655+0.01,Amounts!$A$4:$A$103,Amounts!$B$4:$B$103)*0.1*$A$2</f>
        <v>0</v>
      </c>
      <c r="C655" s="68">
        <f t="shared" si="67"/>
        <v>902907.24633514904</v>
      </c>
      <c r="D655" s="67">
        <f t="array" ref="D655">SUM($B$7:$B650*$F$1009*EXP(-$F$1009*($A655-$A$7:$A650)))*$F$1010</f>
        <v>6507793.6241119597</v>
      </c>
      <c r="E655" s="67">
        <f t="shared" si="65"/>
        <v>12.406534035952102</v>
      </c>
      <c r="F655" s="70">
        <f t="shared" si="63"/>
        <v>0.75332474666301175</v>
      </c>
      <c r="G655" s="67">
        <f>E655/'Lookup Tables'!$C$48</f>
        <v>24.813068071904205</v>
      </c>
      <c r="H655" s="70">
        <f t="shared" si="66"/>
        <v>7.2220865606786267E-3</v>
      </c>
      <c r="I655" s="71">
        <f t="shared" si="64"/>
        <v>3.5730818023542062E-2</v>
      </c>
      <c r="L655" s="74"/>
      <c r="M655" s="74"/>
      <c r="N655" s="74"/>
      <c r="O655" s="74"/>
      <c r="P655" s="74"/>
      <c r="Q655" s="74"/>
      <c r="R655" s="74"/>
      <c r="S655" s="74"/>
      <c r="T655" s="74"/>
      <c r="U655" s="74"/>
      <c r="V655" s="74"/>
      <c r="W655" s="74"/>
      <c r="X655" s="74"/>
      <c r="Y655" s="74"/>
      <c r="Z655" s="74"/>
    </row>
    <row r="656" spans="1:26" x14ac:dyDescent="0.3">
      <c r="A656" s="66">
        <f t="shared" si="62"/>
        <v>2054.899999999941</v>
      </c>
      <c r="B656" s="67">
        <f>LOOKUP(A656+0.01,Amounts!$A$4:$A$103,Amounts!$B$4:$B$103)*0.1*$A$2</f>
        <v>0</v>
      </c>
      <c r="C656" s="68">
        <f t="shared" si="67"/>
        <v>902907.24633514904</v>
      </c>
      <c r="D656" s="67">
        <f t="array" ref="D656">SUM($B$7:$B651*$F$1009*EXP(-$F$1009*($A656-$A$7:$A651)))*$F$1010</f>
        <v>6462398.1383082783</v>
      </c>
      <c r="E656" s="67">
        <f t="shared" si="65"/>
        <v>12.319991549783634</v>
      </c>
      <c r="F656" s="70">
        <f t="shared" si="63"/>
        <v>0.74806988690286225</v>
      </c>
      <c r="G656" s="67">
        <f>E656/'Lookup Tables'!$C$48</f>
        <v>24.639983099567267</v>
      </c>
      <c r="H656" s="70">
        <f t="shared" si="66"/>
        <v>7.1717084837335408E-3</v>
      </c>
      <c r="I656" s="71">
        <f t="shared" si="64"/>
        <v>3.5481575663376869E-2</v>
      </c>
      <c r="L656" s="74"/>
      <c r="M656" s="74"/>
      <c r="N656" s="74"/>
      <c r="O656" s="74"/>
      <c r="P656" s="74"/>
      <c r="Q656" s="74"/>
      <c r="R656" s="74"/>
      <c r="S656" s="74"/>
      <c r="T656" s="74"/>
      <c r="U656" s="74"/>
      <c r="V656" s="74"/>
      <c r="W656" s="74"/>
      <c r="X656" s="74"/>
      <c r="Y656" s="74"/>
      <c r="Z656" s="74"/>
    </row>
    <row r="657" spans="1:26" x14ac:dyDescent="0.3">
      <c r="A657" s="66">
        <f t="shared" si="62"/>
        <v>2054.9999999999409</v>
      </c>
      <c r="B657" s="67">
        <f>LOOKUP(A657+0.01,Amounts!$A$4:$A$103,Amounts!$B$4:$B$103)*0.1*$A$2</f>
        <v>0</v>
      </c>
      <c r="C657" s="68">
        <f t="shared" si="67"/>
        <v>902907.24633514904</v>
      </c>
      <c r="D657" s="67">
        <f t="array" ref="D657">SUM($B$7:$B652*$F$1009*EXP(-$F$1009*($A657-$A$7:$A652)))*$F$1010</f>
        <v>6417319.3113063937</v>
      </c>
      <c r="E657" s="67">
        <f t="shared" si="65"/>
        <v>12.234052745666133</v>
      </c>
      <c r="F657" s="70">
        <f t="shared" si="63"/>
        <v>0.74285168271684765</v>
      </c>
      <c r="G657" s="67">
        <f>E657/'Lookup Tables'!$C$48</f>
        <v>24.468105491332267</v>
      </c>
      <c r="H657" s="70">
        <f t="shared" si="66"/>
        <v>7.1216818219390996E-3</v>
      </c>
      <c r="I657" s="71">
        <f t="shared" si="64"/>
        <v>3.5234071907518462E-2</v>
      </c>
      <c r="L657" s="74"/>
      <c r="M657" s="74"/>
      <c r="N657" s="74"/>
      <c r="O657" s="74"/>
      <c r="P657" s="74"/>
      <c r="Q657" s="74"/>
      <c r="R657" s="74"/>
      <c r="S657" s="74"/>
      <c r="T657" s="74"/>
      <c r="U657" s="74"/>
      <c r="V657" s="74"/>
      <c r="W657" s="74"/>
      <c r="X657" s="74"/>
      <c r="Y657" s="74"/>
      <c r="Z657" s="74"/>
    </row>
    <row r="658" spans="1:26" x14ac:dyDescent="0.3">
      <c r="A658" s="66">
        <f t="shared" si="62"/>
        <v>2055.0999999999408</v>
      </c>
      <c r="B658" s="67">
        <f>LOOKUP(A658+0.01,Amounts!$A$4:$A$103,Amounts!$B$4:$B$103)*0.1*$A$2</f>
        <v>0</v>
      </c>
      <c r="C658" s="68">
        <f t="shared" si="67"/>
        <v>902907.24633514904</v>
      </c>
      <c r="D658" s="67">
        <f t="array" ref="D658">SUM($B$7:$B653*$F$1009*EXP(-$F$1009*($A658-$A$7:$A653)))*$F$1010</f>
        <v>6372554.9342347663</v>
      </c>
      <c r="E658" s="67">
        <f t="shared" si="65"/>
        <v>12.14871341258101</v>
      </c>
      <c r="F658" s="70">
        <f t="shared" si="63"/>
        <v>0.737669878411919</v>
      </c>
      <c r="G658" s="67">
        <f>E658/'Lookup Tables'!$C$48</f>
        <v>24.29742682516202</v>
      </c>
      <c r="H658" s="70">
        <f t="shared" si="66"/>
        <v>7.0720041239788704E-3</v>
      </c>
      <c r="I658" s="71">
        <f t="shared" si="64"/>
        <v>3.4988294628233316E-2</v>
      </c>
      <c r="L658" s="74"/>
      <c r="M658" s="74"/>
      <c r="N658" s="74"/>
      <c r="O658" s="74"/>
      <c r="P658" s="74"/>
      <c r="Q658" s="74"/>
      <c r="R658" s="74"/>
      <c r="S658" s="74"/>
      <c r="T658" s="74"/>
      <c r="U658" s="74"/>
      <c r="V658" s="74"/>
      <c r="W658" s="74"/>
      <c r="X658" s="74"/>
      <c r="Y658" s="74"/>
      <c r="Z658" s="74"/>
    </row>
    <row r="659" spans="1:26" x14ac:dyDescent="0.3">
      <c r="A659" s="66">
        <f t="shared" ref="A659:A722" si="68">A658+0.1</f>
        <v>2055.1999999999407</v>
      </c>
      <c r="B659" s="67">
        <f>LOOKUP(A659+0.01,Amounts!$A$4:$A$103,Amounts!$B$4:$B$103)*0.1*$A$2</f>
        <v>0</v>
      </c>
      <c r="C659" s="68">
        <f t="shared" si="67"/>
        <v>902907.24633514904</v>
      </c>
      <c r="D659" s="67">
        <f t="array" ref="D659">SUM($B$7:$B654*$F$1009*EXP(-$F$1009*($A659-$A$7:$A654)))*$F$1010</f>
        <v>6328102.8136299569</v>
      </c>
      <c r="E659" s="67">
        <f t="shared" si="65"/>
        <v>12.063969368883853</v>
      </c>
      <c r="F659" s="70">
        <f t="shared" ref="F659:F722" si="69">E659*60*1012/1000000</f>
        <v>0.73252422007862761</v>
      </c>
      <c r="G659" s="67">
        <f>E659/'Lookup Tables'!$C$48</f>
        <v>24.127938737767707</v>
      </c>
      <c r="H659" s="70">
        <f t="shared" si="66"/>
        <v>7.0226729556357014E-3</v>
      </c>
      <c r="I659" s="71">
        <f t="shared" ref="I659:I722" si="70">G659*60*24/1000000</f>
        <v>3.4744231782385497E-2</v>
      </c>
      <c r="L659" s="74"/>
      <c r="M659" s="74"/>
      <c r="N659" s="74"/>
      <c r="O659" s="74"/>
      <c r="P659" s="74"/>
      <c r="Q659" s="74"/>
      <c r="R659" s="74"/>
      <c r="S659" s="74"/>
      <c r="T659" s="74"/>
      <c r="U659" s="74"/>
      <c r="V659" s="74"/>
      <c r="W659" s="74"/>
      <c r="X659" s="74"/>
      <c r="Y659" s="74"/>
      <c r="Z659" s="74"/>
    </row>
    <row r="660" spans="1:26" x14ac:dyDescent="0.3">
      <c r="A660" s="66">
        <f t="shared" si="68"/>
        <v>2055.2999999999406</v>
      </c>
      <c r="B660" s="67">
        <f>LOOKUP(A660+0.01,Amounts!$A$4:$A$103,Amounts!$B$4:$B$103)*0.1*$A$2</f>
        <v>0</v>
      </c>
      <c r="C660" s="68">
        <f t="shared" si="67"/>
        <v>902907.24633514904</v>
      </c>
      <c r="D660" s="67">
        <f t="array" ref="D660">SUM($B$7:$B655*$F$1009*EXP(-$F$1009*($A660-$A$7:$A655)))*$F$1010</f>
        <v>6283960.7713291645</v>
      </c>
      <c r="E660" s="67">
        <f t="shared" si="65"/>
        <v>11.979816462099574</v>
      </c>
      <c r="F660" s="70">
        <f t="shared" si="69"/>
        <v>0.72741445557868623</v>
      </c>
      <c r="G660" s="67">
        <f>E660/'Lookup Tables'!$C$48</f>
        <v>23.959632924199148</v>
      </c>
      <c r="H660" s="70">
        <f t="shared" si="66"/>
        <v>6.9736858996724818E-3</v>
      </c>
      <c r="I660" s="71">
        <f t="shared" si="70"/>
        <v>3.4501871410846777E-2</v>
      </c>
      <c r="L660" s="74"/>
      <c r="M660" s="74"/>
      <c r="N660" s="74"/>
      <c r="O660" s="74"/>
      <c r="P660" s="74"/>
      <c r="Q660" s="74"/>
      <c r="R660" s="74"/>
      <c r="S660" s="74"/>
      <c r="T660" s="74"/>
      <c r="U660" s="74"/>
      <c r="V660" s="74"/>
      <c r="W660" s="74"/>
      <c r="X660" s="74"/>
      <c r="Y660" s="74"/>
      <c r="Z660" s="74"/>
    </row>
    <row r="661" spans="1:26" x14ac:dyDescent="0.3">
      <c r="A661" s="66">
        <f t="shared" si="68"/>
        <v>2055.3999999999405</v>
      </c>
      <c r="B661" s="67">
        <f>LOOKUP(A661+0.01,Amounts!$A$4:$A$103,Amounts!$B$4:$B$103)*0.1*$A$2</f>
        <v>0</v>
      </c>
      <c r="C661" s="68">
        <f t="shared" si="67"/>
        <v>902907.24633514904</v>
      </c>
      <c r="D661" s="67">
        <f t="array" ref="D661">SUM($B$7:$B656*$F$1009*EXP(-$F$1009*($A661-$A$7:$A656)))*$F$1010</f>
        <v>6240126.6443634862</v>
      </c>
      <c r="E661" s="67">
        <f t="shared" si="65"/>
        <v>11.896250568718905</v>
      </c>
      <c r="F661" s="70">
        <f t="shared" si="69"/>
        <v>0.72234033453261193</v>
      </c>
      <c r="G661" s="67">
        <f>E661/'Lookup Tables'!$C$48</f>
        <v>23.79250113743781</v>
      </c>
      <c r="H661" s="70">
        <f t="shared" si="66"/>
        <v>6.9250405557136656E-3</v>
      </c>
      <c r="I661" s="71">
        <f t="shared" si="70"/>
        <v>3.4261201637910445E-2</v>
      </c>
      <c r="L661" s="74"/>
      <c r="M661" s="74"/>
      <c r="N661" s="74"/>
      <c r="O661" s="74"/>
      <c r="P661" s="74"/>
      <c r="Q661" s="74"/>
      <c r="R661" s="74"/>
      <c r="S661" s="74"/>
      <c r="T661" s="74"/>
      <c r="U661" s="74"/>
      <c r="V661" s="74"/>
      <c r="W661" s="74"/>
      <c r="X661" s="74"/>
      <c r="Y661" s="74"/>
      <c r="Z661" s="74"/>
    </row>
    <row r="662" spans="1:26" x14ac:dyDescent="0.3">
      <c r="A662" s="66">
        <f t="shared" si="68"/>
        <v>2055.4999999999404</v>
      </c>
      <c r="B662" s="67">
        <f>LOOKUP(A662+0.01,Amounts!$A$4:$A$103,Amounts!$B$4:$B$103)*0.1*$A$2</f>
        <v>0</v>
      </c>
      <c r="C662" s="68">
        <f t="shared" si="67"/>
        <v>902907.24633514904</v>
      </c>
      <c r="D662" s="67">
        <f t="array" ref="D662">SUM($B$7:$B657*$F$1009*EXP(-$F$1009*($A662-$A$7:$A657)))*$F$1010</f>
        <v>6196598.2848519273</v>
      </c>
      <c r="E662" s="67">
        <f t="shared" si="65"/>
        <v>11.813267593996347</v>
      </c>
      <c r="F662" s="70">
        <f t="shared" si="69"/>
        <v>0.71730160830745815</v>
      </c>
      <c r="G662" s="67">
        <f>E662/'Lookup Tables'!$C$48</f>
        <v>23.626535187992694</v>
      </c>
      <c r="H662" s="70">
        <f t="shared" si="66"/>
        <v>6.8767345401276672E-3</v>
      </c>
      <c r="I662" s="71">
        <f t="shared" si="70"/>
        <v>3.4022210670709478E-2</v>
      </c>
      <c r="L662" s="74"/>
      <c r="M662" s="74"/>
      <c r="N662" s="74"/>
      <c r="O662" s="74"/>
      <c r="P662" s="74"/>
      <c r="Q662" s="74"/>
      <c r="R662" s="74"/>
      <c r="S662" s="74"/>
      <c r="T662" s="74"/>
      <c r="U662" s="74"/>
      <c r="V662" s="74"/>
      <c r="W662" s="74"/>
      <c r="X662" s="74"/>
      <c r="Y662" s="74"/>
      <c r="Z662" s="74"/>
    </row>
    <row r="663" spans="1:26" x14ac:dyDescent="0.3">
      <c r="A663" s="66">
        <f t="shared" si="68"/>
        <v>2055.5999999999403</v>
      </c>
      <c r="B663" s="67">
        <f>LOOKUP(A663+0.01,Amounts!$A$4:$A$103,Amounts!$B$4:$B$103)*0.1*$A$2</f>
        <v>0</v>
      </c>
      <c r="C663" s="68">
        <f t="shared" si="67"/>
        <v>902907.24633514904</v>
      </c>
      <c r="D663" s="67">
        <f t="array" ref="D663">SUM($B$7:$B658*$F$1009*EXP(-$F$1009*($A663-$A$7:$A658)))*$F$1010</f>
        <v>6153373.5598961646</v>
      </c>
      <c r="E663" s="67">
        <f t="shared" si="65"/>
        <v>11.730863471749537</v>
      </c>
      <c r="F663" s="70">
        <f t="shared" si="69"/>
        <v>0.71229803000463188</v>
      </c>
      <c r="G663" s="67">
        <f>E663/'Lookup Tables'!$C$48</f>
        <v>23.461726943499073</v>
      </c>
      <c r="H663" s="70">
        <f t="shared" si="66"/>
        <v>6.8287654859100584E-3</v>
      </c>
      <c r="I663" s="71">
        <f t="shared" si="70"/>
        <v>3.3784886798638669E-2</v>
      </c>
      <c r="L663" s="74"/>
      <c r="M663" s="74"/>
      <c r="N663" s="74"/>
      <c r="O663" s="74"/>
      <c r="P663" s="74"/>
      <c r="Q663" s="74"/>
      <c r="R663" s="74"/>
      <c r="S663" s="74"/>
      <c r="T663" s="74"/>
      <c r="U663" s="74"/>
      <c r="V663" s="74"/>
      <c r="W663" s="74"/>
      <c r="X663" s="74"/>
      <c r="Y663" s="74"/>
      <c r="Z663" s="74"/>
    </row>
    <row r="664" spans="1:26" x14ac:dyDescent="0.3">
      <c r="A664" s="66">
        <f t="shared" si="68"/>
        <v>2055.6999999999402</v>
      </c>
      <c r="B664" s="67">
        <f>LOOKUP(A664+0.01,Amounts!$A$4:$A$103,Amounts!$B$4:$B$103)*0.1*$A$2</f>
        <v>0</v>
      </c>
      <c r="C664" s="68">
        <f t="shared" si="67"/>
        <v>902907.24633514904</v>
      </c>
      <c r="D664" s="67">
        <f t="array" ref="D664">SUM($B$7:$B659*$F$1009*EXP(-$F$1009*($A664-$A$7:$A659)))*$F$1010</f>
        <v>6110450.3514760258</v>
      </c>
      <c r="E664" s="67">
        <f t="shared" si="65"/>
        <v>11.649034164159994</v>
      </c>
      <c r="F664" s="70">
        <f t="shared" si="69"/>
        <v>0.70732935444779488</v>
      </c>
      <c r="G664" s="67">
        <f>E664/'Lookup Tables'!$C$48</f>
        <v>23.298068328319989</v>
      </c>
      <c r="H664" s="70">
        <f t="shared" si="66"/>
        <v>6.7811310425675815E-3</v>
      </c>
      <c r="I664" s="71">
        <f t="shared" si="70"/>
        <v>3.3549218392780786E-2</v>
      </c>
      <c r="L664" s="74"/>
      <c r="M664" s="74"/>
      <c r="N664" s="74"/>
      <c r="O664" s="74"/>
      <c r="P664" s="74"/>
      <c r="Q664" s="74"/>
      <c r="R664" s="74"/>
      <c r="S664" s="74"/>
      <c r="T664" s="74"/>
      <c r="U664" s="74"/>
      <c r="V664" s="74"/>
      <c r="W664" s="74"/>
      <c r="X664" s="74"/>
      <c r="Y664" s="74"/>
      <c r="Z664" s="74"/>
    </row>
    <row r="665" spans="1:26" x14ac:dyDescent="0.3">
      <c r="A665" s="66">
        <f t="shared" si="68"/>
        <v>2055.7999999999402</v>
      </c>
      <c r="B665" s="67">
        <f>LOOKUP(A665+0.01,Amounts!$A$4:$A$103,Amounts!$B$4:$B$103)*0.1*$A$2</f>
        <v>0</v>
      </c>
      <c r="C665" s="68">
        <f t="shared" si="67"/>
        <v>902907.24633514904</v>
      </c>
      <c r="D665" s="67">
        <f t="array" ref="D665">SUM($B$7:$B660*$F$1009*EXP(-$F$1009*($A665-$A$7:$A660)))*$F$1010</f>
        <v>6067826.5563457115</v>
      </c>
      <c r="E665" s="67">
        <f t="shared" si="65"/>
        <v>11.567775661575279</v>
      </c>
      <c r="F665" s="70">
        <f t="shared" si="69"/>
        <v>0.70239533817085098</v>
      </c>
      <c r="G665" s="67">
        <f>E665/'Lookup Tables'!$C$48</f>
        <v>23.135551323150558</v>
      </c>
      <c r="H665" s="70">
        <f t="shared" si="66"/>
        <v>6.7338288760029844E-3</v>
      </c>
      <c r="I665" s="71">
        <f t="shared" si="70"/>
        <v>3.3315193905336805E-2</v>
      </c>
      <c r="L665" s="74"/>
      <c r="M665" s="74"/>
      <c r="N665" s="74"/>
      <c r="O665" s="74"/>
      <c r="P665" s="74"/>
      <c r="Q665" s="74"/>
      <c r="R665" s="74"/>
      <c r="S665" s="74"/>
      <c r="T665" s="74"/>
      <c r="U665" s="74"/>
      <c r="V665" s="74"/>
      <c r="W665" s="74"/>
      <c r="X665" s="74"/>
      <c r="Y665" s="74"/>
      <c r="Z665" s="74"/>
    </row>
    <row r="666" spans="1:26" x14ac:dyDescent="0.3">
      <c r="A666" s="66">
        <f t="shared" si="68"/>
        <v>2055.8999999999401</v>
      </c>
      <c r="B666" s="67">
        <f>LOOKUP(A666+0.01,Amounts!$A$4:$A$103,Amounts!$B$4:$B$103)*0.1*$A$2</f>
        <v>0</v>
      </c>
      <c r="C666" s="68">
        <f t="shared" si="67"/>
        <v>902907.24633514904</v>
      </c>
      <c r="D666" s="67">
        <f t="array" ref="D666">SUM($B$7:$B661*$F$1009*EXP(-$F$1009*($A666-$A$7:$A661)))*$F$1010</f>
        <v>6025500.0859307274</v>
      </c>
      <c r="E666" s="67">
        <f t="shared" si="65"/>
        <v>11.487083982312498</v>
      </c>
      <c r="F666" s="70">
        <f t="shared" si="69"/>
        <v>0.69749573940601495</v>
      </c>
      <c r="G666" s="67">
        <f>E666/'Lookup Tables'!$C$48</f>
        <v>22.974167964624996</v>
      </c>
      <c r="H666" s="70">
        <f t="shared" si="66"/>
        <v>6.6868566684006375E-3</v>
      </c>
      <c r="I666" s="71">
        <f t="shared" si="70"/>
        <v>3.3082801869059993E-2</v>
      </c>
      <c r="L666" s="74"/>
      <c r="M666" s="74"/>
      <c r="N666" s="74"/>
      <c r="O666" s="74"/>
      <c r="P666" s="74"/>
      <c r="Q666" s="74"/>
      <c r="R666" s="74"/>
      <c r="S666" s="74"/>
      <c r="T666" s="74"/>
      <c r="U666" s="74"/>
      <c r="V666" s="74"/>
      <c r="W666" s="74"/>
      <c r="X666" s="74"/>
      <c r="Y666" s="74"/>
      <c r="Z666" s="74"/>
    </row>
    <row r="667" spans="1:26" x14ac:dyDescent="0.3">
      <c r="A667" s="66">
        <f t="shared" si="68"/>
        <v>2055.99999999994</v>
      </c>
      <c r="B667" s="67">
        <f>LOOKUP(A667+0.01,Amounts!$A$4:$A$103,Amounts!$B$4:$B$103)*0.1*$A$2</f>
        <v>0</v>
      </c>
      <c r="C667" s="68">
        <f t="shared" si="67"/>
        <v>902907.24633514904</v>
      </c>
      <c r="D667" s="67">
        <f t="array" ref="D667">SUM($B$7:$B662*$F$1009*EXP(-$F$1009*($A667-$A$7:$A662)))*$F$1010</f>
        <v>5983468.8662255602</v>
      </c>
      <c r="E667" s="67">
        <f t="shared" si="65"/>
        <v>11.406955172463231</v>
      </c>
      <c r="F667" s="70">
        <f t="shared" si="69"/>
        <v>0.69263031807196751</v>
      </c>
      <c r="G667" s="67">
        <f>E667/'Lookup Tables'!$C$48</f>
        <v>22.813910344926462</v>
      </c>
      <c r="H667" s="70">
        <f t="shared" si="66"/>
        <v>6.6402121181129755E-3</v>
      </c>
      <c r="I667" s="71">
        <f t="shared" si="70"/>
        <v>3.2852030896694105E-2</v>
      </c>
      <c r="L667" s="74"/>
      <c r="M667" s="74"/>
      <c r="N667" s="74"/>
      <c r="O667" s="74"/>
      <c r="P667" s="74"/>
      <c r="Q667" s="74"/>
      <c r="R667" s="74"/>
      <c r="S667" s="74"/>
      <c r="T667" s="74"/>
      <c r="U667" s="74"/>
      <c r="V667" s="74"/>
      <c r="W667" s="74"/>
      <c r="X667" s="74"/>
      <c r="Y667" s="74"/>
      <c r="Z667" s="74"/>
    </row>
    <row r="668" spans="1:26" x14ac:dyDescent="0.3">
      <c r="A668" s="66">
        <f t="shared" si="68"/>
        <v>2056.0999999999399</v>
      </c>
      <c r="B668" s="67">
        <f>LOOKUP(A668+0.01,Amounts!$A$4:$A$103,Amounts!$B$4:$B$103)*0.1*$A$2</f>
        <v>0</v>
      </c>
      <c r="C668" s="68">
        <f t="shared" si="67"/>
        <v>902907.24633514904</v>
      </c>
      <c r="D668" s="67">
        <f t="array" ref="D668">SUM($B$7:$B663*$F$1009*EXP(-$F$1009*($A668-$A$7:$A663)))*$F$1010</f>
        <v>5941730.8376920298</v>
      </c>
      <c r="E668" s="67">
        <f t="shared" si="65"/>
        <v>11.327385305699755</v>
      </c>
      <c r="F668" s="70">
        <f t="shared" si="69"/>
        <v>0.68779883576208911</v>
      </c>
      <c r="G668" s="67">
        <f>E668/'Lookup Tables'!$C$48</f>
        <v>22.65477061139951</v>
      </c>
      <c r="H668" s="70">
        <f t="shared" si="66"/>
        <v>6.5938929395476954E-3</v>
      </c>
      <c r="I668" s="71">
        <f t="shared" si="70"/>
        <v>3.2622869680415292E-2</v>
      </c>
      <c r="L668" s="74"/>
      <c r="M668" s="74"/>
      <c r="N668" s="74"/>
      <c r="O668" s="74"/>
      <c r="P668" s="74"/>
      <c r="Q668" s="74"/>
      <c r="R668" s="74"/>
      <c r="S668" s="74"/>
      <c r="T668" s="74"/>
      <c r="U668" s="74"/>
      <c r="V668" s="74"/>
      <c r="W668" s="74"/>
      <c r="X668" s="74"/>
      <c r="Y668" s="74"/>
      <c r="Z668" s="74"/>
    </row>
    <row r="669" spans="1:26" x14ac:dyDescent="0.3">
      <c r="A669" s="66">
        <f t="shared" si="68"/>
        <v>2056.1999999999398</v>
      </c>
      <c r="B669" s="67">
        <f>LOOKUP(A669+0.01,Amounts!$A$4:$A$103,Amounts!$B$4:$B$103)*0.1*$A$2</f>
        <v>0</v>
      </c>
      <c r="C669" s="68">
        <f t="shared" si="67"/>
        <v>902907.24633514904</v>
      </c>
      <c r="D669" s="67">
        <f t="array" ref="D669">SUM($B$7:$B664*$F$1009*EXP(-$F$1009*($A669-$A$7:$A664)))*$F$1010</f>
        <v>5900283.9551583892</v>
      </c>
      <c r="E669" s="67">
        <f t="shared" si="65"/>
        <v>11.248370483082683</v>
      </c>
      <c r="F669" s="70">
        <f t="shared" si="69"/>
        <v>0.68300105573278047</v>
      </c>
      <c r="G669" s="67">
        <f>E669/'Lookup Tables'!$C$48</f>
        <v>22.496740966165365</v>
      </c>
      <c r="H669" s="70">
        <f t="shared" si="66"/>
        <v>6.5478968630557841E-3</v>
      </c>
      <c r="I669" s="71">
        <f t="shared" si="70"/>
        <v>3.2395306991278128E-2</v>
      </c>
      <c r="L669" s="74"/>
      <c r="M669" s="74"/>
      <c r="N669" s="74"/>
      <c r="O669" s="74"/>
      <c r="P669" s="74"/>
      <c r="Q669" s="74"/>
      <c r="R669" s="74"/>
      <c r="S669" s="74"/>
      <c r="T669" s="74"/>
      <c r="U669" s="74"/>
      <c r="V669" s="74"/>
      <c r="W669" s="74"/>
      <c r="X669" s="74"/>
      <c r="Y669" s="74"/>
      <c r="Z669" s="74"/>
    </row>
    <row r="670" spans="1:26" x14ac:dyDescent="0.3">
      <c r="A670" s="66">
        <f t="shared" si="68"/>
        <v>2056.2999999999397</v>
      </c>
      <c r="B670" s="67">
        <f>LOOKUP(A670+0.01,Amounts!$A$4:$A$103,Amounts!$B$4:$B$103)*0.1*$A$2</f>
        <v>0</v>
      </c>
      <c r="C670" s="68">
        <f t="shared" si="67"/>
        <v>902907.24633514904</v>
      </c>
      <c r="D670" s="67">
        <f t="array" ref="D670">SUM($B$7:$B665*$F$1009*EXP(-$F$1009*($A670-$A$7:$A665)))*$F$1010</f>
        <v>5859126.1877191011</v>
      </c>
      <c r="E670" s="67">
        <f t="shared" si="65"/>
        <v>11.169906832869895</v>
      </c>
      <c r="F670" s="70">
        <f t="shared" si="69"/>
        <v>0.67823674289186009</v>
      </c>
      <c r="G670" s="67">
        <f>E670/'Lookup Tables'!$C$48</f>
        <v>22.33981366573979</v>
      </c>
      <c r="H670" s="70">
        <f t="shared" si="66"/>
        <v>6.5022216348202882E-3</v>
      </c>
      <c r="I670" s="71">
        <f t="shared" si="70"/>
        <v>3.21693316786653E-2</v>
      </c>
      <c r="L670" s="74"/>
      <c r="M670" s="74"/>
      <c r="N670" s="74"/>
      <c r="O670" s="74"/>
      <c r="P670" s="74"/>
      <c r="Q670" s="74"/>
      <c r="R670" s="74"/>
      <c r="S670" s="74"/>
      <c r="T670" s="74"/>
      <c r="U670" s="74"/>
      <c r="V670" s="74"/>
      <c r="W670" s="74"/>
      <c r="X670" s="74"/>
      <c r="Y670" s="74"/>
      <c r="Z670" s="74"/>
    </row>
    <row r="671" spans="1:26" x14ac:dyDescent="0.3">
      <c r="A671" s="66">
        <f t="shared" si="68"/>
        <v>2056.3999999999396</v>
      </c>
      <c r="B671" s="67">
        <f>LOOKUP(A671+0.01,Amounts!$A$4:$A$103,Amounts!$B$4:$B$103)*0.1*$A$2</f>
        <v>0</v>
      </c>
      <c r="C671" s="68">
        <f t="shared" si="67"/>
        <v>902907.24633514904</v>
      </c>
      <c r="D671" s="67">
        <f t="array" ref="D671">SUM($B$7:$B666*$F$1009*EXP(-$F$1009*($A671-$A$7:$A666)))*$F$1010</f>
        <v>5818255.5186353261</v>
      </c>
      <c r="E671" s="67">
        <f t="shared" si="65"/>
        <v>11.091990510326832</v>
      </c>
      <c r="F671" s="70">
        <f t="shared" si="69"/>
        <v>0.67350566378704524</v>
      </c>
      <c r="G671" s="67">
        <f>E671/'Lookup Tables'!$C$48</f>
        <v>22.183981020653665</v>
      </c>
      <c r="H671" s="70">
        <f t="shared" si="66"/>
        <v>6.4568650167458851E-3</v>
      </c>
      <c r="I671" s="71">
        <f t="shared" si="70"/>
        <v>3.1944932669741279E-2</v>
      </c>
      <c r="L671" s="74"/>
      <c r="M671" s="74"/>
      <c r="N671" s="74"/>
      <c r="O671" s="74"/>
      <c r="P671" s="74"/>
      <c r="Q671" s="74"/>
      <c r="R671" s="74"/>
      <c r="S671" s="74"/>
      <c r="T671" s="74"/>
      <c r="U671" s="74"/>
      <c r="V671" s="74"/>
      <c r="W671" s="74"/>
      <c r="X671" s="74"/>
      <c r="Y671" s="74"/>
      <c r="Z671" s="74"/>
    </row>
    <row r="672" spans="1:26" x14ac:dyDescent="0.3">
      <c r="A672" s="66">
        <f t="shared" si="68"/>
        <v>2056.4999999999395</v>
      </c>
      <c r="B672" s="67">
        <f>LOOKUP(A672+0.01,Amounts!$A$4:$A$103,Amounts!$B$4:$B$103)*0.1*$A$2</f>
        <v>0</v>
      </c>
      <c r="C672" s="68">
        <f t="shared" si="67"/>
        <v>902907.24633514904</v>
      </c>
      <c r="D672" s="67">
        <f t="array" ref="D672">SUM($B$7:$B667*$F$1009*EXP(-$F$1009*($A672-$A$7:$A667)))*$F$1010</f>
        <v>5777669.9452361027</v>
      </c>
      <c r="E672" s="67">
        <f t="shared" si="65"/>
        <v>11.014617697538105</v>
      </c>
      <c r="F672" s="70">
        <f t="shared" si="69"/>
        <v>0.66880758659451378</v>
      </c>
      <c r="G672" s="67">
        <f>E672/'Lookup Tables'!$C$48</f>
        <v>22.02923539507621</v>
      </c>
      <c r="H672" s="70">
        <f t="shared" si="66"/>
        <v>6.4118247863492184E-3</v>
      </c>
      <c r="I672" s="71">
        <f t="shared" si="70"/>
        <v>3.1722098968909741E-2</v>
      </c>
      <c r="L672" s="74"/>
      <c r="M672" s="74"/>
      <c r="N672" s="74"/>
      <c r="O672" s="74"/>
      <c r="P672" s="74"/>
      <c r="Q672" s="74"/>
      <c r="R672" s="74"/>
      <c r="S672" s="74"/>
      <c r="T672" s="74"/>
      <c r="U672" s="74"/>
      <c r="V672" s="74"/>
      <c r="W672" s="74"/>
      <c r="X672" s="74"/>
      <c r="Y672" s="74"/>
      <c r="Z672" s="74"/>
    </row>
    <row r="673" spans="1:26" x14ac:dyDescent="0.3">
      <c r="A673" s="66">
        <f t="shared" si="68"/>
        <v>2056.5999999999394</v>
      </c>
      <c r="B673" s="67">
        <f>LOOKUP(A673+0.01,Amounts!$A$4:$A$103,Amounts!$B$4:$B$103)*0.1*$A$2</f>
        <v>0</v>
      </c>
      <c r="C673" s="68">
        <f t="shared" si="67"/>
        <v>902907.24633514904</v>
      </c>
      <c r="D673" s="67">
        <f t="array" ref="D673">SUM($B$7:$B668*$F$1009*EXP(-$F$1009*($A673-$A$7:$A668)))*$F$1010</f>
        <v>5737367.4788202131</v>
      </c>
      <c r="E673" s="67">
        <f t="shared" si="65"/>
        <v>10.9377846032204</v>
      </c>
      <c r="F673" s="70">
        <f t="shared" si="69"/>
        <v>0.66414228110754281</v>
      </c>
      <c r="G673" s="67">
        <f>E673/'Lookup Tables'!$C$48</f>
        <v>21.875569206440801</v>
      </c>
      <c r="H673" s="70">
        <f t="shared" si="66"/>
        <v>6.3670987366499831E-3</v>
      </c>
      <c r="I673" s="71">
        <f t="shared" si="70"/>
        <v>3.1500819657274755E-2</v>
      </c>
      <c r="L673" s="74"/>
      <c r="M673" s="74"/>
      <c r="N673" s="74"/>
      <c r="O673" s="74"/>
      <c r="P673" s="74"/>
      <c r="Q673" s="74"/>
      <c r="R673" s="74"/>
      <c r="S673" s="74"/>
      <c r="T673" s="74"/>
      <c r="U673" s="74"/>
      <c r="V673" s="74"/>
      <c r="W673" s="74"/>
      <c r="X673" s="74"/>
      <c r="Y673" s="74"/>
      <c r="Z673" s="74"/>
    </row>
    <row r="674" spans="1:26" x14ac:dyDescent="0.3">
      <c r="A674" s="66">
        <f t="shared" si="68"/>
        <v>2056.6999999999393</v>
      </c>
      <c r="B674" s="67">
        <f>LOOKUP(A674+0.01,Amounts!$A$4:$A$103,Amounts!$B$4:$B$103)*0.1*$A$2</f>
        <v>0</v>
      </c>
      <c r="C674" s="68">
        <f t="shared" si="67"/>
        <v>902907.24633514904</v>
      </c>
      <c r="D674" s="67">
        <f t="array" ref="D674">SUM($B$7:$B669*$F$1009*EXP(-$F$1009*($A674-$A$7:$A669)))*$F$1010</f>
        <v>5697346.1445587371</v>
      </c>
      <c r="E674" s="67">
        <f t="shared" si="65"/>
        <v>10.861487462536722</v>
      </c>
      <c r="F674" s="70">
        <f t="shared" si="69"/>
        <v>0.65950951872522978</v>
      </c>
      <c r="G674" s="67">
        <f>E674/'Lookup Tables'!$C$48</f>
        <v>21.722974925073444</v>
      </c>
      <c r="H674" s="70">
        <f t="shared" si="66"/>
        <v>6.3226846760627937E-3</v>
      </c>
      <c r="I674" s="71">
        <f t="shared" si="70"/>
        <v>3.1281083892105759E-2</v>
      </c>
      <c r="L674" s="74"/>
      <c r="M674" s="74"/>
      <c r="N674" s="74"/>
      <c r="O674" s="74"/>
      <c r="P674" s="74"/>
      <c r="Q674" s="74"/>
      <c r="R674" s="74"/>
      <c r="S674" s="74"/>
      <c r="T674" s="74"/>
      <c r="U674" s="74"/>
      <c r="V674" s="74"/>
      <c r="W674" s="74"/>
      <c r="X674" s="74"/>
      <c r="Y674" s="74"/>
      <c r="Z674" s="74"/>
    </row>
    <row r="675" spans="1:26" x14ac:dyDescent="0.3">
      <c r="A675" s="66">
        <f t="shared" si="68"/>
        <v>2056.7999999999392</v>
      </c>
      <c r="B675" s="67">
        <f>LOOKUP(A675+0.01,Amounts!$A$4:$A$103,Amounts!$B$4:$B$103)*0.1*$A$2</f>
        <v>0</v>
      </c>
      <c r="C675" s="68">
        <f t="shared" si="67"/>
        <v>902907.24633514904</v>
      </c>
      <c r="D675" s="67">
        <f t="array" ref="D675">SUM($B$7:$B670*$F$1009*EXP(-$F$1009*($A675-$A$7:$A670)))*$F$1010</f>
        <v>5657603.981398291</v>
      </c>
      <c r="E675" s="67">
        <f t="shared" si="65"/>
        <v>10.785722536911914</v>
      </c>
      <c r="F675" s="70">
        <f t="shared" si="69"/>
        <v>0.65490907244129137</v>
      </c>
      <c r="G675" s="67">
        <f>E675/'Lookup Tables'!$C$48</f>
        <v>21.571445073823828</v>
      </c>
      <c r="H675" s="70">
        <f t="shared" si="66"/>
        <v>6.2785804282897975E-3</v>
      </c>
      <c r="I675" s="71">
        <f t="shared" si="70"/>
        <v>3.1062880906306309E-2</v>
      </c>
      <c r="L675" s="74"/>
      <c r="M675" s="74"/>
      <c r="N675" s="74"/>
      <c r="O675" s="74"/>
      <c r="P675" s="74"/>
      <c r="Q675" s="74"/>
      <c r="R675" s="74"/>
      <c r="S675" s="74"/>
      <c r="T675" s="74"/>
      <c r="U675" s="74"/>
      <c r="V675" s="74"/>
      <c r="W675" s="74"/>
      <c r="X675" s="74"/>
      <c r="Y675" s="74"/>
      <c r="Z675" s="74"/>
    </row>
    <row r="676" spans="1:26" x14ac:dyDescent="0.3">
      <c r="A676" s="66">
        <f t="shared" si="68"/>
        <v>2056.8999999999392</v>
      </c>
      <c r="B676" s="67">
        <f>LOOKUP(A676+0.01,Amounts!$A$4:$A$103,Amounts!$B$4:$B$103)*0.1*$A$2</f>
        <v>0</v>
      </c>
      <c r="C676" s="68">
        <f t="shared" si="67"/>
        <v>902907.24633514904</v>
      </c>
      <c r="D676" s="67">
        <f t="array" ref="D676">SUM($B$7:$B671*$F$1009*EXP(-$F$1009*($A676-$A$7:$A671)))*$F$1010</f>
        <v>5618139.0419649268</v>
      </c>
      <c r="E676" s="67">
        <f t="shared" si="65"/>
        <v>10.710486113849461</v>
      </c>
      <c r="F676" s="70">
        <f t="shared" si="69"/>
        <v>0.65034071683293915</v>
      </c>
      <c r="G676" s="67">
        <f>E676/'Lookup Tables'!$C$48</f>
        <v>21.420972227698922</v>
      </c>
      <c r="H676" s="70">
        <f t="shared" si="66"/>
        <v>6.2347838322140284E-3</v>
      </c>
      <c r="I676" s="71">
        <f t="shared" si="70"/>
        <v>3.0846200007886442E-2</v>
      </c>
      <c r="L676" s="74"/>
      <c r="M676" s="74"/>
      <c r="N676" s="74"/>
      <c r="O676" s="74"/>
      <c r="P676" s="74"/>
      <c r="Q676" s="74"/>
      <c r="R676" s="74"/>
      <c r="S676" s="74"/>
      <c r="T676" s="74"/>
      <c r="U676" s="74"/>
      <c r="V676" s="74"/>
      <c r="W676" s="74"/>
      <c r="X676" s="74"/>
      <c r="Y676" s="74"/>
      <c r="Z676" s="74"/>
    </row>
    <row r="677" spans="1:26" x14ac:dyDescent="0.3">
      <c r="A677" s="66">
        <f t="shared" si="68"/>
        <v>2056.9999999999391</v>
      </c>
      <c r="B677" s="67">
        <f>LOOKUP(A677+0.01,Amounts!$A$4:$A$103,Amounts!$B$4:$B$103)*0.1*$A$2</f>
        <v>0</v>
      </c>
      <c r="C677" s="68">
        <f t="shared" si="67"/>
        <v>902907.24633514904</v>
      </c>
      <c r="D677" s="67">
        <f t="array" ref="D677">SUM($B$7:$B672*$F$1009*EXP(-$F$1009*($A677-$A$7:$A672)))*$F$1010</f>
        <v>5578949.3924687151</v>
      </c>
      <c r="E677" s="67">
        <f t="shared" si="65"/>
        <v>10.635774506749577</v>
      </c>
      <c r="F677" s="70">
        <f t="shared" si="69"/>
        <v>0.64580422804983428</v>
      </c>
      <c r="G677" s="67">
        <f>E677/'Lookup Tables'!$C$48</f>
        <v>21.271549013499154</v>
      </c>
      <c r="H677" s="70">
        <f t="shared" si="66"/>
        <v>6.1912927417935148E-3</v>
      </c>
      <c r="I677" s="71">
        <f t="shared" si="70"/>
        <v>3.0631030579438782E-2</v>
      </c>
      <c r="L677" s="74"/>
      <c r="M677" s="74"/>
      <c r="N677" s="74"/>
      <c r="O677" s="74"/>
      <c r="P677" s="74"/>
      <c r="Q677" s="74"/>
      <c r="R677" s="74"/>
      <c r="S677" s="74"/>
      <c r="T677" s="74"/>
      <c r="U677" s="74"/>
      <c r="V677" s="74"/>
      <c r="W677" s="74"/>
      <c r="X677" s="74"/>
      <c r="Y677" s="74"/>
      <c r="Z677" s="74"/>
    </row>
    <row r="678" spans="1:26" x14ac:dyDescent="0.3">
      <c r="A678" s="66">
        <f t="shared" si="68"/>
        <v>2057.099999999939</v>
      </c>
      <c r="B678" s="67">
        <f>LOOKUP(A678+0.01,Amounts!$A$4:$A$103,Amounts!$B$4:$B$103)*0.1*$A$2</f>
        <v>0</v>
      </c>
      <c r="C678" s="68">
        <f t="shared" si="67"/>
        <v>902907.24633514904</v>
      </c>
      <c r="D678" s="67">
        <f t="array" ref="D678">SUM($B$7:$B673*$F$1009*EXP(-$F$1009*($A678-$A$7:$A673)))*$F$1010</f>
        <v>5540033.1126089916</v>
      </c>
      <c r="E678" s="67">
        <f t="shared" si="65"/>
        <v>10.561584054728568</v>
      </c>
      <c r="F678" s="70">
        <f t="shared" si="69"/>
        <v>0.64129938380311857</v>
      </c>
      <c r="G678" s="67">
        <f>E678/'Lookup Tables'!$C$48</f>
        <v>21.123168109457136</v>
      </c>
      <c r="H678" s="70">
        <f t="shared" si="66"/>
        <v>6.1481050259561262E-3</v>
      </c>
      <c r="I678" s="71">
        <f t="shared" si="70"/>
        <v>3.0417362077618276E-2</v>
      </c>
      <c r="L678" s="74"/>
      <c r="M678" s="74"/>
      <c r="N678" s="74"/>
      <c r="O678" s="74"/>
      <c r="P678" s="74"/>
      <c r="Q678" s="74"/>
      <c r="R678" s="74"/>
      <c r="S678" s="74"/>
      <c r="T678" s="74"/>
      <c r="U678" s="74"/>
      <c r="V678" s="74"/>
      <c r="W678" s="74"/>
      <c r="X678" s="74"/>
      <c r="Y678" s="74"/>
      <c r="Z678" s="74"/>
    </row>
    <row r="679" spans="1:26" x14ac:dyDescent="0.3">
      <c r="A679" s="66">
        <f t="shared" si="68"/>
        <v>2057.1999999999389</v>
      </c>
      <c r="B679" s="67">
        <f>LOOKUP(A679+0.01,Amounts!$A$4:$A$103,Amounts!$B$4:$B$103)*0.1*$A$2</f>
        <v>0</v>
      </c>
      <c r="C679" s="68">
        <f t="shared" si="67"/>
        <v>902907.24633514904</v>
      </c>
      <c r="D679" s="67">
        <f t="array" ref="D679">SUM($B$7:$B674*$F$1009*EXP(-$F$1009*($A679-$A$7:$A674)))*$F$1010</f>
        <v>5501388.295480255</v>
      </c>
      <c r="E679" s="67">
        <f t="shared" si="65"/>
        <v>10.487911122439442</v>
      </c>
      <c r="F679" s="70">
        <f t="shared" si="69"/>
        <v>0.63682596335452291</v>
      </c>
      <c r="G679" s="67">
        <f>E679/'Lookup Tables'!$C$48</f>
        <v>20.975822244878884</v>
      </c>
      <c r="H679" s="70">
        <f t="shared" si="66"/>
        <v>6.1052185684951433E-3</v>
      </c>
      <c r="I679" s="71">
        <f t="shared" si="70"/>
        <v>3.0205184032625593E-2</v>
      </c>
      <c r="L679" s="74"/>
      <c r="M679" s="74"/>
      <c r="N679" s="74"/>
      <c r="O679" s="74"/>
      <c r="P679" s="74"/>
      <c r="Q679" s="74"/>
      <c r="R679" s="74"/>
      <c r="S679" s="74"/>
      <c r="T679" s="74"/>
      <c r="U679" s="74"/>
      <c r="V679" s="74"/>
      <c r="W679" s="74"/>
      <c r="X679" s="74"/>
      <c r="Y679" s="74"/>
      <c r="Z679" s="74"/>
    </row>
    <row r="680" spans="1:26" x14ac:dyDescent="0.3">
      <c r="A680" s="66">
        <f t="shared" si="68"/>
        <v>2057.2999999999388</v>
      </c>
      <c r="B680" s="67">
        <f>LOOKUP(A680+0.01,Amounts!$A$4:$A$103,Amounts!$B$4:$B$103)*0.1*$A$2</f>
        <v>0</v>
      </c>
      <c r="C680" s="68">
        <f t="shared" si="67"/>
        <v>902907.24633514904</v>
      </c>
      <c r="D680" s="67">
        <f t="array" ref="D680">SUM($B$7:$B675*$F$1009*EXP(-$F$1009*($A680-$A$7:$A675)))*$F$1010</f>
        <v>5463013.0474787354</v>
      </c>
      <c r="E680" s="67">
        <f t="shared" si="65"/>
        <v>10.414752099893775</v>
      </c>
      <c r="F680" s="70">
        <f t="shared" si="69"/>
        <v>0.63238374750555004</v>
      </c>
      <c r="G680" s="67">
        <f>E680/'Lookup Tables'!$C$48</f>
        <v>20.82950419978755</v>
      </c>
      <c r="H680" s="70">
        <f t="shared" si="66"/>
        <v>6.0626312679655722E-3</v>
      </c>
      <c r="I680" s="71">
        <f t="shared" si="70"/>
        <v>2.9994486047694075E-2</v>
      </c>
      <c r="L680" s="74"/>
      <c r="M680" s="74"/>
      <c r="N680" s="74"/>
      <c r="O680" s="74"/>
      <c r="P680" s="74"/>
      <c r="Q680" s="74"/>
      <c r="R680" s="74"/>
      <c r="S680" s="74"/>
      <c r="T680" s="74"/>
      <c r="U680" s="74"/>
      <c r="V680" s="74"/>
      <c r="W680" s="74"/>
      <c r="X680" s="74"/>
      <c r="Y680" s="74"/>
      <c r="Z680" s="74"/>
    </row>
    <row r="681" spans="1:26" x14ac:dyDescent="0.3">
      <c r="A681" s="66">
        <f t="shared" si="68"/>
        <v>2057.3999999999387</v>
      </c>
      <c r="B681" s="67">
        <f>LOOKUP(A681+0.01,Amounts!$A$4:$A$103,Amounts!$B$4:$B$103)*0.1*$A$2</f>
        <v>0</v>
      </c>
      <c r="C681" s="68">
        <f t="shared" si="67"/>
        <v>902907.24633514904</v>
      </c>
      <c r="D681" s="67">
        <f t="array" ref="D681">SUM($B$7:$B676*$F$1009*EXP(-$F$1009*($A681-$A$7:$A676)))*$F$1010</f>
        <v>5424905.4882096015</v>
      </c>
      <c r="E681" s="67">
        <f t="shared" si="65"/>
        <v>10.342103402284824</v>
      </c>
      <c r="F681" s="70">
        <f t="shared" si="69"/>
        <v>0.62797251858673442</v>
      </c>
      <c r="G681" s="67">
        <f>E681/'Lookup Tables'!$C$48</f>
        <v>20.684206804569648</v>
      </c>
      <c r="H681" s="70">
        <f t="shared" si="66"/>
        <v>6.020341037581165E-3</v>
      </c>
      <c r="I681" s="71">
        <f t="shared" si="70"/>
        <v>2.9785257798580291E-2</v>
      </c>
      <c r="L681" s="74"/>
      <c r="M681" s="74"/>
      <c r="N681" s="74"/>
      <c r="O681" s="74"/>
      <c r="P681" s="74"/>
      <c r="Q681" s="74"/>
      <c r="R681" s="74"/>
      <c r="S681" s="74"/>
      <c r="T681" s="74"/>
      <c r="U681" s="74"/>
      <c r="V681" s="74"/>
      <c r="W681" s="74"/>
      <c r="X681" s="74"/>
      <c r="Y681" s="74"/>
      <c r="Z681" s="74"/>
    </row>
    <row r="682" spans="1:26" x14ac:dyDescent="0.3">
      <c r="A682" s="66">
        <f t="shared" si="68"/>
        <v>2057.4999999999386</v>
      </c>
      <c r="B682" s="67">
        <f>LOOKUP(A682+0.01,Amounts!$A$4:$A$103,Amounts!$B$4:$B$103)*0.1*$A$2</f>
        <v>0</v>
      </c>
      <c r="C682" s="68">
        <f t="shared" si="67"/>
        <v>902907.24633514904</v>
      </c>
      <c r="D682" s="67">
        <f t="array" ref="D682">SUM($B$7:$B677*$F$1009*EXP(-$F$1009*($A682-$A$7:$A677)))*$F$1010</f>
        <v>5387063.750394823</v>
      </c>
      <c r="E682" s="67">
        <f t="shared" si="65"/>
        <v>10.269961469811868</v>
      </c>
      <c r="F682" s="70">
        <f t="shared" si="69"/>
        <v>0.62359206044697657</v>
      </c>
      <c r="G682" s="67">
        <f>E682/'Lookup Tables'!$C$48</f>
        <v>20.539922939623736</v>
      </c>
      <c r="H682" s="70">
        <f t="shared" si="66"/>
        <v>5.9783458051121683E-3</v>
      </c>
      <c r="I682" s="71">
        <f t="shared" si="70"/>
        <v>2.9577489033058176E-2</v>
      </c>
      <c r="L682" s="74"/>
      <c r="M682" s="74"/>
      <c r="N682" s="74"/>
      <c r="O682" s="74"/>
      <c r="P682" s="74"/>
      <c r="Q682" s="74"/>
      <c r="R682" s="74"/>
      <c r="S682" s="74"/>
      <c r="T682" s="74"/>
      <c r="U682" s="74"/>
      <c r="V682" s="74"/>
      <c r="W682" s="74"/>
      <c r="X682" s="74"/>
      <c r="Y682" s="74"/>
      <c r="Z682" s="74"/>
    </row>
    <row r="683" spans="1:26" x14ac:dyDescent="0.3">
      <c r="A683" s="66">
        <f t="shared" si="68"/>
        <v>2057.5999999999385</v>
      </c>
      <c r="B683" s="67">
        <f>LOOKUP(A683+0.01,Amounts!$A$4:$A$103,Amounts!$B$4:$B$103)*0.1*$A$2</f>
        <v>0</v>
      </c>
      <c r="C683" s="68">
        <f t="shared" si="67"/>
        <v>902907.24633514904</v>
      </c>
      <c r="D683" s="67">
        <f t="array" ref="D683">SUM($B$7:$B678*$F$1009*EXP(-$F$1009*($A683-$A$7:$A678)))*$F$1010</f>
        <v>5349485.979781677</v>
      </c>
      <c r="E683" s="67">
        <f t="shared" si="65"/>
        <v>10.198322767505781</v>
      </c>
      <c r="F683" s="70">
        <f t="shared" si="69"/>
        <v>0.61924215844295105</v>
      </c>
      <c r="G683" s="67">
        <f>E683/'Lookup Tables'!$C$48</f>
        <v>20.396645535011562</v>
      </c>
      <c r="H683" s="70">
        <f t="shared" si="66"/>
        <v>5.9366435127837913E-3</v>
      </c>
      <c r="I683" s="71">
        <f t="shared" si="70"/>
        <v>2.9371169570416647E-2</v>
      </c>
      <c r="L683" s="74"/>
      <c r="M683" s="74"/>
      <c r="N683" s="74"/>
      <c r="O683" s="74"/>
      <c r="P683" s="74"/>
      <c r="Q683" s="74"/>
      <c r="R683" s="74"/>
      <c r="S683" s="74"/>
      <c r="T683" s="74"/>
      <c r="U683" s="74"/>
      <c r="V683" s="74"/>
      <c r="W683" s="74"/>
      <c r="X683" s="74"/>
      <c r="Y683" s="74"/>
      <c r="Z683" s="74"/>
    </row>
    <row r="684" spans="1:26" x14ac:dyDescent="0.3">
      <c r="A684" s="66">
        <f t="shared" si="68"/>
        <v>2057.6999999999384</v>
      </c>
      <c r="B684" s="67">
        <f>LOOKUP(A684+0.01,Amounts!$A$4:$A$103,Amounts!$B$4:$B$103)*0.1*$A$2</f>
        <v>0</v>
      </c>
      <c r="C684" s="68">
        <f t="shared" si="67"/>
        <v>902907.24633514904</v>
      </c>
      <c r="D684" s="67">
        <f t="array" ref="D684">SUM($B$7:$B679*$F$1009*EXP(-$F$1009*($A684-$A$7:$A679)))*$F$1010</f>
        <v>5312170.3350518858</v>
      </c>
      <c r="E684" s="67">
        <f t="shared" si="65"/>
        <v>10.127183785055822</v>
      </c>
      <c r="F684" s="70">
        <f t="shared" si="69"/>
        <v>0.6149225994285894</v>
      </c>
      <c r="G684" s="67">
        <f>E684/'Lookup Tables'!$C$48</f>
        <v>20.254367570111643</v>
      </c>
      <c r="H684" s="70">
        <f t="shared" si="66"/>
        <v>5.8952321171753651E-3</v>
      </c>
      <c r="I684" s="71">
        <f t="shared" si="70"/>
        <v>2.9166289300960765E-2</v>
      </c>
      <c r="L684" s="74"/>
      <c r="M684" s="74"/>
      <c r="N684" s="74"/>
      <c r="O684" s="74"/>
      <c r="P684" s="74"/>
      <c r="Q684" s="74"/>
      <c r="R684" s="74"/>
      <c r="S684" s="74"/>
      <c r="T684" s="74"/>
      <c r="U684" s="74"/>
      <c r="V684" s="74"/>
      <c r="W684" s="74"/>
      <c r="X684" s="74"/>
      <c r="Y684" s="74"/>
      <c r="Z684" s="74"/>
    </row>
    <row r="685" spans="1:26" x14ac:dyDescent="0.3">
      <c r="A685" s="66">
        <f t="shared" si="68"/>
        <v>2057.7999999999383</v>
      </c>
      <c r="B685" s="67">
        <f>LOOKUP(A685+0.01,Amounts!$A$4:$A$103,Amounts!$B$4:$B$103)*0.1*$A$2</f>
        <v>0</v>
      </c>
      <c r="C685" s="68">
        <f t="shared" si="67"/>
        <v>902907.24633514904</v>
      </c>
      <c r="D685" s="67">
        <f t="array" ref="D685">SUM($B$7:$B680*$F$1009*EXP(-$F$1009*($A685-$A$7:$A680)))*$F$1010</f>
        <v>5275114.9877313888</v>
      </c>
      <c r="E685" s="67">
        <f t="shared" si="65"/>
        <v>10.056541036637613</v>
      </c>
      <c r="F685" s="70">
        <f t="shared" si="69"/>
        <v>0.61063317174463594</v>
      </c>
      <c r="G685" s="67">
        <f>E685/'Lookup Tables'!$C$48</f>
        <v>20.113082073275226</v>
      </c>
      <c r="H685" s="70">
        <f t="shared" si="66"/>
        <v>5.8541095891202211E-3</v>
      </c>
      <c r="I685" s="71">
        <f t="shared" si="70"/>
        <v>2.8962838185516326E-2</v>
      </c>
      <c r="L685" s="74"/>
      <c r="M685" s="74"/>
      <c r="N685" s="74"/>
      <c r="O685" s="74"/>
      <c r="P685" s="74"/>
      <c r="Q685" s="74"/>
      <c r="R685" s="74"/>
      <c r="S685" s="74"/>
      <c r="T685" s="74"/>
      <c r="U685" s="74"/>
      <c r="V685" s="74"/>
      <c r="W685" s="74"/>
      <c r="X685" s="74"/>
      <c r="Y685" s="74"/>
      <c r="Z685" s="74"/>
    </row>
    <row r="686" spans="1:26" x14ac:dyDescent="0.3">
      <c r="A686" s="66">
        <f t="shared" si="68"/>
        <v>2057.8999999999382</v>
      </c>
      <c r="B686" s="67">
        <f>LOOKUP(A686+0.01,Amounts!$A$4:$A$103,Amounts!$B$4:$B$103)*0.1*$A$2</f>
        <v>0</v>
      </c>
      <c r="C686" s="68">
        <f t="shared" si="67"/>
        <v>902907.24633514904</v>
      </c>
      <c r="D686" s="67">
        <f t="array" ref="D686">SUM($B$7:$B681*$F$1009*EXP(-$F$1009*($A686-$A$7:$A681)))*$F$1010</f>
        <v>5238318.1221007574</v>
      </c>
      <c r="E686" s="67">
        <f t="shared" si="65"/>
        <v>9.9863910607423527</v>
      </c>
      <c r="F686" s="70">
        <f t="shared" si="69"/>
        <v>0.60637366520827563</v>
      </c>
      <c r="G686" s="67">
        <f>E686/'Lookup Tables'!$C$48</f>
        <v>19.972782121484705</v>
      </c>
      <c r="H686" s="70">
        <f t="shared" si="66"/>
        <v>5.8132739136062565E-3</v>
      </c>
      <c r="I686" s="71">
        <f t="shared" si="70"/>
        <v>2.8760806254937977E-2</v>
      </c>
      <c r="L686" s="74"/>
      <c r="M686" s="74"/>
      <c r="N686" s="74"/>
      <c r="O686" s="74"/>
      <c r="P686" s="74"/>
      <c r="Q686" s="74"/>
      <c r="R686" s="74"/>
      <c r="S686" s="74"/>
      <c r="T686" s="74"/>
      <c r="U686" s="74"/>
      <c r="V686" s="74"/>
      <c r="W686" s="74"/>
      <c r="X686" s="74"/>
      <c r="Y686" s="74"/>
      <c r="Z686" s="74"/>
    </row>
    <row r="687" spans="1:26" x14ac:dyDescent="0.3">
      <c r="A687" s="66">
        <f t="shared" si="68"/>
        <v>2057.9999999999382</v>
      </c>
      <c r="B687" s="67">
        <f>LOOKUP(A687+0.01,Amounts!$A$4:$A$103,Amounts!$B$4:$B$103)*0.1*$A$2</f>
        <v>0</v>
      </c>
      <c r="C687" s="68">
        <f t="shared" si="67"/>
        <v>902907.24633514904</v>
      </c>
      <c r="D687" s="67">
        <f t="array" ref="D687">SUM($B$7:$B682*$F$1009*EXP(-$F$1009*($A687-$A$7:$A682)))*$F$1010</f>
        <v>5201777.9351062076</v>
      </c>
      <c r="E687" s="67">
        <f t="shared" si="65"/>
        <v>9.9167304200071751</v>
      </c>
      <c r="F687" s="70">
        <f t="shared" si="69"/>
        <v>0.60214387110283563</v>
      </c>
      <c r="G687" s="67">
        <f>E687/'Lookup Tables'!$C$48</f>
        <v>19.83346084001435</v>
      </c>
      <c r="H687" s="70">
        <f t="shared" si="66"/>
        <v>5.7727230896771958E-3</v>
      </c>
      <c r="I687" s="71">
        <f t="shared" si="70"/>
        <v>2.8560183609620662E-2</v>
      </c>
      <c r="L687" s="74"/>
      <c r="M687" s="74"/>
      <c r="N687" s="74"/>
      <c r="O687" s="74"/>
      <c r="P687" s="74"/>
      <c r="Q687" s="74"/>
      <c r="R687" s="74"/>
      <c r="S687" s="74"/>
      <c r="T687" s="74"/>
      <c r="U687" s="74"/>
      <c r="V687" s="74"/>
      <c r="W687" s="74"/>
      <c r="X687" s="74"/>
      <c r="Y687" s="74"/>
      <c r="Z687" s="74"/>
    </row>
    <row r="688" spans="1:26" x14ac:dyDescent="0.3">
      <c r="A688" s="66">
        <f t="shared" si="68"/>
        <v>2058.0999999999381</v>
      </c>
      <c r="B688" s="67">
        <f>LOOKUP(A688+0.01,Amounts!$A$4:$A$103,Amounts!$B$4:$B$103)*0.1*$A$2</f>
        <v>0</v>
      </c>
      <c r="C688" s="68">
        <f t="shared" si="67"/>
        <v>902907.24633514904</v>
      </c>
      <c r="D688" s="67">
        <f t="array" ref="D688">SUM($B$7:$B683*$F$1009*EXP(-$F$1009*($A688-$A$7:$A683)))*$F$1010</f>
        <v>5165492.63627127</v>
      </c>
      <c r="E688" s="67">
        <f t="shared" si="65"/>
        <v>9.8475557010467583</v>
      </c>
      <c r="F688" s="70">
        <f t="shared" si="69"/>
        <v>0.59794358216755916</v>
      </c>
      <c r="G688" s="67">
        <f>E688/'Lookup Tables'!$C$48</f>
        <v>19.695111402093517</v>
      </c>
      <c r="H688" s="70">
        <f t="shared" si="66"/>
        <v>5.7324551303345609E-3</v>
      </c>
      <c r="I688" s="71">
        <f t="shared" si="70"/>
        <v>2.8360960419014664E-2</v>
      </c>
      <c r="L688" s="74"/>
      <c r="M688" s="74"/>
      <c r="N688" s="74"/>
      <c r="O688" s="74"/>
      <c r="P688" s="74"/>
      <c r="Q688" s="74"/>
      <c r="R688" s="74"/>
      <c r="S688" s="74"/>
      <c r="T688" s="74"/>
      <c r="U688" s="74"/>
      <c r="V688" s="74"/>
      <c r="W688" s="74"/>
      <c r="X688" s="74"/>
      <c r="Y688" s="74"/>
      <c r="Z688" s="74"/>
    </row>
    <row r="689" spans="1:26" x14ac:dyDescent="0.3">
      <c r="A689" s="66">
        <f t="shared" si="68"/>
        <v>2058.199999999938</v>
      </c>
      <c r="B689" s="67">
        <f>LOOKUP(A689+0.01,Amounts!$A$4:$A$103,Amounts!$B$4:$B$103)*0.1*$A$2</f>
        <v>0</v>
      </c>
      <c r="C689" s="68">
        <f t="shared" si="67"/>
        <v>902907.24633514904</v>
      </c>
      <c r="D689" s="67">
        <f t="array" ref="D689">SUM($B$7:$B684*$F$1009*EXP(-$F$1009*($A689-$A$7:$A684)))*$F$1010</f>
        <v>5129460.447609039</v>
      </c>
      <c r="E689" s="67">
        <f t="shared" si="65"/>
        <v>9.778863514286023</v>
      </c>
      <c r="F689" s="70">
        <f t="shared" si="69"/>
        <v>0.5937725925874473</v>
      </c>
      <c r="G689" s="67">
        <f>E689/'Lookup Tables'!$C$48</f>
        <v>19.557727028572046</v>
      </c>
      <c r="H689" s="70">
        <f t="shared" si="66"/>
        <v>5.6924680624402786E-3</v>
      </c>
      <c r="I689" s="71">
        <f t="shared" si="70"/>
        <v>2.8163126921143748E-2</v>
      </c>
      <c r="L689" s="74"/>
      <c r="M689" s="74"/>
      <c r="N689" s="74"/>
      <c r="O689" s="74"/>
      <c r="P689" s="74"/>
      <c r="Q689" s="74"/>
      <c r="R689" s="74"/>
      <c r="S689" s="74"/>
      <c r="T689" s="74"/>
      <c r="U689" s="74"/>
      <c r="V689" s="74"/>
      <c r="W689" s="74"/>
      <c r="X689" s="74"/>
      <c r="Y689" s="74"/>
      <c r="Z689" s="74"/>
    </row>
    <row r="690" spans="1:26" x14ac:dyDescent="0.3">
      <c r="A690" s="66">
        <f t="shared" si="68"/>
        <v>2058.2999999999379</v>
      </c>
      <c r="B690" s="67">
        <f>LOOKUP(A690+0.01,Amounts!$A$4:$A$103,Amounts!$B$4:$B$103)*0.1*$A$2</f>
        <v>0</v>
      </c>
      <c r="C690" s="68">
        <f t="shared" si="67"/>
        <v>902907.24633514904</v>
      </c>
      <c r="D690" s="67">
        <f t="array" ref="D690">SUM($B$7:$B685*$F$1009*EXP(-$F$1009*($A690-$A$7:$A685)))*$F$1010</f>
        <v>5093679.6035350617</v>
      </c>
      <c r="E690" s="67">
        <f t="shared" si="65"/>
        <v>9.7106504937940787</v>
      </c>
      <c r="F690" s="70">
        <f t="shared" si="69"/>
        <v>0.58963069798317647</v>
      </c>
      <c r="G690" s="67">
        <f>E690/'Lookup Tables'!$C$48</f>
        <v>19.421300987588157</v>
      </c>
      <c r="H690" s="70">
        <f t="shared" si="66"/>
        <v>5.6527599266200266E-3</v>
      </c>
      <c r="I690" s="71">
        <f t="shared" si="70"/>
        <v>2.7966673422126945E-2</v>
      </c>
      <c r="L690" s="74"/>
      <c r="M690" s="74"/>
      <c r="N690" s="74"/>
      <c r="O690" s="74"/>
      <c r="P690" s="74"/>
      <c r="Q690" s="74"/>
      <c r="R690" s="74"/>
      <c r="S690" s="74"/>
      <c r="T690" s="74"/>
      <c r="U690" s="74"/>
      <c r="V690" s="74"/>
      <c r="W690" s="74"/>
      <c r="X690" s="74"/>
      <c r="Y690" s="74"/>
      <c r="Z690" s="74"/>
    </row>
    <row r="691" spans="1:26" x14ac:dyDescent="0.3">
      <c r="A691" s="66">
        <f t="shared" si="68"/>
        <v>2058.3999999999378</v>
      </c>
      <c r="B691" s="67">
        <f>LOOKUP(A691+0.01,Amounts!$A$4:$A$103,Amounts!$B$4:$B$103)*0.1*$A$2</f>
        <v>0</v>
      </c>
      <c r="C691" s="68">
        <f t="shared" si="67"/>
        <v>902907.24633514904</v>
      </c>
      <c r="D691" s="67">
        <f t="array" ref="D691">SUM($B$7:$B686*$F$1009*EXP(-$F$1009*($A691-$A$7:$A686)))*$F$1010</f>
        <v>5058148.3507808177</v>
      </c>
      <c r="E691" s="67">
        <f t="shared" si="65"/>
        <v>9.6429132971192679</v>
      </c>
      <c r="F691" s="70">
        <f t="shared" si="69"/>
        <v>0.58551769540108189</v>
      </c>
      <c r="G691" s="67">
        <f>E691/'Lookup Tables'!$C$48</f>
        <v>19.285826594238536</v>
      </c>
      <c r="H691" s="70">
        <f t="shared" si="66"/>
        <v>5.613328777167202E-3</v>
      </c>
      <c r="I691" s="71">
        <f t="shared" si="70"/>
        <v>2.7771590295703492E-2</v>
      </c>
      <c r="L691" s="74"/>
      <c r="M691" s="74"/>
      <c r="N691" s="74"/>
      <c r="O691" s="74"/>
      <c r="P691" s="74"/>
      <c r="Q691" s="74"/>
      <c r="R691" s="74"/>
      <c r="S691" s="74"/>
      <c r="T691" s="74"/>
      <c r="U691" s="74"/>
      <c r="V691" s="74"/>
      <c r="W691" s="74"/>
      <c r="X691" s="74"/>
      <c r="Y691" s="74"/>
      <c r="Z691" s="74"/>
    </row>
    <row r="692" spans="1:26" x14ac:dyDescent="0.3">
      <c r="A692" s="66">
        <f t="shared" si="68"/>
        <v>2058.4999999999377</v>
      </c>
      <c r="B692" s="67">
        <f>LOOKUP(A692+0.01,Amounts!$A$4:$A$103,Amounts!$B$4:$B$103)*0.1*$A$2</f>
        <v>0</v>
      </c>
      <c r="C692" s="68">
        <f t="shared" si="67"/>
        <v>902907.24633514904</v>
      </c>
      <c r="D692" s="67">
        <f t="array" ref="D692">SUM($B$7:$B687*$F$1009*EXP(-$F$1009*($A692-$A$7:$A687)))*$F$1010</f>
        <v>5022864.948307815</v>
      </c>
      <c r="E692" s="67">
        <f t="shared" si="65"/>
        <v>9.5756486051254068</v>
      </c>
      <c r="F692" s="70">
        <f t="shared" si="69"/>
        <v>0.58143338330321481</v>
      </c>
      <c r="G692" s="67">
        <f>E692/'Lookup Tables'!$C$48</f>
        <v>19.151297210250814</v>
      </c>
      <c r="H692" s="70">
        <f t="shared" si="66"/>
        <v>5.5741726819475935E-3</v>
      </c>
      <c r="I692" s="71">
        <f t="shared" si="70"/>
        <v>2.7577867982761173E-2</v>
      </c>
      <c r="L692" s="74"/>
      <c r="M692" s="74"/>
      <c r="N692" s="74"/>
      <c r="O692" s="74"/>
      <c r="P692" s="74"/>
      <c r="Q692" s="74"/>
      <c r="R692" s="74"/>
      <c r="S692" s="74"/>
      <c r="T692" s="74"/>
      <c r="U692" s="74"/>
      <c r="V692" s="74"/>
      <c r="W692" s="74"/>
      <c r="X692" s="74"/>
      <c r="Y692" s="74"/>
      <c r="Z692" s="74"/>
    </row>
    <row r="693" spans="1:26" x14ac:dyDescent="0.3">
      <c r="A693" s="66">
        <f t="shared" si="68"/>
        <v>2058.5999999999376</v>
      </c>
      <c r="B693" s="67">
        <f>LOOKUP(A693+0.01,Amounts!$A$4:$A$103,Amounts!$B$4:$B$103)*0.1*$A$2</f>
        <v>0</v>
      </c>
      <c r="C693" s="68">
        <f t="shared" si="67"/>
        <v>902907.24633514904</v>
      </c>
      <c r="D693" s="67">
        <f t="array" ref="D693">SUM($B$7:$B688*$F$1009*EXP(-$F$1009*($A693-$A$7:$A688)))*$F$1010</f>
        <v>4987827.6672222717</v>
      </c>
      <c r="E693" s="67">
        <f t="shared" si="65"/>
        <v>9.5088531218291266</v>
      </c>
      <c r="F693" s="70">
        <f t="shared" si="69"/>
        <v>0.57737756155746456</v>
      </c>
      <c r="G693" s="67">
        <f>E693/'Lookup Tables'!$C$48</f>
        <v>19.017706243658253</v>
      </c>
      <c r="H693" s="70">
        <f t="shared" si="66"/>
        <v>5.5352897223047001E-3</v>
      </c>
      <c r="I693" s="71">
        <f t="shared" si="70"/>
        <v>2.7385496990867883E-2</v>
      </c>
      <c r="L693" s="74"/>
      <c r="M693" s="74"/>
      <c r="N693" s="74"/>
      <c r="O693" s="74"/>
      <c r="P693" s="74"/>
      <c r="Q693" s="74"/>
      <c r="R693" s="74"/>
      <c r="S693" s="74"/>
      <c r="T693" s="74"/>
      <c r="U693" s="74"/>
      <c r="V693" s="74"/>
      <c r="W693" s="74"/>
      <c r="X693" s="74"/>
      <c r="Y693" s="74"/>
      <c r="Z693" s="74"/>
    </row>
    <row r="694" spans="1:26" x14ac:dyDescent="0.3">
      <c r="A694" s="66">
        <f t="shared" si="68"/>
        <v>2058.6999999999375</v>
      </c>
      <c r="B694" s="67">
        <f>LOOKUP(A694+0.01,Amounts!$A$4:$A$103,Amounts!$B$4:$B$103)*0.1*$A$2</f>
        <v>0</v>
      </c>
      <c r="C694" s="68">
        <f t="shared" si="67"/>
        <v>902907.24633514904</v>
      </c>
      <c r="D694" s="67">
        <f t="array" ref="D694">SUM($B$7:$B689*$F$1009*EXP(-$F$1009*($A694-$A$7:$A689)))*$F$1010</f>
        <v>4953034.7906904044</v>
      </c>
      <c r="E694" s="67">
        <f t="shared" si="65"/>
        <v>9.4425235742383791</v>
      </c>
      <c r="F694" s="70">
        <f t="shared" si="69"/>
        <v>0.57335003142775431</v>
      </c>
      <c r="G694" s="67">
        <f>E694/'Lookup Tables'!$C$48</f>
        <v>18.885047148476758</v>
      </c>
      <c r="H694" s="70">
        <f t="shared" si="66"/>
        <v>5.4966779929657202E-3</v>
      </c>
      <c r="I694" s="71">
        <f t="shared" si="70"/>
        <v>2.7194467893806532E-2</v>
      </c>
      <c r="L694" s="74"/>
      <c r="M694" s="74"/>
      <c r="N694" s="74"/>
      <c r="O694" s="74"/>
      <c r="P694" s="74"/>
      <c r="Q694" s="74"/>
      <c r="R694" s="74"/>
      <c r="S694" s="74"/>
      <c r="T694" s="74"/>
      <c r="U694" s="74"/>
      <c r="V694" s="74"/>
      <c r="W694" s="74"/>
      <c r="X694" s="74"/>
      <c r="Y694" s="74"/>
      <c r="Z694" s="74"/>
    </row>
    <row r="695" spans="1:26" x14ac:dyDescent="0.3">
      <c r="A695" s="66">
        <f t="shared" si="68"/>
        <v>2058.7999999999374</v>
      </c>
      <c r="B695" s="67">
        <f>LOOKUP(A695+0.01,Amounts!$A$4:$A$103,Amounts!$B$4:$B$103)*0.1*$A$2</f>
        <v>0</v>
      </c>
      <c r="C695" s="68">
        <f t="shared" si="67"/>
        <v>902907.24633514904</v>
      </c>
      <c r="D695" s="67">
        <f t="array" ref="D695">SUM($B$7:$B690*$F$1009*EXP(-$F$1009*($A695-$A$7:$A690)))*$F$1010</f>
        <v>4918484.6138543049</v>
      </c>
      <c r="E695" s="67">
        <f t="shared" si="65"/>
        <v>9.3766567121920712</v>
      </c>
      <c r="F695" s="70">
        <f t="shared" si="69"/>
        <v>0.56935059556430256</v>
      </c>
      <c r="G695" s="67">
        <f>E695/'Lookup Tables'!$C$48</f>
        <v>18.753313424384142</v>
      </c>
      <c r="H695" s="70">
        <f t="shared" si="66"/>
        <v>5.4583356019481952E-3</v>
      </c>
      <c r="I695" s="71">
        <f t="shared" si="70"/>
        <v>2.7004771331113165E-2</v>
      </c>
      <c r="L695" s="74"/>
      <c r="M695" s="74"/>
      <c r="N695" s="74"/>
      <c r="O695" s="74"/>
      <c r="P695" s="74"/>
      <c r="Q695" s="74"/>
      <c r="R695" s="74"/>
      <c r="S695" s="74"/>
      <c r="T695" s="74"/>
      <c r="U695" s="74"/>
      <c r="V695" s="74"/>
      <c r="W695" s="74"/>
      <c r="X695" s="74"/>
      <c r="Y695" s="74"/>
      <c r="Z695" s="74"/>
    </row>
    <row r="696" spans="1:26" x14ac:dyDescent="0.3">
      <c r="A696" s="66">
        <f t="shared" si="68"/>
        <v>2058.8999999999373</v>
      </c>
      <c r="B696" s="67">
        <f>LOOKUP(A696+0.01,Amounts!$A$4:$A$103,Amounts!$B$4:$B$103)*0.1*$A$2</f>
        <v>0</v>
      </c>
      <c r="C696" s="68">
        <f t="shared" si="67"/>
        <v>902907.24633514904</v>
      </c>
      <c r="D696" s="67">
        <f t="array" ref="D696">SUM($B$7:$B691*$F$1009*EXP(-$F$1009*($A696-$A$7:$A691)))*$F$1010</f>
        <v>4884175.4437483875</v>
      </c>
      <c r="E696" s="67">
        <f t="shared" si="65"/>
        <v>9.3112493082007646</v>
      </c>
      <c r="F696" s="70">
        <f t="shared" si="69"/>
        <v>0.56537905799395038</v>
      </c>
      <c r="G696" s="67">
        <f>E696/'Lookup Tables'!$C$48</f>
        <v>18.622498616401529</v>
      </c>
      <c r="H696" s="70">
        <f t="shared" si="66"/>
        <v>5.4202606704672829E-3</v>
      </c>
      <c r="I696" s="71">
        <f t="shared" si="70"/>
        <v>2.6816398007618206E-2</v>
      </c>
      <c r="L696" s="74"/>
      <c r="M696" s="74"/>
      <c r="N696" s="74"/>
      <c r="O696" s="74"/>
      <c r="P696" s="74"/>
      <c r="Q696" s="74"/>
      <c r="R696" s="74"/>
      <c r="S696" s="74"/>
      <c r="T696" s="74"/>
      <c r="U696" s="74"/>
      <c r="V696" s="74"/>
      <c r="W696" s="74"/>
      <c r="X696" s="74"/>
      <c r="Y696" s="74"/>
      <c r="Z696" s="74"/>
    </row>
    <row r="697" spans="1:26" x14ac:dyDescent="0.3">
      <c r="A697" s="66">
        <f t="shared" si="68"/>
        <v>2058.9999999999372</v>
      </c>
      <c r="B697" s="67">
        <f>LOOKUP(A697+0.01,Amounts!$A$4:$A$103,Amounts!$B$4:$B$103)*0.1*$A$2</f>
        <v>0</v>
      </c>
      <c r="C697" s="68">
        <f t="shared" si="67"/>
        <v>902907.24633514904</v>
      </c>
      <c r="D697" s="67">
        <f t="array" ref="D697">SUM($B$7:$B692*$F$1009*EXP(-$F$1009*($A697-$A$7:$A692)))*$F$1010</f>
        <v>4850105.5992164603</v>
      </c>
      <c r="E697" s="67">
        <f t="shared" si="65"/>
        <v>9.2462981572885958</v>
      </c>
      <c r="F697" s="70">
        <f t="shared" si="69"/>
        <v>0.56143522411056357</v>
      </c>
      <c r="G697" s="67">
        <f>E697/'Lookup Tables'!$C$48</f>
        <v>18.492596314577192</v>
      </c>
      <c r="H697" s="70">
        <f t="shared" si="66"/>
        <v>5.3824513328437308E-3</v>
      </c>
      <c r="I697" s="71">
        <f t="shared" si="70"/>
        <v>2.6629338692991153E-2</v>
      </c>
      <c r="L697" s="74"/>
      <c r="M697" s="74"/>
      <c r="N697" s="74"/>
      <c r="O697" s="74"/>
      <c r="P697" s="74"/>
      <c r="Q697" s="74"/>
      <c r="R697" s="74"/>
      <c r="S697" s="74"/>
      <c r="T697" s="74"/>
      <c r="U697" s="74"/>
      <c r="V697" s="74"/>
      <c r="W697" s="74"/>
      <c r="X697" s="74"/>
      <c r="Y697" s="74"/>
      <c r="Z697" s="74"/>
    </row>
    <row r="698" spans="1:26" x14ac:dyDescent="0.3">
      <c r="A698" s="66">
        <f t="shared" si="68"/>
        <v>2059.0999999999372</v>
      </c>
      <c r="B698" s="67">
        <f>LOOKUP(A698+0.01,Amounts!$A$4:$A$103,Amounts!$B$4:$B$103)*0.1*$A$2</f>
        <v>0</v>
      </c>
      <c r="C698" s="68">
        <f t="shared" si="67"/>
        <v>902907.24633514904</v>
      </c>
      <c r="D698" s="67">
        <f t="array" ref="D698">SUM($B$7:$B693*$F$1009*EXP(-$F$1009*($A698-$A$7:$A693)))*$F$1010</f>
        <v>4816273.4108293196</v>
      </c>
      <c r="E698" s="67">
        <f t="shared" si="65"/>
        <v>9.1818000768361614</v>
      </c>
      <c r="F698" s="70">
        <f t="shared" si="69"/>
        <v>0.5575189006654917</v>
      </c>
      <c r="G698" s="67">
        <f>E698/'Lookup Tables'!$C$48</f>
        <v>18.363600153672323</v>
      </c>
      <c r="H698" s="70">
        <f t="shared" si="66"/>
        <v>5.3449057364124263E-3</v>
      </c>
      <c r="I698" s="71">
        <f t="shared" si="70"/>
        <v>2.6443584221288143E-2</v>
      </c>
      <c r="L698" s="74"/>
      <c r="M698" s="74"/>
      <c r="N698" s="74"/>
      <c r="O698" s="74"/>
      <c r="P698" s="74"/>
      <c r="Q698" s="74"/>
      <c r="R698" s="74"/>
      <c r="S698" s="74"/>
      <c r="T698" s="74"/>
      <c r="U698" s="74"/>
      <c r="V698" s="74"/>
      <c r="W698" s="74"/>
      <c r="X698" s="74"/>
      <c r="Y698" s="74"/>
      <c r="Z698" s="74"/>
    </row>
    <row r="699" spans="1:26" x14ac:dyDescent="0.3">
      <c r="A699" s="66">
        <f t="shared" si="68"/>
        <v>2059.1999999999371</v>
      </c>
      <c r="B699" s="67">
        <f>LOOKUP(A699+0.01,Amounts!$A$4:$A$103,Amounts!$B$4:$B$103)*0.1*$A$2</f>
        <v>0</v>
      </c>
      <c r="C699" s="68">
        <f t="shared" si="67"/>
        <v>902907.24633514904</v>
      </c>
      <c r="D699" s="67">
        <f t="array" ref="D699">SUM($B$7:$B694*$F$1009*EXP(-$F$1009*($A699-$A$7:$A694)))*$F$1010</f>
        <v>4782677.2208029674</v>
      </c>
      <c r="E699" s="67">
        <f t="shared" si="65"/>
        <v>9.1177519064246226</v>
      </c>
      <c r="F699" s="70">
        <f t="shared" si="69"/>
        <v>0.55362989575810306</v>
      </c>
      <c r="G699" s="67">
        <f>E699/'Lookup Tables'!$C$48</f>
        <v>18.235503812849245</v>
      </c>
      <c r="H699" s="70">
        <f t="shared" si="66"/>
        <v>5.3076220414316365E-3</v>
      </c>
      <c r="I699" s="71">
        <f t="shared" si="70"/>
        <v>2.6259125490502914E-2</v>
      </c>
      <c r="L699" s="74"/>
      <c r="M699" s="74"/>
      <c r="N699" s="74"/>
      <c r="O699" s="74"/>
      <c r="P699" s="74"/>
      <c r="Q699" s="74"/>
      <c r="R699" s="74"/>
      <c r="S699" s="74"/>
      <c r="T699" s="74"/>
      <c r="U699" s="74"/>
      <c r="V699" s="74"/>
      <c r="W699" s="74"/>
      <c r="X699" s="74"/>
      <c r="Y699" s="74"/>
      <c r="Z699" s="74"/>
    </row>
    <row r="700" spans="1:26" x14ac:dyDescent="0.3">
      <c r="A700" s="66">
        <f t="shared" si="68"/>
        <v>2059.299999999937</v>
      </c>
      <c r="B700" s="67">
        <f>LOOKUP(A700+0.01,Amounts!$A$4:$A$103,Amounts!$B$4:$B$103)*0.1*$A$2</f>
        <v>0</v>
      </c>
      <c r="C700" s="68">
        <f t="shared" si="67"/>
        <v>902907.24633514904</v>
      </c>
      <c r="D700" s="67">
        <f t="array" ref="D700">SUM($B$7:$B695*$F$1009*EXP(-$F$1009*($A700-$A$7:$A695)))*$F$1010</f>
        <v>4749315.3829173697</v>
      </c>
      <c r="E700" s="67">
        <f t="shared" si="65"/>
        <v>9.0541505076808093</v>
      </c>
      <c r="F700" s="70">
        <f t="shared" si="69"/>
        <v>0.54976801882637871</v>
      </c>
      <c r="G700" s="67">
        <f>E700/'Lookup Tables'!$C$48</f>
        <v>18.108301015361619</v>
      </c>
      <c r="H700" s="70">
        <f t="shared" si="66"/>
        <v>5.2705984209928435E-3</v>
      </c>
      <c r="I700" s="71">
        <f t="shared" si="70"/>
        <v>2.6075953462120726E-2</v>
      </c>
      <c r="L700" s="74"/>
      <c r="M700" s="74"/>
      <c r="N700" s="74"/>
      <c r="O700" s="74"/>
      <c r="P700" s="74"/>
      <c r="Q700" s="74"/>
      <c r="R700" s="74"/>
      <c r="S700" s="74"/>
      <c r="T700" s="74"/>
      <c r="U700" s="74"/>
      <c r="V700" s="74"/>
      <c r="W700" s="74"/>
      <c r="X700" s="74"/>
      <c r="Y700" s="74"/>
      <c r="Z700" s="74"/>
    </row>
    <row r="701" spans="1:26" x14ac:dyDescent="0.3">
      <c r="A701" s="66">
        <f t="shared" si="68"/>
        <v>2059.3999999999369</v>
      </c>
      <c r="B701" s="67">
        <f>LOOKUP(A701+0.01,Amounts!$A$4:$A$103,Amounts!$B$4:$B$103)*0.1*$A$2</f>
        <v>0</v>
      </c>
      <c r="C701" s="68">
        <f t="shared" si="67"/>
        <v>902907.24633514904</v>
      </c>
      <c r="D701" s="67">
        <f t="array" ref="D701">SUM($B$7:$B696*$F$1009*EXP(-$F$1009*($A701-$A$7:$A696)))*$F$1010</f>
        <v>4716186.2624357948</v>
      </c>
      <c r="E701" s="67">
        <f t="shared" si="65"/>
        <v>8.9909927641234599</v>
      </c>
      <c r="F701" s="70">
        <f t="shared" si="69"/>
        <v>0.54593308063757651</v>
      </c>
      <c r="G701" s="67">
        <f>E701/'Lookup Tables'!$C$48</f>
        <v>17.98198552824692</v>
      </c>
      <c r="H701" s="70">
        <f t="shared" si="66"/>
        <v>5.2338330609312395E-3</v>
      </c>
      <c r="I701" s="71">
        <f t="shared" si="70"/>
        <v>2.5894059160675564E-2</v>
      </c>
      <c r="L701" s="74"/>
      <c r="M701" s="74"/>
      <c r="N701" s="74"/>
      <c r="O701" s="74"/>
      <c r="P701" s="74"/>
      <c r="Q701" s="74"/>
      <c r="R701" s="74"/>
      <c r="S701" s="74"/>
      <c r="T701" s="74"/>
      <c r="U701" s="74"/>
      <c r="V701" s="74"/>
      <c r="W701" s="74"/>
      <c r="X701" s="74"/>
      <c r="Y701" s="74"/>
      <c r="Z701" s="74"/>
    </row>
    <row r="702" spans="1:26" x14ac:dyDescent="0.3">
      <c r="A702" s="66">
        <f t="shared" si="68"/>
        <v>2059.4999999999368</v>
      </c>
      <c r="B702" s="67">
        <f>LOOKUP(A702+0.01,Amounts!$A$4:$A$103,Amounts!$B$4:$B$103)*0.1*$A$2</f>
        <v>0</v>
      </c>
      <c r="C702" s="68">
        <f t="shared" si="67"/>
        <v>902907.24633514904</v>
      </c>
      <c r="D702" s="67">
        <f t="array" ref="D702">SUM($B$7:$B697*$F$1009*EXP(-$F$1009*($A702-$A$7:$A697)))*$F$1010</f>
        <v>4683288.2360247113</v>
      </c>
      <c r="E702" s="67">
        <f t="shared" si="65"/>
        <v>8.9282755810105048</v>
      </c>
      <c r="F702" s="70">
        <f t="shared" si="69"/>
        <v>0.54212489327895796</v>
      </c>
      <c r="G702" s="67">
        <f>E702/'Lookup Tables'!$C$48</f>
        <v>17.85655116202101</v>
      </c>
      <c r="H702" s="70">
        <f t="shared" si="66"/>
        <v>5.1973241597368276E-3</v>
      </c>
      <c r="I702" s="71">
        <f t="shared" si="70"/>
        <v>2.5713433673310252E-2</v>
      </c>
      <c r="L702" s="74"/>
      <c r="M702" s="74"/>
      <c r="N702" s="74"/>
      <c r="O702" s="74"/>
      <c r="P702" s="74"/>
      <c r="Q702" s="74"/>
      <c r="R702" s="74"/>
      <c r="S702" s="74"/>
      <c r="T702" s="74"/>
      <c r="U702" s="74"/>
      <c r="V702" s="74"/>
      <c r="W702" s="74"/>
      <c r="X702" s="74"/>
      <c r="Y702" s="74"/>
      <c r="Z702" s="74"/>
    </row>
    <row r="703" spans="1:26" x14ac:dyDescent="0.3">
      <c r="A703" s="66">
        <f t="shared" si="68"/>
        <v>2059.5999999999367</v>
      </c>
      <c r="B703" s="67">
        <f>LOOKUP(A703+0.01,Amounts!$A$4:$A$103,Amounts!$B$4:$B$103)*0.1*$A$2</f>
        <v>0</v>
      </c>
      <c r="C703" s="68">
        <f t="shared" si="67"/>
        <v>902907.24633514904</v>
      </c>
      <c r="D703" s="67">
        <f t="array" ref="D703">SUM($B$7:$B698*$F$1009*EXP(-$F$1009*($A703-$A$7:$A698)))*$F$1010</f>
        <v>4650619.6916742427</v>
      </c>
      <c r="E703" s="67">
        <f t="shared" si="65"/>
        <v>8.8659958851874201</v>
      </c>
      <c r="F703" s="70">
        <f t="shared" si="69"/>
        <v>0.53834327014858008</v>
      </c>
      <c r="G703" s="67">
        <f>E703/'Lookup Tables'!$C$48</f>
        <v>17.73199177037484</v>
      </c>
      <c r="H703" s="70">
        <f t="shared" si="66"/>
        <v>5.1610699284661407E-3</v>
      </c>
      <c r="I703" s="71">
        <f t="shared" si="70"/>
        <v>2.5534068149339766E-2</v>
      </c>
      <c r="L703" s="74"/>
      <c r="M703" s="74"/>
      <c r="N703" s="74"/>
      <c r="O703" s="74"/>
      <c r="P703" s="74"/>
      <c r="Q703" s="74"/>
      <c r="R703" s="74"/>
      <c r="S703" s="74"/>
      <c r="T703" s="74"/>
      <c r="U703" s="74"/>
      <c r="V703" s="74"/>
      <c r="W703" s="74"/>
      <c r="X703" s="74"/>
      <c r="Y703" s="74"/>
      <c r="Z703" s="74"/>
    </row>
    <row r="704" spans="1:26" x14ac:dyDescent="0.3">
      <c r="A704" s="66">
        <f t="shared" si="68"/>
        <v>2059.6999999999366</v>
      </c>
      <c r="B704" s="67">
        <f>LOOKUP(A704+0.01,Amounts!$A$4:$A$103,Amounts!$B$4:$B$103)*0.1*$A$2</f>
        <v>0</v>
      </c>
      <c r="C704" s="68">
        <f t="shared" si="67"/>
        <v>902907.24633514904</v>
      </c>
      <c r="D704" s="67">
        <f t="array" ref="D704">SUM($B$7:$B699*$F$1009*EXP(-$F$1009*($A704-$A$7:$A699)))*$F$1010</f>
        <v>4618179.0286191786</v>
      </c>
      <c r="E704" s="67">
        <f t="shared" si="65"/>
        <v>8.8041506249366517</v>
      </c>
      <c r="F704" s="70">
        <f t="shared" si="69"/>
        <v>0.5345880259461534</v>
      </c>
      <c r="G704" s="67">
        <f>E704/'Lookup Tables'!$C$48</f>
        <v>17.608301249873303</v>
      </c>
      <c r="H704" s="70">
        <f t="shared" si="66"/>
        <v>5.1250685906545955E-3</v>
      </c>
      <c r="I704" s="71">
        <f t="shared" si="70"/>
        <v>2.535595379981756E-2</v>
      </c>
      <c r="L704" s="74"/>
      <c r="M704" s="74"/>
      <c r="N704" s="74"/>
      <c r="O704" s="74"/>
      <c r="P704" s="74"/>
      <c r="Q704" s="74"/>
      <c r="R704" s="74"/>
      <c r="S704" s="74"/>
      <c r="T704" s="74"/>
      <c r="U704" s="74"/>
      <c r="V704" s="74"/>
      <c r="W704" s="74"/>
      <c r="X704" s="74"/>
      <c r="Y704" s="74"/>
      <c r="Z704" s="74"/>
    </row>
    <row r="705" spans="1:26" x14ac:dyDescent="0.3">
      <c r="A705" s="66">
        <f t="shared" si="68"/>
        <v>2059.7999999999365</v>
      </c>
      <c r="B705" s="67">
        <f>LOOKUP(A705+0.01,Amounts!$A$4:$A$103,Amounts!$B$4:$B$103)*0.1*$A$2</f>
        <v>0</v>
      </c>
      <c r="C705" s="68">
        <f t="shared" si="67"/>
        <v>902907.24633514904</v>
      </c>
      <c r="D705" s="67">
        <f t="array" ref="D705">SUM($B$7:$B700*$F$1009*EXP(-$F$1009*($A705-$A$7:$A700)))*$F$1010</f>
        <v>4585964.6572605371</v>
      </c>
      <c r="E705" s="67">
        <f t="shared" si="65"/>
        <v>8.7427367698280651</v>
      </c>
      <c r="F705" s="70">
        <f t="shared" si="69"/>
        <v>0.53085897666396009</v>
      </c>
      <c r="G705" s="67">
        <f>E705/'Lookup Tables'!$C$48</f>
        <v>17.48547353965613</v>
      </c>
      <c r="H705" s="70">
        <f t="shared" si="66"/>
        <v>5.0893183822294311E-3</v>
      </c>
      <c r="I705" s="71">
        <f t="shared" si="70"/>
        <v>2.5179081897104827E-2</v>
      </c>
      <c r="L705" s="74"/>
      <c r="M705" s="74"/>
      <c r="N705" s="74"/>
      <c r="O705" s="74"/>
      <c r="P705" s="74"/>
      <c r="Q705" s="74"/>
      <c r="R705" s="74"/>
      <c r="S705" s="74"/>
      <c r="T705" s="74"/>
      <c r="U705" s="74"/>
      <c r="V705" s="74"/>
      <c r="W705" s="74"/>
      <c r="X705" s="74"/>
      <c r="Y705" s="74"/>
      <c r="Z705" s="74"/>
    </row>
    <row r="706" spans="1:26" x14ac:dyDescent="0.3">
      <c r="A706" s="66">
        <f t="shared" si="68"/>
        <v>2059.8999999999364</v>
      </c>
      <c r="B706" s="67">
        <f>LOOKUP(A706+0.01,Amounts!$A$4:$A$103,Amounts!$B$4:$B$103)*0.1*$A$2</f>
        <v>0</v>
      </c>
      <c r="C706" s="68">
        <f t="shared" si="67"/>
        <v>902907.24633514904</v>
      </c>
      <c r="D706" s="67">
        <f t="array" ref="D706">SUM($B$7:$B701*$F$1009*EXP(-$F$1009*($A706-$A$7:$A701)))*$F$1010</f>
        <v>4553974.9990876792</v>
      </c>
      <c r="E706" s="67">
        <f t="shared" si="65"/>
        <v>8.6817513105704833</v>
      </c>
      <c r="F706" s="70">
        <f t="shared" si="69"/>
        <v>0.52715593957783968</v>
      </c>
      <c r="G706" s="67">
        <f>E706/'Lookup Tables'!$C$48</f>
        <v>17.363502621140967</v>
      </c>
      <c r="H706" s="70">
        <f t="shared" si="66"/>
        <v>5.0538175514232868E-3</v>
      </c>
      <c r="I706" s="71">
        <f t="shared" si="70"/>
        <v>2.5003443774442989E-2</v>
      </c>
      <c r="L706" s="74"/>
      <c r="M706" s="74"/>
      <c r="N706" s="74"/>
      <c r="O706" s="74"/>
      <c r="P706" s="74"/>
      <c r="Q706" s="74"/>
      <c r="R706" s="74"/>
      <c r="S706" s="74"/>
      <c r="T706" s="74"/>
      <c r="U706" s="74"/>
      <c r="V706" s="74"/>
      <c r="W706" s="74"/>
      <c r="X706" s="74"/>
      <c r="Y706" s="74"/>
      <c r="Z706" s="74"/>
    </row>
    <row r="707" spans="1:26" x14ac:dyDescent="0.3">
      <c r="A707" s="66">
        <f t="shared" si="68"/>
        <v>2059.9999999999363</v>
      </c>
      <c r="B707" s="67">
        <f>LOOKUP(A707+0.01,Amounts!$A$4:$A$103,Amounts!$B$4:$B$103)*0.1*$A$2</f>
        <v>0</v>
      </c>
      <c r="C707" s="68">
        <f t="shared" si="67"/>
        <v>902907.24633514904</v>
      </c>
      <c r="D707" s="67">
        <f t="array" ref="D707">SUM($B$7:$B702*$F$1009*EXP(-$F$1009*($A707-$A$7:$A702)))*$F$1010</f>
        <v>4522208.4866009513</v>
      </c>
      <c r="E707" s="67">
        <f t="shared" si="65"/>
        <v>8.6211912588641919</v>
      </c>
      <c r="F707" s="70">
        <f t="shared" si="69"/>
        <v>0.52347873323823368</v>
      </c>
      <c r="G707" s="67">
        <f>E707/'Lookup Tables'!$C$48</f>
        <v>17.242382517728384</v>
      </c>
      <c r="H707" s="70">
        <f t="shared" si="66"/>
        <v>5.0185643586883469E-3</v>
      </c>
      <c r="I707" s="71">
        <f t="shared" si="70"/>
        <v>2.4829030825528869E-2</v>
      </c>
      <c r="L707" s="74"/>
      <c r="M707" s="74"/>
      <c r="N707" s="74"/>
      <c r="O707" s="74"/>
      <c r="P707" s="74"/>
      <c r="Q707" s="74"/>
      <c r="R707" s="74"/>
      <c r="S707" s="74"/>
      <c r="T707" s="74"/>
      <c r="U707" s="74"/>
      <c r="V707" s="74"/>
      <c r="W707" s="74"/>
      <c r="X707" s="74"/>
      <c r="Y707" s="74"/>
      <c r="Z707" s="74"/>
    </row>
    <row r="708" spans="1:26" x14ac:dyDescent="0.3">
      <c r="A708" s="66">
        <f t="shared" si="68"/>
        <v>2060.0999999999362</v>
      </c>
      <c r="B708" s="67">
        <f>LOOKUP(A708+0.01,Amounts!$A$4:$A$103,Amounts!$B$4:$B$103)*0.1*$A$2</f>
        <v>0</v>
      </c>
      <c r="C708" s="68">
        <f t="shared" si="67"/>
        <v>902907.24633514904</v>
      </c>
      <c r="D708" s="67">
        <f t="array" ref="D708">SUM($B$7:$B703*$F$1009*EXP(-$F$1009*($A708-$A$7:$A703)))*$F$1010</f>
        <v>4490663.5632348852</v>
      </c>
      <c r="E708" s="67">
        <f t="shared" si="65"/>
        <v>8.5610536472545427</v>
      </c>
      <c r="F708" s="70">
        <f t="shared" si="69"/>
        <v>0.51982717746129581</v>
      </c>
      <c r="G708" s="67">
        <f>E708/'Lookup Tables'!$C$48</f>
        <v>17.122107294509085</v>
      </c>
      <c r="H708" s="70">
        <f t="shared" si="66"/>
        <v>4.9835570766111155E-3</v>
      </c>
      <c r="I708" s="71">
        <f t="shared" si="70"/>
        <v>2.4655834504093085E-2</v>
      </c>
      <c r="L708" s="74"/>
      <c r="M708" s="74"/>
      <c r="N708" s="74"/>
      <c r="O708" s="74"/>
      <c r="P708" s="74"/>
      <c r="Q708" s="74"/>
      <c r="R708" s="74"/>
      <c r="S708" s="74"/>
      <c r="T708" s="74"/>
      <c r="U708" s="74"/>
      <c r="V708" s="74"/>
      <c r="W708" s="74"/>
      <c r="X708" s="74"/>
      <c r="Y708" s="74"/>
      <c r="Z708" s="74"/>
    </row>
    <row r="709" spans="1:26" x14ac:dyDescent="0.3">
      <c r="A709" s="66">
        <f t="shared" si="68"/>
        <v>2060.1999999999362</v>
      </c>
      <c r="B709" s="67">
        <f>LOOKUP(A709+0.01,Amounts!$A$4:$A$103,Amounts!$B$4:$B$103)*0.1*$A$2</f>
        <v>0</v>
      </c>
      <c r="C709" s="68">
        <f t="shared" si="67"/>
        <v>902907.24633514904</v>
      </c>
      <c r="D709" s="67">
        <f t="array" ref="D709">SUM($B$7:$B704*$F$1009*EXP(-$F$1009*($A709-$A$7:$A704)))*$F$1010</f>
        <v>4459338.6832819255</v>
      </c>
      <c r="E709" s="67">
        <f t="shared" si="65"/>
        <v>8.5013355289865356</v>
      </c>
      <c r="F709" s="70">
        <f t="shared" si="69"/>
        <v>0.51620109332006248</v>
      </c>
      <c r="G709" s="67">
        <f>E709/'Lookup Tables'!$C$48</f>
        <v>17.002671057973071</v>
      </c>
      <c r="H709" s="70">
        <f t="shared" si="66"/>
        <v>4.9487939898277648E-3</v>
      </c>
      <c r="I709" s="71">
        <f t="shared" si="70"/>
        <v>2.4483846323481221E-2</v>
      </c>
      <c r="L709" s="74"/>
      <c r="M709" s="74"/>
      <c r="N709" s="74"/>
      <c r="O709" s="74"/>
      <c r="P709" s="74"/>
      <c r="Q709" s="74"/>
      <c r="R709" s="74"/>
      <c r="S709" s="74"/>
      <c r="T709" s="74"/>
      <c r="U709" s="74"/>
      <c r="V709" s="74"/>
      <c r="W709" s="74"/>
      <c r="X709" s="74"/>
      <c r="Y709" s="74"/>
      <c r="Z709" s="74"/>
    </row>
    <row r="710" spans="1:26" x14ac:dyDescent="0.3">
      <c r="A710" s="66">
        <f t="shared" si="68"/>
        <v>2060.2999999999361</v>
      </c>
      <c r="B710" s="67">
        <f>LOOKUP(A710+0.01,Amounts!$A$4:$A$103,Amounts!$B$4:$B$103)*0.1*$A$2</f>
        <v>0</v>
      </c>
      <c r="C710" s="68">
        <f t="shared" si="67"/>
        <v>902907.24633514904</v>
      </c>
      <c r="D710" s="67">
        <f t="array" ref="D710">SUM($B$7:$B705*$F$1009*EXP(-$F$1009*($A710-$A$7:$A705)))*$F$1010</f>
        <v>4428232.3118166905</v>
      </c>
      <c r="E710" s="67">
        <f t="shared" si="65"/>
        <v>8.4420339778604294</v>
      </c>
      <c r="F710" s="70">
        <f t="shared" si="69"/>
        <v>0.51260030313568528</v>
      </c>
      <c r="G710" s="67">
        <f>E710/'Lookup Tables'!$C$48</f>
        <v>16.884067955720859</v>
      </c>
      <c r="H710" s="70">
        <f t="shared" si="66"/>
        <v>4.9142733949400904E-3</v>
      </c>
      <c r="I710" s="71">
        <f t="shared" si="70"/>
        <v>2.4313057856238034E-2</v>
      </c>
      <c r="L710" s="74"/>
      <c r="M710" s="74"/>
      <c r="N710" s="74"/>
      <c r="O710" s="74"/>
      <c r="P710" s="74"/>
      <c r="Q710" s="74"/>
      <c r="R710" s="74"/>
      <c r="S710" s="74"/>
      <c r="T710" s="74"/>
      <c r="U710" s="74"/>
      <c r="V710" s="74"/>
      <c r="W710" s="74"/>
      <c r="X710" s="74"/>
      <c r="Y710" s="74"/>
      <c r="Z710" s="74"/>
    </row>
    <row r="711" spans="1:26" x14ac:dyDescent="0.3">
      <c r="A711" s="66">
        <f t="shared" si="68"/>
        <v>2060.399999999936</v>
      </c>
      <c r="B711" s="67">
        <f>LOOKUP(A711+0.01,Amounts!$A$4:$A$103,Amounts!$B$4:$B$103)*0.1*$A$2</f>
        <v>0</v>
      </c>
      <c r="C711" s="68">
        <f t="shared" si="67"/>
        <v>902907.24633514904</v>
      </c>
      <c r="D711" s="67">
        <f t="array" ref="D711">SUM($B$7:$B706*$F$1009*EXP(-$F$1009*($A711-$A$7:$A706)))*$F$1010</f>
        <v>4397342.9246207494</v>
      </c>
      <c r="E711" s="67">
        <f t="shared" ref="E711:E774" si="71">D711/(365*24*60)*1.00201</f>
        <v>8.3831460880883508</v>
      </c>
      <c r="F711" s="70">
        <f t="shared" si="69"/>
        <v>0.50902463046872459</v>
      </c>
      <c r="G711" s="67">
        <f>E711/'Lookup Tables'!$C$48</f>
        <v>16.766292176176702</v>
      </c>
      <c r="H711" s="70">
        <f t="shared" ref="H711:H774" si="72">G711*60*24*365/(C711*2000)</f>
        <v>4.879993600432034E-3</v>
      </c>
      <c r="I711" s="71">
        <f t="shared" si="70"/>
        <v>2.4143460733694451E-2</v>
      </c>
      <c r="L711" s="74"/>
      <c r="M711" s="74"/>
      <c r="N711" s="74"/>
      <c r="O711" s="74"/>
      <c r="P711" s="74"/>
      <c r="Q711" s="74"/>
      <c r="R711" s="74"/>
      <c r="S711" s="74"/>
      <c r="T711" s="74"/>
      <c r="U711" s="74"/>
      <c r="V711" s="74"/>
      <c r="W711" s="74"/>
      <c r="X711" s="74"/>
      <c r="Y711" s="74"/>
      <c r="Z711" s="74"/>
    </row>
    <row r="712" spans="1:26" x14ac:dyDescent="0.3">
      <c r="A712" s="66">
        <f t="shared" si="68"/>
        <v>2060.4999999999359</v>
      </c>
      <c r="B712" s="67">
        <f>LOOKUP(A712+0.01,Amounts!$A$4:$A$103,Amounts!$B$4:$B$103)*0.1*$A$2</f>
        <v>0</v>
      </c>
      <c r="C712" s="68">
        <f t="shared" si="67"/>
        <v>902907.24633514904</v>
      </c>
      <c r="D712" s="67">
        <f t="array" ref="D712">SUM($B$7:$B707*$F$1009*EXP(-$F$1009*($A712-$A$7:$A707)))*$F$1010</f>
        <v>4366669.0081079509</v>
      </c>
      <c r="E712" s="67">
        <f t="shared" si="71"/>
        <v>8.3246689741519173</v>
      </c>
      <c r="F712" s="70">
        <f t="shared" si="69"/>
        <v>0.50547390011050441</v>
      </c>
      <c r="G712" s="67">
        <f>E712/'Lookup Tables'!$C$48</f>
        <v>16.649337948303835</v>
      </c>
      <c r="H712" s="70">
        <f t="shared" si="72"/>
        <v>4.8459529265868044E-3</v>
      </c>
      <c r="I712" s="71">
        <f t="shared" si="70"/>
        <v>2.3975046645557524E-2</v>
      </c>
      <c r="L712" s="74"/>
      <c r="M712" s="74"/>
      <c r="N712" s="74"/>
      <c r="O712" s="74"/>
      <c r="P712" s="74"/>
      <c r="Q712" s="74"/>
      <c r="R712" s="74"/>
      <c r="S712" s="74"/>
      <c r="T712" s="74"/>
      <c r="U712" s="74"/>
      <c r="V712" s="74"/>
      <c r="W712" s="74"/>
      <c r="X712" s="74"/>
      <c r="Y712" s="74"/>
      <c r="Z712" s="74"/>
    </row>
    <row r="713" spans="1:26" x14ac:dyDescent="0.3">
      <c r="A713" s="66">
        <f t="shared" si="68"/>
        <v>2060.5999999999358</v>
      </c>
      <c r="B713" s="67">
        <f>LOOKUP(A713+0.01,Amounts!$A$4:$A$103,Amounts!$B$4:$B$103)*0.1*$A$2</f>
        <v>0</v>
      </c>
      <c r="C713" s="68">
        <f t="shared" ref="C713:C776" si="73">C712+B713</f>
        <v>902907.24633514904</v>
      </c>
      <c r="D713" s="67">
        <f t="array" ref="D713">SUM($B$7:$B708*$F$1009*EXP(-$F$1009*($A713-$A$7:$A708)))*$F$1010</f>
        <v>4336209.0592502486</v>
      </c>
      <c r="E713" s="67">
        <f t="shared" si="71"/>
        <v>8.2665997706608483</v>
      </c>
      <c r="F713" s="70">
        <f t="shared" si="69"/>
        <v>0.50194793807452676</v>
      </c>
      <c r="G713" s="67">
        <f>E713/'Lookup Tables'!$C$48</f>
        <v>16.533199541321697</v>
      </c>
      <c r="H713" s="70">
        <f t="shared" si="72"/>
        <v>4.8121497054045732E-3</v>
      </c>
      <c r="I713" s="71">
        <f t="shared" si="70"/>
        <v>2.3807807339503245E-2</v>
      </c>
      <c r="L713" s="74"/>
      <c r="M713" s="74"/>
      <c r="N713" s="74"/>
      <c r="O713" s="74"/>
      <c r="P713" s="74"/>
      <c r="Q713" s="74"/>
      <c r="R713" s="74"/>
      <c r="S713" s="74"/>
      <c r="T713" s="74"/>
      <c r="U713" s="74"/>
      <c r="V713" s="74"/>
      <c r="W713" s="74"/>
      <c r="X713" s="74"/>
      <c r="Y713" s="74"/>
      <c r="Z713" s="74"/>
    </row>
    <row r="714" spans="1:26" x14ac:dyDescent="0.3">
      <c r="A714" s="66">
        <f t="shared" si="68"/>
        <v>2060.6999999999357</v>
      </c>
      <c r="B714" s="67">
        <f>LOOKUP(A714+0.01,Amounts!$A$4:$A$103,Amounts!$B$4:$B$103)*0.1*$A$2</f>
        <v>0</v>
      </c>
      <c r="C714" s="68">
        <f t="shared" si="73"/>
        <v>902907.24633514904</v>
      </c>
      <c r="D714" s="67">
        <f t="array" ref="D714">SUM($B$7:$B709*$F$1009*EXP(-$F$1009*($A714-$A$7:$A709)))*$F$1010</f>
        <v>4305961.5855040522</v>
      </c>
      <c r="E714" s="67">
        <f t="shared" si="71"/>
        <v>8.2089356322125493</v>
      </c>
      <c r="F714" s="70">
        <f t="shared" si="69"/>
        <v>0.49844657158794603</v>
      </c>
      <c r="G714" s="67">
        <f>E714/'Lookup Tables'!$C$48</f>
        <v>16.417871264425099</v>
      </c>
      <c r="H714" s="70">
        <f t="shared" si="72"/>
        <v>4.7785822805207377E-3</v>
      </c>
      <c r="I714" s="71">
        <f t="shared" si="70"/>
        <v>2.3641734620772143E-2</v>
      </c>
      <c r="L714" s="74"/>
      <c r="M714" s="74"/>
      <c r="N714" s="74"/>
      <c r="O714" s="74"/>
      <c r="P714" s="74"/>
      <c r="Q714" s="74"/>
      <c r="R714" s="74"/>
      <c r="S714" s="74"/>
      <c r="T714" s="74"/>
      <c r="U714" s="74"/>
      <c r="V714" s="74"/>
      <c r="W714" s="74"/>
      <c r="X714" s="74"/>
      <c r="Y714" s="74"/>
      <c r="Z714" s="74"/>
    </row>
    <row r="715" spans="1:26" x14ac:dyDescent="0.3">
      <c r="A715" s="66">
        <f t="shared" si="68"/>
        <v>2060.7999999999356</v>
      </c>
      <c r="B715" s="67">
        <f>LOOKUP(A715+0.01,Amounts!$A$4:$A$103,Amounts!$B$4:$B$103)*0.1*$A$2</f>
        <v>0</v>
      </c>
      <c r="C715" s="68">
        <f t="shared" si="73"/>
        <v>902907.24633514904</v>
      </c>
      <c r="D715" s="67">
        <f t="array" ref="D715">SUM($B$7:$B710*$F$1009*EXP(-$F$1009*($A715-$A$7:$A710)))*$F$1010</f>
        <v>4275925.1047370993</v>
      </c>
      <c r="E715" s="67">
        <f t="shared" si="71"/>
        <v>8.1516737332527036</v>
      </c>
      <c r="F715" s="70">
        <f t="shared" si="69"/>
        <v>0.49496962908310416</v>
      </c>
      <c r="G715" s="67">
        <f>E715/'Lookup Tables'!$C$48</f>
        <v>16.303347466505407</v>
      </c>
      <c r="H715" s="70">
        <f t="shared" si="72"/>
        <v>4.7452490071247643E-3</v>
      </c>
      <c r="I715" s="71">
        <f t="shared" si="70"/>
        <v>2.3476820351767787E-2</v>
      </c>
      <c r="L715" s="74"/>
      <c r="M715" s="74"/>
      <c r="N715" s="74"/>
      <c r="O715" s="74"/>
      <c r="P715" s="74"/>
      <c r="Q715" s="74"/>
      <c r="R715" s="74"/>
      <c r="S715" s="74"/>
      <c r="T715" s="74"/>
      <c r="U715" s="74"/>
      <c r="V715" s="74"/>
      <c r="W715" s="74"/>
      <c r="X715" s="74"/>
      <c r="Y715" s="74"/>
      <c r="Z715" s="74"/>
    </row>
    <row r="716" spans="1:26" x14ac:dyDescent="0.3">
      <c r="A716" s="66">
        <f t="shared" si="68"/>
        <v>2060.8999999999355</v>
      </c>
      <c r="B716" s="67">
        <f>LOOKUP(A716+0.01,Amounts!$A$4:$A$103,Amounts!$B$4:$B$103)*0.1*$A$2</f>
        <v>0</v>
      </c>
      <c r="C716" s="68">
        <f t="shared" si="73"/>
        <v>902907.24633514904</v>
      </c>
      <c r="D716" s="67">
        <f t="array" ref="D716">SUM($B$7:$B711*$F$1009*EXP(-$F$1009*($A716-$A$7:$A711)))*$F$1010</f>
        <v>4246098.1451558201</v>
      </c>
      <c r="E716" s="67">
        <f t="shared" si="71"/>
        <v>8.0948112679368034</v>
      </c>
      <c r="F716" s="70">
        <f t="shared" si="69"/>
        <v>0.49151694018912268</v>
      </c>
      <c r="G716" s="67">
        <f>E716/'Lookup Tables'!$C$48</f>
        <v>16.189622535873607</v>
      </c>
      <c r="H716" s="70">
        <f t="shared" si="72"/>
        <v>4.7121482518795868E-3</v>
      </c>
      <c r="I716" s="71">
        <f t="shared" si="70"/>
        <v>2.3313056451657994E-2</v>
      </c>
      <c r="L716" s="74"/>
      <c r="M716" s="74"/>
      <c r="N716" s="74"/>
      <c r="O716" s="74"/>
      <c r="P716" s="74"/>
      <c r="Q716" s="74"/>
      <c r="R716" s="74"/>
      <c r="S716" s="74"/>
      <c r="T716" s="74"/>
      <c r="U716" s="74"/>
      <c r="V716" s="74"/>
      <c r="W716" s="74"/>
      <c r="X716" s="74"/>
      <c r="Y716" s="74"/>
      <c r="Z716" s="74"/>
    </row>
    <row r="717" spans="1:26" x14ac:dyDescent="0.3">
      <c r="A717" s="66">
        <f t="shared" si="68"/>
        <v>2060.9999999999354</v>
      </c>
      <c r="B717" s="67">
        <f>LOOKUP(A717+0.01,Amounts!$A$4:$A$103,Amounts!$B$4:$B$103)*0.1*$A$2</f>
        <v>0</v>
      </c>
      <c r="C717" s="68">
        <f t="shared" si="73"/>
        <v>902907.24633514904</v>
      </c>
      <c r="D717" s="67">
        <f t="array" ref="D717">SUM($B$7:$B712*$F$1009*EXP(-$F$1009*($A717-$A$7:$A712)))*$F$1010</f>
        <v>4216479.2452332284</v>
      </c>
      <c r="E717" s="67">
        <f t="shared" si="71"/>
        <v>8.0383454499926703</v>
      </c>
      <c r="F717" s="70">
        <f t="shared" si="69"/>
        <v>0.48808833572355492</v>
      </c>
      <c r="G717" s="67">
        <f>E717/'Lookup Tables'!$C$48</f>
        <v>16.076690899985341</v>
      </c>
      <c r="H717" s="70">
        <f t="shared" si="72"/>
        <v>4.6792783928415746E-3</v>
      </c>
      <c r="I717" s="71">
        <f t="shared" si="70"/>
        <v>2.3150434895978893E-2</v>
      </c>
      <c r="L717" s="74"/>
      <c r="M717" s="74"/>
      <c r="N717" s="74"/>
      <c r="O717" s="74"/>
      <c r="P717" s="74"/>
      <c r="Q717" s="74"/>
      <c r="R717" s="74"/>
      <c r="S717" s="74"/>
      <c r="T717" s="74"/>
      <c r="U717" s="74"/>
      <c r="V717" s="74"/>
      <c r="W717" s="74"/>
      <c r="X717" s="74"/>
      <c r="Y717" s="74"/>
      <c r="Z717" s="74"/>
    </row>
    <row r="718" spans="1:26" x14ac:dyDescent="0.3">
      <c r="A718" s="66">
        <f t="shared" si="68"/>
        <v>2061.0999999999353</v>
      </c>
      <c r="B718" s="67">
        <f>LOOKUP(A718+0.01,Amounts!$A$4:$A$103,Amounts!$B$4:$B$103)*0.1*$A$2</f>
        <v>0</v>
      </c>
      <c r="C718" s="68">
        <f t="shared" si="73"/>
        <v>902907.24633514904</v>
      </c>
      <c r="D718" s="67">
        <f t="array" ref="D718">SUM($B$7:$B713*$F$1009*EXP(-$F$1009*($A718-$A$7:$A713)))*$F$1010</f>
        <v>4187066.9536373001</v>
      </c>
      <c r="E718" s="67">
        <f t="shared" si="71"/>
        <v>7.9822735125839257</v>
      </c>
      <c r="F718" s="70">
        <f t="shared" si="69"/>
        <v>0.48468364768409594</v>
      </c>
      <c r="G718" s="67">
        <f>E718/'Lookup Tables'!$C$48</f>
        <v>15.964547025167851</v>
      </c>
      <c r="H718" s="70">
        <f t="shared" si="72"/>
        <v>4.6466378193810564E-3</v>
      </c>
      <c r="I718" s="71">
        <f t="shared" si="70"/>
        <v>2.2988947716241707E-2</v>
      </c>
      <c r="L718" s="74"/>
      <c r="M718" s="74"/>
      <c r="N718" s="74"/>
      <c r="O718" s="74"/>
      <c r="P718" s="74"/>
      <c r="Q718" s="74"/>
      <c r="R718" s="74"/>
      <c r="S718" s="74"/>
      <c r="T718" s="74"/>
      <c r="U718" s="74"/>
      <c r="V718" s="74"/>
      <c r="W718" s="74"/>
      <c r="X718" s="74"/>
      <c r="Y718" s="74"/>
      <c r="Z718" s="74"/>
    </row>
    <row r="719" spans="1:26" x14ac:dyDescent="0.3">
      <c r="A719" s="66">
        <f t="shared" si="68"/>
        <v>2061.1999999999352</v>
      </c>
      <c r="B719" s="67">
        <f>LOOKUP(A719+0.01,Amounts!$A$4:$A$103,Amounts!$B$4:$B$103)*0.1*$A$2</f>
        <v>0</v>
      </c>
      <c r="C719" s="68">
        <f t="shared" si="73"/>
        <v>902907.24633514904</v>
      </c>
      <c r="D719" s="67">
        <f t="array" ref="D719">SUM($B$7:$B714*$F$1009*EXP(-$F$1009*($A719-$A$7:$A714)))*$F$1010</f>
        <v>4157859.8291598642</v>
      </c>
      <c r="E719" s="67">
        <f t="shared" si="71"/>
        <v>7.9265927081744216</v>
      </c>
      <c r="F719" s="70">
        <f t="shared" si="69"/>
        <v>0.48130270924035085</v>
      </c>
      <c r="G719" s="67">
        <f>E719/'Lookup Tables'!$C$48</f>
        <v>15.853185416348843</v>
      </c>
      <c r="H719" s="70">
        <f t="shared" si="72"/>
        <v>4.6142249321034058E-3</v>
      </c>
      <c r="I719" s="71">
        <f t="shared" si="70"/>
        <v>2.2828586999542336E-2</v>
      </c>
      <c r="L719" s="74"/>
      <c r="M719" s="74"/>
      <c r="N719" s="74"/>
      <c r="O719" s="74"/>
      <c r="P719" s="74"/>
      <c r="Q719" s="74"/>
      <c r="R719" s="74"/>
      <c r="S719" s="74"/>
      <c r="T719" s="74"/>
      <c r="U719" s="74"/>
      <c r="V719" s="74"/>
      <c r="W719" s="74"/>
      <c r="X719" s="74"/>
      <c r="Y719" s="74"/>
      <c r="Z719" s="74"/>
    </row>
    <row r="720" spans="1:26" x14ac:dyDescent="0.3">
      <c r="A720" s="66">
        <f t="shared" si="68"/>
        <v>2061.2999999999352</v>
      </c>
      <c r="B720" s="67">
        <f>LOOKUP(A720+0.01,Amounts!$A$4:$A$103,Amounts!$B$4:$B$103)*0.1*$A$2</f>
        <v>0</v>
      </c>
      <c r="C720" s="68">
        <f t="shared" si="73"/>
        <v>902907.24633514904</v>
      </c>
      <c r="D720" s="67">
        <f t="array" ref="D720">SUM($B$7:$B715*$F$1009*EXP(-$F$1009*($A720-$A$7:$A715)))*$F$1010</f>
        <v>4128856.4406459765</v>
      </c>
      <c r="E720" s="67">
        <f t="shared" si="71"/>
        <v>7.8713003083935984</v>
      </c>
      <c r="F720" s="70">
        <f t="shared" si="69"/>
        <v>0.4779453547256593</v>
      </c>
      <c r="G720" s="67">
        <f>E720/'Lookup Tables'!$C$48</f>
        <v>15.742600616787197</v>
      </c>
      <c r="H720" s="70">
        <f t="shared" si="72"/>
        <v>4.5820381427706582E-3</v>
      </c>
      <c r="I720" s="71">
        <f t="shared" si="70"/>
        <v>2.2669344888173563E-2</v>
      </c>
      <c r="L720" s="74"/>
      <c r="M720" s="74"/>
      <c r="N720" s="74"/>
      <c r="O720" s="74"/>
      <c r="P720" s="74"/>
      <c r="Q720" s="74"/>
      <c r="R720" s="74"/>
      <c r="S720" s="74"/>
      <c r="T720" s="74"/>
      <c r="U720" s="74"/>
      <c r="V720" s="74"/>
      <c r="W720" s="74"/>
      <c r="X720" s="74"/>
      <c r="Y720" s="74"/>
      <c r="Z720" s="74"/>
    </row>
    <row r="721" spans="1:26" x14ac:dyDescent="0.3">
      <c r="A721" s="66">
        <f t="shared" si="68"/>
        <v>2061.3999999999351</v>
      </c>
      <c r="B721" s="67">
        <f>LOOKUP(A721+0.01,Amounts!$A$4:$A$103,Amounts!$B$4:$B$103)*0.1*$A$2</f>
        <v>0</v>
      </c>
      <c r="C721" s="68">
        <f t="shared" si="73"/>
        <v>902907.24633514904</v>
      </c>
      <c r="D721" s="67">
        <f t="array" ref="D721">SUM($B$7:$B716*$F$1009*EXP(-$F$1009*($A721-$A$7:$A716)))*$F$1010</f>
        <v>4100055.366923796</v>
      </c>
      <c r="E721" s="67">
        <f t="shared" si="71"/>
        <v>7.816393603902803</v>
      </c>
      <c r="F721" s="70">
        <f t="shared" si="69"/>
        <v>0.47461141962897818</v>
      </c>
      <c r="G721" s="67">
        <f>E721/'Lookup Tables'!$C$48</f>
        <v>15.632787207805606</v>
      </c>
      <c r="H721" s="70">
        <f t="shared" si="72"/>
        <v>4.5500758742236958E-3</v>
      </c>
      <c r="I721" s="71">
        <f t="shared" si="70"/>
        <v>2.2511213579240075E-2</v>
      </c>
      <c r="L721" s="74"/>
      <c r="M721" s="74"/>
      <c r="N721" s="74"/>
      <c r="O721" s="74"/>
      <c r="P721" s="74"/>
      <c r="Q721" s="74"/>
      <c r="R721" s="74"/>
      <c r="S721" s="74"/>
      <c r="T721" s="74"/>
      <c r="U721" s="74"/>
      <c r="V721" s="74"/>
      <c r="W721" s="74"/>
      <c r="X721" s="74"/>
      <c r="Y721" s="74"/>
      <c r="Z721" s="74"/>
    </row>
    <row r="722" spans="1:26" x14ac:dyDescent="0.3">
      <c r="A722" s="66">
        <f t="shared" si="68"/>
        <v>2061.499999999935</v>
      </c>
      <c r="B722" s="67">
        <f>LOOKUP(A722+0.01,Amounts!$A$4:$A$103,Amounts!$B$4:$B$103)*0.1*$A$2</f>
        <v>0</v>
      </c>
      <c r="C722" s="68">
        <f t="shared" si="73"/>
        <v>902907.24633514904</v>
      </c>
      <c r="D722" s="67">
        <f t="array" ref="D722">SUM($B$7:$B717*$F$1009*EXP(-$F$1009*($A722-$A$7:$A717)))*$F$1010</f>
        <v>4071455.1967349495</v>
      </c>
      <c r="E722" s="67">
        <f t="shared" si="71"/>
        <v>7.7618699042625323</v>
      </c>
      <c r="F722" s="70">
        <f t="shared" si="69"/>
        <v>0.47130074058682092</v>
      </c>
      <c r="G722" s="67">
        <f>E722/'Lookup Tables'!$C$48</f>
        <v>15.523739808525065</v>
      </c>
      <c r="H722" s="70">
        <f t="shared" si="72"/>
        <v>4.5183365603049669E-3</v>
      </c>
      <c r="I722" s="71">
        <f t="shared" si="70"/>
        <v>2.2354185324276091E-2</v>
      </c>
      <c r="L722" s="74"/>
      <c r="M722" s="74"/>
      <c r="N722" s="74"/>
      <c r="O722" s="74"/>
      <c r="P722" s="74"/>
      <c r="Q722" s="74"/>
      <c r="R722" s="74"/>
      <c r="S722" s="74"/>
      <c r="T722" s="74"/>
      <c r="U722" s="74"/>
      <c r="V722" s="74"/>
      <c r="W722" s="74"/>
      <c r="X722" s="74"/>
      <c r="Y722" s="74"/>
      <c r="Z722" s="74"/>
    </row>
    <row r="723" spans="1:26" x14ac:dyDescent="0.3">
      <c r="A723" s="66">
        <f t="shared" ref="A723:A786" si="74">A722+0.1</f>
        <v>2061.5999999999349</v>
      </c>
      <c r="B723" s="67">
        <f>LOOKUP(A723+0.01,Amounts!$A$4:$A$103,Amounts!$B$4:$B$103)*0.1*$A$2</f>
        <v>0</v>
      </c>
      <c r="C723" s="68">
        <f t="shared" si="73"/>
        <v>902907.24633514904</v>
      </c>
      <c r="D723" s="67">
        <f t="array" ref="D723">SUM($B$7:$B718*$F$1009*EXP(-$F$1009*($A723-$A$7:$A718)))*$F$1010</f>
        <v>4043054.5286653736</v>
      </c>
      <c r="E723" s="67">
        <f t="shared" si="71"/>
        <v>7.7077265378005917</v>
      </c>
      <c r="F723" s="70">
        <f t="shared" ref="F723:F786" si="75">E723*60*1012/1000000</f>
        <v>0.4680131553752519</v>
      </c>
      <c r="G723" s="67">
        <f>E723/'Lookup Tables'!$C$48</f>
        <v>15.415453075601183</v>
      </c>
      <c r="H723" s="70">
        <f t="shared" si="72"/>
        <v>4.4868186457817372E-3</v>
      </c>
      <c r="I723" s="71">
        <f t="shared" ref="I723:I786" si="76">G723*60*24/1000000</f>
        <v>2.2198252428865705E-2</v>
      </c>
      <c r="L723" s="74"/>
      <c r="M723" s="74"/>
      <c r="N723" s="74"/>
      <c r="O723" s="74"/>
      <c r="P723" s="74"/>
      <c r="Q723" s="74"/>
      <c r="R723" s="74"/>
      <c r="S723" s="74"/>
      <c r="T723" s="74"/>
      <c r="U723" s="74"/>
      <c r="V723" s="74"/>
      <c r="W723" s="74"/>
      <c r="X723" s="74"/>
      <c r="Y723" s="74"/>
      <c r="Z723" s="74"/>
    </row>
    <row r="724" spans="1:26" x14ac:dyDescent="0.3">
      <c r="A724" s="66">
        <f t="shared" si="74"/>
        <v>2061.6999999999348</v>
      </c>
      <c r="B724" s="67">
        <f>LOOKUP(A724+0.01,Amounts!$A$4:$A$103,Amounts!$B$4:$B$103)*0.1*$A$2</f>
        <v>0</v>
      </c>
      <c r="C724" s="68">
        <f t="shared" si="73"/>
        <v>902907.24633514904</v>
      </c>
      <c r="D724" s="67">
        <f t="array" ref="D724">SUM($B$7:$B719*$F$1009*EXP(-$F$1009*($A724-$A$7:$A719)))*$F$1010</f>
        <v>4014851.9710766519</v>
      </c>
      <c r="E724" s="67">
        <f t="shared" si="71"/>
        <v>7.6539608514811945</v>
      </c>
      <c r="F724" s="70">
        <f t="shared" si="75"/>
        <v>0.46474850290193809</v>
      </c>
      <c r="G724" s="67">
        <f>E724/'Lookup Tables'!$C$48</f>
        <v>15.307921702962389</v>
      </c>
      <c r="H724" s="70">
        <f t="shared" si="72"/>
        <v>4.4555205862698904E-3</v>
      </c>
      <c r="I724" s="71">
        <f t="shared" si="76"/>
        <v>2.2043407252265838E-2</v>
      </c>
      <c r="L724" s="74"/>
      <c r="M724" s="74"/>
      <c r="N724" s="74"/>
      <c r="O724" s="74"/>
      <c r="P724" s="74"/>
      <c r="Q724" s="74"/>
      <c r="R724" s="74"/>
      <c r="S724" s="74"/>
      <c r="T724" s="74"/>
      <c r="U724" s="74"/>
      <c r="V724" s="74"/>
      <c r="W724" s="74"/>
      <c r="X724" s="74"/>
      <c r="Y724" s="74"/>
      <c r="Z724" s="74"/>
    </row>
    <row r="725" spans="1:26" x14ac:dyDescent="0.3">
      <c r="A725" s="66">
        <f t="shared" si="74"/>
        <v>2061.7999999999347</v>
      </c>
      <c r="B725" s="67">
        <f>LOOKUP(A725+0.01,Amounts!$A$4:$A$103,Amounts!$B$4:$B$103)*0.1*$A$2</f>
        <v>0</v>
      </c>
      <c r="C725" s="68">
        <f t="shared" si="73"/>
        <v>902907.24633514904</v>
      </c>
      <c r="D725" s="67">
        <f t="array" ref="D725">SUM($B$7:$B720*$F$1009*EXP(-$F$1009*($A725-$A$7:$A720)))*$F$1010</f>
        <v>3986846.1420378182</v>
      </c>
      <c r="E725" s="67">
        <f t="shared" si="71"/>
        <v>7.6005702107749515</v>
      </c>
      <c r="F725" s="70">
        <f t="shared" si="75"/>
        <v>0.46150662319825508</v>
      </c>
      <c r="G725" s="67">
        <f>E725/'Lookup Tables'!$C$48</f>
        <v>15.201140421549903</v>
      </c>
      <c r="H725" s="70">
        <f t="shared" si="72"/>
        <v>4.4244408481582476E-3</v>
      </c>
      <c r="I725" s="71">
        <f t="shared" si="76"/>
        <v>2.1889642207031861E-2</v>
      </c>
      <c r="L725" s="74"/>
      <c r="M725" s="74"/>
      <c r="N725" s="74"/>
      <c r="O725" s="74"/>
      <c r="P725" s="74"/>
      <c r="Q725" s="74"/>
      <c r="R725" s="74"/>
      <c r="S725" s="74"/>
      <c r="T725" s="74"/>
      <c r="U725" s="74"/>
      <c r="V725" s="74"/>
      <c r="W725" s="74"/>
      <c r="X725" s="74"/>
      <c r="Y725" s="74"/>
      <c r="Z725" s="74"/>
    </row>
    <row r="726" spans="1:26" x14ac:dyDescent="0.3">
      <c r="A726" s="66">
        <f t="shared" si="74"/>
        <v>2061.8999999999346</v>
      </c>
      <c r="B726" s="67">
        <f>LOOKUP(A726+0.01,Amounts!$A$4:$A$103,Amounts!$B$4:$B$103)*0.1*$A$2</f>
        <v>0</v>
      </c>
      <c r="C726" s="68">
        <f t="shared" si="73"/>
        <v>902907.24633514904</v>
      </c>
      <c r="D726" s="67">
        <f t="array" ref="D726">SUM($B$7:$B721*$F$1009*EXP(-$F$1009*($A726-$A$7:$A721)))*$F$1010</f>
        <v>3959035.6692576474</v>
      </c>
      <c r="E726" s="67">
        <f t="shared" si="71"/>
        <v>7.5475519995297855</v>
      </c>
      <c r="F726" s="70">
        <f t="shared" si="75"/>
        <v>0.45828735741144855</v>
      </c>
      <c r="G726" s="67">
        <f>E726/'Lookup Tables'!$C$48</f>
        <v>15.095103999059571</v>
      </c>
      <c r="H726" s="70">
        <f t="shared" si="72"/>
        <v>4.3935779085334213E-3</v>
      </c>
      <c r="I726" s="71">
        <f t="shared" si="76"/>
        <v>2.173694975864578E-2</v>
      </c>
      <c r="L726" s="74"/>
      <c r="M726" s="74"/>
      <c r="N726" s="74"/>
      <c r="O726" s="74"/>
      <c r="P726" s="74"/>
      <c r="Q726" s="74"/>
      <c r="R726" s="74"/>
      <c r="S726" s="74"/>
      <c r="T726" s="74"/>
      <c r="U726" s="74"/>
      <c r="V726" s="74"/>
      <c r="W726" s="74"/>
      <c r="X726" s="74"/>
      <c r="Y726" s="74"/>
      <c r="Z726" s="74"/>
    </row>
    <row r="727" spans="1:26" x14ac:dyDescent="0.3">
      <c r="A727" s="66">
        <f t="shared" si="74"/>
        <v>2061.9999999999345</v>
      </c>
      <c r="B727" s="67">
        <f>LOOKUP(A727+0.01,Amounts!$A$4:$A$103,Amounts!$B$4:$B$103)*0.1*$A$2</f>
        <v>0</v>
      </c>
      <c r="C727" s="68">
        <f t="shared" si="73"/>
        <v>902907.24633514904</v>
      </c>
      <c r="D727" s="67">
        <f t="array" ref="D727">SUM($B$7:$B722*$F$1009*EXP(-$F$1009*($A727-$A$7:$A722)))*$F$1010</f>
        <v>3931419.1900174082</v>
      </c>
      <c r="E727" s="67">
        <f t="shared" si="71"/>
        <v>7.4949036198427388</v>
      </c>
      <c r="F727" s="70">
        <f t="shared" si="75"/>
        <v>0.4550905477968511</v>
      </c>
      <c r="G727" s="67">
        <f>E727/'Lookup Tables'!$C$48</f>
        <v>14.989807239685478</v>
      </c>
      <c r="H727" s="70">
        <f t="shared" si="72"/>
        <v>4.3629302551051975E-3</v>
      </c>
      <c r="I727" s="71">
        <f t="shared" si="76"/>
        <v>2.1585322425147085E-2</v>
      </c>
      <c r="L727" s="74"/>
      <c r="M727" s="74"/>
      <c r="N727" s="74"/>
      <c r="O727" s="74"/>
      <c r="P727" s="74"/>
      <c r="Q727" s="74"/>
      <c r="R727" s="74"/>
      <c r="S727" s="74"/>
      <c r="T727" s="74"/>
      <c r="U727" s="74"/>
      <c r="V727" s="74"/>
      <c r="W727" s="74"/>
      <c r="X727" s="74"/>
      <c r="Y727" s="74"/>
      <c r="Z727" s="74"/>
    </row>
    <row r="728" spans="1:26" x14ac:dyDescent="0.3">
      <c r="A728" s="66">
        <f t="shared" si="74"/>
        <v>2062.0999999999344</v>
      </c>
      <c r="B728" s="67">
        <f>LOOKUP(A728+0.01,Amounts!$A$4:$A$103,Amounts!$B$4:$B$103)*0.1*$A$2</f>
        <v>0</v>
      </c>
      <c r="C728" s="68">
        <f t="shared" si="73"/>
        <v>902907.24633514904</v>
      </c>
      <c r="D728" s="67">
        <f t="array" ref="D728">SUM($B$7:$B723*$F$1009*EXP(-$F$1009*($A728-$A$7:$A723)))*$F$1010</f>
        <v>3903995.3511040928</v>
      </c>
      <c r="E728" s="67">
        <f t="shared" si="71"/>
        <v>7.4426224919326724</v>
      </c>
      <c r="F728" s="70">
        <f t="shared" si="75"/>
        <v>0.45191603771015187</v>
      </c>
      <c r="G728" s="67">
        <f>E728/'Lookup Tables'!$C$48</f>
        <v>14.885244983865345</v>
      </c>
      <c r="H728" s="70">
        <f t="shared" si="72"/>
        <v>4.3324963861324254E-3</v>
      </c>
      <c r="I728" s="71">
        <f t="shared" si="76"/>
        <v>2.1434752776766097E-2</v>
      </c>
      <c r="L728" s="74"/>
      <c r="M728" s="74"/>
      <c r="N728" s="74"/>
      <c r="O728" s="74"/>
      <c r="P728" s="74"/>
      <c r="Q728" s="74"/>
      <c r="R728" s="74"/>
      <c r="S728" s="74"/>
      <c r="T728" s="74"/>
      <c r="U728" s="74"/>
      <c r="V728" s="74"/>
      <c r="W728" s="74"/>
      <c r="X728" s="74"/>
      <c r="Y728" s="74"/>
      <c r="Z728" s="74"/>
    </row>
    <row r="729" spans="1:26" x14ac:dyDescent="0.3">
      <c r="A729" s="66">
        <f t="shared" si="74"/>
        <v>2062.1999999999343</v>
      </c>
      <c r="B729" s="67">
        <f>LOOKUP(A729+0.01,Amounts!$A$4:$A$103,Amounts!$B$4:$B$103)*0.1*$A$2</f>
        <v>0</v>
      </c>
      <c r="C729" s="68">
        <f t="shared" si="73"/>
        <v>902907.24633514904</v>
      </c>
      <c r="D729" s="67">
        <f t="array" ref="D729">SUM($B$7:$B724*$F$1009*EXP(-$F$1009*($A729-$A$7:$A724)))*$F$1010</f>
        <v>3876762.808744106</v>
      </c>
      <c r="E729" s="67">
        <f t="shared" si="71"/>
        <v>7.3907060540138545</v>
      </c>
      <c r="F729" s="70">
        <f t="shared" si="75"/>
        <v>0.44876367159972125</v>
      </c>
      <c r="G729" s="67">
        <f>E729/'Lookup Tables'!$C$48</f>
        <v>14.781412108027709</v>
      </c>
      <c r="H729" s="70">
        <f t="shared" si="72"/>
        <v>4.3022748103494326E-3</v>
      </c>
      <c r="I729" s="71">
        <f t="shared" si="76"/>
        <v>2.1285233435559901E-2</v>
      </c>
      <c r="L729" s="74"/>
      <c r="M729" s="74"/>
      <c r="N729" s="74"/>
      <c r="O729" s="74"/>
      <c r="P729" s="74"/>
      <c r="Q729" s="74"/>
      <c r="R729" s="74"/>
      <c r="S729" s="74"/>
      <c r="T729" s="74"/>
      <c r="U729" s="74"/>
      <c r="V729" s="74"/>
      <c r="W729" s="74"/>
      <c r="X729" s="74"/>
      <c r="Y729" s="74"/>
      <c r="Z729" s="74"/>
    </row>
    <row r="730" spans="1:26" x14ac:dyDescent="0.3">
      <c r="A730" s="66">
        <f t="shared" si="74"/>
        <v>2062.2999999999342</v>
      </c>
      <c r="B730" s="67">
        <f>LOOKUP(A730+0.01,Amounts!$A$4:$A$103,Amounts!$B$4:$B$103)*0.1*$A$2</f>
        <v>0</v>
      </c>
      <c r="C730" s="68">
        <f t="shared" si="73"/>
        <v>902907.24633514904</v>
      </c>
      <c r="D730" s="67">
        <f t="array" ref="D730">SUM($B$7:$B725*$F$1009*EXP(-$F$1009*($A730-$A$7:$A725)))*$F$1010</f>
        <v>3849720.2285374235</v>
      </c>
      <c r="E730" s="67">
        <f t="shared" si="71"/>
        <v>7.3391517621704416</v>
      </c>
      <c r="F730" s="70">
        <f t="shared" si="75"/>
        <v>0.44563329499898918</v>
      </c>
      <c r="G730" s="67">
        <f>E730/'Lookup Tables'!$C$48</f>
        <v>14.678303524340883</v>
      </c>
      <c r="H730" s="70">
        <f t="shared" si="72"/>
        <v>4.2722640468929613E-3</v>
      </c>
      <c r="I730" s="71">
        <f t="shared" si="76"/>
        <v>2.1136757075050871E-2</v>
      </c>
      <c r="L730" s="74"/>
      <c r="M730" s="74"/>
      <c r="N730" s="74"/>
      <c r="O730" s="74"/>
      <c r="P730" s="74"/>
      <c r="Q730" s="74"/>
      <c r="R730" s="74"/>
      <c r="S730" s="74"/>
      <c r="T730" s="74"/>
      <c r="U730" s="74"/>
      <c r="V730" s="74"/>
      <c r="W730" s="74"/>
      <c r="X730" s="74"/>
      <c r="Y730" s="74"/>
      <c r="Z730" s="74"/>
    </row>
    <row r="731" spans="1:26" x14ac:dyDescent="0.3">
      <c r="A731" s="66">
        <f t="shared" si="74"/>
        <v>2062.3999999999342</v>
      </c>
      <c r="B731" s="67">
        <f>LOOKUP(A731+0.01,Amounts!$A$4:$A$103,Amounts!$B$4:$B$103)*0.1*$A$2</f>
        <v>0</v>
      </c>
      <c r="C731" s="68">
        <f t="shared" si="73"/>
        <v>902907.24633514904</v>
      </c>
      <c r="D731" s="67">
        <f t="array" ref="D731">SUM($B$7:$B726*$F$1009*EXP(-$F$1009*($A731-$A$7:$A726)))*$F$1010</f>
        <v>3822866.2853922062</v>
      </c>
      <c r="E731" s="67">
        <f t="shared" si="71"/>
        <v>7.2879570902318198</v>
      </c>
      <c r="F731" s="70">
        <f t="shared" si="75"/>
        <v>0.44252475451887613</v>
      </c>
      <c r="G731" s="67">
        <f>E731/'Lookup Tables'!$C$48</f>
        <v>14.57591418046364</v>
      </c>
      <c r="H731" s="70">
        <f t="shared" si="72"/>
        <v>4.2424626252295988E-3</v>
      </c>
      <c r="I731" s="71">
        <f t="shared" si="76"/>
        <v>2.0989316419867642E-2</v>
      </c>
      <c r="L731" s="74"/>
      <c r="M731" s="74"/>
      <c r="N731" s="74"/>
      <c r="O731" s="74"/>
      <c r="P731" s="74"/>
      <c r="Q731" s="74"/>
      <c r="R731" s="74"/>
      <c r="S731" s="74"/>
      <c r="T731" s="74"/>
      <c r="U731" s="74"/>
      <c r="V731" s="74"/>
      <c r="W731" s="74"/>
      <c r="X731" s="74"/>
      <c r="Y731" s="74"/>
      <c r="Z731" s="74"/>
    </row>
    <row r="732" spans="1:26" x14ac:dyDescent="0.3">
      <c r="A732" s="66">
        <f t="shared" si="74"/>
        <v>2062.4999999999341</v>
      </c>
      <c r="B732" s="67">
        <f>LOOKUP(A732+0.01,Amounts!$A$4:$A$103,Amounts!$B$4:$B$103)*0.1*$A$2</f>
        <v>0</v>
      </c>
      <c r="C732" s="68">
        <f t="shared" si="73"/>
        <v>902907.24633514904</v>
      </c>
      <c r="D732" s="67">
        <f t="array" ref="D732">SUM($B$7:$B727*$F$1009*EXP(-$F$1009*($A732-$A$7:$A727)))*$F$1010</f>
        <v>3796199.6634598644</v>
      </c>
      <c r="E732" s="67">
        <f t="shared" si="71"/>
        <v>7.237119529648818</v>
      </c>
      <c r="F732" s="70">
        <f t="shared" si="75"/>
        <v>0.4394378978402762</v>
      </c>
      <c r="G732" s="67">
        <f>E732/'Lookup Tables'!$C$48</f>
        <v>14.474239059297636</v>
      </c>
      <c r="H732" s="70">
        <f t="shared" si="72"/>
        <v>4.2128690850837189E-3</v>
      </c>
      <c r="I732" s="71">
        <f t="shared" si="76"/>
        <v>2.0842904245388597E-2</v>
      </c>
      <c r="L732" s="74"/>
      <c r="M732" s="74"/>
      <c r="N732" s="74"/>
      <c r="O732" s="74"/>
      <c r="P732" s="74"/>
      <c r="Q732" s="74"/>
      <c r="R732" s="74"/>
      <c r="S732" s="74"/>
      <c r="T732" s="74"/>
      <c r="U732" s="74"/>
      <c r="V732" s="74"/>
      <c r="W732" s="74"/>
      <c r="X732" s="74"/>
      <c r="Y732" s="74"/>
      <c r="Z732" s="74"/>
    </row>
    <row r="733" spans="1:26" x14ac:dyDescent="0.3">
      <c r="A733" s="66">
        <f t="shared" si="74"/>
        <v>2062.599999999934</v>
      </c>
      <c r="B733" s="67">
        <f>LOOKUP(A733+0.01,Amounts!$A$4:$A$103,Amounts!$B$4:$B$103)*0.1*$A$2</f>
        <v>0</v>
      </c>
      <c r="C733" s="68">
        <f t="shared" si="73"/>
        <v>902907.24633514904</v>
      </c>
      <c r="D733" s="67">
        <f t="array" ref="D733">SUM($B$7:$B728*$F$1009*EXP(-$F$1009*($A733-$A$7:$A728)))*$F$1010</f>
        <v>3769719.0560705918</v>
      </c>
      <c r="E733" s="67">
        <f t="shared" si="71"/>
        <v>7.1866365893708029</v>
      </c>
      <c r="F733" s="70">
        <f t="shared" si="75"/>
        <v>0.4363725737065951</v>
      </c>
      <c r="G733" s="67">
        <f>E733/'Lookup Tables'!$C$48</f>
        <v>14.373273178741606</v>
      </c>
      <c r="H733" s="70">
        <f t="shared" si="72"/>
        <v>4.1834819763659362E-3</v>
      </c>
      <c r="I733" s="71">
        <f t="shared" si="76"/>
        <v>2.0697513377387913E-2</v>
      </c>
      <c r="L733" s="74"/>
      <c r="M733" s="74"/>
      <c r="N733" s="74"/>
      <c r="O733" s="74"/>
      <c r="P733" s="74"/>
      <c r="Q733" s="74"/>
      <c r="R733" s="74"/>
      <c r="S733" s="74"/>
      <c r="T733" s="74"/>
      <c r="U733" s="74"/>
      <c r="V733" s="74"/>
      <c r="W733" s="74"/>
      <c r="X733" s="74"/>
      <c r="Y733" s="74"/>
      <c r="Z733" s="74"/>
    </row>
    <row r="734" spans="1:26" x14ac:dyDescent="0.3">
      <c r="A734" s="66">
        <f t="shared" si="74"/>
        <v>2062.6999999999339</v>
      </c>
      <c r="B734" s="67">
        <f>LOOKUP(A734+0.01,Amounts!$A$4:$A$103,Amounts!$B$4:$B$103)*0.1*$A$2</f>
        <v>0</v>
      </c>
      <c r="C734" s="68">
        <f t="shared" si="73"/>
        <v>902907.24633514904</v>
      </c>
      <c r="D734" s="67">
        <f t="array" ref="D734">SUM($B$7:$B729*$F$1009*EXP(-$F$1009*($A734-$A$7:$A729)))*$F$1010</f>
        <v>3743423.1656693243</v>
      </c>
      <c r="E734" s="67">
        <f t="shared" si="71"/>
        <v>7.1365057957235924</v>
      </c>
      <c r="F734" s="70">
        <f t="shared" si="75"/>
        <v>0.43332863191633653</v>
      </c>
      <c r="G734" s="67">
        <f>E734/'Lookup Tables'!$C$48</f>
        <v>14.273011591447185</v>
      </c>
      <c r="H734" s="70">
        <f t="shared" si="72"/>
        <v>4.1542998591020397E-3</v>
      </c>
      <c r="I734" s="71">
        <f t="shared" si="76"/>
        <v>2.0553136691683946E-2</v>
      </c>
      <c r="L734" s="74"/>
      <c r="M734" s="74"/>
      <c r="N734" s="74"/>
      <c r="O734" s="74"/>
      <c r="P734" s="74"/>
      <c r="Q734" s="74"/>
      <c r="R734" s="74"/>
      <c r="S734" s="74"/>
      <c r="T734" s="74"/>
      <c r="U734" s="74"/>
      <c r="V734" s="74"/>
      <c r="W734" s="74"/>
      <c r="X734" s="74"/>
      <c r="Y734" s="74"/>
      <c r="Z734" s="74"/>
    </row>
    <row r="735" spans="1:26" x14ac:dyDescent="0.3">
      <c r="A735" s="66">
        <f t="shared" si="74"/>
        <v>2062.7999999999338</v>
      </c>
      <c r="B735" s="67">
        <f>LOOKUP(A735+0.01,Amounts!$A$4:$A$103,Amounts!$B$4:$B$103)*0.1*$A$2</f>
        <v>0</v>
      </c>
      <c r="C735" s="68">
        <f t="shared" si="73"/>
        <v>902907.24633514904</v>
      </c>
      <c r="D735" s="67">
        <f t="array" ref="D735">SUM($B$7:$B730*$F$1009*EXP(-$F$1009*($A735-$A$7:$A730)))*$F$1010</f>
        <v>3717310.7037521717</v>
      </c>
      <c r="E735" s="67">
        <f t="shared" si="71"/>
        <v>7.0867246922882687</v>
      </c>
      <c r="F735" s="70">
        <f t="shared" si="75"/>
        <v>0.43030592331574369</v>
      </c>
      <c r="G735" s="67">
        <f>E735/'Lookup Tables'!$C$48</f>
        <v>14.173449384576537</v>
      </c>
      <c r="H735" s="70">
        <f t="shared" si="72"/>
        <v>4.1253213033624458E-3</v>
      </c>
      <c r="I735" s="71">
        <f t="shared" si="76"/>
        <v>2.0409767113790216E-2</v>
      </c>
      <c r="L735" s="74"/>
      <c r="M735" s="74"/>
      <c r="N735" s="74"/>
      <c r="O735" s="74"/>
      <c r="P735" s="74"/>
      <c r="Q735" s="74"/>
      <c r="R735" s="74"/>
      <c r="S735" s="74"/>
      <c r="T735" s="74"/>
      <c r="U735" s="74"/>
      <c r="V735" s="74"/>
      <c r="W735" s="74"/>
      <c r="X735" s="74"/>
      <c r="Y735" s="74"/>
      <c r="Z735" s="74"/>
    </row>
    <row r="736" spans="1:26" x14ac:dyDescent="0.3">
      <c r="A736" s="66">
        <f t="shared" si="74"/>
        <v>2062.8999999999337</v>
      </c>
      <c r="B736" s="67">
        <f>LOOKUP(A736+0.01,Amounts!$A$4:$A$103,Amounts!$B$4:$B$103)*0.1*$A$2</f>
        <v>0</v>
      </c>
      <c r="C736" s="68">
        <f t="shared" si="73"/>
        <v>902907.24633514904</v>
      </c>
      <c r="D736" s="67">
        <f t="array" ref="D736">SUM($B$7:$B731*$F$1009*EXP(-$F$1009*($A736-$A$7:$A731)))*$F$1010</f>
        <v>3691380.3908032756</v>
      </c>
      <c r="E736" s="67">
        <f t="shared" si="71"/>
        <v>7.0372908397808036</v>
      </c>
      <c r="F736" s="70">
        <f t="shared" si="75"/>
        <v>0.42730429979149037</v>
      </c>
      <c r="G736" s="67">
        <f>E736/'Lookup Tables'!$C$48</f>
        <v>14.074581679561607</v>
      </c>
      <c r="H736" s="70">
        <f t="shared" si="72"/>
        <v>4.0965448891921259E-3</v>
      </c>
      <c r="I736" s="71">
        <f t="shared" si="76"/>
        <v>2.0267397618568713E-2</v>
      </c>
      <c r="L736" s="74"/>
      <c r="M736" s="74"/>
      <c r="N736" s="74"/>
      <c r="O736" s="74"/>
      <c r="P736" s="74"/>
      <c r="Q736" s="74"/>
      <c r="R736" s="74"/>
      <c r="S736" s="74"/>
      <c r="T736" s="74"/>
      <c r="U736" s="74"/>
      <c r="V736" s="74"/>
      <c r="W736" s="74"/>
      <c r="X736" s="74"/>
      <c r="Y736" s="74"/>
      <c r="Z736" s="74"/>
    </row>
    <row r="737" spans="1:26" x14ac:dyDescent="0.3">
      <c r="A737" s="66">
        <f t="shared" si="74"/>
        <v>2062.9999999999336</v>
      </c>
      <c r="B737" s="67">
        <f>LOOKUP(A737+0.01,Amounts!$A$4:$A$103,Amounts!$B$4:$B$103)*0.1*$A$2</f>
        <v>0</v>
      </c>
      <c r="C737" s="68">
        <f t="shared" si="73"/>
        <v>902907.24633514904</v>
      </c>
      <c r="D737" s="67">
        <f t="array" ref="D737">SUM($B$7:$B732*$F$1009*EXP(-$F$1009*($A737-$A$7:$A732)))*$F$1010</f>
        <v>3665630.9562321138</v>
      </c>
      <c r="E737" s="67">
        <f t="shared" si="71"/>
        <v>6.9882018159325359</v>
      </c>
      <c r="F737" s="70">
        <f t="shared" si="75"/>
        <v>0.42432361426342352</v>
      </c>
      <c r="G737" s="67">
        <f>E737/'Lookup Tables'!$C$48</f>
        <v>13.976403631865072</v>
      </c>
      <c r="H737" s="70">
        <f t="shared" si="72"/>
        <v>4.0679692065410276E-3</v>
      </c>
      <c r="I737" s="71">
        <f t="shared" si="76"/>
        <v>2.0126021229885702E-2</v>
      </c>
      <c r="L737" s="74"/>
      <c r="M737" s="74"/>
      <c r="N737" s="74"/>
      <c r="O737" s="74"/>
      <c r="P737" s="74"/>
      <c r="Q737" s="74"/>
      <c r="R737" s="74"/>
      <c r="S737" s="74"/>
      <c r="T737" s="74"/>
      <c r="U737" s="74"/>
      <c r="V737" s="74"/>
      <c r="W737" s="74"/>
      <c r="X737" s="74"/>
      <c r="Y737" s="74"/>
      <c r="Z737" s="74"/>
    </row>
    <row r="738" spans="1:26" x14ac:dyDescent="0.3">
      <c r="A738" s="66">
        <f t="shared" si="74"/>
        <v>2063.0999999999335</v>
      </c>
      <c r="B738" s="67">
        <f>LOOKUP(A738+0.01,Amounts!$A$4:$A$103,Amounts!$B$4:$B$103)*0.1*$A$2</f>
        <v>0</v>
      </c>
      <c r="C738" s="68">
        <f t="shared" si="73"/>
        <v>902907.24633514904</v>
      </c>
      <c r="D738" s="67">
        <f t="array" ref="D738">SUM($B$7:$B733*$F$1009*EXP(-$F$1009*($A738-$A$7:$A733)))*$F$1010</f>
        <v>3640061.138311239</v>
      </c>
      <c r="E738" s="67">
        <f t="shared" si="71"/>
        <v>6.9394552153714706</v>
      </c>
      <c r="F738" s="70">
        <f t="shared" si="75"/>
        <v>0.42136372067735572</v>
      </c>
      <c r="G738" s="67">
        <f>E738/'Lookup Tables'!$C$48</f>
        <v>13.878910430742941</v>
      </c>
      <c r="H738" s="70">
        <f t="shared" si="72"/>
        <v>4.0395928551949832E-3</v>
      </c>
      <c r="I738" s="71">
        <f t="shared" si="76"/>
        <v>1.9985631020269838E-2</v>
      </c>
      <c r="L738" s="74"/>
      <c r="M738" s="74"/>
      <c r="N738" s="74"/>
      <c r="O738" s="74"/>
      <c r="P738" s="74"/>
      <c r="Q738" s="74"/>
      <c r="R738" s="74"/>
      <c r="S738" s="74"/>
      <c r="T738" s="74"/>
      <c r="U738" s="74"/>
      <c r="V738" s="74"/>
      <c r="W738" s="74"/>
      <c r="X738" s="74"/>
      <c r="Y738" s="74"/>
      <c r="Z738" s="74"/>
    </row>
    <row r="739" spans="1:26" x14ac:dyDescent="0.3">
      <c r="A739" s="66">
        <f t="shared" si="74"/>
        <v>2063.1999999999334</v>
      </c>
      <c r="B739" s="67">
        <f>LOOKUP(A739+0.01,Amounts!$A$4:$A$103,Amounts!$B$4:$B$103)*0.1*$A$2</f>
        <v>0</v>
      </c>
      <c r="C739" s="68">
        <f t="shared" si="73"/>
        <v>902907.24633514904</v>
      </c>
      <c r="D739" s="67">
        <f t="array" ref="D739">SUM($B$7:$B734*$F$1009*EXP(-$F$1009*($A739-$A$7:$A734)))*$F$1010</f>
        <v>3614669.684114458</v>
      </c>
      <c r="E739" s="67">
        <f t="shared" si="71"/>
        <v>6.8910486495044303</v>
      </c>
      <c r="F739" s="70">
        <f t="shared" si="75"/>
        <v>0.418424473997909</v>
      </c>
      <c r="G739" s="67">
        <f>E739/'Lookup Tables'!$C$48</f>
        <v>13.782097299008861</v>
      </c>
      <c r="H739" s="70">
        <f t="shared" si="72"/>
        <v>4.0114144447070997E-3</v>
      </c>
      <c r="I739" s="71">
        <f t="shared" si="76"/>
        <v>1.9846220110572757E-2</v>
      </c>
      <c r="L739" s="74"/>
      <c r="M739" s="74"/>
      <c r="N739" s="74"/>
      <c r="O739" s="74"/>
      <c r="P739" s="74"/>
      <c r="Q739" s="74"/>
      <c r="R739" s="74"/>
      <c r="S739" s="74"/>
      <c r="T739" s="74"/>
      <c r="U739" s="74"/>
      <c r="V739" s="74"/>
      <c r="W739" s="74"/>
      <c r="X739" s="74"/>
      <c r="Y739" s="74"/>
      <c r="Z739" s="74"/>
    </row>
    <row r="740" spans="1:26" x14ac:dyDescent="0.3">
      <c r="A740" s="66">
        <f t="shared" si="74"/>
        <v>2063.2999999999333</v>
      </c>
      <c r="B740" s="67">
        <f>LOOKUP(A740+0.01,Amounts!$A$4:$A$103,Amounts!$B$4:$B$103)*0.1*$A$2</f>
        <v>0</v>
      </c>
      <c r="C740" s="68">
        <f t="shared" si="73"/>
        <v>902907.24633514904</v>
      </c>
      <c r="D740" s="67">
        <f t="array" ref="D740">SUM($B$7:$B735*$F$1009*EXP(-$F$1009*($A740-$A$7:$A735)))*$F$1010</f>
        <v>3589455.3494554372</v>
      </c>
      <c r="E740" s="67">
        <f t="shared" si="71"/>
        <v>6.8429797464000046</v>
      </c>
      <c r="F740" s="70">
        <f t="shared" si="75"/>
        <v>0.41550573020140824</v>
      </c>
      <c r="G740" s="67">
        <f>E740/'Lookup Tables'!$C$48</f>
        <v>13.685959492800009</v>
      </c>
      <c r="H740" s="70">
        <f t="shared" si="72"/>
        <v>3.9834325943296275E-3</v>
      </c>
      <c r="I740" s="71">
        <f t="shared" si="76"/>
        <v>1.9707781669632014E-2</v>
      </c>
      <c r="L740" s="74"/>
      <c r="M740" s="74"/>
      <c r="N740" s="74"/>
      <c r="O740" s="74"/>
      <c r="P740" s="74"/>
      <c r="Q740" s="74"/>
      <c r="R740" s="74"/>
      <c r="S740" s="74"/>
      <c r="T740" s="74"/>
      <c r="U740" s="74"/>
      <c r="V740" s="74"/>
      <c r="W740" s="74"/>
      <c r="X740" s="74"/>
      <c r="Y740" s="74"/>
      <c r="Z740" s="74"/>
    </row>
    <row r="741" spans="1:26" x14ac:dyDescent="0.3">
      <c r="A741" s="66">
        <f t="shared" si="74"/>
        <v>2063.3999999999332</v>
      </c>
      <c r="B741" s="67">
        <f>LOOKUP(A741+0.01,Amounts!$A$4:$A$103,Amounts!$B$4:$B$103)*0.1*$A$2</f>
        <v>0</v>
      </c>
      <c r="C741" s="68">
        <f t="shared" si="73"/>
        <v>902907.24633514904</v>
      </c>
      <c r="D741" s="67">
        <f t="array" ref="D741">SUM($B$7:$B736*$F$1009*EXP(-$F$1009*($A741-$A$7:$A736)))*$F$1010</f>
        <v>3564416.898826729</v>
      </c>
      <c r="E741" s="67">
        <f t="shared" si="71"/>
        <v>6.7952461506723196</v>
      </c>
      <c r="F741" s="70">
        <f t="shared" si="75"/>
        <v>0.41260734626882323</v>
      </c>
      <c r="G741" s="67">
        <f>E741/'Lookup Tables'!$C$48</f>
        <v>13.590492301344639</v>
      </c>
      <c r="H741" s="70">
        <f t="shared" si="72"/>
        <v>3.9556459329462956E-3</v>
      </c>
      <c r="I741" s="71">
        <f t="shared" si="76"/>
        <v>1.9570308913936282E-2</v>
      </c>
      <c r="L741" s="74"/>
      <c r="M741" s="74"/>
      <c r="N741" s="74"/>
      <c r="O741" s="74"/>
      <c r="P741" s="74"/>
      <c r="Q741" s="74"/>
      <c r="R741" s="74"/>
      <c r="S741" s="74"/>
      <c r="T741" s="74"/>
      <c r="U741" s="74"/>
      <c r="V741" s="74"/>
      <c r="W741" s="74"/>
      <c r="X741" s="74"/>
      <c r="Y741" s="74"/>
      <c r="Z741" s="74"/>
    </row>
    <row r="742" spans="1:26" x14ac:dyDescent="0.3">
      <c r="A742" s="66">
        <f t="shared" si="74"/>
        <v>2063.4999999999332</v>
      </c>
      <c r="B742" s="67">
        <f>LOOKUP(A742+0.01,Amounts!$A$4:$A$103,Amounts!$B$4:$B$103)*0.1*$A$2</f>
        <v>0</v>
      </c>
      <c r="C742" s="68">
        <f t="shared" si="73"/>
        <v>902907.24633514904</v>
      </c>
      <c r="D742" s="67">
        <f t="array" ref="D742">SUM($B$7:$B737*$F$1009*EXP(-$F$1009*($A742-$A$7:$A737)))*$F$1010</f>
        <v>3539553.1053392445</v>
      </c>
      <c r="E742" s="67">
        <f t="shared" si="71"/>
        <v>6.7478455233656325</v>
      </c>
      <c r="F742" s="70">
        <f t="shared" si="75"/>
        <v>0.40972918017876125</v>
      </c>
      <c r="G742" s="67">
        <f>E742/'Lookup Tables'!$C$48</f>
        <v>13.495691046731265</v>
      </c>
      <c r="H742" s="70">
        <f t="shared" si="72"/>
        <v>3.9280530990051365E-3</v>
      </c>
      <c r="I742" s="71">
        <f t="shared" si="76"/>
        <v>1.9433795107293022E-2</v>
      </c>
      <c r="L742" s="74"/>
      <c r="M742" s="74"/>
      <c r="N742" s="74"/>
      <c r="O742" s="74"/>
      <c r="P742" s="74"/>
      <c r="Q742" s="74"/>
      <c r="R742" s="74"/>
      <c r="S742" s="74"/>
      <c r="T742" s="74"/>
      <c r="U742" s="74"/>
      <c r="V742" s="74"/>
      <c r="W742" s="74"/>
      <c r="X742" s="74"/>
      <c r="Y742" s="74"/>
      <c r="Z742" s="74"/>
    </row>
    <row r="743" spans="1:26" x14ac:dyDescent="0.3">
      <c r="A743" s="66">
        <f t="shared" si="74"/>
        <v>2063.5999999999331</v>
      </c>
      <c r="B743" s="67">
        <f>LOOKUP(A743+0.01,Amounts!$A$4:$A$103,Amounts!$B$4:$B$103)*0.1*$A$2</f>
        <v>0</v>
      </c>
      <c r="C743" s="68">
        <f t="shared" si="73"/>
        <v>902907.24633514904</v>
      </c>
      <c r="D743" s="67">
        <f t="array" ref="D743">SUM($B$7:$B738*$F$1009*EXP(-$F$1009*($A743-$A$7:$A738)))*$F$1010</f>
        <v>3514862.750662128</v>
      </c>
      <c r="E743" s="67">
        <f t="shared" si="71"/>
        <v>6.7007755418397243</v>
      </c>
      <c r="F743" s="70">
        <f t="shared" si="75"/>
        <v>0.4068710909005081</v>
      </c>
      <c r="G743" s="67">
        <f>E743/'Lookup Tables'!$C$48</f>
        <v>13.401551083679449</v>
      </c>
      <c r="H743" s="70">
        <f t="shared" si="72"/>
        <v>3.900652740451769E-3</v>
      </c>
      <c r="I743" s="71">
        <f t="shared" si="76"/>
        <v>1.9298233560498406E-2</v>
      </c>
      <c r="L743" s="74"/>
      <c r="M743" s="74"/>
      <c r="N743" s="74"/>
      <c r="O743" s="74"/>
      <c r="P743" s="74"/>
      <c r="Q743" s="74"/>
      <c r="R743" s="74"/>
      <c r="S743" s="74"/>
      <c r="T743" s="74"/>
      <c r="U743" s="74"/>
      <c r="V743" s="74"/>
      <c r="W743" s="74"/>
      <c r="X743" s="74"/>
      <c r="Y743" s="74"/>
      <c r="Z743" s="74"/>
    </row>
    <row r="744" spans="1:26" x14ac:dyDescent="0.3">
      <c r="A744" s="66">
        <f t="shared" si="74"/>
        <v>2063.699999999933</v>
      </c>
      <c r="B744" s="67">
        <f>LOOKUP(A744+0.01,Amounts!$A$4:$A$103,Amounts!$B$4:$B$103)*0.1*$A$2</f>
        <v>0</v>
      </c>
      <c r="C744" s="68">
        <f t="shared" si="73"/>
        <v>902907.24633514904</v>
      </c>
      <c r="D744" s="67">
        <f t="array" ref="D744">SUM($B$7:$B739*$F$1009*EXP(-$F$1009*($A744-$A$7:$A739)))*$F$1010</f>
        <v>3490344.62496306</v>
      </c>
      <c r="E744" s="67">
        <f t="shared" si="71"/>
        <v>6.6540338996560813</v>
      </c>
      <c r="F744" s="70">
        <f t="shared" si="75"/>
        <v>0.40403293838711724</v>
      </c>
      <c r="G744" s="67">
        <f>E744/'Lookup Tables'!$C$48</f>
        <v>13.308067799312163</v>
      </c>
      <c r="H744" s="70">
        <f t="shared" si="72"/>
        <v>3.8734435146631392E-3</v>
      </c>
      <c r="I744" s="71">
        <f t="shared" si="76"/>
        <v>1.9163617631009513E-2</v>
      </c>
      <c r="L744" s="74"/>
      <c r="M744" s="74"/>
      <c r="N744" s="74"/>
      <c r="O744" s="74"/>
      <c r="P744" s="74"/>
      <c r="Q744" s="74"/>
      <c r="R744" s="74"/>
      <c r="S744" s="74"/>
      <c r="T744" s="74"/>
      <c r="U744" s="74"/>
      <c r="V744" s="74"/>
      <c r="W744" s="74"/>
      <c r="X744" s="74"/>
      <c r="Y744" s="74"/>
      <c r="Z744" s="74"/>
    </row>
    <row r="745" spans="1:26" x14ac:dyDescent="0.3">
      <c r="A745" s="66">
        <f t="shared" si="74"/>
        <v>2063.7999999999329</v>
      </c>
      <c r="B745" s="67">
        <f>LOOKUP(A745+0.01,Amounts!$A$4:$A$103,Amounts!$B$4:$B$103)*0.1*$A$2</f>
        <v>0</v>
      </c>
      <c r="C745" s="68">
        <f t="shared" si="73"/>
        <v>902907.24633514904</v>
      </c>
      <c r="D745" s="67">
        <f t="array" ref="D745">SUM($B$7:$B740*$F$1009*EXP(-$F$1009*($A745-$A$7:$A740)))*$F$1010</f>
        <v>3465997.526848976</v>
      </c>
      <c r="E745" s="67">
        <f t="shared" si="71"/>
        <v>6.6076183064648832</v>
      </c>
      <c r="F745" s="70">
        <f t="shared" si="75"/>
        <v>0.40121458356854767</v>
      </c>
      <c r="G745" s="67">
        <f>E745/'Lookup Tables'!$C$48</f>
        <v>13.215236612929766</v>
      </c>
      <c r="H745" s="70">
        <f t="shared" si="72"/>
        <v>3.8464240883817401E-3</v>
      </c>
      <c r="I745" s="71">
        <f t="shared" si="76"/>
        <v>1.9029940722618863E-2</v>
      </c>
      <c r="L745" s="74"/>
      <c r="M745" s="74"/>
      <c r="N745" s="74"/>
      <c r="O745" s="74"/>
      <c r="P745" s="74"/>
      <c r="Q745" s="74"/>
      <c r="R745" s="74"/>
      <c r="S745" s="74"/>
      <c r="T745" s="74"/>
      <c r="U745" s="74"/>
      <c r="V745" s="74"/>
      <c r="W745" s="74"/>
      <c r="X745" s="74"/>
      <c r="Y745" s="74"/>
      <c r="Z745" s="74"/>
    </row>
    <row r="746" spans="1:26" x14ac:dyDescent="0.3">
      <c r="A746" s="66">
        <f t="shared" si="74"/>
        <v>2063.8999999999328</v>
      </c>
      <c r="B746" s="67">
        <f>LOOKUP(A746+0.01,Amounts!$A$4:$A$103,Amounts!$B$4:$B$103)*0.1*$A$2</f>
        <v>0</v>
      </c>
      <c r="C746" s="68">
        <f t="shared" si="73"/>
        <v>902907.24633514904</v>
      </c>
      <c r="D746" s="67">
        <f t="array" ref="D746">SUM($B$7:$B741*$F$1009*EXP(-$F$1009*($A746-$A$7:$A741)))*$F$1010</f>
        <v>3441820.263307197</v>
      </c>
      <c r="E746" s="67">
        <f t="shared" si="71"/>
        <v>6.5615264878927793</v>
      </c>
      <c r="F746" s="70">
        <f t="shared" si="75"/>
        <v>0.39841588834484959</v>
      </c>
      <c r="G746" s="67">
        <f>E746/'Lookup Tables'!$C$48</f>
        <v>13.123052975785559</v>
      </c>
      <c r="H746" s="70">
        <f t="shared" si="72"/>
        <v>3.8195931376502788E-3</v>
      </c>
      <c r="I746" s="71">
        <f t="shared" si="76"/>
        <v>1.8897196285131205E-2</v>
      </c>
      <c r="L746" s="74"/>
      <c r="M746" s="74"/>
      <c r="N746" s="74"/>
      <c r="O746" s="74"/>
      <c r="P746" s="74"/>
      <c r="Q746" s="74"/>
      <c r="R746" s="74"/>
      <c r="S746" s="74"/>
      <c r="T746" s="74"/>
      <c r="U746" s="74"/>
      <c r="V746" s="74"/>
      <c r="W746" s="74"/>
      <c r="X746" s="74"/>
      <c r="Y746" s="74"/>
      <c r="Z746" s="74"/>
    </row>
    <row r="747" spans="1:26" x14ac:dyDescent="0.3">
      <c r="A747" s="66">
        <f t="shared" si="74"/>
        <v>2063.9999999999327</v>
      </c>
      <c r="B747" s="67">
        <f>LOOKUP(A747+0.01,Amounts!$A$4:$A$103,Amounts!$B$4:$B$103)*0.1*$A$2</f>
        <v>0</v>
      </c>
      <c r="C747" s="68">
        <f t="shared" si="73"/>
        <v>902907.24633514904</v>
      </c>
      <c r="D747" s="67">
        <f t="array" ref="D747">SUM($B$7:$B742*$F$1009*EXP(-$F$1009*($A747-$A$7:$A742)))*$F$1010</f>
        <v>3417811.6496469714</v>
      </c>
      <c r="E747" s="67">
        <f t="shared" si="71"/>
        <v>6.5157561854314343</v>
      </c>
      <c r="F747" s="70">
        <f t="shared" si="75"/>
        <v>0.39563671557939667</v>
      </c>
      <c r="G747" s="67">
        <f>E747/'Lookup Tables'!$C$48</f>
        <v>13.031512370862869</v>
      </c>
      <c r="H747" s="70">
        <f t="shared" si="72"/>
        <v>3.7929493477467987E-3</v>
      </c>
      <c r="I747" s="71">
        <f t="shared" si="76"/>
        <v>1.8765377814042531E-2</v>
      </c>
      <c r="L747" s="74"/>
      <c r="M747" s="74"/>
      <c r="N747" s="74"/>
      <c r="O747" s="74"/>
      <c r="P747" s="74"/>
      <c r="Q747" s="74"/>
      <c r="R747" s="74"/>
      <c r="S747" s="74"/>
      <c r="T747" s="74"/>
      <c r="U747" s="74"/>
      <c r="V747" s="74"/>
      <c r="W747" s="74"/>
      <c r="X747" s="74"/>
      <c r="Y747" s="74"/>
      <c r="Z747" s="74"/>
    </row>
    <row r="748" spans="1:26" x14ac:dyDescent="0.3">
      <c r="A748" s="66">
        <f t="shared" si="74"/>
        <v>2064.0999999999326</v>
      </c>
      <c r="B748" s="67">
        <f>LOOKUP(A748+0.01,Amounts!$A$4:$A$103,Amounts!$B$4:$B$103)*0.1*$A$2</f>
        <v>0</v>
      </c>
      <c r="C748" s="68">
        <f t="shared" si="73"/>
        <v>902907.24633514904</v>
      </c>
      <c r="D748" s="67">
        <f t="array" ref="D748">SUM($B$7:$B743*$F$1009*EXP(-$F$1009*($A748-$A$7:$A743)))*$F$1010</f>
        <v>3393970.509441427</v>
      </c>
      <c r="E748" s="67">
        <f t="shared" si="71"/>
        <v>6.470305156326873</v>
      </c>
      <c r="F748" s="70">
        <f t="shared" si="75"/>
        <v>0.3928769290921677</v>
      </c>
      <c r="G748" s="67">
        <f>E748/'Lookup Tables'!$C$48</f>
        <v>12.940610312653746</v>
      </c>
      <c r="H748" s="70">
        <f t="shared" si="72"/>
        <v>3.7664914131202661E-3</v>
      </c>
      <c r="I748" s="71">
        <f t="shared" si="76"/>
        <v>1.8634478850221393E-2</v>
      </c>
      <c r="L748" s="74"/>
      <c r="M748" s="74"/>
      <c r="N748" s="74"/>
      <c r="O748" s="74"/>
      <c r="P748" s="74"/>
      <c r="Q748" s="74"/>
      <c r="R748" s="74"/>
      <c r="S748" s="74"/>
      <c r="T748" s="74"/>
      <c r="U748" s="74"/>
      <c r="V748" s="74"/>
      <c r="W748" s="74"/>
      <c r="X748" s="74"/>
      <c r="Y748" s="74"/>
      <c r="Z748" s="74"/>
    </row>
    <row r="749" spans="1:26" x14ac:dyDescent="0.3">
      <c r="A749" s="66">
        <f t="shared" si="74"/>
        <v>2064.1999999999325</v>
      </c>
      <c r="B749" s="67">
        <f>LOOKUP(A749+0.01,Amounts!$A$4:$A$103,Amounts!$B$4:$B$103)*0.1*$A$2</f>
        <v>0</v>
      </c>
      <c r="C749" s="68">
        <f t="shared" si="73"/>
        <v>902907.24633514904</v>
      </c>
      <c r="D749" s="67">
        <f t="array" ref="D749">SUM($B$7:$B744*$F$1009*EXP(-$F$1009*($A749-$A$7:$A744)))*$F$1010</f>
        <v>3370295.6744699231</v>
      </c>
      <c r="E749" s="67">
        <f t="shared" si="71"/>
        <v>6.4251711734695736</v>
      </c>
      <c r="F749" s="70">
        <f t="shared" si="75"/>
        <v>0.39013639365307246</v>
      </c>
      <c r="G749" s="67">
        <f>E749/'Lookup Tables'!$C$48</f>
        <v>12.850342346939147</v>
      </c>
      <c r="H749" s="70">
        <f t="shared" si="72"/>
        <v>3.7402180373265906E-3</v>
      </c>
      <c r="I749" s="71">
        <f t="shared" si="76"/>
        <v>1.850449297959237E-2</v>
      </c>
      <c r="L749" s="74"/>
      <c r="M749" s="74"/>
      <c r="N749" s="74"/>
      <c r="O749" s="74"/>
      <c r="P749" s="74"/>
      <c r="Q749" s="74"/>
      <c r="R749" s="74"/>
      <c r="S749" s="74"/>
      <c r="T749" s="74"/>
      <c r="U749" s="74"/>
      <c r="V749" s="74"/>
      <c r="W749" s="74"/>
      <c r="X749" s="74"/>
      <c r="Y749" s="74"/>
      <c r="Z749" s="74"/>
    </row>
    <row r="750" spans="1:26" x14ac:dyDescent="0.3">
      <c r="A750" s="66">
        <f t="shared" si="74"/>
        <v>2064.2999999999324</v>
      </c>
      <c r="B750" s="67">
        <f>LOOKUP(A750+0.01,Amounts!$A$4:$A$103,Amounts!$B$4:$B$103)*0.1*$A$2</f>
        <v>0</v>
      </c>
      <c r="C750" s="68">
        <f t="shared" si="73"/>
        <v>902907.24633514904</v>
      </c>
      <c r="D750" s="67">
        <f t="array" ref="D750">SUM($B$7:$B745*$F$1009*EXP(-$F$1009*($A750-$A$7:$A745)))*$F$1010</f>
        <v>3346785.9846608085</v>
      </c>
      <c r="E750" s="67">
        <f t="shared" si="71"/>
        <v>6.3803520252853447</v>
      </c>
      <c r="F750" s="70">
        <f t="shared" si="75"/>
        <v>0.38741497497532612</v>
      </c>
      <c r="G750" s="67">
        <f>E750/'Lookup Tables'!$C$48</f>
        <v>12.760704050570689</v>
      </c>
      <c r="H750" s="70">
        <f t="shared" si="72"/>
        <v>3.7141279329650995E-3</v>
      </c>
      <c r="I750" s="71">
        <f t="shared" si="76"/>
        <v>1.8375413832821791E-2</v>
      </c>
      <c r="L750" s="74"/>
      <c r="M750" s="74"/>
      <c r="N750" s="74"/>
      <c r="O750" s="74"/>
      <c r="P750" s="74"/>
      <c r="Q750" s="74"/>
      <c r="R750" s="74"/>
      <c r="S750" s="74"/>
      <c r="T750" s="74"/>
      <c r="U750" s="74"/>
      <c r="V750" s="74"/>
      <c r="W750" s="74"/>
      <c r="X750" s="74"/>
      <c r="Y750" s="74"/>
      <c r="Z750" s="74"/>
    </row>
    <row r="751" spans="1:26" x14ac:dyDescent="0.3">
      <c r="A751" s="66">
        <f t="shared" si="74"/>
        <v>2064.3999999999323</v>
      </c>
      <c r="B751" s="67">
        <f>LOOKUP(A751+0.01,Amounts!$A$4:$A$103,Amounts!$B$4:$B$103)*0.1*$A$2</f>
        <v>0</v>
      </c>
      <c r="C751" s="68">
        <f t="shared" si="73"/>
        <v>902907.24633514904</v>
      </c>
      <c r="D751" s="67">
        <f t="array" ref="D751">SUM($B$7:$B746*$F$1009*EXP(-$F$1009*($A751-$A$7:$A746)))*$F$1010</f>
        <v>3323440.2880345783</v>
      </c>
      <c r="E751" s="67">
        <f t="shared" si="71"/>
        <v>6.3358455156269562</v>
      </c>
      <c r="F751" s="70">
        <f t="shared" si="75"/>
        <v>0.38471253970886876</v>
      </c>
      <c r="G751" s="67">
        <f>E751/'Lookup Tables'!$C$48</f>
        <v>12.671691031253912</v>
      </c>
      <c r="H751" s="70">
        <f t="shared" si="72"/>
        <v>3.6882198216154579E-3</v>
      </c>
      <c r="I751" s="71">
        <f t="shared" si="76"/>
        <v>1.8247235085005632E-2</v>
      </c>
      <c r="L751" s="74"/>
      <c r="M751" s="74"/>
      <c r="N751" s="74"/>
      <c r="O751" s="74"/>
      <c r="P751" s="74"/>
      <c r="Q751" s="74"/>
      <c r="R751" s="74"/>
      <c r="S751" s="74"/>
      <c r="T751" s="74"/>
      <c r="U751" s="74"/>
      <c r="V751" s="74"/>
      <c r="W751" s="74"/>
      <c r="X751" s="74"/>
      <c r="Y751" s="74"/>
      <c r="Z751" s="74"/>
    </row>
    <row r="752" spans="1:26" x14ac:dyDescent="0.3">
      <c r="A752" s="66">
        <f t="shared" si="74"/>
        <v>2064.4999999999322</v>
      </c>
      <c r="B752" s="67">
        <f>LOOKUP(A752+0.01,Amounts!$A$4:$A$103,Amounts!$B$4:$B$103)*0.1*$A$2</f>
        <v>0</v>
      </c>
      <c r="C752" s="68">
        <f t="shared" si="73"/>
        <v>902907.24633514904</v>
      </c>
      <c r="D752" s="67">
        <f t="array" ref="D752">SUM($B$7:$B747*$F$1009*EXP(-$F$1009*($A752-$A$7:$A747)))*$F$1010</f>
        <v>3300257.4406474293</v>
      </c>
      <c r="E752" s="67">
        <f t="shared" si="71"/>
        <v>6.291649463666535</v>
      </c>
      <c r="F752" s="70">
        <f t="shared" si="75"/>
        <v>0.38202895543383203</v>
      </c>
      <c r="G752" s="67">
        <f>E752/'Lookup Tables'!$C$48</f>
        <v>12.58329892733307</v>
      </c>
      <c r="H752" s="70">
        <f t="shared" si="72"/>
        <v>3.66249243377503E-3</v>
      </c>
      <c r="I752" s="71">
        <f t="shared" si="76"/>
        <v>1.8119950455359621E-2</v>
      </c>
      <c r="L752" s="74"/>
      <c r="M752" s="74"/>
      <c r="N752" s="74"/>
      <c r="O752" s="74"/>
      <c r="P752" s="74"/>
      <c r="Q752" s="74"/>
      <c r="R752" s="74"/>
      <c r="S752" s="74"/>
      <c r="T752" s="74"/>
      <c r="U752" s="74"/>
      <c r="V752" s="74"/>
      <c r="W752" s="74"/>
      <c r="X752" s="74"/>
      <c r="Y752" s="74"/>
      <c r="Z752" s="74"/>
    </row>
    <row r="753" spans="1:26" x14ac:dyDescent="0.3">
      <c r="A753" s="66">
        <f t="shared" si="74"/>
        <v>2064.5999999999322</v>
      </c>
      <c r="B753" s="67">
        <f>LOOKUP(A753+0.01,Amounts!$A$4:$A$103,Amounts!$B$4:$B$103)*0.1*$A$2</f>
        <v>0</v>
      </c>
      <c r="C753" s="68">
        <f t="shared" si="73"/>
        <v>902907.24633514904</v>
      </c>
      <c r="D753" s="67">
        <f t="array" ref="D753">SUM($B$7:$B748*$F$1009*EXP(-$F$1009*($A753-$A$7:$A748)))*$F$1010</f>
        <v>3277236.3065351984</v>
      </c>
      <c r="E753" s="67">
        <f t="shared" si="71"/>
        <v>6.2477617037886874</v>
      </c>
      <c r="F753" s="70">
        <f t="shared" si="75"/>
        <v>0.37936409065404914</v>
      </c>
      <c r="G753" s="67">
        <f>E753/'Lookup Tables'!$C$48</f>
        <v>12.495523407577375</v>
      </c>
      <c r="H753" s="70">
        <f t="shared" si="72"/>
        <v>3.6369445087966606E-3</v>
      </c>
      <c r="I753" s="71">
        <f t="shared" si="76"/>
        <v>1.7993553706911421E-2</v>
      </c>
      <c r="L753" s="74"/>
      <c r="M753" s="74"/>
      <c r="N753" s="74"/>
      <c r="O753" s="74"/>
      <c r="P753" s="74"/>
      <c r="Q753" s="74"/>
      <c r="R753" s="74"/>
      <c r="S753" s="74"/>
      <c r="T753" s="74"/>
      <c r="U753" s="74"/>
      <c r="V753" s="74"/>
      <c r="W753" s="74"/>
      <c r="X753" s="74"/>
      <c r="Y753" s="74"/>
      <c r="Z753" s="74"/>
    </row>
    <row r="754" spans="1:26" x14ac:dyDescent="0.3">
      <c r="A754" s="66">
        <f t="shared" si="74"/>
        <v>2064.6999999999321</v>
      </c>
      <c r="B754" s="67">
        <f>LOOKUP(A754+0.01,Amounts!$A$4:$A$103,Amounts!$B$4:$B$103)*0.1*$A$2</f>
        <v>0</v>
      </c>
      <c r="C754" s="68">
        <f t="shared" si="73"/>
        <v>902907.24633514904</v>
      </c>
      <c r="D754" s="67">
        <f t="array" ref="D754">SUM($B$7:$B749*$F$1009*EXP(-$F$1009*($A754-$A$7:$A749)))*$F$1010</f>
        <v>3254375.7576577086</v>
      </c>
      <c r="E754" s="67">
        <f t="shared" si="71"/>
        <v>6.2041800854844009</v>
      </c>
      <c r="F754" s="70">
        <f t="shared" si="75"/>
        <v>0.37671781479061284</v>
      </c>
      <c r="G754" s="67">
        <f>E754/'Lookup Tables'!$C$48</f>
        <v>12.408360170968802</v>
      </c>
      <c r="H754" s="70">
        <f t="shared" si="72"/>
        <v>3.6115747948269159E-3</v>
      </c>
      <c r="I754" s="71">
        <f t="shared" si="76"/>
        <v>1.7868038646195076E-2</v>
      </c>
      <c r="L754" s="74"/>
      <c r="M754" s="74"/>
      <c r="N754" s="74"/>
      <c r="O754" s="74"/>
      <c r="P754" s="74"/>
      <c r="Q754" s="74"/>
      <c r="R754" s="74"/>
      <c r="S754" s="74"/>
      <c r="T754" s="74"/>
      <c r="U754" s="74"/>
      <c r="V754" s="74"/>
      <c r="W754" s="74"/>
      <c r="X754" s="74"/>
      <c r="Y754" s="74"/>
      <c r="Z754" s="74"/>
    </row>
    <row r="755" spans="1:26" x14ac:dyDescent="0.3">
      <c r="A755" s="66">
        <f t="shared" si="74"/>
        <v>2064.799999999932</v>
      </c>
      <c r="B755" s="67">
        <f>LOOKUP(A755+0.01,Amounts!$A$4:$A$103,Amounts!$B$4:$B$103)*0.1*$A$2</f>
        <v>0</v>
      </c>
      <c r="C755" s="68">
        <f t="shared" si="73"/>
        <v>902907.24633514904</v>
      </c>
      <c r="D755" s="67">
        <f t="array" ref="D755">SUM($B$7:$B750*$F$1009*EXP(-$F$1009*($A755-$A$7:$A750)))*$F$1010</f>
        <v>3231674.6738434923</v>
      </c>
      <c r="E755" s="67">
        <f t="shared" si="71"/>
        <v>6.1609024732456579</v>
      </c>
      <c r="F755" s="70">
        <f t="shared" si="75"/>
        <v>0.37408999817547633</v>
      </c>
      <c r="G755" s="67">
        <f>E755/'Lookup Tables'!$C$48</f>
        <v>12.321804946491316</v>
      </c>
      <c r="H755" s="70">
        <f t="shared" si="72"/>
        <v>3.5863820487447339E-3</v>
      </c>
      <c r="I755" s="71">
        <f t="shared" si="76"/>
        <v>1.7743399122947496E-2</v>
      </c>
      <c r="L755" s="74"/>
      <c r="M755" s="74"/>
      <c r="N755" s="74"/>
      <c r="O755" s="74"/>
      <c r="P755" s="74"/>
      <c r="Q755" s="74"/>
      <c r="R755" s="74"/>
      <c r="S755" s="74"/>
      <c r="T755" s="74"/>
      <c r="U755" s="74"/>
      <c r="V755" s="74"/>
      <c r="W755" s="74"/>
      <c r="X755" s="74"/>
      <c r="Y755" s="74"/>
      <c r="Z755" s="74"/>
    </row>
    <row r="756" spans="1:26" x14ac:dyDescent="0.3">
      <c r="A756" s="66">
        <f t="shared" si="74"/>
        <v>2064.8999999999319</v>
      </c>
      <c r="B756" s="67">
        <f>LOOKUP(A756+0.01,Amounts!$A$4:$A$103,Amounts!$B$4:$B$103)*0.1*$A$2</f>
        <v>0</v>
      </c>
      <c r="C756" s="68">
        <f t="shared" si="73"/>
        <v>902907.24633514904</v>
      </c>
      <c r="D756" s="67">
        <f t="array" ref="D756">SUM($B$7:$B751*$F$1009*EXP(-$F$1009*($A756-$A$7:$A751)))*$F$1010</f>
        <v>3209131.9427348971</v>
      </c>
      <c r="E756" s="67">
        <f t="shared" si="71"/>
        <v>6.1179267464607969</v>
      </c>
      <c r="F756" s="70">
        <f t="shared" si="75"/>
        <v>0.37148051204509958</v>
      </c>
      <c r="G756" s="67">
        <f>E756/'Lookup Tables'!$C$48</f>
        <v>12.235853492921594</v>
      </c>
      <c r="H756" s="70">
        <f t="shared" si="72"/>
        <v>3.5613650361005153E-3</v>
      </c>
      <c r="I756" s="71">
        <f t="shared" si="76"/>
        <v>1.7619629029807096E-2</v>
      </c>
      <c r="L756" s="74"/>
      <c r="M756" s="74"/>
      <c r="N756" s="74"/>
      <c r="O756" s="74"/>
      <c r="P756" s="74"/>
      <c r="Q756" s="74"/>
      <c r="R756" s="74"/>
      <c r="S756" s="74"/>
      <c r="T756" s="74"/>
      <c r="U756" s="74"/>
      <c r="V756" s="74"/>
      <c r="W756" s="74"/>
      <c r="X756" s="74"/>
      <c r="Y756" s="74"/>
      <c r="Z756" s="74"/>
    </row>
    <row r="757" spans="1:26" x14ac:dyDescent="0.3">
      <c r="A757" s="66">
        <f t="shared" si="74"/>
        <v>2064.9999999999318</v>
      </c>
      <c r="B757" s="67">
        <f>LOOKUP(A757+0.01,Amounts!$A$4:$A$103,Amounts!$B$4:$B$103)*0.1*$A$2</f>
        <v>0</v>
      </c>
      <c r="C757" s="68">
        <f t="shared" si="73"/>
        <v>902907.24633514904</v>
      </c>
      <c r="D757" s="67">
        <f t="array" ref="D757">SUM($B$7:$B752*$F$1009*EXP(-$F$1009*($A757-$A$7:$A752)))*$F$1010</f>
        <v>3186746.4597335919</v>
      </c>
      <c r="E757" s="67">
        <f t="shared" si="71"/>
        <v>6.0752507993106093</v>
      </c>
      <c r="F757" s="70">
        <f t="shared" si="75"/>
        <v>0.36888922853414019</v>
      </c>
      <c r="G757" s="67">
        <f>E757/'Lookup Tables'!$C$48</f>
        <v>12.150501598621219</v>
      </c>
      <c r="H757" s="70">
        <f t="shared" si="72"/>
        <v>3.5365225310556364E-3</v>
      </c>
      <c r="I757" s="71">
        <f t="shared" si="76"/>
        <v>1.7496722302014555E-2</v>
      </c>
      <c r="L757" s="74"/>
      <c r="M757" s="74"/>
      <c r="N757" s="74"/>
      <c r="O757" s="74"/>
      <c r="P757" s="74"/>
      <c r="Q757" s="74"/>
      <c r="R757" s="74"/>
      <c r="S757" s="74"/>
      <c r="T757" s="74"/>
      <c r="U757" s="74"/>
      <c r="V757" s="74"/>
      <c r="W757" s="74"/>
      <c r="X757" s="74"/>
      <c r="Y757" s="74"/>
      <c r="Z757" s="74"/>
    </row>
    <row r="758" spans="1:26" x14ac:dyDescent="0.3">
      <c r="A758" s="66">
        <f t="shared" si="74"/>
        <v>2065.0999999999317</v>
      </c>
      <c r="B758" s="67">
        <f>LOOKUP(A758+0.01,Amounts!$A$4:$A$103,Amounts!$B$4:$B$103)*0.1*$A$2</f>
        <v>0</v>
      </c>
      <c r="C758" s="68">
        <f t="shared" si="73"/>
        <v>902907.24633514904</v>
      </c>
      <c r="D758" s="67">
        <f t="array" ref="D758">SUM($B$7:$B753*$F$1009*EXP(-$F$1009*($A758-$A$7:$A753)))*$F$1010</f>
        <v>3164517.1279464294</v>
      </c>
      <c r="E758" s="67">
        <f t="shared" si="71"/>
        <v>6.0328725406651476</v>
      </c>
      <c r="F758" s="70">
        <f t="shared" si="75"/>
        <v>0.36631602066918773</v>
      </c>
      <c r="G758" s="67">
        <f>E758/'Lookup Tables'!$C$48</f>
        <v>12.065745081330295</v>
      </c>
      <c r="H758" s="70">
        <f t="shared" si="72"/>
        <v>3.5118533163223803E-3</v>
      </c>
      <c r="I758" s="71">
        <f t="shared" si="76"/>
        <v>1.7374672917115627E-2</v>
      </c>
      <c r="L758" s="74"/>
      <c r="M758" s="74"/>
      <c r="N758" s="74"/>
      <c r="O758" s="74"/>
      <c r="P758" s="74"/>
      <c r="Q758" s="74"/>
      <c r="R758" s="74"/>
      <c r="S758" s="74"/>
      <c r="T758" s="74"/>
      <c r="U758" s="74"/>
      <c r="V758" s="74"/>
      <c r="W758" s="74"/>
      <c r="X758" s="74"/>
      <c r="Y758" s="74"/>
      <c r="Z758" s="74"/>
    </row>
    <row r="759" spans="1:26" x14ac:dyDescent="0.3">
      <c r="A759" s="66">
        <f t="shared" si="74"/>
        <v>2065.1999999999316</v>
      </c>
      <c r="B759" s="67">
        <f>LOOKUP(A759+0.01,Amounts!$A$4:$A$103,Amounts!$B$4:$B$103)*0.1*$A$2</f>
        <v>0</v>
      </c>
      <c r="C759" s="68">
        <f t="shared" si="73"/>
        <v>902907.24633514904</v>
      </c>
      <c r="D759" s="67">
        <f t="array" ref="D759">SUM($B$7:$B754*$F$1009*EXP(-$F$1009*($A759-$A$7:$A754)))*$F$1010</f>
        <v>3142442.8581317044</v>
      </c>
      <c r="E759" s="67">
        <f t="shared" si="71"/>
        <v>5.9907898939812583</v>
      </c>
      <c r="F759" s="70">
        <f t="shared" si="75"/>
        <v>0.36376076236254196</v>
      </c>
      <c r="G759" s="67">
        <f>E759/'Lookup Tables'!$C$48</f>
        <v>11.981579787962517</v>
      </c>
      <c r="H759" s="70">
        <f t="shared" si="72"/>
        <v>3.4873561831042896E-3</v>
      </c>
      <c r="I759" s="71">
        <f t="shared" si="76"/>
        <v>1.7253474894666027E-2</v>
      </c>
      <c r="L759" s="74"/>
      <c r="M759" s="74"/>
      <c r="N759" s="74"/>
      <c r="O759" s="74"/>
      <c r="P759" s="74"/>
      <c r="Q759" s="74"/>
      <c r="R759" s="74"/>
      <c r="S759" s="74"/>
      <c r="T759" s="74"/>
      <c r="U759" s="74"/>
      <c r="V759" s="74"/>
      <c r="W759" s="74"/>
      <c r="X759" s="74"/>
      <c r="Y759" s="74"/>
      <c r="Z759" s="74"/>
    </row>
    <row r="760" spans="1:26" x14ac:dyDescent="0.3">
      <c r="A760" s="66">
        <f t="shared" si="74"/>
        <v>2065.2999999999315</v>
      </c>
      <c r="B760" s="67">
        <f>LOOKUP(A760+0.01,Amounts!$A$4:$A$103,Amounts!$B$4:$B$103)*0.1*$A$2</f>
        <v>0</v>
      </c>
      <c r="C760" s="68">
        <f t="shared" si="73"/>
        <v>902907.24633514904</v>
      </c>
      <c r="D760" s="67">
        <f t="array" ref="D760">SUM($B$7:$B755*$F$1009*EXP(-$F$1009*($A760-$A$7:$A755)))*$F$1010</f>
        <v>3120522.56864578</v>
      </c>
      <c r="E760" s="67">
        <f t="shared" si="71"/>
        <v>5.9490007972008341</v>
      </c>
      <c r="F760" s="70">
        <f t="shared" si="75"/>
        <v>0.36122332840603461</v>
      </c>
      <c r="G760" s="67">
        <f>E760/'Lookup Tables'!$C$48</f>
        <v>11.898001594401668</v>
      </c>
      <c r="H760" s="70">
        <f t="shared" si="72"/>
        <v>3.4630299310369336E-3</v>
      </c>
      <c r="I760" s="71">
        <f t="shared" si="76"/>
        <v>1.7133122295938403E-2</v>
      </c>
      <c r="L760" s="74"/>
      <c r="M760" s="74"/>
      <c r="N760" s="74"/>
      <c r="O760" s="74"/>
      <c r="P760" s="74"/>
      <c r="Q760" s="74"/>
      <c r="R760" s="74"/>
      <c r="S760" s="74"/>
      <c r="T760" s="74"/>
      <c r="U760" s="74"/>
      <c r="V760" s="74"/>
      <c r="W760" s="74"/>
      <c r="X760" s="74"/>
      <c r="Y760" s="74"/>
      <c r="Z760" s="74"/>
    </row>
    <row r="761" spans="1:26" x14ac:dyDescent="0.3">
      <c r="A761" s="66">
        <f t="shared" si="74"/>
        <v>2065.3999999999314</v>
      </c>
      <c r="B761" s="67">
        <f>LOOKUP(A761+0.01,Amounts!$A$4:$A$103,Amounts!$B$4:$B$103)*0.1*$A$2</f>
        <v>0</v>
      </c>
      <c r="C761" s="68">
        <f t="shared" si="73"/>
        <v>902907.24633514904</v>
      </c>
      <c r="D761" s="67">
        <f t="array" ref="D761">SUM($B$7:$B756*$F$1009*EXP(-$F$1009*($A761-$A$7:$A756)))*$F$1010</f>
        <v>3098755.1853900831</v>
      </c>
      <c r="E761" s="67">
        <f t="shared" si="71"/>
        <v>5.9075032026497665</v>
      </c>
      <c r="F761" s="70">
        <f t="shared" si="75"/>
        <v>0.3587035944648938</v>
      </c>
      <c r="G761" s="67">
        <f>E761/'Lookup Tables'!$C$48</f>
        <v>11.815006405299533</v>
      </c>
      <c r="H761" s="70">
        <f t="shared" si="72"/>
        <v>3.4388733681290917E-3</v>
      </c>
      <c r="I761" s="71">
        <f t="shared" si="76"/>
        <v>1.7013609223631328E-2</v>
      </c>
      <c r="L761" s="74"/>
      <c r="M761" s="74"/>
      <c r="N761" s="74"/>
      <c r="O761" s="74"/>
      <c r="P761" s="74"/>
      <c r="Q761" s="74"/>
      <c r="R761" s="74"/>
      <c r="S761" s="74"/>
      <c r="T761" s="74"/>
      <c r="U761" s="74"/>
      <c r="V761" s="74"/>
      <c r="W761" s="74"/>
      <c r="X761" s="74"/>
      <c r="Y761" s="74"/>
      <c r="Z761" s="74"/>
    </row>
    <row r="762" spans="1:26" x14ac:dyDescent="0.3">
      <c r="A762" s="66">
        <f t="shared" si="74"/>
        <v>2065.4999999999313</v>
      </c>
      <c r="B762" s="67">
        <f>LOOKUP(A762+0.01,Amounts!$A$4:$A$103,Amounts!$B$4:$B$103)*0.1*$A$2</f>
        <v>0</v>
      </c>
      <c r="C762" s="68">
        <f t="shared" si="73"/>
        <v>902907.24633514904</v>
      </c>
      <c r="D762" s="67">
        <f t="array" ref="D762">SUM($B$7:$B757*$F$1009*EXP(-$F$1009*($A762-$A$7:$A757)))*$F$1010</f>
        <v>3077139.6417584806</v>
      </c>
      <c r="E762" s="67">
        <f t="shared" si="71"/>
        <v>5.8662950769376243</v>
      </c>
      <c r="F762" s="70">
        <f t="shared" si="75"/>
        <v>0.35620143707165258</v>
      </c>
      <c r="G762" s="67">
        <f>E762/'Lookup Tables'!$C$48</f>
        <v>11.732590153875249</v>
      </c>
      <c r="H762" s="70">
        <f t="shared" si="72"/>
        <v>3.4148853107043506E-3</v>
      </c>
      <c r="I762" s="71">
        <f t="shared" si="76"/>
        <v>1.6894929821580359E-2</v>
      </c>
      <c r="L762" s="74"/>
      <c r="M762" s="74"/>
      <c r="N762" s="74"/>
      <c r="O762" s="74"/>
      <c r="P762" s="74"/>
      <c r="Q762" s="74"/>
      <c r="R762" s="74"/>
      <c r="S762" s="74"/>
      <c r="T762" s="74"/>
      <c r="U762" s="74"/>
      <c r="V762" s="74"/>
      <c r="W762" s="74"/>
      <c r="X762" s="74"/>
      <c r="Y762" s="74"/>
      <c r="Z762" s="74"/>
    </row>
    <row r="763" spans="1:26" x14ac:dyDescent="0.3">
      <c r="A763" s="66">
        <f t="shared" si="74"/>
        <v>2065.5999999999312</v>
      </c>
      <c r="B763" s="67">
        <f>LOOKUP(A763+0.01,Amounts!$A$4:$A$103,Amounts!$B$4:$B$103)*0.1*$A$2</f>
        <v>0</v>
      </c>
      <c r="C763" s="68">
        <f t="shared" si="73"/>
        <v>902907.24633514904</v>
      </c>
      <c r="D763" s="67">
        <f t="array" ref="D763">SUM($B$7:$B758*$F$1009*EXP(-$F$1009*($A763-$A$7:$A758)))*$F$1010</f>
        <v>3055674.8785850094</v>
      </c>
      <c r="E763" s="67">
        <f t="shared" si="71"/>
        <v>5.8253744008580011</v>
      </c>
      <c r="F763" s="70">
        <f t="shared" si="75"/>
        <v>0.35371673362009787</v>
      </c>
      <c r="G763" s="67">
        <f>E763/'Lookup Tables'!$C$48</f>
        <v>11.650748801716002</v>
      </c>
      <c r="H763" s="70">
        <f t="shared" si="72"/>
        <v>3.3910645833430974E-3</v>
      </c>
      <c r="I763" s="71">
        <f t="shared" si="76"/>
        <v>1.6777078274471044E-2</v>
      </c>
      <c r="L763" s="74"/>
      <c r="M763" s="74"/>
      <c r="N763" s="74"/>
      <c r="O763" s="74"/>
      <c r="P763" s="74"/>
      <c r="Q763" s="74"/>
      <c r="R763" s="74"/>
      <c r="S763" s="74"/>
      <c r="T763" s="74"/>
      <c r="U763" s="74"/>
      <c r="V763" s="74"/>
      <c r="W763" s="74"/>
      <c r="X763" s="74"/>
      <c r="Y763" s="74"/>
      <c r="Z763" s="74"/>
    </row>
    <row r="764" spans="1:26" x14ac:dyDescent="0.3">
      <c r="A764" s="66">
        <f t="shared" si="74"/>
        <v>2065.6999999999312</v>
      </c>
      <c r="B764" s="67">
        <f>LOOKUP(A764+0.01,Amounts!$A$4:$A$103,Amounts!$B$4:$B$103)*0.1*$A$2</f>
        <v>0</v>
      </c>
      <c r="C764" s="68">
        <f t="shared" si="73"/>
        <v>902907.24633514904</v>
      </c>
      <c r="D764" s="67">
        <f t="array" ref="D764">SUM($B$7:$B759*$F$1009*EXP(-$F$1009*($A764-$A$7:$A759)))*$F$1010</f>
        <v>3034359.8440919789</v>
      </c>
      <c r="E764" s="67">
        <f t="shared" si="71"/>
        <v>5.7847391692895815</v>
      </c>
      <c r="F764" s="70">
        <f t="shared" si="75"/>
        <v>0.35124936235926341</v>
      </c>
      <c r="G764" s="67">
        <f>E764/'Lookup Tables'!$C$48</f>
        <v>11.569478338579163</v>
      </c>
      <c r="H764" s="70">
        <f t="shared" si="72"/>
        <v>3.3674100188249238E-3</v>
      </c>
      <c r="I764" s="71">
        <f t="shared" si="76"/>
        <v>1.6660048807553993E-2</v>
      </c>
      <c r="L764" s="74"/>
      <c r="M764" s="74"/>
      <c r="N764" s="74"/>
      <c r="O764" s="74"/>
      <c r="P764" s="74"/>
      <c r="Q764" s="74"/>
      <c r="R764" s="74"/>
      <c r="S764" s="74"/>
      <c r="T764" s="74"/>
      <c r="U764" s="74"/>
      <c r="V764" s="74"/>
      <c r="W764" s="74"/>
      <c r="X764" s="74"/>
      <c r="Y764" s="74"/>
      <c r="Z764" s="74"/>
    </row>
    <row r="765" spans="1:26" x14ac:dyDescent="0.3">
      <c r="A765" s="66">
        <f t="shared" si="74"/>
        <v>2065.7999999999311</v>
      </c>
      <c r="B765" s="67">
        <f>LOOKUP(A765+0.01,Amounts!$A$4:$A$103,Amounts!$B$4:$B$103)*0.1*$A$2</f>
        <v>0</v>
      </c>
      <c r="C765" s="68">
        <f t="shared" si="73"/>
        <v>902907.24633514904</v>
      </c>
      <c r="D765" s="67">
        <f t="array" ref="D765">SUM($B$7:$B760*$F$1009*EXP(-$F$1009*($A765-$A$7:$A760)))*$F$1010</f>
        <v>3013193.4938384341</v>
      </c>
      <c r="E765" s="67">
        <f t="shared" si="71"/>
        <v>5.7443873910978871</v>
      </c>
      <c r="F765" s="70">
        <f t="shared" si="75"/>
        <v>0.3487992023874637</v>
      </c>
      <c r="G765" s="67">
        <f>E765/'Lookup Tables'!$C$48</f>
        <v>11.488774782195774</v>
      </c>
      <c r="H765" s="70">
        <f t="shared" si="72"/>
        <v>3.3439204580714347E-3</v>
      </c>
      <c r="I765" s="71">
        <f t="shared" si="76"/>
        <v>1.6543835686361915E-2</v>
      </c>
      <c r="L765" s="74"/>
      <c r="M765" s="74"/>
      <c r="N765" s="74"/>
      <c r="O765" s="74"/>
      <c r="P765" s="74"/>
      <c r="Q765" s="74"/>
      <c r="R765" s="74"/>
      <c r="S765" s="74"/>
      <c r="T765" s="74"/>
      <c r="U765" s="74"/>
      <c r="V765" s="74"/>
      <c r="W765" s="74"/>
      <c r="X765" s="74"/>
      <c r="Y765" s="74"/>
      <c r="Z765" s="74"/>
    </row>
    <row r="766" spans="1:26" x14ac:dyDescent="0.3">
      <c r="A766" s="66">
        <f t="shared" si="74"/>
        <v>2065.899999999931</v>
      </c>
      <c r="B766" s="67">
        <f>LOOKUP(A766+0.01,Amounts!$A$4:$A$103,Amounts!$B$4:$B$103)*0.1*$A$2</f>
        <v>0</v>
      </c>
      <c r="C766" s="68">
        <f t="shared" si="73"/>
        <v>902907.24633514904</v>
      </c>
      <c r="D766" s="67">
        <f t="array" ref="D766">SUM($B$7:$B761*$F$1009*EXP(-$F$1009*($A766-$A$7:$A761)))*$F$1010</f>
        <v>2992174.7906689788</v>
      </c>
      <c r="E766" s="67">
        <f t="shared" si="71"/>
        <v>5.7043170890377164</v>
      </c>
      <c r="F766" s="70">
        <f t="shared" si="75"/>
        <v>0.34636613364637014</v>
      </c>
      <c r="G766" s="67">
        <f>E766/'Lookup Tables'!$C$48</f>
        <v>11.408634178075433</v>
      </c>
      <c r="H766" s="70">
        <f t="shared" si="72"/>
        <v>3.3205947500894568E-3</v>
      </c>
      <c r="I766" s="71">
        <f t="shared" si="76"/>
        <v>1.6428433216428624E-2</v>
      </c>
      <c r="L766" s="74"/>
      <c r="M766" s="74"/>
      <c r="N766" s="74"/>
      <c r="O766" s="74"/>
      <c r="P766" s="74"/>
      <c r="Q766" s="74"/>
      <c r="R766" s="74"/>
      <c r="S766" s="74"/>
      <c r="T766" s="74"/>
      <c r="U766" s="74"/>
      <c r="V766" s="74"/>
      <c r="W766" s="74"/>
      <c r="X766" s="74"/>
      <c r="Y766" s="74"/>
      <c r="Z766" s="74"/>
    </row>
    <row r="767" spans="1:26" x14ac:dyDescent="0.3">
      <c r="A767" s="66">
        <f t="shared" si="74"/>
        <v>2065.9999999999309</v>
      </c>
      <c r="B767" s="67">
        <f>LOOKUP(A767+0.01,Amounts!$A$4:$A$103,Amounts!$B$4:$B$103)*0.1*$A$2</f>
        <v>0</v>
      </c>
      <c r="C767" s="68">
        <f t="shared" si="73"/>
        <v>902907.24633514904</v>
      </c>
      <c r="D767" s="67">
        <f t="array" ref="D767">SUM($B$7:$B762*$F$1009*EXP(-$F$1009*($A767-$A$7:$A762)))*$F$1010</f>
        <v>2971302.7046629516</v>
      </c>
      <c r="E767" s="67">
        <f t="shared" si="71"/>
        <v>5.6645262996562487</v>
      </c>
      <c r="F767" s="70">
        <f t="shared" si="75"/>
        <v>0.34395003691512743</v>
      </c>
      <c r="G767" s="67">
        <f>E767/'Lookup Tables'!$C$48</f>
        <v>11.329052599312497</v>
      </c>
      <c r="H767" s="70">
        <f t="shared" si="72"/>
        <v>3.2974317519146291E-3</v>
      </c>
      <c r="I767" s="71">
        <f t="shared" si="76"/>
        <v>1.6313835743009996E-2</v>
      </c>
      <c r="L767" s="74"/>
      <c r="M767" s="74"/>
      <c r="N767" s="74"/>
      <c r="O767" s="74"/>
      <c r="P767" s="74"/>
      <c r="Q767" s="74"/>
      <c r="R767" s="74"/>
      <c r="S767" s="74"/>
      <c r="T767" s="74"/>
      <c r="U767" s="74"/>
      <c r="V767" s="74"/>
      <c r="W767" s="74"/>
      <c r="X767" s="74"/>
      <c r="Y767" s="74"/>
      <c r="Z767" s="74"/>
    </row>
    <row r="768" spans="1:26" x14ac:dyDescent="0.3">
      <c r="A768" s="66">
        <f t="shared" si="74"/>
        <v>2066.0999999999308</v>
      </c>
      <c r="B768" s="67">
        <f>LOOKUP(A768+0.01,Amounts!$A$4:$A$103,Amounts!$B$4:$B$103)*0.1*$A$2</f>
        <v>0</v>
      </c>
      <c r="C768" s="68">
        <f t="shared" si="73"/>
        <v>902907.24633514904</v>
      </c>
      <c r="D768" s="67">
        <f t="array" ref="D768">SUM($B$7:$B763*$F$1009*EXP(-$F$1009*($A768-$A$7:$A763)))*$F$1010</f>
        <v>2950576.213083961</v>
      </c>
      <c r="E768" s="67">
        <f t="shared" si="71"/>
        <v>5.6250130731968415</v>
      </c>
      <c r="F768" s="70">
        <f t="shared" si="75"/>
        <v>0.34155079380451225</v>
      </c>
      <c r="G768" s="67">
        <f>E768/'Lookup Tables'!$C$48</f>
        <v>11.250026146393683</v>
      </c>
      <c r="H768" s="70">
        <f t="shared" si="72"/>
        <v>3.2744303285554069E-3</v>
      </c>
      <c r="I768" s="71">
        <f t="shared" si="76"/>
        <v>1.6200037650806905E-2</v>
      </c>
      <c r="L768" s="74"/>
      <c r="M768" s="74"/>
      <c r="N768" s="74"/>
      <c r="O768" s="74"/>
      <c r="P768" s="74"/>
      <c r="Q768" s="74"/>
      <c r="R768" s="74"/>
      <c r="S768" s="74"/>
      <c r="T768" s="74"/>
      <c r="U768" s="74"/>
      <c r="V768" s="74"/>
      <c r="W768" s="74"/>
      <c r="X768" s="74"/>
      <c r="Y768" s="74"/>
      <c r="Z768" s="74"/>
    </row>
    <row r="769" spans="1:26" x14ac:dyDescent="0.3">
      <c r="A769" s="66">
        <f t="shared" si="74"/>
        <v>2066.1999999999307</v>
      </c>
      <c r="B769" s="67">
        <f>LOOKUP(A769+0.01,Amounts!$A$4:$A$103,Amounts!$B$4:$B$103)*0.1*$A$2</f>
        <v>0</v>
      </c>
      <c r="C769" s="68">
        <f t="shared" si="73"/>
        <v>902907.24633514904</v>
      </c>
      <c r="D769" s="67">
        <f t="array" ref="D769">SUM($B$7:$B764*$F$1009*EXP(-$F$1009*($A769-$A$7:$A764)))*$F$1010</f>
        <v>2929994.3003297728</v>
      </c>
      <c r="E769" s="67">
        <f t="shared" si="71"/>
        <v>5.5857754735034923</v>
      </c>
      <c r="F769" s="70">
        <f t="shared" si="75"/>
        <v>0.33916828675113203</v>
      </c>
      <c r="G769" s="67">
        <f>E769/'Lookup Tables'!$C$48</f>
        <v>11.171550947006985</v>
      </c>
      <c r="H769" s="70">
        <f t="shared" si="72"/>
        <v>3.2515893529374432E-3</v>
      </c>
      <c r="I769" s="71">
        <f t="shared" si="76"/>
        <v>1.6087033363690058E-2</v>
      </c>
      <c r="L769" s="74"/>
      <c r="M769" s="74"/>
      <c r="N769" s="74"/>
      <c r="O769" s="74"/>
      <c r="P769" s="74"/>
      <c r="Q769" s="74"/>
      <c r="R769" s="74"/>
      <c r="S769" s="74"/>
      <c r="T769" s="74"/>
      <c r="U769" s="74"/>
      <c r="V769" s="74"/>
      <c r="W769" s="74"/>
      <c r="X769" s="74"/>
      <c r="Y769" s="74"/>
      <c r="Z769" s="74"/>
    </row>
    <row r="770" spans="1:26" x14ac:dyDescent="0.3">
      <c r="A770" s="66">
        <f t="shared" si="74"/>
        <v>2066.2999999999306</v>
      </c>
      <c r="B770" s="67">
        <f>LOOKUP(A770+0.01,Amounts!$A$4:$A$103,Amounts!$B$4:$B$103)*0.1*$A$2</f>
        <v>0</v>
      </c>
      <c r="C770" s="68">
        <f t="shared" si="73"/>
        <v>902907.24633514904</v>
      </c>
      <c r="D770" s="67">
        <f t="array" ref="D770">SUM($B$7:$B765*$F$1009*EXP(-$F$1009*($A770-$A$7:$A765)))*$F$1010</f>
        <v>2909555.9578825445</v>
      </c>
      <c r="E770" s="67">
        <f t="shared" si="71"/>
        <v>5.5468115779259675</v>
      </c>
      <c r="F770" s="70">
        <f t="shared" si="75"/>
        <v>0.33680239901166475</v>
      </c>
      <c r="G770" s="67">
        <f>E770/'Lookup Tables'!$C$48</f>
        <v>11.093623155851935</v>
      </c>
      <c r="H770" s="70">
        <f t="shared" si="72"/>
        <v>3.2289077058483629E-3</v>
      </c>
      <c r="I770" s="71">
        <f t="shared" si="76"/>
        <v>1.5974817344426788E-2</v>
      </c>
      <c r="L770" s="74"/>
      <c r="M770" s="74"/>
      <c r="N770" s="74"/>
      <c r="O770" s="74"/>
      <c r="P770" s="74"/>
      <c r="Q770" s="74"/>
      <c r="R770" s="74"/>
      <c r="S770" s="74"/>
      <c r="T770" s="74"/>
      <c r="U770" s="74"/>
      <c r="V770" s="74"/>
      <c r="W770" s="74"/>
      <c r="X770" s="74"/>
      <c r="Y770" s="74"/>
      <c r="Z770" s="74"/>
    </row>
    <row r="771" spans="1:26" x14ac:dyDescent="0.3">
      <c r="A771" s="66">
        <f t="shared" si="74"/>
        <v>2066.3999999999305</v>
      </c>
      <c r="B771" s="67">
        <f>LOOKUP(A771+0.01,Amounts!$A$4:$A$103,Amounts!$B$4:$B$103)*0.1*$A$2</f>
        <v>0</v>
      </c>
      <c r="C771" s="68">
        <f t="shared" si="73"/>
        <v>902907.24633514904</v>
      </c>
      <c r="D771" s="67">
        <f t="array" ref="D771">SUM($B$7:$B766*$F$1009*EXP(-$F$1009*($A771-$A$7:$A766)))*$F$1010</f>
        <v>2889260.1842594086</v>
      </c>
      <c r="E771" s="67">
        <f t="shared" si="71"/>
        <v>5.5081194772255904</v>
      </c>
      <c r="F771" s="70">
        <f t="shared" si="75"/>
        <v>0.33445301465713784</v>
      </c>
      <c r="G771" s="67">
        <f>E771/'Lookup Tables'!$C$48</f>
        <v>11.016238954451181</v>
      </c>
      <c r="H771" s="70">
        <f t="shared" si="72"/>
        <v>3.206384275882922E-3</v>
      </c>
      <c r="I771" s="71">
        <f t="shared" si="76"/>
        <v>1.58633840944097E-2</v>
      </c>
      <c r="L771" s="74"/>
      <c r="M771" s="74"/>
      <c r="N771" s="74"/>
      <c r="O771" s="74"/>
      <c r="P771" s="74"/>
      <c r="Q771" s="74"/>
      <c r="R771" s="74"/>
      <c r="S771" s="74"/>
      <c r="T771" s="74"/>
      <c r="U771" s="74"/>
      <c r="V771" s="74"/>
      <c r="W771" s="74"/>
      <c r="X771" s="74"/>
      <c r="Y771" s="74"/>
      <c r="Z771" s="74"/>
    </row>
    <row r="772" spans="1:26" x14ac:dyDescent="0.3">
      <c r="A772" s="66">
        <f t="shared" si="74"/>
        <v>2066.4999999999304</v>
      </c>
      <c r="B772" s="67">
        <f>LOOKUP(A772+0.01,Amounts!$A$4:$A$103,Amounts!$B$4:$B$103)*0.1*$A$2</f>
        <v>0</v>
      </c>
      <c r="C772" s="68">
        <f t="shared" si="73"/>
        <v>902907.24633514904</v>
      </c>
      <c r="D772" s="67">
        <f t="array" ref="D772">SUM($B$7:$B767*$F$1009*EXP(-$F$1009*($A772-$A$7:$A767)))*$F$1010</f>
        <v>2869105.9849633938</v>
      </c>
      <c r="E772" s="67">
        <f t="shared" si="71"/>
        <v>5.4696972754816784</v>
      </c>
      <c r="F772" s="70">
        <f t="shared" si="75"/>
        <v>0.33212001856724749</v>
      </c>
      <c r="G772" s="67">
        <f>E772/'Lookup Tables'!$C$48</f>
        <v>10.939394550963357</v>
      </c>
      <c r="H772" s="70">
        <f t="shared" si="72"/>
        <v>3.1840179593885434E-3</v>
      </c>
      <c r="I772" s="71">
        <f t="shared" si="76"/>
        <v>1.5752728153387234E-2</v>
      </c>
      <c r="L772" s="74"/>
      <c r="M772" s="74"/>
      <c r="N772" s="74"/>
      <c r="O772" s="74"/>
      <c r="P772" s="74"/>
      <c r="Q772" s="74"/>
      <c r="R772" s="74"/>
      <c r="S772" s="74"/>
      <c r="T772" s="74"/>
      <c r="U772" s="74"/>
      <c r="V772" s="74"/>
      <c r="W772" s="74"/>
      <c r="X772" s="74"/>
      <c r="Y772" s="74"/>
      <c r="Z772" s="74"/>
    </row>
    <row r="773" spans="1:26" x14ac:dyDescent="0.3">
      <c r="A773" s="66">
        <f t="shared" si="74"/>
        <v>2066.5999999999303</v>
      </c>
      <c r="B773" s="67">
        <f>LOOKUP(A773+0.01,Amounts!$A$4:$A$103,Amounts!$B$4:$B$103)*0.1*$A$2</f>
        <v>0</v>
      </c>
      <c r="C773" s="68">
        <f t="shared" si="73"/>
        <v>902907.24633514904</v>
      </c>
      <c r="D773" s="67">
        <f t="array" ref="D773">SUM($B$7:$B768*$F$1009*EXP(-$F$1009*($A773-$A$7:$A768)))*$F$1010</f>
        <v>2849092.3724347027</v>
      </c>
      <c r="E773" s="67">
        <f t="shared" si="71"/>
        <v>5.4315430899986614</v>
      </c>
      <c r="F773" s="70">
        <f t="shared" si="75"/>
        <v>0.32980329642471873</v>
      </c>
      <c r="G773" s="67">
        <f>E773/'Lookup Tables'!$C$48</f>
        <v>10.863086179997323</v>
      </c>
      <c r="H773" s="70">
        <f t="shared" si="72"/>
        <v>3.1618076604112443E-3</v>
      </c>
      <c r="I773" s="71">
        <f t="shared" si="76"/>
        <v>1.5642844099196147E-2</v>
      </c>
      <c r="L773" s="74"/>
      <c r="M773" s="74"/>
      <c r="N773" s="74"/>
      <c r="O773" s="74"/>
      <c r="P773" s="74"/>
      <c r="Q773" s="74"/>
      <c r="R773" s="74"/>
      <c r="S773" s="74"/>
      <c r="T773" s="74"/>
      <c r="U773" s="74"/>
      <c r="V773" s="74"/>
      <c r="W773" s="74"/>
      <c r="X773" s="74"/>
      <c r="Y773" s="74"/>
      <c r="Z773" s="74"/>
    </row>
    <row r="774" spans="1:26" x14ac:dyDescent="0.3">
      <c r="A774" s="66">
        <f t="shared" si="74"/>
        <v>2066.6999999999302</v>
      </c>
      <c r="B774" s="67">
        <f>LOOKUP(A774+0.01,Amounts!$A$4:$A$103,Amounts!$B$4:$B$103)*0.1*$A$2</f>
        <v>0</v>
      </c>
      <c r="C774" s="68">
        <f t="shared" si="73"/>
        <v>902907.24633514904</v>
      </c>
      <c r="D774" s="67">
        <f t="array" ref="D774">SUM($B$7:$B769*$F$1009*EXP(-$F$1009*($A774-$A$7:$A769)))*$F$1010</f>
        <v>2829218.3660023175</v>
      </c>
      <c r="E774" s="67">
        <f t="shared" si="71"/>
        <v>5.3936550512138171</v>
      </c>
      <c r="F774" s="70">
        <f t="shared" si="75"/>
        <v>0.32750273470970304</v>
      </c>
      <c r="G774" s="67">
        <f>E774/'Lookup Tables'!$C$48</f>
        <v>10.787310102427634</v>
      </c>
      <c r="H774" s="70">
        <f t="shared" si="72"/>
        <v>3.1397522906419307E-3</v>
      </c>
      <c r="I774" s="71">
        <f t="shared" si="76"/>
        <v>1.5533726547495793E-2</v>
      </c>
      <c r="L774" s="74"/>
      <c r="M774" s="74"/>
      <c r="N774" s="74"/>
      <c r="O774" s="74"/>
      <c r="P774" s="74"/>
      <c r="Q774" s="74"/>
      <c r="R774" s="74"/>
      <c r="S774" s="74"/>
      <c r="T774" s="74"/>
      <c r="U774" s="74"/>
      <c r="V774" s="74"/>
      <c r="W774" s="74"/>
      <c r="X774" s="74"/>
      <c r="Y774" s="74"/>
      <c r="Z774" s="74"/>
    </row>
    <row r="775" spans="1:26" x14ac:dyDescent="0.3">
      <c r="A775" s="66">
        <f t="shared" si="74"/>
        <v>2066.7999999999302</v>
      </c>
      <c r="B775" s="67">
        <f>LOOKUP(A775+0.01,Amounts!$A$4:$A$103,Amounts!$B$4:$B$103)*0.1*$A$2</f>
        <v>0</v>
      </c>
      <c r="C775" s="68">
        <f t="shared" si="73"/>
        <v>902907.24633514904</v>
      </c>
      <c r="D775" s="67">
        <f t="array" ref="D775">SUM($B$7:$B770*$F$1009*EXP(-$F$1009*($A775-$A$7:$A770)))*$F$1010</f>
        <v>2809482.9918359471</v>
      </c>
      <c r="E775" s="67">
        <f t="shared" ref="E775:E838" si="77">D775/(365*24*60)*1.00201</f>
        <v>5.3560313026056647</v>
      </c>
      <c r="F775" s="70">
        <f t="shared" si="75"/>
        <v>0.32521822069421596</v>
      </c>
      <c r="G775" s="67">
        <f>E775/'Lookup Tables'!$C$48</f>
        <v>10.712062605211329</v>
      </c>
      <c r="H775" s="70">
        <f t="shared" ref="H775:H838" si="78">G775*60*24*365/(C775*2000)</f>
        <v>3.1178507693630725E-3</v>
      </c>
      <c r="I775" s="71">
        <f t="shared" si="76"/>
        <v>1.5425370151504315E-2</v>
      </c>
      <c r="L775" s="74"/>
      <c r="M775" s="74"/>
      <c r="N775" s="74"/>
      <c r="O775" s="74"/>
      <c r="P775" s="74"/>
      <c r="Q775" s="74"/>
      <c r="R775" s="74"/>
      <c r="S775" s="74"/>
      <c r="T775" s="74"/>
      <c r="U775" s="74"/>
      <c r="V775" s="74"/>
      <c r="W775" s="74"/>
      <c r="X775" s="74"/>
      <c r="Y775" s="74"/>
      <c r="Z775" s="74"/>
    </row>
    <row r="776" spans="1:26" x14ac:dyDescent="0.3">
      <c r="A776" s="66">
        <f t="shared" si="74"/>
        <v>2066.8999999999301</v>
      </c>
      <c r="B776" s="67">
        <f>LOOKUP(A776+0.01,Amounts!$A$4:$A$103,Amounts!$B$4:$B$103)*0.1*$A$2</f>
        <v>0</v>
      </c>
      <c r="C776" s="68">
        <f t="shared" si="73"/>
        <v>902907.24633514904</v>
      </c>
      <c r="D776" s="67">
        <f t="array" ref="D776">SUM($B$7:$B771*$F$1009*EXP(-$F$1009*($A776-$A$7:$A771)))*$F$1010</f>
        <v>2789885.2828983078</v>
      </c>
      <c r="E776" s="67">
        <f t="shared" si="77"/>
        <v>5.3186700006029932</v>
      </c>
      <c r="F776" s="70">
        <f t="shared" si="75"/>
        <v>0.32294964243661373</v>
      </c>
      <c r="G776" s="67">
        <f>E776/'Lookup Tables'!$C$48</f>
        <v>10.637340001205986</v>
      </c>
      <c r="H776" s="70">
        <f t="shared" si="78"/>
        <v>3.0961020233957427E-3</v>
      </c>
      <c r="I776" s="71">
        <f t="shared" si="76"/>
        <v>1.5317769601736621E-2</v>
      </c>
      <c r="L776" s="74"/>
      <c r="M776" s="74"/>
      <c r="N776" s="74"/>
      <c r="O776" s="74"/>
      <c r="P776" s="74"/>
      <c r="Q776" s="74"/>
      <c r="R776" s="74"/>
      <c r="S776" s="74"/>
      <c r="T776" s="74"/>
      <c r="U776" s="74"/>
      <c r="V776" s="74"/>
      <c r="W776" s="74"/>
      <c r="X776" s="74"/>
      <c r="Y776" s="74"/>
      <c r="Z776" s="74"/>
    </row>
    <row r="777" spans="1:26" x14ac:dyDescent="0.3">
      <c r="A777" s="66">
        <f t="shared" si="74"/>
        <v>2066.99999999993</v>
      </c>
      <c r="B777" s="67">
        <f>LOOKUP(A777+0.01,Amounts!$A$4:$A$103,Amounts!$B$4:$B$103)*0.1*$A$2</f>
        <v>0</v>
      </c>
      <c r="C777" s="68">
        <f t="shared" ref="C777:C840" si="79">C776+B777</f>
        <v>902907.24633514904</v>
      </c>
      <c r="D777" s="67">
        <f t="array" ref="D777">SUM($B$7:$B772*$F$1009*EXP(-$F$1009*($A777-$A$7:$A772)))*$F$1010</f>
        <v>2770424.2788977399</v>
      </c>
      <c r="E777" s="67">
        <f t="shared" si="77"/>
        <v>5.2815693144945293</v>
      </c>
      <c r="F777" s="70">
        <f t="shared" si="75"/>
        <v>0.3206968887761078</v>
      </c>
      <c r="G777" s="67">
        <f>E777/'Lookup Tables'!$C$48</f>
        <v>10.563138628989059</v>
      </c>
      <c r="H777" s="70">
        <f t="shared" si="78"/>
        <v>3.0745049870470383E-3</v>
      </c>
      <c r="I777" s="71">
        <f t="shared" si="76"/>
        <v>1.5210919625744244E-2</v>
      </c>
      <c r="L777" s="74"/>
      <c r="M777" s="74"/>
      <c r="N777" s="74"/>
      <c r="O777" s="74"/>
      <c r="P777" s="74"/>
      <c r="Q777" s="74"/>
      <c r="R777" s="74"/>
      <c r="S777" s="74"/>
      <c r="T777" s="74"/>
      <c r="U777" s="74"/>
      <c r="V777" s="74"/>
      <c r="W777" s="74"/>
      <c r="X777" s="74"/>
      <c r="Y777" s="74"/>
      <c r="Z777" s="74"/>
    </row>
    <row r="778" spans="1:26" x14ac:dyDescent="0.3">
      <c r="A778" s="66">
        <f t="shared" si="74"/>
        <v>2067.0999999999299</v>
      </c>
      <c r="B778" s="67">
        <f>LOOKUP(A778+0.01,Amounts!$A$4:$A$103,Amounts!$B$4:$B$103)*0.1*$A$2</f>
        <v>0</v>
      </c>
      <c r="C778" s="68">
        <f t="shared" si="79"/>
        <v>902907.24633514904</v>
      </c>
      <c r="D778" s="67">
        <f t="array" ref="D778">SUM($B$7:$B773*$F$1009*EXP(-$F$1009*($A778-$A$7:$A773)))*$F$1010</f>
        <v>2751099.0262411558</v>
      </c>
      <c r="E778" s="67">
        <f t="shared" si="77"/>
        <v>5.2447274263392325</v>
      </c>
      <c r="F778" s="70">
        <f t="shared" si="75"/>
        <v>0.31845984932731819</v>
      </c>
      <c r="G778" s="67">
        <f>E778/'Lookup Tables'!$C$48</f>
        <v>10.489454852678465</v>
      </c>
      <c r="H778" s="70">
        <f t="shared" si="78"/>
        <v>3.0530586020578584E-3</v>
      </c>
      <c r="I778" s="71">
        <f t="shared" si="76"/>
        <v>1.510481498785699E-2</v>
      </c>
      <c r="L778" s="74"/>
      <c r="M778" s="74"/>
      <c r="N778" s="74"/>
      <c r="O778" s="74"/>
      <c r="P778" s="74"/>
      <c r="Q778" s="74"/>
      <c r="R778" s="74"/>
      <c r="S778" s="74"/>
      <c r="T778" s="74"/>
      <c r="U778" s="74"/>
      <c r="V778" s="74"/>
      <c r="W778" s="74"/>
      <c r="X778" s="74"/>
      <c r="Y778" s="74"/>
      <c r="Z778" s="74"/>
    </row>
    <row r="779" spans="1:26" x14ac:dyDescent="0.3">
      <c r="A779" s="66">
        <f t="shared" si="74"/>
        <v>2067.1999999999298</v>
      </c>
      <c r="B779" s="67">
        <f>LOOKUP(A779+0.01,Amounts!$A$4:$A$103,Amounts!$B$4:$B$103)*0.1*$A$2</f>
        <v>0</v>
      </c>
      <c r="C779" s="68">
        <f t="shared" si="79"/>
        <v>902907.24633514904</v>
      </c>
      <c r="D779" s="67">
        <f t="array" ref="D779">SUM($B$7:$B774*$F$1009*EXP(-$F$1009*($A779-$A$7:$A774)))*$F$1010</f>
        <v>2731908.5779873068</v>
      </c>
      <c r="E779" s="67">
        <f t="shared" si="77"/>
        <v>5.2081425308772102</v>
      </c>
      <c r="F779" s="70">
        <f t="shared" si="75"/>
        <v>0.31623841447486423</v>
      </c>
      <c r="G779" s="67">
        <f>E779/'Lookup Tables'!$C$48</f>
        <v>10.41628506175442</v>
      </c>
      <c r="H779" s="70">
        <f t="shared" si="78"/>
        <v>3.0317618175510464E-3</v>
      </c>
      <c r="I779" s="71">
        <f t="shared" si="76"/>
        <v>1.4999450488926366E-2</v>
      </c>
      <c r="L779" s="74"/>
      <c r="M779" s="74"/>
      <c r="N779" s="74"/>
      <c r="O779" s="74"/>
      <c r="P779" s="74"/>
      <c r="Q779" s="74"/>
      <c r="R779" s="74"/>
      <c r="S779" s="74"/>
      <c r="T779" s="74"/>
      <c r="U779" s="74"/>
      <c r="V779" s="74"/>
      <c r="W779" s="74"/>
      <c r="X779" s="74"/>
      <c r="Y779" s="74"/>
      <c r="Z779" s="74"/>
    </row>
    <row r="780" spans="1:26" x14ac:dyDescent="0.3">
      <c r="A780" s="66">
        <f t="shared" si="74"/>
        <v>2067.2999999999297</v>
      </c>
      <c r="B780" s="67">
        <f>LOOKUP(A780+0.01,Amounts!$A$4:$A$103,Amounts!$B$4:$B$103)*0.1*$A$2</f>
        <v>0</v>
      </c>
      <c r="C780" s="68">
        <f t="shared" si="79"/>
        <v>902907.24633514904</v>
      </c>
      <c r="D780" s="67">
        <f t="array" ref="D780">SUM($B$7:$B775*$F$1009*EXP(-$F$1009*($A780-$A$7:$A775)))*$F$1010</f>
        <v>2712851.9938003891</v>
      </c>
      <c r="E780" s="67">
        <f t="shared" si="77"/>
        <v>5.1718128354412638</v>
      </c>
      <c r="F780" s="70">
        <f t="shared" si="75"/>
        <v>0.31403247536799356</v>
      </c>
      <c r="G780" s="67">
        <f>E780/'Lookup Tables'!$C$48</f>
        <v>10.343625670882528</v>
      </c>
      <c r="H780" s="70">
        <f t="shared" si="78"/>
        <v>3.0106135899798997E-3</v>
      </c>
      <c r="I780" s="71">
        <f t="shared" si="76"/>
        <v>1.4894820966070841E-2</v>
      </c>
      <c r="L780" s="74"/>
      <c r="M780" s="74"/>
      <c r="N780" s="74"/>
      <c r="O780" s="74"/>
      <c r="P780" s="74"/>
      <c r="Q780" s="74"/>
      <c r="R780" s="74"/>
      <c r="S780" s="74"/>
      <c r="T780" s="74"/>
      <c r="U780" s="74"/>
      <c r="V780" s="74"/>
      <c r="W780" s="74"/>
      <c r="X780" s="74"/>
      <c r="Y780" s="74"/>
      <c r="Z780" s="74"/>
    </row>
    <row r="781" spans="1:26" x14ac:dyDescent="0.3">
      <c r="A781" s="66">
        <f t="shared" si="74"/>
        <v>2067.3999999999296</v>
      </c>
      <c r="B781" s="67">
        <f>LOOKUP(A781+0.01,Amounts!$A$4:$A$103,Amounts!$B$4:$B$103)*0.1*$A$2</f>
        <v>0</v>
      </c>
      <c r="C781" s="68">
        <f t="shared" si="79"/>
        <v>902907.24633514904</v>
      </c>
      <c r="D781" s="67">
        <f t="array" ref="D781">SUM($B$7:$B776*$F$1009*EXP(-$F$1009*($A781-$A$7:$A776)))*$F$1010</f>
        <v>2693928.3399039647</v>
      </c>
      <c r="E781" s="67">
        <f t="shared" si="77"/>
        <v>5.1357365598690476</v>
      </c>
      <c r="F781" s="70">
        <f t="shared" si="75"/>
        <v>0.31184192391524862</v>
      </c>
      <c r="G781" s="67">
        <f>E781/'Lookup Tables'!$C$48</f>
        <v>10.271473119738095</v>
      </c>
      <c r="H781" s="70">
        <f t="shared" si="78"/>
        <v>2.9896128830770347E-3</v>
      </c>
      <c r="I781" s="71">
        <f t="shared" si="76"/>
        <v>1.4790921292422857E-2</v>
      </c>
      <c r="L781" s="74"/>
      <c r="M781" s="74"/>
      <c r="N781" s="74"/>
      <c r="O781" s="74"/>
      <c r="P781" s="74"/>
      <c r="Q781" s="74"/>
      <c r="R781" s="74"/>
      <c r="S781" s="74"/>
      <c r="T781" s="74"/>
      <c r="U781" s="74"/>
      <c r="V781" s="74"/>
      <c r="W781" s="74"/>
      <c r="X781" s="74"/>
      <c r="Y781" s="74"/>
      <c r="Z781" s="74"/>
    </row>
    <row r="782" spans="1:26" x14ac:dyDescent="0.3">
      <c r="A782" s="66">
        <f t="shared" si="74"/>
        <v>2067.4999999999295</v>
      </c>
      <c r="B782" s="67">
        <f>LOOKUP(A782+0.01,Amounts!$A$4:$A$103,Amounts!$B$4:$B$103)*0.1*$A$2</f>
        <v>0</v>
      </c>
      <c r="C782" s="68">
        <f t="shared" si="79"/>
        <v>902907.24633514904</v>
      </c>
      <c r="D782" s="67">
        <f t="array" ref="D782">SUM($B$7:$B777*$F$1009*EXP(-$F$1009*($A782-$A$7:$A777)))*$F$1010</f>
        <v>2675136.6890352052</v>
      </c>
      <c r="E782" s="67">
        <f t="shared" si="77"/>
        <v>5.0999119364158414</v>
      </c>
      <c r="F782" s="70">
        <f t="shared" si="75"/>
        <v>0.30966665277916988</v>
      </c>
      <c r="G782" s="67">
        <f>E782/'Lookup Tables'!$C$48</f>
        <v>10.199823872831683</v>
      </c>
      <c r="H782" s="70">
        <f t="shared" si="78"/>
        <v>2.9687586678036138E-3</v>
      </c>
      <c r="I782" s="71">
        <f t="shared" si="76"/>
        <v>1.4687746376877624E-2</v>
      </c>
      <c r="L782" s="74"/>
      <c r="M782" s="74"/>
      <c r="N782" s="74"/>
      <c r="O782" s="74"/>
      <c r="P782" s="74"/>
      <c r="Q782" s="74"/>
      <c r="R782" s="74"/>
      <c r="S782" s="74"/>
      <c r="T782" s="74"/>
      <c r="U782" s="74"/>
      <c r="V782" s="74"/>
      <c r="W782" s="74"/>
      <c r="X782" s="74"/>
      <c r="Y782" s="74"/>
      <c r="Z782" s="74"/>
    </row>
    <row r="783" spans="1:26" x14ac:dyDescent="0.3">
      <c r="A783" s="66">
        <f t="shared" si="74"/>
        <v>2067.5999999999294</v>
      </c>
      <c r="B783" s="67">
        <f>LOOKUP(A783+0.01,Amounts!$A$4:$A$103,Amounts!$B$4:$B$103)*0.1*$A$2</f>
        <v>0</v>
      </c>
      <c r="C783" s="68">
        <f t="shared" si="79"/>
        <v>902907.24633514904</v>
      </c>
      <c r="D783" s="67">
        <f t="array" ref="D783">SUM($B$7:$B778*$F$1009*EXP(-$F$1009*($A783-$A$7:$A778)))*$F$1010</f>
        <v>2656476.1203994611</v>
      </c>
      <c r="E783" s="67">
        <f t="shared" si="77"/>
        <v>5.0643372096679302</v>
      </c>
      <c r="F783" s="70">
        <f t="shared" si="75"/>
        <v>0.30750655537103677</v>
      </c>
      <c r="G783" s="67">
        <f>E783/'Lookup Tables'!$C$48</f>
        <v>10.12867441933586</v>
      </c>
      <c r="H783" s="70">
        <f t="shared" si="78"/>
        <v>2.948049922298916E-3</v>
      </c>
      <c r="I783" s="71">
        <f t="shared" si="76"/>
        <v>1.458529116384364E-2</v>
      </c>
      <c r="L783" s="74"/>
      <c r="M783" s="74"/>
      <c r="N783" s="74"/>
      <c r="O783" s="74"/>
      <c r="P783" s="74"/>
      <c r="Q783" s="74"/>
      <c r="R783" s="74"/>
      <c r="S783" s="74"/>
      <c r="T783" s="74"/>
      <c r="U783" s="74"/>
      <c r="V783" s="74"/>
      <c r="W783" s="74"/>
      <c r="X783" s="74"/>
      <c r="Y783" s="74"/>
      <c r="Z783" s="74"/>
    </row>
    <row r="784" spans="1:26" x14ac:dyDescent="0.3">
      <c r="A784" s="66">
        <f t="shared" si="74"/>
        <v>2067.6999999999293</v>
      </c>
      <c r="B784" s="67">
        <f>LOOKUP(A784+0.01,Amounts!$A$4:$A$103,Amounts!$B$4:$B$103)*0.1*$A$2</f>
        <v>0</v>
      </c>
      <c r="C784" s="68">
        <f t="shared" si="79"/>
        <v>902907.24633514904</v>
      </c>
      <c r="D784" s="67">
        <f t="array" ref="D784">SUM($B$7:$B779*$F$1009*EXP(-$F$1009*($A784-$A$7:$A779)))*$F$1010</f>
        <v>2637945.7196251331</v>
      </c>
      <c r="E784" s="67">
        <f t="shared" si="77"/>
        <v>5.0290106364565821</v>
      </c>
      <c r="F784" s="70">
        <f t="shared" si="75"/>
        <v>0.30536152584564369</v>
      </c>
      <c r="G784" s="67">
        <f>E784/'Lookup Tables'!$C$48</f>
        <v>10.058021272913164</v>
      </c>
      <c r="H784" s="70">
        <f t="shared" si="78"/>
        <v>2.9274856318302661E-3</v>
      </c>
      <c r="I784" s="71">
        <f t="shared" si="76"/>
        <v>1.4483550632994956E-2</v>
      </c>
      <c r="L784" s="74"/>
      <c r="M784" s="74"/>
      <c r="N784" s="74"/>
      <c r="O784" s="74"/>
      <c r="P784" s="74"/>
      <c r="Q784" s="74"/>
      <c r="R784" s="74"/>
      <c r="S784" s="74"/>
      <c r="T784" s="74"/>
      <c r="U784" s="74"/>
      <c r="V784" s="74"/>
      <c r="W784" s="74"/>
      <c r="X784" s="74"/>
      <c r="Y784" s="74"/>
      <c r="Z784" s="74"/>
    </row>
    <row r="785" spans="1:26" x14ac:dyDescent="0.3">
      <c r="A785" s="66">
        <f t="shared" si="74"/>
        <v>2067.7999999999292</v>
      </c>
      <c r="B785" s="67">
        <f>LOOKUP(A785+0.01,Amounts!$A$4:$A$103,Amounts!$B$4:$B$103)*0.1*$A$2</f>
        <v>0</v>
      </c>
      <c r="C785" s="68">
        <f t="shared" si="79"/>
        <v>902907.24633514904</v>
      </c>
      <c r="D785" s="67">
        <f t="array" ref="D785">SUM($B$7:$B780*$F$1009*EXP(-$F$1009*($A785-$A$7:$A780)))*$F$1010</f>
        <v>2619544.5787188765</v>
      </c>
      <c r="E785" s="67">
        <f t="shared" si="77"/>
        <v>4.9939304857726441</v>
      </c>
      <c r="F785" s="70">
        <f t="shared" si="75"/>
        <v>0.30323145909611499</v>
      </c>
      <c r="G785" s="67">
        <f>E785/'Lookup Tables'!$C$48</f>
        <v>9.9878609715452882</v>
      </c>
      <c r="H785" s="70">
        <f t="shared" si="78"/>
        <v>2.9070647887433189E-3</v>
      </c>
      <c r="I785" s="71">
        <f t="shared" si="76"/>
        <v>1.4382519799025216E-2</v>
      </c>
      <c r="L785" s="74"/>
      <c r="M785" s="74"/>
      <c r="N785" s="74"/>
      <c r="O785" s="74"/>
      <c r="P785" s="74"/>
      <c r="Q785" s="74"/>
      <c r="R785" s="74"/>
      <c r="S785" s="74"/>
      <c r="T785" s="74"/>
      <c r="U785" s="74"/>
      <c r="V785" s="74"/>
      <c r="W785" s="74"/>
      <c r="X785" s="74"/>
      <c r="Y785" s="74"/>
      <c r="Z785" s="74"/>
    </row>
    <row r="786" spans="1:26" x14ac:dyDescent="0.3">
      <c r="A786" s="66">
        <f t="shared" si="74"/>
        <v>2067.8999999999292</v>
      </c>
      <c r="B786" s="67">
        <f>LOOKUP(A786+0.01,Amounts!$A$4:$A$103,Amounts!$B$4:$B$103)*0.1*$A$2</f>
        <v>0</v>
      </c>
      <c r="C786" s="68">
        <f t="shared" si="79"/>
        <v>902907.24633514904</v>
      </c>
      <c r="D786" s="67">
        <f t="array" ref="D786">SUM($B$7:$B781*$F$1009*EXP(-$F$1009*($A786-$A$7:$A781)))*$F$1010</f>
        <v>2601271.7960211053</v>
      </c>
      <c r="E786" s="67">
        <f t="shared" si="77"/>
        <v>4.9590950386817116</v>
      </c>
      <c r="F786" s="70">
        <f t="shared" si="75"/>
        <v>0.30111625074875353</v>
      </c>
      <c r="G786" s="67">
        <f>E786/'Lookup Tables'!$C$48</f>
        <v>9.9181900773634233</v>
      </c>
      <c r="H786" s="70">
        <f t="shared" si="78"/>
        <v>2.886786392412675E-3</v>
      </c>
      <c r="I786" s="71">
        <f t="shared" si="76"/>
        <v>1.4282193711403331E-2</v>
      </c>
      <c r="L786" s="74"/>
      <c r="M786" s="74"/>
      <c r="N786" s="74"/>
      <c r="O786" s="74"/>
      <c r="P786" s="74"/>
      <c r="Q786" s="74"/>
      <c r="R786" s="74"/>
      <c r="S786" s="74"/>
      <c r="T786" s="74"/>
      <c r="U786" s="74"/>
      <c r="V786" s="74"/>
      <c r="W786" s="74"/>
      <c r="X786" s="74"/>
      <c r="Y786" s="74"/>
      <c r="Z786" s="74"/>
    </row>
    <row r="787" spans="1:26" x14ac:dyDescent="0.3">
      <c r="A787" s="66">
        <f t="shared" ref="A787:A850" si="80">A786+0.1</f>
        <v>2067.9999999999291</v>
      </c>
      <c r="B787" s="67">
        <f>LOOKUP(A787+0.01,Amounts!$A$4:$A$103,Amounts!$B$4:$B$103)*0.1*$A$2</f>
        <v>0</v>
      </c>
      <c r="C787" s="68">
        <f t="shared" si="79"/>
        <v>902907.24633514904</v>
      </c>
      <c r="D787" s="67">
        <f t="array" ref="D787">SUM($B$7:$B782*$F$1009*EXP(-$F$1009*($A787-$A$7:$A782)))*$F$1010</f>
        <v>2583126.476161811</v>
      </c>
      <c r="E787" s="67">
        <f t="shared" si="77"/>
        <v>4.9245025882399096</v>
      </c>
      <c r="F787" s="70">
        <f t="shared" ref="F787:F850" si="81">E787*60*1012/1000000</f>
        <v>0.29901579715792737</v>
      </c>
      <c r="G787" s="67">
        <f>E787/'Lookup Tables'!$C$48</f>
        <v>9.8490051764798192</v>
      </c>
      <c r="H787" s="70">
        <f t="shared" si="78"/>
        <v>2.8666494491928602E-3</v>
      </c>
      <c r="I787" s="71">
        <f t="shared" ref="I787:I850" si="82">G787*60*24/1000000</f>
        <v>1.4182567454130941E-2</v>
      </c>
      <c r="L787" s="74"/>
      <c r="M787" s="74"/>
      <c r="N787" s="74"/>
      <c r="O787" s="74"/>
      <c r="P787" s="74"/>
      <c r="Q787" s="74"/>
      <c r="R787" s="74"/>
      <c r="S787" s="74"/>
      <c r="T787" s="74"/>
      <c r="U787" s="74"/>
      <c r="V787" s="74"/>
      <c r="W787" s="74"/>
      <c r="X787" s="74"/>
      <c r="Y787" s="74"/>
      <c r="Z787" s="74"/>
    </row>
    <row r="788" spans="1:26" x14ac:dyDescent="0.3">
      <c r="A788" s="66">
        <f t="shared" si="80"/>
        <v>2068.099999999929</v>
      </c>
      <c r="B788" s="67">
        <f>LOOKUP(A788+0.01,Amounts!$A$4:$A$103,Amounts!$B$4:$B$103)*0.1*$A$2</f>
        <v>0</v>
      </c>
      <c r="C788" s="68">
        <f t="shared" si="79"/>
        <v>902907.24633514904</v>
      </c>
      <c r="D788" s="67">
        <f t="array" ref="D788">SUM($B$7:$B783*$F$1009*EXP(-$F$1009*($A788-$A$7:$A783)))*$F$1010</f>
        <v>2565107.7300166897</v>
      </c>
      <c r="E788" s="67">
        <f t="shared" si="77"/>
        <v>4.8901514394102419</v>
      </c>
      <c r="F788" s="70">
        <f t="shared" si="81"/>
        <v>0.29692999540098991</v>
      </c>
      <c r="G788" s="67">
        <f>E788/'Lookup Tables'!$C$48</f>
        <v>9.7803028788204838</v>
      </c>
      <c r="H788" s="70">
        <f t="shared" si="78"/>
        <v>2.8466529723696222E-3</v>
      </c>
      <c r="I788" s="71">
        <f t="shared" si="82"/>
        <v>1.4083636145501496E-2</v>
      </c>
      <c r="L788" s="74"/>
      <c r="M788" s="74"/>
      <c r="N788" s="74"/>
      <c r="O788" s="74"/>
      <c r="P788" s="74"/>
      <c r="Q788" s="74"/>
      <c r="R788" s="74"/>
      <c r="S788" s="74"/>
      <c r="T788" s="74"/>
      <c r="U788" s="74"/>
      <c r="V788" s="74"/>
      <c r="W788" s="74"/>
      <c r="X788" s="74"/>
      <c r="Y788" s="74"/>
      <c r="Z788" s="74"/>
    </row>
    <row r="789" spans="1:26" x14ac:dyDescent="0.3">
      <c r="A789" s="66">
        <f t="shared" si="80"/>
        <v>2068.1999999999289</v>
      </c>
      <c r="B789" s="67">
        <f>LOOKUP(A789+0.01,Amounts!$A$4:$A$103,Amounts!$B$4:$B$103)*0.1*$A$2</f>
        <v>0</v>
      </c>
      <c r="C789" s="68">
        <f t="shared" si="79"/>
        <v>902907.24633514904</v>
      </c>
      <c r="D789" s="67">
        <f t="array" ref="D789">SUM($B$7:$B784*$F$1009*EXP(-$F$1009*($A789-$A$7:$A784)))*$F$1010</f>
        <v>2547214.6746635744</v>
      </c>
      <c r="E789" s="67">
        <f t="shared" si="77"/>
        <v>4.8560399089795441</v>
      </c>
      <c r="F789" s="70">
        <f t="shared" si="81"/>
        <v>0.29485874327323797</v>
      </c>
      <c r="G789" s="67">
        <f>E789/'Lookup Tables'!$C$48</f>
        <v>9.7120798179590881</v>
      </c>
      <c r="H789" s="70">
        <f t="shared" si="78"/>
        <v>2.8267959821116008E-3</v>
      </c>
      <c r="I789" s="71">
        <f t="shared" si="82"/>
        <v>1.3985394937861089E-2</v>
      </c>
      <c r="L789" s="74"/>
      <c r="M789" s="74"/>
      <c r="N789" s="74"/>
      <c r="O789" s="74"/>
      <c r="P789" s="74"/>
      <c r="Q789" s="74"/>
      <c r="R789" s="74"/>
      <c r="S789" s="74"/>
      <c r="T789" s="74"/>
      <c r="U789" s="74"/>
      <c r="V789" s="74"/>
      <c r="W789" s="74"/>
      <c r="X789" s="74"/>
      <c r="Y789" s="74"/>
      <c r="Z789" s="74"/>
    </row>
    <row r="790" spans="1:26" x14ac:dyDescent="0.3">
      <c r="A790" s="66">
        <f t="shared" si="80"/>
        <v>2068.2999999999288</v>
      </c>
      <c r="B790" s="67">
        <f>LOOKUP(A790+0.01,Amounts!$A$4:$A$103,Amounts!$B$4:$B$103)*0.1*$A$2</f>
        <v>0</v>
      </c>
      <c r="C790" s="68">
        <f t="shared" si="79"/>
        <v>902907.24633514904</v>
      </c>
      <c r="D790" s="67">
        <f t="array" ref="D790">SUM($B$7:$B785*$F$1009*EXP(-$F$1009*($A790-$A$7:$A785)))*$F$1010</f>
        <v>2529446.4333391734</v>
      </c>
      <c r="E790" s="67">
        <f t="shared" si="77"/>
        <v>4.8221663254759992</v>
      </c>
      <c r="F790" s="70">
        <f t="shared" si="81"/>
        <v>0.29280193928290266</v>
      </c>
      <c r="G790" s="67">
        <f>E790/'Lookup Tables'!$C$48</f>
        <v>9.6443326509519984</v>
      </c>
      <c r="H790" s="70">
        <f t="shared" si="78"/>
        <v>2.8070775054222963E-3</v>
      </c>
      <c r="I790" s="71">
        <f t="shared" si="82"/>
        <v>1.3887839017370876E-2</v>
      </c>
      <c r="L790" s="74"/>
      <c r="M790" s="74"/>
      <c r="N790" s="74"/>
      <c r="O790" s="74"/>
      <c r="P790" s="74"/>
      <c r="Q790" s="74"/>
      <c r="R790" s="74"/>
      <c r="S790" s="74"/>
      <c r="T790" s="74"/>
      <c r="U790" s="74"/>
      <c r="V790" s="74"/>
      <c r="W790" s="74"/>
      <c r="X790" s="74"/>
      <c r="Y790" s="74"/>
      <c r="Z790" s="74"/>
    </row>
    <row r="791" spans="1:26" x14ac:dyDescent="0.3">
      <c r="A791" s="66">
        <f t="shared" si="80"/>
        <v>2068.3999999999287</v>
      </c>
      <c r="B791" s="67">
        <f>LOOKUP(A791+0.01,Amounts!$A$4:$A$103,Amounts!$B$4:$B$103)*0.1*$A$2</f>
        <v>0</v>
      </c>
      <c r="C791" s="68">
        <f t="shared" si="79"/>
        <v>902907.24633514904</v>
      </c>
      <c r="D791" s="67">
        <f t="array" ref="D791">SUM($B$7:$B786*$F$1009*EXP(-$F$1009*($A791-$A$7:$A786)))*$F$1010</f>
        <v>2511802.1353961066</v>
      </c>
      <c r="E791" s="67">
        <f t="shared" si="77"/>
        <v>4.7885290290872398</v>
      </c>
      <c r="F791" s="70">
        <f t="shared" si="81"/>
        <v>0.29075948264617718</v>
      </c>
      <c r="G791" s="67">
        <f>E791/'Lookup Tables'!$C$48</f>
        <v>9.5770580581744795</v>
      </c>
      <c r="H791" s="70">
        <f t="shared" si="78"/>
        <v>2.787496576092409E-3</v>
      </c>
      <c r="I791" s="71">
        <f t="shared" si="82"/>
        <v>1.379096360377125E-2</v>
      </c>
      <c r="L791" s="74"/>
      <c r="M791" s="74"/>
      <c r="N791" s="74"/>
      <c r="O791" s="74"/>
      <c r="P791" s="74"/>
      <c r="Q791" s="74"/>
      <c r="R791" s="74"/>
      <c r="S791" s="74"/>
      <c r="T791" s="74"/>
      <c r="U791" s="74"/>
      <c r="V791" s="74"/>
      <c r="W791" s="74"/>
      <c r="X791" s="74"/>
      <c r="Y791" s="74"/>
      <c r="Z791" s="74"/>
    </row>
    <row r="792" spans="1:26" x14ac:dyDescent="0.3">
      <c r="A792" s="66">
        <f t="shared" si="80"/>
        <v>2068.4999999999286</v>
      </c>
      <c r="B792" s="67">
        <f>LOOKUP(A792+0.01,Amounts!$A$4:$A$103,Amounts!$B$4:$B$103)*0.1*$A$2</f>
        <v>0</v>
      </c>
      <c r="C792" s="68">
        <f t="shared" si="79"/>
        <v>902907.24633514904</v>
      </c>
      <c r="D792" s="67">
        <f t="array" ref="D792">SUM($B$7:$B787*$F$1009*EXP(-$F$1009*($A792-$A$7:$A787)))*$F$1010</f>
        <v>2494280.9162602457</v>
      </c>
      <c r="E792" s="67">
        <f t="shared" si="77"/>
        <v>4.7551263715790126</v>
      </c>
      <c r="F792" s="70">
        <f t="shared" si="81"/>
        <v>0.28873127328227766</v>
      </c>
      <c r="G792" s="67">
        <f>E792/'Lookup Tables'!$C$48</f>
        <v>9.5102527431580253</v>
      </c>
      <c r="H792" s="70">
        <f t="shared" si="78"/>
        <v>2.7680522346524828E-3</v>
      </c>
      <c r="I792" s="71">
        <f t="shared" si="82"/>
        <v>1.3694763950147557E-2</v>
      </c>
      <c r="L792" s="74"/>
      <c r="M792" s="74"/>
      <c r="N792" s="74"/>
      <c r="O792" s="74"/>
      <c r="P792" s="74"/>
      <c r="Q792" s="74"/>
      <c r="R792" s="74"/>
      <c r="S792" s="74"/>
      <c r="T792" s="74"/>
      <c r="U792" s="74"/>
      <c r="V792" s="74"/>
      <c r="W792" s="74"/>
      <c r="X792" s="74"/>
      <c r="Y792" s="74"/>
      <c r="Z792" s="74"/>
    </row>
    <row r="793" spans="1:26" x14ac:dyDescent="0.3">
      <c r="A793" s="66">
        <f t="shared" si="80"/>
        <v>2068.5999999999285</v>
      </c>
      <c r="B793" s="67">
        <f>LOOKUP(A793+0.01,Amounts!$A$4:$A$103,Amounts!$B$4:$B$103)*0.1*$A$2</f>
        <v>0</v>
      </c>
      <c r="C793" s="68">
        <f t="shared" si="79"/>
        <v>902907.24633514904</v>
      </c>
      <c r="D793" s="67">
        <f t="array" ref="D793">SUM($B$7:$B788*$F$1009*EXP(-$F$1009*($A793-$A$7:$A788)))*$F$1010</f>
        <v>2476881.917388346</v>
      </c>
      <c r="E793" s="67">
        <f t="shared" si="77"/>
        <v>4.7219567162144154</v>
      </c>
      <c r="F793" s="70">
        <f t="shared" si="81"/>
        <v>0.28671721180853926</v>
      </c>
      <c r="G793" s="67">
        <f>E793/'Lookup Tables'!$C$48</f>
        <v>9.4439134324288307</v>
      </c>
      <c r="H793" s="70">
        <f t="shared" si="78"/>
        <v>2.7487435283258962E-3</v>
      </c>
      <c r="I793" s="71">
        <f t="shared" si="82"/>
        <v>1.3599235342697516E-2</v>
      </c>
      <c r="L793" s="74"/>
      <c r="M793" s="74"/>
      <c r="N793" s="74"/>
      <c r="O793" s="74"/>
      <c r="P793" s="74"/>
      <c r="Q793" s="74"/>
      <c r="R793" s="74"/>
      <c r="S793" s="74"/>
      <c r="T793" s="74"/>
      <c r="U793" s="74"/>
      <c r="V793" s="74"/>
      <c r="W793" s="74"/>
      <c r="X793" s="74"/>
      <c r="Y793" s="74"/>
      <c r="Z793" s="74"/>
    </row>
    <row r="794" spans="1:26" x14ac:dyDescent="0.3">
      <c r="A794" s="66">
        <f t="shared" si="80"/>
        <v>2068.6999999999284</v>
      </c>
      <c r="B794" s="67">
        <f>LOOKUP(A794+0.01,Amounts!$A$4:$A$103,Amounts!$B$4:$B$103)*0.1*$A$2</f>
        <v>0</v>
      </c>
      <c r="C794" s="68">
        <f t="shared" si="79"/>
        <v>902907.24633514904</v>
      </c>
      <c r="D794" s="67">
        <f t="array" ref="D794">SUM($B$7:$B789*$F$1009*EXP(-$F$1009*($A794-$A$7:$A789)))*$F$1010</f>
        <v>2459604.2862259806</v>
      </c>
      <c r="E794" s="67">
        <f t="shared" si="77"/>
        <v>4.6890184376736963</v>
      </c>
      <c r="F794" s="70">
        <f t="shared" si="81"/>
        <v>0.28471719953554681</v>
      </c>
      <c r="G794" s="67">
        <f>E794/'Lookup Tables'!$C$48</f>
        <v>9.3780368753473926</v>
      </c>
      <c r="H794" s="70">
        <f t="shared" si="78"/>
        <v>2.7295695109821748E-3</v>
      </c>
      <c r="I794" s="71">
        <f t="shared" si="82"/>
        <v>1.3504373100500245E-2</v>
      </c>
      <c r="L794" s="74"/>
      <c r="M794" s="74"/>
      <c r="N794" s="74"/>
      <c r="O794" s="74"/>
      <c r="P794" s="74"/>
      <c r="Q794" s="74"/>
      <c r="R794" s="74"/>
      <c r="S794" s="74"/>
      <c r="T794" s="74"/>
      <c r="U794" s="74"/>
      <c r="V794" s="74"/>
      <c r="W794" s="74"/>
      <c r="X794" s="74"/>
      <c r="Y794" s="74"/>
      <c r="Z794" s="74"/>
    </row>
    <row r="795" spans="1:26" x14ac:dyDescent="0.3">
      <c r="A795" s="66">
        <f t="shared" si="80"/>
        <v>2068.7999999999283</v>
      </c>
      <c r="B795" s="67">
        <f>LOOKUP(A795+0.01,Amounts!$A$4:$A$103,Amounts!$B$4:$B$103)*0.1*$A$2</f>
        <v>0</v>
      </c>
      <c r="C795" s="68">
        <f t="shared" si="79"/>
        <v>902907.24633514904</v>
      </c>
      <c r="D795" s="67">
        <f t="array" ref="D795">SUM($B$7:$B790*$F$1009*EXP(-$F$1009*($A795-$A$7:$A790)))*$F$1010</f>
        <v>2442447.1761657661</v>
      </c>
      <c r="E795" s="67">
        <f t="shared" si="77"/>
        <v>4.6563099219746187</v>
      </c>
      <c r="F795" s="70">
        <f t="shared" si="81"/>
        <v>0.28273113846229886</v>
      </c>
      <c r="G795" s="67">
        <f>E795/'Lookup Tables'!$C$48</f>
        <v>9.3126198439492374</v>
      </c>
      <c r="H795" s="70">
        <f t="shared" si="78"/>
        <v>2.7105292430906333E-3</v>
      </c>
      <c r="I795" s="71">
        <f t="shared" si="82"/>
        <v>1.3410172575286901E-2</v>
      </c>
      <c r="L795" s="74"/>
      <c r="M795" s="74"/>
      <c r="N795" s="74"/>
      <c r="O795" s="74"/>
      <c r="P795" s="74"/>
      <c r="Q795" s="74"/>
      <c r="R795" s="74"/>
      <c r="S795" s="74"/>
      <c r="T795" s="74"/>
      <c r="U795" s="74"/>
      <c r="V795" s="74"/>
      <c r="W795" s="74"/>
      <c r="X795" s="74"/>
      <c r="Y795" s="74"/>
      <c r="Z795" s="74"/>
    </row>
    <row r="796" spans="1:26" x14ac:dyDescent="0.3">
      <c r="A796" s="66">
        <f t="shared" si="80"/>
        <v>2068.8999999999282</v>
      </c>
      <c r="B796" s="67">
        <f>LOOKUP(A796+0.01,Amounts!$A$4:$A$103,Amounts!$B$4:$B$103)*0.1*$A$2</f>
        <v>0</v>
      </c>
      <c r="C796" s="68">
        <f t="shared" si="79"/>
        <v>902907.24633514904</v>
      </c>
      <c r="D796" s="67">
        <f t="array" ref="D796">SUM($B$7:$B791*$F$1009*EXP(-$F$1009*($A796-$A$7:$A791)))*$F$1010</f>
        <v>2425409.7465058784</v>
      </c>
      <c r="E796" s="67">
        <f t="shared" si="77"/>
        <v>4.6238295663933702</v>
      </c>
      <c r="F796" s="70">
        <f t="shared" si="81"/>
        <v>0.28075893127140544</v>
      </c>
      <c r="G796" s="67">
        <f>E796/'Lookup Tables'!$C$48</f>
        <v>9.2476591327867403</v>
      </c>
      <c r="H796" s="70">
        <f t="shared" si="78"/>
        <v>2.6916217916743367E-3</v>
      </c>
      <c r="I796" s="71">
        <f t="shared" si="82"/>
        <v>1.3316629151212907E-2</v>
      </c>
      <c r="L796" s="74"/>
      <c r="M796" s="74"/>
      <c r="N796" s="74"/>
      <c r="O796" s="74"/>
      <c r="P796" s="74"/>
      <c r="Q796" s="74"/>
      <c r="R796" s="74"/>
      <c r="S796" s="74"/>
      <c r="T796" s="74"/>
      <c r="U796" s="74"/>
      <c r="V796" s="74"/>
      <c r="W796" s="74"/>
      <c r="X796" s="74"/>
      <c r="Y796" s="74"/>
      <c r="Z796" s="74"/>
    </row>
    <row r="797" spans="1:26" x14ac:dyDescent="0.3">
      <c r="A797" s="66">
        <f t="shared" si="80"/>
        <v>2068.9999999999281</v>
      </c>
      <c r="B797" s="67">
        <f>LOOKUP(A797+0.01,Amounts!$A$4:$A$103,Amounts!$B$4:$B$103)*0.1*$A$2</f>
        <v>0</v>
      </c>
      <c r="C797" s="68">
        <f t="shared" si="79"/>
        <v>902907.24633514904</v>
      </c>
      <c r="D797" s="67">
        <f t="array" ref="D797">SUM($B$7:$B792*$F$1009*EXP(-$F$1009*($A797-$A$7:$A792)))*$F$1010</f>
        <v>2408491.1624088539</v>
      </c>
      <c r="E797" s="67">
        <f t="shared" si="77"/>
        <v>4.5915757793860266</v>
      </c>
      <c r="F797" s="70">
        <f t="shared" si="81"/>
        <v>0.2788004813243195</v>
      </c>
      <c r="G797" s="67">
        <f>E797/'Lookup Tables'!$C$48</f>
        <v>9.1831515587720531</v>
      </c>
      <c r="H797" s="70">
        <f t="shared" si="78"/>
        <v>2.6728462302643805E-3</v>
      </c>
      <c r="I797" s="71">
        <f t="shared" si="82"/>
        <v>1.3223738244631755E-2</v>
      </c>
      <c r="L797" s="74"/>
      <c r="M797" s="74"/>
      <c r="N797" s="74"/>
      <c r="O797" s="74"/>
      <c r="P797" s="74"/>
      <c r="Q797" s="74"/>
      <c r="R797" s="74"/>
      <c r="S797" s="74"/>
      <c r="T797" s="74"/>
      <c r="U797" s="74"/>
      <c r="V797" s="74"/>
      <c r="W797" s="74"/>
      <c r="X797" s="74"/>
      <c r="Y797" s="74"/>
      <c r="Z797" s="74"/>
    </row>
    <row r="798" spans="1:26" x14ac:dyDescent="0.3">
      <c r="A798" s="66">
        <f t="shared" si="80"/>
        <v>2069.0999999999281</v>
      </c>
      <c r="B798" s="67">
        <f>LOOKUP(A798+0.01,Amounts!$A$4:$A$103,Amounts!$B$4:$B$103)*0.1*$A$2</f>
        <v>0</v>
      </c>
      <c r="C798" s="68">
        <f t="shared" si="79"/>
        <v>902907.24633514904</v>
      </c>
      <c r="D798" s="67">
        <f t="array" ref="D798">SUM($B$7:$B793*$F$1009*EXP(-$F$1009*($A798-$A$7:$A793)))*$F$1010</f>
        <v>2391690.5948606869</v>
      </c>
      <c r="E798" s="67">
        <f t="shared" si="77"/>
        <v>4.5595469805105733</v>
      </c>
      <c r="F798" s="70">
        <f t="shared" si="81"/>
        <v>0.27685569265660204</v>
      </c>
      <c r="G798" s="67">
        <f>E798/'Lookup Tables'!$C$48</f>
        <v>9.1190939610211466</v>
      </c>
      <c r="H798" s="70">
        <f t="shared" si="78"/>
        <v>2.6542016388545011E-3</v>
      </c>
      <c r="I798" s="71">
        <f t="shared" si="82"/>
        <v>1.3131495303870451E-2</v>
      </c>
      <c r="L798" s="74"/>
      <c r="M798" s="74"/>
      <c r="N798" s="74"/>
      <c r="O798" s="74"/>
      <c r="P798" s="74"/>
      <c r="Q798" s="74"/>
      <c r="R798" s="74"/>
      <c r="S798" s="74"/>
      <c r="T798" s="74"/>
      <c r="U798" s="74"/>
      <c r="V798" s="74"/>
      <c r="W798" s="74"/>
      <c r="X798" s="74"/>
      <c r="Y798" s="74"/>
      <c r="Z798" s="74"/>
    </row>
    <row r="799" spans="1:26" x14ac:dyDescent="0.3">
      <c r="A799" s="66">
        <f t="shared" si="80"/>
        <v>2069.199999999928</v>
      </c>
      <c r="B799" s="67">
        <f>LOOKUP(A799+0.01,Amounts!$A$4:$A$103,Amounts!$B$4:$B$103)*0.1*$A$2</f>
        <v>0</v>
      </c>
      <c r="C799" s="68">
        <f t="shared" si="79"/>
        <v>902907.24633514904</v>
      </c>
      <c r="D799" s="67">
        <f t="array" ref="D799">SUM($B$7:$B794*$F$1009*EXP(-$F$1009*($A799-$A$7:$A794)))*$F$1010</f>
        <v>2375007.2206302071</v>
      </c>
      <c r="E799" s="67">
        <f t="shared" si="77"/>
        <v>4.5277416003494562</v>
      </c>
      <c r="F799" s="70">
        <f t="shared" si="81"/>
        <v>0.27492446997321895</v>
      </c>
      <c r="G799" s="67">
        <f>E799/'Lookup Tables'!$C$48</f>
        <v>9.0554832006989123</v>
      </c>
      <c r="H799" s="70">
        <f t="shared" si="78"/>
        <v>2.6356871038559879E-3</v>
      </c>
      <c r="I799" s="71">
        <f t="shared" si="82"/>
        <v>1.3039895809006434E-2</v>
      </c>
      <c r="L799" s="74"/>
      <c r="M799" s="74"/>
      <c r="N799" s="74"/>
      <c r="O799" s="74"/>
      <c r="P799" s="74"/>
      <c r="Q799" s="74"/>
      <c r="R799" s="74"/>
      <c r="S799" s="74"/>
      <c r="T799" s="74"/>
      <c r="U799" s="74"/>
      <c r="V799" s="74"/>
      <c r="W799" s="74"/>
      <c r="X799" s="74"/>
      <c r="Y799" s="74"/>
      <c r="Z799" s="74"/>
    </row>
    <row r="800" spans="1:26" x14ac:dyDescent="0.3">
      <c r="A800" s="66">
        <f t="shared" si="80"/>
        <v>2069.2999999999279</v>
      </c>
      <c r="B800" s="67">
        <f>LOOKUP(A800+0.01,Amounts!$A$4:$A$103,Amounts!$B$4:$B$103)*0.1*$A$2</f>
        <v>0</v>
      </c>
      <c r="C800" s="68">
        <f t="shared" si="79"/>
        <v>902907.24633514904</v>
      </c>
      <c r="D800" s="67">
        <f t="array" ref="D800">SUM($B$7:$B795*$F$1009*EXP(-$F$1009*($A800-$A$7:$A795)))*$F$1010</f>
        <v>2358440.2222287375</v>
      </c>
      <c r="E800" s="67">
        <f t="shared" si="77"/>
        <v>4.4961580804326822</v>
      </c>
      <c r="F800" s="70">
        <f t="shared" si="81"/>
        <v>0.27300671864387249</v>
      </c>
      <c r="G800" s="67">
        <f>E800/'Lookup Tables'!$C$48</f>
        <v>8.9923161608653643</v>
      </c>
      <c r="H800" s="70">
        <f t="shared" si="78"/>
        <v>2.6173017180529216E-3</v>
      </c>
      <c r="I800" s="71">
        <f t="shared" si="82"/>
        <v>1.2948935271646126E-2</v>
      </c>
      <c r="L800" s="74"/>
      <c r="M800" s="74"/>
      <c r="N800" s="74"/>
      <c r="O800" s="74"/>
      <c r="P800" s="74"/>
      <c r="Q800" s="74"/>
      <c r="R800" s="74"/>
      <c r="S800" s="74"/>
      <c r="T800" s="74"/>
      <c r="U800" s="74"/>
      <c r="V800" s="74"/>
      <c r="W800" s="74"/>
      <c r="X800" s="74"/>
      <c r="Y800" s="74"/>
      <c r="Z800" s="74"/>
    </row>
    <row r="801" spans="1:26" x14ac:dyDescent="0.3">
      <c r="A801" s="66">
        <f t="shared" si="80"/>
        <v>2069.3999999999278</v>
      </c>
      <c r="B801" s="67">
        <f>LOOKUP(A801+0.01,Amounts!$A$4:$A$103,Amounts!$B$4:$B$103)*0.1*$A$2</f>
        <v>0</v>
      </c>
      <c r="C801" s="68">
        <f t="shared" si="79"/>
        <v>902907.24633514904</v>
      </c>
      <c r="D801" s="67">
        <f t="array" ref="D801">SUM($B$7:$B796*$F$1009*EXP(-$F$1009*($A801-$A$7:$A796)))*$F$1010</f>
        <v>2341988.7878700425</v>
      </c>
      <c r="E801" s="67">
        <f t="shared" si="77"/>
        <v>4.4647948731614564</v>
      </c>
      <c r="F801" s="70">
        <f t="shared" si="81"/>
        <v>0.27110234469836364</v>
      </c>
      <c r="G801" s="67">
        <f>E801/'Lookup Tables'!$C$48</f>
        <v>8.9295897463229128</v>
      </c>
      <c r="H801" s="70">
        <f t="shared" si="78"/>
        <v>2.5990445805577182E-3</v>
      </c>
      <c r="I801" s="71">
        <f t="shared" si="82"/>
        <v>1.2858609234704997E-2</v>
      </c>
      <c r="L801" s="74"/>
      <c r="M801" s="74"/>
      <c r="N801" s="74"/>
      <c r="O801" s="74"/>
      <c r="P801" s="74"/>
      <c r="Q801" s="74"/>
      <c r="R801" s="74"/>
      <c r="S801" s="74"/>
      <c r="T801" s="74"/>
      <c r="U801" s="74"/>
      <c r="V801" s="74"/>
      <c r="W801" s="74"/>
      <c r="X801" s="74"/>
      <c r="Y801" s="74"/>
      <c r="Z801" s="74"/>
    </row>
    <row r="802" spans="1:26" x14ac:dyDescent="0.3">
      <c r="A802" s="66">
        <f t="shared" si="80"/>
        <v>2069.4999999999277</v>
      </c>
      <c r="B802" s="67">
        <f>LOOKUP(A802+0.01,Amounts!$A$4:$A$103,Amounts!$B$4:$B$103)*0.1*$A$2</f>
        <v>0</v>
      </c>
      <c r="C802" s="68">
        <f t="shared" si="79"/>
        <v>902907.24633514904</v>
      </c>
      <c r="D802" s="67">
        <f t="array" ref="D802">SUM($B$7:$B797*$F$1009*EXP(-$F$1009*($A802-$A$7:$A797)))*$F$1010</f>
        <v>2325652.1114305463</v>
      </c>
      <c r="E802" s="67">
        <f t="shared" si="77"/>
        <v>4.4336504417323468</v>
      </c>
      <c r="F802" s="70">
        <f t="shared" si="81"/>
        <v>0.2692112548219881</v>
      </c>
      <c r="G802" s="67">
        <f>E802/'Lookup Tables'!$C$48</f>
        <v>8.8673008834646936</v>
      </c>
      <c r="H802" s="70">
        <f t="shared" si="78"/>
        <v>2.5809147967669876E-3</v>
      </c>
      <c r="I802" s="71">
        <f t="shared" si="82"/>
        <v>1.276891327218916E-2</v>
      </c>
      <c r="L802" s="74"/>
      <c r="M802" s="74"/>
      <c r="N802" s="74"/>
      <c r="O802" s="74"/>
      <c r="P802" s="74"/>
      <c r="Q802" s="74"/>
      <c r="R802" s="74"/>
      <c r="S802" s="74"/>
      <c r="T802" s="74"/>
      <c r="U802" s="74"/>
      <c r="V802" s="74"/>
      <c r="W802" s="74"/>
      <c r="X802" s="74"/>
      <c r="Y802" s="74"/>
      <c r="Z802" s="74"/>
    </row>
    <row r="803" spans="1:26" x14ac:dyDescent="0.3">
      <c r="A803" s="66">
        <f t="shared" si="80"/>
        <v>2069.5999999999276</v>
      </c>
      <c r="B803" s="67">
        <f>LOOKUP(A803+0.01,Amounts!$A$4:$A$103,Amounts!$B$4:$B$103)*0.1*$A$2</f>
        <v>0</v>
      </c>
      <c r="C803" s="68">
        <f t="shared" si="79"/>
        <v>902907.24633514904</v>
      </c>
      <c r="D803" s="67">
        <f t="array" ref="D803">SUM($B$7:$B798*$F$1009*EXP(-$F$1009*($A803-$A$7:$A798)))*$F$1010</f>
        <v>2309429.392409835</v>
      </c>
      <c r="E803" s="67">
        <f t="shared" si="77"/>
        <v>4.4027232600619834</v>
      </c>
      <c r="F803" s="70">
        <f t="shared" si="81"/>
        <v>0.26733335635096361</v>
      </c>
      <c r="G803" s="67">
        <f>E803/'Lookup Tables'!$C$48</f>
        <v>8.8054465201239669</v>
      </c>
      <c r="H803" s="70">
        <f t="shared" si="78"/>
        <v>2.5629114783176973E-3</v>
      </c>
      <c r="I803" s="71">
        <f t="shared" si="82"/>
        <v>1.267984298897851E-2</v>
      </c>
      <c r="L803" s="74"/>
      <c r="M803" s="74"/>
      <c r="N803" s="74"/>
      <c r="O803" s="74"/>
      <c r="P803" s="74"/>
      <c r="Q803" s="74"/>
      <c r="R803" s="74"/>
      <c r="S803" s="74"/>
      <c r="T803" s="74"/>
      <c r="U803" s="74"/>
      <c r="V803" s="74"/>
      <c r="W803" s="74"/>
      <c r="X803" s="74"/>
      <c r="Y803" s="74"/>
      <c r="Z803" s="74"/>
    </row>
    <row r="804" spans="1:26" x14ac:dyDescent="0.3">
      <c r="A804" s="66">
        <f t="shared" si="80"/>
        <v>2069.6999999999275</v>
      </c>
      <c r="B804" s="67">
        <f>LOOKUP(A804+0.01,Amounts!$A$4:$A$103,Amounts!$B$4:$B$103)*0.1*$A$2</f>
        <v>0</v>
      </c>
      <c r="C804" s="68">
        <f t="shared" si="79"/>
        <v>902907.24633514904</v>
      </c>
      <c r="D804" s="67">
        <f t="array" ref="D804">SUM($B$7:$B799*$F$1009*EXP(-$F$1009*($A804-$A$7:$A799)))*$F$1010</f>
        <v>2293319.8358914312</v>
      </c>
      <c r="E804" s="67">
        <f t="shared" si="77"/>
        <v>4.3720118127122785</v>
      </c>
      <c r="F804" s="70">
        <f t="shared" si="81"/>
        <v>0.26546855726788954</v>
      </c>
      <c r="G804" s="67">
        <f>E804/'Lookup Tables'!$C$48</f>
        <v>8.7440236254245569</v>
      </c>
      <c r="H804" s="70">
        <f t="shared" si="78"/>
        <v>2.5450337430436435E-3</v>
      </c>
      <c r="I804" s="71">
        <f t="shared" si="82"/>
        <v>1.2591394020611362E-2</v>
      </c>
      <c r="L804" s="74"/>
      <c r="M804" s="74"/>
      <c r="N804" s="74"/>
      <c r="O804" s="74"/>
      <c r="P804" s="74"/>
      <c r="Q804" s="74"/>
      <c r="R804" s="74"/>
      <c r="S804" s="74"/>
      <c r="T804" s="74"/>
      <c r="U804" s="74"/>
      <c r="V804" s="74"/>
      <c r="W804" s="74"/>
      <c r="X804" s="74"/>
      <c r="Y804" s="74"/>
      <c r="Z804" s="74"/>
    </row>
    <row r="805" spans="1:26" x14ac:dyDescent="0.3">
      <c r="A805" s="66">
        <f t="shared" si="80"/>
        <v>2069.7999999999274</v>
      </c>
      <c r="B805" s="67">
        <f>LOOKUP(A805+0.01,Amounts!$A$4:$A$103,Amounts!$B$4:$B$103)*0.1*$A$2</f>
        <v>0</v>
      </c>
      <c r="C805" s="68">
        <f t="shared" si="79"/>
        <v>902907.24633514904</v>
      </c>
      <c r="D805" s="67">
        <f t="array" ref="D805">SUM($B$7:$B800*$F$1009*EXP(-$F$1009*($A805-$A$7:$A800)))*$F$1010</f>
        <v>2277322.6525038416</v>
      </c>
      <c r="E805" s="67">
        <f t="shared" si="77"/>
        <v>4.3415145948161609</v>
      </c>
      <c r="F805" s="70">
        <f t="shared" si="81"/>
        <v>0.26361676619723728</v>
      </c>
      <c r="G805" s="67">
        <f>E805/'Lookup Tables'!$C$48</f>
        <v>8.6830291896323217</v>
      </c>
      <c r="H805" s="70">
        <f t="shared" si="78"/>
        <v>2.5272807149322161E-3</v>
      </c>
      <c r="I805" s="71">
        <f t="shared" si="82"/>
        <v>1.2503562033070542E-2</v>
      </c>
      <c r="L805" s="74"/>
      <c r="M805" s="74"/>
      <c r="N805" s="74"/>
      <c r="O805" s="74"/>
      <c r="P805" s="74"/>
      <c r="Q805" s="74"/>
      <c r="R805" s="74"/>
      <c r="S805" s="74"/>
      <c r="T805" s="74"/>
      <c r="U805" s="74"/>
      <c r="V805" s="74"/>
      <c r="W805" s="74"/>
      <c r="X805" s="74"/>
      <c r="Y805" s="74"/>
      <c r="Z805" s="74"/>
    </row>
    <row r="806" spans="1:26" x14ac:dyDescent="0.3">
      <c r="A806" s="66">
        <f t="shared" si="80"/>
        <v>2069.8999999999273</v>
      </c>
      <c r="B806" s="67">
        <f>LOOKUP(A806+0.01,Amounts!$A$4:$A$103,Amounts!$B$4:$B$103)*0.1*$A$2</f>
        <v>0</v>
      </c>
      <c r="C806" s="68">
        <f t="shared" si="79"/>
        <v>902907.24633514904</v>
      </c>
      <c r="D806" s="67">
        <f t="array" ref="D806">SUM($B$7:$B801*$F$1009*EXP(-$F$1009*($A806-$A$7:$A801)))*$F$1010</f>
        <v>2261437.0583818783</v>
      </c>
      <c r="E806" s="67">
        <f t="shared" si="77"/>
        <v>4.3112301120038543</v>
      </c>
      <c r="F806" s="70">
        <f t="shared" si="81"/>
        <v>0.26177789240087401</v>
      </c>
      <c r="G806" s="67">
        <f>E806/'Lookup Tables'!$C$48</f>
        <v>8.6224602240077086</v>
      </c>
      <c r="H806" s="70">
        <f t="shared" si="78"/>
        <v>2.5096515240814873E-3</v>
      </c>
      <c r="I806" s="71">
        <f t="shared" si="82"/>
        <v>1.2416342722571101E-2</v>
      </c>
      <c r="L806" s="74"/>
      <c r="M806" s="74"/>
      <c r="N806" s="74"/>
      <c r="O806" s="74"/>
      <c r="P806" s="74"/>
      <c r="Q806" s="74"/>
      <c r="R806" s="74"/>
      <c r="S806" s="74"/>
      <c r="T806" s="74"/>
      <c r="U806" s="74"/>
      <c r="V806" s="74"/>
      <c r="W806" s="74"/>
      <c r="X806" s="74"/>
      <c r="Y806" s="74"/>
      <c r="Z806" s="74"/>
    </row>
    <row r="807" spans="1:26" x14ac:dyDescent="0.3">
      <c r="A807" s="66">
        <f t="shared" si="80"/>
        <v>2069.9999999999272</v>
      </c>
      <c r="B807" s="67">
        <f>LOOKUP(A807+0.01,Amounts!$A$4:$A$103,Amounts!$B$4:$B$103)*0.1*$A$2</f>
        <v>0</v>
      </c>
      <c r="C807" s="68">
        <f t="shared" si="79"/>
        <v>902907.24633514904</v>
      </c>
      <c r="D807" s="67">
        <f t="array" ref="D807">SUM($B$7:$B802*$F$1009*EXP(-$F$1009*($A807-$A$7:$A802)))*$F$1010</f>
        <v>2245662.2751282533</v>
      </c>
      <c r="E807" s="67">
        <f t="shared" si="77"/>
        <v>4.281156880329644</v>
      </c>
      <c r="F807" s="70">
        <f t="shared" si="81"/>
        <v>0.25995184577361596</v>
      </c>
      <c r="G807" s="67">
        <f>E807/'Lookup Tables'!$C$48</f>
        <v>8.5623137606592881</v>
      </c>
      <c r="H807" s="70">
        <f t="shared" si="78"/>
        <v>2.4921453066575798E-3</v>
      </c>
      <c r="I807" s="71">
        <f t="shared" si="82"/>
        <v>1.2329731815349375E-2</v>
      </c>
      <c r="L807" s="74"/>
      <c r="M807" s="74"/>
      <c r="N807" s="74"/>
      <c r="O807" s="74"/>
      <c r="P807" s="74"/>
      <c r="Q807" s="74"/>
      <c r="R807" s="74"/>
      <c r="S807" s="74"/>
      <c r="T807" s="74"/>
      <c r="U807" s="74"/>
      <c r="V807" s="74"/>
      <c r="W807" s="74"/>
      <c r="X807" s="74"/>
      <c r="Y807" s="74"/>
      <c r="Z807" s="74"/>
    </row>
    <row r="808" spans="1:26" x14ac:dyDescent="0.3">
      <c r="A808" s="66">
        <f t="shared" si="80"/>
        <v>2070.0999999999271</v>
      </c>
      <c r="B808" s="67">
        <f>LOOKUP(A808+0.01,Amounts!$A$4:$A$103,Amounts!$B$4:$B$103)*0.1*$A$2</f>
        <v>0</v>
      </c>
      <c r="C808" s="68">
        <f t="shared" si="79"/>
        <v>902907.24633514904</v>
      </c>
      <c r="D808" s="67">
        <f t="array" ref="D808">SUM($B$7:$B803*$F$1009*EXP(-$F$1009*($A808-$A$7:$A803)))*$F$1010</f>
        <v>2229997.5297754291</v>
      </c>
      <c r="E808" s="67">
        <f t="shared" si="77"/>
        <v>4.2512934261991582</v>
      </c>
      <c r="F808" s="70">
        <f t="shared" si="81"/>
        <v>0.25813853683881288</v>
      </c>
      <c r="G808" s="67">
        <f>E808/'Lookup Tables'!$C$48</f>
        <v>8.5025868523983164</v>
      </c>
      <c r="H808" s="70">
        <f t="shared" si="78"/>
        <v>2.474761204852335E-3</v>
      </c>
      <c r="I808" s="71">
        <f t="shared" si="82"/>
        <v>1.2243725067453576E-2</v>
      </c>
      <c r="L808" s="74"/>
      <c r="M808" s="74"/>
      <c r="N808" s="74"/>
      <c r="O808" s="74"/>
      <c r="P808" s="74"/>
      <c r="Q808" s="74"/>
      <c r="R808" s="74"/>
      <c r="S808" s="74"/>
      <c r="T808" s="74"/>
      <c r="U808" s="74"/>
      <c r="V808" s="74"/>
      <c r="W808" s="74"/>
      <c r="X808" s="74"/>
      <c r="Y808" s="74"/>
      <c r="Z808" s="74"/>
    </row>
    <row r="809" spans="1:26" x14ac:dyDescent="0.3">
      <c r="A809" s="66">
        <f t="shared" si="80"/>
        <v>2070.1999999999271</v>
      </c>
      <c r="B809" s="67">
        <f>LOOKUP(A809+0.01,Amounts!$A$4:$A$103,Amounts!$B$4:$B$103)*0.1*$A$2</f>
        <v>0</v>
      </c>
      <c r="C809" s="68">
        <f t="shared" si="79"/>
        <v>902907.24633514904</v>
      </c>
      <c r="D809" s="67">
        <f t="array" ref="D809">SUM($B$7:$B804*$F$1009*EXP(-$F$1009*($A809-$A$7:$A804)))*$F$1010</f>
        <v>2214442.0547477501</v>
      </c>
      <c r="E809" s="67">
        <f t="shared" si="77"/>
        <v>4.2216382862971713</v>
      </c>
      <c r="F809" s="70">
        <f t="shared" si="81"/>
        <v>0.25633787674396424</v>
      </c>
      <c r="G809" s="67">
        <f>E809/'Lookup Tables'!$C$48</f>
        <v>8.4432765725943426</v>
      </c>
      <c r="H809" s="70">
        <f t="shared" si="78"/>
        <v>2.4574983668412876E-3</v>
      </c>
      <c r="I809" s="71">
        <f t="shared" si="82"/>
        <v>1.2158318264535855E-2</v>
      </c>
      <c r="L809" s="74"/>
      <c r="M809" s="74"/>
      <c r="N809" s="74"/>
      <c r="O809" s="74"/>
      <c r="P809" s="74"/>
      <c r="Q809" s="74"/>
      <c r="R809" s="74"/>
      <c r="S809" s="74"/>
      <c r="T809" s="74"/>
      <c r="U809" s="74"/>
      <c r="V809" s="74"/>
      <c r="W809" s="74"/>
      <c r="X809" s="74"/>
      <c r="Y809" s="74"/>
      <c r="Z809" s="74"/>
    </row>
    <row r="810" spans="1:26" x14ac:dyDescent="0.3">
      <c r="A810" s="66">
        <f t="shared" si="80"/>
        <v>2070.299999999927</v>
      </c>
      <c r="B810" s="67">
        <f>LOOKUP(A810+0.01,Amounts!$A$4:$A$103,Amounts!$B$4:$B$103)*0.1*$A$2</f>
        <v>0</v>
      </c>
      <c r="C810" s="68">
        <f t="shared" si="79"/>
        <v>902907.24633514904</v>
      </c>
      <c r="D810" s="67">
        <f t="array" ref="D810">SUM($B$7:$B805*$F$1009*EXP(-$F$1009*($A810-$A$7:$A805)))*$F$1010</f>
        <v>2198995.0878238273</v>
      </c>
      <c r="E810" s="67">
        <f t="shared" si="77"/>
        <v>4.1921900075158929</v>
      </c>
      <c r="F810" s="70">
        <f t="shared" si="81"/>
        <v>0.25454977725636502</v>
      </c>
      <c r="G810" s="67">
        <f>E810/'Lookup Tables'!$C$48</f>
        <v>8.3843800150317858</v>
      </c>
      <c r="H810" s="70">
        <f t="shared" si="78"/>
        <v>2.4403559467419209E-3</v>
      </c>
      <c r="I810" s="71">
        <f t="shared" si="82"/>
        <v>1.2073507221645772E-2</v>
      </c>
      <c r="L810" s="74"/>
      <c r="M810" s="74"/>
      <c r="N810" s="74"/>
      <c r="O810" s="74"/>
      <c r="P810" s="74"/>
      <c r="Q810" s="74"/>
      <c r="R810" s="74"/>
      <c r="S810" s="74"/>
      <c r="T810" s="74"/>
      <c r="U810" s="74"/>
      <c r="V810" s="74"/>
      <c r="W810" s="74"/>
      <c r="X810" s="74"/>
      <c r="Y810" s="74"/>
      <c r="Z810" s="74"/>
    </row>
    <row r="811" spans="1:26" x14ac:dyDescent="0.3">
      <c r="A811" s="66">
        <f t="shared" si="80"/>
        <v>2070.3999999999269</v>
      </c>
      <c r="B811" s="67">
        <f>LOOKUP(A811+0.01,Amounts!$A$4:$A$103,Amounts!$B$4:$B$103)*0.1*$A$2</f>
        <v>0</v>
      </c>
      <c r="C811" s="68">
        <f t="shared" si="79"/>
        <v>902907.24633514904</v>
      </c>
      <c r="D811" s="67">
        <f t="array" ref="D811">SUM($B$7:$B806*$F$1009*EXP(-$F$1009*($A811-$A$7:$A806)))*$F$1010</f>
        <v>2183655.8720991905</v>
      </c>
      <c r="E811" s="67">
        <f t="shared" si="77"/>
        <v>4.1629471468837709</v>
      </c>
      <c r="F811" s="70">
        <f t="shared" si="81"/>
        <v>0.25277415075878257</v>
      </c>
      <c r="G811" s="67">
        <f>E811/'Lookup Tables'!$C$48</f>
        <v>8.3258942937675418</v>
      </c>
      <c r="H811" s="70">
        <f t="shared" si="78"/>
        <v>2.4233331045722191E-3</v>
      </c>
      <c r="I811" s="71">
        <f t="shared" si="82"/>
        <v>1.198928778302526E-2</v>
      </c>
      <c r="L811" s="74"/>
      <c r="M811" s="74"/>
      <c r="N811" s="74"/>
      <c r="O811" s="74"/>
      <c r="P811" s="74"/>
      <c r="Q811" s="74"/>
      <c r="R811" s="74"/>
      <c r="S811" s="74"/>
      <c r="T811" s="74"/>
      <c r="U811" s="74"/>
      <c r="V811" s="74"/>
      <c r="W811" s="74"/>
      <c r="X811" s="74"/>
      <c r="Y811" s="74"/>
      <c r="Z811" s="74"/>
    </row>
    <row r="812" spans="1:26" x14ac:dyDescent="0.3">
      <c r="A812" s="66">
        <f t="shared" si="80"/>
        <v>2070.4999999999268</v>
      </c>
      <c r="B812" s="67">
        <f>LOOKUP(A812+0.01,Amounts!$A$4:$A$103,Amounts!$B$4:$B$103)*0.1*$A$2</f>
        <v>0</v>
      </c>
      <c r="C812" s="68">
        <f t="shared" si="79"/>
        <v>902907.24633514904</v>
      </c>
      <c r="D812" s="67">
        <f t="array" ref="D812">SUM($B$7:$B807*$F$1009*EXP(-$F$1009*($A812-$A$7:$A807)))*$F$1010</f>
        <v>2168423.6559491996</v>
      </c>
      <c r="E812" s="67">
        <f t="shared" si="77"/>
        <v>4.1339082714947821</v>
      </c>
      <c r="F812" s="70">
        <f t="shared" si="81"/>
        <v>0.25101091024516314</v>
      </c>
      <c r="G812" s="67">
        <f>E812/'Lookup Tables'!$C$48</f>
        <v>8.2678165429895643</v>
      </c>
      <c r="H812" s="70">
        <f t="shared" si="78"/>
        <v>2.4064290062095098E-3</v>
      </c>
      <c r="I812" s="71">
        <f t="shared" si="82"/>
        <v>1.1905655821904972E-2</v>
      </c>
      <c r="L812" s="74"/>
      <c r="M812" s="74"/>
      <c r="N812" s="74"/>
      <c r="O812" s="74"/>
      <c r="P812" s="74"/>
      <c r="Q812" s="74"/>
      <c r="R812" s="74"/>
      <c r="S812" s="74"/>
      <c r="T812" s="74"/>
      <c r="U812" s="74"/>
      <c r="V812" s="74"/>
      <c r="W812" s="74"/>
      <c r="X812" s="74"/>
      <c r="Y812" s="74"/>
      <c r="Z812" s="74"/>
    </row>
    <row r="813" spans="1:26" x14ac:dyDescent="0.3">
      <c r="A813" s="66">
        <f t="shared" si="80"/>
        <v>2070.5999999999267</v>
      </c>
      <c r="B813" s="67">
        <f>LOOKUP(A813+0.01,Amounts!$A$4:$A$103,Amounts!$B$4:$B$103)*0.1*$A$2</f>
        <v>0</v>
      </c>
      <c r="C813" s="68">
        <f t="shared" si="79"/>
        <v>902907.24633514904</v>
      </c>
      <c r="D813" s="67">
        <f t="array" ref="D813">SUM($B$7:$B808*$F$1009*EXP(-$F$1009*($A813-$A$7:$A808)))*$F$1010</f>
        <v>2153297.6929922169</v>
      </c>
      <c r="E813" s="67">
        <f t="shared" si="77"/>
        <v>4.1050719584382263</v>
      </c>
      <c r="F813" s="70">
        <f t="shared" si="81"/>
        <v>0.2492599693163691</v>
      </c>
      <c r="G813" s="67">
        <f>E813/'Lookup Tables'!$C$48</f>
        <v>8.2101439168764525</v>
      </c>
      <c r="H813" s="70">
        <f t="shared" si="78"/>
        <v>2.3896428233495929E-3</v>
      </c>
      <c r="I813" s="71">
        <f t="shared" si="82"/>
        <v>1.1822607240302091E-2</v>
      </c>
      <c r="L813" s="74"/>
      <c r="M813" s="74"/>
      <c r="N813" s="74"/>
      <c r="O813" s="74"/>
      <c r="P813" s="74"/>
      <c r="Q813" s="74"/>
      <c r="R813" s="74"/>
      <c r="S813" s="74"/>
      <c r="T813" s="74"/>
      <c r="U813" s="74"/>
      <c r="V813" s="74"/>
      <c r="W813" s="74"/>
      <c r="X813" s="74"/>
      <c r="Y813" s="74"/>
      <c r="Z813" s="74"/>
    </row>
    <row r="814" spans="1:26" x14ac:dyDescent="0.3">
      <c r="A814" s="66">
        <f t="shared" si="80"/>
        <v>2070.6999999999266</v>
      </c>
      <c r="B814" s="67">
        <f>LOOKUP(A814+0.01,Amounts!$A$4:$A$103,Amounts!$B$4:$B$103)*0.1*$A$2</f>
        <v>0</v>
      </c>
      <c r="C814" s="68">
        <f t="shared" si="79"/>
        <v>902907.24633514904</v>
      </c>
      <c r="D814" s="67">
        <f t="array" ref="D814">SUM($B$7:$B809*$F$1009*EXP(-$F$1009*($A814-$A$7:$A809)))*$F$1010</f>
        <v>2138277.2420530296</v>
      </c>
      <c r="E814" s="67">
        <f t="shared" si="77"/>
        <v>4.0764367947289886</v>
      </c>
      <c r="F814" s="70">
        <f t="shared" si="81"/>
        <v>0.24752124217594418</v>
      </c>
      <c r="G814" s="67">
        <f>E814/'Lookup Tables'!$C$48</f>
        <v>8.1528735894579771</v>
      </c>
      <c r="H814" s="70">
        <f t="shared" si="78"/>
        <v>2.3729737334661463E-3</v>
      </c>
      <c r="I814" s="71">
        <f t="shared" si="82"/>
        <v>1.1740137968819486E-2</v>
      </c>
      <c r="L814" s="74"/>
      <c r="M814" s="74"/>
      <c r="N814" s="74"/>
      <c r="O814" s="74"/>
      <c r="P814" s="74"/>
      <c r="Q814" s="74"/>
      <c r="R814" s="74"/>
      <c r="S814" s="74"/>
      <c r="T814" s="74"/>
      <c r="U814" s="74"/>
      <c r="V814" s="74"/>
      <c r="W814" s="74"/>
      <c r="X814" s="74"/>
      <c r="Y814" s="74"/>
      <c r="Z814" s="74"/>
    </row>
    <row r="815" spans="1:26" x14ac:dyDescent="0.3">
      <c r="A815" s="66">
        <f t="shared" si="80"/>
        <v>2070.7999999999265</v>
      </c>
      <c r="B815" s="67">
        <f>LOOKUP(A815+0.01,Amounts!$A$4:$A$103,Amounts!$B$4:$B$103)*0.1*$A$2</f>
        <v>0</v>
      </c>
      <c r="C815" s="68">
        <f t="shared" si="79"/>
        <v>902907.24633514904</v>
      </c>
      <c r="D815" s="67">
        <f t="array" ref="D815">SUM($B$7:$B810*$F$1009*EXP(-$F$1009*($A815-$A$7:$A810)))*$F$1010</f>
        <v>2123361.5671265377</v>
      </c>
      <c r="E815" s="67">
        <f t="shared" si="77"/>
        <v>4.0480013772383225</v>
      </c>
      <c r="F815" s="70">
        <f t="shared" si="81"/>
        <v>0.24579464362591094</v>
      </c>
      <c r="G815" s="67">
        <f>E815/'Lookup Tables'!$C$48</f>
        <v>8.0960027544766451</v>
      </c>
      <c r="H815" s="70">
        <f t="shared" si="78"/>
        <v>2.3564209197704344E-3</v>
      </c>
      <c r="I815" s="71">
        <f t="shared" si="82"/>
        <v>1.165824396644637E-2</v>
      </c>
      <c r="L815" s="74"/>
      <c r="M815" s="74"/>
      <c r="N815" s="74"/>
      <c r="O815" s="74"/>
      <c r="P815" s="74"/>
      <c r="Q815" s="74"/>
      <c r="R815" s="74"/>
      <c r="S815" s="74"/>
      <c r="T815" s="74"/>
      <c r="U815" s="74"/>
      <c r="V815" s="74"/>
      <c r="W815" s="74"/>
      <c r="X815" s="74"/>
      <c r="Y815" s="74"/>
      <c r="Z815" s="74"/>
    </row>
    <row r="816" spans="1:26" x14ac:dyDescent="0.3">
      <c r="A816" s="66">
        <f t="shared" si="80"/>
        <v>2070.8999999999264</v>
      </c>
      <c r="B816" s="67">
        <f>LOOKUP(A816+0.01,Amounts!$A$4:$A$103,Amounts!$B$4:$B$103)*0.1*$A$2</f>
        <v>0</v>
      </c>
      <c r="C816" s="68">
        <f t="shared" si="79"/>
        <v>902907.24633514904</v>
      </c>
      <c r="D816" s="67">
        <f t="array" ref="D816">SUM($B$7:$B811*$F$1009*EXP(-$F$1009*($A816-$A$7:$A811)))*$F$1010</f>
        <v>2108549.9373416849</v>
      </c>
      <c r="E816" s="67">
        <f t="shared" si="77"/>
        <v>4.0197643126250799</v>
      </c>
      <c r="F816" s="70">
        <f t="shared" si="81"/>
        <v>0.24408008906259487</v>
      </c>
      <c r="G816" s="67">
        <f>E816/'Lookup Tables'!$C$48</f>
        <v>8.0395286252501599</v>
      </c>
      <c r="H816" s="70">
        <f t="shared" si="78"/>
        <v>2.3399835711712729E-3</v>
      </c>
      <c r="I816" s="71">
        <f t="shared" si="82"/>
        <v>1.157692122036023E-2</v>
      </c>
      <c r="L816" s="74"/>
      <c r="M816" s="74"/>
      <c r="N816" s="74"/>
      <c r="O816" s="74"/>
      <c r="P816" s="74"/>
      <c r="Q816" s="74"/>
      <c r="R816" s="74"/>
      <c r="S816" s="74"/>
      <c r="T816" s="74"/>
      <c r="U816" s="74"/>
      <c r="V816" s="74"/>
      <c r="W816" s="74"/>
      <c r="X816" s="74"/>
      <c r="Y816" s="74"/>
      <c r="Z816" s="74"/>
    </row>
    <row r="817" spans="1:26" x14ac:dyDescent="0.3">
      <c r="A817" s="66">
        <f t="shared" si="80"/>
        <v>2070.9999999999263</v>
      </c>
      <c r="B817" s="67">
        <f>LOOKUP(A817+0.01,Amounts!$A$4:$A$103,Amounts!$B$4:$B$103)*0.1*$A$2</f>
        <v>0</v>
      </c>
      <c r="C817" s="68">
        <f t="shared" si="79"/>
        <v>902907.24633514904</v>
      </c>
      <c r="D817" s="67">
        <f t="array" ref="D817">SUM($B$7:$B812*$F$1009*EXP(-$F$1009*($A817-$A$7:$A812)))*$F$1010</f>
        <v>2093841.6269256477</v>
      </c>
      <c r="E817" s="67">
        <f t="shared" si="77"/>
        <v>3.9917242172674436</v>
      </c>
      <c r="F817" s="70">
        <f t="shared" si="81"/>
        <v>0.24237749447247917</v>
      </c>
      <c r="G817" s="67">
        <f>E817/'Lookup Tables'!$C$48</f>
        <v>7.9834484345348873</v>
      </c>
      <c r="H817" s="70">
        <f t="shared" si="78"/>
        <v>2.3236608822352891E-3</v>
      </c>
      <c r="I817" s="71">
        <f t="shared" si="82"/>
        <v>1.1496165745730237E-2</v>
      </c>
      <c r="L817" s="74"/>
      <c r="M817" s="74"/>
      <c r="N817" s="74"/>
      <c r="O817" s="74"/>
      <c r="P817" s="74"/>
      <c r="Q817" s="74"/>
      <c r="R817" s="74"/>
      <c r="S817" s="74"/>
      <c r="T817" s="74"/>
      <c r="U817" s="74"/>
      <c r="V817" s="74"/>
      <c r="W817" s="74"/>
      <c r="X817" s="74"/>
      <c r="Y817" s="74"/>
      <c r="Z817" s="74"/>
    </row>
    <row r="818" spans="1:26" x14ac:dyDescent="0.3">
      <c r="A818" s="66">
        <f t="shared" si="80"/>
        <v>2071.0999999999262</v>
      </c>
      <c r="B818" s="67">
        <f>LOOKUP(A818+0.01,Amounts!$A$4:$A$103,Amounts!$B$4:$B$103)*0.1*$A$2</f>
        <v>0</v>
      </c>
      <c r="C818" s="68">
        <f t="shared" si="79"/>
        <v>902907.24633514904</v>
      </c>
      <c r="D818" s="67">
        <f t="array" ref="D818">SUM($B$7:$B813*$F$1009*EXP(-$F$1009*($A818-$A$7:$A813)))*$F$1010</f>
        <v>2079235.915168273</v>
      </c>
      <c r="E818" s="67">
        <f t="shared" si="77"/>
        <v>3.9638797171951321</v>
      </c>
      <c r="F818" s="70">
        <f t="shared" si="81"/>
        <v>0.24068677642808839</v>
      </c>
      <c r="G818" s="67">
        <f>E818/'Lookup Tables'!$C$48</f>
        <v>7.9277594343902642</v>
      </c>
      <c r="H818" s="70">
        <f t="shared" si="78"/>
        <v>2.3074520531474628E-3</v>
      </c>
      <c r="I818" s="71">
        <f t="shared" si="82"/>
        <v>1.1415973585521981E-2</v>
      </c>
      <c r="L818" s="74"/>
      <c r="M818" s="74"/>
      <c r="N818" s="74"/>
      <c r="O818" s="74"/>
      <c r="P818" s="74"/>
      <c r="Q818" s="74"/>
      <c r="R818" s="74"/>
      <c r="S818" s="74"/>
      <c r="T818" s="74"/>
      <c r="U818" s="74"/>
      <c r="V818" s="74"/>
      <c r="W818" s="74"/>
      <c r="X818" s="74"/>
      <c r="Y818" s="74"/>
      <c r="Z818" s="74"/>
    </row>
    <row r="819" spans="1:26" x14ac:dyDescent="0.3">
      <c r="A819" s="66">
        <f t="shared" si="80"/>
        <v>2071.1999999999261</v>
      </c>
      <c r="B819" s="67">
        <f>LOOKUP(A819+0.01,Amounts!$A$4:$A$103,Amounts!$B$4:$B$103)*0.1*$A$2</f>
        <v>0</v>
      </c>
      <c r="C819" s="68">
        <f t="shared" si="79"/>
        <v>902907.24633514904</v>
      </c>
      <c r="D819" s="67">
        <f t="array" ref="D819">SUM($B$7:$B814*$F$1009*EXP(-$F$1009*($A819-$A$7:$A814)))*$F$1010</f>
        <v>2064732.086386763</v>
      </c>
      <c r="E819" s="67">
        <f t="shared" si="77"/>
        <v>3.936229448022071</v>
      </c>
      <c r="F819" s="70">
        <f t="shared" si="81"/>
        <v>0.23900785208390016</v>
      </c>
      <c r="G819" s="67">
        <f>E819/'Lookup Tables'!$C$48</f>
        <v>7.872458896044142</v>
      </c>
      <c r="H819" s="70">
        <f t="shared" si="78"/>
        <v>2.2913562896719236E-3</v>
      </c>
      <c r="I819" s="71">
        <f t="shared" si="82"/>
        <v>1.1336340810303566E-2</v>
      </c>
      <c r="L819" s="74"/>
      <c r="M819" s="74"/>
      <c r="N819" s="74"/>
      <c r="O819" s="74"/>
      <c r="P819" s="74"/>
      <c r="Q819" s="74"/>
      <c r="R819" s="74"/>
      <c r="S819" s="74"/>
      <c r="T819" s="74"/>
      <c r="U819" s="74"/>
      <c r="V819" s="74"/>
      <c r="W819" s="74"/>
      <c r="X819" s="74"/>
      <c r="Y819" s="74"/>
      <c r="Z819" s="74"/>
    </row>
    <row r="820" spans="1:26" x14ac:dyDescent="0.3">
      <c r="A820" s="66">
        <f t="shared" si="80"/>
        <v>2071.2999999999261</v>
      </c>
      <c r="B820" s="67">
        <f>LOOKUP(A820+0.01,Amounts!$A$4:$A$103,Amounts!$B$4:$B$103)*0.1*$A$2</f>
        <v>0</v>
      </c>
      <c r="C820" s="68">
        <f t="shared" si="79"/>
        <v>902907.24633514904</v>
      </c>
      <c r="D820" s="67">
        <f t="array" ref="D820">SUM($B$7:$B815*$F$1009*EXP(-$F$1009*($A820-$A$7:$A815)))*$F$1010</f>
        <v>2050329.4298906047</v>
      </c>
      <c r="E820" s="67">
        <f t="shared" si="77"/>
        <v>3.9087720548795373</v>
      </c>
      <c r="F820" s="70">
        <f t="shared" si="81"/>
        <v>0.23734063917228551</v>
      </c>
      <c r="G820" s="67">
        <f>E820/'Lookup Tables'!$C$48</f>
        <v>7.8175441097590745</v>
      </c>
      <c r="H820" s="70">
        <f t="shared" si="78"/>
        <v>2.2753728031130408E-3</v>
      </c>
      <c r="I820" s="71">
        <f t="shared" si="82"/>
        <v>1.1257263518053067E-2</v>
      </c>
      <c r="L820" s="74"/>
      <c r="M820" s="74"/>
      <c r="N820" s="74"/>
      <c r="O820" s="74"/>
      <c r="P820" s="74"/>
      <c r="Q820" s="74"/>
      <c r="R820" s="74"/>
      <c r="S820" s="74"/>
      <c r="T820" s="74"/>
      <c r="U820" s="74"/>
      <c r="V820" s="74"/>
      <c r="W820" s="74"/>
      <c r="X820" s="74"/>
      <c r="Y820" s="74"/>
      <c r="Z820" s="74"/>
    </row>
    <row r="821" spans="1:26" x14ac:dyDescent="0.3">
      <c r="A821" s="66">
        <f t="shared" si="80"/>
        <v>2071.399999999926</v>
      </c>
      <c r="B821" s="67">
        <f>LOOKUP(A821+0.01,Amounts!$A$4:$A$103,Amounts!$B$4:$B$103)*0.1*$A$2</f>
        <v>0</v>
      </c>
      <c r="C821" s="68">
        <f t="shared" si="79"/>
        <v>902907.24633514904</v>
      </c>
      <c r="D821" s="67">
        <f t="array" ref="D821">SUM($B$7:$B816*$F$1009*EXP(-$F$1009*($A821-$A$7:$A816)))*$F$1010</f>
        <v>2036027.2399467481</v>
      </c>
      <c r="E821" s="67">
        <f t="shared" si="77"/>
        <v>3.8815061923497742</v>
      </c>
      <c r="F821" s="70">
        <f t="shared" si="81"/>
        <v>0.23568505599947828</v>
      </c>
      <c r="G821" s="67">
        <f>E821/'Lookup Tables'!$C$48</f>
        <v>7.7630123846995485</v>
      </c>
      <c r="H821" s="70">
        <f t="shared" si="78"/>
        <v>2.2595008102767752E-3</v>
      </c>
      <c r="I821" s="71">
        <f t="shared" si="82"/>
        <v>1.1178737833967349E-2</v>
      </c>
      <c r="L821" s="74"/>
      <c r="M821" s="74"/>
      <c r="N821" s="74"/>
      <c r="O821" s="74"/>
      <c r="P821" s="74"/>
      <c r="Q821" s="74"/>
      <c r="R821" s="74"/>
      <c r="S821" s="74"/>
      <c r="T821" s="74"/>
      <c r="U821" s="74"/>
      <c r="V821" s="74"/>
      <c r="W821" s="74"/>
      <c r="X821" s="74"/>
      <c r="Y821" s="74"/>
      <c r="Z821" s="74"/>
    </row>
    <row r="822" spans="1:26" x14ac:dyDescent="0.3">
      <c r="A822" s="66">
        <f t="shared" si="80"/>
        <v>2071.4999999999259</v>
      </c>
      <c r="B822" s="67">
        <f>LOOKUP(A822+0.01,Amounts!$A$4:$A$103,Amounts!$B$4:$B$103)*0.1*$A$2</f>
        <v>0</v>
      </c>
      <c r="C822" s="68">
        <f t="shared" si="79"/>
        <v>902907.24633514904</v>
      </c>
      <c r="D822" s="67">
        <f t="array" ref="D822">SUM($B$7:$B817*$F$1009*EXP(-$F$1009*($A822-$A$7:$A817)))*$F$1010</f>
        <v>2021824.8157450254</v>
      </c>
      <c r="E822" s="67">
        <f t="shared" si="77"/>
        <v>3.8544305244000627</v>
      </c>
      <c r="F822" s="70">
        <f t="shared" si="81"/>
        <v>0.23404102144157179</v>
      </c>
      <c r="G822" s="67">
        <f>E822/'Lookup Tables'!$C$48</f>
        <v>7.7088610488001255</v>
      </c>
      <c r="H822" s="70">
        <f t="shared" si="78"/>
        <v>2.2437395334323029E-3</v>
      </c>
      <c r="I822" s="71">
        <f t="shared" si="82"/>
        <v>1.1100759910272181E-2</v>
      </c>
      <c r="L822" s="74"/>
      <c r="M822" s="74"/>
      <c r="N822" s="74"/>
      <c r="O822" s="74"/>
      <c r="P822" s="74"/>
      <c r="Q822" s="74"/>
      <c r="R822" s="74"/>
      <c r="S822" s="74"/>
      <c r="T822" s="74"/>
      <c r="U822" s="74"/>
      <c r="V822" s="74"/>
      <c r="W822" s="74"/>
      <c r="X822" s="74"/>
      <c r="Y822" s="74"/>
      <c r="Z822" s="74"/>
    </row>
    <row r="823" spans="1:26" x14ac:dyDescent="0.3">
      <c r="A823" s="66">
        <f t="shared" si="80"/>
        <v>2071.5999999999258</v>
      </c>
      <c r="B823" s="67">
        <f>LOOKUP(A823+0.01,Amounts!$A$4:$A$103,Amounts!$B$4:$B$103)*0.1*$A$2</f>
        <v>0</v>
      </c>
      <c r="C823" s="68">
        <f t="shared" si="79"/>
        <v>902907.24633514904</v>
      </c>
      <c r="D823" s="67">
        <f t="array" ref="D823">SUM($B$7:$B818*$F$1009*EXP(-$F$1009*($A823-$A$7:$A818)))*$F$1010</f>
        <v>2007721.4613638071</v>
      </c>
      <c r="E823" s="67">
        <f t="shared" si="77"/>
        <v>3.8275437243172536</v>
      </c>
      <c r="F823" s="70">
        <f t="shared" si="81"/>
        <v>0.23240845494054366</v>
      </c>
      <c r="G823" s="67">
        <f>E823/'Lookup Tables'!$C$48</f>
        <v>7.6550874486345073</v>
      </c>
      <c r="H823" s="70">
        <f t="shared" si="78"/>
        <v>2.2280882002739038E-3</v>
      </c>
      <c r="I823" s="71">
        <f t="shared" si="82"/>
        <v>1.1023325926033691E-2</v>
      </c>
      <c r="L823" s="74"/>
      <c r="M823" s="74"/>
      <c r="N823" s="74"/>
      <c r="O823" s="74"/>
      <c r="P823" s="74"/>
      <c r="Q823" s="74"/>
      <c r="R823" s="74"/>
      <c r="S823" s="74"/>
      <c r="T823" s="74"/>
      <c r="U823" s="74"/>
      <c r="V823" s="74"/>
      <c r="W823" s="74"/>
      <c r="X823" s="74"/>
      <c r="Y823" s="74"/>
      <c r="Z823" s="74"/>
    </row>
    <row r="824" spans="1:26" x14ac:dyDescent="0.3">
      <c r="A824" s="66">
        <f t="shared" si="80"/>
        <v>2071.6999999999257</v>
      </c>
      <c r="B824" s="67">
        <f>LOOKUP(A824+0.01,Amounts!$A$4:$A$103,Amounts!$B$4:$B$103)*0.1*$A$2</f>
        <v>0</v>
      </c>
      <c r="C824" s="68">
        <f t="shared" si="79"/>
        <v>902907.24633514904</v>
      </c>
      <c r="D824" s="67">
        <f t="array" ref="D824">SUM($B$7:$B819*$F$1009*EXP(-$F$1009*($A824-$A$7:$A819)))*$F$1010</f>
        <v>1993716.4857359079</v>
      </c>
      <c r="E824" s="67">
        <f t="shared" si="77"/>
        <v>3.8008444746427648</v>
      </c>
      <c r="F824" s="70">
        <f t="shared" si="81"/>
        <v>0.23078727650030867</v>
      </c>
      <c r="G824" s="67">
        <f>E824/'Lookup Tables'!$C$48</f>
        <v>7.6016889492855295</v>
      </c>
      <c r="H824" s="70">
        <f t="shared" si="78"/>
        <v>2.2125460438831217E-3</v>
      </c>
      <c r="I824" s="71">
        <f t="shared" si="82"/>
        <v>1.0946432086971164E-2</v>
      </c>
      <c r="L824" s="74"/>
      <c r="M824" s="74"/>
      <c r="N824" s="74"/>
      <c r="O824" s="74"/>
      <c r="P824" s="74"/>
      <c r="Q824" s="74"/>
      <c r="R824" s="74"/>
      <c r="S824" s="74"/>
      <c r="T824" s="74"/>
      <c r="U824" s="74"/>
      <c r="V824" s="74"/>
      <c r="W824" s="74"/>
      <c r="X824" s="74"/>
      <c r="Y824" s="74"/>
      <c r="Z824" s="74"/>
    </row>
    <row r="825" spans="1:26" x14ac:dyDescent="0.3">
      <c r="A825" s="66">
        <f t="shared" si="80"/>
        <v>2071.7999999999256</v>
      </c>
      <c r="B825" s="67">
        <f>LOOKUP(A825+0.01,Amounts!$A$4:$A$103,Amounts!$B$4:$B$103)*0.1*$A$2</f>
        <v>0</v>
      </c>
      <c r="C825" s="68">
        <f t="shared" si="79"/>
        <v>902907.24633514904</v>
      </c>
      <c r="D825" s="67">
        <f t="array" ref="D825">SUM($B$7:$B820*$F$1009*EXP(-$F$1009*($A825-$A$7:$A820)))*$F$1010</f>
        <v>1979809.2026147197</v>
      </c>
      <c r="E825" s="67">
        <f t="shared" si="77"/>
        <v>3.7743314671080204</v>
      </c>
      <c r="F825" s="70">
        <f t="shared" si="81"/>
        <v>0.22917740668279898</v>
      </c>
      <c r="G825" s="67">
        <f>E825/'Lookup Tables'!$C$48</f>
        <v>7.5486629342160407</v>
      </c>
      <c r="H825" s="70">
        <f t="shared" si="78"/>
        <v>2.1971123026911844E-3</v>
      </c>
      <c r="I825" s="71">
        <f t="shared" si="82"/>
        <v>1.0870074625271099E-2</v>
      </c>
      <c r="L825" s="74"/>
      <c r="M825" s="74"/>
      <c r="N825" s="74"/>
      <c r="O825" s="74"/>
      <c r="P825" s="74"/>
      <c r="Q825" s="74"/>
      <c r="R825" s="74"/>
      <c r="S825" s="74"/>
      <c r="T825" s="74"/>
      <c r="U825" s="74"/>
      <c r="V825" s="74"/>
      <c r="W825" s="74"/>
      <c r="X825" s="74"/>
      <c r="Y825" s="74"/>
      <c r="Z825" s="74"/>
    </row>
    <row r="826" spans="1:26" x14ac:dyDescent="0.3">
      <c r="A826" s="66">
        <f t="shared" si="80"/>
        <v>2071.8999999999255</v>
      </c>
      <c r="B826" s="67">
        <f>LOOKUP(A826+0.01,Amounts!$A$4:$A$103,Amounts!$B$4:$B$103)*0.1*$A$2</f>
        <v>0</v>
      </c>
      <c r="C826" s="68">
        <f t="shared" si="79"/>
        <v>902907.24633514904</v>
      </c>
      <c r="D826" s="67">
        <f t="array" ref="D826">SUM($B$7:$B821*$F$1009*EXP(-$F$1009*($A826-$A$7:$A821)))*$F$1010</f>
        <v>1965998.9305405871</v>
      </c>
      <c r="E826" s="67">
        <f t="shared" si="77"/>
        <v>3.7480034025703457</v>
      </c>
      <c r="F826" s="70">
        <f t="shared" si="81"/>
        <v>0.22757876660407139</v>
      </c>
      <c r="G826" s="67">
        <f>E826/'Lookup Tables'!$C$48</f>
        <v>7.4960068051406914</v>
      </c>
      <c r="H826" s="70">
        <f t="shared" si="78"/>
        <v>2.1817862204416838E-3</v>
      </c>
      <c r="I826" s="71">
        <f t="shared" si="82"/>
        <v>1.0794249799402595E-2</v>
      </c>
      <c r="L826" s="74"/>
      <c r="M826" s="74"/>
      <c r="N826" s="74"/>
      <c r="O826" s="74"/>
      <c r="P826" s="74"/>
      <c r="Q826" s="74"/>
      <c r="R826" s="74"/>
      <c r="S826" s="74"/>
      <c r="T826" s="74"/>
      <c r="U826" s="74"/>
      <c r="V826" s="74"/>
      <c r="W826" s="74"/>
      <c r="X826" s="74"/>
      <c r="Y826" s="74"/>
      <c r="Z826" s="74"/>
    </row>
    <row r="827" spans="1:26" x14ac:dyDescent="0.3">
      <c r="A827" s="66">
        <f t="shared" si="80"/>
        <v>2071.9999999999254</v>
      </c>
      <c r="B827" s="67">
        <f>LOOKUP(A827+0.01,Amounts!$A$4:$A$103,Amounts!$B$4:$B$103)*0.1*$A$2</f>
        <v>0</v>
      </c>
      <c r="C827" s="68">
        <f t="shared" si="79"/>
        <v>902907.24633514904</v>
      </c>
      <c r="D827" s="67">
        <f t="array" ref="D827">SUM($B$7:$B822*$F$1009*EXP(-$F$1009*($A827-$A$7:$A822)))*$F$1010</f>
        <v>1952284.9928074146</v>
      </c>
      <c r="E827" s="67">
        <f t="shared" si="77"/>
        <v>3.7218589909493103</v>
      </c>
      <c r="F827" s="70">
        <f t="shared" si="81"/>
        <v>0.22599127793044213</v>
      </c>
      <c r="G827" s="67">
        <f>E827/'Lookup Tables'!$C$48</f>
        <v>7.4437179818986206</v>
      </c>
      <c r="H827" s="70">
        <f t="shared" si="78"/>
        <v>2.1665670461535258E-3</v>
      </c>
      <c r="I827" s="71">
        <f t="shared" si="82"/>
        <v>1.0718953893934015E-2</v>
      </c>
      <c r="L827" s="74"/>
      <c r="M827" s="74"/>
      <c r="N827" s="74"/>
      <c r="O827" s="74"/>
      <c r="P827" s="74"/>
      <c r="Q827" s="74"/>
      <c r="R827" s="74"/>
      <c r="S827" s="74"/>
      <c r="T827" s="74"/>
      <c r="U827" s="74"/>
      <c r="V827" s="74"/>
      <c r="W827" s="74"/>
      <c r="X827" s="74"/>
      <c r="Y827" s="74"/>
      <c r="Z827" s="74"/>
    </row>
    <row r="828" spans="1:26" x14ac:dyDescent="0.3">
      <c r="A828" s="66">
        <f t="shared" si="80"/>
        <v>2072.0999999999253</v>
      </c>
      <c r="B828" s="67">
        <f>LOOKUP(A828+0.01,Amounts!$A$4:$A$103,Amounts!$B$4:$B$103)*0.1*$A$2</f>
        <v>0</v>
      </c>
      <c r="C828" s="68">
        <f t="shared" si="79"/>
        <v>902907.24633514904</v>
      </c>
      <c r="D828" s="67">
        <f t="array" ref="D828">SUM($B$7:$B823*$F$1009*EXP(-$F$1009*($A828-$A$7:$A823)))*$F$1010</f>
        <v>1938666.7174295096</v>
      </c>
      <c r="E828" s="67">
        <f t="shared" si="77"/>
        <v>3.695896951163514</v>
      </c>
      <c r="F828" s="70">
        <f t="shared" si="81"/>
        <v>0.2244148628746486</v>
      </c>
      <c r="G828" s="67">
        <f>E828/'Lookup Tables'!$C$48</f>
        <v>7.391793902327028</v>
      </c>
      <c r="H828" s="70">
        <f t="shared" si="78"/>
        <v>2.1514540340841228E-3</v>
      </c>
      <c r="I828" s="71">
        <f t="shared" si="82"/>
        <v>1.0644183219350921E-2</v>
      </c>
      <c r="L828" s="74"/>
      <c r="M828" s="74"/>
      <c r="N828" s="74"/>
      <c r="O828" s="74"/>
      <c r="P828" s="74"/>
      <c r="Q828" s="74"/>
      <c r="R828" s="74"/>
      <c r="S828" s="74"/>
      <c r="T828" s="74"/>
      <c r="U828" s="74"/>
      <c r="V828" s="74"/>
      <c r="W828" s="74"/>
      <c r="X828" s="74"/>
      <c r="Y828" s="74"/>
      <c r="Z828" s="74"/>
    </row>
    <row r="829" spans="1:26" x14ac:dyDescent="0.3">
      <c r="A829" s="66">
        <f t="shared" si="80"/>
        <v>2072.1999999999252</v>
      </c>
      <c r="B829" s="67">
        <f>LOOKUP(A829+0.01,Amounts!$A$4:$A$103,Amounts!$B$4:$B$103)*0.1*$A$2</f>
        <v>0</v>
      </c>
      <c r="C829" s="68">
        <f t="shared" si="79"/>
        <v>902907.24633514904</v>
      </c>
      <c r="D829" s="67">
        <f t="array" ref="D829">SUM($B$7:$B824*$F$1009*EXP(-$F$1009*($A829-$A$7:$A824)))*$F$1010</f>
        <v>1925143.4371086543</v>
      </c>
      <c r="E829" s="67">
        <f t="shared" si="77"/>
        <v>3.6701160110678135</v>
      </c>
      <c r="F829" s="70">
        <f t="shared" si="81"/>
        <v>0.22284944419203764</v>
      </c>
      <c r="G829" s="67">
        <f>E829/'Lookup Tables'!$C$48</f>
        <v>7.340232022135627</v>
      </c>
      <c r="H829" s="70">
        <f t="shared" si="78"/>
        <v>2.1364464436928604E-3</v>
      </c>
      <c r="I829" s="71">
        <f t="shared" si="82"/>
        <v>1.0569934111875304E-2</v>
      </c>
      <c r="L829" s="74"/>
      <c r="M829" s="74"/>
      <c r="N829" s="74"/>
      <c r="O829" s="74"/>
      <c r="P829" s="74"/>
      <c r="Q829" s="74"/>
      <c r="R829" s="74"/>
      <c r="S829" s="74"/>
      <c r="T829" s="74"/>
      <c r="U829" s="74"/>
      <c r="V829" s="74"/>
      <c r="W829" s="74"/>
      <c r="X829" s="74"/>
      <c r="Y829" s="74"/>
      <c r="Z829" s="74"/>
    </row>
    <row r="830" spans="1:26" x14ac:dyDescent="0.3">
      <c r="A830" s="66">
        <f t="shared" si="80"/>
        <v>2072.2999999999251</v>
      </c>
      <c r="B830" s="67">
        <f>LOOKUP(A830+0.01,Amounts!$A$4:$A$103,Amounts!$B$4:$B$103)*0.1*$A$2</f>
        <v>0</v>
      </c>
      <c r="C830" s="68">
        <f t="shared" si="79"/>
        <v>902907.24633514904</v>
      </c>
      <c r="D830" s="67">
        <f t="array" ref="D830">SUM($B$7:$B825*$F$1009*EXP(-$F$1009*($A830-$A$7:$A825)))*$F$1010</f>
        <v>1911714.4892014067</v>
      </c>
      <c r="E830" s="67">
        <f t="shared" si="77"/>
        <v>3.644514907390985</v>
      </c>
      <c r="F830" s="70">
        <f t="shared" si="81"/>
        <v>0.22129494517678061</v>
      </c>
      <c r="G830" s="67">
        <f>E830/'Lookup Tables'!$C$48</f>
        <v>7.2890298147819701</v>
      </c>
      <c r="H830" s="70">
        <f t="shared" si="78"/>
        <v>2.1215435396048071E-3</v>
      </c>
      <c r="I830" s="71">
        <f t="shared" si="82"/>
        <v>1.0496202933286037E-2</v>
      </c>
      <c r="L830" s="74"/>
      <c r="M830" s="74"/>
      <c r="N830" s="74"/>
      <c r="O830" s="74"/>
      <c r="P830" s="74"/>
      <c r="Q830" s="74"/>
      <c r="R830" s="74"/>
      <c r="S830" s="74"/>
      <c r="T830" s="74"/>
      <c r="U830" s="74"/>
      <c r="V830" s="74"/>
      <c r="W830" s="74"/>
      <c r="X830" s="74"/>
      <c r="Y830" s="74"/>
      <c r="Z830" s="74"/>
    </row>
    <row r="831" spans="1:26" x14ac:dyDescent="0.3">
      <c r="A831" s="66">
        <f t="shared" si="80"/>
        <v>2072.3999999999251</v>
      </c>
      <c r="B831" s="67">
        <f>LOOKUP(A831+0.01,Amounts!$A$4:$A$103,Amounts!$B$4:$B$103)*0.1*$A$2</f>
        <v>0</v>
      </c>
      <c r="C831" s="68">
        <f t="shared" si="79"/>
        <v>902907.24633514904</v>
      </c>
      <c r="D831" s="67">
        <f t="array" ref="D831">SUM($B$7:$B826*$F$1009*EXP(-$F$1009*($A831-$A$7:$A826)))*$F$1010</f>
        <v>1898379.215686633</v>
      </c>
      <c r="E831" s="67">
        <f t="shared" si="77"/>
        <v>3.6190923856738264</v>
      </c>
      <c r="F831" s="70">
        <f t="shared" si="81"/>
        <v>0.21975128965811475</v>
      </c>
      <c r="G831" s="67">
        <f>E831/'Lookup Tables'!$C$48</f>
        <v>7.2381847713476528</v>
      </c>
      <c r="H831" s="70">
        <f t="shared" si="78"/>
        <v>2.106744591574681E-3</v>
      </c>
      <c r="I831" s="71">
        <f t="shared" si="82"/>
        <v>1.042298607074062E-2</v>
      </c>
      <c r="L831" s="74"/>
      <c r="M831" s="74"/>
      <c r="N831" s="74"/>
      <c r="O831" s="74"/>
      <c r="P831" s="74"/>
      <c r="Q831" s="74"/>
      <c r="R831" s="74"/>
      <c r="S831" s="74"/>
      <c r="T831" s="74"/>
      <c r="U831" s="74"/>
      <c r="V831" s="74"/>
      <c r="W831" s="74"/>
      <c r="X831" s="74"/>
      <c r="Y831" s="74"/>
      <c r="Z831" s="74"/>
    </row>
    <row r="832" spans="1:26" x14ac:dyDescent="0.3">
      <c r="A832" s="66">
        <f t="shared" si="80"/>
        <v>2072.499999999925</v>
      </c>
      <c r="B832" s="67">
        <f>LOOKUP(A832+0.01,Amounts!$A$4:$A$103,Amounts!$B$4:$B$103)*0.1*$A$2</f>
        <v>0</v>
      </c>
      <c r="C832" s="68">
        <f t="shared" si="79"/>
        <v>902907.24633514904</v>
      </c>
      <c r="D832" s="67">
        <f t="array" ref="D832">SUM($B$7:$B827*$F$1009*EXP(-$F$1009*($A832-$A$7:$A827)))*$F$1010</f>
        <v>1885136.9631332629</v>
      </c>
      <c r="E832" s="67">
        <f t="shared" si="77"/>
        <v>3.5938472002076884</v>
      </c>
      <c r="F832" s="70">
        <f t="shared" si="81"/>
        <v>0.21821840199661083</v>
      </c>
      <c r="G832" s="67">
        <f>E832/'Lookup Tables'!$C$48</f>
        <v>7.1876944004153769</v>
      </c>
      <c r="H832" s="70">
        <f t="shared" si="78"/>
        <v>2.0920488744510671E-3</v>
      </c>
      <c r="I832" s="71">
        <f t="shared" si="82"/>
        <v>1.0350279936598143E-2</v>
      </c>
      <c r="L832" s="74"/>
      <c r="M832" s="74"/>
      <c r="N832" s="74"/>
      <c r="O832" s="74"/>
      <c r="P832" s="74"/>
      <c r="Q832" s="74"/>
      <c r="R832" s="74"/>
      <c r="S832" s="74"/>
      <c r="T832" s="74"/>
      <c r="U832" s="74"/>
      <c r="V832" s="74"/>
      <c r="W832" s="74"/>
      <c r="X832" s="74"/>
      <c r="Y832" s="74"/>
      <c r="Z832" s="74"/>
    </row>
    <row r="833" spans="1:26" x14ac:dyDescent="0.3">
      <c r="A833" s="66">
        <f t="shared" si="80"/>
        <v>2072.5999999999249</v>
      </c>
      <c r="B833" s="67">
        <f>LOOKUP(A833+0.01,Amounts!$A$4:$A$103,Amounts!$B$4:$B$103)*0.1*$A$2</f>
        <v>0</v>
      </c>
      <c r="C833" s="68">
        <f t="shared" si="79"/>
        <v>902907.24633514904</v>
      </c>
      <c r="D833" s="67">
        <f t="array" ref="D833">SUM($B$7:$B828*$F$1009*EXP(-$F$1009*($A833-$A$7:$A828)))*$F$1010</f>
        <v>1871987.0826682709</v>
      </c>
      <c r="E833" s="67">
        <f t="shared" si="77"/>
        <v>3.5687781139734289</v>
      </c>
      <c r="F833" s="70">
        <f t="shared" si="81"/>
        <v>0.21669620708046661</v>
      </c>
      <c r="G833" s="67">
        <f>E833/'Lookup Tables'!$C$48</f>
        <v>7.1375562279468578</v>
      </c>
      <c r="H833" s="70">
        <f t="shared" si="78"/>
        <v>2.0774556681408857E-3</v>
      </c>
      <c r="I833" s="71">
        <f t="shared" si="82"/>
        <v>1.0278080968243475E-2</v>
      </c>
      <c r="L833" s="74"/>
      <c r="M833" s="74"/>
      <c r="N833" s="74"/>
      <c r="O833" s="74"/>
      <c r="P833" s="74"/>
      <c r="Q833" s="74"/>
      <c r="R833" s="74"/>
      <c r="S833" s="74"/>
      <c r="T833" s="74"/>
      <c r="U833" s="74"/>
      <c r="V833" s="74"/>
      <c r="W833" s="74"/>
      <c r="X833" s="74"/>
      <c r="Y833" s="74"/>
      <c r="Z833" s="74"/>
    </row>
    <row r="834" spans="1:26" x14ac:dyDescent="0.3">
      <c r="A834" s="66">
        <f t="shared" si="80"/>
        <v>2072.6999999999248</v>
      </c>
      <c r="B834" s="67">
        <f>LOOKUP(A834+0.01,Amounts!$A$4:$A$103,Amounts!$B$4:$B$103)*0.1*$A$2</f>
        <v>0</v>
      </c>
      <c r="C834" s="68">
        <f t="shared" si="79"/>
        <v>902907.24633514904</v>
      </c>
      <c r="D834" s="67">
        <f t="array" ref="D834">SUM($B$7:$B829*$F$1009*EXP(-$F$1009*($A834-$A$7:$A829)))*$F$1010</f>
        <v>1858928.9299448831</v>
      </c>
      <c r="E834" s="67">
        <f t="shared" si="77"/>
        <v>3.5438838985808072</v>
      </c>
      <c r="F834" s="70">
        <f t="shared" si="81"/>
        <v>0.21518463032182661</v>
      </c>
      <c r="G834" s="67">
        <f>E834/'Lookup Tables'!$C$48</f>
        <v>7.0877677971616144</v>
      </c>
      <c r="H834" s="70">
        <f t="shared" si="78"/>
        <v>2.062964257574107E-3</v>
      </c>
      <c r="I834" s="71">
        <f t="shared" si="82"/>
        <v>1.0206385627912725E-2</v>
      </c>
      <c r="L834" s="74"/>
      <c r="M834" s="74"/>
      <c r="N834" s="74"/>
      <c r="O834" s="74"/>
      <c r="P834" s="74"/>
      <c r="Q834" s="74"/>
      <c r="R834" s="74"/>
      <c r="S834" s="74"/>
      <c r="T834" s="74"/>
      <c r="U834" s="74"/>
      <c r="V834" s="74"/>
      <c r="W834" s="74"/>
      <c r="X834" s="74"/>
      <c r="Y834" s="74"/>
      <c r="Z834" s="74"/>
    </row>
    <row r="835" spans="1:26" x14ac:dyDescent="0.3">
      <c r="A835" s="66">
        <f t="shared" si="80"/>
        <v>2072.7999999999247</v>
      </c>
      <c r="B835" s="67">
        <f>LOOKUP(A835+0.01,Amounts!$A$4:$A$103,Amounts!$B$4:$B$103)*0.1*$A$2</f>
        <v>0</v>
      </c>
      <c r="C835" s="68">
        <f t="shared" si="79"/>
        <v>902907.24633514904</v>
      </c>
      <c r="D835" s="67">
        <f t="array" ref="D835">SUM($B$7:$B830*$F$1009*EXP(-$F$1009*($A835-$A$7:$A830)))*$F$1010</f>
        <v>1845961.8651110041</v>
      </c>
      <c r="E835" s="67">
        <f t="shared" si="77"/>
        <v>3.5191633342082902</v>
      </c>
      <c r="F835" s="70">
        <f t="shared" si="81"/>
        <v>0.21368359765312739</v>
      </c>
      <c r="G835" s="67">
        <f>E835/'Lookup Tables'!$C$48</f>
        <v>7.0383266684165804</v>
      </c>
      <c r="H835" s="70">
        <f t="shared" si="78"/>
        <v>2.0485739326687158E-3</v>
      </c>
      <c r="I835" s="71">
        <f t="shared" si="82"/>
        <v>1.0135190402519876E-2</v>
      </c>
      <c r="L835" s="74"/>
      <c r="M835" s="74"/>
      <c r="N835" s="74"/>
      <c r="O835" s="74"/>
      <c r="P835" s="74"/>
      <c r="Q835" s="74"/>
      <c r="R835" s="74"/>
      <c r="S835" s="74"/>
      <c r="T835" s="74"/>
      <c r="U835" s="74"/>
      <c r="V835" s="74"/>
      <c r="W835" s="74"/>
      <c r="X835" s="74"/>
      <c r="Y835" s="74"/>
      <c r="Z835" s="74"/>
    </row>
    <row r="836" spans="1:26" x14ac:dyDescent="0.3">
      <c r="A836" s="66">
        <f t="shared" si="80"/>
        <v>2072.8999999999246</v>
      </c>
      <c r="B836" s="67">
        <f>LOOKUP(A836+0.01,Amounts!$A$4:$A$103,Amounts!$B$4:$B$103)*0.1*$A$2</f>
        <v>0</v>
      </c>
      <c r="C836" s="68">
        <f t="shared" si="79"/>
        <v>902907.24633514904</v>
      </c>
      <c r="D836" s="67">
        <f t="array" ref="D836">SUM($B$7:$B831*$F$1009*EXP(-$F$1009*($A836-$A$7:$A831)))*$F$1010</f>
        <v>1833085.2527778628</v>
      </c>
      <c r="E836" s="67">
        <f t="shared" si="77"/>
        <v>3.494615209543277</v>
      </c>
      <c r="F836" s="70">
        <f t="shared" si="81"/>
        <v>0.21219303552346777</v>
      </c>
      <c r="G836" s="67">
        <f>E836/'Lookup Tables'!$C$48</f>
        <v>6.989230419086554</v>
      </c>
      <c r="H836" s="70">
        <f t="shared" si="78"/>
        <v>2.0342839882959121E-3</v>
      </c>
      <c r="I836" s="71">
        <f t="shared" si="82"/>
        <v>1.0064491803484638E-2</v>
      </c>
      <c r="L836" s="74"/>
      <c r="M836" s="74"/>
      <c r="N836" s="74"/>
      <c r="O836" s="74"/>
      <c r="P836" s="74"/>
      <c r="Q836" s="74"/>
      <c r="R836" s="74"/>
      <c r="S836" s="74"/>
      <c r="T836" s="74"/>
      <c r="U836" s="74"/>
      <c r="V836" s="74"/>
      <c r="W836" s="74"/>
      <c r="X836" s="74"/>
      <c r="Y836" s="74"/>
      <c r="Z836" s="74"/>
    </row>
    <row r="837" spans="1:26" x14ac:dyDescent="0.3">
      <c r="A837" s="66">
        <f t="shared" si="80"/>
        <v>2072.9999999999245</v>
      </c>
      <c r="B837" s="67">
        <f>LOOKUP(A837+0.01,Amounts!$A$4:$A$103,Amounts!$B$4:$B$103)*0.1*$A$2</f>
        <v>0</v>
      </c>
      <c r="C837" s="68">
        <f t="shared" si="79"/>
        <v>902907.24633514904</v>
      </c>
      <c r="D837" s="67">
        <f t="array" ref="D837">SUM($B$7:$B832*$F$1009*EXP(-$F$1009*($A837-$A$7:$A832)))*$F$1010</f>
        <v>1820298.4619888777</v>
      </c>
      <c r="E837" s="67">
        <f t="shared" si="77"/>
        <v>3.4702383217227464</v>
      </c>
      <c r="F837" s="70">
        <f t="shared" si="81"/>
        <v>0.21071287089500515</v>
      </c>
      <c r="G837" s="67">
        <f>E837/'Lookup Tables'!$C$48</f>
        <v>6.9404766434454928</v>
      </c>
      <c r="H837" s="70">
        <f t="shared" si="78"/>
        <v>2.0200937242455612E-3</v>
      </c>
      <c r="I837" s="71">
        <f t="shared" si="82"/>
        <v>9.9942863665615101E-3</v>
      </c>
      <c r="L837" s="74"/>
      <c r="M837" s="74"/>
      <c r="N837" s="74"/>
      <c r="O837" s="74"/>
      <c r="P837" s="74"/>
      <c r="Q837" s="74"/>
      <c r="R837" s="74"/>
      <c r="S837" s="74"/>
      <c r="T837" s="74"/>
      <c r="U837" s="74"/>
      <c r="V837" s="74"/>
      <c r="W837" s="74"/>
      <c r="X837" s="74"/>
      <c r="Y837" s="74"/>
      <c r="Z837" s="74"/>
    </row>
    <row r="838" spans="1:26" x14ac:dyDescent="0.3">
      <c r="A838" s="66">
        <f t="shared" si="80"/>
        <v>2073.0999999999244</v>
      </c>
      <c r="B838" s="67">
        <f>LOOKUP(A838+0.01,Amounts!$A$4:$A$103,Amounts!$B$4:$B$103)*0.1*$A$2</f>
        <v>0</v>
      </c>
      <c r="C838" s="68">
        <f t="shared" si="79"/>
        <v>902907.24633514904</v>
      </c>
      <c r="D838" s="67">
        <f t="array" ref="D838">SUM($B$7:$B833*$F$1009*EXP(-$F$1009*($A838-$A$7:$A833)))*$F$1010</f>
        <v>1807600.8661887418</v>
      </c>
      <c r="E838" s="67">
        <f t="shared" si="77"/>
        <v>3.4460314762743174</v>
      </c>
      <c r="F838" s="70">
        <f t="shared" si="81"/>
        <v>0.20924303123937657</v>
      </c>
      <c r="G838" s="67">
        <f>E838/'Lookup Tables'!$C$48</f>
        <v>6.8920629525486348</v>
      </c>
      <c r="H838" s="70">
        <f t="shared" si="78"/>
        <v>2.0060024451918857E-3</v>
      </c>
      <c r="I838" s="71">
        <f t="shared" si="82"/>
        <v>9.9245706516700345E-3</v>
      </c>
      <c r="L838" s="74"/>
      <c r="M838" s="74"/>
      <c r="N838" s="74"/>
      <c r="O838" s="74"/>
      <c r="P838" s="74"/>
      <c r="Q838" s="74"/>
      <c r="R838" s="74"/>
      <c r="S838" s="74"/>
      <c r="T838" s="74"/>
      <c r="U838" s="74"/>
      <c r="V838" s="74"/>
      <c r="W838" s="74"/>
      <c r="X838" s="74"/>
      <c r="Y838" s="74"/>
      <c r="Z838" s="74"/>
    </row>
    <row r="839" spans="1:26" x14ac:dyDescent="0.3">
      <c r="A839" s="66">
        <f t="shared" si="80"/>
        <v>2073.1999999999243</v>
      </c>
      <c r="B839" s="67">
        <f>LOOKUP(A839+0.01,Amounts!$A$4:$A$103,Amounts!$B$4:$B$103)*0.1*$A$2</f>
        <v>0</v>
      </c>
      <c r="C839" s="68">
        <f t="shared" si="79"/>
        <v>902907.24633514904</v>
      </c>
      <c r="D839" s="67">
        <f t="array" ref="D839">SUM($B$7:$B834*$F$1009*EXP(-$F$1009*($A839-$A$7:$A834)))*$F$1010</f>
        <v>1794991.8431927201</v>
      </c>
      <c r="E839" s="67">
        <f t="shared" ref="E839:E902" si="83">D839/(365*24*60)*1.00201</f>
        <v>3.42199348705772</v>
      </c>
      <c r="F839" s="70">
        <f t="shared" si="81"/>
        <v>0.20778344453414477</v>
      </c>
      <c r="G839" s="67">
        <f>E839/'Lookup Tables'!$C$48</f>
        <v>6.84398697411544</v>
      </c>
      <c r="H839" s="70">
        <f t="shared" ref="H839:H902" si="84">G839*60*24*365/(C839*2000)</f>
        <v>1.9920094606593929E-3</v>
      </c>
      <c r="I839" s="71">
        <f t="shared" si="82"/>
        <v>9.8553412427262333E-3</v>
      </c>
      <c r="L839" s="74"/>
      <c r="M839" s="74"/>
      <c r="N839" s="74"/>
      <c r="O839" s="74"/>
      <c r="P839" s="74"/>
      <c r="Q839" s="74"/>
      <c r="R839" s="74"/>
      <c r="S839" s="74"/>
      <c r="T839" s="74"/>
      <c r="U839" s="74"/>
      <c r="V839" s="74"/>
      <c r="W839" s="74"/>
      <c r="X839" s="74"/>
      <c r="Y839" s="74"/>
      <c r="Z839" s="74"/>
    </row>
    <row r="840" spans="1:26" x14ac:dyDescent="0.3">
      <c r="A840" s="66">
        <f t="shared" si="80"/>
        <v>2073.2999999999242</v>
      </c>
      <c r="B840" s="67">
        <f>LOOKUP(A840+0.01,Amounts!$A$4:$A$103,Amounts!$B$4:$B$103)*0.1*$A$2</f>
        <v>0</v>
      </c>
      <c r="C840" s="68">
        <f t="shared" si="79"/>
        <v>902907.24633514904</v>
      </c>
      <c r="D840" s="67">
        <f t="array" ref="D840">SUM($B$7:$B835*$F$1009*EXP(-$F$1009*($A840-$A$7:$A835)))*$F$1010</f>
        <v>1782470.7751561627</v>
      </c>
      <c r="E840" s="67">
        <f t="shared" si="83"/>
        <v>3.3981231762066719</v>
      </c>
      <c r="F840" s="70">
        <f t="shared" si="81"/>
        <v>0.2063340392592691</v>
      </c>
      <c r="G840" s="67">
        <f>E840/'Lookup Tables'!$C$48</f>
        <v>6.7962463524133438</v>
      </c>
      <c r="H840" s="70">
        <f t="shared" si="84"/>
        <v>1.9781140849890392E-3</v>
      </c>
      <c r="I840" s="71">
        <f t="shared" si="82"/>
        <v>9.7865947474752146E-3</v>
      </c>
      <c r="L840" s="74"/>
      <c r="M840" s="74"/>
      <c r="N840" s="74"/>
      <c r="O840" s="74"/>
      <c r="P840" s="74"/>
      <c r="Q840" s="74"/>
      <c r="R840" s="74"/>
      <c r="S840" s="74"/>
      <c r="T840" s="74"/>
      <c r="U840" s="74"/>
      <c r="V840" s="74"/>
      <c r="W840" s="74"/>
      <c r="X840" s="74"/>
      <c r="Y840" s="74"/>
      <c r="Z840" s="74"/>
    </row>
    <row r="841" spans="1:26" x14ac:dyDescent="0.3">
      <c r="A841" s="66">
        <f t="shared" si="80"/>
        <v>2073.3999999999241</v>
      </c>
      <c r="B841" s="67">
        <f>LOOKUP(A841+0.01,Amounts!$A$4:$A$103,Amounts!$B$4:$B$103)*0.1*$A$2</f>
        <v>0</v>
      </c>
      <c r="C841" s="68">
        <f t="shared" ref="C841:C904" si="85">C840+B841</f>
        <v>902907.24633514904</v>
      </c>
      <c r="D841" s="67">
        <f t="array" ref="D841">SUM($B$7:$B836*$F$1009*EXP(-$F$1009*($A841-$A$7:$A836)))*$F$1010</f>
        <v>1770037.0485442316</v>
      </c>
      <c r="E841" s="67">
        <f t="shared" si="83"/>
        <v>3.3744193740711674</v>
      </c>
      <c r="F841" s="70">
        <f t="shared" si="81"/>
        <v>0.20489474439360128</v>
      </c>
      <c r="G841" s="67">
        <f>E841/'Lookup Tables'!$C$48</f>
        <v>6.7488387481423349</v>
      </c>
      <c r="H841" s="70">
        <f t="shared" si="84"/>
        <v>1.9643156373046395E-3</v>
      </c>
      <c r="I841" s="71">
        <f t="shared" si="82"/>
        <v>9.7183277973249618E-3</v>
      </c>
      <c r="L841" s="74"/>
      <c r="M841" s="74"/>
      <c r="N841" s="74"/>
      <c r="O841" s="74"/>
      <c r="P841" s="74"/>
      <c r="Q841" s="74"/>
      <c r="R841" s="74"/>
      <c r="S841" s="74"/>
      <c r="T841" s="74"/>
      <c r="U841" s="74"/>
      <c r="V841" s="74"/>
      <c r="W841" s="74"/>
      <c r="X841" s="74"/>
      <c r="Y841" s="74"/>
      <c r="Z841" s="74"/>
    </row>
    <row r="842" spans="1:26" x14ac:dyDescent="0.3">
      <c r="A842" s="66">
        <f t="shared" si="80"/>
        <v>2073.4999999999241</v>
      </c>
      <c r="B842" s="67">
        <f>LOOKUP(A842+0.01,Amounts!$A$4:$A$103,Amounts!$B$4:$B$103)*0.1*$A$2</f>
        <v>0</v>
      </c>
      <c r="C842" s="68">
        <f t="shared" si="85"/>
        <v>902907.24633514904</v>
      </c>
      <c r="D842" s="67">
        <f t="array" ref="D842">SUM($B$7:$B837*$F$1009*EXP(-$F$1009*($A842-$A$7:$A837)))*$F$1010</f>
        <v>1757690.0541018336</v>
      </c>
      <c r="E842" s="67">
        <f t="shared" si="83"/>
        <v>3.350880919160157</v>
      </c>
      <c r="F842" s="70">
        <f t="shared" si="81"/>
        <v>0.20346548941140474</v>
      </c>
      <c r="G842" s="67">
        <f>E842/'Lookup Tables'!$C$48</f>
        <v>6.7017618383203139</v>
      </c>
      <c r="H842" s="70">
        <f t="shared" si="84"/>
        <v>1.9506134414794944E-3</v>
      </c>
      <c r="I842" s="71">
        <f t="shared" si="82"/>
        <v>9.6505370471812527E-3</v>
      </c>
      <c r="L842" s="74"/>
      <c r="M842" s="74"/>
      <c r="N842" s="74"/>
      <c r="O842" s="74"/>
      <c r="P842" s="74"/>
      <c r="Q842" s="74"/>
      <c r="R842" s="74"/>
      <c r="S842" s="74"/>
      <c r="T842" s="74"/>
      <c r="U842" s="74"/>
      <c r="V842" s="74"/>
      <c r="W842" s="74"/>
      <c r="X842" s="74"/>
      <c r="Y842" s="74"/>
      <c r="Z842" s="74"/>
    </row>
    <row r="843" spans="1:26" x14ac:dyDescent="0.3">
      <c r="A843" s="66">
        <f t="shared" si="80"/>
        <v>2073.599999999924</v>
      </c>
      <c r="B843" s="67">
        <f>LOOKUP(A843+0.01,Amounts!$A$4:$A$103,Amounts!$B$4:$B$103)*0.1*$A$2</f>
        <v>0</v>
      </c>
      <c r="C843" s="68">
        <f t="shared" si="85"/>
        <v>902907.24633514904</v>
      </c>
      <c r="D843" s="67">
        <f t="array" ref="D843">SUM($B$7:$B838*$F$1009*EXP(-$F$1009*($A843-$A$7:$A838)))*$F$1010</f>
        <v>1745429.1868237725</v>
      </c>
      <c r="E843" s="67">
        <f t="shared" si="83"/>
        <v>3.3275066580846433</v>
      </c>
      <c r="F843" s="70">
        <f t="shared" si="81"/>
        <v>0.20204620427889952</v>
      </c>
      <c r="G843" s="67">
        <f>E843/'Lookup Tables'!$C$48</f>
        <v>6.6550133161692866</v>
      </c>
      <c r="H843" s="70">
        <f t="shared" si="84"/>
        <v>1.9370068261032676E-3</v>
      </c>
      <c r="I843" s="71">
        <f t="shared" si="82"/>
        <v>9.5832191752837723E-3</v>
      </c>
      <c r="L843" s="74"/>
      <c r="M843" s="74"/>
      <c r="N843" s="74"/>
      <c r="O843" s="74"/>
      <c r="P843" s="74"/>
      <c r="Q843" s="74"/>
      <c r="R843" s="74"/>
      <c r="S843" s="74"/>
      <c r="T843" s="74"/>
      <c r="U843" s="74"/>
      <c r="V843" s="74"/>
      <c r="W843" s="74"/>
      <c r="X843" s="74"/>
      <c r="Y843" s="74"/>
      <c r="Z843" s="74"/>
    </row>
    <row r="844" spans="1:26" x14ac:dyDescent="0.3">
      <c r="A844" s="66">
        <f t="shared" si="80"/>
        <v>2073.6999999999239</v>
      </c>
      <c r="B844" s="67">
        <f>LOOKUP(A844+0.01,Amounts!$A$4:$A$103,Amounts!$B$4:$B$103)*0.1*$A$2</f>
        <v>0</v>
      </c>
      <c r="C844" s="68">
        <f t="shared" si="85"/>
        <v>902907.24633514904</v>
      </c>
      <c r="D844" s="67">
        <f t="array" ref="D844">SUM($B$7:$B839*$F$1009*EXP(-$F$1009*($A844-$A$7:$A839)))*$F$1010</f>
        <v>1733253.8459250978</v>
      </c>
      <c r="E844" s="67">
        <f t="shared" si="83"/>
        <v>3.3042954455011557</v>
      </c>
      <c r="F844" s="70">
        <f t="shared" si="81"/>
        <v>0.2006368194508302</v>
      </c>
      <c r="G844" s="67">
        <f>E844/'Lookup Tables'!$C$48</f>
        <v>6.6085908910023115</v>
      </c>
      <c r="H844" s="70">
        <f t="shared" si="84"/>
        <v>1.9234951244490842E-3</v>
      </c>
      <c r="I844" s="71">
        <f t="shared" si="82"/>
        <v>9.5163708830433274E-3</v>
      </c>
      <c r="L844" s="74"/>
      <c r="M844" s="74"/>
      <c r="N844" s="74"/>
      <c r="O844" s="74"/>
      <c r="P844" s="74"/>
      <c r="Q844" s="74"/>
      <c r="R844" s="74"/>
      <c r="S844" s="74"/>
      <c r="T844" s="74"/>
      <c r="U844" s="74"/>
      <c r="V844" s="74"/>
      <c r="W844" s="74"/>
      <c r="X844" s="74"/>
      <c r="Y844" s="74"/>
      <c r="Z844" s="74"/>
    </row>
    <row r="845" spans="1:26" x14ac:dyDescent="0.3">
      <c r="A845" s="66">
        <f t="shared" si="80"/>
        <v>2073.7999999999238</v>
      </c>
      <c r="B845" s="67">
        <f>LOOKUP(A845+0.01,Amounts!$A$4:$A$103,Amounts!$B$4:$B$103)*0.1*$A$2</f>
        <v>0</v>
      </c>
      <c r="C845" s="68">
        <f t="shared" si="85"/>
        <v>902907.24633514904</v>
      </c>
      <c r="D845" s="67">
        <f t="array" ref="D845">SUM($B$7:$B840*$F$1009*EXP(-$F$1009*($A845-$A$7:$A840)))*$F$1010</f>
        <v>1721163.4348116687</v>
      </c>
      <c r="E845" s="67">
        <f t="shared" si="83"/>
        <v>3.2812461440556322</v>
      </c>
      <c r="F845" s="70">
        <f t="shared" si="81"/>
        <v>0.19923726586705801</v>
      </c>
      <c r="G845" s="67">
        <f>E845/'Lookup Tables'!$C$48</f>
        <v>6.5624922881112644</v>
      </c>
      <c r="H845" s="70">
        <f t="shared" si="84"/>
        <v>1.9100776744408582E-3</v>
      </c>
      <c r="I845" s="71">
        <f t="shared" si="82"/>
        <v>9.4499888948802215E-3</v>
      </c>
      <c r="L845" s="74"/>
      <c r="M845" s="74"/>
      <c r="N845" s="74"/>
      <c r="O845" s="74"/>
      <c r="P845" s="74"/>
      <c r="Q845" s="74"/>
      <c r="R845" s="74"/>
      <c r="S845" s="74"/>
      <c r="T845" s="74"/>
      <c r="U845" s="74"/>
      <c r="V845" s="74"/>
      <c r="W845" s="74"/>
      <c r="X845" s="74"/>
      <c r="Y845" s="74"/>
      <c r="Z845" s="74"/>
    </row>
    <row r="846" spans="1:26" x14ac:dyDescent="0.3">
      <c r="A846" s="66">
        <f t="shared" si="80"/>
        <v>2073.8999999999237</v>
      </c>
      <c r="B846" s="67">
        <f>LOOKUP(A846+0.01,Amounts!$A$4:$A$103,Amounts!$B$4:$B$103)*0.1*$A$2</f>
        <v>0</v>
      </c>
      <c r="C846" s="68">
        <f t="shared" si="85"/>
        <v>902907.24633514904</v>
      </c>
      <c r="D846" s="67">
        <f t="array" ref="D846">SUM($B$7:$B841*$F$1009*EXP(-$F$1009*($A846-$A$7:$A841)))*$F$1010</f>
        <v>1709157.3610509213</v>
      </c>
      <c r="E846" s="67">
        <f t="shared" si="83"/>
        <v>3.2583576243276897</v>
      </c>
      <c r="F846" s="70">
        <f t="shared" si="81"/>
        <v>0.19784747494917732</v>
      </c>
      <c r="G846" s="67">
        <f>E846/'Lookup Tables'!$C$48</f>
        <v>6.5167152486553794</v>
      </c>
      <c r="H846" s="70">
        <f t="shared" si="84"/>
        <v>1.8967538186208538E-3</v>
      </c>
      <c r="I846" s="71">
        <f t="shared" si="82"/>
        <v>9.3840699580637465E-3</v>
      </c>
      <c r="L846" s="74"/>
      <c r="M846" s="74"/>
      <c r="N846" s="74"/>
      <c r="O846" s="74"/>
      <c r="P846" s="74"/>
      <c r="Q846" s="74"/>
      <c r="R846" s="74"/>
      <c r="S846" s="74"/>
      <c r="T846" s="74"/>
      <c r="U846" s="74"/>
      <c r="V846" s="74"/>
      <c r="W846" s="74"/>
      <c r="X846" s="74"/>
      <c r="Y846" s="74"/>
      <c r="Z846" s="74"/>
    </row>
    <row r="847" spans="1:26" x14ac:dyDescent="0.3">
      <c r="A847" s="66">
        <f t="shared" si="80"/>
        <v>2073.9999999999236</v>
      </c>
      <c r="B847" s="67">
        <f>LOOKUP(A847+0.01,Amounts!$A$4:$A$103,Amounts!$B$4:$B$103)*0.1*$A$2</f>
        <v>0</v>
      </c>
      <c r="C847" s="68">
        <f t="shared" si="85"/>
        <v>902907.24633514904</v>
      </c>
      <c r="D847" s="67">
        <f t="array" ref="D847">SUM($B$7:$B842*$F$1009*EXP(-$F$1009*($A847-$A$7:$A842)))*$F$1010</f>
        <v>1697235.0363428397</v>
      </c>
      <c r="E847" s="67">
        <f t="shared" si="83"/>
        <v>3.2356287647752833</v>
      </c>
      <c r="F847" s="70">
        <f t="shared" si="81"/>
        <v>0.19646737859715518</v>
      </c>
      <c r="G847" s="67">
        <f>E847/'Lookup Tables'!$C$48</f>
        <v>6.4712575295505665</v>
      </c>
      <c r="H847" s="70">
        <f t="shared" si="84"/>
        <v>1.8835229041174709E-3</v>
      </c>
      <c r="I847" s="71">
        <f t="shared" si="82"/>
        <v>9.3186108425528137E-3</v>
      </c>
      <c r="L847" s="74"/>
      <c r="M847" s="74"/>
      <c r="N847" s="74"/>
      <c r="O847" s="74"/>
      <c r="P847" s="74"/>
      <c r="Q847" s="74"/>
      <c r="R847" s="74"/>
      <c r="S847" s="74"/>
      <c r="T847" s="74"/>
      <c r="U847" s="74"/>
      <c r="V847" s="74"/>
      <c r="W847" s="74"/>
      <c r="X847" s="74"/>
      <c r="Y847" s="74"/>
      <c r="Z847" s="74"/>
    </row>
    <row r="848" spans="1:26" x14ac:dyDescent="0.3">
      <c r="A848" s="66">
        <f t="shared" si="80"/>
        <v>2074.0999999999235</v>
      </c>
      <c r="B848" s="67">
        <f>LOOKUP(A848+0.01,Amounts!$A$4:$A$103,Amounts!$B$4:$B$103)*0.1*$A$2</f>
        <v>0</v>
      </c>
      <c r="C848" s="68">
        <f t="shared" si="85"/>
        <v>902907.24633514904</v>
      </c>
      <c r="D848" s="67">
        <f t="array" ref="D848">SUM($B$7:$B843*$F$1009*EXP(-$F$1009*($A848-$A$7:$A843)))*$F$1010</f>
        <v>1685395.8764911285</v>
      </c>
      <c r="E848" s="67">
        <f t="shared" si="83"/>
        <v>3.2130584516797485</v>
      </c>
      <c r="F848" s="70">
        <f t="shared" si="81"/>
        <v>0.19509690918599432</v>
      </c>
      <c r="G848" s="67">
        <f>E848/'Lookup Tables'!$C$48</f>
        <v>6.4261169033594969</v>
      </c>
      <c r="H848" s="70">
        <f t="shared" si="84"/>
        <v>1.8703842826132534E-3</v>
      </c>
      <c r="I848" s="71">
        <f t="shared" si="82"/>
        <v>9.2536083408376758E-3</v>
      </c>
      <c r="L848" s="74"/>
      <c r="M848" s="74"/>
      <c r="N848" s="74"/>
      <c r="O848" s="74"/>
      <c r="P848" s="74"/>
      <c r="Q848" s="74"/>
      <c r="R848" s="74"/>
      <c r="S848" s="74"/>
      <c r="T848" s="74"/>
      <c r="U848" s="74"/>
      <c r="V848" s="74"/>
      <c r="W848" s="74"/>
      <c r="X848" s="74"/>
      <c r="Y848" s="74"/>
      <c r="Z848" s="74"/>
    </row>
    <row r="849" spans="1:26" x14ac:dyDescent="0.3">
      <c r="A849" s="66">
        <f t="shared" si="80"/>
        <v>2074.1999999999234</v>
      </c>
      <c r="B849" s="67">
        <f>LOOKUP(A849+0.01,Amounts!$A$4:$A$103,Amounts!$B$4:$B$103)*0.1*$A$2</f>
        <v>0</v>
      </c>
      <c r="C849" s="68">
        <f t="shared" si="85"/>
        <v>902907.24633514904</v>
      </c>
      <c r="D849" s="67">
        <f t="array" ref="D849">SUM($B$7:$B844*$F$1009*EXP(-$F$1009*($A849-$A$7:$A844)))*$F$1010</f>
        <v>1673639.3013745851</v>
      </c>
      <c r="E849" s="67">
        <f t="shared" si="83"/>
        <v>3.1906455790912256</v>
      </c>
      <c r="F849" s="70">
        <f t="shared" si="81"/>
        <v>0.19373599956241921</v>
      </c>
      <c r="G849" s="67">
        <f>E849/'Lookup Tables'!$C$48</f>
        <v>6.3812911581824512</v>
      </c>
      <c r="H849" s="70">
        <f t="shared" si="84"/>
        <v>1.8573373103131165E-3</v>
      </c>
      <c r="I849" s="71">
        <f t="shared" si="82"/>
        <v>9.1890592677827294E-3</v>
      </c>
      <c r="L849" s="74"/>
      <c r="M849" s="74"/>
      <c r="N849" s="74"/>
      <c r="O849" s="74"/>
      <c r="P849" s="74"/>
      <c r="Q849" s="74"/>
      <c r="R849" s="74"/>
      <c r="S849" s="74"/>
      <c r="T849" s="74"/>
      <c r="U849" s="74"/>
      <c r="V849" s="74"/>
      <c r="W849" s="74"/>
      <c r="X849" s="74"/>
      <c r="Y849" s="74"/>
      <c r="Z849" s="74"/>
    </row>
    <row r="850" spans="1:26" x14ac:dyDescent="0.3">
      <c r="A850" s="66">
        <f t="shared" si="80"/>
        <v>2074.2999999999233</v>
      </c>
      <c r="B850" s="67">
        <f>LOOKUP(A850+0.01,Amounts!$A$4:$A$103,Amounts!$B$4:$B$103)*0.1*$A$2</f>
        <v>0</v>
      </c>
      <c r="C850" s="68">
        <f t="shared" si="85"/>
        <v>902907.24633514904</v>
      </c>
      <c r="D850" s="67">
        <f t="array" ref="D850">SUM($B$7:$B845*$F$1009*EXP(-$F$1009*($A850-$A$7:$A845)))*$F$1010</f>
        <v>1661964.734918677</v>
      </c>
      <c r="E850" s="67">
        <f t="shared" si="83"/>
        <v>3.1683890487744741</v>
      </c>
      <c r="F850" s="70">
        <f t="shared" si="81"/>
        <v>0.19238458304158607</v>
      </c>
      <c r="G850" s="67">
        <f>E850/'Lookup Tables'!$C$48</f>
        <v>6.3367780975489483</v>
      </c>
      <c r="H850" s="70">
        <f t="shared" si="84"/>
        <v>1.8443813479128075E-3</v>
      </c>
      <c r="I850" s="71">
        <f t="shared" si="82"/>
        <v>9.1249604604704861E-3</v>
      </c>
      <c r="L850" s="74"/>
      <c r="M850" s="74"/>
      <c r="N850" s="74"/>
      <c r="O850" s="74"/>
      <c r="P850" s="74"/>
      <c r="Q850" s="74"/>
      <c r="R850" s="74"/>
      <c r="S850" s="74"/>
      <c r="T850" s="74"/>
      <c r="U850" s="74"/>
      <c r="V850" s="74"/>
      <c r="W850" s="74"/>
      <c r="X850" s="74"/>
      <c r="Y850" s="74"/>
      <c r="Z850" s="74"/>
    </row>
    <row r="851" spans="1:26" x14ac:dyDescent="0.3">
      <c r="A851" s="66">
        <f t="shared" ref="A851:A914" si="86">A850+0.1</f>
        <v>2074.3999999999232</v>
      </c>
      <c r="B851" s="67">
        <f>LOOKUP(A851+0.01,Amounts!$A$4:$A$103,Amounts!$B$4:$B$103)*0.1*$A$2</f>
        <v>0</v>
      </c>
      <c r="C851" s="68">
        <f t="shared" si="85"/>
        <v>902907.24633514904</v>
      </c>
      <c r="D851" s="67">
        <f t="array" ref="D851">SUM($B$7:$B846*$F$1009*EXP(-$F$1009*($A851-$A$7:$A846)))*$F$1010</f>
        <v>1650371.6050673113</v>
      </c>
      <c r="E851" s="67">
        <f t="shared" si="83"/>
        <v>3.1462877701550545</v>
      </c>
      <c r="F851" s="70">
        <f t="shared" ref="F851:F914" si="87">E851*60*1012/1000000</f>
        <v>0.19104259340381491</v>
      </c>
      <c r="G851" s="67">
        <f>E851/'Lookup Tables'!$C$48</f>
        <v>6.2925755403101089</v>
      </c>
      <c r="H851" s="70">
        <f t="shared" si="84"/>
        <v>1.8315157605675765E-3</v>
      </c>
      <c r="I851" s="71">
        <f t="shared" ref="I851:I914" si="88">G851*60*24/1000000</f>
        <v>9.0613087780465583E-3</v>
      </c>
      <c r="L851" s="74"/>
      <c r="M851" s="74"/>
      <c r="N851" s="74"/>
      <c r="O851" s="74"/>
      <c r="P851" s="74"/>
      <c r="Q851" s="74"/>
      <c r="R851" s="74"/>
      <c r="S851" s="74"/>
      <c r="T851" s="74"/>
      <c r="U851" s="74"/>
      <c r="V851" s="74"/>
      <c r="W851" s="74"/>
      <c r="X851" s="74"/>
      <c r="Y851" s="74"/>
      <c r="Z851" s="74"/>
    </row>
    <row r="852" spans="1:26" x14ac:dyDescent="0.3">
      <c r="A852" s="66">
        <f t="shared" si="86"/>
        <v>2074.4999999999231</v>
      </c>
      <c r="B852" s="67">
        <f>LOOKUP(A852+0.01,Amounts!$A$4:$A$103,Amounts!$B$4:$B$103)*0.1*$A$2</f>
        <v>0</v>
      </c>
      <c r="C852" s="68">
        <f t="shared" si="85"/>
        <v>902907.24633514904</v>
      </c>
      <c r="D852" s="67">
        <f t="array" ref="D852">SUM($B$7:$B847*$F$1009*EXP(-$F$1009*($A852-$A$7:$A847)))*$F$1010</f>
        <v>1638859.3437548068</v>
      </c>
      <c r="E852" s="67">
        <f t="shared" si="83"/>
        <v>3.1243406602658941</v>
      </c>
      <c r="F852" s="70">
        <f t="shared" si="87"/>
        <v>0.18970996489134509</v>
      </c>
      <c r="G852" s="67">
        <f>E852/'Lookup Tables'!$C$48</f>
        <v>6.2486813205317882</v>
      </c>
      <c r="H852" s="70">
        <f t="shared" si="84"/>
        <v>1.8187399178610701E-3</v>
      </c>
      <c r="I852" s="71">
        <f t="shared" si="88"/>
        <v>8.9981011015657746E-3</v>
      </c>
      <c r="L852" s="74"/>
      <c r="M852" s="74"/>
      <c r="N852" s="74"/>
      <c r="O852" s="74"/>
      <c r="P852" s="74"/>
      <c r="Q852" s="74"/>
      <c r="R852" s="74"/>
      <c r="S852" s="74"/>
      <c r="T852" s="74"/>
      <c r="U852" s="74"/>
      <c r="V852" s="74"/>
      <c r="W852" s="74"/>
      <c r="X852" s="74"/>
      <c r="Y852" s="74"/>
      <c r="Z852" s="74"/>
    </row>
    <row r="853" spans="1:26" x14ac:dyDescent="0.3">
      <c r="A853" s="66">
        <f t="shared" si="86"/>
        <v>2074.5999999999231</v>
      </c>
      <c r="B853" s="67">
        <f>LOOKUP(A853+0.01,Amounts!$A$4:$A$103,Amounts!$B$4:$B$103)*0.1*$A$2</f>
        <v>0</v>
      </c>
      <c r="C853" s="68">
        <f t="shared" si="85"/>
        <v>902907.24633514904</v>
      </c>
      <c r="D853" s="67">
        <f t="array" ref="D853">SUM($B$7:$B848*$F$1009*EXP(-$F$1009*($A853-$A$7:$A848)))*$F$1010</f>
        <v>1627427.3868780546</v>
      </c>
      <c r="E853" s="67">
        <f t="shared" si="83"/>
        <v>3.1025466436942151</v>
      </c>
      <c r="F853" s="70">
        <f t="shared" si="87"/>
        <v>0.18838663220511273</v>
      </c>
      <c r="G853" s="67">
        <f>E853/'Lookup Tables'!$C$48</f>
        <v>6.2050932873884301</v>
      </c>
      <c r="H853" s="70">
        <f t="shared" si="84"/>
        <v>1.8060531937744383E-3</v>
      </c>
      <c r="I853" s="71">
        <f t="shared" si="88"/>
        <v>8.9353343338393395E-3</v>
      </c>
      <c r="L853" s="74"/>
      <c r="M853" s="74"/>
      <c r="N853" s="74"/>
      <c r="O853" s="74"/>
      <c r="P853" s="74"/>
      <c r="Q853" s="74"/>
      <c r="R853" s="74"/>
      <c r="S853" s="74"/>
      <c r="T853" s="74"/>
      <c r="U853" s="74"/>
      <c r="V853" s="74"/>
      <c r="W853" s="74"/>
      <c r="X853" s="74"/>
      <c r="Y853" s="74"/>
      <c r="Z853" s="74"/>
    </row>
    <row r="854" spans="1:26" x14ac:dyDescent="0.3">
      <c r="A854" s="66">
        <f t="shared" si="86"/>
        <v>2074.699999999923</v>
      </c>
      <c r="B854" s="67">
        <f>LOOKUP(A854+0.01,Amounts!$A$4:$A$103,Amounts!$B$4:$B$103)*0.1*$A$2</f>
        <v>0</v>
      </c>
      <c r="C854" s="68">
        <f t="shared" si="85"/>
        <v>902907.24633514904</v>
      </c>
      <c r="D854" s="67">
        <f t="array" ref="D854">SUM($B$7:$B849*$F$1009*EXP(-$F$1009*($A854-$A$7:$A849)))*$F$1010</f>
        <v>1616075.1742688806</v>
      </c>
      <c r="E854" s="67">
        <f t="shared" si="83"/>
        <v>3.0809046525288455</v>
      </c>
      <c r="F854" s="70">
        <f t="shared" si="87"/>
        <v>0.18707253050155151</v>
      </c>
      <c r="G854" s="67">
        <f>E854/'Lookup Tables'!$C$48</f>
        <v>6.161809305057691</v>
      </c>
      <c r="H854" s="70">
        <f t="shared" si="84"/>
        <v>1.7934549666556632E-3</v>
      </c>
      <c r="I854" s="71">
        <f t="shared" si="88"/>
        <v>8.8730053992830769E-3</v>
      </c>
      <c r="L854" s="74"/>
      <c r="M854" s="74"/>
      <c r="N854" s="74"/>
      <c r="O854" s="74"/>
      <c r="P854" s="74"/>
      <c r="Q854" s="74"/>
      <c r="R854" s="74"/>
      <c r="S854" s="74"/>
      <c r="T854" s="74"/>
      <c r="U854" s="74"/>
      <c r="V854" s="74"/>
      <c r="W854" s="74"/>
      <c r="X854" s="74"/>
      <c r="Y854" s="74"/>
      <c r="Z854" s="74"/>
    </row>
    <row r="855" spans="1:26" x14ac:dyDescent="0.3">
      <c r="A855" s="66">
        <f t="shared" si="86"/>
        <v>2074.7999999999229</v>
      </c>
      <c r="B855" s="67">
        <f>LOOKUP(A855+0.01,Amounts!$A$4:$A$103,Amounts!$B$4:$B$103)*0.1*$A$2</f>
        <v>0</v>
      </c>
      <c r="C855" s="68">
        <f t="shared" si="85"/>
        <v>902907.24633514904</v>
      </c>
      <c r="D855" s="67">
        <f t="array" ref="D855">SUM($B$7:$B850*$F$1009*EXP(-$F$1009*($A855-$A$7:$A850)))*$F$1010</f>
        <v>1604802.1496665962</v>
      </c>
      <c r="E855" s="67">
        <f t="shared" si="83"/>
        <v>3.0594136263078888</v>
      </c>
      <c r="F855" s="70">
        <f t="shared" si="87"/>
        <v>0.18576759538941501</v>
      </c>
      <c r="G855" s="67">
        <f>E855/'Lookup Tables'!$C$48</f>
        <v>6.1188272526157776</v>
      </c>
      <c r="H855" s="70">
        <f t="shared" si="84"/>
        <v>1.780944619189095E-3</v>
      </c>
      <c r="I855" s="71">
        <f t="shared" si="88"/>
        <v>8.8111112437667203E-3</v>
      </c>
      <c r="L855" s="74"/>
      <c r="M855" s="74"/>
      <c r="N855" s="74"/>
      <c r="O855" s="74"/>
      <c r="P855" s="74"/>
      <c r="Q855" s="74"/>
      <c r="R855" s="74"/>
      <c r="S855" s="74"/>
      <c r="T855" s="74"/>
      <c r="U855" s="74"/>
      <c r="V855" s="74"/>
      <c r="W855" s="74"/>
      <c r="X855" s="74"/>
      <c r="Y855" s="74"/>
      <c r="Z855" s="74"/>
    </row>
    <row r="856" spans="1:26" x14ac:dyDescent="0.3">
      <c r="A856" s="66">
        <f t="shared" si="86"/>
        <v>2074.8999999999228</v>
      </c>
      <c r="B856" s="67">
        <f>LOOKUP(A856+0.01,Amounts!$A$4:$A$103,Amounts!$B$4:$B$103)*0.1*$A$2</f>
        <v>0</v>
      </c>
      <c r="C856" s="68">
        <f t="shared" si="85"/>
        <v>902907.24633514904</v>
      </c>
      <c r="D856" s="67">
        <f t="array" ref="D856">SUM($B$7:$B851*$F$1009*EXP(-$F$1009*($A856-$A$7:$A851)))*$F$1010</f>
        <v>1593607.7606907401</v>
      </c>
      <c r="E856" s="67">
        <f t="shared" si="83"/>
        <v>3.0380725119667593</v>
      </c>
      <c r="F856" s="70">
        <f t="shared" si="87"/>
        <v>0.18447176292662162</v>
      </c>
      <c r="G856" s="67">
        <f>E856/'Lookup Tables'!$C$48</f>
        <v>6.0761450239335186</v>
      </c>
      <c r="H856" s="70">
        <f t="shared" si="84"/>
        <v>1.768521538365205E-3</v>
      </c>
      <c r="I856" s="71">
        <f t="shared" si="88"/>
        <v>8.7496488344642673E-3</v>
      </c>
      <c r="L856" s="74"/>
      <c r="M856" s="74"/>
      <c r="N856" s="74"/>
      <c r="O856" s="74"/>
      <c r="P856" s="74"/>
      <c r="Q856" s="74"/>
      <c r="R856" s="74"/>
      <c r="S856" s="74"/>
      <c r="T856" s="74"/>
      <c r="U856" s="74"/>
      <c r="V856" s="74"/>
      <c r="W856" s="74"/>
      <c r="X856" s="74"/>
      <c r="Y856" s="74"/>
      <c r="Z856" s="74"/>
    </row>
    <row r="857" spans="1:26" x14ac:dyDescent="0.3">
      <c r="A857" s="66">
        <f t="shared" si="86"/>
        <v>2074.9999999999227</v>
      </c>
      <c r="B857" s="67">
        <f>LOOKUP(A857+0.01,Amounts!$A$4:$A$103,Amounts!$B$4:$B$103)*0.1*$A$2</f>
        <v>0</v>
      </c>
      <c r="C857" s="68">
        <f t="shared" si="85"/>
        <v>902907.24633514904</v>
      </c>
      <c r="D857" s="67">
        <f t="array" ref="D857">SUM($B$7:$B852*$F$1009*EXP(-$F$1009*($A857-$A$7:$A852)))*$F$1010</f>
        <v>1582491.4588140131</v>
      </c>
      <c r="E857" s="67">
        <f t="shared" si="83"/>
        <v>3.0168802637865855</v>
      </c>
      <c r="F857" s="70">
        <f t="shared" si="87"/>
        <v>0.18318496961712147</v>
      </c>
      <c r="G857" s="67">
        <f>E857/'Lookup Tables'!$C$48</f>
        <v>6.0337605275731709</v>
      </c>
      <c r="H857" s="70">
        <f t="shared" si="84"/>
        <v>1.7561851154505473E-3</v>
      </c>
      <c r="I857" s="71">
        <f t="shared" si="88"/>
        <v>8.6886151597053672E-3</v>
      </c>
      <c r="L857" s="74"/>
      <c r="M857" s="74"/>
      <c r="N857" s="74"/>
      <c r="O857" s="74"/>
      <c r="P857" s="74"/>
      <c r="Q857" s="74"/>
      <c r="R857" s="74"/>
      <c r="S857" s="74"/>
      <c r="T857" s="74"/>
      <c r="U857" s="74"/>
      <c r="V857" s="74"/>
      <c r="W857" s="74"/>
      <c r="X857" s="74"/>
      <c r="Y857" s="74"/>
      <c r="Z857" s="74"/>
    </row>
    <row r="858" spans="1:26" x14ac:dyDescent="0.3">
      <c r="A858" s="66">
        <f t="shared" si="86"/>
        <v>2075.0999999999226</v>
      </c>
      <c r="B858" s="67">
        <f>LOOKUP(A858+0.01,Amounts!$A$4:$A$103,Amounts!$B$4:$B$103)*0.1*$A$2</f>
        <v>0</v>
      </c>
      <c r="C858" s="68">
        <f t="shared" si="85"/>
        <v>902907.24633514904</v>
      </c>
      <c r="D858" s="67">
        <f t="array" ref="D858">SUM($B$7:$B853*$F$1009*EXP(-$F$1009*($A858-$A$7:$A853)))*$F$1010</f>
        <v>1571452.6993353975</v>
      </c>
      <c r="E858" s="67">
        <f t="shared" si="83"/>
        <v>2.9958358433429639</v>
      </c>
      <c r="F858" s="70">
        <f t="shared" si="87"/>
        <v>0.18190715240778477</v>
      </c>
      <c r="G858" s="67">
        <f>E858/'Lookup Tables'!$C$48</f>
        <v>5.9916716866859279</v>
      </c>
      <c r="H858" s="70">
        <f t="shared" si="84"/>
        <v>1.7439347459579295E-3</v>
      </c>
      <c r="I858" s="71">
        <f t="shared" si="88"/>
        <v>8.6280072288277346E-3</v>
      </c>
      <c r="L858" s="74"/>
      <c r="M858" s="74"/>
      <c r="N858" s="74"/>
      <c r="O858" s="74"/>
      <c r="P858" s="74"/>
      <c r="Q858" s="74"/>
      <c r="R858" s="74"/>
      <c r="S858" s="74"/>
      <c r="T858" s="74"/>
      <c r="U858" s="74"/>
      <c r="V858" s="74"/>
      <c r="W858" s="74"/>
      <c r="X858" s="74"/>
      <c r="Y858" s="74"/>
      <c r="Z858" s="74"/>
    </row>
    <row r="859" spans="1:26" x14ac:dyDescent="0.3">
      <c r="A859" s="66">
        <f t="shared" si="86"/>
        <v>2075.1999999999225</v>
      </c>
      <c r="B859" s="67">
        <f>LOOKUP(A859+0.01,Amounts!$A$4:$A$103,Amounts!$B$4:$B$103)*0.1*$A$2</f>
        <v>0</v>
      </c>
      <c r="C859" s="68">
        <f t="shared" si="85"/>
        <v>902907.24633514904</v>
      </c>
      <c r="D859" s="67">
        <f t="array" ref="D859">SUM($B$7:$B854*$F$1009*EXP(-$F$1009*($A859-$A$7:$A854)))*$F$1010</f>
        <v>1560490.941353471</v>
      </c>
      <c r="E859" s="67">
        <f t="shared" si="83"/>
        <v>2.9749382194550829</v>
      </c>
      <c r="F859" s="70">
        <f t="shared" si="87"/>
        <v>0.18063824868531264</v>
      </c>
      <c r="G859" s="67">
        <f>E859/'Lookup Tables'!$C$48</f>
        <v>5.9498764389101657</v>
      </c>
      <c r="H859" s="70">
        <f t="shared" si="84"/>
        <v>1.731769829616796E-3</v>
      </c>
      <c r="I859" s="71">
        <f t="shared" si="88"/>
        <v>8.5678220720306376E-3</v>
      </c>
      <c r="L859" s="74"/>
      <c r="M859" s="74"/>
      <c r="N859" s="74"/>
      <c r="O859" s="74"/>
      <c r="P859" s="74"/>
      <c r="Q859" s="74"/>
      <c r="R859" s="74"/>
      <c r="S859" s="74"/>
      <c r="T859" s="74"/>
      <c r="U859" s="74"/>
      <c r="V859" s="74"/>
      <c r="W859" s="74"/>
      <c r="X859" s="74"/>
      <c r="Y859" s="74"/>
      <c r="Z859" s="74"/>
    </row>
    <row r="860" spans="1:26" x14ac:dyDescent="0.3">
      <c r="A860" s="66">
        <f t="shared" si="86"/>
        <v>2075.2999999999224</v>
      </c>
      <c r="B860" s="67">
        <f>LOOKUP(A860+0.01,Amounts!$A$4:$A$103,Amounts!$B$4:$B$103)*0.1*$A$2</f>
        <v>0</v>
      </c>
      <c r="C860" s="68">
        <f t="shared" si="85"/>
        <v>902907.24633514904</v>
      </c>
      <c r="D860" s="67">
        <f t="array" ref="D860">SUM($B$7:$B855*$F$1009*EXP(-$F$1009*($A860-$A$7:$A855)))*$F$1010</f>
        <v>1549605.6477399003</v>
      </c>
      <c r="E860" s="67">
        <f t="shared" si="83"/>
        <v>2.954186368135193</v>
      </c>
      <c r="F860" s="70">
        <f t="shared" si="87"/>
        <v>0.17937819627316892</v>
      </c>
      <c r="G860" s="67">
        <f>E860/'Lookup Tables'!$C$48</f>
        <v>5.9083727362703859</v>
      </c>
      <c r="H860" s="70">
        <f t="shared" si="84"/>
        <v>1.7196897703438134E-3</v>
      </c>
      <c r="I860" s="71">
        <f t="shared" si="88"/>
        <v>8.5080567402293569E-3</v>
      </c>
      <c r="L860" s="74"/>
      <c r="M860" s="74"/>
      <c r="N860" s="74"/>
      <c r="O860" s="74"/>
      <c r="P860" s="74"/>
      <c r="Q860" s="74"/>
      <c r="R860" s="74"/>
      <c r="S860" s="74"/>
      <c r="T860" s="74"/>
      <c r="U860" s="74"/>
      <c r="V860" s="74"/>
      <c r="W860" s="74"/>
      <c r="X860" s="74"/>
      <c r="Y860" s="74"/>
      <c r="Z860" s="74"/>
    </row>
    <row r="861" spans="1:26" x14ac:dyDescent="0.3">
      <c r="A861" s="66">
        <f t="shared" si="86"/>
        <v>2075.3999999999223</v>
      </c>
      <c r="B861" s="67">
        <f>LOOKUP(A861+0.01,Amounts!$A$4:$A$103,Amounts!$B$4:$B$103)*0.1*$A$2</f>
        <v>0</v>
      </c>
      <c r="C861" s="68">
        <f t="shared" si="85"/>
        <v>902907.24633514904</v>
      </c>
      <c r="D861" s="67">
        <f t="array" ref="D861">SUM($B$7:$B856*$F$1009*EXP(-$F$1009*($A861-$A$7:$A856)))*$F$1010</f>
        <v>1538796.2851131188</v>
      </c>
      <c r="E861" s="67">
        <f t="shared" si="83"/>
        <v>2.9335792725384251</v>
      </c>
      <c r="F861" s="70">
        <f t="shared" si="87"/>
        <v>0.17812693342853317</v>
      </c>
      <c r="G861" s="67">
        <f>E861/'Lookup Tables'!$C$48</f>
        <v>5.8671585450768502</v>
      </c>
      <c r="H861" s="70">
        <f t="shared" si="84"/>
        <v>1.7076939762136589E-3</v>
      </c>
      <c r="I861" s="71">
        <f t="shared" si="88"/>
        <v>8.4487083049106636E-3</v>
      </c>
      <c r="L861" s="74"/>
      <c r="M861" s="74"/>
      <c r="N861" s="74"/>
      <c r="O861" s="74"/>
      <c r="P861" s="74"/>
      <c r="Q861" s="74"/>
      <c r="R861" s="74"/>
      <c r="S861" s="74"/>
      <c r="T861" s="74"/>
      <c r="U861" s="74"/>
      <c r="V861" s="74"/>
      <c r="W861" s="74"/>
      <c r="X861" s="74"/>
      <c r="Y861" s="74"/>
      <c r="Z861" s="74"/>
    </row>
    <row r="862" spans="1:26" x14ac:dyDescent="0.3">
      <c r="A862" s="66">
        <f t="shared" si="86"/>
        <v>2075.4999999999222</v>
      </c>
      <c r="B862" s="67">
        <f>LOOKUP(A862+0.01,Amounts!$A$4:$A$103,Amounts!$B$4:$B$103)*0.1*$A$2</f>
        <v>0</v>
      </c>
      <c r="C862" s="68">
        <f t="shared" si="85"/>
        <v>902907.24633514904</v>
      </c>
      <c r="D862" s="67">
        <f t="array" ref="D862">SUM($B$7:$B857*$F$1009*EXP(-$F$1009*($A862-$A$7:$A857)))*$F$1010</f>
        <v>1528062.3238121967</v>
      </c>
      <c r="E862" s="67">
        <f t="shared" si="83"/>
        <v>2.9131159229129744</v>
      </c>
      <c r="F862" s="70">
        <f t="shared" si="87"/>
        <v>0.17688439883927581</v>
      </c>
      <c r="G862" s="67">
        <f>E862/'Lookup Tables'!$C$48</f>
        <v>5.8262318458259488</v>
      </c>
      <c r="H862" s="70">
        <f t="shared" si="84"/>
        <v>1.6957818594300212E-3</v>
      </c>
      <c r="I862" s="71">
        <f t="shared" si="88"/>
        <v>8.3897738579893667E-3</v>
      </c>
      <c r="L862" s="74"/>
      <c r="M862" s="74"/>
      <c r="N862" s="74"/>
      <c r="O862" s="74"/>
      <c r="P862" s="74"/>
      <c r="Q862" s="74"/>
      <c r="R862" s="74"/>
      <c r="S862" s="74"/>
      <c r="T862" s="74"/>
      <c r="U862" s="74"/>
      <c r="V862" s="74"/>
      <c r="W862" s="74"/>
      <c r="X862" s="74"/>
      <c r="Y862" s="74"/>
      <c r="Z862" s="74"/>
    </row>
    <row r="863" spans="1:26" x14ac:dyDescent="0.3">
      <c r="A863" s="66">
        <f t="shared" si="86"/>
        <v>2075.5999999999221</v>
      </c>
      <c r="B863" s="67">
        <f>LOOKUP(A863+0.01,Amounts!$A$4:$A$103,Amounts!$B$4:$B$103)*0.1*$A$2</f>
        <v>0</v>
      </c>
      <c r="C863" s="68">
        <f t="shared" si="85"/>
        <v>902907.24633514904</v>
      </c>
      <c r="D863" s="67">
        <f t="array" ref="D863">SUM($B$7:$B858*$F$1009*EXP(-$F$1009*($A863-$A$7:$A858)))*$F$1010</f>
        <v>1517403.2378708811</v>
      </c>
      <c r="E863" s="67">
        <f t="shared" si="83"/>
        <v>2.892795316550612</v>
      </c>
      <c r="F863" s="70">
        <f t="shared" si="87"/>
        <v>0.17565053162095318</v>
      </c>
      <c r="G863" s="67">
        <f>E863/'Lookup Tables'!$C$48</f>
        <v>5.7855906331012239</v>
      </c>
      <c r="H863" s="70">
        <f t="shared" si="84"/>
        <v>1.6839528362967934E-3</v>
      </c>
      <c r="I863" s="71">
        <f t="shared" si="88"/>
        <v>8.3312505116657637E-3</v>
      </c>
      <c r="L863" s="74"/>
      <c r="M863" s="74"/>
      <c r="N863" s="74"/>
      <c r="O863" s="74"/>
      <c r="P863" s="74"/>
      <c r="Q863" s="74"/>
      <c r="R863" s="74"/>
      <c r="S863" s="74"/>
      <c r="T863" s="74"/>
      <c r="U863" s="74"/>
      <c r="V863" s="74"/>
      <c r="W863" s="74"/>
      <c r="X863" s="74"/>
      <c r="Y863" s="74"/>
      <c r="Z863" s="74"/>
    </row>
    <row r="864" spans="1:26" x14ac:dyDescent="0.3">
      <c r="A864" s="66">
        <f t="shared" si="86"/>
        <v>2075.6999999999221</v>
      </c>
      <c r="B864" s="67">
        <f>LOOKUP(A864+0.01,Amounts!$A$4:$A$103,Amounts!$B$4:$B$103)*0.1*$A$2</f>
        <v>0</v>
      </c>
      <c r="C864" s="68">
        <f t="shared" si="85"/>
        <v>902907.24633514904</v>
      </c>
      <c r="D864" s="67">
        <f t="array" ref="D864">SUM($B$7:$B859*$F$1009*EXP(-$F$1009*($A864-$A$7:$A859)))*$F$1010</f>
        <v>1506818.5049918285</v>
      </c>
      <c r="E864" s="67">
        <f t="shared" si="83"/>
        <v>2.872616457737561</v>
      </c>
      <c r="F864" s="70">
        <f t="shared" si="87"/>
        <v>0.17442527131382468</v>
      </c>
      <c r="G864" s="67">
        <f>E864/'Lookup Tables'!$C$48</f>
        <v>5.745232915475122</v>
      </c>
      <c r="H864" s="70">
        <f t="shared" si="84"/>
        <v>1.672206327189475E-3</v>
      </c>
      <c r="I864" s="71">
        <f t="shared" si="88"/>
        <v>8.2731353982841756E-3</v>
      </c>
      <c r="L864" s="74"/>
      <c r="M864" s="74"/>
      <c r="N864" s="74"/>
      <c r="O864" s="74"/>
      <c r="P864" s="74"/>
      <c r="Q864" s="74"/>
      <c r="R864" s="74"/>
      <c r="S864" s="74"/>
      <c r="T864" s="74"/>
      <c r="U864" s="74"/>
      <c r="V864" s="74"/>
      <c r="W864" s="74"/>
      <c r="X864" s="74"/>
      <c r="Y864" s="74"/>
      <c r="Z864" s="74"/>
    </row>
    <row r="865" spans="1:26" x14ac:dyDescent="0.3">
      <c r="A865" s="66">
        <f t="shared" si="86"/>
        <v>2075.799999999922</v>
      </c>
      <c r="B865" s="67">
        <f>LOOKUP(A865+0.01,Amounts!$A$4:$A$103,Amounts!$B$4:$B$103)*0.1*$A$2</f>
        <v>0</v>
      </c>
      <c r="C865" s="68">
        <f t="shared" si="85"/>
        <v>902907.24633514904</v>
      </c>
      <c r="D865" s="67">
        <f t="array" ref="D865">SUM($B$7:$B860*$F$1009*EXP(-$F$1009*($A865-$A$7:$A860)))*$F$1010</f>
        <v>1496307.6065210106</v>
      </c>
      <c r="E865" s="67">
        <f t="shared" si="83"/>
        <v>2.852578357705704</v>
      </c>
      <c r="F865" s="70">
        <f t="shared" si="87"/>
        <v>0.17320855787989034</v>
      </c>
      <c r="G865" s="67">
        <f>E865/'Lookup Tables'!$C$48</f>
        <v>5.705156715411408</v>
      </c>
      <c r="H865" s="70">
        <f t="shared" si="84"/>
        <v>1.6605417565267707E-3</v>
      </c>
      <c r="I865" s="71">
        <f t="shared" si="88"/>
        <v>8.2154256701924278E-3</v>
      </c>
      <c r="L865" s="74"/>
      <c r="M865" s="74"/>
      <c r="N865" s="74"/>
      <c r="O865" s="74"/>
      <c r="P865" s="74"/>
      <c r="Q865" s="74"/>
      <c r="R865" s="74"/>
      <c r="S865" s="74"/>
      <c r="T865" s="74"/>
      <c r="U865" s="74"/>
      <c r="V865" s="74"/>
      <c r="W865" s="74"/>
      <c r="X865" s="74"/>
      <c r="Y865" s="74"/>
      <c r="Z865" s="74"/>
    </row>
    <row r="866" spans="1:26" x14ac:dyDescent="0.3">
      <c r="A866" s="66">
        <f t="shared" si="86"/>
        <v>2075.8999999999219</v>
      </c>
      <c r="B866" s="67">
        <f>LOOKUP(A866+0.01,Amounts!$A$4:$A$103,Amounts!$B$4:$B$103)*0.1*$A$2</f>
        <v>0</v>
      </c>
      <c r="C866" s="68">
        <f t="shared" si="85"/>
        <v>902907.24633514904</v>
      </c>
      <c r="D866" s="67">
        <f t="array" ref="D866">SUM($B$7:$B861*$F$1009*EXP(-$F$1009*($A866-$A$7:$A861)))*$F$1010</f>
        <v>1485870.027422298</v>
      </c>
      <c r="E866" s="67">
        <f t="shared" si="83"/>
        <v>2.8326800345841265</v>
      </c>
      <c r="F866" s="70">
        <f t="shared" si="87"/>
        <v>0.17200033169994813</v>
      </c>
      <c r="G866" s="67">
        <f>E866/'Lookup Tables'!$C$48</f>
        <v>5.6653600691682531</v>
      </c>
      <c r="H866" s="70">
        <f t="shared" si="84"/>
        <v>1.6489585527423821E-3</v>
      </c>
      <c r="I866" s="71">
        <f t="shared" si="88"/>
        <v>8.1581184996022838E-3</v>
      </c>
      <c r="L866" s="74"/>
      <c r="M866" s="74"/>
      <c r="N866" s="74"/>
      <c r="O866" s="74"/>
      <c r="P866" s="74"/>
      <c r="Q866" s="74"/>
      <c r="R866" s="74"/>
      <c r="S866" s="74"/>
      <c r="T866" s="74"/>
      <c r="U866" s="74"/>
      <c r="V866" s="74"/>
      <c r="W866" s="74"/>
      <c r="X866" s="74"/>
      <c r="Y866" s="74"/>
      <c r="Z866" s="74"/>
    </row>
    <row r="867" spans="1:26" x14ac:dyDescent="0.3">
      <c r="A867" s="66">
        <f t="shared" si="86"/>
        <v>2075.9999999999218</v>
      </c>
      <c r="B867" s="67">
        <f>LOOKUP(A867+0.01,Amounts!$A$4:$A$103,Amounts!$B$4:$B$103)*0.1*$A$2</f>
        <v>0</v>
      </c>
      <c r="C867" s="68">
        <f t="shared" si="85"/>
        <v>902907.24633514904</v>
      </c>
      <c r="D867" s="67">
        <f t="array" ref="D867">SUM($B$7:$B862*$F$1009*EXP(-$F$1009*($A867-$A$7:$A862)))*$F$1010</f>
        <v>1475505.2562522276</v>
      </c>
      <c r="E867" s="67">
        <f t="shared" si="83"/>
        <v>2.8129205133510169</v>
      </c>
      <c r="F867" s="70">
        <f t="shared" si="87"/>
        <v>0.17080053357067376</v>
      </c>
      <c r="G867" s="67">
        <f>E867/'Lookup Tables'!$C$48</f>
        <v>5.6258410267020338</v>
      </c>
      <c r="H867" s="70">
        <f t="shared" si="84"/>
        <v>1.6374561482570078E-3</v>
      </c>
      <c r="I867" s="71">
        <f t="shared" si="88"/>
        <v>8.1012110784509286E-3</v>
      </c>
      <c r="L867" s="74"/>
      <c r="M867" s="74"/>
      <c r="N867" s="74"/>
      <c r="O867" s="74"/>
      <c r="P867" s="74"/>
      <c r="Q867" s="74"/>
      <c r="R867" s="74"/>
      <c r="S867" s="74"/>
      <c r="T867" s="74"/>
      <c r="U867" s="74"/>
      <c r="V867" s="74"/>
      <c r="W867" s="74"/>
      <c r="X867" s="74"/>
      <c r="Y867" s="74"/>
      <c r="Z867" s="74"/>
    </row>
    <row r="868" spans="1:26" x14ac:dyDescent="0.3">
      <c r="A868" s="66">
        <f t="shared" si="86"/>
        <v>2076.0999999999217</v>
      </c>
      <c r="B868" s="67">
        <f>LOOKUP(A868+0.01,Amounts!$A$4:$A$103,Amounts!$B$4:$B$103)*0.1*$A$2</f>
        <v>0</v>
      </c>
      <c r="C868" s="68">
        <f t="shared" si="85"/>
        <v>902907.24633514904</v>
      </c>
      <c r="D868" s="67">
        <f t="array" ref="D868">SUM($B$7:$B863*$F$1009*EXP(-$F$1009*($A868-$A$7:$A863)))*$F$1010</f>
        <v>1465212.7851349376</v>
      </c>
      <c r="E868" s="67">
        <f t="shared" si="83"/>
        <v>2.7932988257858806</v>
      </c>
      <c r="F868" s="70">
        <f t="shared" si="87"/>
        <v>0.16960910470171867</v>
      </c>
      <c r="G868" s="67">
        <f>E868/'Lookup Tables'!$C$48</f>
        <v>5.5865976515717612</v>
      </c>
      <c r="H868" s="70">
        <f t="shared" si="84"/>
        <v>1.6260339794505259E-3</v>
      </c>
      <c r="I868" s="71">
        <f t="shared" si="88"/>
        <v>8.0447006182633365E-3</v>
      </c>
      <c r="L868" s="74"/>
      <c r="M868" s="74"/>
      <c r="N868" s="74"/>
      <c r="O868" s="74"/>
      <c r="P868" s="74"/>
      <c r="Q868" s="74"/>
      <c r="R868" s="74"/>
      <c r="S868" s="74"/>
      <c r="T868" s="74"/>
      <c r="U868" s="74"/>
      <c r="V868" s="74"/>
      <c r="W868" s="74"/>
      <c r="X868" s="74"/>
      <c r="Y868" s="74"/>
      <c r="Z868" s="74"/>
    </row>
    <row r="869" spans="1:26" x14ac:dyDescent="0.3">
      <c r="A869" s="66">
        <f t="shared" si="86"/>
        <v>2076.1999999999216</v>
      </c>
      <c r="B869" s="67">
        <f>LOOKUP(A869+0.01,Amounts!$A$4:$A$103,Amounts!$B$4:$B$103)*0.1*$A$2</f>
        <v>0</v>
      </c>
      <c r="C869" s="68">
        <f t="shared" si="85"/>
        <v>902907.24633514904</v>
      </c>
      <c r="D869" s="67">
        <f t="array" ref="D869">SUM($B$7:$B864*$F$1009*EXP(-$F$1009*($A869-$A$7:$A864)))*$F$1010</f>
        <v>1454992.1097372849</v>
      </c>
      <c r="E869" s="67">
        <f t="shared" si="83"/>
        <v>2.7738140104221025</v>
      </c>
      <c r="F869" s="70">
        <f t="shared" si="87"/>
        <v>0.16842598671283007</v>
      </c>
      <c r="G869" s="67">
        <f>E869/'Lookup Tables'!$C$48</f>
        <v>5.547628020844205</v>
      </c>
      <c r="H869" s="70">
        <f t="shared" si="84"/>
        <v>1.6146914866343811E-3</v>
      </c>
      <c r="I869" s="71">
        <f t="shared" si="88"/>
        <v>7.9885843500156553E-3</v>
      </c>
      <c r="L869" s="74"/>
      <c r="M869" s="74"/>
      <c r="N869" s="74"/>
      <c r="O869" s="74"/>
      <c r="P869" s="74"/>
      <c r="Q869" s="74"/>
      <c r="R869" s="74"/>
      <c r="S869" s="74"/>
      <c r="T869" s="74"/>
      <c r="U869" s="74"/>
      <c r="V869" s="74"/>
      <c r="W869" s="74"/>
      <c r="X869" s="74"/>
      <c r="Y869" s="74"/>
      <c r="Z869" s="74"/>
    </row>
    <row r="870" spans="1:26" x14ac:dyDescent="0.3">
      <c r="A870" s="66">
        <f t="shared" si="86"/>
        <v>2076.2999999999215</v>
      </c>
      <c r="B870" s="67">
        <f>LOOKUP(A870+0.01,Amounts!$A$4:$A$103,Amounts!$B$4:$B$103)*0.1*$A$2</f>
        <v>0</v>
      </c>
      <c r="C870" s="68">
        <f t="shared" si="85"/>
        <v>902907.24633514904</v>
      </c>
      <c r="D870" s="67">
        <f t="array" ref="D870">SUM($B$7:$B865*$F$1009*EXP(-$F$1009*($A870-$A$7:$A865)))*$F$1010</f>
        <v>1444842.7292441288</v>
      </c>
      <c r="E870" s="67">
        <f t="shared" si="83"/>
        <v>2.7544651124998283</v>
      </c>
      <c r="F870" s="70">
        <f t="shared" si="87"/>
        <v>0.16725112163098957</v>
      </c>
      <c r="G870" s="67">
        <f>E870/'Lookup Tables'!$C$48</f>
        <v>5.5089302249996566</v>
      </c>
      <c r="H870" s="70">
        <f t="shared" si="84"/>
        <v>1.6034281140241532E-3</v>
      </c>
      <c r="I870" s="71">
        <f t="shared" si="88"/>
        <v>7.9328595239995039E-3</v>
      </c>
      <c r="L870" s="74"/>
      <c r="M870" s="74"/>
      <c r="N870" s="74"/>
      <c r="O870" s="74"/>
      <c r="P870" s="74"/>
      <c r="Q870" s="74"/>
      <c r="R870" s="74"/>
      <c r="S870" s="74"/>
      <c r="T870" s="74"/>
      <c r="U870" s="74"/>
      <c r="V870" s="74"/>
      <c r="W870" s="74"/>
      <c r="X870" s="74"/>
      <c r="Y870" s="74"/>
      <c r="Z870" s="74"/>
    </row>
    <row r="871" spans="1:26" x14ac:dyDescent="0.3">
      <c r="A871" s="66">
        <f t="shared" si="86"/>
        <v>2076.3999999999214</v>
      </c>
      <c r="B871" s="67">
        <f>LOOKUP(A871+0.01,Amounts!$A$4:$A$103,Amounts!$B$4:$B$103)*0.1*$A$2</f>
        <v>0</v>
      </c>
      <c r="C871" s="68">
        <f t="shared" si="85"/>
        <v>902907.24633514904</v>
      </c>
      <c r="D871" s="67">
        <f t="array" ref="D871">SUM($B$7:$B866*$F$1009*EXP(-$F$1009*($A871-$A$7:$A866)))*$F$1010</f>
        <v>1434764.1463337955</v>
      </c>
      <c r="E871" s="67">
        <f t="shared" si="83"/>
        <v>2.7352511839191904</v>
      </c>
      <c r="F871" s="70">
        <f t="shared" si="87"/>
        <v>0.16608445188757326</v>
      </c>
      <c r="G871" s="67">
        <f>E871/'Lookup Tables'!$C$48</f>
        <v>5.4705023678383808</v>
      </c>
      <c r="H871" s="70">
        <f t="shared" si="84"/>
        <v>1.592243309712333E-3</v>
      </c>
      <c r="I871" s="71">
        <f t="shared" si="88"/>
        <v>7.8775234096872676E-3</v>
      </c>
      <c r="L871" s="74"/>
      <c r="M871" s="74"/>
      <c r="N871" s="74"/>
      <c r="O871" s="74"/>
      <c r="P871" s="74"/>
      <c r="Q871" s="74"/>
      <c r="R871" s="74"/>
      <c r="S871" s="74"/>
      <c r="T871" s="74"/>
      <c r="U871" s="74"/>
      <c r="V871" s="74"/>
      <c r="W871" s="74"/>
      <c r="X871" s="74"/>
      <c r="Y871" s="74"/>
      <c r="Z871" s="74"/>
    </row>
    <row r="872" spans="1:26" x14ac:dyDescent="0.3">
      <c r="A872" s="66">
        <f t="shared" si="86"/>
        <v>2076.4999999999213</v>
      </c>
      <c r="B872" s="67">
        <f>LOOKUP(A872+0.01,Amounts!$A$4:$A$103,Amounts!$B$4:$B$103)*0.1*$A$2</f>
        <v>0</v>
      </c>
      <c r="C872" s="68">
        <f t="shared" si="85"/>
        <v>902907.24633514904</v>
      </c>
      <c r="D872" s="67">
        <f t="array" ref="D872">SUM($B$7:$B867*$F$1009*EXP(-$F$1009*($A872-$A$7:$A867)))*$F$1010</f>
        <v>1424755.8671537051</v>
      </c>
      <c r="E872" s="67">
        <f t="shared" si="83"/>
        <v>2.7161712831938436</v>
      </c>
      <c r="F872" s="70">
        <f t="shared" si="87"/>
        <v>0.16492592031553019</v>
      </c>
      <c r="G872" s="67">
        <f>E872/'Lookup Tables'!$C$48</f>
        <v>5.4323425663876872</v>
      </c>
      <c r="H872" s="70">
        <f t="shared" si="84"/>
        <v>1.5811365256412702E-3</v>
      </c>
      <c r="I872" s="71">
        <f t="shared" si="88"/>
        <v>7.8225732955982692E-3</v>
      </c>
      <c r="L872" s="74"/>
      <c r="M872" s="74"/>
      <c r="N872" s="74"/>
      <c r="O872" s="74"/>
      <c r="P872" s="74"/>
      <c r="Q872" s="74"/>
      <c r="R872" s="74"/>
      <c r="S872" s="74"/>
      <c r="T872" s="74"/>
      <c r="U872" s="74"/>
      <c r="V872" s="74"/>
      <c r="W872" s="74"/>
      <c r="X872" s="74"/>
      <c r="Y872" s="74"/>
      <c r="Z872" s="74"/>
    </row>
    <row r="873" spans="1:26" x14ac:dyDescent="0.3">
      <c r="A873" s="66">
        <f t="shared" si="86"/>
        <v>2076.5999999999212</v>
      </c>
      <c r="B873" s="67">
        <f>LOOKUP(A873+0.01,Amounts!$A$4:$A$103,Amounts!$B$4:$B$103)*0.1*$A$2</f>
        <v>0</v>
      </c>
      <c r="C873" s="68">
        <f t="shared" si="85"/>
        <v>902907.24633514904</v>
      </c>
      <c r="D873" s="67">
        <f t="array" ref="D873">SUM($B$7:$B868*$F$1009*EXP(-$F$1009*($A873-$A$7:$A868)))*$F$1010</f>
        <v>1414817.4012961751</v>
      </c>
      <c r="E873" s="67">
        <f t="shared" si="83"/>
        <v>2.6972244754048331</v>
      </c>
      <c r="F873" s="70">
        <f t="shared" si="87"/>
        <v>0.16377547014658148</v>
      </c>
      <c r="G873" s="67">
        <f>E873/'Lookup Tables'!$C$48</f>
        <v>5.3944489508096662</v>
      </c>
      <c r="H873" s="70">
        <f t="shared" si="84"/>
        <v>1.5701072175763231E-3</v>
      </c>
      <c r="I873" s="71">
        <f t="shared" si="88"/>
        <v>7.7680064891659205E-3</v>
      </c>
      <c r="L873" s="74"/>
      <c r="M873" s="74"/>
      <c r="N873" s="74"/>
      <c r="O873" s="74"/>
      <c r="P873" s="74"/>
      <c r="Q873" s="74"/>
      <c r="R873" s="74"/>
      <c r="S873" s="74"/>
      <c r="T873" s="74"/>
      <c r="U873" s="74"/>
      <c r="V873" s="74"/>
      <c r="W873" s="74"/>
      <c r="X873" s="74"/>
      <c r="Y873" s="74"/>
      <c r="Z873" s="74"/>
    </row>
    <row r="874" spans="1:26" x14ac:dyDescent="0.3">
      <c r="A874" s="66">
        <f t="shared" si="86"/>
        <v>2076.6999999999211</v>
      </c>
      <c r="B874" s="67">
        <f>LOOKUP(A874+0.01,Amounts!$A$4:$A$103,Amounts!$B$4:$B$103)*0.1*$A$2</f>
        <v>0</v>
      </c>
      <c r="C874" s="68">
        <f t="shared" si="85"/>
        <v>902907.24633514904</v>
      </c>
      <c r="D874" s="67">
        <f t="array" ref="D874">SUM($B$7:$B869*$F$1009*EXP(-$F$1009*($A874-$A$7:$A869)))*$F$1010</f>
        <v>1404948.2617743905</v>
      </c>
      <c r="E874" s="67">
        <f t="shared" si="83"/>
        <v>2.6784098321547893</v>
      </c>
      <c r="F874" s="70">
        <f t="shared" si="87"/>
        <v>0.16263304500843881</v>
      </c>
      <c r="G874" s="67">
        <f>E874/'Lookup Tables'!$C$48</f>
        <v>5.3568196643095787</v>
      </c>
      <c r="H874" s="70">
        <f t="shared" si="84"/>
        <v>1.5591548450791899E-3</v>
      </c>
      <c r="I874" s="71">
        <f t="shared" si="88"/>
        <v>7.7138203166057925E-3</v>
      </c>
      <c r="L874" s="74"/>
      <c r="M874" s="74"/>
      <c r="N874" s="74"/>
      <c r="O874" s="74"/>
      <c r="P874" s="74"/>
      <c r="Q874" s="74"/>
      <c r="R874" s="74"/>
      <c r="S874" s="74"/>
      <c r="T874" s="74"/>
      <c r="U874" s="74"/>
      <c r="V874" s="74"/>
      <c r="W874" s="74"/>
      <c r="X874" s="74"/>
      <c r="Y874" s="74"/>
      <c r="Z874" s="74"/>
    </row>
    <row r="875" spans="1:26" x14ac:dyDescent="0.3">
      <c r="A875" s="66">
        <f t="shared" si="86"/>
        <v>2076.7999999999211</v>
      </c>
      <c r="B875" s="67">
        <f>LOOKUP(A875+0.01,Amounts!$A$4:$A$103,Amounts!$B$4:$B$103)*0.1*$A$2</f>
        <v>0</v>
      </c>
      <c r="C875" s="68">
        <f t="shared" si="85"/>
        <v>902907.24633514904</v>
      </c>
      <c r="D875" s="67">
        <f t="array" ref="D875">SUM($B$7:$B870*$F$1009*EXP(-$F$1009*($A875-$A$7:$A870)))*$F$1010</f>
        <v>1395147.9649985398</v>
      </c>
      <c r="E875" s="67">
        <f t="shared" si="83"/>
        <v>2.6597264315224258</v>
      </c>
      <c r="F875" s="70">
        <f t="shared" si="87"/>
        <v>0.16149858892204166</v>
      </c>
      <c r="G875" s="67">
        <f>E875/'Lookup Tables'!$C$48</f>
        <v>5.3194528630448517</v>
      </c>
      <c r="H875" s="70">
        <f t="shared" si="84"/>
        <v>1.5482788714814265E-3</v>
      </c>
      <c r="I875" s="71">
        <f t="shared" si="88"/>
        <v>7.6600121227845853E-3</v>
      </c>
      <c r="L875" s="74"/>
      <c r="M875" s="74"/>
      <c r="N875" s="74"/>
      <c r="O875" s="74"/>
      <c r="P875" s="74"/>
      <c r="Q875" s="74"/>
      <c r="R875" s="74"/>
      <c r="S875" s="74"/>
      <c r="T875" s="74"/>
      <c r="U875" s="74"/>
      <c r="V875" s="74"/>
      <c r="W875" s="74"/>
      <c r="X875" s="74"/>
      <c r="Y875" s="74"/>
      <c r="Z875" s="74"/>
    </row>
    <row r="876" spans="1:26" x14ac:dyDescent="0.3">
      <c r="A876" s="66">
        <f t="shared" si="86"/>
        <v>2076.899999999921</v>
      </c>
      <c r="B876" s="67">
        <f>LOOKUP(A876+0.01,Amounts!$A$4:$A$103,Amounts!$B$4:$B$103)*0.1*$A$2</f>
        <v>0</v>
      </c>
      <c r="C876" s="68">
        <f t="shared" si="85"/>
        <v>902907.24633514904</v>
      </c>
      <c r="D876" s="67">
        <f t="array" ref="D876">SUM($B$7:$B871*$F$1009*EXP(-$F$1009*($A876-$A$7:$A871)))*$F$1010</f>
        <v>1385416.0307521208</v>
      </c>
      <c r="E876" s="67">
        <f t="shared" si="83"/>
        <v>2.6411733580173755</v>
      </c>
      <c r="F876" s="70">
        <f t="shared" si="87"/>
        <v>0.16037204629881505</v>
      </c>
      <c r="G876" s="67">
        <f>E876/'Lookup Tables'!$C$48</f>
        <v>5.282346716034751</v>
      </c>
      <c r="H876" s="70">
        <f t="shared" si="84"/>
        <v>1.5374787638581515E-3</v>
      </c>
      <c r="I876" s="71">
        <f t="shared" si="88"/>
        <v>7.6065792710900415E-3</v>
      </c>
      <c r="L876" s="74"/>
      <c r="M876" s="74"/>
      <c r="N876" s="74"/>
      <c r="O876" s="74"/>
      <c r="P876" s="74"/>
      <c r="Q876" s="74"/>
      <c r="R876" s="74"/>
      <c r="S876" s="74"/>
      <c r="T876" s="74"/>
      <c r="U876" s="74"/>
      <c r="V876" s="74"/>
      <c r="W876" s="74"/>
      <c r="X876" s="74"/>
      <c r="Y876" s="74"/>
      <c r="Z876" s="74"/>
    </row>
    <row r="877" spans="1:26" x14ac:dyDescent="0.3">
      <c r="A877" s="66">
        <f t="shared" si="86"/>
        <v>2076.9999999999209</v>
      </c>
      <c r="B877" s="67">
        <f>LOOKUP(A877+0.01,Amounts!$A$4:$A$103,Amounts!$B$4:$B$103)*0.1*$A$2</f>
        <v>0</v>
      </c>
      <c r="C877" s="68">
        <f t="shared" si="85"/>
        <v>902907.24633514904</v>
      </c>
      <c r="D877" s="67">
        <f t="array" ref="D877">SUM($B$7:$B872*$F$1009*EXP(-$F$1009*($A877-$A$7:$A872)))*$F$1010</f>
        <v>1375751.9821684072</v>
      </c>
      <c r="E877" s="67">
        <f t="shared" si="83"/>
        <v>2.622749702535323</v>
      </c>
      <c r="F877" s="70">
        <f t="shared" si="87"/>
        <v>0.15925336193794482</v>
      </c>
      <c r="G877" s="67">
        <f>E877/'Lookup Tables'!$C$48</f>
        <v>5.245499405070646</v>
      </c>
      <c r="H877" s="70">
        <f t="shared" si="84"/>
        <v>1.5267539930019296E-3</v>
      </c>
      <c r="I877" s="71">
        <f t="shared" si="88"/>
        <v>7.5535191433017297E-3</v>
      </c>
      <c r="L877" s="74"/>
      <c r="M877" s="74"/>
      <c r="N877" s="74"/>
      <c r="O877" s="74"/>
      <c r="P877" s="74"/>
      <c r="Q877" s="74"/>
      <c r="R877" s="74"/>
      <c r="S877" s="74"/>
      <c r="T877" s="74"/>
      <c r="U877" s="74"/>
      <c r="V877" s="74"/>
      <c r="W877" s="74"/>
      <c r="X877" s="74"/>
      <c r="Y877" s="74"/>
      <c r="Z877" s="74"/>
    </row>
    <row r="878" spans="1:26" x14ac:dyDescent="0.3">
      <c r="A878" s="66">
        <f t="shared" si="86"/>
        <v>2077.0999999999208</v>
      </c>
      <c r="B878" s="67">
        <f>LOOKUP(A878+0.01,Amounts!$A$4:$A$103,Amounts!$B$4:$B$103)*0.1*$A$2</f>
        <v>0</v>
      </c>
      <c r="C878" s="68">
        <f t="shared" si="85"/>
        <v>902907.24633514904</v>
      </c>
      <c r="D878" s="67">
        <f t="array" ref="D878">SUM($B$7:$B873*$F$1009*EXP(-$F$1009*($A878-$A$7:$A873)))*$F$1010</f>
        <v>1366155.3457070852</v>
      </c>
      <c r="E878" s="67">
        <f t="shared" si="83"/>
        <v>2.6044545623134638</v>
      </c>
      <c r="F878" s="70">
        <f t="shared" si="87"/>
        <v>0.15814248102367351</v>
      </c>
      <c r="G878" s="67">
        <f>E878/'Lookup Tables'!$C$48</f>
        <v>5.2089091246269277</v>
      </c>
      <c r="H878" s="70">
        <f t="shared" si="84"/>
        <v>1.5161040333968431E-3</v>
      </c>
      <c r="I878" s="71">
        <f t="shared" si="88"/>
        <v>7.5008291394627761E-3</v>
      </c>
      <c r="L878" s="74"/>
      <c r="M878" s="74"/>
      <c r="N878" s="74"/>
      <c r="O878" s="74"/>
      <c r="P878" s="74"/>
      <c r="Q878" s="74"/>
      <c r="R878" s="74"/>
      <c r="S878" s="74"/>
      <c r="T878" s="74"/>
      <c r="U878" s="74"/>
      <c r="V878" s="74"/>
      <c r="W878" s="74"/>
      <c r="X878" s="74"/>
      <c r="Y878" s="74"/>
      <c r="Z878" s="74"/>
    </row>
    <row r="879" spans="1:26" x14ac:dyDescent="0.3">
      <c r="A879" s="66">
        <f t="shared" si="86"/>
        <v>2077.1999999999207</v>
      </c>
      <c r="B879" s="67">
        <f>LOOKUP(A879+0.01,Amounts!$A$4:$A$103,Amounts!$B$4:$B$103)*0.1*$A$2</f>
        <v>0</v>
      </c>
      <c r="C879" s="68">
        <f t="shared" si="85"/>
        <v>902907.24633514904</v>
      </c>
      <c r="D879" s="67">
        <f t="array" ref="D879">SUM($B$7:$B874*$F$1009*EXP(-$F$1009*($A879-$A$7:$A874)))*$F$1010</f>
        <v>1356625.6511310479</v>
      </c>
      <c r="E879" s="67">
        <f t="shared" si="83"/>
        <v>2.5862870408862659</v>
      </c>
      <c r="F879" s="70">
        <f t="shared" si="87"/>
        <v>0.15703934912261405</v>
      </c>
      <c r="G879" s="67">
        <f>E879/'Lookup Tables'!$C$48</f>
        <v>5.1725740817725319</v>
      </c>
      <c r="H879" s="70">
        <f t="shared" si="84"/>
        <v>1.5055283631927401E-3</v>
      </c>
      <c r="I879" s="71">
        <f t="shared" si="88"/>
        <v>7.448506677752445E-3</v>
      </c>
      <c r="L879" s="74"/>
      <c r="M879" s="74"/>
      <c r="N879" s="74"/>
      <c r="O879" s="74"/>
      <c r="P879" s="74"/>
      <c r="Q879" s="74"/>
      <c r="R879" s="74"/>
      <c r="S879" s="74"/>
      <c r="T879" s="74"/>
      <c r="U879" s="74"/>
      <c r="V879" s="74"/>
      <c r="W879" s="74"/>
      <c r="X879" s="74"/>
      <c r="Y879" s="74"/>
      <c r="Z879" s="74"/>
    </row>
    <row r="880" spans="1:26" x14ac:dyDescent="0.3">
      <c r="A880" s="66">
        <f t="shared" si="86"/>
        <v>2077.2999999999206</v>
      </c>
      <c r="B880" s="67">
        <f>LOOKUP(A880+0.01,Amounts!$A$4:$A$103,Amounts!$B$4:$B$103)*0.1*$A$2</f>
        <v>0</v>
      </c>
      <c r="C880" s="68">
        <f t="shared" si="85"/>
        <v>902907.24633514904</v>
      </c>
      <c r="D880" s="67">
        <f t="array" ref="D880">SUM($B$7:$B875*$F$1009*EXP(-$F$1009*($A880-$A$7:$A875)))*$F$1010</f>
        <v>1347162.4314833549</v>
      </c>
      <c r="E880" s="67">
        <f t="shared" si="83"/>
        <v>2.5682462480415462</v>
      </c>
      <c r="F880" s="70">
        <f t="shared" si="87"/>
        <v>0.15594391218108267</v>
      </c>
      <c r="G880" s="67">
        <f>E880/'Lookup Tables'!$C$48</f>
        <v>5.1364924960830924</v>
      </c>
      <c r="H880" s="70">
        <f t="shared" si="84"/>
        <v>1.4950264641796661E-3</v>
      </c>
      <c r="I880" s="71">
        <f t="shared" si="88"/>
        <v>7.3965491943596539E-3</v>
      </c>
      <c r="L880" s="74"/>
      <c r="M880" s="74"/>
      <c r="N880" s="74"/>
      <c r="O880" s="74"/>
      <c r="P880" s="74"/>
      <c r="Q880" s="74"/>
      <c r="R880" s="74"/>
      <c r="S880" s="74"/>
      <c r="T880" s="74"/>
      <c r="U880" s="74"/>
      <c r="V880" s="74"/>
      <c r="W880" s="74"/>
      <c r="X880" s="74"/>
      <c r="Y880" s="74"/>
      <c r="Z880" s="74"/>
    </row>
    <row r="881" spans="1:26" x14ac:dyDescent="0.3">
      <c r="A881" s="66">
        <f t="shared" si="86"/>
        <v>2077.3999999999205</v>
      </c>
      <c r="B881" s="67">
        <f>LOOKUP(A881+0.01,Amounts!$A$4:$A$103,Amounts!$B$4:$B$103)*0.1*$A$2</f>
        <v>0</v>
      </c>
      <c r="C881" s="68">
        <f t="shared" si="85"/>
        <v>902907.24633514904</v>
      </c>
      <c r="D881" s="67">
        <f t="array" ref="D881">SUM($B$7:$B876*$F$1009*EXP(-$F$1009*($A881-$A$7:$A876)))*$F$1010</f>
        <v>1337765.2230643493</v>
      </c>
      <c r="E881" s="67">
        <f t="shared" si="83"/>
        <v>2.5503312997768433</v>
      </c>
      <c r="F881" s="70">
        <f t="shared" si="87"/>
        <v>0.1548561165224499</v>
      </c>
      <c r="G881" s="67">
        <f>E881/'Lookup Tables'!$C$48</f>
        <v>5.1006625995536865</v>
      </c>
      <c r="H881" s="70">
        <f t="shared" si="84"/>
        <v>1.4845978217624663E-3</v>
      </c>
      <c r="I881" s="71">
        <f t="shared" si="88"/>
        <v>7.3449541433573086E-3</v>
      </c>
      <c r="L881" s="74"/>
      <c r="M881" s="74"/>
      <c r="N881" s="74"/>
      <c r="O881" s="74"/>
      <c r="P881" s="74"/>
      <c r="Q881" s="74"/>
      <c r="R881" s="74"/>
      <c r="S881" s="74"/>
      <c r="T881" s="74"/>
      <c r="U881" s="74"/>
      <c r="V881" s="74"/>
      <c r="W881" s="74"/>
      <c r="X881" s="74"/>
      <c r="Y881" s="74"/>
      <c r="Z881" s="74"/>
    </row>
    <row r="882" spans="1:26" x14ac:dyDescent="0.3">
      <c r="A882" s="66">
        <f t="shared" si="86"/>
        <v>2077.4999999999204</v>
      </c>
      <c r="B882" s="67">
        <f>LOOKUP(A882+0.01,Amounts!$A$4:$A$103,Amounts!$B$4:$B$103)*0.1*$A$2</f>
        <v>0</v>
      </c>
      <c r="C882" s="68">
        <f t="shared" si="85"/>
        <v>902907.24633514904</v>
      </c>
      <c r="D882" s="67">
        <f t="array" ref="D882">SUM($B$7:$B877*$F$1009*EXP(-$F$1009*($A882-$A$7:$A877)))*$F$1010</f>
        <v>1328433.5654089388</v>
      </c>
      <c r="E882" s="67">
        <f t="shared" si="83"/>
        <v>2.5325413182561087</v>
      </c>
      <c r="F882" s="70">
        <f t="shared" si="87"/>
        <v>0.15377590884451095</v>
      </c>
      <c r="G882" s="67">
        <f>E882/'Lookup Tables'!$C$48</f>
        <v>5.0650826365122175</v>
      </c>
      <c r="H882" s="70">
        <f t="shared" si="84"/>
        <v>1.4742419249355765E-3</v>
      </c>
      <c r="I882" s="71">
        <f t="shared" si="88"/>
        <v>7.2937189965775933E-3</v>
      </c>
      <c r="L882" s="74"/>
      <c r="M882" s="74"/>
      <c r="N882" s="74"/>
      <c r="O882" s="74"/>
      <c r="P882" s="74"/>
      <c r="Q882" s="74"/>
      <c r="R882" s="74"/>
      <c r="S882" s="74"/>
      <c r="T882" s="74"/>
      <c r="U882" s="74"/>
      <c r="V882" s="74"/>
      <c r="W882" s="74"/>
      <c r="X882" s="74"/>
      <c r="Y882" s="74"/>
      <c r="Z882" s="74"/>
    </row>
    <row r="883" spans="1:26" x14ac:dyDescent="0.3">
      <c r="A883" s="66">
        <f t="shared" si="86"/>
        <v>2077.5999999999203</v>
      </c>
      <c r="B883" s="67">
        <f>LOOKUP(A883+0.01,Amounts!$A$4:$A$103,Amounts!$B$4:$B$103)*0.1*$A$2</f>
        <v>0</v>
      </c>
      <c r="C883" s="68">
        <f t="shared" si="85"/>
        <v>902907.24633514904</v>
      </c>
      <c r="D883" s="67">
        <f t="array" ref="D883">SUM($B$7:$B878*$F$1009*EXP(-$F$1009*($A883-$A$7:$A878)))*$F$1010</f>
        <v>1319167.001264031</v>
      </c>
      <c r="E883" s="67">
        <f t="shared" si="83"/>
        <v>2.514875431766689</v>
      </c>
      <c r="F883" s="70">
        <f t="shared" si="87"/>
        <v>0.15270323621687337</v>
      </c>
      <c r="G883" s="67">
        <f>E883/'Lookup Tables'!$C$48</f>
        <v>5.0297508635333781</v>
      </c>
      <c r="H883" s="70">
        <f t="shared" si="84"/>
        <v>1.4639582662579801E-3</v>
      </c>
      <c r="I883" s="71">
        <f t="shared" si="88"/>
        <v>7.2428412434880646E-3</v>
      </c>
      <c r="L883" s="74"/>
      <c r="M883" s="74"/>
      <c r="N883" s="74"/>
      <c r="O883" s="74"/>
      <c r="P883" s="74"/>
      <c r="Q883" s="74"/>
      <c r="R883" s="74"/>
      <c r="S883" s="74"/>
      <c r="T883" s="74"/>
      <c r="U883" s="74"/>
      <c r="V883" s="74"/>
      <c r="W883" s="74"/>
      <c r="X883" s="74"/>
      <c r="Y883" s="74"/>
      <c r="Z883" s="74"/>
    </row>
    <row r="884" spans="1:26" x14ac:dyDescent="0.3">
      <c r="A884" s="66">
        <f t="shared" si="86"/>
        <v>2077.6999999999202</v>
      </c>
      <c r="B884" s="67">
        <f>LOOKUP(A884+0.01,Amounts!$A$4:$A$103,Amounts!$B$4:$B$103)*0.1*$A$2</f>
        <v>0</v>
      </c>
      <c r="C884" s="68">
        <f t="shared" si="85"/>
        <v>902907.24633514904</v>
      </c>
      <c r="D884" s="67">
        <f t="array" ref="D884">SUM($B$7:$B879*$F$1009*EXP(-$F$1009*($A884-$A$7:$A879)))*$F$1010</f>
        <v>1309965.0765661288</v>
      </c>
      <c r="E884" s="67">
        <f t="shared" si="83"/>
        <v>2.497332774676611</v>
      </c>
      <c r="F884" s="70">
        <f t="shared" si="87"/>
        <v>0.15163804607836384</v>
      </c>
      <c r="G884" s="67">
        <f>E884/'Lookup Tables'!$C$48</f>
        <v>4.9946655493532219</v>
      </c>
      <c r="H884" s="70">
        <f t="shared" si="84"/>
        <v>1.4537463418283446E-3</v>
      </c>
      <c r="I884" s="71">
        <f t="shared" si="88"/>
        <v>7.1923183910686406E-3</v>
      </c>
      <c r="L884" s="74"/>
      <c r="M884" s="74"/>
      <c r="N884" s="74"/>
      <c r="O884" s="74"/>
      <c r="P884" s="74"/>
      <c r="Q884" s="74"/>
      <c r="R884" s="74"/>
      <c r="S884" s="74"/>
      <c r="T884" s="74"/>
      <c r="U884" s="74"/>
      <c r="V884" s="74"/>
      <c r="W884" s="74"/>
      <c r="X884" s="74"/>
      <c r="Y884" s="74"/>
      <c r="Z884" s="74"/>
    </row>
    <row r="885" spans="1:26" x14ac:dyDescent="0.3">
      <c r="A885" s="66">
        <f t="shared" si="86"/>
        <v>2077.7999999999201</v>
      </c>
      <c r="B885" s="67">
        <f>LOOKUP(A885+0.01,Amounts!$A$4:$A$103,Amounts!$B$4:$B$103)*0.1*$A$2</f>
        <v>0</v>
      </c>
      <c r="C885" s="68">
        <f t="shared" si="85"/>
        <v>902907.24633514904</v>
      </c>
      <c r="D885" s="67">
        <f t="array" ref="D885">SUM($B$7:$B880*$F$1009*EXP(-$F$1009*($A885-$A$7:$A880)))*$F$1010</f>
        <v>1300827.340419081</v>
      </c>
      <c r="E885" s="67">
        <f t="shared" si="83"/>
        <v>2.4799124873921681</v>
      </c>
      <c r="F885" s="70">
        <f t="shared" si="87"/>
        <v>0.15058028623445244</v>
      </c>
      <c r="G885" s="67">
        <f>E885/'Lookup Tables'!$C$48</f>
        <v>4.9598249747843361</v>
      </c>
      <c r="H885" s="70">
        <f t="shared" si="84"/>
        <v>1.4436056512603295E-3</v>
      </c>
      <c r="I885" s="71">
        <f t="shared" si="88"/>
        <v>7.1421479636894439E-3</v>
      </c>
      <c r="L885" s="74"/>
      <c r="M885" s="74"/>
      <c r="N885" s="74"/>
      <c r="O885" s="74"/>
      <c r="P885" s="74"/>
      <c r="Q885" s="74"/>
      <c r="R885" s="74"/>
      <c r="S885" s="74"/>
      <c r="T885" s="74"/>
      <c r="U885" s="74"/>
      <c r="V885" s="74"/>
      <c r="W885" s="74"/>
      <c r="X885" s="74"/>
      <c r="Y885" s="74"/>
      <c r="Z885" s="74"/>
    </row>
    <row r="886" spans="1:26" x14ac:dyDescent="0.3">
      <c r="A886" s="66">
        <f t="shared" si="86"/>
        <v>2077.8999999999201</v>
      </c>
      <c r="B886" s="67">
        <f>LOOKUP(A886+0.01,Amounts!$A$4:$A$103,Amounts!$B$4:$B$103)*0.1*$A$2</f>
        <v>0</v>
      </c>
      <c r="C886" s="68">
        <f t="shared" si="85"/>
        <v>902907.24633514904</v>
      </c>
      <c r="D886" s="67">
        <f t="array" ref="D886">SUM($B$7:$B881*$F$1009*EXP(-$F$1009*($A886-$A$7:$A881)))*$F$1010</f>
        <v>1291753.3450719879</v>
      </c>
      <c r="E886" s="67">
        <f t="shared" si="83"/>
        <v>2.4626137163157966</v>
      </c>
      <c r="F886" s="70">
        <f t="shared" si="87"/>
        <v>0.14952990485469519</v>
      </c>
      <c r="G886" s="67">
        <f>E886/'Lookup Tables'!$C$48</f>
        <v>4.9252274326315932</v>
      </c>
      <c r="H886" s="70">
        <f t="shared" si="84"/>
        <v>1.4335356976580677E-3</v>
      </c>
      <c r="I886" s="71">
        <f t="shared" si="88"/>
        <v>7.0923275029894945E-3</v>
      </c>
      <c r="L886" s="74"/>
      <c r="M886" s="74"/>
      <c r="N886" s="74"/>
      <c r="O886" s="74"/>
      <c r="P886" s="74"/>
      <c r="Q886" s="74"/>
      <c r="R886" s="74"/>
      <c r="S886" s="74"/>
      <c r="T886" s="74"/>
      <c r="U886" s="74"/>
      <c r="V886" s="74"/>
      <c r="W886" s="74"/>
      <c r="X886" s="74"/>
      <c r="Y886" s="74"/>
      <c r="Z886" s="74"/>
    </row>
    <row r="887" spans="1:26" x14ac:dyDescent="0.3">
      <c r="A887" s="66">
        <f t="shared" si="86"/>
        <v>2077.99999999992</v>
      </c>
      <c r="B887" s="67">
        <f>LOOKUP(A887+0.01,Amounts!$A$4:$A$103,Amounts!$B$4:$B$103)*0.1*$A$2</f>
        <v>0</v>
      </c>
      <c r="C887" s="68">
        <f t="shared" si="85"/>
        <v>902907.24633514904</v>
      </c>
      <c r="D887" s="67">
        <f t="array" ref="D887">SUM($B$7:$B882*$F$1009*EXP(-$F$1009*($A887-$A$7:$A882)))*$F$1010</f>
        <v>1282742.6458972618</v>
      </c>
      <c r="E887" s="67">
        <f t="shared" si="83"/>
        <v>2.445435613804253</v>
      </c>
      <c r="F887" s="70">
        <f t="shared" si="87"/>
        <v>0.14848685047019425</v>
      </c>
      <c r="G887" s="67">
        <f>E887/'Lookup Tables'!$C$48</f>
        <v>4.890871227608506</v>
      </c>
      <c r="H887" s="70">
        <f t="shared" si="84"/>
        <v>1.4235359875918181E-3</v>
      </c>
      <c r="I887" s="71">
        <f t="shared" si="88"/>
        <v>7.0428545677562486E-3</v>
      </c>
      <c r="L887" s="74"/>
      <c r="M887" s="74"/>
      <c r="N887" s="74"/>
      <c r="O887" s="74"/>
      <c r="P887" s="74"/>
      <c r="Q887" s="74"/>
      <c r="R887" s="74"/>
      <c r="S887" s="74"/>
      <c r="T887" s="74"/>
      <c r="U887" s="74"/>
      <c r="V887" s="74"/>
      <c r="W887" s="74"/>
      <c r="X887" s="74"/>
      <c r="Y887" s="74"/>
      <c r="Z887" s="74"/>
    </row>
    <row r="888" spans="1:26" x14ac:dyDescent="0.3">
      <c r="A888" s="66">
        <f t="shared" si="86"/>
        <v>2078.0999999999199</v>
      </c>
      <c r="B888" s="67">
        <f>LOOKUP(A888+0.01,Amounts!$A$4:$A$103,Amounts!$B$4:$B$103)*0.1*$A$2</f>
        <v>0</v>
      </c>
      <c r="C888" s="68">
        <f t="shared" si="85"/>
        <v>902907.24633514904</v>
      </c>
      <c r="D888" s="67">
        <f t="array" ref="D888">SUM($B$7:$B883*$F$1009*EXP(-$F$1009*($A888-$A$7:$A883)))*$F$1010</f>
        <v>1273794.8013688405</v>
      </c>
      <c r="E888" s="67">
        <f t="shared" si="83"/>
        <v>2.4283773381270777</v>
      </c>
      <c r="F888" s="70">
        <f t="shared" si="87"/>
        <v>0.14745107197107615</v>
      </c>
      <c r="G888" s="67">
        <f>E888/'Lookup Tables'!$C$48</f>
        <v>4.8567546762541554</v>
      </c>
      <c r="H888" s="70">
        <f t="shared" si="84"/>
        <v>1.413606031073787E-3</v>
      </c>
      <c r="I888" s="71">
        <f t="shared" si="88"/>
        <v>6.9937267338059834E-3</v>
      </c>
      <c r="L888" s="74"/>
      <c r="M888" s="74"/>
      <c r="N888" s="74"/>
      <c r="O888" s="74"/>
      <c r="P888" s="74"/>
      <c r="Q888" s="74"/>
      <c r="R888" s="74"/>
      <c r="S888" s="74"/>
      <c r="T888" s="74"/>
      <c r="U888" s="74"/>
      <c r="V888" s="74"/>
      <c r="W888" s="74"/>
      <c r="X888" s="74"/>
      <c r="Y888" s="74"/>
      <c r="Z888" s="74"/>
    </row>
    <row r="889" spans="1:26" x14ac:dyDescent="0.3">
      <c r="A889" s="66">
        <f t="shared" si="86"/>
        <v>2078.1999999999198</v>
      </c>
      <c r="B889" s="67">
        <f>LOOKUP(A889+0.01,Amounts!$A$4:$A$103,Amounts!$B$4:$B$103)*0.1*$A$2</f>
        <v>0</v>
      </c>
      <c r="C889" s="68">
        <f t="shared" si="85"/>
        <v>902907.24633514904</v>
      </c>
      <c r="D889" s="67">
        <f t="array" ref="D889">SUM($B$7:$B884*$F$1009*EXP(-$F$1009*($A889-$A$7:$A884)))*$F$1010</f>
        <v>1264909.3730405518</v>
      </c>
      <c r="E889" s="67">
        <f t="shared" si="83"/>
        <v>2.411438053425349</v>
      </c>
      <c r="F889" s="70">
        <f t="shared" si="87"/>
        <v>0.14642251860398717</v>
      </c>
      <c r="G889" s="67">
        <f>E889/'Lookup Tables'!$C$48</f>
        <v>4.822876106850698</v>
      </c>
      <c r="H889" s="70">
        <f t="shared" si="84"/>
        <v>1.4037453415341177E-3</v>
      </c>
      <c r="I889" s="71">
        <f t="shared" si="88"/>
        <v>6.9449415938650054E-3</v>
      </c>
      <c r="L889" s="74"/>
      <c r="M889" s="74"/>
      <c r="N889" s="74"/>
      <c r="O889" s="74"/>
      <c r="P889" s="74"/>
      <c r="Q889" s="74"/>
      <c r="R889" s="74"/>
      <c r="S889" s="74"/>
      <c r="T889" s="74"/>
      <c r="U889" s="74"/>
      <c r="V889" s="74"/>
      <c r="W889" s="74"/>
      <c r="X889" s="74"/>
      <c r="Y889" s="74"/>
      <c r="Z889" s="74"/>
    </row>
    <row r="890" spans="1:26" x14ac:dyDescent="0.3">
      <c r="A890" s="66">
        <f t="shared" si="86"/>
        <v>2078.2999999999197</v>
      </c>
      <c r="B890" s="67">
        <f>LOOKUP(A890+0.01,Amounts!$A$4:$A$103,Amounts!$B$4:$B$103)*0.1*$A$2</f>
        <v>0</v>
      </c>
      <c r="C890" s="68">
        <f t="shared" si="85"/>
        <v>902907.24633514904</v>
      </c>
      <c r="D890" s="67">
        <f t="array" ref="D890">SUM($B$7:$B885*$F$1009*EXP(-$F$1009*($A890-$A$7:$A885)))*$F$1010</f>
        <v>1256085.9255246301</v>
      </c>
      <c r="E890" s="67">
        <f t="shared" si="83"/>
        <v>2.394616929670728</v>
      </c>
      <c r="F890" s="70">
        <f t="shared" si="87"/>
        <v>0.14540113996960663</v>
      </c>
      <c r="G890" s="67">
        <f>E890/'Lookup Tables'!$C$48</f>
        <v>4.7892338593414561</v>
      </c>
      <c r="H890" s="70">
        <f t="shared" si="84"/>
        <v>1.3939534357970504E-3</v>
      </c>
      <c r="I890" s="71">
        <f t="shared" si="88"/>
        <v>6.8964967574516979E-3</v>
      </c>
      <c r="L890" s="74"/>
      <c r="M890" s="74"/>
      <c r="N890" s="74"/>
      <c r="O890" s="74"/>
      <c r="P890" s="74"/>
      <c r="Q890" s="74"/>
      <c r="R890" s="74"/>
      <c r="S890" s="74"/>
      <c r="T890" s="74"/>
      <c r="U890" s="74"/>
      <c r="V890" s="74"/>
      <c r="W890" s="74"/>
      <c r="X890" s="74"/>
      <c r="Y890" s="74"/>
      <c r="Z890" s="74"/>
    </row>
    <row r="891" spans="1:26" x14ac:dyDescent="0.3">
      <c r="A891" s="66">
        <f t="shared" si="86"/>
        <v>2078.3999999999196</v>
      </c>
      <c r="B891" s="67">
        <f>LOOKUP(A891+0.01,Amounts!$A$4:$A$103,Amounts!$B$4:$B$103)*0.1*$A$2</f>
        <v>0</v>
      </c>
      <c r="C891" s="68">
        <f t="shared" si="85"/>
        <v>902907.24633514904</v>
      </c>
      <c r="D891" s="67">
        <f t="array" ref="D891">SUM($B$7:$B886*$F$1009*EXP(-$F$1009*($A891-$A$7:$A886)))*$F$1010</f>
        <v>1247324.0264703806</v>
      </c>
      <c r="E891" s="67">
        <f t="shared" si="83"/>
        <v>2.377913142624783</v>
      </c>
      <c r="F891" s="70">
        <f t="shared" si="87"/>
        <v>0.14438688602017682</v>
      </c>
      <c r="G891" s="67">
        <f>E891/'Lookup Tables'!$C$48</f>
        <v>4.7558262852495661</v>
      </c>
      <c r="H891" s="70">
        <f t="shared" si="84"/>
        <v>1.3842298340572433E-3</v>
      </c>
      <c r="I891" s="71">
        <f t="shared" si="88"/>
        <v>6.8483898507593751E-3</v>
      </c>
      <c r="L891" s="74"/>
      <c r="M891" s="74"/>
      <c r="N891" s="74"/>
      <c r="O891" s="74"/>
      <c r="P891" s="74"/>
      <c r="Q891" s="74"/>
      <c r="R891" s="74"/>
      <c r="S891" s="74"/>
      <c r="T891" s="74"/>
      <c r="U891" s="74"/>
      <c r="V891" s="74"/>
      <c r="W891" s="74"/>
      <c r="X891" s="74"/>
      <c r="Y891" s="74"/>
      <c r="Z891" s="74"/>
    </row>
    <row r="892" spans="1:26" x14ac:dyDescent="0.3">
      <c r="A892" s="66">
        <f t="shared" si="86"/>
        <v>2078.4999999999195</v>
      </c>
      <c r="B892" s="67">
        <f>LOOKUP(A892+0.01,Amounts!$A$4:$A$103,Amounts!$B$4:$B$103)*0.1*$A$2</f>
        <v>0</v>
      </c>
      <c r="C892" s="68">
        <f t="shared" si="85"/>
        <v>902907.24633514904</v>
      </c>
      <c r="D892" s="67">
        <f t="array" ref="D892">SUM($B$7:$B887*$F$1009*EXP(-$F$1009*($A892-$A$7:$A887)))*$F$1010</f>
        <v>1238623.2465429977</v>
      </c>
      <c r="E892" s="67">
        <f t="shared" si="83"/>
        <v>2.3613258737986094</v>
      </c>
      <c r="F892" s="70">
        <f t="shared" si="87"/>
        <v>0.14337970705705155</v>
      </c>
      <c r="G892" s="67">
        <f>E892/'Lookup Tables'!$C$48</f>
        <v>4.7226517475972187</v>
      </c>
      <c r="H892" s="70">
        <f t="shared" si="84"/>
        <v>1.3745740598562679E-3</v>
      </c>
      <c r="I892" s="71">
        <f t="shared" si="88"/>
        <v>6.8006185165399953E-3</v>
      </c>
      <c r="L892" s="74"/>
      <c r="M892" s="74"/>
      <c r="N892" s="74"/>
      <c r="O892" s="74"/>
      <c r="P892" s="74"/>
      <c r="Q892" s="74"/>
      <c r="R892" s="74"/>
      <c r="S892" s="74"/>
      <c r="T892" s="74"/>
      <c r="U892" s="74"/>
      <c r="V892" s="74"/>
      <c r="W892" s="74"/>
      <c r="X892" s="74"/>
      <c r="Y892" s="74"/>
      <c r="Z892" s="74"/>
    </row>
    <row r="893" spans="1:26" x14ac:dyDescent="0.3">
      <c r="A893" s="66">
        <f t="shared" si="86"/>
        <v>2078.5999999999194</v>
      </c>
      <c r="B893" s="67">
        <f>LOOKUP(A893+0.01,Amounts!$A$4:$A$103,Amounts!$B$4:$B$103)*0.1*$A$2</f>
        <v>0</v>
      </c>
      <c r="C893" s="68">
        <f t="shared" si="85"/>
        <v>902907.24633514904</v>
      </c>
      <c r="D893" s="67">
        <f t="array" ref="D893">SUM($B$7:$B888*$F$1009*EXP(-$F$1009*($A893-$A$7:$A888)))*$F$1010</f>
        <v>1229983.1594025234</v>
      </c>
      <c r="E893" s="67">
        <f t="shared" si="83"/>
        <v>2.344854310412714</v>
      </c>
      <c r="F893" s="70">
        <f t="shared" si="87"/>
        <v>0.14237955372825997</v>
      </c>
      <c r="G893" s="67">
        <f>E893/'Lookup Tables'!$C$48</f>
        <v>4.6897086208254279</v>
      </c>
      <c r="H893" s="70">
        <f t="shared" si="84"/>
        <v>1.3649856400592547E-3</v>
      </c>
      <c r="I893" s="71">
        <f t="shared" si="88"/>
        <v>6.7531804139886161E-3</v>
      </c>
      <c r="L893" s="74"/>
      <c r="M893" s="74"/>
      <c r="N893" s="74"/>
      <c r="O893" s="74"/>
      <c r="P893" s="74"/>
      <c r="Q893" s="74"/>
      <c r="R893" s="74"/>
      <c r="S893" s="74"/>
      <c r="T893" s="74"/>
      <c r="U893" s="74"/>
      <c r="V893" s="74"/>
      <c r="W893" s="74"/>
      <c r="X893" s="74"/>
      <c r="Y893" s="74"/>
      <c r="Z893" s="74"/>
    </row>
    <row r="894" spans="1:26" x14ac:dyDescent="0.3">
      <c r="A894" s="66">
        <f t="shared" si="86"/>
        <v>2078.6999999999193</v>
      </c>
      <c r="B894" s="67">
        <f>LOOKUP(A894+0.01,Amounts!$A$4:$A$103,Amounts!$B$4:$B$103)*0.1*$A$2</f>
        <v>0</v>
      </c>
      <c r="C894" s="68">
        <f t="shared" si="85"/>
        <v>902907.24633514904</v>
      </c>
      <c r="D894" s="67">
        <f t="array" ref="D894">SUM($B$7:$B889*$F$1009*EXP(-$F$1009*($A894-$A$7:$A889)))*$F$1010</f>
        <v>1221403.3416829589</v>
      </c>
      <c r="E894" s="67">
        <f t="shared" si="83"/>
        <v>2.3284976453571953</v>
      </c>
      <c r="F894" s="70">
        <f t="shared" si="87"/>
        <v>0.14138637702608889</v>
      </c>
      <c r="G894" s="67">
        <f>E894/'Lookup Tables'!$C$48</f>
        <v>4.6569952907143906</v>
      </c>
      <c r="H894" s="70">
        <f t="shared" si="84"/>
        <v>1.3554641048317152E-3</v>
      </c>
      <c r="I894" s="71">
        <f t="shared" si="88"/>
        <v>6.7060732186287227E-3</v>
      </c>
      <c r="L894" s="74"/>
      <c r="M894" s="74"/>
      <c r="N894" s="74"/>
      <c r="O894" s="74"/>
      <c r="P894" s="74"/>
      <c r="Q894" s="74"/>
      <c r="R894" s="74"/>
      <c r="S894" s="74"/>
      <c r="T894" s="74"/>
      <c r="U894" s="74"/>
      <c r="V894" s="74"/>
      <c r="W894" s="74"/>
      <c r="X894" s="74"/>
      <c r="Y894" s="74"/>
      <c r="Z894" s="74"/>
    </row>
    <row r="895" spans="1:26" x14ac:dyDescent="0.3">
      <c r="A895" s="66">
        <f t="shared" si="86"/>
        <v>2078.7999999999192</v>
      </c>
      <c r="B895" s="67">
        <f>LOOKUP(A895+0.01,Amounts!$A$4:$A$103,Amounts!$B$4:$B$103)*0.1*$A$2</f>
        <v>0</v>
      </c>
      <c r="C895" s="68">
        <f t="shared" si="85"/>
        <v>902907.24633514904</v>
      </c>
      <c r="D895" s="67">
        <f t="array" ref="D895">SUM($B$7:$B890*$F$1009*EXP(-$F$1009*($A895-$A$7:$A890)))*$F$1010</f>
        <v>1212883.3729715201</v>
      </c>
      <c r="E895" s="67">
        <f t="shared" si="83"/>
        <v>2.3122550771521935</v>
      </c>
      <c r="F895" s="70">
        <f t="shared" si="87"/>
        <v>0.14040012828468118</v>
      </c>
      <c r="G895" s="67">
        <f>E895/'Lookup Tables'!$C$48</f>
        <v>4.6245101543043869</v>
      </c>
      <c r="H895" s="70">
        <f t="shared" si="84"/>
        <v>1.3460089876165188E-3</v>
      </c>
      <c r="I895" s="71">
        <f t="shared" si="88"/>
        <v>6.6592946221983168E-3</v>
      </c>
      <c r="L895" s="74"/>
      <c r="M895" s="74"/>
      <c r="N895" s="74"/>
      <c r="O895" s="74"/>
      <c r="P895" s="74"/>
      <c r="Q895" s="74"/>
      <c r="R895" s="74"/>
      <c r="S895" s="74"/>
      <c r="T895" s="74"/>
      <c r="U895" s="74"/>
      <c r="V895" s="74"/>
      <c r="W895" s="74"/>
      <c r="X895" s="74"/>
      <c r="Y895" s="74"/>
      <c r="Z895" s="74"/>
    </row>
    <row r="896" spans="1:26" x14ac:dyDescent="0.3">
      <c r="A896" s="66">
        <f t="shared" si="86"/>
        <v>2078.8999999999191</v>
      </c>
      <c r="B896" s="67">
        <f>LOOKUP(A896+0.01,Amounts!$A$4:$A$103,Amounts!$B$4:$B$103)*0.1*$A$2</f>
        <v>0</v>
      </c>
      <c r="C896" s="68">
        <f t="shared" si="85"/>
        <v>902907.24633514904</v>
      </c>
      <c r="D896" s="67">
        <f t="array" ref="D896">SUM($B$7:$B891*$F$1009*EXP(-$F$1009*($A896-$A$7:$A891)))*$F$1010</f>
        <v>1204422.8357880346</v>
      </c>
      <c r="E896" s="67">
        <f t="shared" si="83"/>
        <v>2.2961258099086161</v>
      </c>
      <c r="F896" s="70">
        <f t="shared" si="87"/>
        <v>0.13942075917765118</v>
      </c>
      <c r="G896" s="67">
        <f>E896/'Lookup Tables'!$C$48</f>
        <v>4.5922516198172323</v>
      </c>
      <c r="H896" s="70">
        <f t="shared" si="84"/>
        <v>1.3366198251110301E-3</v>
      </c>
      <c r="I896" s="71">
        <f t="shared" si="88"/>
        <v>6.6128423325368148E-3</v>
      </c>
      <c r="L896" s="74"/>
      <c r="M896" s="74"/>
      <c r="N896" s="74"/>
      <c r="O896" s="74"/>
      <c r="P896" s="74"/>
      <c r="Q896" s="74"/>
      <c r="R896" s="74"/>
      <c r="S896" s="74"/>
      <c r="T896" s="74"/>
      <c r="U896" s="74"/>
      <c r="V896" s="74"/>
      <c r="W896" s="74"/>
      <c r="X896" s="74"/>
      <c r="Y896" s="74"/>
      <c r="Z896" s="74"/>
    </row>
    <row r="897" spans="1:26" x14ac:dyDescent="0.3">
      <c r="A897" s="66">
        <f t="shared" si="86"/>
        <v>2078.9999999999191</v>
      </c>
      <c r="B897" s="67">
        <f>LOOKUP(A897+0.01,Amounts!$A$4:$A$103,Amounts!$B$4:$B$103)*0.1*$A$2</f>
        <v>0</v>
      </c>
      <c r="C897" s="68">
        <f t="shared" si="85"/>
        <v>902907.24633514904</v>
      </c>
      <c r="D897" s="67">
        <f t="array" ref="D897">SUM($B$7:$B892*$F$1009*EXP(-$F$1009*($A897-$A$7:$A892)))*$F$1010</f>
        <v>1196021.3155644883</v>
      </c>
      <c r="E897" s="67">
        <f t="shared" si="83"/>
        <v>2.2801090532891419</v>
      </c>
      <c r="F897" s="70">
        <f t="shared" si="87"/>
        <v>0.13844822171571666</v>
      </c>
      <c r="G897" s="67">
        <f>E897/'Lookup Tables'!$C$48</f>
        <v>4.5602181065782839</v>
      </c>
      <c r="H897" s="70">
        <f t="shared" si="84"/>
        <v>1.3272961572444073E-3</v>
      </c>
      <c r="I897" s="71">
        <f t="shared" si="88"/>
        <v>6.5667140734727283E-3</v>
      </c>
      <c r="L897" s="74"/>
      <c r="M897" s="74"/>
      <c r="N897" s="74"/>
      <c r="O897" s="74"/>
      <c r="P897" s="74"/>
      <c r="Q897" s="74"/>
      <c r="R897" s="74"/>
      <c r="S897" s="74"/>
      <c r="T897" s="74"/>
      <c r="U897" s="74"/>
      <c r="V897" s="74"/>
      <c r="W897" s="74"/>
      <c r="X897" s="74"/>
      <c r="Y897" s="74"/>
      <c r="Z897" s="74"/>
    </row>
    <row r="898" spans="1:26" x14ac:dyDescent="0.3">
      <c r="A898" s="66">
        <f t="shared" si="86"/>
        <v>2079.099999999919</v>
      </c>
      <c r="B898" s="67">
        <f>LOOKUP(A898+0.01,Amounts!$A$4:$A$103,Amounts!$B$4:$B$103)*0.1*$A$2</f>
        <v>0</v>
      </c>
      <c r="C898" s="68">
        <f t="shared" si="85"/>
        <v>902907.24633514904</v>
      </c>
      <c r="D898" s="67">
        <f t="array" ref="D898">SUM($B$7:$B893*$F$1009*EXP(-$F$1009*($A898-$A$7:$A893)))*$F$1010</f>
        <v>1187678.4006247083</v>
      </c>
      <c r="E898" s="67">
        <f t="shared" si="83"/>
        <v>2.2642040224694902</v>
      </c>
      <c r="F898" s="70">
        <f t="shared" si="87"/>
        <v>0.13748246824434743</v>
      </c>
      <c r="G898" s="67">
        <f>E898/'Lookup Tables'!$C$48</f>
        <v>4.5284080449389803</v>
      </c>
      <c r="H898" s="70">
        <f t="shared" si="84"/>
        <v>1.3180375271550594E-3</v>
      </c>
      <c r="I898" s="71">
        <f t="shared" si="88"/>
        <v>6.5209075847121314E-3</v>
      </c>
      <c r="L898" s="74"/>
      <c r="M898" s="74"/>
      <c r="N898" s="74"/>
      <c r="O898" s="74"/>
      <c r="P898" s="74"/>
      <c r="Q898" s="74"/>
      <c r="R898" s="74"/>
      <c r="S898" s="74"/>
      <c r="T898" s="74"/>
      <c r="U898" s="74"/>
      <c r="V898" s="74"/>
      <c r="W898" s="74"/>
      <c r="X898" s="74"/>
      <c r="Y898" s="74"/>
      <c r="Z898" s="74"/>
    </row>
    <row r="899" spans="1:26" x14ac:dyDescent="0.3">
      <c r="A899" s="66">
        <f t="shared" si="86"/>
        <v>2079.1999999999189</v>
      </c>
      <c r="B899" s="67">
        <f>LOOKUP(A899+0.01,Amounts!$A$4:$A$103,Amounts!$B$4:$B$103)*0.1*$A$2</f>
        <v>0</v>
      </c>
      <c r="C899" s="68">
        <f t="shared" si="85"/>
        <v>902907.24633514904</v>
      </c>
      <c r="D899" s="67">
        <f t="array" ref="D899">SUM($B$7:$B894*$F$1009*EXP(-$F$1009*($A899-$A$7:$A894)))*$F$1010</f>
        <v>1179393.6821641941</v>
      </c>
      <c r="E899" s="67">
        <f t="shared" si="83"/>
        <v>2.2484099380999698</v>
      </c>
      <c r="F899" s="70">
        <f t="shared" si="87"/>
        <v>0.13652345144143016</v>
      </c>
      <c r="G899" s="67">
        <f>E899/'Lookup Tables'!$C$48</f>
        <v>4.4968198761999396</v>
      </c>
      <c r="H899" s="70">
        <f t="shared" si="84"/>
        <v>1.30884348116826E-3</v>
      </c>
      <c r="I899" s="71">
        <f t="shared" si="88"/>
        <v>6.475420621727913E-3</v>
      </c>
      <c r="L899" s="74"/>
      <c r="M899" s="74"/>
      <c r="N899" s="74"/>
      <c r="O899" s="74"/>
      <c r="P899" s="74"/>
      <c r="Q899" s="74"/>
      <c r="R899" s="74"/>
      <c r="S899" s="74"/>
      <c r="T899" s="74"/>
      <c r="U899" s="74"/>
      <c r="V899" s="74"/>
      <c r="W899" s="74"/>
      <c r="X899" s="74"/>
      <c r="Y899" s="74"/>
      <c r="Z899" s="74"/>
    </row>
    <row r="900" spans="1:26" x14ac:dyDescent="0.3">
      <c r="A900" s="66">
        <f t="shared" si="86"/>
        <v>2079.2999999999188</v>
      </c>
      <c r="B900" s="67">
        <f>LOOKUP(A900+0.01,Amounts!$A$4:$A$103,Amounts!$B$4:$B$103)*0.1*$A$2</f>
        <v>0</v>
      </c>
      <c r="C900" s="68">
        <f t="shared" si="85"/>
        <v>902907.24633514904</v>
      </c>
      <c r="D900" s="67">
        <f t="array" ref="D900">SUM($B$7:$B895*$F$1009*EXP(-$F$1009*($A900-$A$7:$A895)))*$F$1010</f>
        <v>1171166.7542300832</v>
      </c>
      <c r="E900" s="67">
        <f t="shared" si="83"/>
        <v>2.2327260262672866</v>
      </c>
      <c r="F900" s="70">
        <f t="shared" si="87"/>
        <v>0.13557112431494964</v>
      </c>
      <c r="G900" s="67">
        <f>E900/'Lookup Tables'!$C$48</f>
        <v>4.4654520525345731</v>
      </c>
      <c r="H900" s="70">
        <f t="shared" si="84"/>
        <v>1.2997135687739161E-3</v>
      </c>
      <c r="I900" s="71">
        <f t="shared" si="88"/>
        <v>6.4302509556497852E-3</v>
      </c>
      <c r="L900" s="74"/>
      <c r="M900" s="74"/>
      <c r="N900" s="74"/>
      <c r="O900" s="74"/>
      <c r="P900" s="74"/>
      <c r="Q900" s="74"/>
      <c r="R900" s="74"/>
      <c r="S900" s="74"/>
      <c r="T900" s="74"/>
      <c r="U900" s="74"/>
      <c r="V900" s="74"/>
      <c r="W900" s="74"/>
      <c r="X900" s="74"/>
      <c r="Y900" s="74"/>
      <c r="Z900" s="74"/>
    </row>
    <row r="901" spans="1:26" x14ac:dyDescent="0.3">
      <c r="A901" s="66">
        <f t="shared" si="86"/>
        <v>2079.3999999999187</v>
      </c>
      <c r="B901" s="67">
        <f>LOOKUP(A901+0.01,Amounts!$A$4:$A$103,Amounts!$B$4:$B$103)*0.1*$A$2</f>
        <v>0</v>
      </c>
      <c r="C901" s="68">
        <f t="shared" si="85"/>
        <v>902907.24633514904</v>
      </c>
      <c r="D901" s="67">
        <f t="array" ref="D901">SUM($B$7:$B896*$F$1009*EXP(-$F$1009*($A901-$A$7:$A896)))*$F$1010</f>
        <v>1162997.2137012607</v>
      </c>
      <c r="E901" s="67">
        <f t="shared" si="83"/>
        <v>2.2171515184566215</v>
      </c>
      <c r="F901" s="70">
        <f t="shared" si="87"/>
        <v>0.13462544020068604</v>
      </c>
      <c r="G901" s="67">
        <f>E901/'Lookup Tables'!$C$48</f>
        <v>4.434303036913243</v>
      </c>
      <c r="H901" s="70">
        <f t="shared" si="84"/>
        <v>1.2906473426044925E-3</v>
      </c>
      <c r="I901" s="71">
        <f t="shared" si="88"/>
        <v>6.3853963731550691E-3</v>
      </c>
      <c r="L901" s="74"/>
      <c r="M901" s="74"/>
      <c r="N901" s="74"/>
      <c r="O901" s="74"/>
      <c r="P901" s="74"/>
      <c r="Q901" s="74"/>
      <c r="R901" s="74"/>
      <c r="S901" s="74"/>
      <c r="T901" s="74"/>
      <c r="U901" s="74"/>
      <c r="V901" s="74"/>
      <c r="W901" s="74"/>
      <c r="X901" s="74"/>
      <c r="Y901" s="74"/>
      <c r="Z901" s="74"/>
    </row>
    <row r="902" spans="1:26" x14ac:dyDescent="0.3">
      <c r="A902" s="66">
        <f t="shared" si="86"/>
        <v>2079.4999999999186</v>
      </c>
      <c r="B902" s="67">
        <f>LOOKUP(A902+0.01,Amounts!$A$4:$A$103,Amounts!$B$4:$B$103)*0.1*$A$2</f>
        <v>0</v>
      </c>
      <c r="C902" s="68">
        <f t="shared" si="85"/>
        <v>902907.24633514904</v>
      </c>
      <c r="D902" s="67">
        <f t="array" ref="D902">SUM($B$7:$B897*$F$1009*EXP(-$F$1009*($A902-$A$7:$A897)))*$F$1010</f>
        <v>1154884.6602686059</v>
      </c>
      <c r="E902" s="67">
        <f t="shared" si="83"/>
        <v>2.2016856515139764</v>
      </c>
      <c r="F902" s="70">
        <f t="shared" si="87"/>
        <v>0.13368635275992866</v>
      </c>
      <c r="G902" s="67">
        <f>E902/'Lookup Tables'!$C$48</f>
        <v>4.4033713030279529</v>
      </c>
      <c r="H902" s="70">
        <f t="shared" si="84"/>
        <v>1.2816443584130945E-3</v>
      </c>
      <c r="I902" s="71">
        <f t="shared" si="88"/>
        <v>6.3408546763602516E-3</v>
      </c>
      <c r="L902" s="74"/>
      <c r="M902" s="74"/>
      <c r="N902" s="74"/>
      <c r="O902" s="74"/>
      <c r="P902" s="74"/>
      <c r="Q902" s="74"/>
      <c r="R902" s="74"/>
      <c r="S902" s="74"/>
      <c r="T902" s="74"/>
      <c r="U902" s="74"/>
      <c r="V902" s="74"/>
      <c r="W902" s="74"/>
      <c r="X902" s="74"/>
      <c r="Y902" s="74"/>
      <c r="Z902" s="74"/>
    </row>
    <row r="903" spans="1:26" x14ac:dyDescent="0.3">
      <c r="A903" s="66">
        <f t="shared" si="86"/>
        <v>2079.5999999999185</v>
      </c>
      <c r="B903" s="67">
        <f>LOOKUP(A903+0.01,Amounts!$A$4:$A$103,Amounts!$B$4:$B$103)*0.1*$A$2</f>
        <v>0</v>
      </c>
      <c r="C903" s="68">
        <f t="shared" si="85"/>
        <v>902907.24633514904</v>
      </c>
      <c r="D903" s="67">
        <f t="array" ref="D903">SUM($B$7:$B898*$F$1009*EXP(-$F$1009*($A903-$A$7:$A898)))*$F$1010</f>
        <v>1146828.696415378</v>
      </c>
      <c r="E903" s="67">
        <f t="shared" ref="E903:E966" si="89">D903/(365*24*60)*1.00201</f>
        <v>2.1863276676087766</v>
      </c>
      <c r="F903" s="70">
        <f t="shared" si="87"/>
        <v>0.1327538159772049</v>
      </c>
      <c r="G903" s="67">
        <f>E903/'Lookup Tables'!$C$48</f>
        <v>4.3726553352175532</v>
      </c>
      <c r="H903" s="70">
        <f t="shared" ref="H903:H966" si="90">G903*60*24*365/(C903*2000)</f>
        <v>1.2727041750516944E-3</v>
      </c>
      <c r="I903" s="71">
        <f t="shared" si="88"/>
        <v>6.296623682713276E-3</v>
      </c>
      <c r="L903" s="74"/>
      <c r="M903" s="74"/>
      <c r="N903" s="74"/>
      <c r="O903" s="74"/>
      <c r="P903" s="74"/>
      <c r="Q903" s="74"/>
      <c r="R903" s="74"/>
      <c r="S903" s="74"/>
      <c r="T903" s="74"/>
      <c r="U903" s="74"/>
      <c r="V903" s="74"/>
      <c r="W903" s="74"/>
      <c r="X903" s="74"/>
      <c r="Y903" s="74"/>
      <c r="Z903" s="74"/>
    </row>
    <row r="904" spans="1:26" x14ac:dyDescent="0.3">
      <c r="A904" s="66">
        <f t="shared" si="86"/>
        <v>2079.6999999999184</v>
      </c>
      <c r="B904" s="67">
        <f>LOOKUP(A904+0.01,Amounts!$A$4:$A$103,Amounts!$B$4:$B$103)*0.1*$A$2</f>
        <v>0</v>
      </c>
      <c r="C904" s="68">
        <f t="shared" si="85"/>
        <v>902907.24633514904</v>
      </c>
      <c r="D904" s="67">
        <f t="array" ref="D904">SUM($B$7:$B899*$F$1009*EXP(-$F$1009*($A904-$A$7:$A899)))*$F$1010</f>
        <v>1138828.9273977366</v>
      </c>
      <c r="E904" s="67">
        <f t="shared" si="89"/>
        <v>2.1710768141967391</v>
      </c>
      <c r="F904" s="70">
        <f t="shared" si="87"/>
        <v>0.13182778415802601</v>
      </c>
      <c r="G904" s="67">
        <f>E904/'Lookup Tables'!$C$48</f>
        <v>4.3421536283934783</v>
      </c>
      <c r="H904" s="70">
        <f t="shared" si="90"/>
        <v>1.2638263544495199E-3</v>
      </c>
      <c r="I904" s="71">
        <f t="shared" si="88"/>
        <v>6.2527012248866087E-3</v>
      </c>
      <c r="L904" s="74"/>
      <c r="M904" s="74"/>
      <c r="N904" s="74"/>
      <c r="O904" s="74"/>
      <c r="P904" s="74"/>
      <c r="Q904" s="74"/>
      <c r="R904" s="74"/>
      <c r="S904" s="74"/>
      <c r="T904" s="74"/>
      <c r="U904" s="74"/>
      <c r="V904" s="74"/>
      <c r="W904" s="74"/>
      <c r="X904" s="74"/>
      <c r="Y904" s="74"/>
      <c r="Z904" s="74"/>
    </row>
    <row r="905" spans="1:26" x14ac:dyDescent="0.3">
      <c r="A905" s="66">
        <f t="shared" si="86"/>
        <v>2079.7999999999183</v>
      </c>
      <c r="B905" s="67">
        <f>LOOKUP(A905+0.01,Amounts!$A$4:$A$103,Amounts!$B$4:$B$103)*0.1*$A$2</f>
        <v>0</v>
      </c>
      <c r="C905" s="68">
        <f t="shared" ref="C905:C968" si="91">C904+B905</f>
        <v>902907.24633514904</v>
      </c>
      <c r="D905" s="67">
        <f t="array" ref="D905">SUM($B$7:$B900*$F$1009*EXP(-$F$1009*($A905-$A$7:$A900)))*$F$1010</f>
        <v>1130884.9612253979</v>
      </c>
      <c r="E905" s="67">
        <f t="shared" si="89"/>
        <v>2.1559323439829927</v>
      </c>
      <c r="F905" s="70">
        <f t="shared" si="87"/>
        <v>0.13090821192664734</v>
      </c>
      <c r="G905" s="67">
        <f>E905/'Lookup Tables'!$C$48</f>
        <v>4.3118646879659854</v>
      </c>
      <c r="H905" s="70">
        <f t="shared" si="90"/>
        <v>1.2550104615915835E-3</v>
      </c>
      <c r="I905" s="71">
        <f t="shared" si="88"/>
        <v>6.2090851506710195E-3</v>
      </c>
      <c r="L905" s="74"/>
      <c r="M905" s="74"/>
      <c r="N905" s="74"/>
      <c r="O905" s="74"/>
      <c r="P905" s="74"/>
      <c r="Q905" s="74"/>
      <c r="R905" s="74"/>
      <c r="S905" s="74"/>
      <c r="T905" s="74"/>
      <c r="U905" s="74"/>
      <c r="V905" s="74"/>
      <c r="W905" s="74"/>
      <c r="X905" s="74"/>
      <c r="Y905" s="74"/>
      <c r="Z905" s="74"/>
    </row>
    <row r="906" spans="1:26" x14ac:dyDescent="0.3">
      <c r="A906" s="66">
        <f t="shared" si="86"/>
        <v>2079.8999999999182</v>
      </c>
      <c r="B906" s="67">
        <f>LOOKUP(A906+0.01,Amounts!$A$4:$A$103,Amounts!$B$4:$B$103)*0.1*$A$2</f>
        <v>0</v>
      </c>
      <c r="C906" s="68">
        <f t="shared" si="91"/>
        <v>902907.24633514904</v>
      </c>
      <c r="D906" s="67">
        <f t="array" ref="D906">SUM($B$7:$B901*$F$1009*EXP(-$F$1009*($A906-$A$7:$A901)))*$F$1010</f>
        <v>1122996.4086424313</v>
      </c>
      <c r="E906" s="67">
        <f t="shared" si="89"/>
        <v>2.1408935148854695</v>
      </c>
      <c r="F906" s="70">
        <f t="shared" si="87"/>
        <v>0.12999505422384572</v>
      </c>
      <c r="G906" s="67">
        <f>E906/'Lookup Tables'!$C$48</f>
        <v>4.2817870297709391</v>
      </c>
      <c r="H906" s="70">
        <f t="shared" si="90"/>
        <v>1.2462560644973728E-3</v>
      </c>
      <c r="I906" s="71">
        <f t="shared" si="88"/>
        <v>6.1657733228701527E-3</v>
      </c>
      <c r="L906" s="74"/>
      <c r="M906" s="74"/>
      <c r="N906" s="74"/>
      <c r="O906" s="74"/>
      <c r="P906" s="74"/>
      <c r="Q906" s="74"/>
      <c r="R906" s="74"/>
      <c r="S906" s="74"/>
      <c r="T906" s="74"/>
      <c r="U906" s="74"/>
      <c r="V906" s="74"/>
      <c r="W906" s="74"/>
      <c r="X906" s="74"/>
      <c r="Y906" s="74"/>
      <c r="Z906" s="74"/>
    </row>
    <row r="907" spans="1:26" x14ac:dyDescent="0.3">
      <c r="A907" s="66">
        <f t="shared" si="86"/>
        <v>2079.9999999999181</v>
      </c>
      <c r="B907" s="67">
        <f>LOOKUP(A907+0.01,Amounts!$A$4:$A$103,Amounts!$B$4:$B$103)*0.1*$A$2</f>
        <v>0</v>
      </c>
      <c r="C907" s="68">
        <f t="shared" si="91"/>
        <v>902907.24633514904</v>
      </c>
      <c r="D907" s="67">
        <f t="array" ref="D907">SUM($B$7:$B902*$F$1009*EXP(-$F$1009*($A907-$A$7:$A902)))*$F$1010</f>
        <v>1115162.8831081809</v>
      </c>
      <c r="E907" s="67">
        <f t="shared" si="89"/>
        <v>2.1259595899985322</v>
      </c>
      <c r="F907" s="70">
        <f t="shared" si="87"/>
        <v>0.12908826630471087</v>
      </c>
      <c r="G907" s="67">
        <f>E907/'Lookup Tables'!$C$48</f>
        <v>4.2519191799970644</v>
      </c>
      <c r="H907" s="70">
        <f t="shared" si="90"/>
        <v>1.2375627341996774E-3</v>
      </c>
      <c r="I907" s="71">
        <f t="shared" si="88"/>
        <v>6.1227636191957726E-3</v>
      </c>
      <c r="L907" s="74"/>
      <c r="M907" s="74"/>
      <c r="N907" s="74"/>
      <c r="O907" s="74"/>
      <c r="P907" s="74"/>
      <c r="Q907" s="74"/>
      <c r="R907" s="74"/>
      <c r="S907" s="74"/>
      <c r="T907" s="74"/>
      <c r="U907" s="74"/>
      <c r="V907" s="74"/>
      <c r="W907" s="74"/>
      <c r="X907" s="74"/>
      <c r="Y907" s="74"/>
      <c r="Z907" s="74"/>
    </row>
    <row r="908" spans="1:26" x14ac:dyDescent="0.3">
      <c r="A908" s="66">
        <f t="shared" si="86"/>
        <v>2080.0999999999181</v>
      </c>
      <c r="B908" s="67">
        <f>LOOKUP(A908+0.01,Amounts!$A$4:$A$103,Amounts!$B$4:$B$103)*0.1*$A$2</f>
        <v>0</v>
      </c>
      <c r="C908" s="68">
        <f t="shared" si="91"/>
        <v>902907.24633514904</v>
      </c>
      <c r="D908" s="67">
        <f t="array" ref="D908">SUM($B$7:$B903*$F$1009*EXP(-$F$1009*($A908-$A$7:$A903)))*$F$1010</f>
        <v>1107384.0007783291</v>
      </c>
      <c r="E908" s="67">
        <f t="shared" si="89"/>
        <v>2.111129837556875</v>
      </c>
      <c r="F908" s="70">
        <f t="shared" si="87"/>
        <v>0.12818780373645344</v>
      </c>
      <c r="G908" s="67">
        <f>E908/'Lookup Tables'!$C$48</f>
        <v>4.22225967511375</v>
      </c>
      <c r="H908" s="70">
        <f t="shared" si="90"/>
        <v>1.2289300447235738E-3</v>
      </c>
      <c r="I908" s="71">
        <f t="shared" si="88"/>
        <v>6.0800539321638003E-3</v>
      </c>
      <c r="L908" s="74"/>
      <c r="M908" s="74"/>
      <c r="N908" s="74"/>
      <c r="O908" s="74"/>
      <c r="P908" s="74"/>
      <c r="Q908" s="74"/>
      <c r="R908" s="74"/>
      <c r="S908" s="74"/>
      <c r="T908" s="74"/>
      <c r="U908" s="74"/>
      <c r="V908" s="74"/>
      <c r="W908" s="74"/>
      <c r="X908" s="74"/>
      <c r="Y908" s="74"/>
      <c r="Z908" s="74"/>
    </row>
    <row r="909" spans="1:26" x14ac:dyDescent="0.3">
      <c r="A909" s="66">
        <f t="shared" si="86"/>
        <v>2080.199999999918</v>
      </c>
      <c r="B909" s="67">
        <f>LOOKUP(A909+0.01,Amounts!$A$4:$A$103,Amounts!$B$4:$B$103)*0.1*$A$2</f>
        <v>0</v>
      </c>
      <c r="C909" s="68">
        <f t="shared" si="91"/>
        <v>902907.24633514904</v>
      </c>
      <c r="D909" s="67">
        <f t="array" ref="D909">SUM($B$7:$B904*$F$1009*EXP(-$F$1009*($A909-$A$7:$A904)))*$F$1010</f>
        <v>1099659.3804860841</v>
      </c>
      <c r="E909" s="67">
        <f t="shared" si="89"/>
        <v>2.0964035308996598</v>
      </c>
      <c r="F909" s="70">
        <f t="shared" si="87"/>
        <v>0.12729362239622732</v>
      </c>
      <c r="G909" s="67">
        <f>E909/'Lookup Tables'!$C$48</f>
        <v>4.1928070617993196</v>
      </c>
      <c r="H909" s="70">
        <f t="shared" si="90"/>
        <v>1.2203575730655499E-3</v>
      </c>
      <c r="I909" s="71">
        <f t="shared" si="88"/>
        <v>6.0376421689910201E-3</v>
      </c>
      <c r="L909" s="74"/>
      <c r="M909" s="74"/>
      <c r="N909" s="74"/>
      <c r="O909" s="74"/>
      <c r="P909" s="74"/>
      <c r="Q909" s="74"/>
      <c r="R909" s="74"/>
      <c r="S909" s="74"/>
      <c r="T909" s="74"/>
      <c r="U909" s="74"/>
      <c r="V909" s="74"/>
      <c r="W909" s="74"/>
      <c r="X909" s="74"/>
      <c r="Y909" s="74"/>
      <c r="Z909" s="74"/>
    </row>
    <row r="910" spans="1:26" x14ac:dyDescent="0.3">
      <c r="A910" s="66">
        <f t="shared" si="86"/>
        <v>2080.2999999999179</v>
      </c>
      <c r="B910" s="67">
        <f>LOOKUP(A910+0.01,Amounts!$A$4:$A$103,Amounts!$B$4:$B$103)*0.1*$A$2</f>
        <v>0</v>
      </c>
      <c r="C910" s="68">
        <f t="shared" si="91"/>
        <v>902907.24633514904</v>
      </c>
      <c r="D910" s="67">
        <f t="array" ref="D910">SUM($B$7:$B905*$F$1009*EXP(-$F$1009*($A910-$A$7:$A905)))*$F$1010</f>
        <v>1091988.6437235074</v>
      </c>
      <c r="E910" s="67">
        <f t="shared" si="89"/>
        <v>2.0817799484349155</v>
      </c>
      <c r="F910" s="70">
        <f t="shared" si="87"/>
        <v>0.12640567846896808</v>
      </c>
      <c r="G910" s="67">
        <f>E910/'Lookup Tables'!$C$48</f>
        <v>4.1635598968698311</v>
      </c>
      <c r="H910" s="70">
        <f t="shared" si="90"/>
        <v>1.2118448991727806E-3</v>
      </c>
      <c r="I910" s="71">
        <f t="shared" si="88"/>
        <v>5.995526251492557E-3</v>
      </c>
      <c r="L910" s="74"/>
      <c r="M910" s="74"/>
      <c r="N910" s="74"/>
      <c r="O910" s="74"/>
      <c r="P910" s="74"/>
      <c r="Q910" s="74"/>
      <c r="R910" s="74"/>
      <c r="S910" s="74"/>
      <c r="T910" s="74"/>
      <c r="U910" s="74"/>
      <c r="V910" s="74"/>
      <c r="W910" s="74"/>
      <c r="X910" s="74"/>
      <c r="Y910" s="74"/>
      <c r="Z910" s="74"/>
    </row>
    <row r="911" spans="1:26" x14ac:dyDescent="0.3">
      <c r="A911" s="66">
        <f t="shared" si="86"/>
        <v>2080.3999999999178</v>
      </c>
      <c r="B911" s="67">
        <f>LOOKUP(A911+0.01,Amounts!$A$4:$A$103,Amounts!$B$4:$B$103)*0.1*$A$2</f>
        <v>0</v>
      </c>
      <c r="C911" s="68">
        <f t="shared" si="91"/>
        <v>902907.24633514904</v>
      </c>
      <c r="D911" s="67">
        <f t="array" ref="D911">SUM($B$7:$B906*$F$1009*EXP(-$F$1009*($A911-$A$7:$A906)))*$F$1010</f>
        <v>1084371.414622962</v>
      </c>
      <c r="E911" s="67">
        <f t="shared" si="89"/>
        <v>2.067258373604175</v>
      </c>
      <c r="F911" s="70">
        <f t="shared" si="87"/>
        <v>0.12552392844524551</v>
      </c>
      <c r="G911" s="67">
        <f>E911/'Lookup Tables'!$C$48</f>
        <v>4.1345167472083499</v>
      </c>
      <c r="H911" s="70">
        <f t="shared" si="90"/>
        <v>1.2033916059225411E-3</v>
      </c>
      <c r="I911" s="71">
        <f t="shared" si="88"/>
        <v>5.953704115980024E-3</v>
      </c>
      <c r="L911" s="74"/>
      <c r="M911" s="74"/>
      <c r="N911" s="74"/>
      <c r="O911" s="74"/>
      <c r="P911" s="74"/>
      <c r="Q911" s="74"/>
      <c r="R911" s="74"/>
      <c r="S911" s="74"/>
      <c r="T911" s="74"/>
      <c r="U911" s="74"/>
      <c r="V911" s="74"/>
      <c r="W911" s="74"/>
      <c r="X911" s="74"/>
      <c r="Y911" s="74"/>
      <c r="Z911" s="74"/>
    </row>
    <row r="912" spans="1:26" x14ac:dyDescent="0.3">
      <c r="A912" s="66">
        <f t="shared" si="86"/>
        <v>2080.4999999999177</v>
      </c>
      <c r="B912" s="67">
        <f>LOOKUP(A912+0.01,Amounts!$A$4:$A$103,Amounts!$B$4:$B$103)*0.1*$A$2</f>
        <v>0</v>
      </c>
      <c r="C912" s="68">
        <f t="shared" si="91"/>
        <v>902907.24633514904</v>
      </c>
      <c r="D912" s="67">
        <f t="array" ref="D912">SUM($B$7:$B907*$F$1009*EXP(-$F$1009*($A912-$A$7:$A907)))*$F$1010</f>
        <v>1076807.3199386976</v>
      </c>
      <c r="E912" s="67">
        <f t="shared" si="89"/>
        <v>2.0528380948473637</v>
      </c>
      <c r="F912" s="70">
        <f t="shared" si="87"/>
        <v>0.12464832911913193</v>
      </c>
      <c r="G912" s="67">
        <f>E912/'Lookup Tables'!$C$48</f>
        <v>4.1056761896947274</v>
      </c>
      <c r="H912" s="70">
        <f t="shared" si="90"/>
        <v>1.1949972791017699E-3</v>
      </c>
      <c r="I912" s="71">
        <f t="shared" si="88"/>
        <v>5.9121737131604081E-3</v>
      </c>
      <c r="L912" s="74"/>
      <c r="M912" s="74"/>
      <c r="N912" s="74"/>
      <c r="O912" s="74"/>
      <c r="P912" s="74"/>
      <c r="Q912" s="74"/>
      <c r="R912" s="74"/>
      <c r="S912" s="74"/>
      <c r="T912" s="74"/>
      <c r="U912" s="74"/>
      <c r="V912" s="74"/>
      <c r="W912" s="74"/>
      <c r="X912" s="74"/>
      <c r="Y912" s="74"/>
      <c r="Z912" s="74"/>
    </row>
    <row r="913" spans="1:26" x14ac:dyDescent="0.3">
      <c r="A913" s="66">
        <f t="shared" si="86"/>
        <v>2080.5999999999176</v>
      </c>
      <c r="B913" s="67">
        <f>LOOKUP(A913+0.01,Amounts!$A$4:$A$103,Amounts!$B$4:$B$103)*0.1*$A$2</f>
        <v>0</v>
      </c>
      <c r="C913" s="68">
        <f t="shared" si="91"/>
        <v>902907.24633514904</v>
      </c>
      <c r="D913" s="67">
        <f t="array" ref="D913">SUM($B$7:$B908*$F$1009*EXP(-$F$1009*($A913-$A$7:$A908)))*$F$1010</f>
        <v>1069295.9890285623</v>
      </c>
      <c r="E913" s="67">
        <f t="shared" si="89"/>
        <v>2.0385184055679413</v>
      </c>
      <c r="F913" s="70">
        <f t="shared" si="87"/>
        <v>0.12377883758608541</v>
      </c>
      <c r="G913" s="67">
        <f>E913/'Lookup Tables'!$C$48</f>
        <v>4.0770368111358826</v>
      </c>
      <c r="H913" s="70">
        <f t="shared" si="90"/>
        <v>1.1866615073867746E-3</v>
      </c>
      <c r="I913" s="71">
        <f t="shared" si="88"/>
        <v>5.8709330080356703E-3</v>
      </c>
      <c r="L913" s="74"/>
      <c r="M913" s="74"/>
      <c r="N913" s="74"/>
      <c r="O913" s="74"/>
      <c r="P913" s="74"/>
      <c r="Q913" s="74"/>
      <c r="R913" s="74"/>
      <c r="S913" s="74"/>
      <c r="T913" s="74"/>
      <c r="U913" s="74"/>
      <c r="V913" s="74"/>
      <c r="W913" s="74"/>
      <c r="X913" s="74"/>
      <c r="Y913" s="74"/>
      <c r="Z913" s="74"/>
    </row>
    <row r="914" spans="1:26" x14ac:dyDescent="0.3">
      <c r="A914" s="66">
        <f t="shared" si="86"/>
        <v>2080.6999999999175</v>
      </c>
      <c r="B914" s="67">
        <f>LOOKUP(A914+0.01,Amounts!$A$4:$A$103,Amounts!$B$4:$B$103)*0.1*$A$2</f>
        <v>0</v>
      </c>
      <c r="C914" s="68">
        <f t="shared" si="91"/>
        <v>902907.24633514904</v>
      </c>
      <c r="D914" s="67">
        <f t="array" ref="D914">SUM($B$7:$B909*$F$1009*EXP(-$F$1009*($A914-$A$7:$A909)))*$F$1010</f>
        <v>1061837.0538358372</v>
      </c>
      <c r="E914" s="67">
        <f t="shared" si="89"/>
        <v>2.0242986040982638</v>
      </c>
      <c r="F914" s="70">
        <f t="shared" si="87"/>
        <v>0.12291541124084659</v>
      </c>
      <c r="G914" s="67">
        <f>E914/'Lookup Tables'!$C$48</f>
        <v>4.0485972081965276</v>
      </c>
      <c r="H914" s="70">
        <f t="shared" si="90"/>
        <v>1.1783838823230723E-3</v>
      </c>
      <c r="I914" s="71">
        <f t="shared" si="88"/>
        <v>5.8299799798029999E-3</v>
      </c>
      <c r="L914" s="74"/>
      <c r="M914" s="74"/>
      <c r="N914" s="74"/>
      <c r="O914" s="74"/>
      <c r="P914" s="74"/>
      <c r="Q914" s="74"/>
      <c r="R914" s="74"/>
      <c r="S914" s="74"/>
      <c r="T914" s="74"/>
      <c r="U914" s="74"/>
      <c r="V914" s="74"/>
      <c r="W914" s="74"/>
      <c r="X914" s="74"/>
      <c r="Y914" s="74"/>
      <c r="Z914" s="74"/>
    </row>
    <row r="915" spans="1:26" x14ac:dyDescent="0.3">
      <c r="A915" s="66">
        <f t="shared" ref="A915:A978" si="92">A914+0.1</f>
        <v>2080.7999999999174</v>
      </c>
      <c r="B915" s="67">
        <f>LOOKUP(A915+0.01,Amounts!$A$4:$A$103,Amounts!$B$4:$B$103)*0.1*$A$2</f>
        <v>0</v>
      </c>
      <c r="C915" s="68">
        <f t="shared" si="91"/>
        <v>902907.24633514904</v>
      </c>
      <c r="D915" s="67">
        <f t="array" ref="D915">SUM($B$7:$B910*$F$1009*EXP(-$F$1009*($A915-$A$7:$A910)))*$F$1010</f>
        <v>1054430.1488712069</v>
      </c>
      <c r="E915" s="67">
        <f t="shared" si="89"/>
        <v>2.0101779936652173</v>
      </c>
      <c r="F915" s="70">
        <f t="shared" ref="F915:F978" si="93">E915*60*1012/1000000</f>
        <v>0.122058007775352</v>
      </c>
      <c r="G915" s="67">
        <f>E915/'Lookup Tables'!$C$48</f>
        <v>4.0203559873304346</v>
      </c>
      <c r="H915" s="70">
        <f t="shared" si="90"/>
        <v>1.1701639983053794E-3</v>
      </c>
      <c r="I915" s="71">
        <f t="shared" ref="I915:I978" si="94">G915*60*24/1000000</f>
        <v>5.7893126217558252E-3</v>
      </c>
      <c r="L915" s="74"/>
      <c r="M915" s="74"/>
      <c r="N915" s="74"/>
      <c r="O915" s="74"/>
      <c r="P915" s="74"/>
      <c r="Q915" s="74"/>
      <c r="R915" s="74"/>
      <c r="S915" s="74"/>
      <c r="T915" s="74"/>
      <c r="U915" s="74"/>
      <c r="V915" s="74"/>
      <c r="W915" s="74"/>
      <c r="X915" s="74"/>
      <c r="Y915" s="74"/>
      <c r="Z915" s="74"/>
    </row>
    <row r="916" spans="1:26" x14ac:dyDescent="0.3">
      <c r="A916" s="66">
        <f t="shared" si="92"/>
        <v>2080.8999999999173</v>
      </c>
      <c r="B916" s="67">
        <f>LOOKUP(A916+0.01,Amounts!$A$4:$A$103,Amounts!$B$4:$B$103)*0.1*$A$2</f>
        <v>0</v>
      </c>
      <c r="C916" s="68">
        <f t="shared" si="91"/>
        <v>902907.24633514904</v>
      </c>
      <c r="D916" s="67">
        <f t="array" ref="D916">SUM($B$7:$B911*$F$1009*EXP(-$F$1009*($A916-$A$7:$A911)))*$F$1010</f>
        <v>1047074.911194845</v>
      </c>
      <c r="E916" s="67">
        <f t="shared" si="89"/>
        <v>1.996155882356063</v>
      </c>
      <c r="F916" s="70">
        <f t="shared" si="93"/>
        <v>0.12120658517666014</v>
      </c>
      <c r="G916" s="67">
        <f>E916/'Lookup Tables'!$C$48</f>
        <v>3.992311764712126</v>
      </c>
      <c r="H916" s="70">
        <f t="shared" si="90"/>
        <v>1.1620014525577337E-3</v>
      </c>
      <c r="I916" s="71">
        <f t="shared" si="94"/>
        <v>5.7489289411854615E-3</v>
      </c>
      <c r="L916" s="74"/>
      <c r="M916" s="74"/>
      <c r="N916" s="74"/>
      <c r="O916" s="74"/>
      <c r="P916" s="74"/>
      <c r="Q916" s="74"/>
      <c r="R916" s="74"/>
      <c r="S916" s="74"/>
      <c r="T916" s="74"/>
      <c r="U916" s="74"/>
      <c r="V916" s="74"/>
      <c r="W916" s="74"/>
      <c r="X916" s="74"/>
      <c r="Y916" s="74"/>
      <c r="Z916" s="74"/>
    </row>
    <row r="917" spans="1:26" x14ac:dyDescent="0.3">
      <c r="A917" s="66">
        <f t="shared" si="92"/>
        <v>2080.9999999999172</v>
      </c>
      <c r="B917" s="67">
        <f>LOOKUP(A917+0.01,Amounts!$A$4:$A$103,Amounts!$B$4:$B$103)*0.1*$A$2</f>
        <v>0</v>
      </c>
      <c r="C917" s="68">
        <f t="shared" si="91"/>
        <v>902907.24633514904</v>
      </c>
      <c r="D917" s="67">
        <f t="array" ref="D917">SUM($B$7:$B912*$F$1009*EXP(-$F$1009*($A917-$A$7:$A912)))*$F$1010</f>
        <v>1039770.9803986342</v>
      </c>
      <c r="E917" s="67">
        <f t="shared" si="89"/>
        <v>1.9822315830845425</v>
      </c>
      <c r="F917" s="70">
        <f t="shared" si="93"/>
        <v>0.12036110172489342</v>
      </c>
      <c r="G917" s="67">
        <f>E917/'Lookup Tables'!$C$48</f>
        <v>3.964463166169085</v>
      </c>
      <c r="H917" s="70">
        <f t="shared" si="90"/>
        <v>1.1538958451137609E-3</v>
      </c>
      <c r="I917" s="71">
        <f t="shared" si="94"/>
        <v>5.7088269592834818E-3</v>
      </c>
      <c r="L917" s="74"/>
      <c r="M917" s="74"/>
      <c r="N917" s="74"/>
      <c r="O917" s="74"/>
      <c r="P917" s="74"/>
      <c r="Q917" s="74"/>
      <c r="R917" s="74"/>
      <c r="S917" s="74"/>
      <c r="T917" s="74"/>
      <c r="U917" s="74"/>
      <c r="V917" s="74"/>
      <c r="W917" s="74"/>
      <c r="X917" s="74"/>
      <c r="Y917" s="74"/>
      <c r="Z917" s="74"/>
    </row>
    <row r="918" spans="1:26" x14ac:dyDescent="0.3">
      <c r="A918" s="66">
        <f t="shared" si="92"/>
        <v>2081.0999999999171</v>
      </c>
      <c r="B918" s="67">
        <f>LOOKUP(A918+0.01,Amounts!$A$4:$A$103,Amounts!$B$4:$B$103)*0.1*$A$2</f>
        <v>0</v>
      </c>
      <c r="C918" s="68">
        <f t="shared" si="91"/>
        <v>902907.24633514904</v>
      </c>
      <c r="D918" s="67">
        <f t="array" ref="D918">SUM($B$7:$B913*$F$1009*EXP(-$F$1009*($A918-$A$7:$A913)))*$F$1010</f>
        <v>1032517.9985885039</v>
      </c>
      <c r="E918" s="67">
        <f t="shared" si="89"/>
        <v>1.968404413557205</v>
      </c>
      <c r="F918" s="70">
        <f t="shared" si="93"/>
        <v>0.11952151599119347</v>
      </c>
      <c r="G918" s="67">
        <f>E918/'Lookup Tables'!$C$48</f>
        <v>3.9368088271144099</v>
      </c>
      <c r="H918" s="70">
        <f t="shared" si="90"/>
        <v>1.1458467787970742E-3</v>
      </c>
      <c r="I918" s="71">
        <f t="shared" si="94"/>
        <v>5.66900471104475E-3</v>
      </c>
      <c r="L918" s="74"/>
      <c r="M918" s="74"/>
      <c r="N918" s="74"/>
      <c r="O918" s="74"/>
      <c r="P918" s="74"/>
      <c r="Q918" s="74"/>
      <c r="R918" s="74"/>
      <c r="S918" s="74"/>
      <c r="T918" s="74"/>
      <c r="U918" s="74"/>
      <c r="V918" s="74"/>
      <c r="W918" s="74"/>
      <c r="X918" s="74"/>
      <c r="Y918" s="74"/>
      <c r="Z918" s="74"/>
    </row>
    <row r="919" spans="1:26" x14ac:dyDescent="0.3">
      <c r="A919" s="66">
        <f t="shared" si="92"/>
        <v>2081.1999999999171</v>
      </c>
      <c r="B919" s="67">
        <f>LOOKUP(A919+0.01,Amounts!$A$4:$A$103,Amounts!$B$4:$B$103)*0.1*$A$2</f>
        <v>0</v>
      </c>
      <c r="C919" s="68">
        <f t="shared" si="91"/>
        <v>902907.24633514904</v>
      </c>
      <c r="D919" s="67">
        <f t="array" ref="D919">SUM($B$7:$B914*$F$1009*EXP(-$F$1009*($A919-$A$7:$A914)))*$F$1010</f>
        <v>1025315.6103668944</v>
      </c>
      <c r="E919" s="67">
        <f t="shared" si="89"/>
        <v>1.9546736962399771</v>
      </c>
      <c r="F919" s="70">
        <f t="shared" si="93"/>
        <v>0.11868778683569141</v>
      </c>
      <c r="G919" s="67">
        <f>E919/'Lookup Tables'!$C$48</f>
        <v>3.9093473924799542</v>
      </c>
      <c r="H919" s="70">
        <f t="shared" si="90"/>
        <v>1.1378538592018137E-3</v>
      </c>
      <c r="I919" s="71">
        <f t="shared" si="94"/>
        <v>5.6294602451711345E-3</v>
      </c>
      <c r="L919" s="74"/>
      <c r="M919" s="74"/>
      <c r="N919" s="74"/>
      <c r="O919" s="74"/>
      <c r="P919" s="74"/>
      <c r="Q919" s="74"/>
      <c r="R919" s="74"/>
      <c r="S919" s="74"/>
      <c r="T919" s="74"/>
      <c r="U919" s="74"/>
      <c r="V919" s="74"/>
      <c r="W919" s="74"/>
      <c r="X919" s="74"/>
      <c r="Y919" s="74"/>
      <c r="Z919" s="74"/>
    </row>
    <row r="920" spans="1:26" x14ac:dyDescent="0.3">
      <c r="A920" s="66">
        <f t="shared" si="92"/>
        <v>2081.299999999917</v>
      </c>
      <c r="B920" s="67">
        <f>LOOKUP(A920+0.01,Amounts!$A$4:$A$103,Amounts!$B$4:$B$103)*0.1*$A$2</f>
        <v>0</v>
      </c>
      <c r="C920" s="68">
        <f t="shared" si="91"/>
        <v>902907.24633514904</v>
      </c>
      <c r="D920" s="67">
        <f t="array" ref="D920">SUM($B$7:$B915*$F$1009*EXP(-$F$1009*($A920-$A$7:$A915)))*$F$1010</f>
        <v>1018163.4628153415</v>
      </c>
      <c r="E920" s="67">
        <f t="shared" si="89"/>
        <v>1.9410387583249626</v>
      </c>
      <c r="F920" s="70">
        <f t="shared" si="93"/>
        <v>0.11785987340549173</v>
      </c>
      <c r="G920" s="67">
        <f>E920/'Lookup Tables'!$C$48</f>
        <v>3.8820775166499253</v>
      </c>
      <c r="H920" s="70">
        <f t="shared" si="90"/>
        <v>1.1299166946733196E-3</v>
      </c>
      <c r="I920" s="71">
        <f t="shared" si="94"/>
        <v>5.5901916239758922E-3</v>
      </c>
      <c r="L920" s="74"/>
      <c r="M920" s="74"/>
      <c r="N920" s="74"/>
      <c r="O920" s="74"/>
      <c r="P920" s="74"/>
      <c r="Q920" s="74"/>
      <c r="R920" s="74"/>
      <c r="S920" s="74"/>
      <c r="T920" s="74"/>
      <c r="U920" s="74"/>
      <c r="V920" s="74"/>
      <c r="W920" s="74"/>
      <c r="X920" s="74"/>
      <c r="Y920" s="74"/>
      <c r="Z920" s="74"/>
    </row>
    <row r="921" spans="1:26" x14ac:dyDescent="0.3">
      <c r="A921" s="66">
        <f t="shared" si="92"/>
        <v>2081.3999999999169</v>
      </c>
      <c r="B921" s="67">
        <f>LOOKUP(A921+0.01,Amounts!$A$4:$A$103,Amounts!$B$4:$B$103)*0.1*$A$2</f>
        <v>0</v>
      </c>
      <c r="C921" s="68">
        <f t="shared" si="91"/>
        <v>902907.24633514904</v>
      </c>
      <c r="D921" s="67">
        <f t="array" ref="D921">SUM($B$7:$B916*$F$1009*EXP(-$F$1009*($A921-$A$7:$A916)))*$F$1010</f>
        <v>1011061.2054771844</v>
      </c>
      <c r="E921" s="67">
        <f t="shared" si="89"/>
        <v>1.9274989316974764</v>
      </c>
      <c r="F921" s="70">
        <f t="shared" si="93"/>
        <v>0.11703773513267075</v>
      </c>
      <c r="G921" s="67">
        <f>E921/'Lookup Tables'!$C$48</f>
        <v>3.8549978633949529</v>
      </c>
      <c r="H921" s="70">
        <f t="shared" si="90"/>
        <v>1.1220348962889422E-3</v>
      </c>
      <c r="I921" s="71">
        <f t="shared" si="94"/>
        <v>5.5511969232887315E-3</v>
      </c>
      <c r="L921" s="74"/>
      <c r="M921" s="74"/>
      <c r="N921" s="74"/>
      <c r="O921" s="74"/>
      <c r="P921" s="74"/>
      <c r="Q921" s="74"/>
      <c r="R921" s="74"/>
      <c r="S921" s="74"/>
      <c r="T921" s="74"/>
      <c r="U921" s="74"/>
      <c r="V921" s="74"/>
      <c r="W921" s="74"/>
      <c r="X921" s="74"/>
      <c r="Y921" s="74"/>
      <c r="Z921" s="74"/>
    </row>
    <row r="922" spans="1:26" x14ac:dyDescent="0.3">
      <c r="A922" s="66">
        <f t="shared" si="92"/>
        <v>2081.4999999999168</v>
      </c>
      <c r="B922" s="67">
        <f>LOOKUP(A922+0.01,Amounts!$A$4:$A$103,Amounts!$B$4:$B$103)*0.1*$A$2</f>
        <v>0</v>
      </c>
      <c r="C922" s="68">
        <f t="shared" si="91"/>
        <v>902907.24633514904</v>
      </c>
      <c r="D922" s="67">
        <f t="array" ref="D922">SUM($B$7:$B917*$F$1009*EXP(-$F$1009*($A922-$A$7:$A917)))*$F$1010</f>
        <v>1004008.4903403926</v>
      </c>
      <c r="E922" s="67">
        <f t="shared" si="89"/>
        <v>1.9140535529033045</v>
      </c>
      <c r="F922" s="70">
        <f t="shared" si="93"/>
        <v>0.11622133173228864</v>
      </c>
      <c r="G922" s="67">
        <f>E922/'Lookup Tables'!$C$48</f>
        <v>3.828107105806609</v>
      </c>
      <c r="H922" s="70">
        <f t="shared" si="90"/>
        <v>1.1142080778389846E-3</v>
      </c>
      <c r="I922" s="71">
        <f t="shared" si="94"/>
        <v>5.512474232361517E-3</v>
      </c>
      <c r="L922" s="74"/>
      <c r="M922" s="74"/>
      <c r="N922" s="74"/>
      <c r="O922" s="74"/>
      <c r="P922" s="74"/>
      <c r="Q922" s="74"/>
      <c r="R922" s="74"/>
      <c r="S922" s="74"/>
      <c r="T922" s="74"/>
      <c r="U922" s="74"/>
      <c r="V922" s="74"/>
      <c r="W922" s="74"/>
      <c r="X922" s="74"/>
      <c r="Y922" s="74"/>
      <c r="Z922" s="74"/>
    </row>
    <row r="923" spans="1:26" x14ac:dyDescent="0.3">
      <c r="A923" s="66">
        <f t="shared" si="92"/>
        <v>2081.5999999999167</v>
      </c>
      <c r="B923" s="67">
        <f>LOOKUP(A923+0.01,Amounts!$A$4:$A$103,Amounts!$B$4:$B$103)*0.1*$A$2</f>
        <v>0</v>
      </c>
      <c r="C923" s="68">
        <f t="shared" si="91"/>
        <v>902907.24633514904</v>
      </c>
      <c r="D923" s="67">
        <f t="array" ref="D923">SUM($B$7:$B918*$F$1009*EXP(-$F$1009*($A923-$A$7:$A918)))*$F$1010</f>
        <v>997004.9718205129</v>
      </c>
      <c r="E923" s="67">
        <f t="shared" si="89"/>
        <v>1.9007019631161952</v>
      </c>
      <c r="F923" s="70">
        <f t="shared" si="93"/>
        <v>0.11541062320041537</v>
      </c>
      <c r="G923" s="67">
        <f>E923/'Lookup Tables'!$C$48</f>
        <v>3.8014039262323904</v>
      </c>
      <c r="H923" s="70">
        <f t="shared" si="90"/>
        <v>1.1064358558077749E-3</v>
      </c>
      <c r="I923" s="71">
        <f t="shared" si="94"/>
        <v>5.474021653774642E-3</v>
      </c>
      <c r="L923" s="74"/>
      <c r="M923" s="74"/>
      <c r="N923" s="74"/>
      <c r="O923" s="74"/>
      <c r="P923" s="74"/>
      <c r="Q923" s="74"/>
      <c r="R923" s="74"/>
      <c r="S923" s="74"/>
      <c r="T923" s="74"/>
      <c r="U923" s="74"/>
      <c r="V923" s="74"/>
      <c r="W923" s="74"/>
      <c r="X923" s="74"/>
      <c r="Y923" s="74"/>
      <c r="Z923" s="74"/>
    </row>
    <row r="924" spans="1:26" x14ac:dyDescent="0.3">
      <c r="A924" s="66">
        <f t="shared" si="92"/>
        <v>2081.6999999999166</v>
      </c>
      <c r="B924" s="67">
        <f>LOOKUP(A924+0.01,Amounts!$A$4:$A$103,Amounts!$B$4:$B$103)*0.1*$A$2</f>
        <v>0</v>
      </c>
      <c r="C924" s="68">
        <f t="shared" si="91"/>
        <v>902907.24633514904</v>
      </c>
      <c r="D924" s="67">
        <f t="array" ref="D924">SUM($B$7:$B919*$F$1009*EXP(-$F$1009*($A924-$A$7:$A919)))*$F$1010</f>
        <v>990050.30674373719</v>
      </c>
      <c r="E924" s="67">
        <f t="shared" si="89"/>
        <v>1.8874435081055787</v>
      </c>
      <c r="F924" s="70">
        <f t="shared" si="93"/>
        <v>0.11460556981217074</v>
      </c>
      <c r="G924" s="67">
        <f>E924/'Lookup Tables'!$C$48</f>
        <v>3.7748870162111574</v>
      </c>
      <c r="H924" s="70">
        <f t="shared" si="90"/>
        <v>1.0987178493548804E-3</v>
      </c>
      <c r="I924" s="71">
        <f t="shared" si="94"/>
        <v>5.4358373033440667E-3</v>
      </c>
      <c r="L924" s="74"/>
      <c r="M924" s="74"/>
      <c r="N924" s="74"/>
      <c r="O924" s="74"/>
      <c r="P924" s="74"/>
      <c r="Q924" s="74"/>
      <c r="R924" s="74"/>
      <c r="S924" s="74"/>
      <c r="T924" s="74"/>
      <c r="U924" s="74"/>
      <c r="V924" s="74"/>
      <c r="W924" s="74"/>
      <c r="X924" s="74"/>
      <c r="Y924" s="74"/>
      <c r="Z924" s="74"/>
    </row>
    <row r="925" spans="1:26" x14ac:dyDescent="0.3">
      <c r="A925" s="66">
        <f t="shared" si="92"/>
        <v>2081.7999999999165</v>
      </c>
      <c r="B925" s="67">
        <f>LOOKUP(A925+0.01,Amounts!$A$4:$A$103,Amounts!$B$4:$B$103)*0.1*$A$2</f>
        <v>0</v>
      </c>
      <c r="C925" s="68">
        <f t="shared" si="91"/>
        <v>902907.24633514904</v>
      </c>
      <c r="D925" s="67">
        <f t="array" ref="D925">SUM($B$7:$B920*$F$1009*EXP(-$F$1009*($A925-$A$7:$A920)))*$F$1010</f>
        <v>983144.15433008468</v>
      </c>
      <c r="E925" s="67">
        <f t="shared" si="89"/>
        <v>1.8742775382045058</v>
      </c>
      <c r="F925" s="70">
        <f t="shared" si="93"/>
        <v>0.11380613211977759</v>
      </c>
      <c r="G925" s="67">
        <f>E925/'Lookup Tables'!$C$48</f>
        <v>3.7485550764090116</v>
      </c>
      <c r="H925" s="70">
        <f t="shared" si="90"/>
        <v>1.0910536802964394E-3</v>
      </c>
      <c r="I925" s="71">
        <f t="shared" si="94"/>
        <v>5.3979193100289766E-3</v>
      </c>
      <c r="L925" s="74"/>
      <c r="M925" s="74"/>
      <c r="N925" s="74"/>
      <c r="O925" s="74"/>
      <c r="P925" s="74"/>
      <c r="Q925" s="74"/>
      <c r="R925" s="74"/>
      <c r="S925" s="74"/>
      <c r="T925" s="74"/>
      <c r="U925" s="74"/>
      <c r="V925" s="74"/>
      <c r="W925" s="74"/>
      <c r="X925" s="74"/>
      <c r="Y925" s="74"/>
      <c r="Z925" s="74"/>
    </row>
    <row r="926" spans="1:26" x14ac:dyDescent="0.3">
      <c r="A926" s="66">
        <f t="shared" si="92"/>
        <v>2081.8999999999164</v>
      </c>
      <c r="B926" s="67">
        <f>LOOKUP(A926+0.01,Amounts!$A$4:$A$103,Amounts!$B$4:$B$103)*0.1*$A$2</f>
        <v>0</v>
      </c>
      <c r="C926" s="68">
        <f t="shared" si="91"/>
        <v>902907.24633514904</v>
      </c>
      <c r="D926" s="67">
        <f t="array" ref="D926">SUM($B$7:$B921*$F$1009*EXP(-$F$1009*($A926-$A$7:$A921)))*$F$1010</f>
        <v>976286.17617670482</v>
      </c>
      <c r="E926" s="67">
        <f t="shared" si="89"/>
        <v>1.8612034082778159</v>
      </c>
      <c r="F926" s="70">
        <f t="shared" si="93"/>
        <v>0.11301227095062898</v>
      </c>
      <c r="G926" s="67">
        <f>E926/'Lookup Tables'!$C$48</f>
        <v>3.7224068165556319</v>
      </c>
      <c r="H926" s="70">
        <f t="shared" si="90"/>
        <v>1.0834429730866343E-3</v>
      </c>
      <c r="I926" s="71">
        <f t="shared" si="94"/>
        <v>5.3602658158401102E-3</v>
      </c>
      <c r="L926" s="74"/>
      <c r="M926" s="74"/>
      <c r="N926" s="74"/>
      <c r="O926" s="74"/>
      <c r="P926" s="74"/>
      <c r="Q926" s="74"/>
      <c r="R926" s="74"/>
      <c r="S926" s="74"/>
      <c r="T926" s="74"/>
      <c r="U926" s="74"/>
      <c r="V926" s="74"/>
      <c r="W926" s="74"/>
      <c r="X926" s="74"/>
      <c r="Y926" s="74"/>
      <c r="Z926" s="74"/>
    </row>
    <row r="927" spans="1:26" x14ac:dyDescent="0.3">
      <c r="A927" s="66">
        <f t="shared" si="92"/>
        <v>2081.9999999999163</v>
      </c>
      <c r="B927" s="67">
        <f>LOOKUP(A927+0.01,Amounts!$A$4:$A$103,Amounts!$B$4:$B$103)*0.1*$A$2</f>
        <v>0</v>
      </c>
      <c r="C927" s="68">
        <f t="shared" si="91"/>
        <v>902907.24633514904</v>
      </c>
      <c r="D927" s="67">
        <f t="array" ref="D927">SUM($B$7:$B922*$F$1009*EXP(-$F$1009*($A927-$A$7:$A922)))*$F$1010</f>
        <v>969476.03624129668</v>
      </c>
      <c r="E927" s="67">
        <f t="shared" si="89"/>
        <v>1.8482204776905284</v>
      </c>
      <c r="F927" s="70">
        <f t="shared" si="93"/>
        <v>0.1122239474053689</v>
      </c>
      <c r="G927" s="67">
        <f>E927/'Lookup Tables'!$C$48</f>
        <v>3.6964409553810569</v>
      </c>
      <c r="H927" s="70">
        <f t="shared" si="90"/>
        <v>1.0758853547992899E-3</v>
      </c>
      <c r="I927" s="71">
        <f t="shared" si="94"/>
        <v>5.3228749757487223E-3</v>
      </c>
      <c r="L927" s="74"/>
      <c r="M927" s="74"/>
      <c r="N927" s="74"/>
      <c r="O927" s="74"/>
      <c r="P927" s="74"/>
      <c r="Q927" s="74"/>
      <c r="R927" s="74"/>
      <c r="S927" s="74"/>
      <c r="T927" s="74"/>
      <c r="U927" s="74"/>
      <c r="V927" s="74"/>
      <c r="W927" s="74"/>
      <c r="X927" s="74"/>
      <c r="Y927" s="74"/>
      <c r="Z927" s="74"/>
    </row>
    <row r="928" spans="1:26" x14ac:dyDescent="0.3">
      <c r="A928" s="66">
        <f t="shared" si="92"/>
        <v>2082.0999999999162</v>
      </c>
      <c r="B928" s="67">
        <f>LOOKUP(A928+0.01,Amounts!$A$4:$A$103,Amounts!$B$4:$B$103)*0.1*$A$2</f>
        <v>0</v>
      </c>
      <c r="C928" s="68">
        <f t="shared" si="91"/>
        <v>902907.24633514904</v>
      </c>
      <c r="D928" s="67">
        <f t="array" ref="D928">SUM($B$7:$B923*$F$1009*EXP(-$F$1009*($A928-$A$7:$A923)))*$F$1010</f>
        <v>962713.40082564065</v>
      </c>
      <c r="E928" s="67">
        <f t="shared" si="89"/>
        <v>1.8353281102764465</v>
      </c>
      <c r="F928" s="70">
        <f t="shared" si="93"/>
        <v>0.11144112285598583</v>
      </c>
      <c r="G928" s="67">
        <f>E928/'Lookup Tables'!$C$48</f>
        <v>3.670656220552893</v>
      </c>
      <c r="H928" s="70">
        <f t="shared" si="90"/>
        <v>1.0683804551095979E-3</v>
      </c>
      <c r="I928" s="71">
        <f t="shared" si="94"/>
        <v>5.2857449575961658E-3</v>
      </c>
      <c r="L928" s="74"/>
      <c r="M928" s="74"/>
      <c r="N928" s="74"/>
      <c r="O928" s="74"/>
      <c r="P928" s="74"/>
      <c r="Q928" s="74"/>
      <c r="R928" s="74"/>
      <c r="S928" s="74"/>
      <c r="T928" s="74"/>
      <c r="U928" s="74"/>
      <c r="V928" s="74"/>
      <c r="W928" s="74"/>
      <c r="X928" s="74"/>
      <c r="Y928" s="74"/>
      <c r="Z928" s="74"/>
    </row>
    <row r="929" spans="1:26" x14ac:dyDescent="0.3">
      <c r="A929" s="66">
        <f t="shared" si="92"/>
        <v>2082.1999999999161</v>
      </c>
      <c r="B929" s="67">
        <f>LOOKUP(A929+0.01,Amounts!$A$4:$A$103,Amounts!$B$4:$B$103)*0.1*$A$2</f>
        <v>0</v>
      </c>
      <c r="C929" s="68">
        <f t="shared" si="91"/>
        <v>902907.24633514904</v>
      </c>
      <c r="D929" s="67">
        <f t="array" ref="D929">SUM($B$7:$B924*$F$1009*EXP(-$F$1009*($A929-$A$7:$A924)))*$F$1010</f>
        <v>955997.93855924858</v>
      </c>
      <c r="E929" s="67">
        <f t="shared" si="89"/>
        <v>1.8225256743069878</v>
      </c>
      <c r="F929" s="70">
        <f t="shared" si="93"/>
        <v>0.1106637589439203</v>
      </c>
      <c r="G929" s="67">
        <f>E929/'Lookup Tables'!$C$48</f>
        <v>3.6450513486139755</v>
      </c>
      <c r="H929" s="70">
        <f t="shared" si="90"/>
        <v>1.0609279062759717E-3</v>
      </c>
      <c r="I929" s="71">
        <f t="shared" si="94"/>
        <v>5.2488739420041251E-3</v>
      </c>
      <c r="L929" s="74"/>
      <c r="M929" s="74"/>
      <c r="N929" s="74"/>
      <c r="O929" s="74"/>
      <c r="P929" s="74"/>
      <c r="Q929" s="74"/>
      <c r="R929" s="74"/>
      <c r="S929" s="74"/>
      <c r="T929" s="74"/>
      <c r="U929" s="74"/>
      <c r="V929" s="74"/>
      <c r="W929" s="74"/>
      <c r="X929" s="74"/>
      <c r="Y929" s="74"/>
      <c r="Z929" s="74"/>
    </row>
    <row r="930" spans="1:26" x14ac:dyDescent="0.3">
      <c r="A930" s="66">
        <f t="shared" si="92"/>
        <v>2082.2999999999161</v>
      </c>
      <c r="B930" s="67">
        <f>LOOKUP(A930+0.01,Amounts!$A$4:$A$103,Amounts!$B$4:$B$103)*0.1*$A$2</f>
        <v>0</v>
      </c>
      <c r="C930" s="68">
        <f t="shared" si="91"/>
        <v>902907.24633514904</v>
      </c>
      <c r="D930" s="67">
        <f t="array" ref="D930">SUM($B$7:$B925*$F$1009*EXP(-$F$1009*($A930-$A$7:$A925)))*$F$1010</f>
        <v>949329.3203831251</v>
      </c>
      <c r="E930" s="67">
        <f t="shared" si="89"/>
        <v>1.8098125424602269</v>
      </c>
      <c r="F930" s="70">
        <f t="shared" si="93"/>
        <v>0.10989181757818497</v>
      </c>
      <c r="G930" s="67">
        <f>E930/'Lookup Tables'!$C$48</f>
        <v>3.6196250849204539</v>
      </c>
      <c r="H930" s="70">
        <f t="shared" si="90"/>
        <v>1.0535273431220272E-3</v>
      </c>
      <c r="I930" s="71">
        <f t="shared" si="94"/>
        <v>5.2122601222854533E-3</v>
      </c>
      <c r="L930" s="74"/>
      <c r="M930" s="74"/>
      <c r="N930" s="74"/>
      <c r="O930" s="74"/>
      <c r="P930" s="74"/>
      <c r="Q930" s="74"/>
      <c r="R930" s="74"/>
      <c r="S930" s="74"/>
      <c r="T930" s="74"/>
      <c r="U930" s="74"/>
      <c r="V930" s="74"/>
      <c r="W930" s="74"/>
      <c r="X930" s="74"/>
      <c r="Y930" s="74"/>
      <c r="Z930" s="74"/>
    </row>
    <row r="931" spans="1:26" x14ac:dyDescent="0.3">
      <c r="A931" s="66">
        <f t="shared" si="92"/>
        <v>2082.399999999916</v>
      </c>
      <c r="B931" s="67">
        <f>LOOKUP(A931+0.01,Amounts!$A$4:$A$103,Amounts!$B$4:$B$103)*0.1*$A$2</f>
        <v>0</v>
      </c>
      <c r="C931" s="68">
        <f t="shared" si="91"/>
        <v>902907.24633514904</v>
      </c>
      <c r="D931" s="67">
        <f t="array" ref="D931">SUM($B$7:$B926*$F$1009*EXP(-$F$1009*($A931-$A$7:$A926)))*$F$1010</f>
        <v>942707.21953364543</v>
      </c>
      <c r="E931" s="67">
        <f t="shared" si="89"/>
        <v>1.7971880917901601</v>
      </c>
      <c r="F931" s="70">
        <f t="shared" si="93"/>
        <v>0.10912526093349852</v>
      </c>
      <c r="G931" s="67">
        <f>E931/'Lookup Tables'!$C$48</f>
        <v>3.5943761835803203</v>
      </c>
      <c r="H931" s="70">
        <f t="shared" si="90"/>
        <v>1.046178403018689E-3</v>
      </c>
      <c r="I931" s="71">
        <f t="shared" si="94"/>
        <v>5.1759017043556616E-3</v>
      </c>
      <c r="L931" s="74"/>
      <c r="M931" s="74"/>
      <c r="N931" s="74"/>
      <c r="O931" s="74"/>
      <c r="P931" s="74"/>
      <c r="Q931" s="74"/>
      <c r="R931" s="74"/>
      <c r="S931" s="74"/>
      <c r="T931" s="74"/>
      <c r="U931" s="74"/>
      <c r="V931" s="74"/>
      <c r="W931" s="74"/>
      <c r="X931" s="74"/>
      <c r="Y931" s="74"/>
      <c r="Z931" s="74"/>
    </row>
    <row r="932" spans="1:26" x14ac:dyDescent="0.3">
      <c r="A932" s="66">
        <f t="shared" si="92"/>
        <v>2082.4999999999159</v>
      </c>
      <c r="B932" s="67">
        <f>LOOKUP(A932+0.01,Amounts!$A$4:$A$103,Amounts!$B$4:$B$103)*0.1*$A$2</f>
        <v>0</v>
      </c>
      <c r="C932" s="68">
        <f t="shared" si="91"/>
        <v>902907.24633514904</v>
      </c>
      <c r="D932" s="67">
        <f t="array" ref="D932">SUM($B$7:$B927*$F$1009*EXP(-$F$1009*($A932-$A$7:$A927)))*$F$1010</f>
        <v>936131.31152654311</v>
      </c>
      <c r="E932" s="67">
        <f t="shared" si="89"/>
        <v>1.7846517036961786</v>
      </c>
      <c r="F932" s="70">
        <f t="shared" si="93"/>
        <v>0.10836405144843198</v>
      </c>
      <c r="G932" s="67">
        <f>E932/'Lookup Tables'!$C$48</f>
        <v>3.5693034073923573</v>
      </c>
      <c r="H932" s="70">
        <f t="shared" si="90"/>
        <v>1.0388807258664217E-3</v>
      </c>
      <c r="I932" s="71">
        <f t="shared" si="94"/>
        <v>5.1397969066449946E-3</v>
      </c>
      <c r="L932" s="74"/>
      <c r="M932" s="74"/>
      <c r="N932" s="74"/>
      <c r="O932" s="74"/>
      <c r="P932" s="74"/>
      <c r="Q932" s="74"/>
      <c r="R932" s="74"/>
      <c r="S932" s="74"/>
      <c r="T932" s="74"/>
      <c r="U932" s="74"/>
      <c r="V932" s="74"/>
      <c r="W932" s="74"/>
      <c r="X932" s="74"/>
      <c r="Y932" s="74"/>
      <c r="Z932" s="74"/>
    </row>
    <row r="933" spans="1:26" x14ac:dyDescent="0.3">
      <c r="A933" s="66">
        <f t="shared" si="92"/>
        <v>2082.5999999999158</v>
      </c>
      <c r="B933" s="67">
        <f>LOOKUP(A933+0.01,Amounts!$A$4:$A$103,Amounts!$B$4:$B$103)*0.1*$A$2</f>
        <v>0</v>
      </c>
      <c r="C933" s="68">
        <f t="shared" si="91"/>
        <v>902907.24633514904</v>
      </c>
      <c r="D933" s="67">
        <f t="array" ref="D933">SUM($B$7:$B928*$F$1009*EXP(-$F$1009*($A933-$A$7:$A928)))*$F$1010</f>
        <v>929601.27414101013</v>
      </c>
      <c r="E933" s="67">
        <f t="shared" si="89"/>
        <v>1.772202763892758</v>
      </c>
      <c r="F933" s="70">
        <f t="shared" si="93"/>
        <v>0.10760815182356827</v>
      </c>
      <c r="G933" s="67">
        <f>E933/'Lookup Tables'!$C$48</f>
        <v>3.544405527785516</v>
      </c>
      <c r="H933" s="70">
        <f t="shared" si="90"/>
        <v>1.0316339540775848E-3</v>
      </c>
      <c r="I933" s="71">
        <f t="shared" si="94"/>
        <v>5.103943960011144E-3</v>
      </c>
      <c r="L933" s="74"/>
      <c r="M933" s="74"/>
      <c r="N933" s="74"/>
      <c r="O933" s="74"/>
      <c r="P933" s="74"/>
      <c r="Q933" s="74"/>
      <c r="R933" s="74"/>
      <c r="S933" s="74"/>
      <c r="T933" s="74"/>
      <c r="U933" s="74"/>
      <c r="V933" s="74"/>
      <c r="W933" s="74"/>
      <c r="X933" s="74"/>
      <c r="Y933" s="74"/>
      <c r="Z933" s="74"/>
    </row>
    <row r="934" spans="1:26" x14ac:dyDescent="0.3">
      <c r="A934" s="66">
        <f t="shared" si="92"/>
        <v>2082.6999999999157</v>
      </c>
      <c r="B934" s="67">
        <f>LOOKUP(A934+0.01,Amounts!$A$4:$A$103,Amounts!$B$4:$B$103)*0.1*$A$2</f>
        <v>0</v>
      </c>
      <c r="C934" s="68">
        <f t="shared" si="91"/>
        <v>902907.24633514904</v>
      </c>
      <c r="D934" s="67">
        <f t="array" ref="D934">SUM($B$7:$B929*$F$1009*EXP(-$F$1009*($A934-$A$7:$A929)))*$F$1010</f>
        <v>923116.78740390786</v>
      </c>
      <c r="E934" s="67">
        <f t="shared" si="89"/>
        <v>1.7598406623793565</v>
      </c>
      <c r="F934" s="70">
        <f t="shared" si="93"/>
        <v>0.10685752501967453</v>
      </c>
      <c r="G934" s="67">
        <f>E934/'Lookup Tables'!$C$48</f>
        <v>3.5196813247587131</v>
      </c>
      <c r="H934" s="70">
        <f t="shared" si="90"/>
        <v>1.0244377325589105E-3</v>
      </c>
      <c r="I934" s="71">
        <f t="shared" si="94"/>
        <v>5.0683411076525462E-3</v>
      </c>
      <c r="L934" s="74"/>
      <c r="M934" s="74"/>
      <c r="N934" s="74"/>
      <c r="O934" s="74"/>
      <c r="P934" s="74"/>
      <c r="Q934" s="74"/>
      <c r="R934" s="74"/>
      <c r="S934" s="74"/>
      <c r="T934" s="74"/>
      <c r="U934" s="74"/>
      <c r="V934" s="74"/>
      <c r="W934" s="74"/>
      <c r="X934" s="74"/>
      <c r="Y934" s="74"/>
      <c r="Z934" s="74"/>
    </row>
    <row r="935" spans="1:26" x14ac:dyDescent="0.3">
      <c r="A935" s="66">
        <f t="shared" si="92"/>
        <v>2082.7999999999156</v>
      </c>
      <c r="B935" s="67">
        <f>LOOKUP(A935+0.01,Amounts!$A$4:$A$103,Amounts!$B$4:$B$103)*0.1*$A$2</f>
        <v>0</v>
      </c>
      <c r="C935" s="68">
        <f t="shared" si="91"/>
        <v>902907.24633514904</v>
      </c>
      <c r="D935" s="67">
        <f t="array" ref="D935">SUM($B$7:$B930*$F$1009*EXP(-$F$1009*($A935-$A$7:$A930)))*$F$1010</f>
        <v>916677.53357408883</v>
      </c>
      <c r="E935" s="67">
        <f t="shared" si="89"/>
        <v>1.7475647934105267</v>
      </c>
      <c r="F935" s="70">
        <f t="shared" si="93"/>
        <v>0.10611213425588718</v>
      </c>
      <c r="G935" s="67">
        <f>E935/'Lookup Tables'!$C$48</f>
        <v>3.4951295868210535</v>
      </c>
      <c r="H935" s="70">
        <f t="shared" si="90"/>
        <v>1.0172917086941049E-3</v>
      </c>
      <c r="I935" s="71">
        <f t="shared" si="94"/>
        <v>5.0329866050223175E-3</v>
      </c>
      <c r="L935" s="74"/>
      <c r="M935" s="74"/>
      <c r="N935" s="74"/>
      <c r="O935" s="74"/>
      <c r="P935" s="74"/>
      <c r="Q935" s="74"/>
      <c r="R935" s="74"/>
      <c r="S935" s="74"/>
      <c r="T935" s="74"/>
      <c r="U935" s="74"/>
      <c r="V935" s="74"/>
      <c r="W935" s="74"/>
      <c r="X935" s="74"/>
      <c r="Y935" s="74"/>
      <c r="Z935" s="74"/>
    </row>
    <row r="936" spans="1:26" x14ac:dyDescent="0.3">
      <c r="A936" s="66">
        <f t="shared" si="92"/>
        <v>2082.8999999999155</v>
      </c>
      <c r="B936" s="67">
        <f>LOOKUP(A936+0.01,Amounts!$A$4:$A$103,Amounts!$B$4:$B$103)*0.1*$A$2</f>
        <v>0</v>
      </c>
      <c r="C936" s="68">
        <f t="shared" si="91"/>
        <v>902907.24633514904</v>
      </c>
      <c r="D936" s="67">
        <f t="array" ref="D936">SUM($B$7:$B931*$F$1009*EXP(-$F$1009*($A936-$A$7:$A931)))*$F$1010</f>
        <v>910283.19712682767</v>
      </c>
      <c r="E936" s="67">
        <f t="shared" si="89"/>
        <v>1.7353745554662341</v>
      </c>
      <c r="F936" s="70">
        <f t="shared" si="93"/>
        <v>0.10537194300790974</v>
      </c>
      <c r="G936" s="67">
        <f>E936/'Lookup Tables'!$C$48</f>
        <v>3.4707491109324682</v>
      </c>
      <c r="H936" s="70">
        <f t="shared" si="90"/>
        <v>1.0101955323265693E-3</v>
      </c>
      <c r="I936" s="71">
        <f t="shared" si="94"/>
        <v>4.9978787197427548E-3</v>
      </c>
      <c r="L936" s="74"/>
      <c r="M936" s="74"/>
      <c r="N936" s="74"/>
      <c r="O936" s="74"/>
      <c r="P936" s="74"/>
      <c r="Q936" s="74"/>
      <c r="R936" s="74"/>
      <c r="S936" s="74"/>
      <c r="T936" s="74"/>
      <c r="U936" s="74"/>
      <c r="V936" s="74"/>
      <c r="W936" s="74"/>
      <c r="X936" s="74"/>
      <c r="Y936" s="74"/>
      <c r="Z936" s="74"/>
    </row>
    <row r="937" spans="1:26" x14ac:dyDescent="0.3">
      <c r="A937" s="66">
        <f t="shared" si="92"/>
        <v>2082.9999999999154</v>
      </c>
      <c r="B937" s="67">
        <f>LOOKUP(A937+0.01,Amounts!$A$4:$A$103,Amounts!$B$4:$B$103)*0.1*$A$2</f>
        <v>0</v>
      </c>
      <c r="C937" s="68">
        <f t="shared" si="91"/>
        <v>902907.24633514904</v>
      </c>
      <c r="D937" s="67">
        <f t="array" ref="D937">SUM($B$7:$B932*$F$1009*EXP(-$F$1009*($A937-$A$7:$A932)))*$F$1010</f>
        <v>903933.46473835816</v>
      </c>
      <c r="E937" s="67">
        <f t="shared" si="89"/>
        <v>1.7232693512223789</v>
      </c>
      <c r="F937" s="70">
        <f t="shared" si="93"/>
        <v>0.10463691500622285</v>
      </c>
      <c r="G937" s="67">
        <f>E937/'Lookup Tables'!$C$48</f>
        <v>3.4465387024447578</v>
      </c>
      <c r="H937" s="70">
        <f t="shared" si="90"/>
        <v>1.0031488557422409E-3</v>
      </c>
      <c r="I937" s="71">
        <f t="shared" si="94"/>
        <v>4.9630157315204513E-3</v>
      </c>
      <c r="L937" s="74"/>
      <c r="M937" s="74"/>
      <c r="N937" s="74"/>
      <c r="O937" s="74"/>
      <c r="P937" s="74"/>
      <c r="Q937" s="74"/>
      <c r="R937" s="74"/>
      <c r="S937" s="74"/>
      <c r="T937" s="74"/>
      <c r="U937" s="74"/>
      <c r="V937" s="74"/>
      <c r="W937" s="74"/>
      <c r="X937" s="74"/>
      <c r="Y937" s="74"/>
      <c r="Z937" s="74"/>
    </row>
    <row r="938" spans="1:26" x14ac:dyDescent="0.3">
      <c r="A938" s="66">
        <f t="shared" si="92"/>
        <v>2083.0999999999153</v>
      </c>
      <c r="B938" s="67">
        <f>LOOKUP(A938+0.01,Amounts!$A$4:$A$103,Amounts!$B$4:$B$103)*0.1*$A$2</f>
        <v>0</v>
      </c>
      <c r="C938" s="68">
        <f t="shared" si="91"/>
        <v>902907.24633514904</v>
      </c>
      <c r="D938" s="67">
        <f t="array" ref="D938">SUM($B$7:$B933*$F$1009*EXP(-$F$1009*($A938-$A$7:$A933)))*$F$1010</f>
        <v>897628.0252705228</v>
      </c>
      <c r="E938" s="67">
        <f t="shared" si="89"/>
        <v>1.7112485875215309</v>
      </c>
      <c r="F938" s="70">
        <f t="shared" si="93"/>
        <v>0.10390701423430736</v>
      </c>
      <c r="G938" s="67">
        <f>E938/'Lookup Tables'!$C$48</f>
        <v>3.4224971750430617</v>
      </c>
      <c r="H938" s="70">
        <f t="shared" si="90"/>
        <v>9.96151333652557E-4</v>
      </c>
      <c r="I938" s="71">
        <f t="shared" si="94"/>
        <v>4.9283959320620086E-3</v>
      </c>
      <c r="L938" s="74"/>
      <c r="M938" s="74"/>
      <c r="N938" s="74"/>
      <c r="O938" s="74"/>
      <c r="P938" s="74"/>
      <c r="Q938" s="74"/>
      <c r="R938" s="74"/>
      <c r="S938" s="74"/>
      <c r="T938" s="74"/>
      <c r="U938" s="74"/>
      <c r="V938" s="74"/>
      <c r="W938" s="74"/>
      <c r="X938" s="74"/>
      <c r="Y938" s="74"/>
      <c r="Z938" s="74"/>
    </row>
    <row r="939" spans="1:26" x14ac:dyDescent="0.3">
      <c r="A939" s="66">
        <f t="shared" si="92"/>
        <v>2083.1999999999152</v>
      </c>
      <c r="B939" s="67">
        <f>LOOKUP(A939+0.01,Amounts!$A$4:$A$103,Amounts!$B$4:$B$103)*0.1*$A$2</f>
        <v>0</v>
      </c>
      <c r="C939" s="68">
        <f t="shared" si="91"/>
        <v>902907.24633514904</v>
      </c>
      <c r="D939" s="67">
        <f t="array" ref="D939">SUM($B$7:$B934*$F$1009*EXP(-$F$1009*($A939-$A$7:$A934)))*$F$1010</f>
        <v>891366.56975552661</v>
      </c>
      <c r="E939" s="67">
        <f t="shared" si="89"/>
        <v>1.6993116753438648</v>
      </c>
      <c r="F939" s="70">
        <f t="shared" si="93"/>
        <v>0.10318220492687948</v>
      </c>
      <c r="G939" s="67">
        <f>E939/'Lookup Tables'!$C$48</f>
        <v>3.3986233506877297</v>
      </c>
      <c r="H939" s="70">
        <f t="shared" si="90"/>
        <v>9.8920262317753627E-4</v>
      </c>
      <c r="I939" s="71">
        <f t="shared" si="94"/>
        <v>4.8940176249903308E-3</v>
      </c>
      <c r="L939" s="74"/>
      <c r="M939" s="74"/>
      <c r="N939" s="74"/>
      <c r="O939" s="74"/>
      <c r="P939" s="74"/>
      <c r="Q939" s="74"/>
      <c r="R939" s="74"/>
      <c r="S939" s="74"/>
      <c r="T939" s="74"/>
      <c r="U939" s="74"/>
      <c r="V939" s="74"/>
      <c r="W939" s="74"/>
      <c r="X939" s="74"/>
      <c r="Y939" s="74"/>
      <c r="Z939" s="74"/>
    </row>
    <row r="940" spans="1:26" x14ac:dyDescent="0.3">
      <c r="A940" s="66">
        <f t="shared" si="92"/>
        <v>2083.2999999999151</v>
      </c>
      <c r="B940" s="67">
        <f>LOOKUP(A940+0.01,Amounts!$A$4:$A$103,Amounts!$B$4:$B$103)*0.1*$A$2</f>
        <v>0</v>
      </c>
      <c r="C940" s="68">
        <f t="shared" si="91"/>
        <v>902907.24633514904</v>
      </c>
      <c r="D940" s="67">
        <f t="array" ref="D940">SUM($B$7:$B935*$F$1009*EXP(-$F$1009*($A940-$A$7:$A935)))*$F$1010</f>
        <v>885148.79138079612</v>
      </c>
      <c r="E940" s="67">
        <f t="shared" si="89"/>
        <v>1.6874580297782944</v>
      </c>
      <c r="F940" s="70">
        <f t="shared" si="93"/>
        <v>0.10246245156813803</v>
      </c>
      <c r="G940" s="67">
        <f>E940/'Lookup Tables'!$C$48</f>
        <v>3.3749160595565888</v>
      </c>
      <c r="H940" s="70">
        <f t="shared" si="90"/>
        <v>9.8230238382897381E-4</v>
      </c>
      <c r="I940" s="71">
        <f t="shared" si="94"/>
        <v>4.8598791257614873E-3</v>
      </c>
      <c r="L940" s="74"/>
      <c r="M940" s="74"/>
      <c r="N940" s="74"/>
      <c r="O940" s="74"/>
      <c r="P940" s="74"/>
      <c r="Q940" s="74"/>
      <c r="R940" s="74"/>
      <c r="S940" s="74"/>
      <c r="T940" s="74"/>
      <c r="U940" s="74"/>
      <c r="V940" s="74"/>
      <c r="W940" s="74"/>
      <c r="X940" s="74"/>
      <c r="Y940" s="74"/>
      <c r="Z940" s="74"/>
    </row>
    <row r="941" spans="1:26" x14ac:dyDescent="0.3">
      <c r="A941" s="66">
        <f t="shared" si="92"/>
        <v>2083.3999999999151</v>
      </c>
      <c r="B941" s="67">
        <f>LOOKUP(A941+0.01,Amounts!$A$4:$A$103,Amounts!$B$4:$B$103)*0.1*$A$2</f>
        <v>0</v>
      </c>
      <c r="C941" s="68">
        <f t="shared" si="91"/>
        <v>902907.24633514904</v>
      </c>
      <c r="D941" s="67">
        <f t="array" ref="D941">SUM($B$7:$B936*$F$1009*EXP(-$F$1009*($A941-$A$7:$A936)))*$F$1010</f>
        <v>878974.38547394716</v>
      </c>
      <c r="E941" s="67">
        <f t="shared" si="89"/>
        <v>1.6756870699938164</v>
      </c>
      <c r="F941" s="70">
        <f t="shared" si="93"/>
        <v>0.10174771889002454</v>
      </c>
      <c r="G941" s="67">
        <f>E941/'Lookup Tables'!$C$48</f>
        <v>3.3513741399876329</v>
      </c>
      <c r="H941" s="70">
        <f t="shared" si="90"/>
        <v>9.7545027749376234E-4</v>
      </c>
      <c r="I941" s="71">
        <f t="shared" si="94"/>
        <v>4.8259787615821913E-3</v>
      </c>
      <c r="L941" s="74"/>
      <c r="M941" s="74"/>
      <c r="N941" s="74"/>
      <c r="O941" s="74"/>
      <c r="P941" s="74"/>
      <c r="Q941" s="74"/>
      <c r="R941" s="74"/>
      <c r="S941" s="74"/>
      <c r="T941" s="74"/>
      <c r="U941" s="74"/>
      <c r="V941" s="74"/>
      <c r="W941" s="74"/>
      <c r="X941" s="74"/>
      <c r="Y941" s="74"/>
      <c r="Z941" s="74"/>
    </row>
    <row r="942" spans="1:26" x14ac:dyDescent="0.3">
      <c r="A942" s="66">
        <f t="shared" si="92"/>
        <v>2083.499999999915</v>
      </c>
      <c r="B942" s="67">
        <f>LOOKUP(A942+0.01,Amounts!$A$4:$A$103,Amounts!$B$4:$B$103)*0.1*$A$2</f>
        <v>0</v>
      </c>
      <c r="C942" s="68">
        <f t="shared" si="91"/>
        <v>902907.24633514904</v>
      </c>
      <c r="D942" s="67">
        <f t="array" ref="D942">SUM($B$7:$B937*$F$1009*EXP(-$F$1009*($A942-$A$7:$A937)))*$F$1010</f>
        <v>872843.0494878547</v>
      </c>
      <c r="E942" s="67">
        <f t="shared" si="89"/>
        <v>1.6639982192110452</v>
      </c>
      <c r="F942" s="70">
        <f t="shared" si="93"/>
        <v>0.10103797187049465</v>
      </c>
      <c r="G942" s="67">
        <f>E942/'Lookup Tables'!$C$48</f>
        <v>3.3279964384220904</v>
      </c>
      <c r="H942" s="70">
        <f t="shared" si="90"/>
        <v>9.6864596841731907E-4</v>
      </c>
      <c r="I942" s="71">
        <f t="shared" si="94"/>
        <v>4.79231487132781E-3</v>
      </c>
      <c r="L942" s="74"/>
      <c r="M942" s="74"/>
      <c r="N942" s="74"/>
      <c r="O942" s="74"/>
      <c r="P942" s="74"/>
      <c r="Q942" s="74"/>
      <c r="R942" s="74"/>
      <c r="S942" s="74"/>
      <c r="T942" s="74"/>
      <c r="U942" s="74"/>
      <c r="V942" s="74"/>
      <c r="W942" s="74"/>
      <c r="X942" s="74"/>
      <c r="Y942" s="74"/>
      <c r="Z942" s="74"/>
    </row>
    <row r="943" spans="1:26" x14ac:dyDescent="0.3">
      <c r="A943" s="66">
        <f t="shared" si="92"/>
        <v>2083.5999999999149</v>
      </c>
      <c r="B943" s="67">
        <f>LOOKUP(A943+0.01,Amounts!$A$4:$A$103,Amounts!$B$4:$B$103)*0.1*$A$2</f>
        <v>0</v>
      </c>
      <c r="C943" s="68">
        <f t="shared" si="91"/>
        <v>902907.24633514904</v>
      </c>
      <c r="D943" s="67">
        <f t="array" ref="D943">SUM($B$7:$B938*$F$1009*EXP(-$F$1009*($A943-$A$7:$A938)))*$F$1010</f>
        <v>866754.48298582865</v>
      </c>
      <c r="E943" s="67">
        <f t="shared" si="89"/>
        <v>1.652390904673954</v>
      </c>
      <c r="F943" s="70">
        <f t="shared" si="93"/>
        <v>0.10033317573180249</v>
      </c>
      <c r="G943" s="67">
        <f>E943/'Lookup Tables'!$C$48</f>
        <v>3.304781809347908</v>
      </c>
      <c r="H943" s="70">
        <f t="shared" si="90"/>
        <v>9.618891231871385E-4</v>
      </c>
      <c r="I943" s="71">
        <f t="shared" si="94"/>
        <v>4.758885805460987E-3</v>
      </c>
      <c r="L943" s="74"/>
      <c r="M943" s="74"/>
      <c r="N943" s="74"/>
      <c r="O943" s="74"/>
      <c r="P943" s="74"/>
      <c r="Q943" s="74"/>
      <c r="R943" s="74"/>
      <c r="S943" s="74"/>
      <c r="T943" s="74"/>
      <c r="U943" s="74"/>
      <c r="V943" s="74"/>
      <c r="W943" s="74"/>
      <c r="X943" s="74"/>
      <c r="Y943" s="74"/>
      <c r="Z943" s="74"/>
    </row>
    <row r="944" spans="1:26" x14ac:dyDescent="0.3">
      <c r="A944" s="66">
        <f t="shared" si="92"/>
        <v>2083.6999999999148</v>
      </c>
      <c r="B944" s="67">
        <f>LOOKUP(A944+0.01,Amounts!$A$4:$A$103,Amounts!$B$4:$B$103)*0.1*$A$2</f>
        <v>0</v>
      </c>
      <c r="C944" s="68">
        <f t="shared" si="91"/>
        <v>902907.24633514904</v>
      </c>
      <c r="D944" s="67">
        <f t="array" ref="D944">SUM($B$7:$B939*$F$1009*EXP(-$F$1009*($A944-$A$7:$A939)))*$F$1010</f>
        <v>860708.38762689219</v>
      </c>
      <c r="E944" s="67">
        <f t="shared" si="89"/>
        <v>1.6408645576218082</v>
      </c>
      <c r="F944" s="70">
        <f t="shared" si="93"/>
        <v>9.963329593879619E-2</v>
      </c>
      <c r="G944" s="67">
        <f>E944/'Lookup Tables'!$C$48</f>
        <v>3.2817291152436163</v>
      </c>
      <c r="H944" s="70">
        <f t="shared" si="90"/>
        <v>9.551794107164525E-4</v>
      </c>
      <c r="I944" s="71">
        <f t="shared" si="94"/>
        <v>4.7256899259508081E-3</v>
      </c>
      <c r="L944" s="74"/>
      <c r="M944" s="74"/>
      <c r="N944" s="74"/>
      <c r="O944" s="74"/>
      <c r="P944" s="74"/>
      <c r="Q944" s="74"/>
      <c r="R944" s="74"/>
      <c r="S944" s="74"/>
      <c r="T944" s="74"/>
      <c r="U944" s="74"/>
      <c r="V944" s="74"/>
      <c r="W944" s="74"/>
      <c r="X944" s="74"/>
      <c r="Y944" s="74"/>
      <c r="Z944" s="74"/>
    </row>
    <row r="945" spans="1:26" x14ac:dyDescent="0.3">
      <c r="A945" s="66">
        <f t="shared" si="92"/>
        <v>2083.7999999999147</v>
      </c>
      <c r="B945" s="67">
        <f>LOOKUP(A945+0.01,Amounts!$A$4:$A$103,Amounts!$B$4:$B$103)*0.1*$A$2</f>
        <v>0</v>
      </c>
      <c r="C945" s="68">
        <f t="shared" si="91"/>
        <v>902907.24633514904</v>
      </c>
      <c r="D945" s="67">
        <f t="array" ref="D945">SUM($B$7:$B940*$F$1009*EXP(-$F$1009*($A945-$A$7:$A940)))*$F$1010</f>
        <v>854704.46715116291</v>
      </c>
      <c r="E945" s="67">
        <f t="shared" si="89"/>
        <v>1.6294186132612953</v>
      </c>
      <c r="F945" s="70">
        <f t="shared" si="93"/>
        <v>9.8938298197225855E-2</v>
      </c>
      <c r="G945" s="67">
        <f>E945/'Lookup Tables'!$C$48</f>
        <v>3.2588372265225907</v>
      </c>
      <c r="H945" s="70">
        <f t="shared" si="90"/>
        <v>9.4851650222800685E-4</v>
      </c>
      <c r="I945" s="71">
        <f t="shared" si="94"/>
        <v>4.6927256061925311E-3</v>
      </c>
      <c r="L945" s="74"/>
      <c r="M945" s="74"/>
      <c r="N945" s="74"/>
      <c r="O945" s="74"/>
      <c r="P945" s="74"/>
      <c r="Q945" s="74"/>
      <c r="R945" s="74"/>
      <c r="S945" s="74"/>
      <c r="T945" s="74"/>
      <c r="U945" s="74"/>
      <c r="V945" s="74"/>
      <c r="W945" s="74"/>
      <c r="X945" s="74"/>
      <c r="Y945" s="74"/>
      <c r="Z945" s="74"/>
    </row>
    <row r="946" spans="1:26" x14ac:dyDescent="0.3">
      <c r="A946" s="66">
        <f t="shared" si="92"/>
        <v>2083.8999999999146</v>
      </c>
      <c r="B946" s="67">
        <f>LOOKUP(A946+0.01,Amounts!$A$4:$A$103,Amounts!$B$4:$B$103)*0.1*$A$2</f>
        <v>0</v>
      </c>
      <c r="C946" s="68">
        <f t="shared" si="91"/>
        <v>902907.24633514904</v>
      </c>
      <c r="D946" s="67">
        <f t="array" ref="D946">SUM($B$7:$B941*$F$1009*EXP(-$F$1009*($A946-$A$7:$A941)))*$F$1010</f>
        <v>848742.42736533622</v>
      </c>
      <c r="E946" s="67">
        <f t="shared" si="89"/>
        <v>1.6180525107388519</v>
      </c>
      <c r="F946" s="70">
        <f t="shared" si="93"/>
        <v>9.8248148452063089E-2</v>
      </c>
      <c r="G946" s="67">
        <f>E946/'Lookup Tables'!$C$48</f>
        <v>3.2361050214777038</v>
      </c>
      <c r="H946" s="70">
        <f t="shared" si="90"/>
        <v>9.4190007123795257E-4</v>
      </c>
      <c r="I946" s="71">
        <f t="shared" si="94"/>
        <v>4.6599912309278936E-3</v>
      </c>
      <c r="L946" s="74"/>
      <c r="M946" s="74"/>
      <c r="N946" s="74"/>
      <c r="O946" s="74"/>
      <c r="P946" s="74"/>
      <c r="Q946" s="74"/>
      <c r="R946" s="74"/>
      <c r="S946" s="74"/>
      <c r="T946" s="74"/>
      <c r="U946" s="74"/>
      <c r="V946" s="74"/>
      <c r="W946" s="74"/>
      <c r="X946" s="74"/>
      <c r="Y946" s="74"/>
      <c r="Z946" s="74"/>
    </row>
    <row r="947" spans="1:26" x14ac:dyDescent="0.3">
      <c r="A947" s="66">
        <f t="shared" si="92"/>
        <v>2083.9999999999145</v>
      </c>
      <c r="B947" s="67">
        <f>LOOKUP(A947+0.01,Amounts!$A$4:$A$103,Amounts!$B$4:$B$103)*0.1*$A$2</f>
        <v>0</v>
      </c>
      <c r="C947" s="68">
        <f t="shared" si="91"/>
        <v>902907.24633514904</v>
      </c>
      <c r="D947" s="67">
        <f t="array" ref="D947">SUM($B$7:$B942*$F$1009*EXP(-$F$1009*($A947-$A$7:$A942)))*$F$1010</f>
        <v>842821.97612827027</v>
      </c>
      <c r="E947" s="67">
        <f t="shared" si="89"/>
        <v>1.6067656931131813</v>
      </c>
      <c r="F947" s="70">
        <f t="shared" si="93"/>
        <v>9.7562812885832365E-2</v>
      </c>
      <c r="G947" s="67">
        <f>E947/'Lookup Tables'!$C$48</f>
        <v>3.2135313862263626</v>
      </c>
      <c r="H947" s="70">
        <f t="shared" si="90"/>
        <v>9.3532979353984857E-4</v>
      </c>
      <c r="I947" s="71">
        <f t="shared" si="94"/>
        <v>4.6274851961659626E-3</v>
      </c>
      <c r="L947" s="74"/>
      <c r="M947" s="74"/>
      <c r="N947" s="74"/>
      <c r="O947" s="74"/>
      <c r="P947" s="74"/>
      <c r="Q947" s="74"/>
      <c r="R947" s="74"/>
      <c r="S947" s="74"/>
      <c r="T947" s="74"/>
      <c r="U947" s="74"/>
      <c r="V947" s="74"/>
      <c r="W947" s="74"/>
      <c r="X947" s="74"/>
      <c r="Y947" s="74"/>
      <c r="Z947" s="74"/>
    </row>
    <row r="948" spans="1:26" x14ac:dyDescent="0.3">
      <c r="A948" s="66">
        <f t="shared" si="92"/>
        <v>2084.0999999999144</v>
      </c>
      <c r="B948" s="67">
        <f>LOOKUP(A948+0.01,Amounts!$A$4:$A$103,Amounts!$B$4:$B$103)*0.1*$A$2</f>
        <v>0</v>
      </c>
      <c r="C948" s="68">
        <f t="shared" si="91"/>
        <v>902907.24633514904</v>
      </c>
      <c r="D948" s="67">
        <f t="array" ref="D948">SUM($B$7:$B943*$F$1009*EXP(-$F$1009*($A948-$A$7:$A943)))*$F$1010</f>
        <v>836942.82333666913</v>
      </c>
      <c r="E948" s="67">
        <f t="shared" si="89"/>
        <v>1.5955576073279603</v>
      </c>
      <c r="F948" s="70">
        <f t="shared" si="93"/>
        <v>9.6882257916953735E-2</v>
      </c>
      <c r="G948" s="67">
        <f>E948/'Lookup Tables'!$C$48</f>
        <v>3.1911152146559205</v>
      </c>
      <c r="H948" s="70">
        <f t="shared" si="90"/>
        <v>9.2880534718877154E-4</v>
      </c>
      <c r="I948" s="71">
        <f t="shared" si="94"/>
        <v>4.5952059091045249E-3</v>
      </c>
      <c r="L948" s="74"/>
      <c r="M948" s="74"/>
      <c r="N948" s="74"/>
      <c r="O948" s="74"/>
      <c r="P948" s="74"/>
      <c r="Q948" s="74"/>
      <c r="R948" s="74"/>
      <c r="S948" s="74"/>
      <c r="T948" s="74"/>
      <c r="U948" s="74"/>
      <c r="V948" s="74"/>
      <c r="W948" s="74"/>
      <c r="X948" s="74"/>
      <c r="Y948" s="74"/>
      <c r="Z948" s="74"/>
    </row>
    <row r="949" spans="1:26" x14ac:dyDescent="0.3">
      <c r="A949" s="66">
        <f t="shared" si="92"/>
        <v>2084.1999999999143</v>
      </c>
      <c r="B949" s="67">
        <f>LOOKUP(A949+0.01,Amounts!$A$4:$A$103,Amounts!$B$4:$B$103)*0.1*$A$2</f>
        <v>0</v>
      </c>
      <c r="C949" s="68">
        <f t="shared" si="91"/>
        <v>902907.24633514904</v>
      </c>
      <c r="D949" s="67">
        <f t="array" ref="D949">SUM($B$7:$B944*$F$1009*EXP(-$F$1009*($A949-$A$7:$A944)))*$F$1010</f>
        <v>831104.68091086997</v>
      </c>
      <c r="E949" s="67">
        <f t="shared" si="89"/>
        <v>1.584427704184743</v>
      </c>
      <c r="F949" s="70">
        <f t="shared" si="93"/>
        <v>9.6206450198097593E-2</v>
      </c>
      <c r="G949" s="67">
        <f>E949/'Lookup Tables'!$C$48</f>
        <v>3.168855408369486</v>
      </c>
      <c r="H949" s="70">
        <f t="shared" si="90"/>
        <v>9.2232641248554573E-4</v>
      </c>
      <c r="I949" s="71">
        <f t="shared" si="94"/>
        <v>4.5631517880520599E-3</v>
      </c>
      <c r="L949" s="74"/>
      <c r="M949" s="74"/>
      <c r="N949" s="74"/>
      <c r="O949" s="74"/>
      <c r="P949" s="74"/>
      <c r="Q949" s="74"/>
      <c r="R949" s="74"/>
      <c r="S949" s="74"/>
      <c r="T949" s="74"/>
      <c r="U949" s="74"/>
      <c r="V949" s="74"/>
      <c r="W949" s="74"/>
      <c r="X949" s="74"/>
      <c r="Y949" s="74"/>
      <c r="Z949" s="74"/>
    </row>
    <row r="950" spans="1:26" x14ac:dyDescent="0.3">
      <c r="A950" s="66">
        <f t="shared" si="92"/>
        <v>2084.2999999999142</v>
      </c>
      <c r="B950" s="67">
        <f>LOOKUP(A950+0.01,Amounts!$A$4:$A$103,Amounts!$B$4:$B$103)*0.1*$A$2</f>
        <v>0</v>
      </c>
      <c r="C950" s="68">
        <f t="shared" si="91"/>
        <v>902907.24633514904</v>
      </c>
      <c r="D950" s="67">
        <f t="array" ref="D950">SUM($B$7:$B945*$F$1009*EXP(-$F$1009*($A950-$A$7:$A945)))*$F$1010</f>
        <v>825307.26278072619</v>
      </c>
      <c r="E950" s="67">
        <f t="shared" si="89"/>
        <v>1.5733754383160492</v>
      </c>
      <c r="F950" s="70">
        <f t="shared" si="93"/>
        <v>9.553535661455051E-2</v>
      </c>
      <c r="G950" s="67">
        <f>E950/'Lookup Tables'!$C$48</f>
        <v>3.1467508766320984</v>
      </c>
      <c r="H950" s="70">
        <f t="shared" si="90"/>
        <v>9.1589267196107431E-4</v>
      </c>
      <c r="I950" s="71">
        <f t="shared" si="94"/>
        <v>4.5313212623502219E-3</v>
      </c>
      <c r="L950" s="74"/>
      <c r="M950" s="74"/>
      <c r="N950" s="74"/>
      <c r="O950" s="74"/>
      <c r="P950" s="74"/>
      <c r="Q950" s="74"/>
      <c r="R950" s="74"/>
      <c r="S950" s="74"/>
      <c r="T950" s="74"/>
      <c r="U950" s="74"/>
      <c r="V950" s="74"/>
      <c r="W950" s="74"/>
      <c r="X950" s="74"/>
      <c r="Y950" s="74"/>
      <c r="Z950" s="74"/>
    </row>
    <row r="951" spans="1:26" x14ac:dyDescent="0.3">
      <c r="A951" s="66">
        <f t="shared" si="92"/>
        <v>2084.3999999999141</v>
      </c>
      <c r="B951" s="67">
        <f>LOOKUP(A951+0.01,Amounts!$A$4:$A$103,Amounts!$B$4:$B$103)*0.1*$A$2</f>
        <v>0</v>
      </c>
      <c r="C951" s="68">
        <f t="shared" si="91"/>
        <v>902907.24633514904</v>
      </c>
      <c r="D951" s="67">
        <f t="array" ref="D951">SUM($B$7:$B946*$F$1009*EXP(-$F$1009*($A951-$A$7:$A946)))*$F$1010</f>
        <v>819550.28487158881</v>
      </c>
      <c r="E951" s="67">
        <f t="shared" si="89"/>
        <v>1.5624002681586393</v>
      </c>
      <c r="F951" s="70">
        <f t="shared" si="93"/>
        <v>9.4868944282592585E-2</v>
      </c>
      <c r="G951" s="67">
        <f>E951/'Lookup Tables'!$C$48</f>
        <v>3.1248005363172786</v>
      </c>
      <c r="H951" s="70">
        <f t="shared" si="90"/>
        <v>9.0950381036078356E-4</v>
      </c>
      <c r="I951" s="71">
        <f t="shared" si="94"/>
        <v>4.4997127722968804E-3</v>
      </c>
      <c r="L951" s="74"/>
      <c r="M951" s="74"/>
      <c r="N951" s="74"/>
      <c r="O951" s="74"/>
      <c r="P951" s="74"/>
      <c r="Q951" s="74"/>
      <c r="R951" s="74"/>
      <c r="S951" s="74"/>
      <c r="T951" s="74"/>
      <c r="U951" s="74"/>
      <c r="V951" s="74"/>
      <c r="W951" s="74"/>
      <c r="X951" s="74"/>
      <c r="Y951" s="74"/>
      <c r="Z951" s="74"/>
    </row>
    <row r="952" spans="1:26" x14ac:dyDescent="0.3">
      <c r="A952" s="66">
        <f t="shared" si="92"/>
        <v>2084.4999999999141</v>
      </c>
      <c r="B952" s="67">
        <f>LOOKUP(A952+0.01,Amounts!$A$4:$A$103,Amounts!$B$4:$B$103)*0.1*$A$2</f>
        <v>0</v>
      </c>
      <c r="C952" s="68">
        <f t="shared" si="91"/>
        <v>902907.24633514904</v>
      </c>
      <c r="D952" s="67">
        <f t="array" ref="D952">SUM($B$7:$B947*$F$1009*EXP(-$F$1009*($A952-$A$7:$A947)))*$F$1010</f>
        <v>813833.46509038866</v>
      </c>
      <c r="E952" s="67">
        <f t="shared" si="89"/>
        <v>1.5515016559269794</v>
      </c>
      <c r="F952" s="70">
        <f t="shared" si="93"/>
        <v>9.4207180547886196E-2</v>
      </c>
      <c r="G952" s="67">
        <f>E952/'Lookup Tables'!$C$48</f>
        <v>3.1030033118539588</v>
      </c>
      <c r="H952" s="70">
        <f t="shared" si="90"/>
        <v>9.0315951462917755E-4</v>
      </c>
      <c r="I952" s="71">
        <f t="shared" si="94"/>
        <v>4.4683247690697004E-3</v>
      </c>
      <c r="L952" s="74"/>
      <c r="M952" s="74"/>
      <c r="N952" s="74"/>
      <c r="O952" s="74"/>
      <c r="P952" s="74"/>
      <c r="Q952" s="74"/>
      <c r="R952" s="74"/>
      <c r="S952" s="74"/>
      <c r="T952" s="74"/>
      <c r="U952" s="74"/>
      <c r="V952" s="74"/>
      <c r="W952" s="74"/>
      <c r="X952" s="74"/>
      <c r="Y952" s="74"/>
      <c r="Z952" s="74"/>
    </row>
    <row r="953" spans="1:26" x14ac:dyDescent="0.3">
      <c r="A953" s="66">
        <f t="shared" si="92"/>
        <v>2084.599999999914</v>
      </c>
      <c r="B953" s="67">
        <f>LOOKUP(A953+0.01,Amounts!$A$4:$A$103,Amounts!$B$4:$B$103)*0.1*$A$2</f>
        <v>0</v>
      </c>
      <c r="C953" s="68">
        <f t="shared" si="91"/>
        <v>902907.24633514904</v>
      </c>
      <c r="D953" s="67">
        <f t="array" ref="D953">SUM($B$7:$B948*$F$1009*EXP(-$F$1009*($A953-$A$7:$A948)))*$F$1010</f>
        <v>808156.52331181255</v>
      </c>
      <c r="E953" s="67">
        <f t="shared" si="89"/>
        <v>1.5406790675868898</v>
      </c>
      <c r="F953" s="70">
        <f t="shared" si="93"/>
        <v>9.3550032983875944E-2</v>
      </c>
      <c r="G953" s="67">
        <f>E953/'Lookup Tables'!$C$48</f>
        <v>3.0813581351737795</v>
      </c>
      <c r="H953" s="70">
        <f t="shared" si="90"/>
        <v>8.9685947389449544E-4</v>
      </c>
      <c r="I953" s="71">
        <f t="shared" si="94"/>
        <v>4.4371557146502425E-3</v>
      </c>
      <c r="L953" s="74"/>
      <c r="M953" s="74"/>
      <c r="N953" s="74"/>
      <c r="O953" s="74"/>
      <c r="P953" s="74"/>
      <c r="Q953" s="74"/>
      <c r="R953" s="74"/>
      <c r="S953" s="74"/>
      <c r="T953" s="74"/>
      <c r="U953" s="74"/>
      <c r="V953" s="74"/>
      <c r="W953" s="74"/>
      <c r="X953" s="74"/>
      <c r="Y953" s="74"/>
      <c r="Z953" s="74"/>
    </row>
    <row r="954" spans="1:26" x14ac:dyDescent="0.3">
      <c r="A954" s="66">
        <f t="shared" si="92"/>
        <v>2084.6999999999139</v>
      </c>
      <c r="B954" s="67">
        <f>LOOKUP(A954+0.01,Amounts!$A$4:$A$103,Amounts!$B$4:$B$103)*0.1*$A$2</f>
        <v>0</v>
      </c>
      <c r="C954" s="68">
        <f t="shared" si="91"/>
        <v>902907.24633514904</v>
      </c>
      <c r="D954" s="67">
        <f t="array" ref="D954">SUM($B$7:$B949*$F$1009*EXP(-$F$1009*($A954-$A$7:$A949)))*$F$1010</f>
        <v>802519.18136457773</v>
      </c>
      <c r="E954" s="67">
        <f t="shared" si="89"/>
        <v>1.529931972829377</v>
      </c>
      <c r="F954" s="70">
        <f t="shared" si="93"/>
        <v>9.2897469390199772E-2</v>
      </c>
      <c r="G954" s="67">
        <f>E954/'Lookup Tables'!$C$48</f>
        <v>3.059863945658754</v>
      </c>
      <c r="H954" s="70">
        <f t="shared" si="90"/>
        <v>8.9060337945348123E-4</v>
      </c>
      <c r="I954" s="71">
        <f t="shared" si="94"/>
        <v>4.4062040817486057E-3</v>
      </c>
      <c r="L954" s="74"/>
      <c r="M954" s="74"/>
      <c r="N954" s="74"/>
      <c r="O954" s="74"/>
      <c r="P954" s="74"/>
      <c r="Q954" s="74"/>
      <c r="R954" s="74"/>
      <c r="S954" s="74"/>
      <c r="T954" s="74"/>
      <c r="U954" s="74"/>
      <c r="V954" s="74"/>
      <c r="W954" s="74"/>
      <c r="X954" s="74"/>
      <c r="Y954" s="74"/>
      <c r="Z954" s="74"/>
    </row>
    <row r="955" spans="1:26" x14ac:dyDescent="0.3">
      <c r="A955" s="66">
        <f t="shared" si="92"/>
        <v>2084.7999999999138</v>
      </c>
      <c r="B955" s="67">
        <f>LOOKUP(A955+0.01,Amounts!$A$4:$A$103,Amounts!$B$4:$B$103)*0.1*$A$2</f>
        <v>0</v>
      </c>
      <c r="C955" s="68">
        <f t="shared" si="91"/>
        <v>902907.24633514904</v>
      </c>
      <c r="D955" s="67">
        <f t="array" ref="D955">SUM($B$7:$B950*$F$1009*EXP(-$F$1009*($A955-$A$7:$A950)))*$F$1010</f>
        <v>796921.16301780089</v>
      </c>
      <c r="E955" s="67">
        <f t="shared" si="89"/>
        <v>1.5192598450446475</v>
      </c>
      <c r="F955" s="70">
        <f t="shared" si="93"/>
        <v>9.2249457791110989E-2</v>
      </c>
      <c r="G955" s="67">
        <f>E955/'Lookup Tables'!$C$48</f>
        <v>3.038519690089295</v>
      </c>
      <c r="H955" s="70">
        <f t="shared" si="90"/>
        <v>8.8439092475625549E-4</v>
      </c>
      <c r="I955" s="71">
        <f t="shared" si="94"/>
        <v>4.3754683537285842E-3</v>
      </c>
      <c r="L955" s="74"/>
      <c r="M955" s="74"/>
      <c r="N955" s="74"/>
      <c r="O955" s="74"/>
      <c r="P955" s="74"/>
      <c r="Q955" s="74"/>
      <c r="R955" s="74"/>
      <c r="S955" s="74"/>
      <c r="T955" s="74"/>
      <c r="U955" s="74"/>
      <c r="V955" s="74"/>
      <c r="W955" s="74"/>
      <c r="X955" s="74"/>
      <c r="Y955" s="74"/>
      <c r="Z955" s="74"/>
    </row>
    <row r="956" spans="1:26" x14ac:dyDescent="0.3">
      <c r="A956" s="66">
        <f t="shared" si="92"/>
        <v>2084.8999999999137</v>
      </c>
      <c r="B956" s="67">
        <f>LOOKUP(A956+0.01,Amounts!$A$4:$A$103,Amounts!$B$4:$B$103)*0.1*$A$2</f>
        <v>0</v>
      </c>
      <c r="C956" s="68">
        <f t="shared" si="91"/>
        <v>902907.24633514904</v>
      </c>
      <c r="D956" s="67">
        <f t="array" ref="D956">SUM($B$7:$B951*$F$1009*EXP(-$F$1009*($A956-$A$7:$A951)))*$F$1010</f>
        <v>791362.19396746275</v>
      </c>
      <c r="E956" s="67">
        <f t="shared" si="89"/>
        <v>1.508662161296304</v>
      </c>
      <c r="F956" s="70">
        <f t="shared" si="93"/>
        <v>9.1605966433911584E-2</v>
      </c>
      <c r="G956" s="67">
        <f>E956/'Lookup Tables'!$C$48</f>
        <v>3.0173243225926081</v>
      </c>
      <c r="H956" s="70">
        <f t="shared" si="90"/>
        <v>8.7822180539129521E-4</v>
      </c>
      <c r="I956" s="71">
        <f t="shared" si="94"/>
        <v>4.3449470245333563E-3</v>
      </c>
      <c r="L956" s="74"/>
      <c r="M956" s="74"/>
      <c r="N956" s="74"/>
      <c r="O956" s="74"/>
      <c r="P956" s="74"/>
      <c r="Q956" s="74"/>
      <c r="R956" s="74"/>
      <c r="S956" s="74"/>
      <c r="T956" s="74"/>
      <c r="U956" s="74"/>
      <c r="V956" s="74"/>
      <c r="W956" s="74"/>
      <c r="X956" s="74"/>
      <c r="Y956" s="74"/>
      <c r="Z956" s="74"/>
    </row>
    <row r="957" spans="1:26" x14ac:dyDescent="0.3">
      <c r="A957" s="66">
        <f t="shared" si="92"/>
        <v>2084.9999999999136</v>
      </c>
      <c r="B957" s="67">
        <f>LOOKUP(A957+0.01,Amounts!$A$4:$A$103,Amounts!$B$4:$B$103)*0.1*$A$2</f>
        <v>0</v>
      </c>
      <c r="C957" s="68">
        <f t="shared" si="91"/>
        <v>902907.24633514904</v>
      </c>
      <c r="D957" s="67">
        <f t="array" ref="D957">SUM($B$7:$B952*$F$1009*EXP(-$F$1009*($A957-$A$7:$A952)))*$F$1010</f>
        <v>785842.00182296755</v>
      </c>
      <c r="E957" s="67">
        <f t="shared" si="89"/>
        <v>1.4981384022957225</v>
      </c>
      <c r="F957" s="70">
        <f t="shared" si="93"/>
        <v>9.0966963787396257E-2</v>
      </c>
      <c r="G957" s="67">
        <f>E957/'Lookup Tables'!$C$48</f>
        <v>2.996276804591445</v>
      </c>
      <c r="H957" s="70">
        <f t="shared" si="90"/>
        <v>8.7209571907051638E-4</v>
      </c>
      <c r="I957" s="71">
        <f t="shared" si="94"/>
        <v>4.3146385986116802E-3</v>
      </c>
      <c r="L957" s="74"/>
      <c r="M957" s="74"/>
      <c r="N957" s="74"/>
      <c r="O957" s="74"/>
      <c r="P957" s="74"/>
      <c r="Q957" s="74"/>
      <c r="R957" s="74"/>
      <c r="S957" s="74"/>
      <c r="T957" s="74"/>
      <c r="U957" s="74"/>
      <c r="V957" s="74"/>
      <c r="W957" s="74"/>
      <c r="X957" s="74"/>
      <c r="Y957" s="74"/>
      <c r="Z957" s="74"/>
    </row>
    <row r="958" spans="1:26" x14ac:dyDescent="0.3">
      <c r="A958" s="66">
        <f t="shared" si="92"/>
        <v>2085.0999999999135</v>
      </c>
      <c r="B958" s="67">
        <f>LOOKUP(A958+0.01,Amounts!$A$4:$A$103,Amounts!$B$4:$B$103)*0.1*$A$2</f>
        <v>0</v>
      </c>
      <c r="C958" s="68">
        <f t="shared" si="91"/>
        <v>902907.24633514904</v>
      </c>
      <c r="D958" s="67">
        <f t="array" ref="D958">SUM($B$7:$B953*$F$1009*EXP(-$F$1009*($A958-$A$7:$A953)))*$F$1010</f>
        <v>780360.31609379558</v>
      </c>
      <c r="E958" s="67">
        <f t="shared" si="89"/>
        <v>1.4876880523766061</v>
      </c>
      <c r="F958" s="70">
        <f t="shared" si="93"/>
        <v>9.0332418540307519E-2</v>
      </c>
      <c r="G958" s="67">
        <f>E958/'Lookup Tables'!$C$48</f>
        <v>2.9753761047532121</v>
      </c>
      <c r="H958" s="70">
        <f t="shared" si="90"/>
        <v>8.6601236561446415E-4</v>
      </c>
      <c r="I958" s="71">
        <f t="shared" si="94"/>
        <v>4.284541590844626E-3</v>
      </c>
      <c r="L958" s="74"/>
      <c r="M958" s="74"/>
      <c r="N958" s="74"/>
      <c r="O958" s="74"/>
      <c r="P958" s="74"/>
      <c r="Q958" s="74"/>
      <c r="R958" s="74"/>
      <c r="S958" s="74"/>
      <c r="T958" s="74"/>
      <c r="U958" s="74"/>
      <c r="V958" s="74"/>
      <c r="W958" s="74"/>
      <c r="X958" s="74"/>
      <c r="Y958" s="74"/>
      <c r="Z958" s="74"/>
    </row>
    <row r="959" spans="1:26" x14ac:dyDescent="0.3">
      <c r="A959" s="66">
        <f t="shared" si="92"/>
        <v>2085.1999999999134</v>
      </c>
      <c r="B959" s="67">
        <f>LOOKUP(A959+0.01,Amounts!$A$4:$A$103,Amounts!$B$4:$B$103)*0.1*$A$2</f>
        <v>0</v>
      </c>
      <c r="C959" s="68">
        <f t="shared" si="91"/>
        <v>902907.24633514904</v>
      </c>
      <c r="D959" s="67">
        <f t="array" ref="D959">SUM($B$7:$B954*$F$1009*EXP(-$F$1009*($A959-$A$7:$A954)))*$F$1010</f>
        <v>774916.86817624979</v>
      </c>
      <c r="E959" s="67">
        <f t="shared" si="89"/>
        <v>1.4773105994697187</v>
      </c>
      <c r="F959" s="70">
        <f t="shared" si="93"/>
        <v>8.9702299599801319E-2</v>
      </c>
      <c r="G959" s="67">
        <f>E959/'Lookup Tables'!$C$48</f>
        <v>2.9546211989394373</v>
      </c>
      <c r="H959" s="70">
        <f t="shared" si="90"/>
        <v>8.5997144693760223E-4</v>
      </c>
      <c r="I959" s="71">
        <f t="shared" si="94"/>
        <v>4.2546545264727899E-3</v>
      </c>
      <c r="L959" s="74"/>
      <c r="M959" s="74"/>
      <c r="N959" s="74"/>
      <c r="O959" s="74"/>
      <c r="P959" s="74"/>
      <c r="Q959" s="74"/>
      <c r="R959" s="74"/>
      <c r="S959" s="74"/>
      <c r="T959" s="74"/>
      <c r="U959" s="74"/>
      <c r="V959" s="74"/>
      <c r="W959" s="74"/>
      <c r="X959" s="74"/>
      <c r="Y959" s="74"/>
      <c r="Z959" s="74"/>
    </row>
    <row r="960" spans="1:26" x14ac:dyDescent="0.3">
      <c r="A960" s="66">
        <f t="shared" si="92"/>
        <v>2085.2999999999133</v>
      </c>
      <c r="B960" s="67">
        <f>LOOKUP(A960+0.01,Amounts!$A$4:$A$103,Amounts!$B$4:$B$103)*0.1*$A$2</f>
        <v>0</v>
      </c>
      <c r="C960" s="68">
        <f t="shared" si="91"/>
        <v>902907.24633514904</v>
      </c>
      <c r="D960" s="67">
        <f t="array" ref="D960">SUM($B$7:$B955*$F$1009*EXP(-$F$1009*($A960-$A$7:$A955)))*$F$1010</f>
        <v>769511.39134029218</v>
      </c>
      <c r="E960" s="67">
        <f t="shared" si="89"/>
        <v>1.4670055350777895</v>
      </c>
      <c r="F960" s="70">
        <f t="shared" si="93"/>
        <v>8.9076576089923393E-2</v>
      </c>
      <c r="G960" s="67">
        <f>E960/'Lookup Tables'!$C$48</f>
        <v>2.934011070155579</v>
      </c>
      <c r="H960" s="70">
        <f t="shared" si="90"/>
        <v>8.5397266703370566E-4</v>
      </c>
      <c r="I960" s="71">
        <f t="shared" si="94"/>
        <v>4.2249759410240336E-3</v>
      </c>
      <c r="L960" s="74"/>
      <c r="M960" s="74"/>
      <c r="N960" s="74"/>
      <c r="O960" s="74"/>
      <c r="P960" s="74"/>
      <c r="Q960" s="74"/>
      <c r="R960" s="74"/>
      <c r="S960" s="74"/>
      <c r="T960" s="74"/>
      <c r="U960" s="74"/>
      <c r="V960" s="74"/>
      <c r="W960" s="74"/>
      <c r="X960" s="74"/>
      <c r="Y960" s="74"/>
      <c r="Z960" s="74"/>
    </row>
    <row r="961" spans="1:26" x14ac:dyDescent="0.3">
      <c r="A961" s="66">
        <f t="shared" si="92"/>
        <v>2085.3999999999132</v>
      </c>
      <c r="B961" s="67">
        <f>LOOKUP(A961+0.01,Amounts!$A$4:$A$103,Amounts!$B$4:$B$103)*0.1*$A$2</f>
        <v>0</v>
      </c>
      <c r="C961" s="68">
        <f t="shared" si="91"/>
        <v>902907.24633514904</v>
      </c>
      <c r="D961" s="67">
        <f t="array" ref="D961">SUM($B$7:$B956*$F$1009*EXP(-$F$1009*($A961-$A$7:$A956)))*$F$1010</f>
        <v>764143.6207164774</v>
      </c>
      <c r="E961" s="67">
        <f t="shared" si="89"/>
        <v>1.4567723542506041</v>
      </c>
      <c r="F961" s="70">
        <f t="shared" si="93"/>
        <v>8.845521735009669E-2</v>
      </c>
      <c r="G961" s="67">
        <f>E961/'Lookup Tables'!$C$48</f>
        <v>2.9135447085012083</v>
      </c>
      <c r="H961" s="70">
        <f t="shared" si="90"/>
        <v>8.4801573196136026E-4</v>
      </c>
      <c r="I961" s="71">
        <f t="shared" si="94"/>
        <v>4.1955043802417401E-3</v>
      </c>
      <c r="L961" s="74"/>
      <c r="M961" s="74"/>
      <c r="N961" s="74"/>
      <c r="O961" s="74"/>
      <c r="P961" s="74"/>
      <c r="Q961" s="74"/>
      <c r="R961" s="74"/>
      <c r="S961" s="74"/>
      <c r="T961" s="74"/>
      <c r="U961" s="74"/>
      <c r="V961" s="74"/>
      <c r="W961" s="74"/>
      <c r="X961" s="74"/>
      <c r="Y961" s="74"/>
      <c r="Z961" s="74"/>
    </row>
    <row r="962" spans="1:26" x14ac:dyDescent="0.3">
      <c r="A962" s="66">
        <f t="shared" si="92"/>
        <v>2085.4999999999131</v>
      </c>
      <c r="B962" s="67">
        <f>LOOKUP(A962+0.01,Amounts!$A$4:$A$103,Amounts!$B$4:$B$103)*0.1*$A$2</f>
        <v>0</v>
      </c>
      <c r="C962" s="68">
        <f t="shared" si="91"/>
        <v>902907.24633514904</v>
      </c>
      <c r="D962" s="67">
        <f t="array" ref="D962">SUM($B$7:$B957*$F$1009*EXP(-$F$1009*($A962-$A$7:$A957)))*$F$1010</f>
        <v>758813.2932829702</v>
      </c>
      <c r="E962" s="67">
        <f t="shared" si="89"/>
        <v>1.4466105555602531</v>
      </c>
      <c r="F962" s="70">
        <f t="shared" si="93"/>
        <v>8.7838192933618567E-2</v>
      </c>
      <c r="G962" s="67">
        <f>E962/'Lookup Tables'!$C$48</f>
        <v>2.8932211111205062</v>
      </c>
      <c r="H962" s="70">
        <f t="shared" si="90"/>
        <v>8.421003498295549E-4</v>
      </c>
      <c r="I962" s="71">
        <f t="shared" si="94"/>
        <v>4.1662384000135293E-3</v>
      </c>
      <c r="L962" s="74"/>
      <c r="M962" s="74"/>
      <c r="N962" s="74"/>
      <c r="O962" s="74"/>
      <c r="P962" s="74"/>
      <c r="Q962" s="74"/>
      <c r="R962" s="74"/>
      <c r="S962" s="74"/>
      <c r="T962" s="74"/>
      <c r="U962" s="74"/>
      <c r="V962" s="74"/>
      <c r="W962" s="74"/>
      <c r="X962" s="74"/>
      <c r="Y962" s="74"/>
      <c r="Z962" s="74"/>
    </row>
    <row r="963" spans="1:26" x14ac:dyDescent="0.3">
      <c r="A963" s="66">
        <f t="shared" si="92"/>
        <v>2085.5999999999131</v>
      </c>
      <c r="B963" s="67">
        <f>LOOKUP(A963+0.01,Amounts!$A$4:$A$103,Amounts!$B$4:$B$103)*0.1*$A$2</f>
        <v>0</v>
      </c>
      <c r="C963" s="68">
        <f t="shared" si="91"/>
        <v>902907.24633514904</v>
      </c>
      <c r="D963" s="67">
        <f t="array" ref="D963">SUM($B$7:$B958*$F$1009*EXP(-$F$1009*($A963-$A$7:$A958)))*$F$1010</f>
        <v>753520.14785265969</v>
      </c>
      <c r="E963" s="67">
        <f t="shared" si="89"/>
        <v>1.436519641076567</v>
      </c>
      <c r="F963" s="70">
        <f t="shared" si="93"/>
        <v>8.7225472606169141E-2</v>
      </c>
      <c r="G963" s="67">
        <f>E963/'Lookup Tables'!$C$48</f>
        <v>2.8730392821531341</v>
      </c>
      <c r="H963" s="70">
        <f t="shared" si="90"/>
        <v>8.3622623078338115E-4</v>
      </c>
      <c r="I963" s="71">
        <f t="shared" si="94"/>
        <v>4.1371765663005128E-3</v>
      </c>
      <c r="L963" s="74"/>
      <c r="M963" s="74"/>
      <c r="N963" s="74"/>
      <c r="O963" s="74"/>
      <c r="P963" s="74"/>
      <c r="Q963" s="74"/>
      <c r="R963" s="74"/>
      <c r="S963" s="74"/>
      <c r="T963" s="74"/>
      <c r="U963" s="74"/>
      <c r="V963" s="74"/>
      <c r="W963" s="74"/>
      <c r="X963" s="74"/>
      <c r="Y963" s="74"/>
      <c r="Z963" s="74"/>
    </row>
    <row r="964" spans="1:26" x14ac:dyDescent="0.3">
      <c r="A964" s="66">
        <f t="shared" si="92"/>
        <v>2085.699999999913</v>
      </c>
      <c r="B964" s="67">
        <f>LOOKUP(A964+0.01,Amounts!$A$4:$A$103,Amounts!$B$4:$B$103)*0.1*$A$2</f>
        <v>0</v>
      </c>
      <c r="C964" s="68">
        <f t="shared" si="91"/>
        <v>902907.24633514904</v>
      </c>
      <c r="D964" s="67">
        <f t="array" ref="D964">SUM($B$7:$B959*$F$1009*EXP(-$F$1009*($A964-$A$7:$A959)))*$F$1010</f>
        <v>748263.92506036116</v>
      </c>
      <c r="E964" s="67">
        <f t="shared" si="89"/>
        <v>1.4264991163427179</v>
      </c>
      <c r="F964" s="70">
        <f t="shared" si="93"/>
        <v>8.6617026344329828E-2</v>
      </c>
      <c r="G964" s="67">
        <f>E964/'Lookup Tables'!$C$48</f>
        <v>2.8529982326854357</v>
      </c>
      <c r="H964" s="70">
        <f t="shared" si="90"/>
        <v>8.3039308698983137E-4</v>
      </c>
      <c r="I964" s="71">
        <f t="shared" si="94"/>
        <v>4.1083174550670277E-3</v>
      </c>
      <c r="L964" s="74"/>
      <c r="M964" s="74"/>
      <c r="N964" s="74"/>
      <c r="O964" s="74"/>
      <c r="P964" s="74"/>
      <c r="Q964" s="74"/>
      <c r="R964" s="74"/>
      <c r="S964" s="74"/>
      <c r="T964" s="74"/>
      <c r="U964" s="74"/>
      <c r="V964" s="74"/>
      <c r="W964" s="74"/>
      <c r="X964" s="74"/>
      <c r="Y964" s="74"/>
      <c r="Z964" s="74"/>
    </row>
    <row r="965" spans="1:26" x14ac:dyDescent="0.3">
      <c r="A965" s="66">
        <f t="shared" si="92"/>
        <v>2085.7999999999129</v>
      </c>
      <c r="B965" s="67">
        <f>LOOKUP(A965+0.01,Amounts!$A$4:$A$103,Amounts!$B$4:$B$103)*0.1*$A$2</f>
        <v>0</v>
      </c>
      <c r="C965" s="68">
        <f t="shared" si="91"/>
        <v>902907.24633514904</v>
      </c>
      <c r="D965" s="67">
        <f t="array" ref="D965">SUM($B$7:$B960*$F$1009*EXP(-$F$1009*($A965-$A$7:$A960)))*$F$1010</f>
        <v>743044.36735010589</v>
      </c>
      <c r="E965" s="67">
        <f t="shared" si="89"/>
        <v>1.4165484903509886</v>
      </c>
      <c r="F965" s="70">
        <f t="shared" si="93"/>
        <v>8.6012824334112045E-2</v>
      </c>
      <c r="G965" s="67">
        <f>E965/'Lookup Tables'!$C$48</f>
        <v>2.8330969807019772</v>
      </c>
      <c r="H965" s="70">
        <f t="shared" si="90"/>
        <v>8.2460063262369202E-4</v>
      </c>
      <c r="I965" s="71">
        <f t="shared" si="94"/>
        <v>4.0796596522108472E-3</v>
      </c>
      <c r="L965" s="74"/>
      <c r="M965" s="74"/>
      <c r="N965" s="74"/>
      <c r="O965" s="74"/>
      <c r="P965" s="74"/>
      <c r="Q965" s="74"/>
      <c r="R965" s="74"/>
      <c r="S965" s="74"/>
      <c r="T965" s="74"/>
      <c r="U965" s="74"/>
      <c r="V965" s="74"/>
      <c r="W965" s="74"/>
      <c r="X965" s="74"/>
      <c r="Y965" s="74"/>
      <c r="Z965" s="74"/>
    </row>
    <row r="966" spans="1:26" x14ac:dyDescent="0.3">
      <c r="A966" s="66">
        <f t="shared" si="92"/>
        <v>2085.8999999999128</v>
      </c>
      <c r="B966" s="67">
        <f>LOOKUP(A966+0.01,Amounts!$A$4:$A$103,Amounts!$B$4:$B$103)*0.1*$A$2</f>
        <v>0</v>
      </c>
      <c r="C966" s="68">
        <f t="shared" si="91"/>
        <v>902907.24633514904</v>
      </c>
      <c r="D966" s="67">
        <f t="array" ref="D966">SUM($B$7:$B961*$F$1009*EXP(-$F$1009*($A966-$A$7:$A961)))*$F$1010</f>
        <v>737861.21896252153</v>
      </c>
      <c r="E966" s="67">
        <f t="shared" si="89"/>
        <v>1.4066672755187144</v>
      </c>
      <c r="F966" s="70">
        <f t="shared" si="93"/>
        <v>8.5412836969496336E-2</v>
      </c>
      <c r="G966" s="67">
        <f>E966/'Lookup Tables'!$C$48</f>
        <v>2.8133345510374288</v>
      </c>
      <c r="H966" s="70">
        <f t="shared" si="90"/>
        <v>8.1884858385354023E-4</v>
      </c>
      <c r="I966" s="71">
        <f t="shared" si="94"/>
        <v>4.0512017534938974E-3</v>
      </c>
      <c r="L966" s="74"/>
      <c r="M966" s="74"/>
      <c r="N966" s="74"/>
      <c r="O966" s="74"/>
      <c r="P966" s="74"/>
      <c r="Q966" s="74"/>
      <c r="R966" s="74"/>
      <c r="S966" s="74"/>
      <c r="T966" s="74"/>
      <c r="U966" s="74"/>
      <c r="V966" s="74"/>
      <c r="W966" s="74"/>
      <c r="X966" s="74"/>
      <c r="Y966" s="74"/>
      <c r="Z966" s="74"/>
    </row>
    <row r="967" spans="1:26" x14ac:dyDescent="0.3">
      <c r="A967" s="66">
        <f t="shared" si="92"/>
        <v>2085.9999999999127</v>
      </c>
      <c r="B967" s="67">
        <f>LOOKUP(A967+0.01,Amounts!$A$4:$A$103,Amounts!$B$4:$B$103)*0.1*$A$2</f>
        <v>0</v>
      </c>
      <c r="C967" s="68">
        <f t="shared" si="91"/>
        <v>902907.24633514904</v>
      </c>
      <c r="D967" s="67">
        <f t="array" ref="D967">SUM($B$7:$B962*$F$1009*EXP(-$F$1009*($A967-$A$7:$A962)))*$F$1010</f>
        <v>732714.22592230025</v>
      </c>
      <c r="E967" s="67">
        <f t="shared" ref="E967:E1007" si="95">D967/(365*24*60)*1.00201</f>
        <v>1.3968549876643914</v>
      </c>
      <c r="F967" s="70">
        <f t="shared" si="93"/>
        <v>8.4817034850981854E-2</v>
      </c>
      <c r="G967" s="67">
        <f>E967/'Lookup Tables'!$C$48</f>
        <v>2.7937099753287828</v>
      </c>
      <c r="H967" s="70">
        <f t="shared" ref="H967:H1007" si="96">G967*60*24*365/(C967*2000)</f>
        <v>8.1313665882783517E-4</v>
      </c>
      <c r="I967" s="71">
        <f t="shared" si="94"/>
        <v>4.0229423644734478E-3</v>
      </c>
      <c r="L967" s="74"/>
      <c r="M967" s="74"/>
      <c r="N967" s="74"/>
      <c r="O967" s="74"/>
      <c r="P967" s="74"/>
      <c r="Q967" s="74"/>
      <c r="R967" s="74"/>
      <c r="S967" s="74"/>
      <c r="T967" s="74"/>
      <c r="U967" s="74"/>
      <c r="V967" s="74"/>
      <c r="W967" s="74"/>
      <c r="X967" s="74"/>
      <c r="Y967" s="74"/>
      <c r="Z967" s="74"/>
    </row>
    <row r="968" spans="1:26" x14ac:dyDescent="0.3">
      <c r="A968" s="66">
        <f t="shared" si="92"/>
        <v>2086.0999999999126</v>
      </c>
      <c r="B968" s="67">
        <f>LOOKUP(A968+0.01,Amounts!$A$4:$A$103,Amounts!$B$4:$B$103)*0.1*$A$2</f>
        <v>0</v>
      </c>
      <c r="C968" s="68">
        <f t="shared" si="91"/>
        <v>902907.24633514904</v>
      </c>
      <c r="D968" s="67">
        <f t="array" ref="D968">SUM($B$7:$B963*$F$1009*EXP(-$F$1009*($A968-$A$7:$A963)))*$F$1010</f>
        <v>727603.13602575345</v>
      </c>
      <c r="E968" s="67">
        <f t="shared" si="95"/>
        <v>1.387111145983952</v>
      </c>
      <c r="F968" s="70">
        <f t="shared" si="93"/>
        <v>8.4225388784145566E-2</v>
      </c>
      <c r="G968" s="67">
        <f>E968/'Lookup Tables'!$C$48</f>
        <v>2.774222291967904</v>
      </c>
      <c r="H968" s="70">
        <f t="shared" si="96"/>
        <v>8.0746457766110811E-4</v>
      </c>
      <c r="I968" s="71">
        <f t="shared" si="94"/>
        <v>3.9948801004337821E-3</v>
      </c>
      <c r="L968" s="74"/>
      <c r="M968" s="74"/>
      <c r="N968" s="74"/>
      <c r="O968" s="74"/>
      <c r="P968" s="74"/>
      <c r="Q968" s="74"/>
      <c r="R968" s="74"/>
      <c r="S968" s="74"/>
      <c r="T968" s="74"/>
      <c r="U968" s="74"/>
      <c r="V968" s="74"/>
      <c r="W968" s="74"/>
      <c r="X968" s="74"/>
      <c r="Y968" s="74"/>
      <c r="Z968" s="74"/>
    </row>
    <row r="969" spans="1:26" x14ac:dyDescent="0.3">
      <c r="A969" s="66">
        <f t="shared" si="92"/>
        <v>2086.1999999999125</v>
      </c>
      <c r="B969" s="67">
        <f>LOOKUP(A969+0.01,Amounts!$A$4:$A$103,Amounts!$B$4:$B$103)*0.1*$A$2</f>
        <v>0</v>
      </c>
      <c r="C969" s="68">
        <f t="shared" ref="C969:C1006" si="97">C968+B969</f>
        <v>902907.24633514904</v>
      </c>
      <c r="D969" s="67">
        <f t="array" ref="D969">SUM($B$7:$B964*$F$1009*EXP(-$F$1009*($A969-$A$7:$A964)))*$F$1010</f>
        <v>722527.6988284532</v>
      </c>
      <c r="E969" s="67">
        <f t="shared" si="95"/>
        <v>1.3774352730272041</v>
      </c>
      <c r="F969" s="70">
        <f t="shared" si="93"/>
        <v>8.3637869778211846E-2</v>
      </c>
      <c r="G969" s="67">
        <f>E969/'Lookup Tables'!$C$48</f>
        <v>2.7548705460544083</v>
      </c>
      <c r="H969" s="70">
        <f t="shared" si="96"/>
        <v>8.0183206242024697E-4</v>
      </c>
      <c r="I969" s="71">
        <f t="shared" si="94"/>
        <v>3.9670135863183482E-3</v>
      </c>
      <c r="L969" s="74"/>
      <c r="M969" s="74"/>
      <c r="N969" s="74"/>
      <c r="O969" s="74"/>
      <c r="P969" s="74"/>
      <c r="Q969" s="74"/>
      <c r="R969" s="74"/>
      <c r="S969" s="74"/>
      <c r="T969" s="74"/>
      <c r="U969" s="74"/>
      <c r="V969" s="74"/>
      <c r="W969" s="74"/>
      <c r="X969" s="74"/>
      <c r="Y969" s="74"/>
      <c r="Z969" s="74"/>
    </row>
    <row r="970" spans="1:26" x14ac:dyDescent="0.3">
      <c r="A970" s="66">
        <f t="shared" si="92"/>
        <v>2086.2999999999124</v>
      </c>
      <c r="B970" s="67">
        <f>LOOKUP(A970+0.01,Amounts!$A$4:$A$103,Amounts!$B$4:$B$103)*0.1*$A$2</f>
        <v>0</v>
      </c>
      <c r="C970" s="68">
        <f t="shared" si="97"/>
        <v>902907.24633514904</v>
      </c>
      <c r="D970" s="67">
        <f t="array" ref="D970">SUM($B$7:$B965*$F$1009*EXP(-$F$1009*($A970-$A$7:$A965)))*$F$1010</f>
        <v>717487.66563296143</v>
      </c>
      <c r="E970" s="67">
        <f t="shared" si="95"/>
        <v>1.3678268946744363</v>
      </c>
      <c r="F970" s="70">
        <f t="shared" si="93"/>
        <v>8.3054449044631759E-2</v>
      </c>
      <c r="G970" s="67">
        <f>E970/'Lookup Tables'!$C$48</f>
        <v>2.7356537893488726</v>
      </c>
      <c r="H970" s="70">
        <f t="shared" si="96"/>
        <v>7.9623883711087747E-4</v>
      </c>
      <c r="I970" s="71">
        <f t="shared" si="94"/>
        <v>3.9393414566623762E-3</v>
      </c>
      <c r="L970" s="74"/>
      <c r="M970" s="74"/>
      <c r="N970" s="74"/>
      <c r="O970" s="74"/>
      <c r="P970" s="74"/>
      <c r="Q970" s="74"/>
      <c r="R970" s="74"/>
      <c r="S970" s="74"/>
      <c r="T970" s="74"/>
      <c r="U970" s="74"/>
      <c r="V970" s="74"/>
      <c r="W970" s="74"/>
      <c r="X970" s="74"/>
      <c r="Y970" s="74"/>
      <c r="Z970" s="74"/>
    </row>
    <row r="971" spans="1:26" x14ac:dyDescent="0.3">
      <c r="A971" s="66">
        <f t="shared" si="92"/>
        <v>2086.3999999999123</v>
      </c>
      <c r="B971" s="67">
        <f>LOOKUP(A971+0.01,Amounts!$A$4:$A$103,Amounts!$B$4:$B$103)*0.1*$A$2</f>
        <v>0</v>
      </c>
      <c r="C971" s="68">
        <f t="shared" si="97"/>
        <v>902907.24633514904</v>
      </c>
      <c r="D971" s="67">
        <f t="array" ref="D971">SUM($B$7:$B966*$F$1009*EXP(-$F$1009*($A971-$A$7:$A966)))*$F$1010</f>
        <v>712482.78947664332</v>
      </c>
      <c r="E971" s="67">
        <f t="shared" si="95"/>
        <v>1.3582855401131875</v>
      </c>
      <c r="F971" s="70">
        <f t="shared" si="93"/>
        <v>8.247509799567275E-2</v>
      </c>
      <c r="G971" s="67">
        <f>E971/'Lookup Tables'!$C$48</f>
        <v>2.7165710802263749</v>
      </c>
      <c r="H971" s="70">
        <f t="shared" si="96"/>
        <v>7.9068462766384098E-4</v>
      </c>
      <c r="I971" s="71">
        <f t="shared" si="94"/>
        <v>3.9118623555259805E-3</v>
      </c>
      <c r="L971" s="74"/>
      <c r="M971" s="74"/>
      <c r="N971" s="74"/>
      <c r="O971" s="74"/>
      <c r="P971" s="74"/>
      <c r="Q971" s="74"/>
      <c r="R971" s="74"/>
      <c r="S971" s="74"/>
      <c r="T971" s="74"/>
      <c r="U971" s="74"/>
      <c r="V971" s="74"/>
      <c r="W971" s="74"/>
      <c r="X971" s="74"/>
      <c r="Y971" s="74"/>
      <c r="Z971" s="74"/>
    </row>
    <row r="972" spans="1:26" x14ac:dyDescent="0.3">
      <c r="A972" s="66">
        <f t="shared" si="92"/>
        <v>2086.4999999999122</v>
      </c>
      <c r="B972" s="67">
        <f>LOOKUP(A972+0.01,Amounts!$A$4:$A$103,Amounts!$B$4:$B$103)*0.1*$A$2</f>
        <v>0</v>
      </c>
      <c r="C972" s="68">
        <f t="shared" si="97"/>
        <v>902907.24633514904</v>
      </c>
      <c r="D972" s="67">
        <f t="array" ref="D972">SUM($B$7:$B967*$F$1009*EXP(-$F$1009*($A972-$A$7:$A967)))*$F$1010</f>
        <v>707512.82511956536</v>
      </c>
      <c r="E972" s="67">
        <f t="shared" si="95"/>
        <v>1.3488107418151747</v>
      </c>
      <c r="F972" s="70">
        <f t="shared" si="93"/>
        <v>8.1899788243017413E-2</v>
      </c>
      <c r="G972" s="67">
        <f>E972/'Lookup Tables'!$C$48</f>
        <v>2.6976214836303494</v>
      </c>
      <c r="H972" s="70">
        <f t="shared" si="96"/>
        <v>7.8516916192176295E-4</v>
      </c>
      <c r="I972" s="71">
        <f t="shared" si="94"/>
        <v>3.8845749364277032E-3</v>
      </c>
      <c r="L972" s="74"/>
      <c r="M972" s="74"/>
      <c r="N972" s="74"/>
      <c r="O972" s="74"/>
      <c r="P972" s="74"/>
      <c r="Q972" s="74"/>
      <c r="R972" s="74"/>
      <c r="S972" s="74"/>
      <c r="T972" s="74"/>
      <c r="U972" s="74"/>
      <c r="V972" s="74"/>
      <c r="W972" s="74"/>
      <c r="X972" s="74"/>
      <c r="Y972" s="74"/>
      <c r="Z972" s="74"/>
    </row>
    <row r="973" spans="1:26" x14ac:dyDescent="0.3">
      <c r="A973" s="66">
        <f t="shared" si="92"/>
        <v>2086.5999999999121</v>
      </c>
      <c r="B973" s="67">
        <f>LOOKUP(A973+0.01,Amounts!$A$4:$A$103,Amounts!$B$4:$B$103)*0.1*$A$2</f>
        <v>0</v>
      </c>
      <c r="C973" s="68">
        <f t="shared" si="97"/>
        <v>902907.24633514904</v>
      </c>
      <c r="D973" s="67">
        <f t="array" ref="D973">SUM($B$7:$B968*$F$1009*EXP(-$F$1009*($A973-$A$7:$A968)))*$F$1010</f>
        <v>702577.52903248032</v>
      </c>
      <c r="E973" s="67">
        <f t="shared" si="95"/>
        <v>1.339402035513386</v>
      </c>
      <c r="F973" s="70">
        <f t="shared" si="93"/>
        <v>8.1328491596372801E-2</v>
      </c>
      <c r="G973" s="67">
        <f>E973/'Lookup Tables'!$C$48</f>
        <v>2.678804071026772</v>
      </c>
      <c r="H973" s="70">
        <f t="shared" si="96"/>
        <v>7.7969216962571865E-4</v>
      </c>
      <c r="I973" s="71">
        <f t="shared" si="94"/>
        <v>3.8574778622785517E-3</v>
      </c>
      <c r="L973" s="74"/>
      <c r="M973" s="74"/>
      <c r="N973" s="74"/>
      <c r="O973" s="74"/>
      <c r="P973" s="74"/>
      <c r="Q973" s="74"/>
      <c r="R973" s="74"/>
      <c r="S973" s="74"/>
      <c r="T973" s="74"/>
      <c r="U973" s="74"/>
      <c r="V973" s="74"/>
      <c r="W973" s="74"/>
      <c r="X973" s="74"/>
      <c r="Y973" s="74"/>
      <c r="Z973" s="74"/>
    </row>
    <row r="974" spans="1:26" x14ac:dyDescent="0.3">
      <c r="A974" s="66">
        <f t="shared" si="92"/>
        <v>2086.6999999999121</v>
      </c>
      <c r="B974" s="67">
        <f>LOOKUP(A974+0.01,Amounts!$A$4:$A$103,Amounts!$B$4:$B$103)*0.1*$A$2</f>
        <v>0</v>
      </c>
      <c r="C974" s="68">
        <f t="shared" si="97"/>
        <v>902907.24633514904</v>
      </c>
      <c r="D974" s="67">
        <f t="array" ref="D974">SUM($B$7:$B969*$F$1009*EXP(-$F$1009*($A974-$A$7:$A969)))*$F$1010</f>
        <v>697676.65938489221</v>
      </c>
      <c r="E974" s="67">
        <f t="shared" si="95"/>
        <v>1.33005896017933</v>
      </c>
      <c r="F974" s="70">
        <f t="shared" si="93"/>
        <v>8.0761180062088933E-2</v>
      </c>
      <c r="G974" s="67">
        <f>E974/'Lookup Tables'!$C$48</f>
        <v>2.66011792035866</v>
      </c>
      <c r="H974" s="70">
        <f t="shared" si="96"/>
        <v>7.7425338240198999E-4</v>
      </c>
      <c r="I974" s="71">
        <f t="shared" si="94"/>
        <v>3.8305698053164704E-3</v>
      </c>
      <c r="L974" s="74"/>
      <c r="M974" s="74"/>
      <c r="N974" s="74"/>
      <c r="O974" s="74"/>
      <c r="P974" s="74"/>
      <c r="Q974" s="74"/>
      <c r="R974" s="74"/>
      <c r="S974" s="74"/>
      <c r="T974" s="74"/>
      <c r="U974" s="74"/>
      <c r="V974" s="74"/>
      <c r="W974" s="74"/>
      <c r="X974" s="74"/>
      <c r="Y974" s="74"/>
      <c r="Z974" s="74"/>
    </row>
    <row r="975" spans="1:26" x14ac:dyDescent="0.3">
      <c r="A975" s="66">
        <f t="shared" si="92"/>
        <v>2086.799999999912</v>
      </c>
      <c r="B975" s="67">
        <f>LOOKUP(A975+0.01,Amounts!$A$4:$A$103,Amounts!$B$4:$B$103)*0.1*$A$2</f>
        <v>0</v>
      </c>
      <c r="C975" s="68">
        <f t="shared" si="97"/>
        <v>902907.24633514904</v>
      </c>
      <c r="D975" s="67">
        <f t="array" ref="D975">SUM($B$7:$B970*$F$1009*EXP(-$F$1009*($A975-$A$7:$A970)))*$F$1010</f>
        <v>692809.97603320715</v>
      </c>
      <c r="E975" s="67">
        <f t="shared" si="95"/>
        <v>1.3207810580004451</v>
      </c>
      <c r="F975" s="70">
        <f t="shared" si="93"/>
        <v>8.0197825841787029E-2</v>
      </c>
      <c r="G975" s="67">
        <f>E975/'Lookup Tables'!$C$48</f>
        <v>2.6415621160008902</v>
      </c>
      <c r="H975" s="70">
        <f t="shared" si="96"/>
        <v>7.6885253374891366E-4</v>
      </c>
      <c r="I975" s="71">
        <f t="shared" si="94"/>
        <v>3.8038494470412814E-3</v>
      </c>
      <c r="L975" s="74"/>
      <c r="M975" s="74"/>
      <c r="N975" s="74"/>
      <c r="O975" s="74"/>
      <c r="P975" s="74"/>
      <c r="Q975" s="74"/>
      <c r="R975" s="74"/>
      <c r="S975" s="74"/>
      <c r="T975" s="74"/>
      <c r="U975" s="74"/>
      <c r="V975" s="74"/>
      <c r="W975" s="74"/>
      <c r="X975" s="74"/>
      <c r="Y975" s="74"/>
      <c r="Z975" s="74"/>
    </row>
    <row r="976" spans="1:26" x14ac:dyDescent="0.3">
      <c r="A976" s="66">
        <f t="shared" si="92"/>
        <v>2086.8999999999119</v>
      </c>
      <c r="B976" s="67">
        <f>LOOKUP(A976+0.01,Amounts!$A$4:$A$103,Amounts!$B$4:$B$103)*0.1*$A$2</f>
        <v>0</v>
      </c>
      <c r="C976" s="68">
        <f t="shared" si="97"/>
        <v>902907.24633514904</v>
      </c>
      <c r="D976" s="67">
        <f t="array" ref="D976">SUM($B$7:$B971*$F$1009*EXP(-$F$1009*($A976-$A$7:$A971)))*$F$1010</f>
        <v>687977.24050896836</v>
      </c>
      <c r="E976" s="67">
        <f t="shared" si="95"/>
        <v>1.3115678743576702</v>
      </c>
      <c r="F976" s="70">
        <f t="shared" si="93"/>
        <v>7.9638401330997727E-2</v>
      </c>
      <c r="G976" s="67">
        <f>E976/'Lookup Tables'!$C$48</f>
        <v>2.6231357487153404</v>
      </c>
      <c r="H976" s="70">
        <f t="shared" si="96"/>
        <v>7.6348935902382674E-4</v>
      </c>
      <c r="I976" s="71">
        <f t="shared" si="94"/>
        <v>3.7773154781500897E-3</v>
      </c>
      <c r="L976" s="74"/>
      <c r="M976" s="74"/>
      <c r="N976" s="74"/>
      <c r="O976" s="74"/>
      <c r="P976" s="74"/>
      <c r="Q976" s="74"/>
      <c r="R976" s="74"/>
      <c r="S976" s="74"/>
      <c r="T976" s="74"/>
      <c r="U976" s="74"/>
      <c r="V976" s="74"/>
      <c r="W976" s="74"/>
      <c r="X976" s="74"/>
      <c r="Y976" s="74"/>
      <c r="Z976" s="74"/>
    </row>
    <row r="977" spans="1:26" x14ac:dyDescent="0.3">
      <c r="A977" s="66">
        <f t="shared" si="92"/>
        <v>2086.9999999999118</v>
      </c>
      <c r="B977" s="67">
        <f>LOOKUP(A977+0.01,Amounts!$A$4:$A$103,Amounts!$B$4:$B$103)*0.1*$A$2</f>
        <v>0</v>
      </c>
      <c r="C977" s="68">
        <f t="shared" si="97"/>
        <v>902907.24633514904</v>
      </c>
      <c r="D977" s="67">
        <f t="array" ref="D977">SUM($B$7:$B972*$F$1009*EXP(-$F$1009*($A977-$A$7:$A972)))*$F$1010</f>
        <v>683178.21600716712</v>
      </c>
      <c r="E977" s="67">
        <f t="shared" si="95"/>
        <v>1.3024189578031613</v>
      </c>
      <c r="F977" s="70">
        <f t="shared" si="93"/>
        <v>7.9082879117807953E-2</v>
      </c>
      <c r="G977" s="67">
        <f>E977/'Lookup Tables'!$C$48</f>
        <v>2.6048379156063226</v>
      </c>
      <c r="H977" s="70">
        <f t="shared" si="96"/>
        <v>7.5816359543009332E-4</v>
      </c>
      <c r="I977" s="71">
        <f t="shared" si="94"/>
        <v>3.7509665984731045E-3</v>
      </c>
      <c r="L977" s="74"/>
      <c r="M977" s="74"/>
      <c r="N977" s="74"/>
      <c r="O977" s="74"/>
      <c r="P977" s="74"/>
      <c r="Q977" s="74"/>
      <c r="R977" s="74"/>
      <c r="S977" s="74"/>
      <c r="T977" s="74"/>
      <c r="U977" s="74"/>
      <c r="V977" s="74"/>
      <c r="W977" s="74"/>
      <c r="X977" s="74"/>
      <c r="Y977" s="74"/>
      <c r="Z977" s="74"/>
    </row>
    <row r="978" spans="1:26" x14ac:dyDescent="0.3">
      <c r="A978" s="66">
        <f t="shared" si="92"/>
        <v>2087.0999999999117</v>
      </c>
      <c r="B978" s="67">
        <f>LOOKUP(A978+0.01,Amounts!$A$4:$A$103,Amounts!$B$4:$B$103)*0.1*$A$2</f>
        <v>0</v>
      </c>
      <c r="C978" s="68">
        <f t="shared" si="97"/>
        <v>902907.24633514904</v>
      </c>
      <c r="D978" s="67">
        <f t="array" ref="D978">SUM($B$7:$B973*$F$1009*EXP(-$F$1009*($A978-$A$7:$A973)))*$F$1010</f>
        <v>678412.66737464268</v>
      </c>
      <c r="E978" s="67">
        <f t="shared" si="95"/>
        <v>1.293333860038177</v>
      </c>
      <c r="F978" s="70">
        <f t="shared" si="93"/>
        <v>7.8531231981518096E-2</v>
      </c>
      <c r="G978" s="67">
        <f>E978/'Lookup Tables'!$C$48</f>
        <v>2.5866677200763539</v>
      </c>
      <c r="H978" s="70">
        <f t="shared" si="96"/>
        <v>7.5287498200423178E-4</v>
      </c>
      <c r="I978" s="71">
        <f t="shared" si="94"/>
        <v>3.7248015169099495E-3</v>
      </c>
      <c r="L978" s="74"/>
      <c r="M978" s="74"/>
      <c r="N978" s="74"/>
      <c r="O978" s="74"/>
      <c r="P978" s="74"/>
      <c r="Q978" s="74"/>
      <c r="R978" s="74"/>
      <c r="S978" s="74"/>
      <c r="T978" s="74"/>
      <c r="U978" s="74"/>
      <c r="V978" s="74"/>
      <c r="W978" s="74"/>
      <c r="X978" s="74"/>
      <c r="Y978" s="74"/>
      <c r="Z978" s="74"/>
    </row>
    <row r="979" spans="1:26" x14ac:dyDescent="0.3">
      <c r="A979" s="66">
        <f t="shared" ref="A979:A1006" si="98">A978+0.1</f>
        <v>2087.1999999999116</v>
      </c>
      <c r="B979" s="67">
        <f>LOOKUP(A979+0.01,Amounts!$A$4:$A$103,Amounts!$B$4:$B$103)*0.1*$A$2</f>
        <v>0</v>
      </c>
      <c r="C979" s="68">
        <f t="shared" si="97"/>
        <v>902907.24633514904</v>
      </c>
      <c r="D979" s="67">
        <f t="array" ref="D979">SUM($B$7:$B974*$F$1009*EXP(-$F$1009*($A979-$A$7:$A974)))*$F$1010</f>
        <v>673680.36109855911</v>
      </c>
      <c r="E979" s="67">
        <f t="shared" si="95"/>
        <v>1.2843121358911096</v>
      </c>
      <c r="F979" s="70">
        <f t="shared" ref="F979:F1007" si="99">E979*60*1012/1000000</f>
        <v>7.7983432891308171E-2</v>
      </c>
      <c r="G979" s="67">
        <f>E979/'Lookup Tables'!$C$48</f>
        <v>2.5686242717822192</v>
      </c>
      <c r="H979" s="70">
        <f t="shared" si="96"/>
        <v>7.4762325960312653E-4</v>
      </c>
      <c r="I979" s="71">
        <f t="shared" ref="I979:I1006" si="100">G979*60*24/1000000</f>
        <v>3.6988189513663958E-3</v>
      </c>
      <c r="L979" s="74"/>
      <c r="M979" s="74"/>
      <c r="N979" s="74"/>
      <c r="O979" s="74"/>
      <c r="P979" s="74"/>
      <c r="Q979" s="74"/>
      <c r="R979" s="74"/>
      <c r="S979" s="74"/>
      <c r="T979" s="74"/>
      <c r="U979" s="74"/>
      <c r="V979" s="74"/>
      <c r="W979" s="74"/>
      <c r="X979" s="74"/>
      <c r="Y979" s="74"/>
      <c r="Z979" s="74"/>
    </row>
    <row r="980" spans="1:26" x14ac:dyDescent="0.3">
      <c r="A980" s="66">
        <f t="shared" si="98"/>
        <v>2087.2999999999115</v>
      </c>
      <c r="B980" s="67">
        <f>LOOKUP(A980+0.01,Amounts!$A$4:$A$103,Amounts!$B$4:$B$103)*0.1*$A$2</f>
        <v>0</v>
      </c>
      <c r="C980" s="68">
        <f t="shared" si="97"/>
        <v>902907.24633514904</v>
      </c>
      <c r="D980" s="67">
        <f t="array" ref="D980">SUM($B$7:$B975*$F$1009*EXP(-$F$1009*($A980-$A$7:$A975)))*$F$1010</f>
        <v>668981.06529496156</v>
      </c>
      <c r="E980" s="67">
        <f t="shared" si="95"/>
        <v>1.2753533432956705</v>
      </c>
      <c r="F980" s="70">
        <f t="shared" si="99"/>
        <v>7.7439455004913116E-2</v>
      </c>
      <c r="G980" s="67">
        <f>E980/'Lookup Tables'!$C$48</f>
        <v>2.550706686591341</v>
      </c>
      <c r="H980" s="70">
        <f t="shared" si="96"/>
        <v>7.4240817089132882E-4</v>
      </c>
      <c r="I980" s="71">
        <f t="shared" si="100"/>
        <v>3.6730176286915313E-3</v>
      </c>
      <c r="L980" s="74"/>
      <c r="M980" s="74"/>
      <c r="N980" s="74"/>
      <c r="O980" s="74"/>
      <c r="P980" s="74"/>
      <c r="Q980" s="74"/>
      <c r="R980" s="74"/>
      <c r="S980" s="74"/>
      <c r="T980" s="74"/>
      <c r="U980" s="74"/>
      <c r="V980" s="74"/>
      <c r="W980" s="74"/>
      <c r="X980" s="74"/>
      <c r="Y980" s="74"/>
      <c r="Z980" s="74"/>
    </row>
    <row r="981" spans="1:26" x14ac:dyDescent="0.3">
      <c r="A981" s="66">
        <f t="shared" si="98"/>
        <v>2087.3999999999114</v>
      </c>
      <c r="B981" s="67">
        <f>LOOKUP(A981+0.01,Amounts!$A$4:$A$103,Amounts!$B$4:$B$103)*0.1*$A$2</f>
        <v>0</v>
      </c>
      <c r="C981" s="68">
        <f t="shared" si="97"/>
        <v>902907.24633514904</v>
      </c>
      <c r="D981" s="67">
        <f t="array" ref="D981">SUM($B$7:$B976*$F$1009*EXP(-$F$1009*($A981-$A$7:$A976)))*$F$1010</f>
        <v>664314.5496974159</v>
      </c>
      <c r="E981" s="67">
        <f t="shared" si="95"/>
        <v>1.266457043269231</v>
      </c>
      <c r="F981" s="70">
        <f t="shared" si="99"/>
        <v>7.6899271667307714E-2</v>
      </c>
      <c r="G981" s="67">
        <f>E981/'Lookup Tables'!$C$48</f>
        <v>2.5329140865384621</v>
      </c>
      <c r="H981" s="70">
        <f t="shared" si="96"/>
        <v>7.3722946032844902E-4</v>
      </c>
      <c r="I981" s="71">
        <f t="shared" si="100"/>
        <v>3.6473962846153853E-3</v>
      </c>
      <c r="L981" s="74"/>
      <c r="M981" s="74"/>
      <c r="N981" s="74"/>
      <c r="O981" s="74"/>
      <c r="P981" s="74"/>
      <c r="Q981" s="74"/>
      <c r="R981" s="74"/>
      <c r="S981" s="74"/>
      <c r="T981" s="74"/>
      <c r="U981" s="74"/>
      <c r="V981" s="74"/>
      <c r="W981" s="74"/>
      <c r="X981" s="74"/>
      <c r="Y981" s="74"/>
      <c r="Z981" s="74"/>
    </row>
    <row r="982" spans="1:26" x14ac:dyDescent="0.3">
      <c r="A982" s="66">
        <f t="shared" si="98"/>
        <v>2087.4999999999113</v>
      </c>
      <c r="B982" s="67">
        <f>LOOKUP(A982+0.01,Amounts!$A$4:$A$103,Amounts!$B$4:$B$103)*0.1*$A$2</f>
        <v>0</v>
      </c>
      <c r="C982" s="68">
        <f t="shared" si="97"/>
        <v>902907.24633514904</v>
      </c>
      <c r="D982" s="67">
        <f t="array" ref="D982">SUM($B$7:$B977*$F$1009*EXP(-$F$1009*($A982-$A$7:$A977)))*$F$1010</f>
        <v>659680.58564572362</v>
      </c>
      <c r="E982" s="67">
        <f t="shared" si="95"/>
        <v>1.2576227998913083</v>
      </c>
      <c r="F982" s="70">
        <f t="shared" si="99"/>
        <v>7.6362856409400243E-2</v>
      </c>
      <c r="G982" s="67">
        <f>E982/'Lookup Tables'!$C$48</f>
        <v>2.5152455997826166</v>
      </c>
      <c r="H982" s="70">
        <f t="shared" si="96"/>
        <v>7.3208687415663224E-4</v>
      </c>
      <c r="I982" s="71">
        <f t="shared" si="100"/>
        <v>3.621953663686968E-3</v>
      </c>
      <c r="L982" s="74"/>
      <c r="M982" s="74"/>
      <c r="N982" s="74"/>
      <c r="O982" s="74"/>
      <c r="P982" s="74"/>
      <c r="Q982" s="74"/>
      <c r="R982" s="74"/>
      <c r="S982" s="74"/>
      <c r="T982" s="74"/>
      <c r="U982" s="74"/>
      <c r="V982" s="74"/>
      <c r="W982" s="74"/>
      <c r="X982" s="74"/>
      <c r="Y982" s="74"/>
      <c r="Z982" s="74"/>
    </row>
    <row r="983" spans="1:26" x14ac:dyDescent="0.3">
      <c r="A983" s="66">
        <f t="shared" si="98"/>
        <v>2087.5999999999112</v>
      </c>
      <c r="B983" s="67">
        <f>LOOKUP(A983+0.01,Amounts!$A$4:$A$103,Amounts!$B$4:$B$103)*0.1*$A$2</f>
        <v>0</v>
      </c>
      <c r="C983" s="68">
        <f t="shared" si="97"/>
        <v>902907.24633514904</v>
      </c>
      <c r="D983" s="67">
        <f t="array" ref="D983">SUM($B$7:$B978*$F$1009*EXP(-$F$1009*($A983-$A$7:$A978)))*$F$1010</f>
        <v>655078.94607471942</v>
      </c>
      <c r="E983" s="67">
        <f t="shared" si="95"/>
        <v>1.2488501802822103</v>
      </c>
      <c r="F983" s="70">
        <f t="shared" si="99"/>
        <v>7.5830182946735811E-2</v>
      </c>
      <c r="G983" s="67">
        <f>E983/'Lookup Tables'!$C$48</f>
        <v>2.4977003605644206</v>
      </c>
      <c r="H983" s="70">
        <f t="shared" si="96"/>
        <v>7.2698016038812803E-4</v>
      </c>
      <c r="I983" s="71">
        <f t="shared" si="100"/>
        <v>3.5966885192127655E-3</v>
      </c>
      <c r="L983" s="74"/>
      <c r="M983" s="74"/>
      <c r="N983" s="74"/>
      <c r="O983" s="74"/>
      <c r="P983" s="74"/>
      <c r="Q983" s="74"/>
      <c r="R983" s="74"/>
      <c r="S983" s="74"/>
      <c r="T983" s="74"/>
      <c r="U983" s="74"/>
      <c r="V983" s="74"/>
      <c r="W983" s="74"/>
      <c r="X983" s="74"/>
      <c r="Y983" s="74"/>
      <c r="Z983" s="74"/>
    </row>
    <row r="984" spans="1:26" x14ac:dyDescent="0.3">
      <c r="A984" s="66">
        <f t="shared" si="98"/>
        <v>2087.6999999999111</v>
      </c>
      <c r="B984" s="67">
        <f>LOOKUP(A984+0.01,Amounts!$A$4:$A$103,Amounts!$B$4:$B$103)*0.1*$A$2</f>
        <v>0</v>
      </c>
      <c r="C984" s="68">
        <f t="shared" si="97"/>
        <v>902907.24633514904</v>
      </c>
      <c r="D984" s="67">
        <f t="array" ref="D984">SUM($B$7:$B979*$F$1009*EXP(-$F$1009*($A984-$A$7:$A979)))*$F$1010</f>
        <v>650509.40550314309</v>
      </c>
      <c r="E984" s="67">
        <f t="shared" si="95"/>
        <v>1.2401387545818199</v>
      </c>
      <c r="F984" s="70">
        <f t="shared" si="99"/>
        <v>7.53012251782081E-2</v>
      </c>
      <c r="G984" s="67">
        <f>E984/'Lookup Tables'!$C$48</f>
        <v>2.4802775091636398</v>
      </c>
      <c r="H984" s="70">
        <f t="shared" si="96"/>
        <v>7.2190906879293919E-4</v>
      </c>
      <c r="I984" s="71">
        <f t="shared" si="100"/>
        <v>3.5715996131956409E-3</v>
      </c>
      <c r="L984" s="74"/>
      <c r="M984" s="74"/>
      <c r="N984" s="74"/>
      <c r="O984" s="74"/>
      <c r="P984" s="74"/>
      <c r="Q984" s="74"/>
      <c r="R984" s="74"/>
      <c r="S984" s="74"/>
      <c r="T984" s="74"/>
      <c r="U984" s="74"/>
      <c r="V984" s="74"/>
      <c r="W984" s="74"/>
      <c r="X984" s="74"/>
      <c r="Y984" s="74"/>
      <c r="Z984" s="74"/>
    </row>
    <row r="985" spans="1:26" x14ac:dyDescent="0.3">
      <c r="A985" s="66">
        <f t="shared" si="98"/>
        <v>2087.7999999999111</v>
      </c>
      <c r="B985" s="67">
        <f>LOOKUP(A985+0.01,Amounts!$A$4:$A$103,Amounts!$B$4:$B$103)*0.1*$A$2</f>
        <v>0</v>
      </c>
      <c r="C985" s="68">
        <f t="shared" si="97"/>
        <v>902907.24633514904</v>
      </c>
      <c r="D985" s="67">
        <f t="array" ref="D985">SUM($B$7:$B980*$F$1009*EXP(-$F$1009*($A985-$A$7:$A980)))*$F$1010</f>
        <v>645971.74002259271</v>
      </c>
      <c r="E985" s="67">
        <f t="shared" si="95"/>
        <v>1.2314880959285355</v>
      </c>
      <c r="F985" s="70">
        <f t="shared" si="99"/>
        <v>7.4775957184780667E-2</v>
      </c>
      <c r="G985" s="67">
        <f>E985/'Lookup Tables'!$C$48</f>
        <v>2.462976191857071</v>
      </c>
      <c r="H985" s="70">
        <f t="shared" si="96"/>
        <v>7.1687335088656354E-4</v>
      </c>
      <c r="I985" s="71">
        <f t="shared" si="100"/>
        <v>3.5466857162741818E-3</v>
      </c>
      <c r="L985" s="74"/>
      <c r="M985" s="74"/>
      <c r="N985" s="74"/>
      <c r="O985" s="74"/>
      <c r="P985" s="74"/>
      <c r="Q985" s="74"/>
      <c r="R985" s="74"/>
      <c r="S985" s="74"/>
      <c r="T985" s="74"/>
      <c r="U985" s="74"/>
      <c r="V985" s="74"/>
      <c r="W985" s="74"/>
      <c r="X985" s="74"/>
      <c r="Y985" s="74"/>
      <c r="Z985" s="74"/>
    </row>
    <row r="986" spans="1:26" x14ac:dyDescent="0.3">
      <c r="A986" s="66">
        <f t="shared" si="98"/>
        <v>2087.899999999911</v>
      </c>
      <c r="B986" s="67">
        <f>LOOKUP(A986+0.01,Amounts!$A$4:$A$103,Amounts!$B$4:$B$103)*0.1*$A$2</f>
        <v>0</v>
      </c>
      <c r="C986" s="68">
        <f t="shared" si="97"/>
        <v>902907.24633514904</v>
      </c>
      <c r="D986" s="67">
        <f t="array" ref="D986">SUM($B$7:$B981*$F$1009*EXP(-$F$1009*($A986-$A$7:$A981)))*$F$1010</f>
        <v>641465.72728655173</v>
      </c>
      <c r="E986" s="67">
        <f t="shared" si="95"/>
        <v>1.2228977804383518</v>
      </c>
      <c r="F986" s="70">
        <f t="shared" si="99"/>
        <v>7.4254353228216732E-2</v>
      </c>
      <c r="G986" s="67">
        <f>E986/'Lookup Tables'!$C$48</f>
        <v>2.4457955608767037</v>
      </c>
      <c r="H986" s="70">
        <f t="shared" si="96"/>
        <v>7.1187275991781585E-4</v>
      </c>
      <c r="I986" s="71">
        <f t="shared" si="100"/>
        <v>3.5219456076624532E-3</v>
      </c>
      <c r="L986" s="74"/>
      <c r="M986" s="74"/>
      <c r="N986" s="74"/>
      <c r="O986" s="74"/>
      <c r="P986" s="74"/>
      <c r="Q986" s="74"/>
      <c r="R986" s="74"/>
      <c r="S986" s="74"/>
      <c r="T986" s="74"/>
      <c r="U986" s="74"/>
      <c r="V986" s="74"/>
      <c r="W986" s="74"/>
      <c r="X986" s="74"/>
      <c r="Y986" s="74"/>
      <c r="Z986" s="74"/>
    </row>
    <row r="987" spans="1:26" x14ac:dyDescent="0.3">
      <c r="A987" s="66">
        <f t="shared" si="98"/>
        <v>2087.9999999999109</v>
      </c>
      <c r="B987" s="67">
        <f>LOOKUP(A987+0.01,Amounts!$A$4:$A$103,Amounts!$B$4:$B$103)*0.1*$A$2</f>
        <v>0</v>
      </c>
      <c r="C987" s="68">
        <f t="shared" si="97"/>
        <v>902907.24633514904</v>
      </c>
      <c r="D987" s="67">
        <f t="array" ref="D987">SUM($B$7:$B982*$F$1009*EXP(-$F$1009*($A987-$A$7:$A982)))*$F$1010</f>
        <v>636991.14649949467</v>
      </c>
      <c r="E987" s="67">
        <f t="shared" si="95"/>
        <v>1.2143673871840921</v>
      </c>
      <c r="F987" s="70">
        <f t="shared" si="99"/>
        <v>7.3736387749818083E-2</v>
      </c>
      <c r="G987" s="67">
        <f>E987/'Lookup Tables'!$C$48</f>
        <v>2.4287347743681842</v>
      </c>
      <c r="H987" s="70">
        <f t="shared" si="96"/>
        <v>7.0690705085673842E-4</v>
      </c>
      <c r="I987" s="71">
        <f t="shared" si="100"/>
        <v>3.4973780750901856E-3</v>
      </c>
      <c r="L987" s="74"/>
      <c r="M987" s="74"/>
      <c r="N987" s="74"/>
      <c r="O987" s="74"/>
      <c r="P987" s="74"/>
      <c r="Q987" s="74"/>
      <c r="R987" s="74"/>
      <c r="S987" s="74"/>
      <c r="T987" s="74"/>
      <c r="U987" s="74"/>
      <c r="V987" s="74"/>
      <c r="W987" s="74"/>
      <c r="X987" s="74"/>
      <c r="Y987" s="74"/>
      <c r="Z987" s="74"/>
    </row>
    <row r="988" spans="1:26" x14ac:dyDescent="0.3">
      <c r="A988" s="66">
        <f t="shared" si="98"/>
        <v>2088.0999999999108</v>
      </c>
      <c r="B988" s="67">
        <f>LOOKUP(A988+0.01,Amounts!$A$4:$A$103,Amounts!$B$4:$B$103)*0.1*$A$2</f>
        <v>0</v>
      </c>
      <c r="C988" s="68">
        <f t="shared" si="97"/>
        <v>902907.24633514904</v>
      </c>
      <c r="D988" s="67">
        <f t="array" ref="D988">SUM($B$7:$B983*$F$1009*EXP(-$F$1009*($A988-$A$7:$A983)))*$F$1010</f>
        <v>632547.77840606752</v>
      </c>
      <c r="E988" s="67">
        <f t="shared" si="95"/>
        <v>1.2058964981747788</v>
      </c>
      <c r="F988" s="70">
        <f t="shared" si="99"/>
        <v>7.3222035369172558E-2</v>
      </c>
      <c r="G988" s="67">
        <f>E988/'Lookup Tables'!$C$48</f>
        <v>2.4117929963495577</v>
      </c>
      <c r="H988" s="70">
        <f t="shared" si="96"/>
        <v>7.0197598038259301E-4</v>
      </c>
      <c r="I988" s="71">
        <f t="shared" si="100"/>
        <v>3.4729819147433626E-3</v>
      </c>
      <c r="L988" s="74"/>
      <c r="M988" s="74"/>
      <c r="N988" s="74"/>
      <c r="O988" s="74"/>
      <c r="P988" s="74"/>
      <c r="Q988" s="74"/>
      <c r="R988" s="74"/>
      <c r="S988" s="74"/>
      <c r="T988" s="74"/>
      <c r="U988" s="74"/>
      <c r="V988" s="74"/>
      <c r="W988" s="74"/>
      <c r="X988" s="74"/>
      <c r="Y988" s="74"/>
      <c r="Z988" s="74"/>
    </row>
    <row r="989" spans="1:26" x14ac:dyDescent="0.3">
      <c r="A989" s="66">
        <f t="shared" si="98"/>
        <v>2088.1999999999107</v>
      </c>
      <c r="B989" s="67">
        <f>LOOKUP(A989+0.01,Amounts!$A$4:$A$103,Amounts!$B$4:$B$103)*0.1*$A$2</f>
        <v>0</v>
      </c>
      <c r="C989" s="68">
        <f t="shared" si="97"/>
        <v>902907.24633514904</v>
      </c>
      <c r="D989" s="67">
        <f t="array" ref="D989">SUM($B$7:$B984*$F$1009*EXP(-$F$1009*($A989-$A$7:$A984)))*$F$1010</f>
        <v>628135.40528034477</v>
      </c>
      <c r="E989" s="67">
        <f t="shared" si="95"/>
        <v>1.1974846983351566</v>
      </c>
      <c r="F989" s="70">
        <f t="shared" si="99"/>
        <v>7.2711270882910711E-2</v>
      </c>
      <c r="G989" s="67">
        <f>E989/'Lookup Tables'!$C$48</f>
        <v>2.3949693966703132</v>
      </c>
      <c r="H989" s="70">
        <f t="shared" si="96"/>
        <v>6.970793068719407E-4</v>
      </c>
      <c r="I989" s="71">
        <f t="shared" si="100"/>
        <v>3.4487559312052509E-3</v>
      </c>
      <c r="L989" s="74"/>
      <c r="M989" s="74"/>
      <c r="N989" s="74"/>
      <c r="O989" s="74"/>
      <c r="P989" s="74"/>
      <c r="Q989" s="74"/>
      <c r="R989" s="74"/>
      <c r="S989" s="74"/>
      <c r="T989" s="74"/>
      <c r="U989" s="74"/>
      <c r="V989" s="74"/>
      <c r="W989" s="74"/>
      <c r="X989" s="74"/>
      <c r="Y989" s="74"/>
      <c r="Z989" s="74"/>
    </row>
    <row r="990" spans="1:26" x14ac:dyDescent="0.3">
      <c r="A990" s="66">
        <f t="shared" si="98"/>
        <v>2088.2999999999106</v>
      </c>
      <c r="B990" s="67">
        <f>LOOKUP(A990+0.01,Amounts!$A$4:$A$103,Amounts!$B$4:$B$103)*0.1*$A$2</f>
        <v>0</v>
      </c>
      <c r="C990" s="68">
        <f t="shared" si="97"/>
        <v>902907.24633514904</v>
      </c>
      <c r="D990" s="67">
        <f t="array" ref="D990">SUM($B$7:$B985*$F$1009*EXP(-$F$1009*($A990-$A$7:$A985)))*$F$1010</f>
        <v>623753.81091516023</v>
      </c>
      <c r="E990" s="67">
        <f t="shared" si="95"/>
        <v>1.1891315754853498</v>
      </c>
      <c r="F990" s="70">
        <f t="shared" si="99"/>
        <v>7.220406926347045E-2</v>
      </c>
      <c r="G990" s="67">
        <f>E990/'Lookup Tables'!$C$48</f>
        <v>2.3782631509706995</v>
      </c>
      <c r="H990" s="70">
        <f t="shared" si="96"/>
        <v>6.9221679038679914E-4</v>
      </c>
      <c r="I990" s="71">
        <f t="shared" si="100"/>
        <v>3.4246989373978077E-3</v>
      </c>
      <c r="L990" s="74"/>
      <c r="M990" s="74"/>
      <c r="N990" s="74"/>
      <c r="O990" s="74"/>
      <c r="P990" s="74"/>
      <c r="Q990" s="74"/>
      <c r="R990" s="74"/>
      <c r="S990" s="74"/>
      <c r="T990" s="74"/>
      <c r="U990" s="74"/>
      <c r="V990" s="74"/>
      <c r="W990" s="74"/>
      <c r="X990" s="74"/>
      <c r="Y990" s="74"/>
      <c r="Z990" s="74"/>
    </row>
    <row r="991" spans="1:26" x14ac:dyDescent="0.3">
      <c r="A991" s="66">
        <f t="shared" si="98"/>
        <v>2088.3999999999105</v>
      </c>
      <c r="B991" s="67">
        <f>LOOKUP(A991+0.01,Amounts!$A$4:$A$103,Amounts!$B$4:$B$103)*0.1*$A$2</f>
        <v>0</v>
      </c>
      <c r="C991" s="68">
        <f t="shared" si="97"/>
        <v>902907.24633514904</v>
      </c>
      <c r="D991" s="67">
        <f t="array" ref="D991">SUM($B$7:$B986*$F$1009*EXP(-$F$1009*($A991-$A$7:$A986)))*$F$1010</f>
        <v>619402.78061151342</v>
      </c>
      <c r="E991" s="67">
        <f t="shared" si="95"/>
        <v>1.1808367203206671</v>
      </c>
      <c r="F991" s="70">
        <f t="shared" si="99"/>
        <v>7.1700405657870919E-2</v>
      </c>
      <c r="G991" s="67">
        <f>E991/'Lookup Tables'!$C$48</f>
        <v>2.3616734406413342</v>
      </c>
      <c r="H991" s="70">
        <f t="shared" si="96"/>
        <v>6.8738819266288753E-4</v>
      </c>
      <c r="I991" s="71">
        <f t="shared" si="100"/>
        <v>3.4008097545235212E-3</v>
      </c>
      <c r="L991" s="74"/>
      <c r="M991" s="74"/>
      <c r="N991" s="74"/>
      <c r="O991" s="74"/>
      <c r="P991" s="74"/>
      <c r="Q991" s="74"/>
      <c r="R991" s="74"/>
      <c r="S991" s="74"/>
      <c r="T991" s="74"/>
      <c r="U991" s="74"/>
      <c r="V991" s="74"/>
      <c r="W991" s="74"/>
      <c r="X991" s="74"/>
      <c r="Y991" s="74"/>
      <c r="Z991" s="74"/>
    </row>
    <row r="992" spans="1:26" x14ac:dyDescent="0.3">
      <c r="A992" s="66">
        <f t="shared" si="98"/>
        <v>2088.4999999999104</v>
      </c>
      <c r="B992" s="67">
        <f>LOOKUP(A992+0.01,Amounts!$A$4:$A$103,Amounts!$B$4:$B$103)*0.1*$A$2</f>
        <v>0</v>
      </c>
      <c r="C992" s="68">
        <f t="shared" si="97"/>
        <v>902907.24633514904</v>
      </c>
      <c r="D992" s="67">
        <f t="array" ref="D992">SUM($B$7:$B987*$F$1009*EXP(-$F$1009*($A992-$A$7:$A987)))*$F$1010</f>
        <v>615082.10116804868</v>
      </c>
      <c r="E992" s="67">
        <f t="shared" si="95"/>
        <v>1.1725997263915457</v>
      </c>
      <c r="F992" s="70">
        <f t="shared" si="99"/>
        <v>7.120025538649466E-2</v>
      </c>
      <c r="G992" s="67">
        <f>E992/'Lookup Tables'!$C$48</f>
        <v>2.3451994527830915</v>
      </c>
      <c r="H992" s="70">
        <f t="shared" si="96"/>
        <v>6.8259327709795125E-4</v>
      </c>
      <c r="I992" s="71">
        <f t="shared" si="100"/>
        <v>3.3770872120076519E-3</v>
      </c>
      <c r="L992" s="74"/>
      <c r="M992" s="74"/>
      <c r="N992" s="74"/>
      <c r="O992" s="74"/>
      <c r="P992" s="74"/>
      <c r="Q992" s="74"/>
      <c r="R992" s="74"/>
      <c r="S992" s="74"/>
      <c r="T992" s="74"/>
      <c r="U992" s="74"/>
      <c r="V992" s="74"/>
      <c r="W992" s="74"/>
      <c r="X992" s="74"/>
      <c r="Y992" s="74"/>
      <c r="Z992" s="74"/>
    </row>
    <row r="993" spans="1:26" x14ac:dyDescent="0.3">
      <c r="A993" s="66">
        <f t="shared" si="98"/>
        <v>2088.5999999999103</v>
      </c>
      <c r="B993" s="67">
        <f>LOOKUP(A993+0.01,Amounts!$A$4:$A$103,Amounts!$B$4:$B$103)*0.1*$A$2</f>
        <v>0</v>
      </c>
      <c r="C993" s="68">
        <f t="shared" si="97"/>
        <v>902907.24633514904</v>
      </c>
      <c r="D993" s="67">
        <f t="array" ref="D993">SUM($B$7:$B988*$F$1009*EXP(-$F$1009*($A993-$A$7:$A988)))*$F$1010</f>
        <v>610791.56087060925</v>
      </c>
      <c r="E993" s="67">
        <f t="shared" si="95"/>
        <v>1.1644201900836362</v>
      </c>
      <c r="F993" s="70">
        <f t="shared" si="99"/>
        <v>7.070359394187839E-2</v>
      </c>
      <c r="G993" s="67">
        <f>E993/'Lookup Tables'!$C$48</f>
        <v>2.3288403801672724</v>
      </c>
      <c r="H993" s="70">
        <f t="shared" si="96"/>
        <v>6.7783180874016885E-4</v>
      </c>
      <c r="I993" s="71">
        <f t="shared" si="100"/>
        <v>3.3535301474408724E-3</v>
      </c>
      <c r="L993" s="74"/>
      <c r="M993" s="74"/>
      <c r="N993" s="74"/>
      <c r="O993" s="74"/>
      <c r="P993" s="74"/>
      <c r="Q993" s="74"/>
      <c r="R993" s="74"/>
      <c r="S993" s="74"/>
      <c r="T993" s="74"/>
      <c r="U993" s="74"/>
      <c r="V993" s="74"/>
      <c r="W993" s="74"/>
      <c r="X993" s="74"/>
      <c r="Y993" s="74"/>
      <c r="Z993" s="74"/>
    </row>
    <row r="994" spans="1:26" x14ac:dyDescent="0.3">
      <c r="A994" s="66">
        <f t="shared" si="98"/>
        <v>2088.6999999999102</v>
      </c>
      <c r="B994" s="67">
        <f>LOOKUP(A994+0.01,Amounts!$A$4:$A$103,Amounts!$B$4:$B$103)*0.1*$A$2</f>
        <v>0</v>
      </c>
      <c r="C994" s="68">
        <f t="shared" si="97"/>
        <v>902907.24633514904</v>
      </c>
      <c r="D994" s="67">
        <f t="array" ref="D994">SUM($B$7:$B989*$F$1009*EXP(-$F$1009*($A994-$A$7:$A989)))*$F$1010</f>
        <v>606530.9494818612</v>
      </c>
      <c r="E994" s="67">
        <f t="shared" si="95"/>
        <v>1.1562977105980208</v>
      </c>
      <c r="F994" s="70">
        <f t="shared" si="99"/>
        <v>7.0210396987511817E-2</v>
      </c>
      <c r="G994" s="67">
        <f>E994/'Lookup Tables'!$C$48</f>
        <v>2.3125954211960416</v>
      </c>
      <c r="H994" s="70">
        <f t="shared" si="96"/>
        <v>6.7310355427663683E-4</v>
      </c>
      <c r="I994" s="71">
        <f t="shared" si="100"/>
        <v>3.3301374065222997E-3</v>
      </c>
      <c r="L994" s="74"/>
      <c r="M994" s="74"/>
      <c r="N994" s="74"/>
      <c r="O994" s="74"/>
      <c r="P994" s="74"/>
      <c r="Q994" s="74"/>
      <c r="R994" s="74"/>
      <c r="S994" s="74"/>
      <c r="T994" s="74"/>
      <c r="U994" s="74"/>
      <c r="V994" s="74"/>
      <c r="W994" s="74"/>
      <c r="X994" s="74"/>
      <c r="Y994" s="74"/>
      <c r="Z994" s="74"/>
    </row>
    <row r="995" spans="1:26" x14ac:dyDescent="0.3">
      <c r="A995" s="66">
        <f t="shared" si="98"/>
        <v>2088.7999999999101</v>
      </c>
      <c r="B995" s="67">
        <f>LOOKUP(A995+0.01,Amounts!$A$4:$A$103,Amounts!$B$4:$B$103)*0.1*$A$2</f>
        <v>0</v>
      </c>
      <c r="C995" s="68">
        <f t="shared" si="97"/>
        <v>902907.24633514904</v>
      </c>
      <c r="D995" s="67">
        <f t="array" ref="D995">SUM($B$7:$B990*$F$1009*EXP(-$F$1009*($A995-$A$7:$A990)))*$F$1010</f>
        <v>602300.05823099532</v>
      </c>
      <c r="E995" s="67">
        <f t="shared" si="95"/>
        <v>1.1482318899315824</v>
      </c>
      <c r="F995" s="70">
        <f t="shared" si="99"/>
        <v>6.9720640356645686E-2</v>
      </c>
      <c r="G995" s="67">
        <f>E995/'Lookup Tables'!$C$48</f>
        <v>2.2964637798631649</v>
      </c>
      <c r="H995" s="70">
        <f t="shared" si="96"/>
        <v>6.6840828202194237E-4</v>
      </c>
      <c r="I995" s="71">
        <f t="shared" si="100"/>
        <v>3.3069078430029574E-3</v>
      </c>
      <c r="L995" s="74"/>
      <c r="M995" s="74"/>
      <c r="N995" s="74"/>
      <c r="O995" s="74"/>
      <c r="P995" s="74"/>
      <c r="Q995" s="74"/>
      <c r="R995" s="74"/>
      <c r="S995" s="74"/>
      <c r="T995" s="74"/>
      <c r="U995" s="74"/>
      <c r="V995" s="74"/>
      <c r="W995" s="74"/>
      <c r="X995" s="74"/>
      <c r="Y995" s="74"/>
      <c r="Z995" s="74"/>
    </row>
    <row r="996" spans="1:26" x14ac:dyDescent="0.3">
      <c r="A996" s="66">
        <f t="shared" si="98"/>
        <v>2088.8999999999101</v>
      </c>
      <c r="B996" s="67">
        <f>LOOKUP(A996+0.01,Amounts!$A$4:$A$103,Amounts!$B$4:$B$103)*0.1*$A$2</f>
        <v>0</v>
      </c>
      <c r="C996" s="68">
        <f t="shared" si="97"/>
        <v>902907.24633514904</v>
      </c>
      <c r="D996" s="67">
        <f t="array" ref="D996">SUM($B$7:$B991*$F$1009*EXP(-$F$1009*($A996-$A$7:$A991)))*$F$1010</f>
        <v>598098.67980349308</v>
      </c>
      <c r="E996" s="67">
        <f t="shared" si="95"/>
        <v>1.1402223328574927</v>
      </c>
      <c r="F996" s="70">
        <f t="shared" si="99"/>
        <v>6.9234300051106951E-2</v>
      </c>
      <c r="G996" s="67">
        <f>E996/'Lookup Tables'!$C$48</f>
        <v>2.2804446657149855</v>
      </c>
      <c r="H996" s="70">
        <f t="shared" si="96"/>
        <v>6.6374576190680445E-4</v>
      </c>
      <c r="I996" s="71">
        <f t="shared" si="100"/>
        <v>3.283840318629579E-3</v>
      </c>
      <c r="L996" s="74"/>
      <c r="M996" s="74"/>
      <c r="N996" s="74"/>
      <c r="O996" s="74"/>
      <c r="P996" s="74"/>
      <c r="Q996" s="74"/>
      <c r="R996" s="74"/>
      <c r="S996" s="74"/>
      <c r="T996" s="74"/>
      <c r="U996" s="74"/>
      <c r="V996" s="74"/>
      <c r="W996" s="74"/>
      <c r="X996" s="74"/>
      <c r="Y996" s="74"/>
      <c r="Z996" s="74"/>
    </row>
    <row r="997" spans="1:26" x14ac:dyDescent="0.3">
      <c r="A997" s="66">
        <f t="shared" si="98"/>
        <v>2088.99999999991</v>
      </c>
      <c r="B997" s="67">
        <f>LOOKUP(A997+0.01,Amounts!$A$4:$A$103,Amounts!$B$4:$B$103)*0.1*$A$2</f>
        <v>0</v>
      </c>
      <c r="C997" s="68">
        <f t="shared" si="97"/>
        <v>902907.24633514904</v>
      </c>
      <c r="D997" s="67">
        <f t="array" ref="D997">SUM($B$7:$B992*$F$1009*EXP(-$F$1009*($A997-$A$7:$A992)))*$F$1010</f>
        <v>593926.60833097098</v>
      </c>
      <c r="E997" s="67">
        <f t="shared" si="95"/>
        <v>1.1322686469058529</v>
      </c>
      <c r="F997" s="70">
        <f t="shared" si="99"/>
        <v>6.8751352240123395E-2</v>
      </c>
      <c r="G997" s="67">
        <f>E997/'Lookup Tables'!$C$48</f>
        <v>2.2645372938117059</v>
      </c>
      <c r="H997" s="70">
        <f t="shared" si="96"/>
        <v>6.5911576546680447E-4</v>
      </c>
      <c r="I997" s="71">
        <f t="shared" si="100"/>
        <v>3.2609337030888564E-3</v>
      </c>
      <c r="L997" s="74"/>
      <c r="M997" s="74"/>
      <c r="N997" s="74"/>
      <c r="O997" s="74"/>
      <c r="P997" s="74"/>
      <c r="Q997" s="74"/>
      <c r="R997" s="74"/>
      <c r="S997" s="74"/>
      <c r="T997" s="74"/>
      <c r="U997" s="74"/>
      <c r="V997" s="74"/>
      <c r="W997" s="74"/>
      <c r="X997" s="74"/>
      <c r="Y997" s="74"/>
      <c r="Z997" s="74"/>
    </row>
    <row r="998" spans="1:26" x14ac:dyDescent="0.3">
      <c r="A998" s="66">
        <f t="shared" si="98"/>
        <v>2089.0999999999099</v>
      </c>
      <c r="B998" s="67">
        <f>LOOKUP(A998+0.01,Amounts!$A$4:$A$103,Amounts!$B$4:$B$103)*0.1*$A$2</f>
        <v>0</v>
      </c>
      <c r="C998" s="68">
        <f t="shared" si="97"/>
        <v>902907.24633514904</v>
      </c>
      <c r="D998" s="67">
        <f t="array" ref="D998">SUM($B$7:$B993*$F$1009*EXP(-$F$1009*($A998-$A$7:$A993)))*$F$1010</f>
        <v>589783.63938109193</v>
      </c>
      <c r="E998" s="67">
        <f t="shared" si="95"/>
        <v>1.1243704423444596</v>
      </c>
      <c r="F998" s="70">
        <f t="shared" si="99"/>
        <v>6.827177325915558E-2</v>
      </c>
      <c r="G998" s="67">
        <f>E998/'Lookup Tables'!$C$48</f>
        <v>2.2487408846889192</v>
      </c>
      <c r="H998" s="70">
        <f t="shared" si="96"/>
        <v>6.5451806583119031E-4</v>
      </c>
      <c r="I998" s="71">
        <f t="shared" si="100"/>
        <v>3.2381868739520432E-3</v>
      </c>
      <c r="L998" s="74"/>
      <c r="M998" s="74"/>
      <c r="N998" s="74"/>
      <c r="O998" s="74"/>
      <c r="P998" s="74"/>
      <c r="Q998" s="74"/>
      <c r="R998" s="74"/>
      <c r="S998" s="74"/>
      <c r="T998" s="74"/>
      <c r="U998" s="74"/>
      <c r="V998" s="74"/>
      <c r="W998" s="74"/>
      <c r="X998" s="74"/>
      <c r="Y998" s="74"/>
      <c r="Z998" s="74"/>
    </row>
    <row r="999" spans="1:26" x14ac:dyDescent="0.3">
      <c r="A999" s="66">
        <f t="shared" si="98"/>
        <v>2089.1999999999098</v>
      </c>
      <c r="B999" s="67">
        <f>LOOKUP(A999+0.01,Amounts!$A$4:$A$103,Amounts!$B$4:$B$103)*0.1*$A$2</f>
        <v>0</v>
      </c>
      <c r="C999" s="68">
        <f t="shared" si="97"/>
        <v>902907.24633514904</v>
      </c>
      <c r="D999" s="67">
        <f t="array" ref="D999">SUM($B$7:$B994*$F$1009*EXP(-$F$1009*($A999-$A$7:$A994)))*$F$1010</f>
        <v>585669.56994754844</v>
      </c>
      <c r="E999" s="67">
        <f t="shared" si="95"/>
        <v>1.1165273321597089</v>
      </c>
      <c r="F999" s="70">
        <f t="shared" si="99"/>
        <v>6.7795539608737521E-2</v>
      </c>
      <c r="G999" s="67">
        <f>E999/'Lookup Tables'!$C$48</f>
        <v>2.2330546643194178</v>
      </c>
      <c r="H999" s="70">
        <f t="shared" si="96"/>
        <v>6.4995243771176037E-4</v>
      </c>
      <c r="I999" s="71">
        <f t="shared" si="100"/>
        <v>3.2155987166199618E-3</v>
      </c>
      <c r="L999" s="74"/>
      <c r="M999" s="74"/>
      <c r="N999" s="74"/>
      <c r="O999" s="74"/>
      <c r="P999" s="74"/>
      <c r="Q999" s="74"/>
      <c r="R999" s="74"/>
      <c r="S999" s="74"/>
      <c r="T999" s="74"/>
      <c r="U999" s="74"/>
      <c r="V999" s="74"/>
      <c r="W999" s="74"/>
      <c r="X999" s="74"/>
      <c r="Y999" s="74"/>
      <c r="Z999" s="74"/>
    </row>
    <row r="1000" spans="1:26" x14ac:dyDescent="0.3">
      <c r="A1000" s="66">
        <f t="shared" si="98"/>
        <v>2089.2999999999097</v>
      </c>
      <c r="B1000" s="67">
        <f>LOOKUP(A1000+0.01,Amounts!$A$4:$A$103,Amounts!$B$4:$B$103)*0.1*$A$2</f>
        <v>0</v>
      </c>
      <c r="C1000" s="68">
        <f t="shared" si="97"/>
        <v>902907.24633514904</v>
      </c>
      <c r="D1000" s="67">
        <f t="array" ref="D1000">SUM($B$7:$B995*$F$1009*EXP(-$F$1009*($A1000-$A$7:$A995)))*$F$1010</f>
        <v>581584.19844011532</v>
      </c>
      <c r="E1000" s="67">
        <f t="shared" si="95"/>
        <v>1.1087389320376331</v>
      </c>
      <c r="F1000" s="70">
        <f t="shared" si="99"/>
        <v>6.7322627953325095E-2</v>
      </c>
      <c r="G1000" s="67">
        <f>E1000/'Lookup Tables'!$C$48</f>
        <v>2.2174778640752661</v>
      </c>
      <c r="H1000" s="70">
        <f t="shared" si="96"/>
        <v>6.4541865739182309E-4</v>
      </c>
      <c r="I1000" s="71">
        <f t="shared" si="100"/>
        <v>3.1931681242683835E-3</v>
      </c>
      <c r="L1000" s="74"/>
      <c r="M1000" s="74"/>
      <c r="N1000" s="74"/>
      <c r="O1000" s="74"/>
      <c r="P1000" s="74"/>
      <c r="Q1000" s="74"/>
      <c r="R1000" s="74"/>
      <c r="S1000" s="74"/>
      <c r="T1000" s="74"/>
      <c r="U1000" s="74"/>
      <c r="V1000" s="74"/>
      <c r="W1000" s="74"/>
      <c r="X1000" s="74"/>
      <c r="Y1000" s="74"/>
      <c r="Z1000" s="74"/>
    </row>
    <row r="1001" spans="1:26" x14ac:dyDescent="0.3">
      <c r="A1001" s="66">
        <f t="shared" si="98"/>
        <v>2089.3999999999096</v>
      </c>
      <c r="B1001" s="67">
        <f>LOOKUP(A1001+0.01,Amounts!$A$4:$A$103,Amounts!$B$4:$B$103)*0.1*$A$2</f>
        <v>0</v>
      </c>
      <c r="C1001" s="68">
        <f t="shared" si="97"/>
        <v>902907.24633514904</v>
      </c>
      <c r="D1001" s="67">
        <f t="array" ref="D1001">SUM($B$7:$B996*$F$1009*EXP(-$F$1009*($A1001-$A$7:$A996)))*$F$1010</f>
        <v>577527.32467477117</v>
      </c>
      <c r="E1001" s="67">
        <f t="shared" si="95"/>
        <v>1.1010048603450675</v>
      </c>
      <c r="F1001" s="70">
        <f t="shared" si="99"/>
        <v>6.6853015120152501E-2</v>
      </c>
      <c r="G1001" s="67">
        <f>E1001/'Lookup Tables'!$C$48</f>
        <v>2.202009720690135</v>
      </c>
      <c r="H1001" s="70">
        <f t="shared" si="96"/>
        <v>6.4091650271523571E-4</v>
      </c>
      <c r="I1001" s="71">
        <f t="shared" si="100"/>
        <v>3.1708939977937944E-3</v>
      </c>
      <c r="L1001" s="74"/>
      <c r="M1001" s="74"/>
      <c r="N1001" s="74"/>
      <c r="O1001" s="74"/>
      <c r="P1001" s="74"/>
      <c r="Q1001" s="74"/>
      <c r="R1001" s="74"/>
      <c r="S1001" s="74"/>
      <c r="T1001" s="74"/>
      <c r="U1001" s="74"/>
      <c r="V1001" s="74"/>
      <c r="W1001" s="74"/>
      <c r="X1001" s="74"/>
      <c r="Y1001" s="74"/>
      <c r="Z1001" s="74"/>
    </row>
    <row r="1002" spans="1:26" x14ac:dyDescent="0.3">
      <c r="A1002" s="66">
        <f t="shared" si="98"/>
        <v>2089.4999999999095</v>
      </c>
      <c r="B1002" s="67">
        <f>LOOKUP(A1002+0.01,Amounts!$A$4:$A$103,Amounts!$B$4:$B$103)*0.1*$A$2</f>
        <v>0</v>
      </c>
      <c r="C1002" s="68">
        <f t="shared" si="97"/>
        <v>902907.24633514904</v>
      </c>
      <c r="D1002" s="67">
        <f t="array" ref="D1002">SUM($B$7:$B997*$F$1009*EXP(-$F$1009*($A1002-$A$7:$A997)))*$F$1010</f>
        <v>573498.74986388988</v>
      </c>
      <c r="E1002" s="67">
        <f t="shared" si="95"/>
        <v>1.0933247381109519</v>
      </c>
      <c r="F1002" s="70">
        <f t="shared" si="99"/>
        <v>6.6386678098097007E-2</v>
      </c>
      <c r="G1002" s="67">
        <f>E1002/'Lookup Tables'!$C$48</f>
        <v>2.1866494762219038</v>
      </c>
      <c r="H1002" s="70">
        <f t="shared" si="96"/>
        <v>6.364457530755182E-4</v>
      </c>
      <c r="I1002" s="71">
        <f t="shared" si="100"/>
        <v>3.1487752457595415E-3</v>
      </c>
      <c r="L1002" s="74"/>
      <c r="M1002" s="74"/>
      <c r="N1002" s="74"/>
      <c r="O1002" s="74"/>
      <c r="P1002" s="74"/>
      <c r="Q1002" s="74"/>
      <c r="R1002" s="74"/>
      <c r="S1002" s="74"/>
      <c r="T1002" s="74"/>
      <c r="U1002" s="74"/>
      <c r="V1002" s="74"/>
      <c r="W1002" s="74"/>
      <c r="X1002" s="74"/>
      <c r="Y1002" s="74"/>
      <c r="Z1002" s="74"/>
    </row>
    <row r="1003" spans="1:26" x14ac:dyDescent="0.3">
      <c r="A1003" s="66">
        <f t="shared" si="98"/>
        <v>2089.5999999999094</v>
      </c>
      <c r="B1003" s="67">
        <f>LOOKUP(A1003+0.01,Amounts!$A$4:$A$103,Amounts!$B$4:$B$103)*0.1*$A$2</f>
        <v>0</v>
      </c>
      <c r="C1003" s="68">
        <f t="shared" si="97"/>
        <v>902907.24633514904</v>
      </c>
      <c r="D1003" s="67">
        <f t="array" ref="D1003">SUM($B$7:$B998*$F$1009*EXP(-$F$1009*($A1003-$A$7:$A998)))*$F$1010</f>
        <v>569498.27660649957</v>
      </c>
      <c r="E1003" s="67">
        <f t="shared" si="95"/>
        <v>1.0856981890077599</v>
      </c>
      <c r="F1003" s="70">
        <f t="shared" si="99"/>
        <v>6.5923594036551181E-2</v>
      </c>
      <c r="G1003" s="67">
        <f>E1003/'Lookup Tables'!$C$48</f>
        <v>2.1713963780155199</v>
      </c>
      <c r="H1003" s="70">
        <f t="shared" si="96"/>
        <v>6.3200618940504368E-4</v>
      </c>
      <c r="I1003" s="71">
        <f t="shared" si="100"/>
        <v>3.1268107843423487E-3</v>
      </c>
      <c r="L1003" s="74"/>
      <c r="M1003" s="74"/>
      <c r="N1003" s="74"/>
      <c r="O1003" s="74"/>
      <c r="P1003" s="74"/>
      <c r="Q1003" s="74"/>
      <c r="R1003" s="74"/>
      <c r="S1003" s="74"/>
      <c r="T1003" s="74"/>
      <c r="U1003" s="74"/>
      <c r="V1003" s="74"/>
      <c r="W1003" s="74"/>
      <c r="X1003" s="74"/>
      <c r="Y1003" s="74"/>
      <c r="Z1003" s="74"/>
    </row>
    <row r="1004" spans="1:26" x14ac:dyDescent="0.3">
      <c r="A1004" s="66">
        <f t="shared" si="98"/>
        <v>2089.6999999999093</v>
      </c>
      <c r="B1004" s="67">
        <f>LOOKUP(A1004+0.01,Amounts!$A$4:$A$103,Amounts!$B$4:$B$103)*0.1*$A$2</f>
        <v>0</v>
      </c>
      <c r="C1004" s="68">
        <f t="shared" si="97"/>
        <v>902907.24633514904</v>
      </c>
      <c r="D1004" s="67">
        <f t="array" ref="D1004">SUM($B$7:$B999*$F$1009*EXP(-$F$1009*($A1004-$A$7:$A999)))*$F$1010</f>
        <v>565525.7088786104</v>
      </c>
      <c r="E1004" s="67">
        <f t="shared" si="95"/>
        <v>1.07812483933306</v>
      </c>
      <c r="F1004" s="70">
        <f t="shared" si="99"/>
        <v>6.5463740244303403E-2</v>
      </c>
      <c r="G1004" s="67">
        <f>E1004/'Lookup Tables'!$C$48</f>
        <v>2.1562496786661201</v>
      </c>
      <c r="H1004" s="70">
        <f t="shared" si="96"/>
        <v>6.2759759416430416E-4</v>
      </c>
      <c r="I1004" s="71">
        <f t="shared" si="100"/>
        <v>3.1049995372792127E-3</v>
      </c>
      <c r="L1004" s="74"/>
      <c r="M1004" s="74"/>
      <c r="N1004" s="74"/>
      <c r="O1004" s="74"/>
      <c r="P1004" s="74"/>
      <c r="Q1004" s="74"/>
      <c r="R1004" s="74"/>
      <c r="S1004" s="74"/>
      <c r="T1004" s="74"/>
      <c r="U1004" s="74"/>
      <c r="V1004" s="74"/>
      <c r="W1004" s="74"/>
      <c r="X1004" s="74"/>
      <c r="Y1004" s="74"/>
      <c r="Z1004" s="74"/>
    </row>
    <row r="1005" spans="1:26" x14ac:dyDescent="0.3">
      <c r="A1005" s="66">
        <f t="shared" si="98"/>
        <v>2089.7999999999092</v>
      </c>
      <c r="B1005" s="67">
        <f>LOOKUP(A1005+0.01,Amounts!$A$4:$A$103,Amounts!$B$4:$B$103)*0.1*$A$2</f>
        <v>0</v>
      </c>
      <c r="C1005" s="68">
        <f t="shared" si="97"/>
        <v>902907.24633514904</v>
      </c>
      <c r="D1005" s="67">
        <f t="array" ref="D1005">SUM($B$7:$B1000*$F$1009*EXP(-$F$1009*($A1005-$A$7:$A1000)))*$F$1010</f>
        <v>561580.8520236084</v>
      </c>
      <c r="E1005" s="67">
        <f t="shared" si="95"/>
        <v>1.0706043179912021</v>
      </c>
      <c r="F1005" s="70">
        <f t="shared" si="99"/>
        <v>6.5007094188425804E-2</v>
      </c>
      <c r="G1005" s="67">
        <f>E1005/'Lookup Tables'!$C$48</f>
        <v>2.1412086359824043</v>
      </c>
      <c r="H1005" s="70">
        <f t="shared" si="96"/>
        <v>6.2321975133125074E-4</v>
      </c>
      <c r="I1005" s="71">
        <f t="shared" si="100"/>
        <v>3.0833404358146625E-3</v>
      </c>
      <c r="L1005" s="74"/>
      <c r="M1005" s="74"/>
      <c r="N1005" s="74"/>
      <c r="O1005" s="74"/>
      <c r="P1005" s="74"/>
      <c r="Q1005" s="74"/>
      <c r="R1005" s="74"/>
      <c r="S1005" s="74"/>
      <c r="T1005" s="74"/>
      <c r="U1005" s="74"/>
      <c r="V1005" s="74"/>
      <c r="W1005" s="74"/>
      <c r="X1005" s="74"/>
      <c r="Y1005" s="74"/>
      <c r="Z1005" s="74"/>
    </row>
    <row r="1006" spans="1:26" x14ac:dyDescent="0.3">
      <c r="A1006" s="66">
        <f t="shared" si="98"/>
        <v>2089.8999999999091</v>
      </c>
      <c r="B1006" s="67">
        <f>LOOKUP(A1006+0.01,Amounts!$A$4:$A$103,Amounts!$B$4:$B$103)*0.1*$A$2</f>
        <v>0</v>
      </c>
      <c r="C1006" s="68">
        <f t="shared" si="97"/>
        <v>902907.24633514904</v>
      </c>
      <c r="D1006" s="67">
        <f t="array" ref="D1006">SUM($B$7:$B1001*$F$1009*EXP(-$F$1009*($A1006-$A$7:$A1001)))*$F$1010</f>
        <v>557663.5127427188</v>
      </c>
      <c r="E1006" s="67">
        <f t="shared" si="95"/>
        <v>1.0631362564751363</v>
      </c>
      <c r="F1006" s="70">
        <f t="shared" si="99"/>
        <v>6.4553633493170282E-2</v>
      </c>
      <c r="G1006" s="67">
        <f>E1006/'Lookup Tables'!$C$48</f>
        <v>2.1262725129502726</v>
      </c>
      <c r="H1006" s="70">
        <f t="shared" si="96"/>
        <v>6.1887244639070827E-4</v>
      </c>
      <c r="I1006" s="71">
        <f t="shared" si="100"/>
        <v>3.0618324186483924E-3</v>
      </c>
      <c r="L1006" s="74"/>
      <c r="M1006" s="74"/>
      <c r="N1006" s="74"/>
      <c r="O1006" s="74"/>
      <c r="P1006" s="74"/>
      <c r="Q1006" s="74"/>
      <c r="R1006" s="74"/>
      <c r="S1006" s="74"/>
      <c r="T1006" s="74"/>
      <c r="U1006" s="74"/>
      <c r="V1006" s="74"/>
      <c r="W1006" s="74"/>
      <c r="X1006" s="74"/>
      <c r="Y1006" s="74"/>
      <c r="Z1006" s="74"/>
    </row>
    <row r="1007" spans="1:26" x14ac:dyDescent="0.3">
      <c r="A1007" s="66">
        <f>A1006+0.1</f>
        <v>2089.9999999999091</v>
      </c>
      <c r="B1007" s="67">
        <f>LOOKUP(A1007+0.01,Amounts!$A$4:$A$103,Amounts!$B$4:$B$103)*0.1*$A$2</f>
        <v>0</v>
      </c>
      <c r="C1007" s="68">
        <f>C1006+B1007</f>
        <v>902907.24633514904</v>
      </c>
      <c r="D1007" s="67">
        <f t="array" ref="D1007">SUM($B$7:$B1002*$F$1009*EXP(-$F$1009*($A1007-$A$7:$A1002)))*$F$1010</f>
        <v>553773.49908553273</v>
      </c>
      <c r="E1007" s="67">
        <f t="shared" si="95"/>
        <v>1.0557202888483537</v>
      </c>
      <c r="F1007" s="70">
        <f t="shared" si="99"/>
        <v>6.4103335938872033E-2</v>
      </c>
      <c r="G1007" s="67">
        <f>E1007/'Lookup Tables'!$C$48</f>
        <v>2.1114405776967073</v>
      </c>
      <c r="H1007" s="70">
        <f t="shared" si="96"/>
        <v>6.145554663238654E-4</v>
      </c>
      <c r="I1007" s="71">
        <f>G1007*60*24/1000000</f>
        <v>3.0404744318832588E-3</v>
      </c>
      <c r="L1007" s="74"/>
      <c r="M1007" s="74"/>
      <c r="N1007" s="74"/>
      <c r="O1007" s="74"/>
      <c r="P1007" s="74"/>
      <c r="Q1007" s="74"/>
      <c r="R1007" s="74"/>
      <c r="S1007" s="74"/>
      <c r="T1007" s="74"/>
      <c r="U1007" s="74"/>
      <c r="V1007" s="74"/>
      <c r="W1007" s="74"/>
      <c r="X1007" s="74"/>
      <c r="Y1007" s="74"/>
      <c r="Z1007" s="74"/>
    </row>
    <row r="1008" spans="1:26" x14ac:dyDescent="0.3">
      <c r="A1008" s="65" t="s">
        <v>11</v>
      </c>
      <c r="E1008" s="78"/>
      <c r="F1008" s="79">
        <f>'Lookup Tables'!C48</f>
        <v>0.5</v>
      </c>
    </row>
    <row r="1009" spans="1:10" x14ac:dyDescent="0.3">
      <c r="A1009" s="65" t="s">
        <v>36</v>
      </c>
      <c r="E1009" s="78"/>
      <c r="F1009" s="86">
        <f>'Lookup Tables'!F37</f>
        <v>7.0000000000000007E-2</v>
      </c>
    </row>
    <row r="1010" spans="1:10" x14ac:dyDescent="0.3">
      <c r="A1010" s="65" t="s">
        <v>35</v>
      </c>
      <c r="E1010" s="78"/>
      <c r="F1010" s="81">
        <f>'Lookup Tables'!G37/F1011</f>
        <v>2979.6230018886522</v>
      </c>
      <c r="G1010" s="65" t="s">
        <v>12</v>
      </c>
    </row>
    <row r="1011" spans="1:10" x14ac:dyDescent="0.3">
      <c r="F1011" s="82">
        <v>3.1213999999999999E-2</v>
      </c>
      <c r="G1011" s="35" t="s">
        <v>13</v>
      </c>
    </row>
    <row r="1014" spans="1:10" x14ac:dyDescent="0.3">
      <c r="E1014" s="83"/>
      <c r="H1014" s="84"/>
      <c r="I1014" s="84"/>
      <c r="J1014" s="84"/>
    </row>
    <row r="1015" spans="1:10" x14ac:dyDescent="0.3">
      <c r="E1015" s="83"/>
      <c r="H1015" s="84"/>
      <c r="I1015" s="84"/>
      <c r="J1015" s="84"/>
    </row>
  </sheetData>
  <sheetProtection password="8BBD" sheet="1" objects="1" scenarios="1" selectLockedCells="1" selectUnlockedCells="1"/>
  <mergeCells count="1">
    <mergeCell ref="D4:F4"/>
  </mergeCells>
  <phoneticPr fontId="4" type="noConversion"/>
  <pageMargins left="0.75" right="0.75" top="1" bottom="1" header="0.5" footer="0.5"/>
  <pageSetup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15"/>
  <sheetViews>
    <sheetView showGridLines="0" zoomScale="75" zoomScaleNormal="75" workbookViewId="0">
      <selection activeCell="K34" sqref="K34:M34"/>
    </sheetView>
  </sheetViews>
  <sheetFormatPr defaultColWidth="9" defaultRowHeight="13.5" x14ac:dyDescent="0.3"/>
  <cols>
    <col min="1" max="1" width="8.08203125" style="35" customWidth="1"/>
    <col min="2" max="2" width="14" style="35" customWidth="1"/>
    <col min="3" max="3" width="13.83203125" style="35" customWidth="1"/>
    <col min="4" max="4" width="13.75" style="35" customWidth="1"/>
    <col min="5" max="5" width="9.75" style="35" customWidth="1"/>
    <col min="6" max="6" width="10.33203125" style="35" customWidth="1"/>
    <col min="7" max="7" width="14.08203125" style="35" customWidth="1"/>
    <col min="8" max="104" width="13.58203125" style="35" customWidth="1"/>
    <col min="105" max="16384" width="9" style="35"/>
  </cols>
  <sheetData>
    <row r="1" spans="1:26" ht="40.5" customHeight="1" x14ac:dyDescent="0.3">
      <c r="A1" s="34">
        <v>0.5</v>
      </c>
      <c r="B1" s="35" t="s">
        <v>16</v>
      </c>
      <c r="F1" s="34">
        <f>A1</f>
        <v>0.5</v>
      </c>
      <c r="G1" s="35" t="s">
        <v>37</v>
      </c>
    </row>
    <row r="2" spans="1:26" ht="14" thickBot="1" x14ac:dyDescent="0.35">
      <c r="A2" s="36">
        <f>Amounts!F2</f>
        <v>0.20229999999999998</v>
      </c>
      <c r="B2" s="37"/>
      <c r="C2" s="37"/>
    </row>
    <row r="3" spans="1:26" ht="14" thickTop="1" x14ac:dyDescent="0.3">
      <c r="A3" s="38"/>
      <c r="B3" s="39"/>
      <c r="C3" s="39"/>
      <c r="D3" s="40"/>
      <c r="E3" s="41"/>
      <c r="F3" s="42"/>
      <c r="G3" s="43"/>
      <c r="H3" s="41"/>
      <c r="I3" s="44"/>
      <c r="J3" s="35">
        <f>A7</f>
        <v>1990</v>
      </c>
      <c r="K3" s="73">
        <v>0</v>
      </c>
    </row>
    <row r="4" spans="1:26" x14ac:dyDescent="0.3">
      <c r="A4" s="45"/>
      <c r="B4" s="46"/>
      <c r="C4" s="47" t="s">
        <v>1</v>
      </c>
      <c r="D4" s="452" t="s">
        <v>33</v>
      </c>
      <c r="E4" s="453"/>
      <c r="F4" s="454"/>
      <c r="G4" s="48" t="s">
        <v>6</v>
      </c>
      <c r="H4" s="49"/>
      <c r="I4" s="50"/>
      <c r="J4" s="35">
        <f t="shared" ref="J4:J67" si="0">J3+1</f>
        <v>1991</v>
      </c>
      <c r="K4" s="75">
        <f>$G21</f>
        <v>37.641512449858965</v>
      </c>
    </row>
    <row r="5" spans="1:26" x14ac:dyDescent="0.3">
      <c r="A5" s="45"/>
      <c r="B5" s="51" t="s">
        <v>2</v>
      </c>
      <c r="C5" s="52" t="s">
        <v>3</v>
      </c>
      <c r="D5" s="53"/>
      <c r="E5" s="54"/>
      <c r="F5" s="55"/>
      <c r="G5" s="56" t="s">
        <v>34</v>
      </c>
      <c r="H5" s="49"/>
      <c r="I5" s="57"/>
      <c r="J5" s="35">
        <f t="shared" si="0"/>
        <v>1992</v>
      </c>
      <c r="K5" s="75">
        <f>$G31</f>
        <v>74.997186697984077</v>
      </c>
    </row>
    <row r="6" spans="1:26" x14ac:dyDescent="0.3">
      <c r="A6" s="58" t="s">
        <v>0</v>
      </c>
      <c r="B6" s="59" t="s">
        <v>4</v>
      </c>
      <c r="C6" s="59" t="s">
        <v>5</v>
      </c>
      <c r="D6" s="60" t="s">
        <v>14</v>
      </c>
      <c r="E6" s="60" t="s">
        <v>7</v>
      </c>
      <c r="F6" s="61" t="s">
        <v>8</v>
      </c>
      <c r="G6" s="85" t="s">
        <v>7</v>
      </c>
      <c r="H6" s="63" t="s">
        <v>9</v>
      </c>
      <c r="I6" s="64" t="s">
        <v>10</v>
      </c>
      <c r="J6" s="35">
        <f t="shared" si="0"/>
        <v>1993</v>
      </c>
      <c r="K6" s="75">
        <f>$G41</f>
        <v>112.08976925371174</v>
      </c>
      <c r="L6" s="65"/>
    </row>
    <row r="7" spans="1:26" x14ac:dyDescent="0.3">
      <c r="A7" s="66">
        <f>Amounts!A4</f>
        <v>1990</v>
      </c>
      <c r="B7" s="67">
        <f>LOOKUP(A7+0.01,Amounts!$A$4:$A$103,Amounts!$B$4:$B$103)*0.1*$A$2</f>
        <v>6215.9937087500002</v>
      </c>
      <c r="C7" s="68">
        <f>B7</f>
        <v>6215.9937087500002</v>
      </c>
      <c r="D7" s="69">
        <v>0</v>
      </c>
      <c r="E7" s="67">
        <f t="shared" ref="E7:E70" si="1">D7/(365*24*60)*1.00201</f>
        <v>0</v>
      </c>
      <c r="F7" s="70">
        <f>E7*60*1012/1000000</f>
        <v>0</v>
      </c>
      <c r="G7" s="67">
        <f>E7/'Lookup Tables'!$C$48</f>
        <v>0</v>
      </c>
      <c r="H7" s="70">
        <f t="shared" ref="H7:H70" si="2">G7*60*24*365/(C7*2000)</f>
        <v>0</v>
      </c>
      <c r="I7" s="71">
        <f>G7*60*24/1000000</f>
        <v>0</v>
      </c>
      <c r="J7" s="35">
        <f t="shared" si="0"/>
        <v>1994</v>
      </c>
      <c r="K7" s="75">
        <f>$G51</f>
        <v>148.94137855810609</v>
      </c>
      <c r="L7" s="65"/>
    </row>
    <row r="8" spans="1:26" x14ac:dyDescent="0.3">
      <c r="A8" s="66">
        <f>A7+0.1</f>
        <v>1990.1</v>
      </c>
      <c r="B8" s="67">
        <f>LOOKUP(A8+0.01,Amounts!$A$4:$A$103,Amounts!$B$4:$B$103)*0.1*$A$2</f>
        <v>6215.9937087500002</v>
      </c>
      <c r="C8" s="68">
        <f>C7+B8</f>
        <v>12431.9874175</v>
      </c>
      <c r="D8" s="69">
        <v>0</v>
      </c>
      <c r="E8" s="67">
        <f t="shared" si="1"/>
        <v>0</v>
      </c>
      <c r="F8" s="70">
        <f>E8*60*1012/1000000</f>
        <v>0</v>
      </c>
      <c r="G8" s="67">
        <f>E8/'Lookup Tables'!$C$48</f>
        <v>0</v>
      </c>
      <c r="H8" s="70">
        <f t="shared" si="2"/>
        <v>0</v>
      </c>
      <c r="I8" s="71">
        <f>G8*60*24/1000000</f>
        <v>0</v>
      </c>
      <c r="J8" s="35">
        <f t="shared" si="0"/>
        <v>1995</v>
      </c>
      <c r="K8" s="75">
        <f>$G61</f>
        <v>185.57487269410933</v>
      </c>
      <c r="L8" s="74"/>
      <c r="M8" s="74"/>
      <c r="N8" s="74"/>
      <c r="O8" s="74"/>
      <c r="P8" s="74"/>
      <c r="Q8" s="74"/>
      <c r="R8" s="74"/>
      <c r="S8" s="74"/>
      <c r="T8" s="74"/>
      <c r="U8" s="74"/>
      <c r="V8" s="74"/>
      <c r="W8" s="74"/>
      <c r="X8" s="74"/>
      <c r="Y8" s="74"/>
      <c r="Z8" s="74"/>
    </row>
    <row r="9" spans="1:26" x14ac:dyDescent="0.3">
      <c r="A9" s="66">
        <f t="shared" ref="A9:A15" si="3">A8+0.1</f>
        <v>1990.1999999999998</v>
      </c>
      <c r="B9" s="67">
        <f>LOOKUP(A9+0.01,Amounts!$A$4:$A$103,Amounts!$B$4:$B$103)*0.1*$A$2</f>
        <v>6215.9937087500002</v>
      </c>
      <c r="C9" s="68">
        <f t="shared" ref="C9:C72" si="4">C8+B9</f>
        <v>18647.981126250001</v>
      </c>
      <c r="D9" s="69">
        <v>0</v>
      </c>
      <c r="E9" s="67">
        <f t="shared" si="1"/>
        <v>0</v>
      </c>
      <c r="F9" s="70">
        <f t="shared" ref="F9:F16" si="5">E9*60*1012/1000000</f>
        <v>0</v>
      </c>
      <c r="G9" s="67">
        <f>E9/'Lookup Tables'!$C$48</f>
        <v>0</v>
      </c>
      <c r="H9" s="70">
        <f t="shared" si="2"/>
        <v>0</v>
      </c>
      <c r="I9" s="71">
        <f t="shared" ref="I9:I15" si="6">G9*60*24/1000000</f>
        <v>0</v>
      </c>
      <c r="J9" s="35">
        <f t="shared" si="0"/>
        <v>1996</v>
      </c>
      <c r="K9" s="75">
        <f>$G71</f>
        <v>222.01112822750207</v>
      </c>
      <c r="L9" s="74"/>
      <c r="M9" s="74"/>
      <c r="N9" s="74"/>
      <c r="O9" s="74"/>
      <c r="P9" s="74"/>
      <c r="Q9" s="74"/>
      <c r="R9" s="74"/>
      <c r="S9" s="74"/>
      <c r="T9" s="74"/>
      <c r="U9" s="74"/>
      <c r="V9" s="74"/>
      <c r="W9" s="74"/>
      <c r="X9" s="74"/>
      <c r="Y9" s="74"/>
      <c r="Z9" s="74"/>
    </row>
    <row r="10" spans="1:26" x14ac:dyDescent="0.3">
      <c r="A10" s="66">
        <f t="shared" si="3"/>
        <v>1990.2999999999997</v>
      </c>
      <c r="B10" s="67">
        <f>LOOKUP(A10+0.01,Amounts!$A$4:$A$103,Amounts!$B$4:$B$103)*0.1*$A$2</f>
        <v>6215.9937087500002</v>
      </c>
      <c r="C10" s="68">
        <f t="shared" si="4"/>
        <v>24863.974835000001</v>
      </c>
      <c r="D10" s="69">
        <v>0</v>
      </c>
      <c r="E10" s="67">
        <f t="shared" si="1"/>
        <v>0</v>
      </c>
      <c r="F10" s="70">
        <f t="shared" si="5"/>
        <v>0</v>
      </c>
      <c r="G10" s="67">
        <f>E10/'Lookup Tables'!$C$48</f>
        <v>0</v>
      </c>
      <c r="H10" s="70">
        <f t="shared" si="2"/>
        <v>0</v>
      </c>
      <c r="I10" s="71">
        <f t="shared" si="6"/>
        <v>0</v>
      </c>
      <c r="J10" s="35">
        <f t="shared" si="0"/>
        <v>1997</v>
      </c>
      <c r="K10" s="75">
        <f>$G81</f>
        <v>258.27314602430755</v>
      </c>
      <c r="L10" s="74"/>
      <c r="M10" s="74"/>
      <c r="N10" s="74"/>
      <c r="O10" s="74"/>
      <c r="P10" s="74"/>
      <c r="Q10" s="74"/>
      <c r="R10" s="74"/>
      <c r="S10" s="74"/>
      <c r="T10" s="74"/>
      <c r="U10" s="74"/>
      <c r="V10" s="74"/>
      <c r="W10" s="74"/>
      <c r="X10" s="74"/>
      <c r="Y10" s="74"/>
      <c r="Z10" s="74"/>
    </row>
    <row r="11" spans="1:26" x14ac:dyDescent="0.3">
      <c r="A11" s="66">
        <f t="shared" si="3"/>
        <v>1990.3999999999996</v>
      </c>
      <c r="B11" s="67">
        <f>LOOKUP(A11+0.01,Amounts!$A$4:$A$103,Amounts!$B$4:$B$103)*0.1*$A$2</f>
        <v>6215.9937087500002</v>
      </c>
      <c r="C11" s="68">
        <f t="shared" si="4"/>
        <v>31079.968543750001</v>
      </c>
      <c r="D11" s="69">
        <v>0</v>
      </c>
      <c r="E11" s="67">
        <f t="shared" si="1"/>
        <v>0</v>
      </c>
      <c r="F11" s="70">
        <f t="shared" si="5"/>
        <v>0</v>
      </c>
      <c r="G11" s="67">
        <f>E11/'Lookup Tables'!$C$48</f>
        <v>0</v>
      </c>
      <c r="H11" s="70">
        <f t="shared" si="2"/>
        <v>0</v>
      </c>
      <c r="I11" s="71">
        <f t="shared" si="6"/>
        <v>0</v>
      </c>
      <c r="J11" s="35">
        <f t="shared" si="0"/>
        <v>1998</v>
      </c>
      <c r="K11" s="75">
        <f>$G91</f>
        <v>294.38194149091339</v>
      </c>
      <c r="L11" s="74"/>
      <c r="M11" s="74"/>
      <c r="N11" s="74"/>
      <c r="O11" s="74"/>
      <c r="P11" s="74"/>
      <c r="Q11" s="74"/>
      <c r="R11" s="74"/>
      <c r="S11" s="74"/>
      <c r="T11" s="74"/>
      <c r="U11" s="74"/>
      <c r="V11" s="74"/>
      <c r="W11" s="74"/>
      <c r="X11" s="74"/>
      <c r="Y11" s="74"/>
      <c r="Z11" s="74"/>
    </row>
    <row r="12" spans="1:26" x14ac:dyDescent="0.3">
      <c r="A12" s="66">
        <f t="shared" si="3"/>
        <v>1990.4999999999995</v>
      </c>
      <c r="B12" s="67">
        <f>LOOKUP(A12+0.01,Amounts!$A$4:$A$103,Amounts!$B$4:$B$103)*0.1*$A$2</f>
        <v>6215.9937087500002</v>
      </c>
      <c r="C12" s="68">
        <f t="shared" si="4"/>
        <v>37295.962252500001</v>
      </c>
      <c r="D12" s="67">
        <f t="array" ref="D12">SUM($B$7:$B7*$F$1009*EXP(-$F$1009*($A12-$A$7:$A7)))*$F$1010</f>
        <v>999720.12725995621</v>
      </c>
      <c r="E12" s="67">
        <f t="shared" si="1"/>
        <v>1.9058781672674063</v>
      </c>
      <c r="F12" s="70">
        <f t="shared" si="5"/>
        <v>0.11572492231647691</v>
      </c>
      <c r="G12" s="67">
        <f>E12/'Lookup Tables'!$C$48</f>
        <v>3.8117563345348127</v>
      </c>
      <c r="H12" s="70">
        <f t="shared" si="2"/>
        <v>2.6858927996920138E-2</v>
      </c>
      <c r="I12" s="71">
        <f t="shared" si="6"/>
        <v>5.4889291217301303E-3</v>
      </c>
      <c r="J12" s="35">
        <f t="shared" si="0"/>
        <v>1999</v>
      </c>
      <c r="K12" s="75">
        <f>$G101</f>
        <v>330.35794976401479</v>
      </c>
      <c r="L12" s="74"/>
      <c r="M12" s="74"/>
      <c r="N12" s="74"/>
      <c r="O12" s="74"/>
      <c r="P12" s="74"/>
      <c r="Q12" s="74"/>
      <c r="R12" s="74"/>
      <c r="S12" s="74"/>
      <c r="T12" s="74"/>
      <c r="U12" s="74"/>
      <c r="V12" s="74"/>
      <c r="W12" s="74"/>
      <c r="X12" s="74"/>
      <c r="Y12" s="74"/>
      <c r="Z12" s="74"/>
    </row>
    <row r="13" spans="1:26" x14ac:dyDescent="0.3">
      <c r="A13" s="66">
        <f t="shared" si="3"/>
        <v>1990.5999999999995</v>
      </c>
      <c r="B13" s="67">
        <f>LOOKUP(A13+0.01,Amounts!$A$4:$A$103,Amounts!$B$4:$B$103)*0.1*$A$2</f>
        <v>6215.9937087500002</v>
      </c>
      <c r="C13" s="68">
        <f t="shared" si="4"/>
        <v>43511.955961250002</v>
      </c>
      <c r="D13" s="67">
        <f t="array" ref="D13">SUM($B$7:$B8*$F$1009*EXP(-$F$1009*($A13-$A$7:$A8)))*$F$1010</f>
        <v>1996644.9534114022</v>
      </c>
      <c r="E13" s="67">
        <f t="shared" si="1"/>
        <v>3.80642733974079</v>
      </c>
      <c r="F13" s="70">
        <f t="shared" si="5"/>
        <v>0.23112626806906075</v>
      </c>
      <c r="G13" s="67">
        <f>E13/'Lookup Tables'!$C$48</f>
        <v>7.6128546794815799</v>
      </c>
      <c r="H13" s="70">
        <f t="shared" si="2"/>
        <v>4.5979505300783652E-2</v>
      </c>
      <c r="I13" s="71">
        <f t="shared" si="6"/>
        <v>1.0962510738453475E-2</v>
      </c>
      <c r="J13" s="35">
        <f t="shared" si="0"/>
        <v>2000</v>
      </c>
      <c r="K13" s="75">
        <f>$G111</f>
        <v>366.22239210096694</v>
      </c>
      <c r="L13" s="74"/>
      <c r="M13" s="74"/>
      <c r="N13" s="74"/>
      <c r="O13" s="74"/>
      <c r="P13" s="74"/>
      <c r="Q13" s="74"/>
      <c r="R13" s="74"/>
      <c r="S13" s="74"/>
      <c r="T13" s="74"/>
      <c r="U13" s="74"/>
      <c r="V13" s="74"/>
      <c r="W13" s="74"/>
      <c r="X13" s="74"/>
      <c r="Y13" s="74"/>
      <c r="Z13" s="74"/>
    </row>
    <row r="14" spans="1:26" x14ac:dyDescent="0.3">
      <c r="A14" s="66">
        <f t="shared" si="3"/>
        <v>1990.6999999999994</v>
      </c>
      <c r="B14" s="67">
        <f>LOOKUP(A14+0.01,Amounts!$A$4:$A$103,Amounts!$B$4:$B$103)*0.1*$A$2</f>
        <v>6215.9937087500002</v>
      </c>
      <c r="C14" s="68">
        <f t="shared" si="4"/>
        <v>49727.949670000002</v>
      </c>
      <c r="D14" s="67">
        <f t="array" ref="D14">SUM($B$7:$B9*$F$1009*EXP(-$F$1009*($A14-$A$7:$A9)))*$F$1010</f>
        <v>2990782.2943500811</v>
      </c>
      <c r="E14" s="67">
        <f t="shared" si="1"/>
        <v>5.7016624177353981</v>
      </c>
      <c r="F14" s="70">
        <f t="shared" si="5"/>
        <v>0.34620494200489338</v>
      </c>
      <c r="G14" s="67">
        <f>E14/'Lookup Tables'!$C$48</f>
        <v>11.403324835470796</v>
      </c>
      <c r="H14" s="70">
        <f t="shared" si="2"/>
        <v>6.026377091049942E-2</v>
      </c>
      <c r="I14" s="71">
        <f t="shared" si="6"/>
        <v>1.6420787763077947E-2</v>
      </c>
      <c r="J14" s="35">
        <f t="shared" si="0"/>
        <v>2001</v>
      </c>
      <c r="K14" s="75">
        <f>$G121</f>
        <v>401.99590380555219</v>
      </c>
      <c r="L14" s="74"/>
      <c r="M14" s="74"/>
      <c r="N14" s="74"/>
      <c r="O14" s="74"/>
      <c r="P14" s="74"/>
      <c r="Q14" s="74"/>
      <c r="R14" s="74"/>
      <c r="S14" s="74"/>
      <c r="T14" s="74"/>
      <c r="U14" s="74"/>
      <c r="V14" s="74"/>
      <c r="W14" s="74"/>
      <c r="X14" s="74"/>
      <c r="Y14" s="74"/>
      <c r="Z14" s="74"/>
    </row>
    <row r="15" spans="1:26" x14ac:dyDescent="0.3">
      <c r="A15" s="66">
        <f t="shared" si="3"/>
        <v>1990.7999999999993</v>
      </c>
      <c r="B15" s="67">
        <f>LOOKUP(A15+0.01,Amounts!$A$4:$A$103,Amounts!$B$4:$B$103)*0.1*$A$2</f>
        <v>6215.9937087500002</v>
      </c>
      <c r="C15" s="68">
        <f t="shared" si="4"/>
        <v>55943.943378750002</v>
      </c>
      <c r="D15" s="67">
        <f t="array" ref="D15">SUM($B$7:$B10*$F$1009*EXP(-$F$1009*($A15-$A$7:$A10)))*$F$1010</f>
        <v>3982139.944117839</v>
      </c>
      <c r="E15" s="67">
        <f t="shared" si="1"/>
        <v>7.5915982599039502</v>
      </c>
      <c r="F15" s="70">
        <f t="shared" si="5"/>
        <v>0.46096184634136789</v>
      </c>
      <c r="G15" s="67">
        <f>E15/'Lookup Tables'!$C$48</f>
        <v>15.1831965198079</v>
      </c>
      <c r="H15" s="70">
        <f t="shared" si="2"/>
        <v>7.1323968322925743E-2</v>
      </c>
      <c r="I15" s="71">
        <f t="shared" si="6"/>
        <v>2.1863802988523376E-2</v>
      </c>
      <c r="J15" s="35">
        <f t="shared" si="0"/>
        <v>2002</v>
      </c>
      <c r="K15" s="75">
        <f>$G131</f>
        <v>437.6999007752724</v>
      </c>
      <c r="L15" s="74"/>
      <c r="M15" s="74"/>
      <c r="N15" s="74"/>
      <c r="O15" s="74"/>
      <c r="P15" s="74"/>
      <c r="Q15" s="74"/>
      <c r="R15" s="74"/>
      <c r="S15" s="74"/>
      <c r="T15" s="74"/>
      <c r="U15" s="74"/>
      <c r="V15" s="74"/>
      <c r="W15" s="74"/>
      <c r="X15" s="74"/>
      <c r="Y15" s="74"/>
      <c r="Z15" s="74"/>
    </row>
    <row r="16" spans="1:26" x14ac:dyDescent="0.3">
      <c r="A16" s="66">
        <f>A15+0.1</f>
        <v>1990.8999999999992</v>
      </c>
      <c r="B16" s="67">
        <f>LOOKUP(A16+0.01,Amounts!$A$4:$A$103,Amounts!$B$4:$B$103)*0.1*$A$2</f>
        <v>6215.9937087500002</v>
      </c>
      <c r="C16" s="68">
        <f t="shared" si="4"/>
        <v>62159.937087500002</v>
      </c>
      <c r="D16" s="67">
        <f t="array" ref="D16">SUM($B$7:$B11*$F$1009*EXP(-$F$1009*($A16-$A$7:$A11)))*$F$1010</f>
        <v>4970725.6749637257</v>
      </c>
      <c r="E16" s="67">
        <f t="shared" si="1"/>
        <v>9.476249683353128</v>
      </c>
      <c r="F16" s="70">
        <f t="shared" si="5"/>
        <v>0.57539788077320198</v>
      </c>
      <c r="G16" s="67">
        <f>E16/'Lookup Tables'!$C$48</f>
        <v>18.952499366706256</v>
      </c>
      <c r="H16" s="70">
        <f t="shared" si="2"/>
        <v>8.0127443284880612E-2</v>
      </c>
      <c r="I16" s="71">
        <f>G16*60*24/1000000</f>
        <v>2.7291599088057009E-2</v>
      </c>
      <c r="J16" s="35">
        <f t="shared" si="0"/>
        <v>2003</v>
      </c>
      <c r="K16" s="75">
        <f>$G141</f>
        <v>473.35385721156445</v>
      </c>
      <c r="L16" s="74"/>
      <c r="M16" s="74"/>
      <c r="N16" s="74"/>
      <c r="O16" s="74"/>
      <c r="P16" s="74"/>
      <c r="Q16" s="74"/>
      <c r="R16" s="74"/>
      <c r="S16" s="74"/>
      <c r="T16" s="74"/>
      <c r="U16" s="74"/>
      <c r="V16" s="74"/>
      <c r="W16" s="74"/>
      <c r="X16" s="74"/>
      <c r="Y16" s="74"/>
      <c r="Z16" s="74"/>
    </row>
    <row r="17" spans="1:26" x14ac:dyDescent="0.3">
      <c r="A17" s="66">
        <f>A16+0.1</f>
        <v>1990.9999999999991</v>
      </c>
      <c r="B17" s="67">
        <f>LOOKUP(A17+0.01,Amounts!$A$4:$A$103,Amounts!$B$4:$B$103)*0.1*$A$2</f>
        <v>6340.4250805700003</v>
      </c>
      <c r="C17" s="68">
        <f t="shared" si="4"/>
        <v>68500.362168070002</v>
      </c>
      <c r="D17" s="67">
        <f t="array" ref="D17">SUM($B$7:$B12*$F$1009*EXP(-$F$1009*($A17-$A$7:$A12)))*$F$1010</f>
        <v>5956547.237404936</v>
      </c>
      <c r="E17" s="67">
        <f t="shared" si="1"/>
        <v>11.355631463759742</v>
      </c>
      <c r="F17" s="70">
        <f>E17*60*1012/1000000</f>
        <v>0.6895139424794916</v>
      </c>
      <c r="G17" s="67">
        <f>E17/'Lookup Tables'!$C$48</f>
        <v>22.711262927519485</v>
      </c>
      <c r="H17" s="70">
        <f t="shared" si="2"/>
        <v>8.7131216659964178E-2</v>
      </c>
      <c r="I17" s="71">
        <f>G17*60*24/1000000</f>
        <v>3.2704218615628056E-2</v>
      </c>
      <c r="J17" s="35">
        <f t="shared" si="0"/>
        <v>2004</v>
      </c>
      <c r="K17" s="75">
        <f>$G151</f>
        <v>508.97805996951638</v>
      </c>
      <c r="L17" s="74"/>
      <c r="M17" s="74"/>
      <c r="N17" s="74"/>
      <c r="O17" s="74"/>
      <c r="P17" s="74"/>
      <c r="Q17" s="74"/>
      <c r="R17" s="74"/>
      <c r="S17" s="74"/>
      <c r="T17" s="74"/>
      <c r="U17" s="74"/>
      <c r="V17" s="74"/>
      <c r="W17" s="74"/>
      <c r="X17" s="74"/>
      <c r="Y17" s="74"/>
      <c r="Z17" s="74"/>
    </row>
    <row r="18" spans="1:26" x14ac:dyDescent="0.3">
      <c r="A18" s="66">
        <f>A17+0.1</f>
        <v>1991.099999999999</v>
      </c>
      <c r="B18" s="67">
        <f>LOOKUP(A18+0.01,Amounts!$A$4:$A$103,Amounts!$B$4:$B$103)*0.1*$A$2</f>
        <v>6340.4250805700003</v>
      </c>
      <c r="C18" s="68">
        <f t="shared" si="4"/>
        <v>74840.787248640001</v>
      </c>
      <c r="D18" s="67">
        <f t="array" ref="D18">SUM($B$7:$B13*$F$1009*EXP(-$F$1009*($A18-$A$7:$A13)))*$F$1010</f>
        <v>6939612.3602875704</v>
      </c>
      <c r="E18" s="67">
        <f t="shared" si="1"/>
        <v>13.229758335486585</v>
      </c>
      <c r="F18" s="70">
        <f>E18*60*1012/1000000</f>
        <v>0.80331092613074528</v>
      </c>
      <c r="G18" s="67">
        <f>E18/'Lookup Tables'!$C$48</f>
        <v>26.459516670973169</v>
      </c>
      <c r="H18" s="70">
        <f t="shared" si="2"/>
        <v>9.291138210545892E-2</v>
      </c>
      <c r="I18" s="71">
        <f>G18*60*24/1000000</f>
        <v>3.8101704006201359E-2</v>
      </c>
      <c r="J18" s="35">
        <f t="shared" si="0"/>
        <v>2005</v>
      </c>
      <c r="K18" s="75">
        <f>$G161</f>
        <v>544.59223575101703</v>
      </c>
      <c r="L18" s="74"/>
      <c r="M18" s="74"/>
      <c r="N18" s="74"/>
      <c r="O18" s="74"/>
      <c r="P18" s="74"/>
      <c r="Q18" s="74"/>
      <c r="R18" s="74"/>
      <c r="S18" s="74"/>
      <c r="T18" s="74"/>
      <c r="U18" s="74"/>
      <c r="V18" s="74"/>
      <c r="W18" s="74"/>
      <c r="X18" s="74"/>
      <c r="Y18" s="74"/>
      <c r="Z18" s="74"/>
    </row>
    <row r="19" spans="1:26" x14ac:dyDescent="0.3">
      <c r="A19" s="66">
        <f t="shared" ref="A19:A82" si="7">A18+0.1</f>
        <v>1991.1999999999989</v>
      </c>
      <c r="B19" s="67">
        <f>LOOKUP(A19+0.01,Amounts!$A$4:$A$103,Amounts!$B$4:$B$103)*0.1*$A$2</f>
        <v>6340.4250805700003</v>
      </c>
      <c r="C19" s="68">
        <f t="shared" si="4"/>
        <v>81181.21232921</v>
      </c>
      <c r="D19" s="67">
        <f t="array" ref="D19">SUM($B$7:$B14*$F$1009*EXP(-$F$1009*($A19-$A$7:$A14)))*$F$1010</f>
        <v>7919928.7508472251</v>
      </c>
      <c r="E19" s="67">
        <f t="shared" si="1"/>
        <v>15.098644991697922</v>
      </c>
      <c r="F19" s="70">
        <f t="shared" ref="F19:F82" si="8">E19*60*1012/1000000</f>
        <v>0.91678972389589786</v>
      </c>
      <c r="G19" s="67">
        <f>E19/'Lookup Tables'!$C$48</f>
        <v>30.197289983395844</v>
      </c>
      <c r="H19" s="70">
        <f t="shared" si="2"/>
        <v>9.7754733884172523E-2</v>
      </c>
      <c r="I19" s="71">
        <f t="shared" ref="I19:I82" si="9">G19*60*24/1000000</f>
        <v>4.3484097576090015E-2</v>
      </c>
      <c r="J19" s="35">
        <f t="shared" si="0"/>
        <v>2006</v>
      </c>
      <c r="K19" s="75">
        <f>$G171</f>
        <v>580.21691693965579</v>
      </c>
      <c r="L19" s="74"/>
      <c r="M19" s="74"/>
      <c r="N19" s="74"/>
      <c r="O19" s="74"/>
      <c r="P19" s="74"/>
      <c r="Q19" s="74"/>
      <c r="R19" s="74"/>
      <c r="S19" s="74"/>
      <c r="T19" s="74"/>
      <c r="U19" s="74"/>
      <c r="V19" s="74"/>
      <c r="W19" s="74"/>
      <c r="X19" s="74"/>
      <c r="Y19" s="74"/>
      <c r="Z19" s="74"/>
    </row>
    <row r="20" spans="1:26" x14ac:dyDescent="0.3">
      <c r="A20" s="66">
        <f t="shared" si="7"/>
        <v>1991.2999999999988</v>
      </c>
      <c r="B20" s="67">
        <f>LOOKUP(A20+0.01,Amounts!$A$4:$A$103,Amounts!$B$4:$B$103)*0.1*$A$2</f>
        <v>6340.4250805700003</v>
      </c>
      <c r="C20" s="68">
        <f t="shared" si="4"/>
        <v>87521.63740978</v>
      </c>
      <c r="D20" s="67">
        <f t="array" ref="D20">SUM($B$7:$B15*$F$1009*EXP(-$F$1009*($A20-$A$7:$A15)))*$F$1010</f>
        <v>8897504.0947694238</v>
      </c>
      <c r="E20" s="67">
        <f t="shared" si="1"/>
        <v>16.962306084474719</v>
      </c>
      <c r="F20" s="70">
        <f t="shared" si="8"/>
        <v>1.0299512254493048</v>
      </c>
      <c r="G20" s="67">
        <f>E20/'Lookup Tables'!$C$48</f>
        <v>33.924612168949437</v>
      </c>
      <c r="H20" s="70">
        <f t="shared" si="2"/>
        <v>0.10186495981853821</v>
      </c>
      <c r="I20" s="71">
        <f t="shared" si="9"/>
        <v>4.8851441523287187E-2</v>
      </c>
      <c r="J20" s="35">
        <f t="shared" si="0"/>
        <v>2007</v>
      </c>
      <c r="K20" s="75">
        <f>$G181</f>
        <v>615.87071861821903</v>
      </c>
      <c r="L20" s="74"/>
      <c r="M20" s="74"/>
      <c r="N20" s="74"/>
      <c r="O20" s="74"/>
      <c r="P20" s="74"/>
      <c r="Q20" s="74"/>
      <c r="R20" s="74"/>
      <c r="S20" s="74"/>
      <c r="T20" s="74"/>
      <c r="U20" s="74"/>
      <c r="V20" s="74"/>
      <c r="W20" s="74"/>
      <c r="X20" s="74"/>
      <c r="Y20" s="74"/>
      <c r="Z20" s="74"/>
    </row>
    <row r="21" spans="1:26" x14ac:dyDescent="0.3">
      <c r="A21" s="66">
        <f t="shared" si="7"/>
        <v>1991.3999999999987</v>
      </c>
      <c r="B21" s="67">
        <f>LOOKUP(A21+0.01,Amounts!$A$4:$A$103,Amounts!$B$4:$B$103)*0.1*$A$2</f>
        <v>6340.4250805700003</v>
      </c>
      <c r="C21" s="68">
        <f t="shared" si="4"/>
        <v>93862.062490349999</v>
      </c>
      <c r="D21" s="67">
        <f t="array" ref="D21">SUM($B$7:$B16*$F$1009*EXP(-$F$1009*($A21-$A$7:$A16)))*$F$1010</f>
        <v>9872346.0562498737</v>
      </c>
      <c r="E21" s="67">
        <f t="shared" si="1"/>
        <v>18.820756224929482</v>
      </c>
      <c r="F21" s="70">
        <f t="shared" si="8"/>
        <v>1.1427963179777181</v>
      </c>
      <c r="G21" s="67">
        <f>E21/'Lookup Tables'!$C$48</f>
        <v>37.641512449858965</v>
      </c>
      <c r="H21" s="70">
        <f t="shared" si="2"/>
        <v>0.10539071068079243</v>
      </c>
      <c r="I21" s="71">
        <f t="shared" si="9"/>
        <v>5.420377792779691E-2</v>
      </c>
      <c r="J21" s="35">
        <f t="shared" si="0"/>
        <v>2008</v>
      </c>
      <c r="K21" s="75">
        <f>$G191</f>
        <v>651.57309224481594</v>
      </c>
      <c r="L21" s="74"/>
      <c r="M21" s="74"/>
      <c r="N21" s="74"/>
      <c r="O21" s="74"/>
      <c r="P21" s="74"/>
      <c r="Q21" s="74"/>
      <c r="R21" s="74"/>
      <c r="S21" s="74"/>
      <c r="T21" s="74"/>
      <c r="U21" s="74"/>
      <c r="V21" s="74"/>
      <c r="W21" s="74"/>
      <c r="X21" s="74"/>
      <c r="Y21" s="74"/>
      <c r="Z21" s="74"/>
    </row>
    <row r="22" spans="1:26" x14ac:dyDescent="0.3">
      <c r="A22" s="66">
        <f t="shared" si="7"/>
        <v>1991.4999999999986</v>
      </c>
      <c r="B22" s="67">
        <f>LOOKUP(A22+0.01,Amounts!$A$4:$A$103,Amounts!$B$4:$B$103)*0.1*$A$2</f>
        <v>6340.4250805700003</v>
      </c>
      <c r="C22" s="68">
        <f t="shared" si="4"/>
        <v>100202.48757092</v>
      </c>
      <c r="D22" s="67">
        <f t="array" ref="D22">SUM($B$7:$B17*$F$1009*EXP(-$F$1009*($A22-$A$7:$A17)))*$F$1010</f>
        <v>10864474.612799332</v>
      </c>
      <c r="E22" s="67">
        <f t="shared" si="1"/>
        <v>20.712161732821649</v>
      </c>
      <c r="F22" s="70">
        <f t="shared" si="8"/>
        <v>1.2576424604169305</v>
      </c>
      <c r="G22" s="67">
        <f>E22/'Lookup Tables'!$C$48</f>
        <v>41.424323465643297</v>
      </c>
      <c r="H22" s="70">
        <f t="shared" si="2"/>
        <v>0.10864313322626933</v>
      </c>
      <c r="I22" s="71">
        <f t="shared" si="9"/>
        <v>5.9651025790526349E-2</v>
      </c>
      <c r="J22" s="35">
        <f t="shared" si="0"/>
        <v>2009</v>
      </c>
      <c r="K22" s="75">
        <f>$G201</f>
        <v>687.34430255918653</v>
      </c>
      <c r="L22" s="74"/>
      <c r="M22" s="74"/>
      <c r="N22" s="74"/>
      <c r="O22" s="74"/>
      <c r="P22" s="74"/>
      <c r="Q22" s="74"/>
      <c r="R22" s="74"/>
      <c r="S22" s="74"/>
      <c r="T22" s="74"/>
      <c r="U22" s="74"/>
      <c r="V22" s="74"/>
      <c r="W22" s="74"/>
      <c r="X22" s="74"/>
      <c r="Y22" s="74"/>
      <c r="Z22" s="74"/>
    </row>
    <row r="23" spans="1:26" x14ac:dyDescent="0.3">
      <c r="A23" s="66">
        <f t="shared" si="7"/>
        <v>1991.5999999999985</v>
      </c>
      <c r="B23" s="67">
        <f>LOOKUP(A23+0.01,Amounts!$A$4:$A$103,Amounts!$B$4:$B$103)*0.1*$A$2</f>
        <v>6340.4250805700003</v>
      </c>
      <c r="C23" s="68">
        <f t="shared" si="4"/>
        <v>106542.91265149</v>
      </c>
      <c r="D23" s="67">
        <f t="array" ref="D23">SUM($B$7:$B18*$F$1009*EXP(-$F$1009*($A23-$A$7:$A18)))*$F$1010</f>
        <v>11853829.094907071</v>
      </c>
      <c r="E23" s="67">
        <f t="shared" si="1"/>
        <v>22.598278712686142</v>
      </c>
      <c r="F23" s="70">
        <f t="shared" si="8"/>
        <v>1.3721674834343025</v>
      </c>
      <c r="G23" s="67">
        <f>E23/'Lookup Tables'!$C$48</f>
        <v>45.196557425372283</v>
      </c>
      <c r="H23" s="70">
        <f t="shared" si="2"/>
        <v>0.11148235950936083</v>
      </c>
      <c r="I23" s="71">
        <f t="shared" si="9"/>
        <v>6.5083042692536092E-2</v>
      </c>
      <c r="J23" s="35">
        <f t="shared" si="0"/>
        <v>2010</v>
      </c>
      <c r="K23" s="75">
        <f>$G211</f>
        <v>723.20270439035255</v>
      </c>
      <c r="L23" s="74"/>
      <c r="M23" s="74"/>
      <c r="N23" s="74"/>
      <c r="O23" s="74"/>
      <c r="P23" s="74"/>
      <c r="Q23" s="74"/>
      <c r="R23" s="74"/>
      <c r="S23" s="74"/>
      <c r="T23" s="74"/>
      <c r="U23" s="74"/>
      <c r="V23" s="74"/>
      <c r="W23" s="74"/>
      <c r="X23" s="74"/>
      <c r="Y23" s="74"/>
      <c r="Z23" s="74"/>
    </row>
    <row r="24" spans="1:26" x14ac:dyDescent="0.3">
      <c r="A24" s="66">
        <f t="shared" si="7"/>
        <v>1991.6999999999985</v>
      </c>
      <c r="B24" s="67">
        <f>LOOKUP(A24+0.01,Amounts!$A$4:$A$103,Amounts!$B$4:$B$103)*0.1*$A$2</f>
        <v>6340.4250805700003</v>
      </c>
      <c r="C24" s="68">
        <f t="shared" si="4"/>
        <v>112883.33773206</v>
      </c>
      <c r="D24" s="67">
        <f t="array" ref="D24">SUM($B$7:$B19*$F$1009*EXP(-$F$1009*($A24-$A$7:$A19)))*$F$1010</f>
        <v>12840417.259117296</v>
      </c>
      <c r="E24" s="67">
        <f t="shared" si="1"/>
        <v>24.479121951689734</v>
      </c>
      <c r="F24" s="70">
        <f t="shared" si="8"/>
        <v>1.4863722849066006</v>
      </c>
      <c r="G24" s="67">
        <f>E24/'Lookup Tables'!$C$48</f>
        <v>48.958243903379469</v>
      </c>
      <c r="H24" s="70">
        <f t="shared" si="2"/>
        <v>0.1139780835356535</v>
      </c>
      <c r="I24" s="71">
        <f t="shared" si="9"/>
        <v>7.0499871220866428E-2</v>
      </c>
      <c r="J24" s="35">
        <f t="shared" si="0"/>
        <v>2011</v>
      </c>
      <c r="K24" s="75">
        <f>$G221</f>
        <v>759.16749612868898</v>
      </c>
      <c r="L24" s="74"/>
      <c r="M24" s="74"/>
      <c r="N24" s="74"/>
      <c r="O24" s="74"/>
      <c r="P24" s="74"/>
      <c r="Q24" s="74"/>
      <c r="R24" s="74"/>
      <c r="S24" s="74"/>
      <c r="T24" s="74"/>
      <c r="U24" s="74"/>
      <c r="V24" s="74"/>
      <c r="W24" s="74"/>
      <c r="X24" s="74"/>
      <c r="Y24" s="74"/>
      <c r="Z24" s="74"/>
    </row>
    <row r="25" spans="1:26" x14ac:dyDescent="0.3">
      <c r="A25" s="66">
        <f t="shared" si="7"/>
        <v>1991.7999999999984</v>
      </c>
      <c r="B25" s="67">
        <f>LOOKUP(A25+0.01,Amounts!$A$4:$A$103,Amounts!$B$4:$B$103)*0.1*$A$2</f>
        <v>6340.4250805700003</v>
      </c>
      <c r="C25" s="68">
        <f t="shared" si="4"/>
        <v>119223.76281263</v>
      </c>
      <c r="D25" s="67">
        <f t="array" ref="D25">SUM($B$7:$B20*$F$1009*EXP(-$F$1009*($A25-$A$7:$A20)))*$F$1010</f>
        <v>13824246.840286259</v>
      </c>
      <c r="E25" s="67">
        <f t="shared" si="1"/>
        <v>26.354706195653034</v>
      </c>
      <c r="F25" s="70">
        <f t="shared" si="8"/>
        <v>1.6002577602000523</v>
      </c>
      <c r="G25" s="67">
        <f>E25/'Lookup Tables'!$C$48</f>
        <v>52.709412391306067</v>
      </c>
      <c r="H25" s="70">
        <f t="shared" si="2"/>
        <v>0.11618517357319824</v>
      </c>
      <c r="I25" s="71">
        <f t="shared" si="9"/>
        <v>7.590155384348074E-2</v>
      </c>
      <c r="J25" s="35">
        <f t="shared" si="0"/>
        <v>2012</v>
      </c>
      <c r="K25" s="75">
        <f>$G231</f>
        <v>795.25734606565572</v>
      </c>
      <c r="L25" s="74"/>
      <c r="M25" s="74"/>
      <c r="N25" s="74"/>
      <c r="O25" s="74"/>
      <c r="P25" s="74"/>
      <c r="Q25" s="74"/>
      <c r="R25" s="74"/>
      <c r="S25" s="74"/>
      <c r="T25" s="74"/>
      <c r="U25" s="74"/>
      <c r="V25" s="74"/>
      <c r="W25" s="74"/>
      <c r="X25" s="74"/>
      <c r="Y25" s="74"/>
      <c r="Z25" s="74"/>
    </row>
    <row r="26" spans="1:26" x14ac:dyDescent="0.3">
      <c r="A26" s="66">
        <f t="shared" si="7"/>
        <v>1991.8999999999983</v>
      </c>
      <c r="B26" s="67">
        <f>LOOKUP(A26+0.01,Amounts!$A$4:$A$103,Amounts!$B$4:$B$103)*0.1*$A$2</f>
        <v>6340.4250805700003</v>
      </c>
      <c r="C26" s="68">
        <f t="shared" si="4"/>
        <v>125564.1878932</v>
      </c>
      <c r="D26" s="67">
        <f t="array" ref="D26">SUM($B$7:$B21*$F$1009*EXP(-$F$1009*($A26-$A$7:$A21)))*$F$1010</f>
        <v>14805325.551642928</v>
      </c>
      <c r="E26" s="67">
        <f t="shared" si="1"/>
        <v>28.225046149166154</v>
      </c>
      <c r="F26" s="70">
        <f t="shared" si="8"/>
        <v>1.713824802177369</v>
      </c>
      <c r="G26" s="67">
        <f>E26/'Lookup Tables'!$C$48</f>
        <v>56.450092298332308</v>
      </c>
      <c r="H26" s="70">
        <f t="shared" si="2"/>
        <v>0.11814741531733455</v>
      </c>
      <c r="I26" s="71">
        <f t="shared" si="9"/>
        <v>8.1288132909598521E-2</v>
      </c>
      <c r="J26" s="35">
        <f t="shared" si="0"/>
        <v>2013</v>
      </c>
      <c r="K26" s="75">
        <f>$G241</f>
        <v>834.06555911112639</v>
      </c>
      <c r="L26" s="74"/>
      <c r="M26" s="74"/>
      <c r="N26" s="74"/>
      <c r="O26" s="74"/>
      <c r="P26" s="74"/>
      <c r="Q26" s="74"/>
      <c r="R26" s="74"/>
      <c r="S26" s="74"/>
      <c r="T26" s="74"/>
      <c r="U26" s="74"/>
      <c r="V26" s="74"/>
      <c r="W26" s="74"/>
      <c r="X26" s="74"/>
      <c r="Y26" s="74"/>
      <c r="Z26" s="74"/>
    </row>
    <row r="27" spans="1:26" x14ac:dyDescent="0.3">
      <c r="A27" s="66">
        <f t="shared" si="7"/>
        <v>1991.9999999999982</v>
      </c>
      <c r="B27" s="67">
        <f>LOOKUP(A27+0.01,Amounts!$A$4:$A$103,Amounts!$B$4:$B$103)*0.1*$A$2</f>
        <v>6467.3094005800003</v>
      </c>
      <c r="C27" s="68">
        <f t="shared" si="4"/>
        <v>132031.49729378</v>
      </c>
      <c r="D27" s="67">
        <f t="array" ref="D27">SUM($B$7:$B22*$F$1009*EXP(-$F$1009*($A27-$A$7:$A22)))*$F$1010</f>
        <v>15783661.084849421</v>
      </c>
      <c r="E27" s="67">
        <f t="shared" si="1"/>
        <v>30.0901564757039</v>
      </c>
      <c r="F27" s="70">
        <f t="shared" si="8"/>
        <v>1.8270743012047408</v>
      </c>
      <c r="G27" s="67">
        <f>E27/'Lookup Tables'!$C$48</f>
        <v>60.180312951407799</v>
      </c>
      <c r="H27" s="70">
        <f t="shared" si="2"/>
        <v>0.11978494955972172</v>
      </c>
      <c r="I27" s="71">
        <f t="shared" si="9"/>
        <v>8.6659650650027231E-2</v>
      </c>
      <c r="J27" s="35">
        <f t="shared" si="0"/>
        <v>2014</v>
      </c>
      <c r="K27" s="75">
        <f>$G251</f>
        <v>873.01754535655834</v>
      </c>
      <c r="L27" s="74"/>
      <c r="M27" s="74"/>
      <c r="N27" s="74"/>
      <c r="O27" s="74"/>
      <c r="P27" s="74"/>
      <c r="Q27" s="74"/>
      <c r="R27" s="74"/>
      <c r="S27" s="74"/>
      <c r="T27" s="74"/>
      <c r="U27" s="74"/>
      <c r="V27" s="74"/>
      <c r="W27" s="74"/>
      <c r="X27" s="74"/>
      <c r="Y27" s="74"/>
      <c r="Z27" s="74"/>
    </row>
    <row r="28" spans="1:26" x14ac:dyDescent="0.3">
      <c r="A28" s="66">
        <f t="shared" si="7"/>
        <v>1992.0999999999981</v>
      </c>
      <c r="B28" s="67">
        <f>LOOKUP(A28+0.01,Amounts!$A$4:$A$103,Amounts!$B$4:$B$103)*0.1*$A$2</f>
        <v>6467.3094005800003</v>
      </c>
      <c r="C28" s="68">
        <f t="shared" si="4"/>
        <v>138498.80669436001</v>
      </c>
      <c r="D28" s="67">
        <f t="array" ref="D28">SUM($B$7:$B23*$F$1009*EXP(-$F$1009*($A28-$A$7:$A23)))*$F$1010</f>
        <v>16759261.110061329</v>
      </c>
      <c r="E28" s="67">
        <f t="shared" si="1"/>
        <v>31.95005179774078</v>
      </c>
      <c r="F28" s="70">
        <f t="shared" si="8"/>
        <v>1.9400071451588201</v>
      </c>
      <c r="G28" s="67">
        <f>E28/'Lookup Tables'!$C$48</f>
        <v>63.900103595481561</v>
      </c>
      <c r="H28" s="70">
        <f t="shared" si="2"/>
        <v>0.12124976110408898</v>
      </c>
      <c r="I28" s="71">
        <f t="shared" si="9"/>
        <v>9.2016149177493442E-2</v>
      </c>
      <c r="J28" s="35">
        <f t="shared" si="0"/>
        <v>2015</v>
      </c>
      <c r="K28" s="75">
        <f>$G261</f>
        <v>912.1336416159661</v>
      </c>
      <c r="L28" s="74"/>
      <c r="M28" s="74"/>
      <c r="N28" s="74"/>
      <c r="O28" s="74"/>
      <c r="P28" s="74"/>
      <c r="Q28" s="74"/>
      <c r="R28" s="74"/>
      <c r="S28" s="74"/>
      <c r="T28" s="74"/>
      <c r="U28" s="74"/>
      <c r="V28" s="74"/>
      <c r="W28" s="74"/>
      <c r="X28" s="74"/>
      <c r="Y28" s="74"/>
      <c r="Z28" s="74"/>
    </row>
    <row r="29" spans="1:26" x14ac:dyDescent="0.3">
      <c r="A29" s="66">
        <f t="shared" si="7"/>
        <v>1992.199999999998</v>
      </c>
      <c r="B29" s="67">
        <f>LOOKUP(A29+0.01,Amounts!$A$4:$A$103,Amounts!$B$4:$B$103)*0.1*$A$2</f>
        <v>6467.3094005800003</v>
      </c>
      <c r="C29" s="68">
        <f t="shared" si="4"/>
        <v>144966.11609494002</v>
      </c>
      <c r="D29" s="67">
        <f t="array" ref="D29">SUM($B$7:$B24*$F$1009*EXP(-$F$1009*($A29-$A$7:$A24)))*$F$1010</f>
        <v>17732133.275987849</v>
      </c>
      <c r="E29" s="67">
        <f t="shared" si="1"/>
        <v>33.804746696865649</v>
      </c>
      <c r="F29" s="70">
        <f t="shared" si="8"/>
        <v>2.0526242194336821</v>
      </c>
      <c r="G29" s="67">
        <f>E29/'Lookup Tables'!$C$48</f>
        <v>67.609493393731299</v>
      </c>
      <c r="H29" s="70">
        <f t="shared" si="2"/>
        <v>0.12256501962318049</v>
      </c>
      <c r="I29" s="71">
        <f t="shared" si="9"/>
        <v>9.735767048697308E-2</v>
      </c>
      <c r="J29" s="35">
        <f t="shared" si="0"/>
        <v>2016</v>
      </c>
      <c r="K29" s="75">
        <f>$G271</f>
        <v>951.43362317071308</v>
      </c>
      <c r="L29" s="74"/>
      <c r="M29" s="74"/>
      <c r="N29" s="74"/>
      <c r="O29" s="74"/>
      <c r="P29" s="74"/>
      <c r="Q29" s="74"/>
      <c r="R29" s="74"/>
      <c r="S29" s="74"/>
      <c r="T29" s="74"/>
      <c r="U29" s="74"/>
      <c r="V29" s="74"/>
      <c r="W29" s="74"/>
      <c r="X29" s="74"/>
      <c r="Y29" s="74"/>
      <c r="Z29" s="74"/>
    </row>
    <row r="30" spans="1:26" x14ac:dyDescent="0.3">
      <c r="A30" s="66">
        <f t="shared" si="7"/>
        <v>1992.2999999999979</v>
      </c>
      <c r="B30" s="67">
        <f>LOOKUP(A30+0.01,Amounts!$A$4:$A$103,Amounts!$B$4:$B$103)*0.1*$A$2</f>
        <v>6467.3094005800003</v>
      </c>
      <c r="C30" s="68">
        <f t="shared" si="4"/>
        <v>151433.42549552003</v>
      </c>
      <c r="D30" s="67">
        <f t="array" ref="D30">SUM($B$7:$B25*$F$1009*EXP(-$F$1009*($A30-$A$7:$A25)))*$F$1010</f>
        <v>18702285.209951732</v>
      </c>
      <c r="E30" s="67">
        <f t="shared" si="1"/>
        <v>35.654255713895999</v>
      </c>
      <c r="F30" s="70">
        <f t="shared" si="8"/>
        <v>2.1649264069477652</v>
      </c>
      <c r="G30" s="67">
        <f>E30/'Lookup Tables'!$C$48</f>
        <v>71.308511427791998</v>
      </c>
      <c r="H30" s="70">
        <f t="shared" si="2"/>
        <v>0.12374993659360982</v>
      </c>
      <c r="I30" s="71">
        <f t="shared" si="9"/>
        <v>0.10268425645602049</v>
      </c>
      <c r="J30" s="35">
        <f t="shared" si="0"/>
        <v>2017</v>
      </c>
      <c r="K30" s="75">
        <f>$G281</f>
        <v>990.93806964250541</v>
      </c>
      <c r="L30" s="74"/>
      <c r="M30" s="74"/>
      <c r="N30" s="74"/>
      <c r="O30" s="74"/>
      <c r="P30" s="74"/>
      <c r="Q30" s="74"/>
      <c r="R30" s="74"/>
      <c r="S30" s="74"/>
      <c r="T30" s="74"/>
      <c r="U30" s="74"/>
      <c r="V30" s="74"/>
      <c r="W30" s="74"/>
      <c r="X30" s="74"/>
      <c r="Y30" s="74"/>
      <c r="Z30" s="74"/>
    </row>
    <row r="31" spans="1:26" x14ac:dyDescent="0.3">
      <c r="A31" s="66">
        <f t="shared" si="7"/>
        <v>1992.3999999999978</v>
      </c>
      <c r="B31" s="67">
        <f>LOOKUP(A31+0.01,Amounts!$A$4:$A$103,Amounts!$B$4:$B$103)*0.1*$A$2</f>
        <v>6467.3094005800003</v>
      </c>
      <c r="C31" s="68">
        <f t="shared" si="4"/>
        <v>157900.73489610004</v>
      </c>
      <c r="D31" s="67">
        <f t="array" ref="D31">SUM($B$7:$B26*$F$1009*EXP(-$F$1009*($A31-$A$7:$A26)))*$F$1010</f>
        <v>19669724.517949134</v>
      </c>
      <c r="E31" s="67">
        <f t="shared" si="1"/>
        <v>37.498593348992038</v>
      </c>
      <c r="F31" s="70">
        <f t="shared" si="8"/>
        <v>2.2769145881507966</v>
      </c>
      <c r="G31" s="67">
        <f>E31/'Lookup Tables'!$C$48</f>
        <v>74.997186697984077</v>
      </c>
      <c r="H31" s="70">
        <f t="shared" si="2"/>
        <v>0.12482057589661674</v>
      </c>
      <c r="I31" s="71">
        <f t="shared" si="9"/>
        <v>0.10799594884509707</v>
      </c>
      <c r="J31" s="35">
        <f t="shared" si="0"/>
        <v>2018</v>
      </c>
      <c r="K31" s="75">
        <f>$G291</f>
        <v>963.57665114088104</v>
      </c>
      <c r="L31" s="74"/>
      <c r="M31" s="74"/>
      <c r="N31" s="74"/>
      <c r="O31" s="74"/>
      <c r="P31" s="74"/>
      <c r="Q31" s="74"/>
      <c r="R31" s="74"/>
      <c r="S31" s="74"/>
      <c r="T31" s="74"/>
      <c r="U31" s="74"/>
      <c r="V31" s="74"/>
      <c r="W31" s="74"/>
      <c r="X31" s="74"/>
      <c r="Y31" s="74"/>
      <c r="Z31" s="74"/>
    </row>
    <row r="32" spans="1:26" x14ac:dyDescent="0.3">
      <c r="A32" s="66">
        <f t="shared" si="7"/>
        <v>1992.4999999999977</v>
      </c>
      <c r="B32" s="67">
        <f>LOOKUP(A32+0.01,Amounts!$A$4:$A$103,Amounts!$B$4:$B$103)*0.1*$A$2</f>
        <v>6467.3094005800003</v>
      </c>
      <c r="C32" s="68">
        <f t="shared" si="4"/>
        <v>164368.04429668005</v>
      </c>
      <c r="D32" s="67">
        <f t="array" ref="D32">SUM($B$7:$B27*$F$1009*EXP(-$F$1009*($A32-$A$7:$A27)))*$F$1010</f>
        <v>20654865.627844982</v>
      </c>
      <c r="E32" s="67">
        <f t="shared" si="1"/>
        <v>39.376677906691306</v>
      </c>
      <c r="F32" s="70">
        <f t="shared" si="8"/>
        <v>2.3909518824942966</v>
      </c>
      <c r="G32" s="67">
        <f>E32/'Lookup Tables'!$C$48</f>
        <v>78.753355813382612</v>
      </c>
      <c r="H32" s="70">
        <f t="shared" si="2"/>
        <v>0.12591487594997797</v>
      </c>
      <c r="I32" s="71">
        <f t="shared" si="9"/>
        <v>0.11340483237127097</v>
      </c>
      <c r="J32" s="35">
        <f t="shared" si="0"/>
        <v>2019</v>
      </c>
      <c r="K32" s="75">
        <f>$G301</f>
        <v>936.97072609071995</v>
      </c>
      <c r="L32" s="74"/>
      <c r="M32" s="74"/>
      <c r="N32" s="74"/>
      <c r="O32" s="74"/>
      <c r="P32" s="74"/>
      <c r="Q32" s="74"/>
      <c r="R32" s="74"/>
      <c r="S32" s="74"/>
      <c r="T32" s="74"/>
      <c r="U32" s="74"/>
      <c r="V32" s="74"/>
      <c r="W32" s="74"/>
      <c r="X32" s="74"/>
      <c r="Y32" s="74"/>
      <c r="Z32" s="74"/>
    </row>
    <row r="33" spans="1:26" x14ac:dyDescent="0.3">
      <c r="A33" s="66">
        <f t="shared" si="7"/>
        <v>1992.5999999999976</v>
      </c>
      <c r="B33" s="67">
        <f>LOOKUP(A33+0.01,Amounts!$A$4:$A$103,Amounts!$B$4:$B$103)*0.1*$A$2</f>
        <v>6467.3094005800003</v>
      </c>
      <c r="C33" s="68">
        <f t="shared" si="4"/>
        <v>170835.35369726006</v>
      </c>
      <c r="D33" s="67">
        <f t="array" ref="D33">SUM($B$7:$B28*$F$1009*EXP(-$F$1009*($A33-$A$7:$A28)))*$F$1010</f>
        <v>21637252.200784497</v>
      </c>
      <c r="E33" s="67">
        <f t="shared" si="1"/>
        <v>41.249511182854022</v>
      </c>
      <c r="F33" s="70">
        <f t="shared" si="8"/>
        <v>2.5046703190228961</v>
      </c>
      <c r="G33" s="67">
        <f>E33/'Lookup Tables'!$C$48</f>
        <v>82.499022365708043</v>
      </c>
      <c r="H33" s="70">
        <f t="shared" si="2"/>
        <v>0.12691016589065549</v>
      </c>
      <c r="I33" s="71">
        <f t="shared" si="9"/>
        <v>0.11879859220661959</v>
      </c>
      <c r="J33" s="35">
        <f t="shared" si="0"/>
        <v>2020</v>
      </c>
      <c r="K33" s="75">
        <f>$G311</f>
        <v>911.09943408395657</v>
      </c>
      <c r="L33" s="74"/>
      <c r="M33" s="74"/>
      <c r="N33" s="74"/>
      <c r="O33" s="74"/>
      <c r="P33" s="74"/>
      <c r="Q33" s="74"/>
      <c r="R33" s="74"/>
      <c r="S33" s="74"/>
      <c r="T33" s="74"/>
      <c r="U33" s="74"/>
      <c r="V33" s="74"/>
      <c r="W33" s="74"/>
      <c r="X33" s="74"/>
      <c r="Y33" s="74"/>
      <c r="Z33" s="74"/>
    </row>
    <row r="34" spans="1:26" x14ac:dyDescent="0.3">
      <c r="A34" s="66">
        <f t="shared" si="7"/>
        <v>1992.6999999999975</v>
      </c>
      <c r="B34" s="67">
        <f>LOOKUP(A34+0.01,Amounts!$A$4:$A$103,Amounts!$B$4:$B$103)*0.1*$A$2</f>
        <v>6467.3094005800003</v>
      </c>
      <c r="C34" s="68">
        <f t="shared" si="4"/>
        <v>177302.66309784006</v>
      </c>
      <c r="D34" s="67">
        <f t="array" ref="D34">SUM($B$7:$B29*$F$1009*EXP(-$F$1009*($A34-$A$7:$A29)))*$F$1010</f>
        <v>22616891.938683439</v>
      </c>
      <c r="E34" s="67">
        <f t="shared" si="1"/>
        <v>43.117107860502657</v>
      </c>
      <c r="F34" s="70">
        <f t="shared" si="8"/>
        <v>2.6180707892897215</v>
      </c>
      <c r="G34" s="67">
        <f>E34/'Lookup Tables'!$C$48</f>
        <v>86.234215721005313</v>
      </c>
      <c r="H34" s="70">
        <f t="shared" si="2"/>
        <v>0.12781732375319452</v>
      </c>
      <c r="I34" s="71">
        <f t="shared" si="9"/>
        <v>0.12417727063824766</v>
      </c>
      <c r="J34" s="35">
        <f t="shared" si="0"/>
        <v>2021</v>
      </c>
      <c r="K34" s="75">
        <f>$G321</f>
        <v>885.94249070246144</v>
      </c>
      <c r="L34" s="74"/>
      <c r="M34" s="74"/>
      <c r="N34" s="74"/>
      <c r="O34" s="74"/>
      <c r="P34" s="74"/>
      <c r="Q34" s="74"/>
      <c r="R34" s="74"/>
      <c r="S34" s="74"/>
      <c r="T34" s="74"/>
      <c r="U34" s="74"/>
      <c r="V34" s="74"/>
      <c r="W34" s="74"/>
      <c r="X34" s="74"/>
      <c r="Y34" s="74"/>
      <c r="Z34" s="74"/>
    </row>
    <row r="35" spans="1:26" x14ac:dyDescent="0.3">
      <c r="A35" s="66">
        <f t="shared" si="7"/>
        <v>1992.7999999999975</v>
      </c>
      <c r="B35" s="67">
        <f>LOOKUP(A35+0.01,Amounts!$A$4:$A$103,Amounts!$B$4:$B$103)*0.1*$A$2</f>
        <v>6467.3094005800003</v>
      </c>
      <c r="C35" s="68">
        <f t="shared" si="4"/>
        <v>183769.97249842007</v>
      </c>
      <c r="D35" s="67">
        <f t="array" ref="D35">SUM($B$7:$B30*$F$1009*EXP(-$F$1009*($A35-$A$7:$A30)))*$F$1010</f>
        <v>23593792.521922369</v>
      </c>
      <c r="E35" s="67">
        <f t="shared" si="1"/>
        <v>44.979482581604707</v>
      </c>
      <c r="F35" s="70">
        <f t="shared" si="8"/>
        <v>2.7311541823550378</v>
      </c>
      <c r="G35" s="67">
        <f>E35/'Lookup Tables'!$C$48</f>
        <v>89.958965163209413</v>
      </c>
      <c r="H35" s="70">
        <f t="shared" si="2"/>
        <v>0.12864569615743229</v>
      </c>
      <c r="I35" s="71">
        <f t="shared" si="9"/>
        <v>0.12954090983502156</v>
      </c>
      <c r="J35" s="35">
        <f t="shared" si="0"/>
        <v>2022</v>
      </c>
      <c r="K35" s="75">
        <f>$G331</f>
        <v>861.48017161401776</v>
      </c>
      <c r="L35" s="74"/>
      <c r="M35" s="74"/>
      <c r="N35" s="74"/>
      <c r="O35" s="74"/>
      <c r="P35" s="74"/>
      <c r="Q35" s="74"/>
      <c r="R35" s="74"/>
      <c r="S35" s="74"/>
      <c r="T35" s="74"/>
      <c r="U35" s="74"/>
      <c r="V35" s="74"/>
      <c r="W35" s="74"/>
      <c r="X35" s="74"/>
      <c r="Y35" s="74"/>
      <c r="Z35" s="74"/>
    </row>
    <row r="36" spans="1:26" x14ac:dyDescent="0.3">
      <c r="A36" s="66">
        <f t="shared" si="7"/>
        <v>1992.8999999999974</v>
      </c>
      <c r="B36" s="67">
        <f>LOOKUP(A36+0.01,Amounts!$A$4:$A$103,Amounts!$B$4:$B$103)*0.1*$A$2</f>
        <v>6467.3094005800003</v>
      </c>
      <c r="C36" s="68">
        <f t="shared" si="4"/>
        <v>190237.28189900008</v>
      </c>
      <c r="D36" s="67">
        <f t="array" ref="D36">SUM($B$7:$B31*$F$1009*EXP(-$F$1009*($A36-$A$7:$A31)))*$F$1010</f>
        <v>24567961.609406859</v>
      </c>
      <c r="E36" s="67">
        <f t="shared" si="1"/>
        <v>46.836649947187531</v>
      </c>
      <c r="F36" s="70">
        <f t="shared" si="8"/>
        <v>2.843921384793227</v>
      </c>
      <c r="G36" s="67">
        <f>E36/'Lookup Tables'!$C$48</f>
        <v>93.673299894375063</v>
      </c>
      <c r="H36" s="70">
        <f t="shared" si="2"/>
        <v>0.12940335861879845</v>
      </c>
      <c r="I36" s="71">
        <f t="shared" si="9"/>
        <v>0.13488955184790008</v>
      </c>
      <c r="J36" s="35">
        <f t="shared" si="0"/>
        <v>2023</v>
      </c>
      <c r="K36" s="75">
        <f>$G341</f>
        <v>837.69329710743364</v>
      </c>
      <c r="L36" s="74"/>
      <c r="M36" s="74"/>
      <c r="N36" s="74"/>
      <c r="O36" s="74"/>
      <c r="P36" s="74"/>
      <c r="Q36" s="74"/>
      <c r="R36" s="74"/>
      <c r="S36" s="74"/>
      <c r="T36" s="74"/>
      <c r="U36" s="74"/>
      <c r="V36" s="74"/>
      <c r="W36" s="74"/>
      <c r="X36" s="74"/>
      <c r="Y36" s="74"/>
      <c r="Z36" s="74"/>
    </row>
    <row r="37" spans="1:26" x14ac:dyDescent="0.3">
      <c r="A37" s="66">
        <f t="shared" si="7"/>
        <v>1992.9999999999973</v>
      </c>
      <c r="B37" s="67">
        <f>LOOKUP(A37+0.01,Amounts!$A$4:$A$103,Amounts!$B$4:$B$103)*0.1*$A$2</f>
        <v>6596.6466687799993</v>
      </c>
      <c r="C37" s="68">
        <f t="shared" si="4"/>
        <v>196833.92856778009</v>
      </c>
      <c r="D37" s="67">
        <f t="array" ref="D37">SUM($B$7:$B32*$F$1009*EXP(-$F$1009*($A37-$A$7:$A32)))*$F$1010</f>
        <v>25539406.838627562</v>
      </c>
      <c r="E37" s="67">
        <f t="shared" si="1"/>
        <v>48.688624517452823</v>
      </c>
      <c r="F37" s="70">
        <f t="shared" si="8"/>
        <v>2.9563732806997356</v>
      </c>
      <c r="G37" s="67">
        <f>E37/'Lookup Tables'!$C$48</f>
        <v>97.377249034905645</v>
      </c>
      <c r="H37" s="70">
        <f t="shared" si="2"/>
        <v>0.13001183907966857</v>
      </c>
      <c r="I37" s="71">
        <f t="shared" si="9"/>
        <v>0.14022323861026414</v>
      </c>
      <c r="J37" s="35">
        <f t="shared" si="0"/>
        <v>2024</v>
      </c>
      <c r="K37" s="75">
        <f>$G351</f>
        <v>814.56321705466974</v>
      </c>
      <c r="L37" s="74"/>
      <c r="M37" s="74"/>
      <c r="N37" s="74"/>
      <c r="O37" s="74"/>
      <c r="P37" s="74"/>
      <c r="Q37" s="74"/>
      <c r="R37" s="74"/>
      <c r="S37" s="74"/>
      <c r="T37" s="74"/>
      <c r="U37" s="74"/>
      <c r="V37" s="74"/>
      <c r="W37" s="74"/>
      <c r="X37" s="74"/>
      <c r="Y37" s="74"/>
      <c r="Z37" s="74"/>
    </row>
    <row r="38" spans="1:26" x14ac:dyDescent="0.3">
      <c r="A38" s="66">
        <f t="shared" si="7"/>
        <v>1993.0999999999972</v>
      </c>
      <c r="B38" s="67">
        <f>LOOKUP(A38+0.01,Amounts!$A$4:$A$103,Amounts!$B$4:$B$103)*0.1*$A$2</f>
        <v>6596.6466687799993</v>
      </c>
      <c r="C38" s="68">
        <f t="shared" si="4"/>
        <v>203430.57523656011</v>
      </c>
      <c r="D38" s="67">
        <f t="array" ref="D38">SUM($B$7:$B33*$F$1009*EXP(-$F$1009*($A38-$A$7:$A33)))*$F$1010</f>
        <v>26508135.825720038</v>
      </c>
      <c r="E38" s="67">
        <f t="shared" si="1"/>
        <v>50.535420811890674</v>
      </c>
      <c r="F38" s="70">
        <f t="shared" si="8"/>
        <v>3.0685107516980019</v>
      </c>
      <c r="G38" s="67">
        <f>E38/'Lookup Tables'!$C$48</f>
        <v>101.07084162378135</v>
      </c>
      <c r="H38" s="70">
        <f t="shared" si="2"/>
        <v>0.13056747810815891</v>
      </c>
      <c r="I38" s="71">
        <f t="shared" si="9"/>
        <v>0.14554201193824515</v>
      </c>
      <c r="J38" s="35">
        <f t="shared" si="0"/>
        <v>2025</v>
      </c>
      <c r="K38" s="75">
        <f>$G361</f>
        <v>792.07179628818039</v>
      </c>
      <c r="L38" s="74"/>
      <c r="M38" s="74"/>
      <c r="N38" s="74"/>
      <c r="O38" s="74"/>
      <c r="P38" s="74"/>
      <c r="Q38" s="74"/>
      <c r="R38" s="74"/>
      <c r="S38" s="74"/>
      <c r="T38" s="74"/>
      <c r="U38" s="74"/>
      <c r="V38" s="74"/>
      <c r="W38" s="74"/>
      <c r="X38" s="74"/>
      <c r="Y38" s="74"/>
      <c r="Z38" s="74"/>
    </row>
    <row r="39" spans="1:26" x14ac:dyDescent="0.3">
      <c r="A39" s="66">
        <f t="shared" si="7"/>
        <v>1993.1999999999971</v>
      </c>
      <c r="B39" s="67">
        <f>LOOKUP(A39+0.01,Amounts!$A$4:$A$103,Amounts!$B$4:$B$103)*0.1*$A$2</f>
        <v>6596.6466687799993</v>
      </c>
      <c r="C39" s="68">
        <f t="shared" si="4"/>
        <v>210027.22190534012</v>
      </c>
      <c r="D39" s="67">
        <f t="array" ref="D39">SUM($B$7:$B34*$F$1009*EXP(-$F$1009*($A39-$A$7:$A34)))*$F$1010</f>
        <v>27474156.165524509</v>
      </c>
      <c r="E39" s="67">
        <f t="shared" si="1"/>
        <v>52.377053309393482</v>
      </c>
      <c r="F39" s="70">
        <f t="shared" si="8"/>
        <v>3.1803346769463721</v>
      </c>
      <c r="G39" s="67">
        <f>E39/'Lookup Tables'!$C$48</f>
        <v>104.75410661878696</v>
      </c>
      <c r="H39" s="70">
        <f t="shared" si="2"/>
        <v>0.1310752909535926</v>
      </c>
      <c r="I39" s="71">
        <f t="shared" si="9"/>
        <v>0.15084591353105323</v>
      </c>
      <c r="J39" s="35">
        <f t="shared" si="0"/>
        <v>2026</v>
      </c>
      <c r="K39" s="75">
        <f>$G371</f>
        <v>770.20140038201282</v>
      </c>
      <c r="L39" s="74"/>
      <c r="M39" s="74"/>
      <c r="N39" s="74"/>
      <c r="O39" s="74"/>
      <c r="P39" s="74"/>
      <c r="Q39" s="74"/>
      <c r="R39" s="74"/>
      <c r="S39" s="74"/>
      <c r="T39" s="74"/>
      <c r="U39" s="74"/>
      <c r="V39" s="74"/>
      <c r="W39" s="74"/>
      <c r="X39" s="74"/>
      <c r="Y39" s="74"/>
      <c r="Z39" s="74"/>
    </row>
    <row r="40" spans="1:26" x14ac:dyDescent="0.3">
      <c r="A40" s="66">
        <f t="shared" si="7"/>
        <v>1993.299999999997</v>
      </c>
      <c r="B40" s="67">
        <f>LOOKUP(A40+0.01,Amounts!$A$4:$A$103,Amounts!$B$4:$B$103)*0.1*$A$2</f>
        <v>6596.6466687799993</v>
      </c>
      <c r="C40" s="68">
        <f t="shared" si="4"/>
        <v>216623.86857412013</v>
      </c>
      <c r="D40" s="67">
        <f t="array" ref="D40">SUM($B$7:$B35*$F$1009*EXP(-$F$1009*($A40-$A$7:$A35)))*$F$1010</f>
        <v>28437475.431645386</v>
      </c>
      <c r="E40" s="67">
        <f t="shared" si="1"/>
        <v>54.213536448369474</v>
      </c>
      <c r="F40" s="70">
        <f t="shared" si="8"/>
        <v>3.2918459331449945</v>
      </c>
      <c r="G40" s="67">
        <f>E40/'Lookup Tables'!$C$48</f>
        <v>108.42707289673895</v>
      </c>
      <c r="H40" s="70">
        <f t="shared" si="2"/>
        <v>0.13153968186803594</v>
      </c>
      <c r="I40" s="71">
        <f t="shared" si="9"/>
        <v>0.15613498497130407</v>
      </c>
      <c r="J40" s="35">
        <f t="shared" si="0"/>
        <v>2027</v>
      </c>
      <c r="K40" s="75">
        <f>$G381</f>
        <v>748.93488182551812</v>
      </c>
      <c r="L40" s="74"/>
      <c r="M40" s="74"/>
      <c r="N40" s="74"/>
      <c r="O40" s="74"/>
      <c r="P40" s="74"/>
      <c r="Q40" s="74"/>
      <c r="R40" s="74"/>
      <c r="S40" s="74"/>
      <c r="T40" s="74"/>
      <c r="U40" s="74"/>
      <c r="V40" s="74"/>
      <c r="W40" s="74"/>
      <c r="X40" s="74"/>
      <c r="Y40" s="74"/>
      <c r="Z40" s="74"/>
    </row>
    <row r="41" spans="1:26" x14ac:dyDescent="0.3">
      <c r="A41" s="66">
        <f t="shared" si="7"/>
        <v>1993.3999999999969</v>
      </c>
      <c r="B41" s="67">
        <f>LOOKUP(A41+0.01,Amounts!$A$4:$A$103,Amounts!$B$4:$B$103)*0.1*$A$2</f>
        <v>6596.6466687799993</v>
      </c>
      <c r="C41" s="68">
        <f t="shared" si="4"/>
        <v>223220.51524290015</v>
      </c>
      <c r="D41" s="67">
        <f t="array" ref="D41">SUM($B$7:$B36*$F$1009*EXP(-$F$1009*($A41-$A$7:$A36)))*$F$1010</f>
        <v>29398101.176510658</v>
      </c>
      <c r="E41" s="67">
        <f t="shared" si="1"/>
        <v>56.044884626855868</v>
      </c>
      <c r="F41" s="70">
        <f t="shared" si="8"/>
        <v>3.4030453945426884</v>
      </c>
      <c r="G41" s="67">
        <f>E41/'Lookup Tables'!$C$48</f>
        <v>112.08976925371174</v>
      </c>
      <c r="H41" s="70">
        <f t="shared" si="2"/>
        <v>0.13196453438798511</v>
      </c>
      <c r="I41" s="71">
        <f t="shared" si="9"/>
        <v>0.16140926772534492</v>
      </c>
      <c r="J41" s="35">
        <f t="shared" si="0"/>
        <v>2028</v>
      </c>
      <c r="K41" s="75">
        <f>$G391</f>
        <v>728.25556657881884</v>
      </c>
      <c r="L41" s="74"/>
      <c r="M41" s="74"/>
      <c r="N41" s="74"/>
      <c r="O41" s="74"/>
      <c r="P41" s="74"/>
      <c r="Q41" s="74"/>
      <c r="R41" s="74"/>
      <c r="S41" s="74"/>
      <c r="T41" s="74"/>
      <c r="U41" s="74"/>
      <c r="V41" s="74"/>
      <c r="W41" s="74"/>
      <c r="X41" s="74"/>
      <c r="Y41" s="74"/>
      <c r="Z41" s="74"/>
    </row>
    <row r="42" spans="1:26" x14ac:dyDescent="0.3">
      <c r="A42" s="66">
        <f t="shared" si="7"/>
        <v>1993.4999999999968</v>
      </c>
      <c r="B42" s="67">
        <f>LOOKUP(A42+0.01,Amounts!$A$4:$A$103,Amounts!$B$4:$B$103)*0.1*$A$2</f>
        <v>6596.6466687799993</v>
      </c>
      <c r="C42" s="68">
        <f t="shared" si="4"/>
        <v>229817.16191168016</v>
      </c>
      <c r="D42" s="67">
        <f t="array" ref="D42">SUM($B$7:$B37*$F$1009*EXP(-$F$1009*($A42-$A$7:$A37)))*$F$1010</f>
        <v>30376842.282957923</v>
      </c>
      <c r="E42" s="67">
        <f t="shared" si="1"/>
        <v>57.910768142973119</v>
      </c>
      <c r="F42" s="70">
        <f t="shared" si="8"/>
        <v>3.5163418416413279</v>
      </c>
      <c r="G42" s="67">
        <f>E42/'Lookup Tables'!$C$48</f>
        <v>115.82153628594624</v>
      </c>
      <c r="H42" s="70">
        <f t="shared" si="2"/>
        <v>0.13244398060943813</v>
      </c>
      <c r="I42" s="71">
        <f t="shared" si="9"/>
        <v>0.16678301225176259</v>
      </c>
      <c r="J42" s="35">
        <f t="shared" si="0"/>
        <v>2029</v>
      </c>
      <c r="K42" s="75">
        <f>$G401</f>
        <v>708.14724099951218</v>
      </c>
      <c r="L42" s="74"/>
      <c r="M42" s="74"/>
      <c r="N42" s="74"/>
      <c r="O42" s="74"/>
      <c r="P42" s="74"/>
      <c r="Q42" s="74"/>
      <c r="R42" s="74"/>
      <c r="S42" s="74"/>
      <c r="T42" s="74"/>
      <c r="U42" s="74"/>
      <c r="V42" s="74"/>
      <c r="W42" s="74"/>
      <c r="X42" s="74"/>
      <c r="Y42" s="74"/>
      <c r="Z42" s="74"/>
    </row>
    <row r="43" spans="1:26" x14ac:dyDescent="0.3">
      <c r="A43" s="66">
        <f t="shared" si="7"/>
        <v>1993.5999999999967</v>
      </c>
      <c r="B43" s="67">
        <f>LOOKUP(A43+0.01,Amounts!$A$4:$A$103,Amounts!$B$4:$B$103)*0.1*$A$2</f>
        <v>6596.6466687799993</v>
      </c>
      <c r="C43" s="68">
        <f t="shared" si="4"/>
        <v>236413.80858046017</v>
      </c>
      <c r="D43" s="67">
        <f t="array" ref="D43">SUM($B$7:$B38*$F$1009*EXP(-$F$1009*($A43-$A$7:$A38)))*$F$1010</f>
        <v>31352846.747393887</v>
      </c>
      <c r="E43" s="67">
        <f t="shared" si="1"/>
        <v>59.771434492686744</v>
      </c>
      <c r="F43" s="70">
        <f t="shared" si="8"/>
        <v>3.6293215023959391</v>
      </c>
      <c r="G43" s="67">
        <f>E43/'Lookup Tables'!$C$48</f>
        <v>119.54286898537349</v>
      </c>
      <c r="H43" s="70">
        <f t="shared" si="2"/>
        <v>0.13288507197609059</v>
      </c>
      <c r="I43" s="71">
        <f t="shared" si="9"/>
        <v>0.17214173133893781</v>
      </c>
      <c r="J43" s="35">
        <f t="shared" si="0"/>
        <v>2030</v>
      </c>
      <c r="K43" s="75">
        <f>$G411</f>
        <v>688.59413913034155</v>
      </c>
      <c r="L43" s="74"/>
      <c r="M43" s="74"/>
      <c r="N43" s="74"/>
      <c r="O43" s="74"/>
      <c r="P43" s="74"/>
      <c r="Q43" s="74"/>
      <c r="R43" s="74"/>
      <c r="S43" s="74"/>
      <c r="T43" s="74"/>
      <c r="U43" s="74"/>
      <c r="V43" s="74"/>
      <c r="W43" s="74"/>
      <c r="X43" s="74"/>
      <c r="Y43" s="74"/>
      <c r="Z43" s="74"/>
    </row>
    <row r="44" spans="1:26" x14ac:dyDescent="0.3">
      <c r="A44" s="66">
        <f t="shared" si="7"/>
        <v>1993.6999999999966</v>
      </c>
      <c r="B44" s="67">
        <f>LOOKUP(A44+0.01,Amounts!$A$4:$A$103,Amounts!$B$4:$B$103)*0.1*$A$2</f>
        <v>6596.6466687799993</v>
      </c>
      <c r="C44" s="68">
        <f t="shared" si="4"/>
        <v>243010.45524924019</v>
      </c>
      <c r="D44" s="67">
        <f t="array" ref="D44">SUM($B$7:$B39*$F$1009*EXP(-$F$1009*($A44-$A$7:$A39)))*$F$1010</f>
        <v>32326122.221698564</v>
      </c>
      <c r="E44" s="67">
        <f t="shared" si="1"/>
        <v>61.62689826363048</v>
      </c>
      <c r="F44" s="70">
        <f t="shared" si="8"/>
        <v>3.7419852625676429</v>
      </c>
      <c r="G44" s="67">
        <f>E44/'Lookup Tables'!$C$48</f>
        <v>123.25379652726096</v>
      </c>
      <c r="H44" s="70">
        <f t="shared" si="2"/>
        <v>0.13329096352723885</v>
      </c>
      <c r="I44" s="71">
        <f t="shared" si="9"/>
        <v>0.1774854669992558</v>
      </c>
      <c r="J44" s="35">
        <f t="shared" si="0"/>
        <v>2031</v>
      </c>
      <c r="K44" s="75">
        <f>$G421</f>
        <v>669.58093033788111</v>
      </c>
      <c r="L44" s="74"/>
      <c r="M44" s="74"/>
      <c r="N44" s="74"/>
      <c r="O44" s="74"/>
      <c r="P44" s="74"/>
      <c r="Q44" s="74"/>
      <c r="R44" s="74"/>
      <c r="S44" s="74"/>
      <c r="T44" s="74"/>
      <c r="U44" s="74"/>
      <c r="V44" s="74"/>
      <c r="W44" s="74"/>
      <c r="X44" s="74"/>
      <c r="Y44" s="74"/>
      <c r="Z44" s="74"/>
    </row>
    <row r="45" spans="1:26" x14ac:dyDescent="0.3">
      <c r="A45" s="66">
        <f t="shared" si="7"/>
        <v>1993.7999999999965</v>
      </c>
      <c r="B45" s="67">
        <f>LOOKUP(A45+0.01,Amounts!$A$4:$A$103,Amounts!$B$4:$B$103)*0.1*$A$2</f>
        <v>6596.6466687799993</v>
      </c>
      <c r="C45" s="68">
        <f t="shared" si="4"/>
        <v>249607.1019180202</v>
      </c>
      <c r="D45" s="67">
        <f t="array" ref="D45">SUM($B$7:$B40*$F$1009*EXP(-$F$1009*($A45-$A$7:$A40)))*$F$1010</f>
        <v>33296676.336356644</v>
      </c>
      <c r="E45" s="67">
        <f t="shared" si="1"/>
        <v>63.477174002649775</v>
      </c>
      <c r="F45" s="70">
        <f t="shared" si="8"/>
        <v>3.8543340054408941</v>
      </c>
      <c r="G45" s="67">
        <f>E45/'Lookup Tables'!$C$48</f>
        <v>126.95434800529955</v>
      </c>
      <c r="H45" s="70">
        <f t="shared" si="2"/>
        <v>0.13366447668925105</v>
      </c>
      <c r="I45" s="71">
        <f t="shared" si="9"/>
        <v>0.18281426112763136</v>
      </c>
      <c r="J45" s="35">
        <f t="shared" si="0"/>
        <v>2032</v>
      </c>
      <c r="K45" s="75">
        <f>$G431</f>
        <v>651.09270729252796</v>
      </c>
      <c r="L45" s="74"/>
      <c r="M45" s="74"/>
      <c r="N45" s="74"/>
      <c r="O45" s="74"/>
      <c r="P45" s="74"/>
      <c r="Q45" s="74"/>
      <c r="R45" s="74"/>
      <c r="S45" s="74"/>
      <c r="T45" s="74"/>
      <c r="U45" s="74"/>
      <c r="V45" s="74"/>
      <c r="W45" s="74"/>
      <c r="X45" s="74"/>
      <c r="Y45" s="74"/>
      <c r="Z45" s="74"/>
    </row>
    <row r="46" spans="1:26" x14ac:dyDescent="0.3">
      <c r="A46" s="66">
        <f t="shared" si="7"/>
        <v>1993.8999999999965</v>
      </c>
      <c r="B46" s="67">
        <f>LOOKUP(A46+0.01,Amounts!$A$4:$A$103,Amounts!$B$4:$B$103)*0.1*$A$2</f>
        <v>6596.6466687799993</v>
      </c>
      <c r="C46" s="68">
        <f t="shared" si="4"/>
        <v>256203.74858680021</v>
      </c>
      <c r="D46" s="67">
        <f t="array" ref="D46">SUM($B$7:$B41*$F$1009*EXP(-$F$1009*($A46-$A$7:$A41)))*$F$1010</f>
        <v>34264516.700517356</v>
      </c>
      <c r="E46" s="67">
        <f t="shared" si="1"/>
        <v>65.322276215915892</v>
      </c>
      <c r="F46" s="70">
        <f t="shared" si="8"/>
        <v>3.9663686118304136</v>
      </c>
      <c r="G46" s="67">
        <f>E46/'Lookup Tables'!$C$48</f>
        <v>130.64455243183178</v>
      </c>
      <c r="H46" s="70">
        <f t="shared" si="2"/>
        <v>0.13400814222456026</v>
      </c>
      <c r="I46" s="71">
        <f t="shared" si="9"/>
        <v>0.18812815550183778</v>
      </c>
      <c r="J46" s="35">
        <f t="shared" si="0"/>
        <v>2033</v>
      </c>
      <c r="K46" s="75">
        <f>$G441</f>
        <v>633.11497428040025</v>
      </c>
      <c r="L46" s="74"/>
      <c r="M46" s="74"/>
      <c r="N46" s="74"/>
      <c r="O46" s="74"/>
      <c r="P46" s="74"/>
      <c r="Q46" s="74"/>
      <c r="R46" s="74"/>
      <c r="S46" s="74"/>
      <c r="T46" s="74"/>
      <c r="U46" s="74"/>
      <c r="V46" s="74"/>
      <c r="W46" s="74"/>
      <c r="X46" s="74"/>
      <c r="Y46" s="74"/>
      <c r="Z46" s="74"/>
    </row>
    <row r="47" spans="1:26" x14ac:dyDescent="0.3">
      <c r="A47" s="66">
        <f t="shared" si="7"/>
        <v>1993.9999999999964</v>
      </c>
      <c r="B47" s="67">
        <f>LOOKUP(A47+0.01,Amounts!$A$4:$A$103,Amounts!$B$4:$B$103)*0.1*$A$2</f>
        <v>6728.6598804600007</v>
      </c>
      <c r="C47" s="68">
        <f t="shared" si="4"/>
        <v>262932.40846726019</v>
      </c>
      <c r="D47" s="67">
        <f t="array" ref="D47">SUM($B$7:$B42*$F$1009*EXP(-$F$1009*($A47-$A$7:$A42)))*$F$1010</f>
        <v>35229650.902054138</v>
      </c>
      <c r="E47" s="67">
        <f t="shared" si="1"/>
        <v>67.162219369039704</v>
      </c>
      <c r="F47" s="70">
        <f t="shared" si="8"/>
        <v>4.0780899600880911</v>
      </c>
      <c r="G47" s="67">
        <f>E47/'Lookup Tables'!$C$48</f>
        <v>134.32443873807941</v>
      </c>
      <c r="H47" s="70">
        <f t="shared" si="2"/>
        <v>0.13425679514422739</v>
      </c>
      <c r="I47" s="71">
        <f t="shared" si="9"/>
        <v>0.19342719178283435</v>
      </c>
      <c r="J47" s="35">
        <f t="shared" si="0"/>
        <v>2034</v>
      </c>
      <c r="K47" s="75">
        <f>$G451</f>
        <v>615.63363583794762</v>
      </c>
      <c r="L47" s="74"/>
      <c r="M47" s="74"/>
      <c r="N47" s="74"/>
      <c r="O47" s="74"/>
      <c r="P47" s="74"/>
      <c r="Q47" s="74"/>
      <c r="R47" s="74"/>
      <c r="S47" s="74"/>
      <c r="T47" s="74"/>
      <c r="U47" s="74"/>
      <c r="V47" s="74"/>
      <c r="W47" s="74"/>
      <c r="X47" s="74"/>
      <c r="Y47" s="74"/>
      <c r="Z47" s="74"/>
    </row>
    <row r="48" spans="1:26" x14ac:dyDescent="0.3">
      <c r="A48" s="66">
        <f t="shared" si="7"/>
        <v>1994.0999999999963</v>
      </c>
      <c r="B48" s="67">
        <f>LOOKUP(A48+0.01,Amounts!$A$4:$A$103,Amounts!$B$4:$B$103)*0.1*$A$2</f>
        <v>6728.6598804600007</v>
      </c>
      <c r="C48" s="68">
        <f t="shared" si="4"/>
        <v>269661.0683477202</v>
      </c>
      <c r="D48" s="67">
        <f t="array" ref="D48">SUM($B$7:$B43*$F$1009*EXP(-$F$1009*($A48-$A$7:$A43)))*$F$1010</f>
        <v>36192086.507624045</v>
      </c>
      <c r="E48" s="67">
        <f t="shared" si="1"/>
        <v>68.997017887184882</v>
      </c>
      <c r="F48" s="70">
        <f t="shared" si="8"/>
        <v>4.1894989261098656</v>
      </c>
      <c r="G48" s="67">
        <f>E48/'Lookup Tables'!$C$48</f>
        <v>137.99403577436976</v>
      </c>
      <c r="H48" s="70">
        <f t="shared" si="2"/>
        <v>0.13448301166982662</v>
      </c>
      <c r="I48" s="71">
        <f t="shared" si="9"/>
        <v>0.19871141151509245</v>
      </c>
      <c r="J48" s="35">
        <f t="shared" si="0"/>
        <v>2035</v>
      </c>
      <c r="K48" s="75">
        <f>$G461</f>
        <v>598.63498570039053</v>
      </c>
      <c r="L48" s="74"/>
      <c r="M48" s="74"/>
      <c r="N48" s="74"/>
      <c r="O48" s="74"/>
      <c r="P48" s="74"/>
      <c r="Q48" s="74"/>
      <c r="R48" s="74"/>
      <c r="S48" s="74"/>
      <c r="T48" s="74"/>
      <c r="U48" s="74"/>
      <c r="V48" s="74"/>
      <c r="W48" s="74"/>
      <c r="X48" s="74"/>
      <c r="Y48" s="74"/>
      <c r="Z48" s="74"/>
    </row>
    <row r="49" spans="1:26" x14ac:dyDescent="0.3">
      <c r="A49" s="66">
        <f t="shared" si="7"/>
        <v>1994.1999999999962</v>
      </c>
      <c r="B49" s="67">
        <f>LOOKUP(A49+0.01,Amounts!$A$4:$A$103,Amounts!$B$4:$B$103)*0.1*$A$2</f>
        <v>6728.6598804600007</v>
      </c>
      <c r="C49" s="68">
        <f t="shared" si="4"/>
        <v>276389.7282281802</v>
      </c>
      <c r="D49" s="67">
        <f t="array" ref="D49">SUM($B$7:$B44*$F$1009*EXP(-$F$1009*($A49-$A$7:$A44)))*$F$1010</f>
        <v>37151831.062727161</v>
      </c>
      <c r="E49" s="67">
        <f t="shared" si="1"/>
        <v>70.826686155181221</v>
      </c>
      <c r="F49" s="70">
        <f t="shared" si="8"/>
        <v>4.3005963833426035</v>
      </c>
      <c r="G49" s="67">
        <f>E49/'Lookup Tables'!$C$48</f>
        <v>141.65337231036244</v>
      </c>
      <c r="H49" s="70">
        <f t="shared" si="2"/>
        <v>0.13468845778678867</v>
      </c>
      <c r="I49" s="71">
        <f t="shared" si="9"/>
        <v>0.20398085612692188</v>
      </c>
      <c r="J49" s="35">
        <f t="shared" si="0"/>
        <v>2036</v>
      </c>
      <c r="K49" s="75">
        <f>$G471</f>
        <v>582.10569605530486</v>
      </c>
      <c r="L49" s="74"/>
      <c r="M49" s="74"/>
      <c r="N49" s="74"/>
      <c r="O49" s="74"/>
      <c r="P49" s="74"/>
      <c r="Q49" s="74"/>
      <c r="R49" s="74"/>
      <c r="S49" s="74"/>
      <c r="T49" s="74"/>
      <c r="U49" s="74"/>
      <c r="V49" s="74"/>
      <c r="W49" s="74"/>
      <c r="X49" s="74"/>
      <c r="Y49" s="74"/>
      <c r="Z49" s="74"/>
    </row>
    <row r="50" spans="1:26" x14ac:dyDescent="0.3">
      <c r="A50" s="66">
        <f t="shared" si="7"/>
        <v>1994.2999999999961</v>
      </c>
      <c r="B50" s="67">
        <f>LOOKUP(A50+0.01,Amounts!$A$4:$A$103,Amounts!$B$4:$B$103)*0.1*$A$2</f>
        <v>6728.6598804600007</v>
      </c>
      <c r="C50" s="68">
        <f t="shared" si="4"/>
        <v>283118.38810864021</v>
      </c>
      <c r="D50" s="67">
        <f t="array" ref="D50">SUM($B$7:$B45*$F$1009*EXP(-$F$1009*($A50-$A$7:$A45)))*$F$1010</f>
        <v>38108892.091765724</v>
      </c>
      <c r="E50" s="67">
        <f t="shared" si="1"/>
        <v>72.651238517637324</v>
      </c>
      <c r="F50" s="70">
        <f t="shared" si="8"/>
        <v>4.4113832027909385</v>
      </c>
      <c r="G50" s="67">
        <f>E50/'Lookup Tables'!$C$48</f>
        <v>145.30247703527465</v>
      </c>
      <c r="H50" s="70">
        <f t="shared" si="2"/>
        <v>0.13487464102902907</v>
      </c>
      <c r="I50" s="71">
        <f t="shared" si="9"/>
        <v>0.20923556693079551</v>
      </c>
      <c r="J50" s="35">
        <f t="shared" si="0"/>
        <v>2037</v>
      </c>
      <c r="K50" s="75">
        <f>$G481</f>
        <v>566.03280709293608</v>
      </c>
      <c r="L50" s="74"/>
      <c r="M50" s="74"/>
      <c r="N50" s="74"/>
      <c r="O50" s="74"/>
      <c r="P50" s="74"/>
      <c r="Q50" s="74"/>
      <c r="R50" s="74"/>
      <c r="S50" s="74"/>
      <c r="T50" s="74"/>
      <c r="U50" s="74"/>
      <c r="V50" s="74"/>
      <c r="W50" s="74"/>
      <c r="X50" s="74"/>
      <c r="Y50" s="74"/>
      <c r="Z50" s="74"/>
    </row>
    <row r="51" spans="1:26" x14ac:dyDescent="0.3">
      <c r="A51" s="66">
        <f t="shared" si="7"/>
        <v>1994.399999999996</v>
      </c>
      <c r="B51" s="67">
        <f>LOOKUP(A51+0.01,Amounts!$A$4:$A$103,Amounts!$B$4:$B$103)*0.1*$A$2</f>
        <v>6728.6598804600007</v>
      </c>
      <c r="C51" s="68">
        <f t="shared" si="4"/>
        <v>289847.04798910022</v>
      </c>
      <c r="D51" s="67">
        <f t="array" ref="D51">SUM($B$7:$B46*$F$1009*EXP(-$F$1009*($A51-$A$7:$A46)))*$F$1010</f>
        <v>39063277.098103091</v>
      </c>
      <c r="E51" s="67">
        <f t="shared" si="1"/>
        <v>74.470689279053047</v>
      </c>
      <c r="F51" s="70">
        <f t="shared" si="8"/>
        <v>4.5218602530241014</v>
      </c>
      <c r="G51" s="67">
        <f>E51/'Lookup Tables'!$C$48</f>
        <v>148.94137855810609</v>
      </c>
      <c r="H51" s="70">
        <f t="shared" si="2"/>
        <v>0.1350429288710307</v>
      </c>
      <c r="I51" s="71">
        <f t="shared" si="9"/>
        <v>0.21447558512367279</v>
      </c>
      <c r="J51" s="35">
        <f t="shared" si="0"/>
        <v>2038</v>
      </c>
      <c r="K51" s="75">
        <f>$G491</f>
        <v>550.40371684503896</v>
      </c>
      <c r="L51" s="74"/>
      <c r="M51" s="74"/>
      <c r="N51" s="74"/>
      <c r="O51" s="74"/>
      <c r="P51" s="74"/>
      <c r="Q51" s="74"/>
      <c r="R51" s="74"/>
      <c r="S51" s="74"/>
      <c r="T51" s="74"/>
      <c r="U51" s="74"/>
      <c r="V51" s="74"/>
      <c r="W51" s="74"/>
      <c r="X51" s="74"/>
      <c r="Y51" s="74"/>
      <c r="Z51" s="74"/>
    </row>
    <row r="52" spans="1:26" x14ac:dyDescent="0.3">
      <c r="A52" s="66">
        <f t="shared" si="7"/>
        <v>1994.4999999999959</v>
      </c>
      <c r="B52" s="67">
        <f>LOOKUP(A52+0.01,Amounts!$A$4:$A$103,Amounts!$B$4:$B$103)*0.1*$A$2</f>
        <v>6728.6598804600007</v>
      </c>
      <c r="C52" s="68">
        <f t="shared" si="4"/>
        <v>296575.70786956022</v>
      </c>
      <c r="D52" s="67">
        <f t="array" ref="D52">SUM($B$7:$B47*$F$1009*EXP(-$F$1009*($A52-$A$7:$A47)))*$F$1010</f>
        <v>40036225.288439676</v>
      </c>
      <c r="E52" s="67">
        <f t="shared" si="1"/>
        <v>76.325529112004276</v>
      </c>
      <c r="F52" s="70">
        <f t="shared" si="8"/>
        <v>4.6344861276808995</v>
      </c>
      <c r="G52" s="67">
        <f>E52/'Lookup Tables'!$C$48</f>
        <v>152.65105822400855</v>
      </c>
      <c r="H52" s="70">
        <f t="shared" si="2"/>
        <v>0.13526629807089105</v>
      </c>
      <c r="I52" s="71">
        <f t="shared" si="9"/>
        <v>0.21981752384257233</v>
      </c>
      <c r="J52" s="35">
        <f t="shared" si="0"/>
        <v>2039</v>
      </c>
      <c r="K52" s="75">
        <f>$G501</f>
        <v>535.20617130429719</v>
      </c>
      <c r="L52" s="74"/>
      <c r="M52" s="74"/>
      <c r="N52" s="74"/>
      <c r="O52" s="74"/>
      <c r="P52" s="74"/>
      <c r="Q52" s="74"/>
      <c r="R52" s="74"/>
      <c r="S52" s="74"/>
      <c r="T52" s="74"/>
      <c r="U52" s="74"/>
      <c r="V52" s="74"/>
      <c r="W52" s="74"/>
      <c r="X52" s="74"/>
      <c r="Y52" s="74"/>
      <c r="Z52" s="74"/>
    </row>
    <row r="53" spans="1:26" x14ac:dyDescent="0.3">
      <c r="A53" s="66">
        <f t="shared" si="7"/>
        <v>1994.5999999999958</v>
      </c>
      <c r="B53" s="67">
        <f>LOOKUP(A53+0.01,Amounts!$A$4:$A$103,Amounts!$B$4:$B$103)*0.1*$A$2</f>
        <v>6728.6598804600007</v>
      </c>
      <c r="C53" s="68">
        <f t="shared" si="4"/>
        <v>303304.36775002023</v>
      </c>
      <c r="D53" s="67">
        <f t="array" ref="D53">SUM($B$7:$B48*$F$1009*EXP(-$F$1009*($A53-$A$7:$A48)))*$F$1010</f>
        <v>41006453.034243017</v>
      </c>
      <c r="E53" s="67">
        <f t="shared" si="1"/>
        <v>78.17518265761386</v>
      </c>
      <c r="F53" s="70">
        <f t="shared" si="8"/>
        <v>4.746797090970313</v>
      </c>
      <c r="G53" s="67">
        <f>E53/'Lookup Tables'!$C$48</f>
        <v>156.35036531522772</v>
      </c>
      <c r="H53" s="70">
        <f t="shared" si="2"/>
        <v>0.13547076921327686</v>
      </c>
      <c r="I53" s="71">
        <f t="shared" si="9"/>
        <v>0.2251445260539279</v>
      </c>
      <c r="J53" s="35">
        <f t="shared" si="0"/>
        <v>2040</v>
      </c>
      <c r="K53" s="75">
        <f>$G511</f>
        <v>520.428254816547</v>
      </c>
      <c r="L53" s="74"/>
      <c r="M53" s="74"/>
      <c r="N53" s="74"/>
      <c r="O53" s="74"/>
      <c r="P53" s="74"/>
      <c r="Q53" s="74"/>
      <c r="R53" s="74"/>
      <c r="S53" s="74"/>
      <c r="T53" s="74"/>
      <c r="U53" s="74"/>
      <c r="V53" s="74"/>
      <c r="W53" s="74"/>
      <c r="X53" s="74"/>
      <c r="Y53" s="74"/>
      <c r="Z53" s="74"/>
    </row>
    <row r="54" spans="1:26" x14ac:dyDescent="0.3">
      <c r="A54" s="66">
        <f t="shared" si="7"/>
        <v>1994.6999999999957</v>
      </c>
      <c r="B54" s="67">
        <f>LOOKUP(A54+0.01,Amounts!$A$4:$A$103,Amounts!$B$4:$B$103)*0.1*$A$2</f>
        <v>6728.6598804600007</v>
      </c>
      <c r="C54" s="68">
        <f t="shared" si="4"/>
        <v>310033.02763048024</v>
      </c>
      <c r="D54" s="67">
        <f t="array" ref="D54">SUM($B$7:$B49*$F$1009*EXP(-$F$1009*($A54-$A$7:$A49)))*$F$1010</f>
        <v>41973967.942103609</v>
      </c>
      <c r="E54" s="67">
        <f t="shared" si="1"/>
        <v>80.019664417175107</v>
      </c>
      <c r="F54" s="70">
        <f t="shared" si="8"/>
        <v>4.8587940234108729</v>
      </c>
      <c r="G54" s="67">
        <f>E54/'Lookup Tables'!$C$48</f>
        <v>160.03932883435021</v>
      </c>
      <c r="H54" s="70">
        <f t="shared" si="2"/>
        <v>0.1356575973182941</v>
      </c>
      <c r="I54" s="71">
        <f t="shared" si="9"/>
        <v>0.23045663352146431</v>
      </c>
      <c r="J54" s="35">
        <f t="shared" si="0"/>
        <v>2041</v>
      </c>
      <c r="K54" s="77">
        <f>$G521</f>
        <v>506.05838073829813</v>
      </c>
      <c r="L54" s="74"/>
      <c r="M54" s="74"/>
      <c r="N54" s="74"/>
      <c r="O54" s="74"/>
      <c r="P54" s="74"/>
      <c r="Q54" s="74"/>
      <c r="R54" s="74"/>
      <c r="S54" s="74"/>
      <c r="T54" s="74"/>
      <c r="U54" s="74"/>
      <c r="V54" s="74"/>
      <c r="W54" s="74"/>
      <c r="X54" s="74"/>
      <c r="Y54" s="74"/>
      <c r="Z54" s="74"/>
    </row>
    <row r="55" spans="1:26" x14ac:dyDescent="0.3">
      <c r="A55" s="66">
        <f t="shared" si="7"/>
        <v>1994.7999999999956</v>
      </c>
      <c r="B55" s="67">
        <f>LOOKUP(A55+0.01,Amounts!$A$4:$A$103,Amounts!$B$4:$B$103)*0.1*$A$2</f>
        <v>6728.6598804600007</v>
      </c>
      <c r="C55" s="68">
        <f t="shared" si="4"/>
        <v>316761.68751094025</v>
      </c>
      <c r="D55" s="67">
        <f t="array" ref="D55">SUM($B$7:$B50*$F$1009*EXP(-$F$1009*($A55-$A$7:$A50)))*$F$1010</f>
        <v>42938777.597343303</v>
      </c>
      <c r="E55" s="67">
        <f t="shared" si="1"/>
        <v>81.858988851434489</v>
      </c>
      <c r="F55" s="70">
        <f t="shared" si="8"/>
        <v>4.9704778030591017</v>
      </c>
      <c r="G55" s="67">
        <f>E55/'Lookup Tables'!$C$48</f>
        <v>163.71797770286898</v>
      </c>
      <c r="H55" s="70">
        <f t="shared" si="2"/>
        <v>0.13582793070209279</v>
      </c>
      <c r="I55" s="71">
        <f t="shared" si="9"/>
        <v>0.23575388789213131</v>
      </c>
      <c r="J55" s="35">
        <f t="shared" si="0"/>
        <v>2042</v>
      </c>
      <c r="K55" s="77">
        <f>$G531</f>
        <v>492.08528235220962</v>
      </c>
      <c r="L55" s="74"/>
      <c r="M55" s="74"/>
      <c r="N55" s="74"/>
      <c r="O55" s="74"/>
      <c r="P55" s="74"/>
      <c r="Q55" s="74"/>
      <c r="R55" s="74"/>
      <c r="S55" s="74"/>
      <c r="T55" s="74"/>
      <c r="U55" s="74"/>
      <c r="V55" s="74"/>
      <c r="W55" s="74"/>
      <c r="X55" s="74"/>
      <c r="Y55" s="74"/>
      <c r="Z55" s="74"/>
    </row>
    <row r="56" spans="1:26" x14ac:dyDescent="0.3">
      <c r="A56" s="66">
        <f t="shared" si="7"/>
        <v>1994.8999999999955</v>
      </c>
      <c r="B56" s="67">
        <f>LOOKUP(A56+0.01,Amounts!$A$4:$A$103,Amounts!$B$4:$B$103)*0.1*$A$2</f>
        <v>6728.6598804600007</v>
      </c>
      <c r="C56" s="68">
        <f t="shared" si="4"/>
        <v>323490.34739140025</v>
      </c>
      <c r="D56" s="67">
        <f t="array" ref="D56">SUM($B$7:$B51*$F$1009*EXP(-$F$1009*($A56-$A$7:$A51)))*$F$1010</f>
        <v>43900889.564074732</v>
      </c>
      <c r="E56" s="67">
        <f t="shared" si="1"/>
        <v>83.69317038070497</v>
      </c>
      <c r="F56" s="70">
        <f t="shared" si="8"/>
        <v>5.081849305516406</v>
      </c>
      <c r="G56" s="67">
        <f>E56/'Lookup Tables'!$C$48</f>
        <v>167.38634076140994</v>
      </c>
      <c r="H56" s="70">
        <f t="shared" si="2"/>
        <v>0.1359828220743626</v>
      </c>
      <c r="I56" s="71">
        <f t="shared" si="9"/>
        <v>0.24103633069643032</v>
      </c>
      <c r="J56" s="35">
        <f t="shared" si="0"/>
        <v>2043</v>
      </c>
      <c r="K56" s="77">
        <f>$G541</f>
        <v>478.49800403340805</v>
      </c>
      <c r="L56" s="74"/>
      <c r="M56" s="74"/>
      <c r="N56" s="74"/>
      <c r="O56" s="74"/>
      <c r="P56" s="74"/>
      <c r="Q56" s="74"/>
      <c r="R56" s="74"/>
      <c r="S56" s="74"/>
      <c r="T56" s="74"/>
      <c r="U56" s="74"/>
      <c r="V56" s="74"/>
      <c r="W56" s="74"/>
      <c r="X56" s="74"/>
      <c r="Y56" s="74"/>
      <c r="Z56" s="74"/>
    </row>
    <row r="57" spans="1:26" x14ac:dyDescent="0.3">
      <c r="A57" s="66">
        <f t="shared" si="7"/>
        <v>1994.9999999999955</v>
      </c>
      <c r="B57" s="67">
        <f>LOOKUP(A57+0.01,Amounts!$A$4:$A$103,Amounts!$B$4:$B$103)*0.1*$A$2</f>
        <v>6863.1260403300003</v>
      </c>
      <c r="C57" s="68">
        <f t="shared" si="4"/>
        <v>330353.47343173024</v>
      </c>
      <c r="D57" s="67">
        <f t="array" ref="D57">SUM($B$7:$B52*$F$1009*EXP(-$F$1009*($A57-$A$7:$A52)))*$F$1010</f>
        <v>44860311.385260642</v>
      </c>
      <c r="E57" s="67">
        <f t="shared" si="1"/>
        <v>85.5222233849791</v>
      </c>
      <c r="F57" s="70">
        <f t="shared" si="8"/>
        <v>5.192909403935932</v>
      </c>
      <c r="G57" s="67">
        <f>E57/'Lookup Tables'!$C$48</f>
        <v>171.0444467699582</v>
      </c>
      <c r="H57" s="70">
        <f t="shared" si="2"/>
        <v>0.13606783105440645</v>
      </c>
      <c r="I57" s="71">
        <f t="shared" si="9"/>
        <v>0.24630400334873981</v>
      </c>
      <c r="J57" s="35">
        <f t="shared" si="0"/>
        <v>2044</v>
      </c>
      <c r="K57" s="77">
        <f>$G551</f>
        <v>465.28589265971397</v>
      </c>
      <c r="L57" s="74"/>
      <c r="M57" s="74"/>
      <c r="N57" s="74"/>
      <c r="O57" s="74"/>
      <c r="P57" s="74"/>
      <c r="Q57" s="74"/>
      <c r="R57" s="74"/>
      <c r="S57" s="74"/>
      <c r="T57" s="74"/>
      <c r="U57" s="74"/>
      <c r="V57" s="74"/>
      <c r="W57" s="74"/>
      <c r="X57" s="74"/>
      <c r="Y57" s="74"/>
      <c r="Z57" s="74"/>
    </row>
    <row r="58" spans="1:26" x14ac:dyDescent="0.3">
      <c r="A58" s="66">
        <f t="shared" si="7"/>
        <v>1995.0999999999954</v>
      </c>
      <c r="B58" s="67">
        <f>LOOKUP(A58+0.01,Amounts!$A$4:$A$103,Amounts!$B$4:$B$103)*0.1*$A$2</f>
        <v>6863.1260403300003</v>
      </c>
      <c r="C58" s="68">
        <f t="shared" si="4"/>
        <v>337216.59947206022</v>
      </c>
      <c r="D58" s="67">
        <f t="array" ref="D58">SUM($B$7:$B53*$F$1009*EXP(-$F$1009*($A58-$A$7:$A53)))*$F$1010</f>
        <v>45817050.582773015</v>
      </c>
      <c r="E58" s="67">
        <f t="shared" si="1"/>
        <v>87.346162204041846</v>
      </c>
      <c r="F58" s="70">
        <f t="shared" si="8"/>
        <v>5.3036589690294207</v>
      </c>
      <c r="G58" s="67">
        <f>E58/'Lookup Tables'!$C$48</f>
        <v>174.69232440808369</v>
      </c>
      <c r="H58" s="70">
        <f t="shared" si="2"/>
        <v>0.13614140859708229</v>
      </c>
      <c r="I58" s="71">
        <f t="shared" si="9"/>
        <v>0.25155694714764054</v>
      </c>
      <c r="J58" s="35">
        <f t="shared" si="0"/>
        <v>2045</v>
      </c>
      <c r="K58" s="77">
        <f>$G561</f>
        <v>452.43858925905079</v>
      </c>
      <c r="L58" s="74"/>
      <c r="M58" s="74"/>
      <c r="N58" s="74"/>
      <c r="O58" s="74"/>
      <c r="P58" s="74"/>
      <c r="Q58" s="74"/>
      <c r="R58" s="74"/>
      <c r="S58" s="74"/>
      <c r="T58" s="74"/>
      <c r="U58" s="74"/>
      <c r="V58" s="74"/>
      <c r="W58" s="74"/>
      <c r="X58" s="74"/>
      <c r="Y58" s="74"/>
      <c r="Z58" s="74"/>
    </row>
    <row r="59" spans="1:26" x14ac:dyDescent="0.3">
      <c r="A59" s="66">
        <f t="shared" si="7"/>
        <v>1995.1999999999953</v>
      </c>
      <c r="B59" s="67">
        <f>LOOKUP(A59+0.01,Amounts!$A$4:$A$103,Amounts!$B$4:$B$103)*0.1*$A$2</f>
        <v>6863.1260403300003</v>
      </c>
      <c r="C59" s="68">
        <f t="shared" si="4"/>
        <v>344079.7255123902</v>
      </c>
      <c r="D59" s="67">
        <f t="array" ref="D59">SUM($B$7:$B54*$F$1009*EXP(-$F$1009*($A59-$A$7:$A54)))*$F$1010</f>
        <v>46771114.657452077</v>
      </c>
      <c r="E59" s="67">
        <f t="shared" si="1"/>
        <v>89.165001137582877</v>
      </c>
      <c r="F59" s="70">
        <f t="shared" si="8"/>
        <v>5.4140988690740315</v>
      </c>
      <c r="G59" s="67">
        <f>E59/'Lookup Tables'!$C$48</f>
        <v>178.33000227516575</v>
      </c>
      <c r="H59" s="70">
        <f t="shared" si="2"/>
        <v>0.13620426059141913</v>
      </c>
      <c r="I59" s="71">
        <f t="shared" si="9"/>
        <v>0.25679520327623867</v>
      </c>
      <c r="J59" s="35">
        <f t="shared" si="0"/>
        <v>2046</v>
      </c>
      <c r="K59" s="77">
        <f>$G571</f>
        <v>439.94602088748002</v>
      </c>
      <c r="L59" s="74"/>
      <c r="M59" s="74"/>
      <c r="N59" s="74"/>
      <c r="O59" s="74"/>
      <c r="P59" s="74"/>
      <c r="Q59" s="74"/>
      <c r="R59" s="74"/>
      <c r="S59" s="74"/>
      <c r="T59" s="74"/>
      <c r="U59" s="74"/>
      <c r="V59" s="74"/>
      <c r="W59" s="74"/>
      <c r="X59" s="74"/>
      <c r="Y59" s="74"/>
      <c r="Z59" s="74"/>
    </row>
    <row r="60" spans="1:26" x14ac:dyDescent="0.3">
      <c r="A60" s="66">
        <f t="shared" si="7"/>
        <v>1995.2999999999952</v>
      </c>
      <c r="B60" s="67">
        <f>LOOKUP(A60+0.01,Amounts!$A$4:$A$103,Amounts!$B$4:$B$103)*0.1*$A$2</f>
        <v>6863.1260403300003</v>
      </c>
      <c r="C60" s="68">
        <f t="shared" si="4"/>
        <v>350942.85155272018</v>
      </c>
      <c r="D60" s="67">
        <f t="array" ref="D60">SUM($B$7:$B55*$F$1009*EXP(-$F$1009*($A60-$A$7:$A55)))*$F$1010</f>
        <v>47722511.089165039</v>
      </c>
      <c r="E60" s="67">
        <f t="shared" si="1"/>
        <v>90.978754445308709</v>
      </c>
      <c r="F60" s="70">
        <f t="shared" si="8"/>
        <v>5.5242299699191442</v>
      </c>
      <c r="G60" s="67">
        <f>E60/'Lookup Tables'!$C$48</f>
        <v>181.95750889061742</v>
      </c>
      <c r="H60" s="70">
        <f t="shared" si="2"/>
        <v>0.13625703764839547</v>
      </c>
      <c r="I60" s="71">
        <f t="shared" si="9"/>
        <v>0.26201881280248907</v>
      </c>
      <c r="J60" s="35">
        <f t="shared" si="0"/>
        <v>2047</v>
      </c>
      <c r="K60" s="77">
        <f>$G581</f>
        <v>427.79839273149457</v>
      </c>
      <c r="L60" s="74"/>
      <c r="M60" s="74"/>
      <c r="N60" s="74"/>
      <c r="O60" s="74"/>
      <c r="P60" s="74"/>
      <c r="Q60" s="74"/>
      <c r="R60" s="74"/>
      <c r="S60" s="74"/>
      <c r="T60" s="74"/>
      <c r="U60" s="74"/>
      <c r="V60" s="74"/>
      <c r="W60" s="74"/>
      <c r="X60" s="74"/>
      <c r="Y60" s="74"/>
      <c r="Z60" s="74"/>
    </row>
    <row r="61" spans="1:26" x14ac:dyDescent="0.3">
      <c r="A61" s="66">
        <f t="shared" si="7"/>
        <v>1995.3999999999951</v>
      </c>
      <c r="B61" s="67">
        <f>LOOKUP(A61+0.01,Amounts!$A$4:$A$103,Amounts!$B$4:$B$103)*0.1*$A$2</f>
        <v>6863.1260403300003</v>
      </c>
      <c r="C61" s="68">
        <f t="shared" si="4"/>
        <v>357805.97759305016</v>
      </c>
      <c r="D61" s="67">
        <f t="array" ref="D61">SUM($B$7:$B56*$F$1009*EXP(-$F$1009*($A61-$A$7:$A56)))*$F$1010</f>
        <v>48671247.336864829</v>
      </c>
      <c r="E61" s="67">
        <f t="shared" si="1"/>
        <v>92.787436347054665</v>
      </c>
      <c r="F61" s="70">
        <f t="shared" si="8"/>
        <v>5.6340531349931595</v>
      </c>
      <c r="G61" s="67">
        <f>E61/'Lookup Tables'!$C$48</f>
        <v>185.57487269410933</v>
      </c>
      <c r="H61" s="70">
        <f t="shared" si="2"/>
        <v>0.1363003404025836</v>
      </c>
      <c r="I61" s="71">
        <f t="shared" si="9"/>
        <v>0.26722781667951745</v>
      </c>
      <c r="J61" s="35">
        <f t="shared" si="0"/>
        <v>2048</v>
      </c>
      <c r="K61" s="77">
        <f>$G591</f>
        <v>415.98618042838717</v>
      </c>
      <c r="L61" s="74"/>
      <c r="M61" s="74"/>
      <c r="N61" s="74"/>
      <c r="O61" s="74"/>
      <c r="P61" s="74"/>
      <c r="Q61" s="74"/>
      <c r="R61" s="74"/>
      <c r="S61" s="74"/>
      <c r="T61" s="74"/>
      <c r="U61" s="74"/>
      <c r="V61" s="74"/>
      <c r="W61" s="74"/>
      <c r="X61" s="74"/>
      <c r="Y61" s="74"/>
      <c r="Z61" s="74"/>
    </row>
    <row r="62" spans="1:26" x14ac:dyDescent="0.3">
      <c r="A62" s="66">
        <f t="shared" si="7"/>
        <v>1995.499999999995</v>
      </c>
      <c r="B62" s="67">
        <f>LOOKUP(A62+0.01,Amounts!$A$4:$A$103,Amounts!$B$4:$B$103)*0.1*$A$2</f>
        <v>6863.1260403300003</v>
      </c>
      <c r="C62" s="68">
        <f t="shared" si="4"/>
        <v>364669.10363338015</v>
      </c>
      <c r="D62" s="67">
        <f t="array" ref="D62">SUM($B$7:$B57*$F$1009*EXP(-$F$1009*($A62-$A$7:$A57)))*$F$1010</f>
        <v>49638957.07135655</v>
      </c>
      <c r="E62" s="67">
        <f t="shared" si="1"/>
        <v>94.632289526388846</v>
      </c>
      <c r="F62" s="70">
        <f t="shared" si="8"/>
        <v>5.7460726200423302</v>
      </c>
      <c r="G62" s="67">
        <f>E62/'Lookup Tables'!$C$48</f>
        <v>189.26457905277769</v>
      </c>
      <c r="H62" s="70">
        <f t="shared" si="2"/>
        <v>0.13639414713091452</v>
      </c>
      <c r="I62" s="71">
        <f t="shared" si="9"/>
        <v>0.27254099383599989</v>
      </c>
      <c r="J62" s="35">
        <f t="shared" si="0"/>
        <v>2049</v>
      </c>
      <c r="K62" s="77">
        <f>$G601</f>
        <v>404.50012259865844</v>
      </c>
      <c r="L62" s="74"/>
      <c r="M62" s="74"/>
      <c r="N62" s="74"/>
      <c r="O62" s="74"/>
      <c r="P62" s="74"/>
      <c r="Q62" s="74"/>
      <c r="R62" s="74"/>
      <c r="S62" s="74"/>
      <c r="T62" s="74"/>
      <c r="U62" s="74"/>
      <c r="V62" s="74"/>
      <c r="W62" s="74"/>
      <c r="X62" s="74"/>
      <c r="Y62" s="74"/>
      <c r="Z62" s="74"/>
    </row>
    <row r="63" spans="1:26" x14ac:dyDescent="0.3">
      <c r="A63" s="66">
        <f t="shared" si="7"/>
        <v>1995.5999999999949</v>
      </c>
      <c r="B63" s="67">
        <f>LOOKUP(A63+0.01,Amounts!$A$4:$A$103,Amounts!$B$4:$B$103)*0.1*$A$2</f>
        <v>6863.1260403300003</v>
      </c>
      <c r="C63" s="68">
        <f t="shared" si="4"/>
        <v>371532.22967371013</v>
      </c>
      <c r="D63" s="67">
        <f t="array" ref="D63">SUM($B$7:$B58*$F$1009*EXP(-$F$1009*($A63-$A$7:$A58)))*$F$1010</f>
        <v>50603961.008475795</v>
      </c>
      <c r="E63" s="67">
        <f t="shared" si="1"/>
        <v>96.471984341900367</v>
      </c>
      <c r="F63" s="70">
        <f t="shared" si="8"/>
        <v>5.8577788892401896</v>
      </c>
      <c r="G63" s="67">
        <f>E63/'Lookup Tables'!$C$48</f>
        <v>192.94396868380073</v>
      </c>
      <c r="H63" s="70">
        <f t="shared" si="2"/>
        <v>0.13647719072618264</v>
      </c>
      <c r="I63" s="71">
        <f t="shared" si="9"/>
        <v>0.27783931490467301</v>
      </c>
      <c r="J63" s="35">
        <f t="shared" si="0"/>
        <v>2050</v>
      </c>
      <c r="K63" s="77">
        <f>$G611</f>
        <v>393.33121358462381</v>
      </c>
      <c r="L63" s="74"/>
      <c r="M63" s="74"/>
      <c r="N63" s="74"/>
      <c r="O63" s="74"/>
      <c r="P63" s="74"/>
      <c r="Q63" s="74"/>
      <c r="R63" s="74"/>
      <c r="S63" s="74"/>
      <c r="T63" s="74"/>
      <c r="U63" s="74"/>
      <c r="V63" s="74"/>
      <c r="W63" s="74"/>
      <c r="X63" s="74"/>
      <c r="Y63" s="74"/>
      <c r="Z63" s="74"/>
    </row>
    <row r="64" spans="1:26" x14ac:dyDescent="0.3">
      <c r="A64" s="66">
        <f t="shared" si="7"/>
        <v>1995.6999999999948</v>
      </c>
      <c r="B64" s="67">
        <f>LOOKUP(A64+0.01,Amounts!$A$4:$A$103,Amounts!$B$4:$B$103)*0.1*$A$2</f>
        <v>6863.1260403300003</v>
      </c>
      <c r="C64" s="68">
        <f t="shared" si="4"/>
        <v>378395.35571404011</v>
      </c>
      <c r="D64" s="67">
        <f t="array" ref="D64">SUM($B$7:$B59*$F$1009*EXP(-$F$1009*($A64-$A$7:$A59)))*$F$1010</f>
        <v>51566266.713858381</v>
      </c>
      <c r="E64" s="67">
        <f t="shared" si="1"/>
        <v>98.306535216806012</v>
      </c>
      <c r="F64" s="70">
        <f t="shared" si="8"/>
        <v>5.969172818364461</v>
      </c>
      <c r="G64" s="67">
        <f>E64/'Lookup Tables'!$C$48</f>
        <v>196.61307043361202</v>
      </c>
      <c r="H64" s="70">
        <f t="shared" si="2"/>
        <v>0.13655007686986803</v>
      </c>
      <c r="I64" s="71">
        <f t="shared" si="9"/>
        <v>0.28312282142440132</v>
      </c>
      <c r="J64" s="35">
        <f t="shared" si="0"/>
        <v>2051</v>
      </c>
      <c r="K64" s="77">
        <f>$G621</f>
        <v>382.47069638951439</v>
      </c>
      <c r="L64" s="74"/>
      <c r="M64" s="74"/>
      <c r="N64" s="74"/>
      <c r="O64" s="74"/>
      <c r="P64" s="74"/>
      <c r="Q64" s="74"/>
      <c r="R64" s="74"/>
      <c r="S64" s="74"/>
      <c r="T64" s="74"/>
      <c r="U64" s="74"/>
      <c r="V64" s="74"/>
      <c r="W64" s="74"/>
      <c r="X64" s="74"/>
      <c r="Y64" s="74"/>
      <c r="Z64" s="74"/>
    </row>
    <row r="65" spans="1:26" x14ac:dyDescent="0.3">
      <c r="A65" s="66">
        <f t="shared" si="7"/>
        <v>1995.7999999999947</v>
      </c>
      <c r="B65" s="67">
        <f>LOOKUP(A65+0.01,Amounts!$A$4:$A$103,Amounts!$B$4:$B$103)*0.1*$A$2</f>
        <v>6863.1260403300003</v>
      </c>
      <c r="C65" s="68">
        <f t="shared" si="4"/>
        <v>385258.48175437009</v>
      </c>
      <c r="D65" s="67">
        <f t="array" ref="D65">SUM($B$7:$B60*$F$1009*EXP(-$F$1009*($A65-$A$7:$A60)))*$F$1010</f>
        <v>52525881.731985979</v>
      </c>
      <c r="E65" s="67">
        <f t="shared" si="1"/>
        <v>100.13595653399405</v>
      </c>
      <c r="F65" s="70">
        <f t="shared" si="8"/>
        <v>6.0802552807441188</v>
      </c>
      <c r="G65" s="67">
        <f>E65/'Lookup Tables'!$C$48</f>
        <v>200.27191306798809</v>
      </c>
      <c r="H65" s="70">
        <f t="shared" si="2"/>
        <v>0.13661336802916541</v>
      </c>
      <c r="I65" s="71">
        <f t="shared" si="9"/>
        <v>0.28839155481790285</v>
      </c>
      <c r="J65" s="35">
        <f t="shared" si="0"/>
        <v>2052</v>
      </c>
      <c r="K65" s="77">
        <f>$G631</f>
        <v>371.91005581154508</v>
      </c>
      <c r="L65" s="74"/>
      <c r="M65" s="74"/>
      <c r="N65" s="74"/>
      <c r="O65" s="74"/>
      <c r="P65" s="74"/>
      <c r="Q65" s="74"/>
      <c r="R65" s="74"/>
      <c r="S65" s="74"/>
      <c r="T65" s="74"/>
      <c r="U65" s="74"/>
      <c r="V65" s="74"/>
      <c r="W65" s="74"/>
      <c r="X65" s="74"/>
      <c r="Y65" s="74"/>
      <c r="Z65" s="74"/>
    </row>
    <row r="66" spans="1:26" x14ac:dyDescent="0.3">
      <c r="A66" s="66">
        <f t="shared" si="7"/>
        <v>1995.8999999999946</v>
      </c>
      <c r="B66" s="67">
        <f>LOOKUP(A66+0.01,Amounts!$A$4:$A$103,Amounts!$B$4:$B$103)*0.1*$A$2</f>
        <v>6863.1260403300003</v>
      </c>
      <c r="C66" s="68">
        <f t="shared" si="4"/>
        <v>392121.60779470007</v>
      </c>
      <c r="D66" s="67">
        <f t="array" ref="D66">SUM($B$7:$B61*$F$1009*EXP(-$F$1009*($A66-$A$7:$A61)))*$F$1010</f>
        <v>53482813.586245261</v>
      </c>
      <c r="E66" s="67">
        <f t="shared" si="1"/>
        <v>101.96026263613702</v>
      </c>
      <c r="F66" s="70">
        <f t="shared" si="8"/>
        <v>6.1910271472662401</v>
      </c>
      <c r="G66" s="67">
        <f>E66/'Lookup Tables'!$C$48</f>
        <v>203.92052527227403</v>
      </c>
      <c r="H66" s="70">
        <f t="shared" si="2"/>
        <v>0.13666758723893496</v>
      </c>
      <c r="I66" s="71">
        <f t="shared" si="9"/>
        <v>0.29364555639207462</v>
      </c>
      <c r="J66" s="35">
        <f t="shared" si="0"/>
        <v>2053</v>
      </c>
      <c r="K66" s="77">
        <f>$G641</f>
        <v>361.64101176755798</v>
      </c>
      <c r="L66" s="74"/>
      <c r="M66" s="74"/>
      <c r="N66" s="74"/>
      <c r="O66" s="74"/>
      <c r="P66" s="74"/>
      <c r="Q66" s="74"/>
      <c r="R66" s="74"/>
      <c r="S66" s="74"/>
      <c r="T66" s="74"/>
      <c r="U66" s="74"/>
      <c r="V66" s="74"/>
      <c r="W66" s="74"/>
      <c r="X66" s="74"/>
      <c r="Y66" s="74"/>
      <c r="Z66" s="74"/>
    </row>
    <row r="67" spans="1:26" x14ac:dyDescent="0.3">
      <c r="A67" s="66">
        <f t="shared" si="7"/>
        <v>1995.9999999999945</v>
      </c>
      <c r="B67" s="67">
        <f>LOOKUP(A67+0.01,Amounts!$A$4:$A$103,Amounts!$B$4:$B$103)*0.1*$A$2</f>
        <v>7000.4911389700001</v>
      </c>
      <c r="C67" s="68">
        <f t="shared" si="4"/>
        <v>399122.09893367009</v>
      </c>
      <c r="D67" s="67">
        <f t="array" ref="D67">SUM($B$7:$B62*$F$1009*EXP(-$F$1009*($A67-$A$7:$A62)))*$F$1010</f>
        <v>54437069.778986797</v>
      </c>
      <c r="E67" s="67">
        <f t="shared" si="1"/>
        <v>103.77946782580396</v>
      </c>
      <c r="F67" s="70">
        <f t="shared" si="8"/>
        <v>6.3014892863828171</v>
      </c>
      <c r="G67" s="67">
        <f>E67/'Lookup Tables'!$C$48</f>
        <v>207.55893565160792</v>
      </c>
      <c r="H67" s="70">
        <f t="shared" si="2"/>
        <v>0.13666616916220323</v>
      </c>
      <c r="I67" s="71">
        <f t="shared" si="9"/>
        <v>0.29888486733831543</v>
      </c>
      <c r="J67" s="35">
        <f t="shared" si="0"/>
        <v>2054</v>
      </c>
      <c r="K67" s="77">
        <f>$G651</f>
        <v>351.65551280101511</v>
      </c>
      <c r="L67" s="74"/>
      <c r="M67" s="74"/>
      <c r="N67" s="74"/>
      <c r="O67" s="74"/>
      <c r="P67" s="74"/>
      <c r="Q67" s="74"/>
      <c r="R67" s="74"/>
      <c r="S67" s="74"/>
      <c r="T67" s="74"/>
      <c r="U67" s="74"/>
      <c r="V67" s="74"/>
      <c r="W67" s="74"/>
      <c r="X67" s="74"/>
      <c r="Y67" s="74"/>
      <c r="Z67" s="74"/>
    </row>
    <row r="68" spans="1:26" x14ac:dyDescent="0.3">
      <c r="A68" s="66">
        <f t="shared" si="7"/>
        <v>1996.0999999999945</v>
      </c>
      <c r="B68" s="67">
        <f>LOOKUP(A68+0.01,Amounts!$A$4:$A$103,Amounts!$B$4:$B$103)*0.1*$A$2</f>
        <v>7000.4911389700001</v>
      </c>
      <c r="C68" s="68">
        <f t="shared" si="4"/>
        <v>406122.5900726401</v>
      </c>
      <c r="D68" s="67">
        <f t="array" ref="D68">SUM($B$7:$B63*$F$1009*EXP(-$F$1009*($A68-$A$7:$A63)))*$F$1010</f>
        <v>55388657.791584112</v>
      </c>
      <c r="E68" s="67">
        <f t="shared" si="1"/>
        <v>105.59358636557305</v>
      </c>
      <c r="F68" s="70">
        <f t="shared" si="8"/>
        <v>6.4116425641175958</v>
      </c>
      <c r="G68" s="67">
        <f>E68/'Lookup Tables'!$C$48</f>
        <v>211.18717273114609</v>
      </c>
      <c r="H68" s="70">
        <f t="shared" si="2"/>
        <v>0.13665821687933766</v>
      </c>
      <c r="I68" s="71">
        <f t="shared" si="9"/>
        <v>0.30410952873285041</v>
      </c>
      <c r="J68" s="35">
        <f t="shared" ref="J68:J102" si="10">J67+1</f>
        <v>2055</v>
      </c>
      <c r="K68" s="77">
        <f>$G661</f>
        <v>341.94572976924286</v>
      </c>
      <c r="L68" s="74"/>
      <c r="M68" s="74"/>
      <c r="N68" s="74"/>
      <c r="O68" s="74"/>
      <c r="P68" s="74"/>
      <c r="Q68" s="74"/>
      <c r="R68" s="74"/>
      <c r="S68" s="74"/>
      <c r="T68" s="74"/>
      <c r="U68" s="74"/>
      <c r="V68" s="74"/>
      <c r="W68" s="74"/>
      <c r="X68" s="74"/>
      <c r="Y68" s="74"/>
      <c r="Z68" s="74"/>
    </row>
    <row r="69" spans="1:26" x14ac:dyDescent="0.3">
      <c r="A69" s="66">
        <f t="shared" si="7"/>
        <v>1996.1999999999944</v>
      </c>
      <c r="B69" s="67">
        <f>LOOKUP(A69+0.01,Amounts!$A$4:$A$103,Amounts!$B$4:$B$103)*0.1*$A$2</f>
        <v>7000.4911389700001</v>
      </c>
      <c r="C69" s="68">
        <f t="shared" si="4"/>
        <v>413123.08121161012</v>
      </c>
      <c r="D69" s="67">
        <f t="array" ref="D69">SUM($B$7:$B64*$F$1009*EXP(-$F$1009*($A69-$A$7:$A64)))*$F$1010</f>
        <v>56337585.08449205</v>
      </c>
      <c r="E69" s="67">
        <f t="shared" si="1"/>
        <v>107.40263247814285</v>
      </c>
      <c r="F69" s="70">
        <f t="shared" si="8"/>
        <v>6.5214878440728334</v>
      </c>
      <c r="G69" s="67">
        <f>E69/'Lookup Tables'!$C$48</f>
        <v>214.8052649562857</v>
      </c>
      <c r="H69" s="70">
        <f t="shared" si="2"/>
        <v>0.13664408065739764</v>
      </c>
      <c r="I69" s="71">
        <f t="shared" si="9"/>
        <v>0.30931958153705141</v>
      </c>
      <c r="J69" s="35">
        <f t="shared" si="10"/>
        <v>2056</v>
      </c>
      <c r="K69" s="77">
        <f>$G671</f>
        <v>332.50404970498295</v>
      </c>
      <c r="L69" s="74"/>
      <c r="M69" s="74"/>
      <c r="N69" s="74"/>
      <c r="O69" s="74"/>
      <c r="P69" s="74"/>
      <c r="Q69" s="74"/>
      <c r="R69" s="74"/>
      <c r="S69" s="74"/>
      <c r="T69" s="74"/>
      <c r="U69" s="74"/>
      <c r="V69" s="74"/>
      <c r="W69" s="74"/>
      <c r="X69" s="74"/>
      <c r="Y69" s="74"/>
      <c r="Z69" s="74"/>
    </row>
    <row r="70" spans="1:26" x14ac:dyDescent="0.3">
      <c r="A70" s="66">
        <f t="shared" si="7"/>
        <v>1996.2999999999943</v>
      </c>
      <c r="B70" s="67">
        <f>LOOKUP(A70+0.01,Amounts!$A$4:$A$103,Amounts!$B$4:$B$103)*0.1*$A$2</f>
        <v>7000.4911389700001</v>
      </c>
      <c r="C70" s="68">
        <f t="shared" si="4"/>
        <v>420123.57235058013</v>
      </c>
      <c r="D70" s="67">
        <f t="array" ref="D70">SUM($B$7:$B65*$F$1009*EXP(-$F$1009*($A70-$A$7:$A65)))*$F$1010</f>
        <v>57283859.097305447</v>
      </c>
      <c r="E70" s="67">
        <f t="shared" si="1"/>
        <v>109.20662034644413</v>
      </c>
      <c r="F70" s="70">
        <f t="shared" si="8"/>
        <v>6.6310259874360868</v>
      </c>
      <c r="G70" s="67">
        <f>E70/'Lookup Tables'!$C$48</f>
        <v>218.41324069288825</v>
      </c>
      <c r="H70" s="70">
        <f t="shared" si="2"/>
        <v>0.13662408736778364</v>
      </c>
      <c r="I70" s="71">
        <f t="shared" si="9"/>
        <v>0.31451506659775907</v>
      </c>
      <c r="J70" s="35">
        <f t="shared" si="10"/>
        <v>2057</v>
      </c>
      <c r="K70" s="77">
        <f>$G681</f>
        <v>323.3230698474373</v>
      </c>
      <c r="L70" s="74"/>
      <c r="M70" s="74"/>
      <c r="N70" s="74"/>
      <c r="O70" s="74"/>
      <c r="P70" s="74"/>
      <c r="Q70" s="74"/>
      <c r="R70" s="74"/>
      <c r="S70" s="74"/>
      <c r="T70" s="74"/>
      <c r="U70" s="74"/>
      <c r="V70" s="74"/>
      <c r="W70" s="74"/>
      <c r="X70" s="74"/>
      <c r="Y70" s="74"/>
      <c r="Z70" s="74"/>
    </row>
    <row r="71" spans="1:26" x14ac:dyDescent="0.3">
      <c r="A71" s="66">
        <f t="shared" si="7"/>
        <v>1996.3999999999942</v>
      </c>
      <c r="B71" s="67">
        <f>LOOKUP(A71+0.01,Amounts!$A$4:$A$103,Amounts!$B$4:$B$103)*0.1*$A$2</f>
        <v>7000.4911389700001</v>
      </c>
      <c r="C71" s="68">
        <f t="shared" si="4"/>
        <v>427124.06348955014</v>
      </c>
      <c r="D71" s="67">
        <f t="array" ref="D71">SUM($B$7:$B66*$F$1009*EXP(-$F$1009*($A71-$A$7:$A66)))*$F$1010</f>
        <v>58227487.248817421</v>
      </c>
      <c r="E71" s="67">
        <f t="shared" ref="E71:E134" si="11">D71/(365*24*60)*1.00201</f>
        <v>111.00556411375103</v>
      </c>
      <c r="F71" s="70">
        <f t="shared" si="8"/>
        <v>6.7402578529869626</v>
      </c>
      <c r="G71" s="67">
        <f>E71/'Lookup Tables'!$C$48</f>
        <v>222.01112822750207</v>
      </c>
      <c r="H71" s="70">
        <f t="shared" ref="H71:H134" si="12">G71*60*24*365/(C71*2000)</f>
        <v>0.13659854240362879</v>
      </c>
      <c r="I71" s="71">
        <f t="shared" si="9"/>
        <v>0.31969602464760299</v>
      </c>
      <c r="J71" s="35">
        <f t="shared" si="10"/>
        <v>2058</v>
      </c>
      <c r="K71" s="77">
        <f>$G691</f>
        <v>314.3955918381231</v>
      </c>
      <c r="L71" s="74"/>
      <c r="M71" s="74"/>
      <c r="N71" s="74"/>
      <c r="O71" s="74"/>
      <c r="P71" s="74"/>
      <c r="Q71" s="74"/>
      <c r="R71" s="74"/>
      <c r="S71" s="74"/>
      <c r="T71" s="74"/>
      <c r="U71" s="74"/>
      <c r="V71" s="74"/>
      <c r="W71" s="74"/>
      <c r="X71" s="74"/>
      <c r="Y71" s="74"/>
      <c r="Z71" s="74"/>
    </row>
    <row r="72" spans="1:26" x14ac:dyDescent="0.3">
      <c r="A72" s="66">
        <f t="shared" si="7"/>
        <v>1996.4999999999941</v>
      </c>
      <c r="B72" s="67">
        <f>LOOKUP(A72+0.01,Amounts!$A$4:$A$103,Amounts!$B$4:$B$103)*0.1*$A$2</f>
        <v>7000.4911389700001</v>
      </c>
      <c r="C72" s="68">
        <f t="shared" si="4"/>
        <v>434124.55462852016</v>
      </c>
      <c r="D72" s="67">
        <f t="array" ref="D72">SUM($B$7:$B67*$F$1009*EXP(-$F$1009*($A72-$A$7:$A67)))*$F$1010</f>
        <v>59190569.406974986</v>
      </c>
      <c r="E72" s="67">
        <f t="shared" si="11"/>
        <v>112.84159522732688</v>
      </c>
      <c r="F72" s="70">
        <f t="shared" si="8"/>
        <v>6.8517416622032874</v>
      </c>
      <c r="G72" s="67">
        <f>E72/'Lookup Tables'!$C$48</f>
        <v>225.68319045465375</v>
      </c>
      <c r="H72" s="70">
        <f t="shared" si="12"/>
        <v>0.13661872340354972</v>
      </c>
      <c r="I72" s="71">
        <f t="shared" si="9"/>
        <v>0.32498379425470142</v>
      </c>
      <c r="J72" s="35">
        <f t="shared" si="10"/>
        <v>2059</v>
      </c>
      <c r="K72" s="77">
        <f>$G701</f>
        <v>305.71461607699138</v>
      </c>
      <c r="L72" s="74"/>
      <c r="M72" s="74"/>
      <c r="N72" s="74"/>
      <c r="O72" s="74"/>
      <c r="P72" s="74"/>
      <c r="Q72" s="74"/>
      <c r="R72" s="74"/>
      <c r="S72" s="74"/>
      <c r="T72" s="74"/>
      <c r="U72" s="74"/>
      <c r="V72" s="74"/>
      <c r="W72" s="74"/>
      <c r="X72" s="74"/>
      <c r="Y72" s="74"/>
      <c r="Z72" s="74"/>
    </row>
    <row r="73" spans="1:26" x14ac:dyDescent="0.3">
      <c r="A73" s="66">
        <f t="shared" si="7"/>
        <v>1996.599999999994</v>
      </c>
      <c r="B73" s="67">
        <f>LOOKUP(A73+0.01,Amounts!$A$4:$A$103,Amounts!$B$4:$B$103)*0.1*$A$2</f>
        <v>7000.4911389700001</v>
      </c>
      <c r="C73" s="68">
        <f t="shared" ref="C73:C136" si="13">C72+B73</f>
        <v>441125.04576749017</v>
      </c>
      <c r="D73" s="67">
        <f t="array" ref="D73">SUM($B$7:$B68*$F$1009*EXP(-$F$1009*($A73-$A$7:$A68)))*$F$1010</f>
        <v>60150958.70685064</v>
      </c>
      <c r="E73" s="67">
        <f t="shared" si="11"/>
        <v>114.67249264431396</v>
      </c>
      <c r="F73" s="70">
        <f t="shared" si="8"/>
        <v>6.9629137533627441</v>
      </c>
      <c r="G73" s="67">
        <f>E73/'Lookup Tables'!$C$48</f>
        <v>229.34498528862792</v>
      </c>
      <c r="H73" s="70">
        <f t="shared" si="12"/>
        <v>0.13663214707971882</v>
      </c>
      <c r="I73" s="71">
        <f t="shared" si="9"/>
        <v>0.33025677881562421</v>
      </c>
      <c r="J73" s="35">
        <f t="shared" si="10"/>
        <v>2060</v>
      </c>
      <c r="K73" s="77">
        <f>$G711</f>
        <v>297.27333623438363</v>
      </c>
      <c r="L73" s="74"/>
      <c r="M73" s="74"/>
      <c r="N73" s="74"/>
      <c r="O73" s="74"/>
      <c r="P73" s="74"/>
      <c r="Q73" s="74"/>
      <c r="R73" s="74"/>
      <c r="S73" s="74"/>
      <c r="T73" s="74"/>
      <c r="U73" s="74"/>
      <c r="V73" s="74"/>
      <c r="W73" s="74"/>
      <c r="X73" s="74"/>
      <c r="Y73" s="74"/>
      <c r="Z73" s="74"/>
    </row>
    <row r="74" spans="1:26" x14ac:dyDescent="0.3">
      <c r="A74" s="66">
        <f t="shared" si="7"/>
        <v>1996.6999999999939</v>
      </c>
      <c r="B74" s="67">
        <f>LOOKUP(A74+0.01,Amounts!$A$4:$A$103,Amounts!$B$4:$B$103)*0.1*$A$2</f>
        <v>7000.4911389700001</v>
      </c>
      <c r="C74" s="68">
        <f t="shared" si="13"/>
        <v>448125.53690646018</v>
      </c>
      <c r="D74" s="67">
        <f t="array" ref="D74">SUM($B$7:$B69*$F$1009*EXP(-$F$1009*($A74-$A$7:$A69)))*$F$1010</f>
        <v>61108662.677901439</v>
      </c>
      <c r="E74" s="67">
        <f t="shared" si="11"/>
        <v>116.49827071895743</v>
      </c>
      <c r="F74" s="70">
        <f t="shared" si="8"/>
        <v>7.0737749980550948</v>
      </c>
      <c r="G74" s="67">
        <f>E74/'Lookup Tables'!$C$48</f>
        <v>232.99654143791486</v>
      </c>
      <c r="H74" s="70">
        <f t="shared" si="12"/>
        <v>0.136639146951059</v>
      </c>
      <c r="I74" s="71">
        <f t="shared" si="9"/>
        <v>0.33551501967059738</v>
      </c>
      <c r="J74" s="35">
        <f t="shared" si="10"/>
        <v>2061</v>
      </c>
      <c r="K74" s="77">
        <f>$G721</f>
        <v>289.06513391451767</v>
      </c>
      <c r="L74" s="74"/>
      <c r="M74" s="74"/>
      <c r="N74" s="74"/>
      <c r="O74" s="74"/>
      <c r="P74" s="74"/>
      <c r="Q74" s="74"/>
      <c r="R74" s="74"/>
      <c r="S74" s="74"/>
      <c r="T74" s="74"/>
      <c r="U74" s="74"/>
      <c r="V74" s="74"/>
      <c r="W74" s="74"/>
      <c r="X74" s="74"/>
      <c r="Y74" s="74"/>
      <c r="Z74" s="74"/>
    </row>
    <row r="75" spans="1:26" x14ac:dyDescent="0.3">
      <c r="A75" s="66">
        <f t="shared" si="7"/>
        <v>1996.7999999999938</v>
      </c>
      <c r="B75" s="67">
        <f>LOOKUP(A75+0.01,Amounts!$A$4:$A$103,Amounts!$B$4:$B$103)*0.1*$A$2</f>
        <v>7000.4911389700001</v>
      </c>
      <c r="C75" s="68">
        <f t="shared" si="13"/>
        <v>455126.0280454302</v>
      </c>
      <c r="D75" s="67">
        <f t="array" ref="D75">SUM($B$7:$B70*$F$1009*EXP(-$F$1009*($A75-$A$7:$A70)))*$F$1010</f>
        <v>62063688.828531362</v>
      </c>
      <c r="E75" s="67">
        <f t="shared" si="11"/>
        <v>118.31894376536665</v>
      </c>
      <c r="F75" s="70">
        <f t="shared" si="8"/>
        <v>7.1843262654330635</v>
      </c>
      <c r="G75" s="67">
        <f>E75/'Lookup Tables'!$C$48</f>
        <v>236.63788753073331</v>
      </c>
      <c r="H75" s="70">
        <f t="shared" si="12"/>
        <v>0.13664003597014479</v>
      </c>
      <c r="I75" s="71">
        <f t="shared" si="9"/>
        <v>0.34075855804425592</v>
      </c>
      <c r="J75" s="35">
        <f t="shared" si="10"/>
        <v>2062</v>
      </c>
      <c r="K75" s="77">
        <f>$G731</f>
        <v>281.08357346632869</v>
      </c>
      <c r="L75" s="74"/>
      <c r="M75" s="74"/>
      <c r="N75" s="74"/>
      <c r="O75" s="74"/>
      <c r="P75" s="74"/>
      <c r="Q75" s="74"/>
      <c r="R75" s="74"/>
      <c r="S75" s="74"/>
      <c r="T75" s="74"/>
      <c r="U75" s="74"/>
      <c r="V75" s="74"/>
      <c r="W75" s="74"/>
      <c r="X75" s="74"/>
      <c r="Y75" s="74"/>
      <c r="Z75" s="74"/>
    </row>
    <row r="76" spans="1:26" x14ac:dyDescent="0.3">
      <c r="A76" s="66">
        <f t="shared" si="7"/>
        <v>1996.8999999999937</v>
      </c>
      <c r="B76" s="67">
        <f>LOOKUP(A76+0.01,Amounts!$A$4:$A$103,Amounts!$B$4:$B$103)*0.1*$A$2</f>
        <v>7000.4911389700001</v>
      </c>
      <c r="C76" s="68">
        <f t="shared" si="13"/>
        <v>462126.51918440021</v>
      </c>
      <c r="D76" s="67">
        <f t="array" ref="D76">SUM($B$7:$B71*$F$1009*EXP(-$F$1009*($A76-$A$7:$A71)))*$F$1010</f>
        <v>63016044.646150358</v>
      </c>
      <c r="E76" s="67">
        <f t="shared" si="11"/>
        <v>120.13452605762772</v>
      </c>
      <c r="F76" s="70">
        <f t="shared" si="8"/>
        <v>7.2945684222191556</v>
      </c>
      <c r="G76" s="67">
        <f>E76/'Lookup Tables'!$C$48</f>
        <v>240.26905211525545</v>
      </c>
      <c r="H76" s="70">
        <f t="shared" si="12"/>
        <v>0.13663510808106988</v>
      </c>
      <c r="I76" s="71">
        <f t="shared" si="9"/>
        <v>0.34598743504596785</v>
      </c>
      <c r="J76" s="35">
        <f t="shared" si="10"/>
        <v>2063</v>
      </c>
      <c r="K76" s="77">
        <f>$G741</f>
        <v>273.32239693758856</v>
      </c>
      <c r="L76" s="74"/>
      <c r="M76" s="74"/>
      <c r="N76" s="74"/>
      <c r="O76" s="74"/>
      <c r="P76" s="74"/>
      <c r="Q76" s="74"/>
      <c r="R76" s="74"/>
      <c r="S76" s="74"/>
      <c r="T76" s="74"/>
      <c r="U76" s="74"/>
      <c r="V76" s="74"/>
      <c r="W76" s="74"/>
      <c r="X76" s="74"/>
      <c r="Y76" s="74"/>
      <c r="Z76" s="74"/>
    </row>
    <row r="77" spans="1:26" x14ac:dyDescent="0.3">
      <c r="A77" s="66">
        <f t="shared" si="7"/>
        <v>1996.9999999999936</v>
      </c>
      <c r="B77" s="67">
        <f>LOOKUP(A77+0.01,Amounts!$A$4:$A$103,Amounts!$B$4:$B$103)*0.1*$A$2</f>
        <v>7140.5321810899995</v>
      </c>
      <c r="C77" s="68">
        <f t="shared" si="13"/>
        <v>469267.05136549019</v>
      </c>
      <c r="D77" s="67">
        <f t="array" ref="D77">SUM($B$7:$B72*$F$1009*EXP(-$F$1009*($A77-$A$7:$A72)))*$F$1010</f>
        <v>63965737.597232945</v>
      </c>
      <c r="E77" s="67">
        <f t="shared" si="11"/>
        <v>121.94503182991512</v>
      </c>
      <c r="F77" s="70">
        <f t="shared" si="8"/>
        <v>7.404502332712446</v>
      </c>
      <c r="G77" s="67">
        <f>E77/'Lookup Tables'!$C$48</f>
        <v>243.89006365983025</v>
      </c>
      <c r="H77" s="70">
        <f t="shared" si="12"/>
        <v>0.13658386742324963</v>
      </c>
      <c r="I77" s="71">
        <f t="shared" si="9"/>
        <v>0.35120169167015558</v>
      </c>
      <c r="J77" s="35">
        <f t="shared" si="10"/>
        <v>2064</v>
      </c>
      <c r="K77" s="77">
        <f>$G751</f>
        <v>265.77551916835063</v>
      </c>
      <c r="L77" s="74"/>
      <c r="M77" s="74"/>
      <c r="N77" s="74"/>
      <c r="O77" s="74"/>
      <c r="P77" s="74"/>
      <c r="Q77" s="74"/>
      <c r="R77" s="74"/>
      <c r="S77" s="74"/>
      <c r="T77" s="74"/>
      <c r="U77" s="74"/>
      <c r="V77" s="74"/>
      <c r="W77" s="74"/>
      <c r="X77" s="74"/>
      <c r="Y77" s="74"/>
      <c r="Z77" s="74"/>
    </row>
    <row r="78" spans="1:26" x14ac:dyDescent="0.3">
      <c r="A78" s="66">
        <f t="shared" si="7"/>
        <v>1997.0999999999935</v>
      </c>
      <c r="B78" s="67">
        <f>LOOKUP(A78+0.01,Amounts!$A$4:$A$103,Amounts!$B$4:$B$103)*0.1*$A$2</f>
        <v>7140.5321810899995</v>
      </c>
      <c r="C78" s="68">
        <f t="shared" si="13"/>
        <v>476407.58354658016</v>
      </c>
      <c r="D78" s="67">
        <f t="array" ref="D78">SUM($B$7:$B73*$F$1009*EXP(-$F$1009*($A78-$A$7:$A73)))*$F$1010</f>
        <v>64912775.127376653</v>
      </c>
      <c r="E78" s="67">
        <f t="shared" si="11"/>
        <v>123.75047527660328</v>
      </c>
      <c r="F78" s="70">
        <f t="shared" si="8"/>
        <v>7.5141288587953516</v>
      </c>
      <c r="G78" s="67">
        <f>E78/'Lookup Tables'!$C$48</f>
        <v>247.50095055320656</v>
      </c>
      <c r="H78" s="70">
        <f t="shared" si="12"/>
        <v>0.13652857773835828</v>
      </c>
      <c r="I78" s="71">
        <f t="shared" si="9"/>
        <v>0.35640136879661743</v>
      </c>
      <c r="J78" s="35">
        <f t="shared" si="10"/>
        <v>2065</v>
      </c>
      <c r="K78" s="77">
        <f>$G761</f>
        <v>258.4370230198727</v>
      </c>
      <c r="L78" s="74"/>
      <c r="M78" s="74"/>
      <c r="N78" s="74"/>
      <c r="O78" s="74"/>
      <c r="P78" s="74"/>
      <c r="Q78" s="74"/>
      <c r="R78" s="74"/>
      <c r="S78" s="74"/>
      <c r="T78" s="74"/>
      <c r="U78" s="74"/>
      <c r="V78" s="74"/>
      <c r="W78" s="74"/>
      <c r="X78" s="74"/>
      <c r="Y78" s="74"/>
      <c r="Z78" s="74"/>
    </row>
    <row r="79" spans="1:26" x14ac:dyDescent="0.3">
      <c r="A79" s="66">
        <f t="shared" si="7"/>
        <v>1997.1999999999935</v>
      </c>
      <c r="B79" s="67">
        <f>LOOKUP(A79+0.01,Amounts!$A$4:$A$103,Amounts!$B$4:$B$103)*0.1*$A$2</f>
        <v>7140.5321810899995</v>
      </c>
      <c r="C79" s="68">
        <f t="shared" si="13"/>
        <v>483548.11572767014</v>
      </c>
      <c r="D79" s="67">
        <f t="array" ref="D79">SUM($B$7:$B74*$F$1009*EXP(-$F$1009*($A79-$A$7:$A74)))*$F$1010</f>
        <v>65857164.661360629</v>
      </c>
      <c r="E79" s="67">
        <f t="shared" si="11"/>
        <v>125.55087055237817</v>
      </c>
      <c r="F79" s="70">
        <f t="shared" si="8"/>
        <v>7.6234488599404022</v>
      </c>
      <c r="G79" s="67">
        <f>E79/'Lookup Tables'!$C$48</f>
        <v>251.10174110475634</v>
      </c>
      <c r="H79" s="70">
        <f t="shared" si="12"/>
        <v>0.13646943378742202</v>
      </c>
      <c r="I79" s="71">
        <f t="shared" si="9"/>
        <v>0.36158650719084912</v>
      </c>
      <c r="J79" s="35">
        <f t="shared" si="10"/>
        <v>2066</v>
      </c>
      <c r="K79" s="77">
        <f>$G771</f>
        <v>251.3011547352765</v>
      </c>
      <c r="L79" s="74"/>
      <c r="M79" s="74"/>
      <c r="N79" s="74"/>
      <c r="O79" s="74"/>
      <c r="P79" s="74"/>
      <c r="Q79" s="74"/>
      <c r="R79" s="74"/>
      <c r="S79" s="74"/>
      <c r="T79" s="74"/>
      <c r="U79" s="74"/>
      <c r="V79" s="74"/>
      <c r="W79" s="74"/>
      <c r="X79" s="74"/>
      <c r="Y79" s="74"/>
      <c r="Z79" s="74"/>
    </row>
    <row r="80" spans="1:26" x14ac:dyDescent="0.3">
      <c r="A80" s="66">
        <f t="shared" si="7"/>
        <v>1997.2999999999934</v>
      </c>
      <c r="B80" s="67">
        <f>LOOKUP(A80+0.01,Amounts!$A$4:$A$103,Amounts!$B$4:$B$103)*0.1*$A$2</f>
        <v>7140.5321810899995</v>
      </c>
      <c r="C80" s="68">
        <f t="shared" si="13"/>
        <v>490688.64790876012</v>
      </c>
      <c r="D80" s="67">
        <f t="array" ref="D80">SUM($B$7:$B75*$F$1009*EXP(-$F$1009*($A80-$A$7:$A75)))*$F$1010</f>
        <v>66798913.603203632</v>
      </c>
      <c r="E80" s="67">
        <f t="shared" si="11"/>
        <v>127.34623177234795</v>
      </c>
      <c r="F80" s="70">
        <f t="shared" si="8"/>
        <v>7.732463193216967</v>
      </c>
      <c r="G80" s="67">
        <f>E80/'Lookup Tables'!$C$48</f>
        <v>254.6924635446959</v>
      </c>
      <c r="H80" s="70">
        <f t="shared" si="12"/>
        <v>0.13640661895237446</v>
      </c>
      <c r="I80" s="71">
        <f t="shared" si="9"/>
        <v>0.36675714750436211</v>
      </c>
      <c r="J80" s="35">
        <f t="shared" si="10"/>
        <v>2067</v>
      </c>
      <c r="K80" s="77">
        <f>$G781</f>
        <v>244.36231942830909</v>
      </c>
      <c r="L80" s="74"/>
      <c r="M80" s="74"/>
      <c r="N80" s="74"/>
      <c r="O80" s="74"/>
      <c r="P80" s="74"/>
      <c r="Q80" s="74"/>
      <c r="R80" s="74"/>
      <c r="S80" s="74"/>
      <c r="T80" s="74"/>
      <c r="U80" s="74"/>
      <c r="V80" s="74"/>
      <c r="W80" s="74"/>
      <c r="X80" s="74"/>
      <c r="Y80" s="74"/>
      <c r="Z80" s="74"/>
    </row>
    <row r="81" spans="1:26" x14ac:dyDescent="0.3">
      <c r="A81" s="66">
        <f t="shared" si="7"/>
        <v>1997.3999999999933</v>
      </c>
      <c r="B81" s="67">
        <f>LOOKUP(A81+0.01,Amounts!$A$4:$A$103,Amounts!$B$4:$B$103)*0.1*$A$2</f>
        <v>7140.5321810899995</v>
      </c>
      <c r="C81" s="68">
        <f t="shared" si="13"/>
        <v>497829.1800898501</v>
      </c>
      <c r="D81" s="67">
        <f t="array" ref="D81">SUM($B$7:$B76*$F$1009*EXP(-$F$1009*($A81-$A$7:$A76)))*$F$1010</f>
        <v>67738029.336222216</v>
      </c>
      <c r="E81" s="67">
        <f t="shared" si="11"/>
        <v>129.13657301215378</v>
      </c>
      <c r="F81" s="70">
        <f t="shared" si="8"/>
        <v>7.8411727132979774</v>
      </c>
      <c r="G81" s="67">
        <f>E81/'Lookup Tables'!$C$48</f>
        <v>258.27314602430755</v>
      </c>
      <c r="H81" s="70">
        <f t="shared" si="12"/>
        <v>0.13634030605224434</v>
      </c>
      <c r="I81" s="71">
        <f t="shared" si="9"/>
        <v>0.37191333027500284</v>
      </c>
      <c r="J81" s="35">
        <f t="shared" si="10"/>
        <v>2068</v>
      </c>
      <c r="K81" s="77">
        <f>$G791</f>
        <v>237.61507669666429</v>
      </c>
      <c r="L81" s="74"/>
      <c r="M81" s="74"/>
      <c r="N81" s="74"/>
      <c r="O81" s="74"/>
      <c r="P81" s="74"/>
      <c r="Q81" s="74"/>
      <c r="R81" s="74"/>
      <c r="S81" s="74"/>
      <c r="T81" s="74"/>
      <c r="U81" s="74"/>
      <c r="V81" s="74"/>
      <c r="W81" s="74"/>
      <c r="X81" s="74"/>
      <c r="Y81" s="74"/>
      <c r="Z81" s="74"/>
    </row>
    <row r="82" spans="1:26" x14ac:dyDescent="0.3">
      <c r="A82" s="66">
        <f t="shared" si="7"/>
        <v>1997.4999999999932</v>
      </c>
      <c r="B82" s="67">
        <f>LOOKUP(A82+0.01,Amounts!$A$4:$A$103,Amounts!$B$4:$B$103)*0.1*$A$2</f>
        <v>7140.5321810899995</v>
      </c>
      <c r="C82" s="68">
        <f t="shared" si="13"/>
        <v>504969.71227094007</v>
      </c>
      <c r="D82" s="67">
        <f t="array" ref="D82">SUM($B$7:$B77*$F$1009*EXP(-$F$1009*($A82-$A$7:$A77)))*$F$1010</f>
        <v>68697042.065776169</v>
      </c>
      <c r="E82" s="67">
        <f t="shared" si="11"/>
        <v>130.96484611934622</v>
      </c>
      <c r="F82" s="70">
        <f t="shared" si="8"/>
        <v>7.9521854563667018</v>
      </c>
      <c r="G82" s="67">
        <f>E82/'Lookup Tables'!$C$48</f>
        <v>261.92969223869244</v>
      </c>
      <c r="H82" s="70">
        <f t="shared" si="12"/>
        <v>0.13631535010439413</v>
      </c>
      <c r="I82" s="71">
        <f t="shared" si="9"/>
        <v>0.3771787568237171</v>
      </c>
      <c r="J82" s="35">
        <f t="shared" si="10"/>
        <v>2069</v>
      </c>
      <c r="K82" s="77">
        <f>$G801</f>
        <v>231.05413635642842</v>
      </c>
      <c r="L82" s="74"/>
      <c r="M82" s="74"/>
      <c r="N82" s="74"/>
      <c r="O82" s="74"/>
      <c r="P82" s="74"/>
      <c r="Q82" s="74"/>
      <c r="R82" s="74"/>
      <c r="S82" s="74"/>
      <c r="T82" s="74"/>
      <c r="U82" s="74"/>
      <c r="V82" s="74"/>
      <c r="W82" s="74"/>
      <c r="X82" s="74"/>
      <c r="Y82" s="74"/>
      <c r="Z82" s="74"/>
    </row>
    <row r="83" spans="1:26" x14ac:dyDescent="0.3">
      <c r="A83" s="66">
        <f t="shared" ref="A83:A146" si="14">A82+0.1</f>
        <v>1997.5999999999931</v>
      </c>
      <c r="B83" s="67">
        <f>LOOKUP(A83+0.01,Amounts!$A$4:$A$103,Amounts!$B$4:$B$103)*0.1*$A$2</f>
        <v>7140.5321810899995</v>
      </c>
      <c r="C83" s="68">
        <f t="shared" si="13"/>
        <v>512110.24445203005</v>
      </c>
      <c r="D83" s="67">
        <f t="array" ref="D83">SUM($B$7:$B78*$F$1009*EXP(-$F$1009*($A83-$A$7:$A78)))*$F$1010</f>
        <v>69653373.315511033</v>
      </c>
      <c r="E83" s="67">
        <f t="shared" si="11"/>
        <v>132.7880072219848</v>
      </c>
      <c r="F83" s="70">
        <f t="shared" ref="F83:F146" si="15">E83*60*1012/1000000</f>
        <v>8.0628877985189167</v>
      </c>
      <c r="G83" s="67">
        <f>E83/'Lookup Tables'!$C$48</f>
        <v>265.5760144439696</v>
      </c>
      <c r="H83" s="70">
        <f t="shared" si="12"/>
        <v>0.1362858434330986</v>
      </c>
      <c r="I83" s="71">
        <f t="shared" ref="I83:I146" si="16">G83*60*24/1000000</f>
        <v>0.38242946079931622</v>
      </c>
      <c r="J83" s="35">
        <f t="shared" si="10"/>
        <v>2070</v>
      </c>
      <c r="K83" s="77">
        <f>$G811</f>
        <v>224.67435429430566</v>
      </c>
      <c r="L83" s="74"/>
      <c r="M83" s="74"/>
      <c r="N83" s="74"/>
      <c r="O83" s="74"/>
      <c r="P83" s="74"/>
      <c r="Q83" s="74"/>
      <c r="R83" s="74"/>
      <c r="S83" s="74"/>
      <c r="T83" s="74"/>
      <c r="U83" s="74"/>
      <c r="V83" s="74"/>
      <c r="W83" s="74"/>
      <c r="X83" s="74"/>
      <c r="Y83" s="74"/>
      <c r="Z83" s="74"/>
    </row>
    <row r="84" spans="1:26" x14ac:dyDescent="0.3">
      <c r="A84" s="66">
        <f t="shared" si="14"/>
        <v>1997.699999999993</v>
      </c>
      <c r="B84" s="67">
        <f>LOOKUP(A84+0.01,Amounts!$A$4:$A$103,Amounts!$B$4:$B$103)*0.1*$A$2</f>
        <v>7140.5321810899995</v>
      </c>
      <c r="C84" s="68">
        <f t="shared" si="13"/>
        <v>519250.77663312003</v>
      </c>
      <c r="D84" s="67">
        <f t="array" ref="D84">SUM($B$7:$B79*$F$1009*EXP(-$F$1009*($A84-$A$7:$A79)))*$F$1010</f>
        <v>70607030.583068699</v>
      </c>
      <c r="E84" s="67">
        <f t="shared" si="11"/>
        <v>134.60607061366184</v>
      </c>
      <c r="F84" s="70">
        <f t="shared" si="15"/>
        <v>8.1732806076615478</v>
      </c>
      <c r="G84" s="67">
        <f>E84/'Lookup Tables'!$C$48</f>
        <v>269.21214122732368</v>
      </c>
      <c r="H84" s="70">
        <f t="shared" si="12"/>
        <v>0.13625198824599696</v>
      </c>
      <c r="I84" s="71">
        <f t="shared" si="16"/>
        <v>0.38766548336734613</v>
      </c>
      <c r="J84" s="35">
        <f t="shared" si="10"/>
        <v>2071</v>
      </c>
      <c r="K84" s="77">
        <f>$G821</f>
        <v>218.47072843437019</v>
      </c>
      <c r="L84" s="74"/>
      <c r="M84" s="74"/>
      <c r="N84" s="74"/>
      <c r="O84" s="74"/>
      <c r="P84" s="74"/>
      <c r="Q84" s="74"/>
      <c r="R84" s="74"/>
      <c r="S84" s="74"/>
      <c r="T84" s="74"/>
      <c r="U84" s="74"/>
      <c r="V84" s="74"/>
      <c r="W84" s="74"/>
      <c r="X84" s="74"/>
      <c r="Y84" s="74"/>
      <c r="Z84" s="74"/>
    </row>
    <row r="85" spans="1:26" x14ac:dyDescent="0.3">
      <c r="A85" s="66">
        <f t="shared" si="14"/>
        <v>1997.7999999999929</v>
      </c>
      <c r="B85" s="67">
        <f>LOOKUP(A85+0.01,Amounts!$A$4:$A$103,Amounts!$B$4:$B$103)*0.1*$A$2</f>
        <v>7140.5321810899995</v>
      </c>
      <c r="C85" s="68">
        <f t="shared" si="13"/>
        <v>526391.30881421</v>
      </c>
      <c r="D85" s="67">
        <f t="array" ref="D85">SUM($B$7:$B80*$F$1009*EXP(-$F$1009*($A85-$A$7:$A80)))*$F$1010</f>
        <v>71558021.345127031</v>
      </c>
      <c r="E85" s="67">
        <f t="shared" si="11"/>
        <v>136.4190505480037</v>
      </c>
      <c r="F85" s="70">
        <f t="shared" si="15"/>
        <v>8.2833647492747851</v>
      </c>
      <c r="G85" s="67">
        <f>E85/'Lookup Tables'!$C$48</f>
        <v>272.83810109600739</v>
      </c>
      <c r="H85" s="70">
        <f t="shared" si="12"/>
        <v>0.13621397573898381</v>
      </c>
      <c r="I85" s="71">
        <f t="shared" si="16"/>
        <v>0.39288686557825059</v>
      </c>
      <c r="J85" s="35">
        <f t="shared" si="10"/>
        <v>2072</v>
      </c>
      <c r="K85" s="77">
        <f>$G831</f>
        <v>212.43839481618119</v>
      </c>
      <c r="L85" s="74"/>
      <c r="M85" s="74"/>
      <c r="N85" s="74"/>
      <c r="O85" s="74"/>
      <c r="P85" s="74"/>
      <c r="Q85" s="74"/>
      <c r="R85" s="74"/>
      <c r="S85" s="74"/>
      <c r="T85" s="74"/>
      <c r="U85" s="74"/>
      <c r="V85" s="74"/>
      <c r="W85" s="74"/>
      <c r="X85" s="74"/>
      <c r="Y85" s="74"/>
      <c r="Z85" s="74"/>
    </row>
    <row r="86" spans="1:26" x14ac:dyDescent="0.3">
      <c r="A86" s="66">
        <f t="shared" si="14"/>
        <v>1997.8999999999928</v>
      </c>
      <c r="B86" s="67">
        <f>LOOKUP(A86+0.01,Amounts!$A$4:$A$103,Amounts!$B$4:$B$103)*0.1*$A$2</f>
        <v>7140.5321810899995</v>
      </c>
      <c r="C86" s="68">
        <f t="shared" si="13"/>
        <v>533531.84099529998</v>
      </c>
      <c r="D86" s="67">
        <f t="array" ref="D86">SUM($B$7:$B81*$F$1009*EXP(-$F$1009*($A86-$A$7:$A81)))*$F$1010</f>
        <v>72506353.057458431</v>
      </c>
      <c r="E86" s="67">
        <f t="shared" si="11"/>
        <v>138.22696123878222</v>
      </c>
      <c r="F86" s="70">
        <f t="shared" si="15"/>
        <v>8.393141086418856</v>
      </c>
      <c r="G86" s="67">
        <f>E86/'Lookup Tables'!$C$48</f>
        <v>276.45392247756445</v>
      </c>
      <c r="H86" s="70">
        <f t="shared" si="12"/>
        <v>0.13617198683319812</v>
      </c>
      <c r="I86" s="71">
        <f t="shared" si="16"/>
        <v>0.39809364836769284</v>
      </c>
      <c r="J86" s="35">
        <f t="shared" si="10"/>
        <v>2073</v>
      </c>
      <c r="K86" s="77">
        <f>$G841</f>
        <v>206.57262378119034</v>
      </c>
      <c r="L86" s="74"/>
      <c r="M86" s="74"/>
      <c r="N86" s="74"/>
      <c r="O86" s="74"/>
      <c r="P86" s="74"/>
      <c r="Q86" s="74"/>
      <c r="R86" s="74"/>
      <c r="S86" s="74"/>
      <c r="T86" s="74"/>
      <c r="U86" s="74"/>
      <c r="V86" s="74"/>
      <c r="W86" s="74"/>
      <c r="X86" s="74"/>
      <c r="Y86" s="74"/>
      <c r="Z86" s="74"/>
    </row>
    <row r="87" spans="1:26" x14ac:dyDescent="0.3">
      <c r="A87" s="66">
        <f t="shared" si="14"/>
        <v>1997.9999999999927</v>
      </c>
      <c r="B87" s="67">
        <f>LOOKUP(A87+0.01,Amounts!$A$4:$A$103,Amounts!$B$4:$B$103)*0.1*$A$2</f>
        <v>7283.2491666900005</v>
      </c>
      <c r="C87" s="68">
        <f t="shared" si="13"/>
        <v>540815.09016199003</v>
      </c>
      <c r="D87" s="67">
        <f t="array" ref="D87">SUM($B$7:$B82*$F$1009*EXP(-$F$1009*($A87-$A$7:$A82)))*$F$1010</f>
        <v>73452033.154988438</v>
      </c>
      <c r="E87" s="67">
        <f t="shared" si="11"/>
        <v>140.02981686002659</v>
      </c>
      <c r="F87" s="70">
        <f t="shared" si="15"/>
        <v>8.5026104797408131</v>
      </c>
      <c r="G87" s="67">
        <f>E87/'Lookup Tables'!$C$48</f>
        <v>280.05963372005317</v>
      </c>
      <c r="H87" s="70">
        <f t="shared" si="12"/>
        <v>0.13609027018751402</v>
      </c>
      <c r="I87" s="71">
        <f t="shared" si="16"/>
        <v>0.40328587255687659</v>
      </c>
      <c r="J87" s="35">
        <f t="shared" si="10"/>
        <v>2074</v>
      </c>
      <c r="K87" s="77">
        <f>$G851</f>
        <v>200.86881626444517</v>
      </c>
      <c r="L87" s="74"/>
      <c r="M87" s="74"/>
      <c r="N87" s="74"/>
      <c r="O87" s="74"/>
      <c r="P87" s="74"/>
      <c r="Q87" s="74"/>
      <c r="R87" s="74"/>
      <c r="S87" s="74"/>
      <c r="T87" s="74"/>
      <c r="U87" s="74"/>
      <c r="V87" s="74"/>
      <c r="W87" s="74"/>
      <c r="X87" s="74"/>
      <c r="Y87" s="74"/>
      <c r="Z87" s="74"/>
    </row>
    <row r="88" spans="1:26" x14ac:dyDescent="0.3">
      <c r="A88" s="66">
        <f t="shared" si="14"/>
        <v>1998.0999999999926</v>
      </c>
      <c r="B88" s="67">
        <f>LOOKUP(A88+0.01,Amounts!$A$4:$A$103,Amounts!$B$4:$B$103)*0.1*$A$2</f>
        <v>7283.2491666900005</v>
      </c>
      <c r="C88" s="68">
        <f t="shared" si="13"/>
        <v>548098.33932868007</v>
      </c>
      <c r="D88" s="67">
        <f t="array" ref="D88">SUM($B$7:$B83*$F$1009*EXP(-$F$1009*($A88-$A$7:$A83)))*$F$1010</f>
        <v>74395069.051853821</v>
      </c>
      <c r="E88" s="67">
        <f t="shared" si="11"/>
        <v>141.82763154613403</v>
      </c>
      <c r="F88" s="70">
        <f t="shared" si="15"/>
        <v>8.6117737874812583</v>
      </c>
      <c r="G88" s="67">
        <f>E88/'Lookup Tables'!$C$48</f>
        <v>283.65526309226806</v>
      </c>
      <c r="H88" s="70">
        <f t="shared" si="12"/>
        <v>0.13600589126387708</v>
      </c>
      <c r="I88" s="71">
        <f t="shared" si="16"/>
        <v>0.40846357885286599</v>
      </c>
      <c r="J88" s="35">
        <f t="shared" si="10"/>
        <v>2075</v>
      </c>
      <c r="K88" s="77">
        <f>$G861</f>
        <v>195.32250018868854</v>
      </c>
      <c r="L88" s="74"/>
      <c r="M88" s="74"/>
      <c r="N88" s="74"/>
      <c r="O88" s="74"/>
      <c r="P88" s="74"/>
      <c r="Q88" s="74"/>
      <c r="R88" s="74"/>
      <c r="S88" s="74"/>
      <c r="T88" s="74"/>
      <c r="U88" s="74"/>
      <c r="V88" s="74"/>
      <c r="W88" s="74"/>
      <c r="X88" s="74"/>
      <c r="Y88" s="74"/>
      <c r="Z88" s="74"/>
    </row>
    <row r="89" spans="1:26" x14ac:dyDescent="0.3">
      <c r="A89" s="66">
        <f t="shared" si="14"/>
        <v>1998.1999999999925</v>
      </c>
      <c r="B89" s="67">
        <f>LOOKUP(A89+0.01,Amounts!$A$4:$A$103,Amounts!$B$4:$B$103)*0.1*$A$2</f>
        <v>7283.2491666900005</v>
      </c>
      <c r="C89" s="68">
        <f t="shared" si="13"/>
        <v>555381.58849537012</v>
      </c>
      <c r="D89" s="67">
        <f t="array" ref="D89">SUM($B$7:$B84*$F$1009*EXP(-$F$1009*($A89-$A$7:$A84)))*$F$1010</f>
        <v>75335468.141460881</v>
      </c>
      <c r="E89" s="67">
        <f t="shared" si="11"/>
        <v>143.62041939198102</v>
      </c>
      <c r="F89" s="70">
        <f t="shared" si="15"/>
        <v>8.7206318654810868</v>
      </c>
      <c r="G89" s="67">
        <f>E89/'Lookup Tables'!$C$48</f>
        <v>287.24083878396203</v>
      </c>
      <c r="H89" s="70">
        <f t="shared" si="12"/>
        <v>0.13591896814032484</v>
      </c>
      <c r="I89" s="71">
        <f t="shared" si="16"/>
        <v>0.41362680784890532</v>
      </c>
      <c r="J89" s="35">
        <f t="shared" si="10"/>
        <v>2076</v>
      </c>
      <c r="K89" s="77">
        <f>$G871</f>
        <v>189.92932695802</v>
      </c>
      <c r="L89" s="74"/>
      <c r="M89" s="74"/>
      <c r="N89" s="74"/>
      <c r="O89" s="74"/>
      <c r="P89" s="74"/>
      <c r="Q89" s="74"/>
      <c r="R89" s="74"/>
      <c r="S89" s="74"/>
      <c r="T89" s="74"/>
      <c r="U89" s="74"/>
      <c r="V89" s="74"/>
      <c r="W89" s="74"/>
      <c r="X89" s="74"/>
      <c r="Y89" s="74"/>
      <c r="Z89" s="74"/>
    </row>
    <row r="90" spans="1:26" x14ac:dyDescent="0.3">
      <c r="A90" s="66">
        <f t="shared" si="14"/>
        <v>1998.2999999999925</v>
      </c>
      <c r="B90" s="67">
        <f>LOOKUP(A90+0.01,Amounts!$A$4:$A$103,Amounts!$B$4:$B$103)*0.1*$A$2</f>
        <v>7283.2491666900005</v>
      </c>
      <c r="C90" s="68">
        <f t="shared" si="13"/>
        <v>562664.83766206016</v>
      </c>
      <c r="D90" s="67">
        <f t="array" ref="D90">SUM($B$7:$B85*$F$1009*EXP(-$F$1009*($A90-$A$7:$A85)))*$F$1010</f>
        <v>76273237.79654327</v>
      </c>
      <c r="E90" s="67">
        <f t="shared" si="11"/>
        <v>145.40819445303336</v>
      </c>
      <c r="F90" s="70">
        <f t="shared" si="15"/>
        <v>8.8291855671881851</v>
      </c>
      <c r="G90" s="67">
        <f>E90/'Lookup Tables'!$C$48</f>
        <v>290.81638890606672</v>
      </c>
      <c r="H90" s="70">
        <f t="shared" si="12"/>
        <v>0.13582961274437511</v>
      </c>
      <c r="I90" s="71">
        <f t="shared" si="16"/>
        <v>0.41877560002473602</v>
      </c>
      <c r="J90" s="35">
        <f t="shared" si="10"/>
        <v>2077</v>
      </c>
      <c r="K90" s="77">
        <f>$G881</f>
        <v>184.68506804837367</v>
      </c>
      <c r="L90" s="74"/>
      <c r="M90" s="74"/>
      <c r="N90" s="74"/>
      <c r="O90" s="74"/>
      <c r="P90" s="74"/>
      <c r="Q90" s="74"/>
      <c r="R90" s="74"/>
      <c r="S90" s="74"/>
      <c r="T90" s="74"/>
      <c r="U90" s="74"/>
      <c r="V90" s="74"/>
      <c r="W90" s="74"/>
      <c r="X90" s="74"/>
      <c r="Y90" s="74"/>
      <c r="Z90" s="74"/>
    </row>
    <row r="91" spans="1:26" x14ac:dyDescent="0.3">
      <c r="A91" s="66">
        <f t="shared" si="14"/>
        <v>1998.3999999999924</v>
      </c>
      <c r="B91" s="67">
        <f>LOOKUP(A91+0.01,Amounts!$A$4:$A$103,Amounts!$B$4:$B$103)*0.1*$A$2</f>
        <v>7283.2491666900005</v>
      </c>
      <c r="C91" s="68">
        <f t="shared" si="13"/>
        <v>569948.08682875021</v>
      </c>
      <c r="D91" s="67">
        <f t="array" ref="D91">SUM($B$7:$B86*$F$1009*EXP(-$F$1009*($A91-$A$7:$A86)))*$F$1010</f>
        <v>77208385.369219899</v>
      </c>
      <c r="E91" s="67">
        <f t="shared" si="11"/>
        <v>147.1909707454567</v>
      </c>
      <c r="F91" s="70">
        <f t="shared" si="15"/>
        <v>8.9374357436641301</v>
      </c>
      <c r="G91" s="67">
        <f>E91/'Lookup Tables'!$C$48</f>
        <v>294.38194149091339</v>
      </c>
      <c r="H91" s="70">
        <f t="shared" si="12"/>
        <v>0.13573793124610861</v>
      </c>
      <c r="I91" s="71">
        <f t="shared" si="16"/>
        <v>0.42390999574691535</v>
      </c>
      <c r="J91" s="35">
        <f t="shared" si="10"/>
        <v>2078</v>
      </c>
      <c r="K91" s="77">
        <f>$G891</f>
        <v>179.58561169213991</v>
      </c>
      <c r="L91" s="74"/>
      <c r="M91" s="74"/>
      <c r="N91" s="74"/>
      <c r="O91" s="74"/>
      <c r="P91" s="74"/>
      <c r="Q91" s="74"/>
      <c r="R91" s="74"/>
      <c r="S91" s="74"/>
      <c r="T91" s="74"/>
      <c r="U91" s="74"/>
      <c r="V91" s="74"/>
      <c r="W91" s="74"/>
      <c r="X91" s="74"/>
      <c r="Y91" s="74"/>
      <c r="Z91" s="74"/>
    </row>
    <row r="92" spans="1:26" x14ac:dyDescent="0.3">
      <c r="A92" s="66">
        <f t="shared" si="14"/>
        <v>1998.4999999999923</v>
      </c>
      <c r="B92" s="67">
        <f>LOOKUP(A92+0.01,Amounts!$A$4:$A$103,Amounts!$B$4:$B$103)*0.1*$A$2</f>
        <v>7283.2491666900005</v>
      </c>
      <c r="C92" s="68">
        <f t="shared" si="13"/>
        <v>577231.33599544025</v>
      </c>
      <c r="D92" s="67">
        <f t="array" ref="D92">SUM($B$7:$B87*$F$1009*EXP(-$F$1009*($A92-$A$7:$A87)))*$F$1010</f>
        <v>78163871.40653041</v>
      </c>
      <c r="E92" s="67">
        <f t="shared" si="11"/>
        <v>149.01252052522364</v>
      </c>
      <c r="F92" s="70">
        <f t="shared" si="15"/>
        <v>9.0480402462915794</v>
      </c>
      <c r="G92" s="67">
        <f>E92/'Lookup Tables'!$C$48</f>
        <v>298.02504105044727</v>
      </c>
      <c r="H92" s="70">
        <f t="shared" si="12"/>
        <v>0.13568386867457979</v>
      </c>
      <c r="I92" s="71">
        <f t="shared" si="16"/>
        <v>0.42915605911264409</v>
      </c>
      <c r="J92" s="35">
        <f t="shared" si="10"/>
        <v>2079</v>
      </c>
      <c r="K92" s="77">
        <f>$G901</f>
        <v>174.62695965432707</v>
      </c>
      <c r="L92" s="74"/>
      <c r="M92" s="74"/>
      <c r="N92" s="74"/>
      <c r="O92" s="74"/>
      <c r="P92" s="74"/>
      <c r="Q92" s="74"/>
      <c r="R92" s="74"/>
      <c r="S92" s="74"/>
      <c r="T92" s="74"/>
      <c r="U92" s="74"/>
      <c r="V92" s="74"/>
      <c r="W92" s="74"/>
      <c r="X92" s="74"/>
      <c r="Y92" s="74"/>
      <c r="Z92" s="74"/>
    </row>
    <row r="93" spans="1:26" x14ac:dyDescent="0.3">
      <c r="A93" s="66">
        <f t="shared" si="14"/>
        <v>1998.5999999999922</v>
      </c>
      <c r="B93" s="67">
        <f>LOOKUP(A93+0.01,Amounts!$A$4:$A$103,Amounts!$B$4:$B$103)*0.1*$A$2</f>
        <v>7283.2491666900005</v>
      </c>
      <c r="C93" s="68">
        <f t="shared" si="13"/>
        <v>584514.5851621303</v>
      </c>
      <c r="D93" s="67">
        <f t="array" ref="D93">SUM($B$7:$B88*$F$1009*EXP(-$F$1009*($A93-$A$7:$A88)))*$F$1010</f>
        <v>79116685.82494837</v>
      </c>
      <c r="E93" s="67">
        <f t="shared" si="11"/>
        <v>150.82897709942262</v>
      </c>
      <c r="F93" s="70">
        <f t="shared" si="15"/>
        <v>9.1583354894769418</v>
      </c>
      <c r="G93" s="67">
        <f>E93/'Lookup Tables'!$C$48</f>
        <v>301.65795419884523</v>
      </c>
      <c r="H93" s="70">
        <f t="shared" si="12"/>
        <v>0.13562657352932836</v>
      </c>
      <c r="I93" s="71">
        <f t="shared" si="16"/>
        <v>0.43438745404633716</v>
      </c>
      <c r="J93" s="35">
        <f t="shared" si="10"/>
        <v>2080</v>
      </c>
      <c r="K93" s="77">
        <f>$G911</f>
        <v>169.80522409774272</v>
      </c>
      <c r="L93" s="74"/>
      <c r="M93" s="74"/>
      <c r="N93" s="74"/>
      <c r="O93" s="74"/>
      <c r="P93" s="74"/>
      <c r="Q93" s="74"/>
      <c r="R93" s="74"/>
      <c r="S93" s="74"/>
      <c r="T93" s="74"/>
      <c r="U93" s="74"/>
      <c r="V93" s="74"/>
      <c r="W93" s="74"/>
      <c r="X93" s="74"/>
      <c r="Y93" s="74"/>
      <c r="Z93" s="74"/>
    </row>
    <row r="94" spans="1:26" x14ac:dyDescent="0.3">
      <c r="A94" s="66">
        <f t="shared" si="14"/>
        <v>1998.6999999999921</v>
      </c>
      <c r="B94" s="67">
        <f>LOOKUP(A94+0.01,Amounts!$A$4:$A$103,Amounts!$B$4:$B$103)*0.1*$A$2</f>
        <v>7283.2491666900005</v>
      </c>
      <c r="C94" s="68">
        <f t="shared" si="13"/>
        <v>591797.83432882035</v>
      </c>
      <c r="D94" s="67">
        <f t="array" ref="D94">SUM($B$7:$B89*$F$1009*EXP(-$F$1009*($A94-$A$7:$A89)))*$F$1010</f>
        <v>80066836.094543666</v>
      </c>
      <c r="E94" s="67">
        <f t="shared" si="11"/>
        <v>152.6403547090824</v>
      </c>
      <c r="F94" s="70">
        <f t="shared" si="15"/>
        <v>9.2683223379354853</v>
      </c>
      <c r="G94" s="67">
        <f>E94/'Lookup Tables'!$C$48</f>
        <v>305.2807094181648</v>
      </c>
      <c r="H94" s="70">
        <f t="shared" si="12"/>
        <v>0.13556617780814115</v>
      </c>
      <c r="I94" s="71">
        <f t="shared" si="16"/>
        <v>0.43960422156215739</v>
      </c>
      <c r="J94" s="35">
        <f t="shared" si="10"/>
        <v>2081</v>
      </c>
      <c r="K94" s="77">
        <f>$G921</f>
        <v>165.11662453472812</v>
      </c>
      <c r="L94" s="74"/>
      <c r="M94" s="74"/>
      <c r="N94" s="74"/>
      <c r="O94" s="74"/>
      <c r="P94" s="74"/>
      <c r="Q94" s="74"/>
      <c r="R94" s="74"/>
      <c r="S94" s="74"/>
      <c r="T94" s="74"/>
      <c r="U94" s="74"/>
      <c r="V94" s="74"/>
      <c r="W94" s="74"/>
      <c r="X94" s="74"/>
      <c r="Y94" s="74"/>
      <c r="Z94" s="74"/>
    </row>
    <row r="95" spans="1:26" x14ac:dyDescent="0.3">
      <c r="A95" s="66">
        <f t="shared" si="14"/>
        <v>1998.799999999992</v>
      </c>
      <c r="B95" s="67">
        <f>LOOKUP(A95+0.01,Amounts!$A$4:$A$103,Amounts!$B$4:$B$103)*0.1*$A$2</f>
        <v>7283.2491666900005</v>
      </c>
      <c r="C95" s="68">
        <f t="shared" si="13"/>
        <v>599081.08349551039</v>
      </c>
      <c r="D95" s="67">
        <f t="array" ref="D95">SUM($B$7:$B90*$F$1009*EXP(-$F$1009*($A95-$A$7:$A90)))*$F$1010</f>
        <v>81014329.664499328</v>
      </c>
      <c r="E95" s="67">
        <f t="shared" si="11"/>
        <v>154.4466675554128</v>
      </c>
      <c r="F95" s="70">
        <f t="shared" si="15"/>
        <v>9.3780016539646667</v>
      </c>
      <c r="G95" s="67">
        <f>E95/'Lookup Tables'!$C$48</f>
        <v>308.8933351108256</v>
      </c>
      <c r="H95" s="70">
        <f t="shared" si="12"/>
        <v>0.13550280705488729</v>
      </c>
      <c r="I95" s="71">
        <f t="shared" si="16"/>
        <v>0.44480640255958892</v>
      </c>
      <c r="J95" s="35">
        <f t="shared" si="10"/>
        <v>2082</v>
      </c>
      <c r="K95" s="77">
        <f>$G931</f>
        <v>160.557484863063</v>
      </c>
      <c r="L95" s="74"/>
      <c r="M95" s="74"/>
      <c r="N95" s="74"/>
      <c r="O95" s="74"/>
      <c r="P95" s="74"/>
      <c r="Q95" s="74"/>
      <c r="R95" s="74"/>
      <c r="S95" s="74"/>
      <c r="T95" s="74"/>
      <c r="U95" s="74"/>
      <c r="V95" s="74"/>
      <c r="W95" s="74"/>
      <c r="X95" s="74"/>
      <c r="Y95" s="74"/>
      <c r="Z95" s="74"/>
    </row>
    <row r="96" spans="1:26" x14ac:dyDescent="0.3">
      <c r="A96" s="66">
        <f t="shared" si="14"/>
        <v>1998.8999999999919</v>
      </c>
      <c r="B96" s="67">
        <f>LOOKUP(A96+0.01,Amounts!$A$4:$A$103,Amounts!$B$4:$B$103)*0.1*$A$2</f>
        <v>7283.2491666900005</v>
      </c>
      <c r="C96" s="68">
        <f t="shared" si="13"/>
        <v>606364.33266220044</v>
      </c>
      <c r="D96" s="67">
        <f t="array" ref="D96">SUM($B$7:$B91*$F$1009*EXP(-$F$1009*($A96-$A$7:$A91)))*$F$1010</f>
        <v>81959173.963169783</v>
      </c>
      <c r="E96" s="67">
        <f t="shared" si="11"/>
        <v>156.24792979991582</v>
      </c>
      <c r="F96" s="70">
        <f t="shared" si="15"/>
        <v>9.4873742974508897</v>
      </c>
      <c r="G96" s="67">
        <f>E96/'Lookup Tables'!$C$48</f>
        <v>312.49585959983165</v>
      </c>
      <c r="H96" s="70">
        <f t="shared" si="12"/>
        <v>0.13543658074721587</v>
      </c>
      <c r="I96" s="71">
        <f t="shared" si="16"/>
        <v>0.44999403782375763</v>
      </c>
      <c r="J96" s="35">
        <f t="shared" si="10"/>
        <v>2083</v>
      </c>
      <c r="K96" s="77">
        <f>$G941</f>
        <v>156.12423048371366</v>
      </c>
      <c r="L96" s="74"/>
      <c r="M96" s="74"/>
      <c r="N96" s="74"/>
      <c r="O96" s="74"/>
      <c r="P96" s="74"/>
      <c r="Q96" s="74"/>
      <c r="R96" s="74"/>
      <c r="S96" s="74"/>
      <c r="T96" s="74"/>
      <c r="U96" s="74"/>
      <c r="V96" s="74"/>
      <c r="W96" s="74"/>
      <c r="X96" s="74"/>
      <c r="Y96" s="74"/>
      <c r="Z96" s="74"/>
    </row>
    <row r="97" spans="1:26" x14ac:dyDescent="0.3">
      <c r="A97" s="66">
        <f t="shared" si="14"/>
        <v>1998.9999999999918</v>
      </c>
      <c r="B97" s="67">
        <f>LOOKUP(A97+0.01,Amounts!$A$4:$A$103,Amounts!$B$4:$B$103)*0.1*$A$2</f>
        <v>7428.865091059999</v>
      </c>
      <c r="C97" s="68">
        <f t="shared" si="13"/>
        <v>613793.19775326049</v>
      </c>
      <c r="D97" s="67">
        <f t="array" ref="D97">SUM($B$7:$B92*$F$1009*EXP(-$F$1009*($A97-$A$7:$A92)))*$F$1010</f>
        <v>82901376.398139164</v>
      </c>
      <c r="E97" s="67">
        <f t="shared" si="11"/>
        <v>158.04415556449661</v>
      </c>
      <c r="F97" s="70">
        <f t="shared" si="15"/>
        <v>9.5964411258762343</v>
      </c>
      <c r="G97" s="67">
        <f>E97/'Lookup Tables'!$C$48</f>
        <v>316.08831112899321</v>
      </c>
      <c r="H97" s="70">
        <f t="shared" si="12"/>
        <v>0.13533549812667037</v>
      </c>
      <c r="I97" s="71">
        <f t="shared" si="16"/>
        <v>0.45516716802575019</v>
      </c>
      <c r="J97" s="35">
        <f t="shared" si="10"/>
        <v>2084</v>
      </c>
      <c r="K97" s="77">
        <f>$G951</f>
        <v>151.81338549816374</v>
      </c>
      <c r="L97" s="74"/>
      <c r="M97" s="74"/>
      <c r="N97" s="74"/>
      <c r="O97" s="74"/>
      <c r="P97" s="74"/>
      <c r="Q97" s="74"/>
      <c r="R97" s="74"/>
      <c r="S97" s="74"/>
      <c r="T97" s="74"/>
      <c r="U97" s="74"/>
      <c r="V97" s="74"/>
      <c r="W97" s="74"/>
      <c r="X97" s="74"/>
      <c r="Y97" s="74"/>
      <c r="Z97" s="74"/>
    </row>
    <row r="98" spans="1:26" x14ac:dyDescent="0.3">
      <c r="A98" s="66">
        <f t="shared" si="14"/>
        <v>1999.0999999999917</v>
      </c>
      <c r="B98" s="67">
        <f>LOOKUP(A98+0.01,Amounts!$A$4:$A$103,Amounts!$B$4:$B$103)*0.1*$A$2</f>
        <v>7428.865091059999</v>
      </c>
      <c r="C98" s="68">
        <f t="shared" si="13"/>
        <v>621222.06284432055</v>
      </c>
      <c r="D98" s="67">
        <f t="array" ref="D98">SUM($B$7:$B93*$F$1009*EXP(-$F$1009*($A98-$A$7:$A93)))*$F$1010</f>
        <v>83840944.356279373</v>
      </c>
      <c r="E98" s="67">
        <f t="shared" si="11"/>
        <v>159.8353589315744</v>
      </c>
      <c r="F98" s="70">
        <f t="shared" si="15"/>
        <v>9.7052029943251981</v>
      </c>
      <c r="G98" s="67">
        <f>E98/'Lookup Tables'!$C$48</f>
        <v>319.67071786314881</v>
      </c>
      <c r="H98" s="70">
        <f t="shared" si="12"/>
        <v>0.13523258377172037</v>
      </c>
      <c r="I98" s="71">
        <f t="shared" si="16"/>
        <v>0.46032583372293429</v>
      </c>
      <c r="J98" s="35">
        <f t="shared" si="10"/>
        <v>2085</v>
      </c>
      <c r="K98" s="77">
        <f>$G961</f>
        <v>147.62156998313125</v>
      </c>
      <c r="L98" s="74"/>
      <c r="M98" s="74"/>
      <c r="N98" s="74"/>
      <c r="O98" s="74"/>
      <c r="P98" s="74"/>
      <c r="Q98" s="74"/>
      <c r="R98" s="74"/>
      <c r="S98" s="74"/>
      <c r="T98" s="74"/>
      <c r="U98" s="74"/>
      <c r="V98" s="74"/>
      <c r="W98" s="74"/>
      <c r="X98" s="74"/>
      <c r="Y98" s="74"/>
      <c r="Z98" s="74"/>
    </row>
    <row r="99" spans="1:26" x14ac:dyDescent="0.3">
      <c r="A99" s="66">
        <f t="shared" si="14"/>
        <v>1999.1999999999916</v>
      </c>
      <c r="B99" s="67">
        <f>LOOKUP(A99+0.01,Amounts!$A$4:$A$103,Amounts!$B$4:$B$103)*0.1*$A$2</f>
        <v>7428.865091059999</v>
      </c>
      <c r="C99" s="68">
        <f t="shared" si="13"/>
        <v>628650.92793538061</v>
      </c>
      <c r="D99" s="67">
        <f t="array" ref="D99">SUM($B$7:$B94*$F$1009*EXP(-$F$1009*($A99-$A$7:$A94)))*$F$1010</f>
        <v>84777885.20380801</v>
      </c>
      <c r="E99" s="67">
        <f t="shared" si="11"/>
        <v>161.62155394419267</v>
      </c>
      <c r="F99" s="70">
        <f t="shared" si="15"/>
        <v>9.8136607554913784</v>
      </c>
      <c r="G99" s="67">
        <f>E99/'Lookup Tables'!$C$48</f>
        <v>323.24310788838534</v>
      </c>
      <c r="H99" s="70">
        <f t="shared" si="12"/>
        <v>0.13512791436108329</v>
      </c>
      <c r="I99" s="71">
        <f t="shared" si="16"/>
        <v>0.46547007535927487</v>
      </c>
      <c r="J99" s="35">
        <f t="shared" si="10"/>
        <v>2086</v>
      </c>
      <c r="K99" s="77">
        <f>$G971</f>
        <v>143.54549734053654</v>
      </c>
      <c r="L99" s="74"/>
      <c r="M99" s="74"/>
      <c r="N99" s="74"/>
      <c r="O99" s="74"/>
      <c r="P99" s="74"/>
      <c r="Q99" s="74"/>
      <c r="R99" s="74"/>
      <c r="S99" s="74"/>
      <c r="T99" s="74"/>
      <c r="U99" s="74"/>
      <c r="V99" s="74"/>
      <c r="W99" s="74"/>
      <c r="X99" s="74"/>
      <c r="Y99" s="74"/>
      <c r="Z99" s="74"/>
    </row>
    <row r="100" spans="1:26" x14ac:dyDescent="0.3">
      <c r="A100" s="66">
        <f t="shared" si="14"/>
        <v>1999.2999999999915</v>
      </c>
      <c r="B100" s="67">
        <f>LOOKUP(A100+0.01,Amounts!$A$4:$A$103,Amounts!$B$4:$B$103)*0.1*$A$2</f>
        <v>7428.865091059999</v>
      </c>
      <c r="C100" s="68">
        <f t="shared" si="13"/>
        <v>636079.79302644066</v>
      </c>
      <c r="D100" s="67">
        <f t="array" ref="D100">SUM($B$7:$B95*$F$1009*EXP(-$F$1009*($A100-$A$7:$A95)))*$F$1010</f>
        <v>85712206.286346138</v>
      </c>
      <c r="E100" s="67">
        <f t="shared" si="11"/>
        <v>163.40275460612958</v>
      </c>
      <c r="F100" s="70">
        <f t="shared" si="15"/>
        <v>9.9218152596841858</v>
      </c>
      <c r="G100" s="67">
        <f>E100/'Lookup Tables'!$C$48</f>
        <v>326.80550921225915</v>
      </c>
      <c r="H100" s="70">
        <f t="shared" si="12"/>
        <v>0.1350215629588655</v>
      </c>
      <c r="I100" s="71">
        <f t="shared" si="16"/>
        <v>0.47059993326565314</v>
      </c>
      <c r="J100" s="35">
        <f t="shared" si="10"/>
        <v>2087</v>
      </c>
      <c r="K100" s="77">
        <f>$G981</f>
        <v>139.58197172064072</v>
      </c>
      <c r="L100" s="74"/>
      <c r="M100" s="74"/>
      <c r="N100" s="74"/>
      <c r="O100" s="74"/>
      <c r="P100" s="74"/>
      <c r="Q100" s="74"/>
      <c r="R100" s="74"/>
      <c r="S100" s="74"/>
      <c r="T100" s="74"/>
      <c r="U100" s="74"/>
      <c r="V100" s="74"/>
      <c r="W100" s="74"/>
      <c r="X100" s="74"/>
      <c r="Y100" s="74"/>
      <c r="Z100" s="74"/>
    </row>
    <row r="101" spans="1:26" x14ac:dyDescent="0.3">
      <c r="A101" s="66">
        <f t="shared" si="14"/>
        <v>1999.3999999999915</v>
      </c>
      <c r="B101" s="67">
        <f>LOOKUP(A101+0.01,Amounts!$A$4:$A$103,Amounts!$B$4:$B$103)*0.1*$A$2</f>
        <v>7428.865091059999</v>
      </c>
      <c r="C101" s="68">
        <f t="shared" si="13"/>
        <v>643508.65811750072</v>
      </c>
      <c r="D101" s="67">
        <f t="array" ref="D101">SUM($B$7:$B96*$F$1009*EXP(-$F$1009*($A101-$A$7:$A96)))*$F$1010</f>
        <v>86643914.928975835</v>
      </c>
      <c r="E101" s="67">
        <f t="shared" si="11"/>
        <v>165.1789748820074</v>
      </c>
      <c r="F101" s="70">
        <f t="shared" si="15"/>
        <v>10.029667354835489</v>
      </c>
      <c r="G101" s="67">
        <f>E101/'Lookup Tables'!$C$48</f>
        <v>330.35794976401479</v>
      </c>
      <c r="H101" s="70">
        <f t="shared" si="12"/>
        <v>0.13491359922329227</v>
      </c>
      <c r="I101" s="71">
        <f t="shared" si="16"/>
        <v>0.47571544766018131</v>
      </c>
      <c r="J101" s="35">
        <f t="shared" si="10"/>
        <v>2088</v>
      </c>
      <c r="K101" s="77">
        <f>$G991</f>
        <v>135.72788551633514</v>
      </c>
      <c r="L101" s="74"/>
      <c r="M101" s="74"/>
      <c r="N101" s="74"/>
      <c r="O101" s="74"/>
      <c r="P101" s="74"/>
      <c r="Q101" s="74"/>
      <c r="R101" s="74"/>
      <c r="S101" s="74"/>
      <c r="T101" s="74"/>
      <c r="U101" s="74"/>
      <c r="V101" s="74"/>
      <c r="W101" s="74"/>
      <c r="X101" s="74"/>
      <c r="Y101" s="74"/>
      <c r="Z101" s="74"/>
    </row>
    <row r="102" spans="1:26" x14ac:dyDescent="0.3">
      <c r="A102" s="66">
        <f t="shared" si="14"/>
        <v>1999.4999999999914</v>
      </c>
      <c r="B102" s="67">
        <f>LOOKUP(A102+0.01,Amounts!$A$4:$A$103,Amounts!$B$4:$B$103)*0.1*$A$2</f>
        <v>7428.865091059999</v>
      </c>
      <c r="C102" s="68">
        <f t="shared" si="13"/>
        <v>650937.52320856077</v>
      </c>
      <c r="D102" s="67">
        <f t="array" ref="D102">SUM($B$7:$B97*$F$1009*EXP(-$F$1009*($A102-$A$7:$A97)))*$F$1010</f>
        <v>87596437.888964921</v>
      </c>
      <c r="E102" s="67">
        <f t="shared" si="11"/>
        <v>166.99487581644169</v>
      </c>
      <c r="F102" s="70">
        <f t="shared" si="15"/>
        <v>10.139928859574338</v>
      </c>
      <c r="G102" s="67">
        <f>E102/'Lookup Tables'!$C$48</f>
        <v>333.98975163288338</v>
      </c>
      <c r="H102" s="70">
        <f t="shared" si="12"/>
        <v>0.13484013995149483</v>
      </c>
      <c r="I102" s="71">
        <f t="shared" si="16"/>
        <v>0.480945242351352</v>
      </c>
      <c r="J102" s="35">
        <f t="shared" si="10"/>
        <v>2089</v>
      </c>
      <c r="K102" s="77">
        <f>$G1001</f>
        <v>131.98021692661908</v>
      </c>
      <c r="L102" s="74"/>
      <c r="M102" s="74"/>
      <c r="N102" s="74"/>
      <c r="O102" s="74"/>
      <c r="P102" s="74"/>
      <c r="Q102" s="74"/>
      <c r="R102" s="74"/>
      <c r="S102" s="74"/>
      <c r="T102" s="74"/>
      <c r="U102" s="74"/>
      <c r="V102" s="74"/>
      <c r="W102" s="74"/>
      <c r="X102" s="74"/>
      <c r="Y102" s="74"/>
      <c r="Z102" s="74"/>
    </row>
    <row r="103" spans="1:26" x14ac:dyDescent="0.3">
      <c r="A103" s="66">
        <f t="shared" si="14"/>
        <v>1999.5999999999913</v>
      </c>
      <c r="B103" s="67">
        <f>LOOKUP(A103+0.01,Amounts!$A$4:$A$103,Amounts!$B$4:$B$103)*0.1*$A$2</f>
        <v>7428.865091059999</v>
      </c>
      <c r="C103" s="68">
        <f t="shared" si="13"/>
        <v>658366.38829962083</v>
      </c>
      <c r="D103" s="67">
        <f t="array" ref="D103">SUM($B$7:$B98*$F$1009*EXP(-$F$1009*($A103-$A$7:$A98)))*$F$1010</f>
        <v>88546297.515073493</v>
      </c>
      <c r="E103" s="67">
        <f t="shared" si="11"/>
        <v>168.80569933995204</v>
      </c>
      <c r="F103" s="70">
        <f t="shared" si="15"/>
        <v>10.249882063921889</v>
      </c>
      <c r="G103" s="67">
        <f>E103/'Lookup Tables'!$C$48</f>
        <v>337.61139867990408</v>
      </c>
      <c r="H103" s="70">
        <f t="shared" si="12"/>
        <v>0.1347642849785044</v>
      </c>
      <c r="I103" s="71">
        <f t="shared" si="16"/>
        <v>0.48616041409906191</v>
      </c>
      <c r="K103" s="77"/>
      <c r="L103" s="74"/>
      <c r="M103" s="74"/>
      <c r="N103" s="74"/>
      <c r="O103" s="74"/>
      <c r="P103" s="74"/>
      <c r="Q103" s="74"/>
      <c r="R103" s="74"/>
      <c r="S103" s="74"/>
      <c r="T103" s="74"/>
      <c r="U103" s="74"/>
      <c r="V103" s="74"/>
      <c r="W103" s="74"/>
      <c r="X103" s="74"/>
      <c r="Y103" s="74"/>
      <c r="Z103" s="74"/>
    </row>
    <row r="104" spans="1:26" x14ac:dyDescent="0.3">
      <c r="A104" s="66">
        <f t="shared" si="14"/>
        <v>1999.6999999999912</v>
      </c>
      <c r="B104" s="67">
        <f>LOOKUP(A104+0.01,Amounts!$A$4:$A$103,Amounts!$B$4:$B$103)*0.1*$A$2</f>
        <v>7428.865091059999</v>
      </c>
      <c r="C104" s="68">
        <f t="shared" si="13"/>
        <v>665795.25339068088</v>
      </c>
      <c r="D104" s="67">
        <f t="array" ref="D104">SUM($B$7:$B99*$F$1009*EXP(-$F$1009*($A104-$A$7:$A99)))*$F$1010</f>
        <v>89493501.254205927</v>
      </c>
      <c r="E104" s="67">
        <f t="shared" si="11"/>
        <v>170.61145964940428</v>
      </c>
      <c r="F104" s="70">
        <f t="shared" si="15"/>
        <v>10.359527829911828</v>
      </c>
      <c r="G104" s="67">
        <f>E104/'Lookup Tables'!$C$48</f>
        <v>341.22291929880856</v>
      </c>
      <c r="H104" s="70">
        <f t="shared" si="12"/>
        <v>0.13468612570463548</v>
      </c>
      <c r="I104" s="71">
        <f t="shared" si="16"/>
        <v>0.4913610037902843</v>
      </c>
      <c r="K104" s="77"/>
      <c r="L104" s="74"/>
      <c r="M104" s="74"/>
      <c r="N104" s="74"/>
      <c r="O104" s="74"/>
      <c r="P104" s="74"/>
      <c r="Q104" s="74"/>
      <c r="R104" s="74"/>
      <c r="S104" s="74"/>
      <c r="T104" s="74"/>
      <c r="U104" s="74"/>
      <c r="V104" s="74"/>
      <c r="W104" s="74"/>
      <c r="X104" s="74"/>
      <c r="Y104" s="74"/>
      <c r="Z104" s="74"/>
    </row>
    <row r="105" spans="1:26" x14ac:dyDescent="0.3">
      <c r="A105" s="66">
        <f t="shared" si="14"/>
        <v>1999.7999999999911</v>
      </c>
      <c r="B105" s="67">
        <f>LOOKUP(A105+0.01,Amounts!$A$4:$A$103,Amounts!$B$4:$B$103)*0.1*$A$2</f>
        <v>7428.865091059999</v>
      </c>
      <c r="C105" s="68">
        <f t="shared" si="13"/>
        <v>673224.11848174094</v>
      </c>
      <c r="D105" s="67">
        <f t="array" ref="D105">SUM($B$7:$B100*$F$1009*EXP(-$F$1009*($A105-$A$7:$A100)))*$F$1010</f>
        <v>90438056.532444373</v>
      </c>
      <c r="E105" s="67">
        <f t="shared" si="11"/>
        <v>172.41217090196841</v>
      </c>
      <c r="F105" s="70">
        <f t="shared" si="15"/>
        <v>10.468867017167522</v>
      </c>
      <c r="G105" s="67">
        <f>E105/'Lookup Tables'!$C$48</f>
        <v>344.82434180393682</v>
      </c>
      <c r="H105" s="70">
        <f t="shared" si="12"/>
        <v>0.13460574946488993</v>
      </c>
      <c r="I105" s="71">
        <f t="shared" si="16"/>
        <v>0.49654705219766904</v>
      </c>
      <c r="K105" s="77"/>
      <c r="L105" s="74"/>
      <c r="M105" s="74"/>
      <c r="N105" s="74"/>
      <c r="O105" s="74"/>
      <c r="P105" s="74"/>
      <c r="Q105" s="74"/>
      <c r="R105" s="74"/>
      <c r="S105" s="74"/>
      <c r="T105" s="74"/>
      <c r="U105" s="74"/>
      <c r="V105" s="74"/>
      <c r="W105" s="74"/>
      <c r="X105" s="74"/>
      <c r="Y105" s="74"/>
      <c r="Z105" s="74"/>
    </row>
    <row r="106" spans="1:26" x14ac:dyDescent="0.3">
      <c r="A106" s="66">
        <f t="shared" si="14"/>
        <v>1999.899999999991</v>
      </c>
      <c r="B106" s="67">
        <f>LOOKUP(A106+0.01,Amounts!$A$4:$A$103,Amounts!$B$4:$B$103)*0.1*$A$2</f>
        <v>7428.865091059999</v>
      </c>
      <c r="C106" s="68">
        <f t="shared" si="13"/>
        <v>680652.98357280099</v>
      </c>
      <c r="D106" s="67">
        <f t="array" ref="D106">SUM($B$7:$B101*$F$1009*EXP(-$F$1009*($A106-$A$7:$A101)))*$F$1010</f>
        <v>91379970.75510703</v>
      </c>
      <c r="E106" s="67">
        <f t="shared" si="11"/>
        <v>174.20784721522983</v>
      </c>
      <c r="F106" s="70">
        <f t="shared" si="15"/>
        <v>10.577900482908756</v>
      </c>
      <c r="G106" s="67">
        <f>E106/'Lookup Tables'!$C$48</f>
        <v>348.41569443045967</v>
      </c>
      <c r="H106" s="70">
        <f t="shared" si="12"/>
        <v>0.13452323975089339</v>
      </c>
      <c r="I106" s="71">
        <f t="shared" si="16"/>
        <v>0.5017185999798619</v>
      </c>
      <c r="K106" s="77"/>
      <c r="L106" s="74"/>
      <c r="M106" s="74"/>
      <c r="N106" s="74"/>
      <c r="O106" s="74"/>
      <c r="P106" s="74"/>
      <c r="Q106" s="74"/>
      <c r="R106" s="74"/>
      <c r="S106" s="74"/>
      <c r="T106" s="74"/>
      <c r="U106" s="74"/>
      <c r="V106" s="74"/>
      <c r="W106" s="74"/>
      <c r="X106" s="74"/>
      <c r="Y106" s="74"/>
      <c r="Z106" s="74"/>
    </row>
    <row r="107" spans="1:26" x14ac:dyDescent="0.3">
      <c r="A107" s="66">
        <f t="shared" si="14"/>
        <v>1999.9999999999909</v>
      </c>
      <c r="B107" s="67">
        <f>LOOKUP(A107+0.01,Amounts!$A$4:$A$103,Amounts!$B$4:$B$103)*0.1*$A$2</f>
        <v>7577.3799541999997</v>
      </c>
      <c r="C107" s="68">
        <f t="shared" si="13"/>
        <v>688230.363527001</v>
      </c>
      <c r="D107" s="67">
        <f t="array" ref="D107">SUM($B$7:$B102*$F$1009*EXP(-$F$1009*($A107-$A$7:$A102)))*$F$1010</f>
        <v>92319251.306806266</v>
      </c>
      <c r="E107" s="67">
        <f t="shared" si="11"/>
        <v>175.99850266730013</v>
      </c>
      <c r="F107" s="70">
        <f t="shared" si="15"/>
        <v>10.686629081958463</v>
      </c>
      <c r="G107" s="67">
        <f>E107/'Lookup Tables'!$C$48</f>
        <v>351.99700533460026</v>
      </c>
      <c r="H107" s="70">
        <f t="shared" si="12"/>
        <v>0.1344096655774818</v>
      </c>
      <c r="I107" s="71">
        <f t="shared" si="16"/>
        <v>0.50687568768182434</v>
      </c>
      <c r="K107" s="77"/>
      <c r="L107" s="74"/>
      <c r="M107" s="74"/>
      <c r="N107" s="74"/>
      <c r="O107" s="74"/>
      <c r="P107" s="74"/>
      <c r="Q107" s="74"/>
      <c r="R107" s="74"/>
      <c r="S107" s="74"/>
      <c r="T107" s="74"/>
      <c r="U107" s="74"/>
      <c r="V107" s="74"/>
      <c r="W107" s="74"/>
      <c r="X107" s="74"/>
      <c r="Y107" s="74"/>
      <c r="Z107" s="74"/>
    </row>
    <row r="108" spans="1:26" x14ac:dyDescent="0.3">
      <c r="A108" s="66">
        <f t="shared" si="14"/>
        <v>2000.0999999999908</v>
      </c>
      <c r="B108" s="67">
        <f>LOOKUP(A108+0.01,Amounts!$A$4:$A$103,Amounts!$B$4:$B$103)*0.1*$A$2</f>
        <v>7577.3799541999997</v>
      </c>
      <c r="C108" s="68">
        <f t="shared" si="13"/>
        <v>695807.743481201</v>
      </c>
      <c r="D108" s="67">
        <f t="array" ref="D108">SUM($B$7:$B103*$F$1009*EXP(-$F$1009*($A108-$A$7:$A103)))*$F$1010</f>
        <v>93255905.551506385</v>
      </c>
      <c r="E108" s="67">
        <f t="shared" si="11"/>
        <v>177.78415129692715</v>
      </c>
      <c r="F108" s="70">
        <f t="shared" si="15"/>
        <v>10.795053666749416</v>
      </c>
      <c r="G108" s="67">
        <f>E108/'Lookup Tables'!$C$48</f>
        <v>355.5683025938543</v>
      </c>
      <c r="H108" s="70">
        <f t="shared" si="12"/>
        <v>0.13429478300163458</v>
      </c>
      <c r="I108" s="71">
        <f t="shared" si="16"/>
        <v>0.5120183557351502</v>
      </c>
      <c r="K108" s="77"/>
      <c r="L108" s="74"/>
      <c r="M108" s="74"/>
      <c r="N108" s="74"/>
      <c r="O108" s="74"/>
      <c r="P108" s="74"/>
      <c r="Q108" s="74"/>
      <c r="R108" s="74"/>
      <c r="S108" s="74"/>
      <c r="T108" s="74"/>
      <c r="U108" s="74"/>
      <c r="V108" s="74"/>
      <c r="W108" s="74"/>
      <c r="X108" s="74"/>
      <c r="Y108" s="74"/>
      <c r="Z108" s="74"/>
    </row>
    <row r="109" spans="1:26" x14ac:dyDescent="0.3">
      <c r="A109" s="66">
        <f t="shared" si="14"/>
        <v>2000.1999999999907</v>
      </c>
      <c r="B109" s="67">
        <f>LOOKUP(A109+0.01,Amounts!$A$4:$A$103,Amounts!$B$4:$B$103)*0.1*$A$2</f>
        <v>7577.3799541999997</v>
      </c>
      <c r="C109" s="68">
        <f t="shared" si="13"/>
        <v>703385.12343540101</v>
      </c>
      <c r="D109" s="67">
        <f t="array" ref="D109">SUM($B$7:$B104*$F$1009*EXP(-$F$1009*($A109-$A$7:$A104)))*$F$1010</f>
        <v>94189940.832581475</v>
      </c>
      <c r="E109" s="67">
        <f t="shared" si="11"/>
        <v>179.56480710360535</v>
      </c>
      <c r="F109" s="70">
        <f t="shared" si="15"/>
        <v>10.903175087330917</v>
      </c>
      <c r="G109" s="67">
        <f>E109/'Lookup Tables'!$C$48</f>
        <v>359.12961420721069</v>
      </c>
      <c r="H109" s="70">
        <f t="shared" si="12"/>
        <v>0.13417864476959299</v>
      </c>
      <c r="I109" s="71">
        <f t="shared" si="16"/>
        <v>0.51714664445838343</v>
      </c>
      <c r="K109" s="77"/>
      <c r="L109" s="74"/>
      <c r="M109" s="74"/>
      <c r="N109" s="74"/>
      <c r="O109" s="74"/>
      <c r="P109" s="74"/>
      <c r="Q109" s="74"/>
      <c r="R109" s="74"/>
      <c r="S109" s="74"/>
      <c r="T109" s="74"/>
      <c r="U109" s="74"/>
      <c r="V109" s="74"/>
      <c r="W109" s="74"/>
      <c r="X109" s="74"/>
      <c r="Y109" s="74"/>
      <c r="Z109" s="74"/>
    </row>
    <row r="110" spans="1:26" x14ac:dyDescent="0.3">
      <c r="A110" s="66">
        <f t="shared" si="14"/>
        <v>2000.2999999999906</v>
      </c>
      <c r="B110" s="67">
        <f>LOOKUP(A110+0.01,Amounts!$A$4:$A$103,Amounts!$B$4:$B$103)*0.1*$A$2</f>
        <v>7577.3799541999997</v>
      </c>
      <c r="C110" s="68">
        <f t="shared" si="13"/>
        <v>710962.50338960101</v>
      </c>
      <c r="D110" s="67">
        <f t="array" ref="D110">SUM($B$7:$B105*$F$1009*EXP(-$F$1009*($A110-$A$7:$A105)))*$F$1010</f>
        <v>95121364.472872943</v>
      </c>
      <c r="E110" s="67">
        <f t="shared" si="11"/>
        <v>181.34048404768538</v>
      </c>
      <c r="F110" s="70">
        <f t="shared" si="15"/>
        <v>11.010994191375454</v>
      </c>
      <c r="G110" s="67">
        <f>E110/'Lookup Tables'!$C$48</f>
        <v>362.68096809537076</v>
      </c>
      <c r="H110" s="70">
        <f t="shared" si="12"/>
        <v>0.13406130134999963</v>
      </c>
      <c r="I110" s="71">
        <f t="shared" si="16"/>
        <v>0.52226059405733394</v>
      </c>
      <c r="L110" s="74"/>
      <c r="M110" s="74"/>
      <c r="N110" s="74"/>
      <c r="O110" s="74"/>
      <c r="P110" s="74"/>
      <c r="Q110" s="74"/>
      <c r="R110" s="74"/>
      <c r="S110" s="74"/>
      <c r="T110" s="74"/>
      <c r="U110" s="74"/>
      <c r="V110" s="74"/>
      <c r="W110" s="74"/>
      <c r="X110" s="74"/>
      <c r="Y110" s="74"/>
      <c r="Z110" s="74"/>
    </row>
    <row r="111" spans="1:26" x14ac:dyDescent="0.3">
      <c r="A111" s="66">
        <f t="shared" si="14"/>
        <v>2000.3999999999905</v>
      </c>
      <c r="B111" s="67">
        <f>LOOKUP(A111+0.01,Amounts!$A$4:$A$103,Amounts!$B$4:$B$103)*0.1*$A$2</f>
        <v>7577.3799541999997</v>
      </c>
      <c r="C111" s="68">
        <f t="shared" si="13"/>
        <v>718539.88334380102</v>
      </c>
      <c r="D111" s="67">
        <f t="array" ref="D111">SUM($B$7:$B106*$F$1009*EXP(-$F$1009*($A111-$A$7:$A106)))*$F$1010</f>
        <v>96050183.774746865</v>
      </c>
      <c r="E111" s="67">
        <f t="shared" si="11"/>
        <v>183.11119605048347</v>
      </c>
      <c r="F111" s="70">
        <f t="shared" si="15"/>
        <v>11.118511824185356</v>
      </c>
      <c r="G111" s="67">
        <f>E111/'Lookup Tables'!$C$48</f>
        <v>366.22239210096694</v>
      </c>
      <c r="H111" s="70">
        <f t="shared" si="12"/>
        <v>0.13394280105407097</v>
      </c>
      <c r="I111" s="71">
        <f t="shared" si="16"/>
        <v>0.52736024462539233</v>
      </c>
      <c r="L111" s="74"/>
      <c r="M111" s="74"/>
      <c r="N111" s="74"/>
      <c r="O111" s="74"/>
      <c r="P111" s="74"/>
      <c r="Q111" s="74"/>
      <c r="R111" s="74"/>
      <c r="S111" s="74"/>
      <c r="T111" s="74"/>
      <c r="U111" s="74"/>
      <c r="V111" s="74"/>
      <c r="W111" s="74"/>
      <c r="X111" s="74"/>
      <c r="Y111" s="74"/>
      <c r="Z111" s="74"/>
    </row>
    <row r="112" spans="1:26" x14ac:dyDescent="0.3">
      <c r="A112" s="66">
        <f t="shared" si="14"/>
        <v>2000.4999999999905</v>
      </c>
      <c r="B112" s="67">
        <f>LOOKUP(A112+0.01,Amounts!$A$4:$A$103,Amounts!$B$4:$B$103)*0.1*$A$2</f>
        <v>7577.3799541999997</v>
      </c>
      <c r="C112" s="68">
        <f t="shared" si="13"/>
        <v>726117.26329800102</v>
      </c>
      <c r="D112" s="67">
        <f t="array" ref="D112">SUM($B$7:$B107*$F$1009*EXP(-$F$1009*($A112-$A$7:$A107)))*$F$1010</f>
        <v>97000291.71000804</v>
      </c>
      <c r="E112" s="67">
        <f t="shared" si="11"/>
        <v>184.92249295347253</v>
      </c>
      <c r="F112" s="70">
        <f t="shared" si="15"/>
        <v>11.228493772134852</v>
      </c>
      <c r="G112" s="67">
        <f>E112/'Lookup Tables'!$C$48</f>
        <v>369.84498590694506</v>
      </c>
      <c r="H112" s="70">
        <f t="shared" si="12"/>
        <v>0.13385615135341558</v>
      </c>
      <c r="I112" s="71">
        <f t="shared" si="16"/>
        <v>0.53257677970600081</v>
      </c>
      <c r="L112" s="74"/>
      <c r="M112" s="74"/>
      <c r="N112" s="74"/>
      <c r="O112" s="74"/>
      <c r="P112" s="74"/>
      <c r="Q112" s="74"/>
      <c r="R112" s="74"/>
      <c r="S112" s="74"/>
      <c r="T112" s="74"/>
      <c r="U112" s="74"/>
      <c r="V112" s="74"/>
      <c r="W112" s="74"/>
      <c r="X112" s="74"/>
      <c r="Y112" s="74"/>
      <c r="Z112" s="74"/>
    </row>
    <row r="113" spans="1:26" x14ac:dyDescent="0.3">
      <c r="A113" s="66">
        <f t="shared" si="14"/>
        <v>2000.5999999999904</v>
      </c>
      <c r="B113" s="67">
        <f>LOOKUP(A113+0.01,Amounts!$A$4:$A$103,Amounts!$B$4:$B$103)*0.1*$A$2</f>
        <v>7577.3799541999997</v>
      </c>
      <c r="C113" s="68">
        <f t="shared" si="13"/>
        <v>733694.64325220103</v>
      </c>
      <c r="D113" s="67">
        <f t="array" ref="D113">SUM($B$7:$B108*$F$1009*EXP(-$F$1009*($A113-$A$7:$A108)))*$F$1010</f>
        <v>97947743.063999906</v>
      </c>
      <c r="E113" s="67">
        <f t="shared" si="11"/>
        <v>186.7287253187948</v>
      </c>
      <c r="F113" s="70">
        <f t="shared" si="15"/>
        <v>11.338168201357222</v>
      </c>
      <c r="G113" s="67">
        <f>E113/'Lookup Tables'!$C$48</f>
        <v>373.4574506375896</v>
      </c>
      <c r="H113" s="70">
        <f t="shared" si="12"/>
        <v>0.13376766333269005</v>
      </c>
      <c r="I113" s="71">
        <f t="shared" si="16"/>
        <v>0.53777872891812917</v>
      </c>
      <c r="L113" s="74"/>
      <c r="M113" s="74"/>
      <c r="N113" s="74"/>
      <c r="O113" s="74"/>
      <c r="P113" s="74"/>
      <c r="Q113" s="74"/>
      <c r="R113" s="74"/>
      <c r="S113" s="74"/>
      <c r="T113" s="74"/>
      <c r="U113" s="74"/>
      <c r="V113" s="74"/>
      <c r="W113" s="74"/>
      <c r="X113" s="74"/>
      <c r="Y113" s="74"/>
      <c r="Z113" s="74"/>
    </row>
    <row r="114" spans="1:26" x14ac:dyDescent="0.3">
      <c r="A114" s="66">
        <f t="shared" si="14"/>
        <v>2000.6999999999903</v>
      </c>
      <c r="B114" s="67">
        <f>LOOKUP(A114+0.01,Amounts!$A$4:$A$103,Amounts!$B$4:$B$103)*0.1*$A$2</f>
        <v>7577.3799541999997</v>
      </c>
      <c r="C114" s="68">
        <f t="shared" si="13"/>
        <v>741272.02320640103</v>
      </c>
      <c r="D114" s="67">
        <f t="array" ref="D114">SUM($B$7:$B109*$F$1009*EXP(-$F$1009*($A114-$A$7:$A109)))*$F$1010</f>
        <v>98892545.264745921</v>
      </c>
      <c r="E114" s="67">
        <f t="shared" si="11"/>
        <v>188.52990730732128</v>
      </c>
      <c r="F114" s="70">
        <f t="shared" si="15"/>
        <v>11.44753597170055</v>
      </c>
      <c r="G114" s="67">
        <f>E114/'Lookup Tables'!$C$48</f>
        <v>377.05981461464256</v>
      </c>
      <c r="H114" s="70">
        <f t="shared" si="12"/>
        <v>0.13367740340732773</v>
      </c>
      <c r="I114" s="71">
        <f t="shared" si="16"/>
        <v>0.54296613304508534</v>
      </c>
      <c r="L114" s="74"/>
      <c r="M114" s="74"/>
      <c r="N114" s="74"/>
      <c r="O114" s="74"/>
      <c r="P114" s="74"/>
      <c r="Q114" s="74"/>
      <c r="R114" s="74"/>
      <c r="S114" s="74"/>
      <c r="T114" s="74"/>
      <c r="U114" s="74"/>
      <c r="V114" s="74"/>
      <c r="W114" s="74"/>
      <c r="X114" s="74"/>
      <c r="Y114" s="74"/>
      <c r="Z114" s="74"/>
    </row>
    <row r="115" spans="1:26" x14ac:dyDescent="0.3">
      <c r="A115" s="66">
        <f t="shared" si="14"/>
        <v>2000.7999999999902</v>
      </c>
      <c r="B115" s="67">
        <f>LOOKUP(A115+0.01,Amounts!$A$4:$A$103,Amounts!$B$4:$B$103)*0.1*$A$2</f>
        <v>7577.3799541999997</v>
      </c>
      <c r="C115" s="68">
        <f t="shared" si="13"/>
        <v>748849.40316060104</v>
      </c>
      <c r="D115" s="67">
        <f t="array" ref="D115">SUM($B$7:$B110*$F$1009*EXP(-$F$1009*($A115-$A$7:$A110)))*$F$1010</f>
        <v>99834705.719500154</v>
      </c>
      <c r="E115" s="67">
        <f t="shared" si="11"/>
        <v>190.32605304032791</v>
      </c>
      <c r="F115" s="70">
        <f t="shared" si="15"/>
        <v>11.556597940608713</v>
      </c>
      <c r="G115" s="67">
        <f>E115/'Lookup Tables'!$C$48</f>
        <v>380.65210608065581</v>
      </c>
      <c r="H115" s="70">
        <f t="shared" si="12"/>
        <v>0.13358543527682079</v>
      </c>
      <c r="I115" s="71">
        <f t="shared" si="16"/>
        <v>0.5481390327561444</v>
      </c>
      <c r="L115" s="74"/>
      <c r="M115" s="74"/>
      <c r="N115" s="74"/>
      <c r="O115" s="74"/>
      <c r="P115" s="74"/>
      <c r="Q115" s="74"/>
      <c r="R115" s="74"/>
      <c r="S115" s="74"/>
      <c r="T115" s="74"/>
      <c r="U115" s="74"/>
      <c r="V115" s="74"/>
      <c r="W115" s="74"/>
      <c r="X115" s="74"/>
      <c r="Y115" s="74"/>
      <c r="Z115" s="74"/>
    </row>
    <row r="116" spans="1:26" x14ac:dyDescent="0.3">
      <c r="A116" s="66">
        <f t="shared" si="14"/>
        <v>2000.8999999999901</v>
      </c>
      <c r="B116" s="67">
        <f>LOOKUP(A116+0.01,Amounts!$A$4:$A$103,Amounts!$B$4:$B$103)*0.1*$A$2</f>
        <v>7577.3799541999997</v>
      </c>
      <c r="C116" s="68">
        <f t="shared" si="13"/>
        <v>756426.78311480104</v>
      </c>
      <c r="D116" s="67">
        <f t="array" ref="D116">SUM($B$7:$B111*$F$1009*EXP(-$F$1009*($A116-$A$7:$A111)))*$F$1010</f>
        <v>100774231.81480543</v>
      </c>
      <c r="E116" s="67">
        <f t="shared" si="11"/>
        <v>192.11717659960652</v>
      </c>
      <c r="F116" s="70">
        <f t="shared" si="15"/>
        <v>11.665354963128108</v>
      </c>
      <c r="G116" s="67">
        <f>E116/'Lookup Tables'!$C$48</f>
        <v>384.23435319921305</v>
      </c>
      <c r="H116" s="70">
        <f t="shared" si="12"/>
        <v>0.13349182006082957</v>
      </c>
      <c r="I116" s="71">
        <f t="shared" si="16"/>
        <v>0.55329746860686679</v>
      </c>
      <c r="L116" s="74"/>
      <c r="M116" s="74"/>
      <c r="N116" s="74"/>
      <c r="O116" s="74"/>
      <c r="P116" s="74"/>
      <c r="Q116" s="74"/>
      <c r="R116" s="74"/>
      <c r="S116" s="74"/>
      <c r="T116" s="74"/>
      <c r="U116" s="74"/>
      <c r="V116" s="74"/>
      <c r="W116" s="74"/>
      <c r="X116" s="74"/>
      <c r="Y116" s="74"/>
      <c r="Z116" s="74"/>
    </row>
    <row r="117" spans="1:26" x14ac:dyDescent="0.3">
      <c r="A117" s="66">
        <f t="shared" si="14"/>
        <v>2000.99999999999</v>
      </c>
      <c r="B117" s="67">
        <f>LOOKUP(A117+0.01,Amounts!$A$4:$A$103,Amounts!$B$4:$B$103)*0.1*$A$2</f>
        <v>7729.0167513999995</v>
      </c>
      <c r="C117" s="68">
        <f t="shared" si="13"/>
        <v>764155.79986620101</v>
      </c>
      <c r="D117" s="67">
        <f t="array" ref="D117">SUM($B$7:$B112*$F$1009*EXP(-$F$1009*($A117-$A$7:$A112)))*$F$1010</f>
        <v>101711130.91655114</v>
      </c>
      <c r="E117" s="67">
        <f t="shared" si="11"/>
        <v>193.90329202757502</v>
      </c>
      <c r="F117" s="70">
        <f t="shared" si="15"/>
        <v>11.773807891914355</v>
      </c>
      <c r="G117" s="67">
        <f>E117/'Lookup Tables'!$C$48</f>
        <v>387.80658405515004</v>
      </c>
      <c r="H117" s="70">
        <f t="shared" si="12"/>
        <v>0.13337014560059376</v>
      </c>
      <c r="I117" s="71">
        <f t="shared" si="16"/>
        <v>0.55844148103941604</v>
      </c>
      <c r="L117" s="74"/>
      <c r="M117" s="74"/>
      <c r="N117" s="74"/>
      <c r="O117" s="74"/>
      <c r="P117" s="74"/>
      <c r="Q117" s="74"/>
      <c r="R117" s="74"/>
      <c r="S117" s="74"/>
      <c r="T117" s="74"/>
      <c r="U117" s="74"/>
      <c r="V117" s="74"/>
      <c r="W117" s="74"/>
      <c r="X117" s="74"/>
      <c r="Y117" s="74"/>
      <c r="Z117" s="74"/>
    </row>
    <row r="118" spans="1:26" x14ac:dyDescent="0.3">
      <c r="A118" s="66">
        <f t="shared" si="14"/>
        <v>2001.0999999999899</v>
      </c>
      <c r="B118" s="67">
        <f>LOOKUP(A118+0.01,Amounts!$A$4:$A$103,Amounts!$B$4:$B$103)*0.1*$A$2</f>
        <v>7729.0167513999995</v>
      </c>
      <c r="C118" s="68">
        <f t="shared" si="13"/>
        <v>771884.81661760097</v>
      </c>
      <c r="D118" s="67">
        <f t="array" ref="D118">SUM($B$7:$B113*$F$1009*EXP(-$F$1009*($A118-$A$7:$A113)))*$F$1010</f>
        <v>102645410.37003103</v>
      </c>
      <c r="E118" s="67">
        <f t="shared" si="11"/>
        <v>195.68441332738738</v>
      </c>
      <c r="F118" s="70">
        <f t="shared" si="15"/>
        <v>11.881957577238961</v>
      </c>
      <c r="G118" s="67">
        <f>E118/'Lookup Tables'!$C$48</f>
        <v>391.36882665477475</v>
      </c>
      <c r="H118" s="70">
        <f t="shared" si="12"/>
        <v>0.13324750718063227</v>
      </c>
      <c r="I118" s="71">
        <f t="shared" si="16"/>
        <v>0.56357111038287566</v>
      </c>
      <c r="L118" s="74"/>
      <c r="M118" s="74"/>
      <c r="N118" s="74"/>
      <c r="O118" s="74"/>
      <c r="P118" s="74"/>
      <c r="Q118" s="74"/>
      <c r="R118" s="74"/>
      <c r="S118" s="74"/>
      <c r="T118" s="74"/>
      <c r="U118" s="74"/>
      <c r="V118" s="74"/>
      <c r="W118" s="74"/>
      <c r="X118" s="74"/>
      <c r="Y118" s="74"/>
      <c r="Z118" s="74"/>
    </row>
    <row r="119" spans="1:26" x14ac:dyDescent="0.3">
      <c r="A119" s="66">
        <f t="shared" si="14"/>
        <v>2001.1999999999898</v>
      </c>
      <c r="B119" s="67">
        <f>LOOKUP(A119+0.01,Amounts!$A$4:$A$103,Amounts!$B$4:$B$103)*0.1*$A$2</f>
        <v>7729.0167513999995</v>
      </c>
      <c r="C119" s="68">
        <f t="shared" si="13"/>
        <v>779613.83336900093</v>
      </c>
      <c r="D119" s="67">
        <f t="array" ref="D119">SUM($B$7:$B114*$F$1009*EXP(-$F$1009*($A119-$A$7:$A114)))*$F$1010</f>
        <v>103577077.50000083</v>
      </c>
      <c r="E119" s="67">
        <f t="shared" si="11"/>
        <v>197.46055446304385</v>
      </c>
      <c r="F119" s="70">
        <f t="shared" si="15"/>
        <v>11.989804866996021</v>
      </c>
      <c r="G119" s="67">
        <f>E119/'Lookup Tables'!$C$48</f>
        <v>394.9211089260877</v>
      </c>
      <c r="H119" s="70">
        <f t="shared" si="12"/>
        <v>0.13312394288500648</v>
      </c>
      <c r="I119" s="71">
        <f t="shared" si="16"/>
        <v>0.56868639685356626</v>
      </c>
      <c r="L119" s="74"/>
      <c r="M119" s="74"/>
      <c r="N119" s="74"/>
      <c r="O119" s="74"/>
      <c r="P119" s="74"/>
      <c r="Q119" s="74"/>
      <c r="R119" s="74"/>
      <c r="S119" s="74"/>
      <c r="T119" s="74"/>
      <c r="U119" s="74"/>
      <c r="V119" s="74"/>
      <c r="W119" s="74"/>
      <c r="X119" s="74"/>
      <c r="Y119" s="74"/>
      <c r="Z119" s="74"/>
    </row>
    <row r="120" spans="1:26" x14ac:dyDescent="0.3">
      <c r="A120" s="66">
        <f t="shared" si="14"/>
        <v>2001.2999999999897</v>
      </c>
      <c r="B120" s="67">
        <f>LOOKUP(A120+0.01,Amounts!$A$4:$A$103,Amounts!$B$4:$B$103)*0.1*$A$2</f>
        <v>7729.0167513999995</v>
      </c>
      <c r="C120" s="68">
        <f t="shared" si="13"/>
        <v>787342.85012040089</v>
      </c>
      <c r="D120" s="67">
        <f t="array" ref="D120">SUM($B$7:$B115*$F$1009*EXP(-$F$1009*($A120-$A$7:$A115)))*$F$1010</f>
        <v>104506139.61073561</v>
      </c>
      <c r="E120" s="67">
        <f t="shared" si="11"/>
        <v>199.23172935949998</v>
      </c>
      <c r="F120" s="70">
        <f t="shared" si="15"/>
        <v>12.097350606708838</v>
      </c>
      <c r="G120" s="67">
        <f>E120/'Lookup Tables'!$C$48</f>
        <v>398.46345871899996</v>
      </c>
      <c r="H120" s="70">
        <f t="shared" si="12"/>
        <v>0.13299948927629165</v>
      </c>
      <c r="I120" s="71">
        <f t="shared" si="16"/>
        <v>0.57378738055535983</v>
      </c>
      <c r="L120" s="74"/>
      <c r="M120" s="74"/>
      <c r="N120" s="74"/>
      <c r="O120" s="74"/>
      <c r="P120" s="74"/>
      <c r="Q120" s="74"/>
      <c r="R120" s="74"/>
      <c r="S120" s="74"/>
      <c r="T120" s="74"/>
      <c r="U120" s="74"/>
      <c r="V120" s="74"/>
      <c r="W120" s="74"/>
      <c r="X120" s="74"/>
      <c r="Y120" s="74"/>
      <c r="Z120" s="74"/>
    </row>
    <row r="121" spans="1:26" x14ac:dyDescent="0.3">
      <c r="A121" s="66">
        <f t="shared" si="14"/>
        <v>2001.3999999999896</v>
      </c>
      <c r="B121" s="67">
        <f>LOOKUP(A121+0.01,Amounts!$A$4:$A$103,Amounts!$B$4:$B$103)*0.1*$A$2</f>
        <v>7729.0167513999995</v>
      </c>
      <c r="C121" s="68">
        <f t="shared" si="13"/>
        <v>795071.86687180086</v>
      </c>
      <c r="D121" s="67">
        <f t="array" ref="D121">SUM($B$7:$B116*$F$1009*EXP(-$F$1009*($A121-$A$7:$A116)))*$F$1010</f>
        <v>105432603.98608707</v>
      </c>
      <c r="E121" s="67">
        <f t="shared" si="11"/>
        <v>200.99795190277609</v>
      </c>
      <c r="F121" s="70">
        <f t="shared" si="15"/>
        <v>12.204595639536565</v>
      </c>
      <c r="G121" s="67">
        <f>E121/'Lookup Tables'!$C$48</f>
        <v>401.99590380555219</v>
      </c>
      <c r="H121" s="70">
        <f t="shared" si="12"/>
        <v>0.13287418146960225</v>
      </c>
      <c r="I121" s="71">
        <f t="shared" si="16"/>
        <v>0.57887410147999518</v>
      </c>
      <c r="L121" s="74"/>
      <c r="M121" s="74"/>
      <c r="N121" s="74"/>
      <c r="O121" s="74"/>
      <c r="P121" s="74"/>
      <c r="Q121" s="74"/>
      <c r="R121" s="74"/>
      <c r="S121" s="74"/>
      <c r="T121" s="74"/>
      <c r="U121" s="74"/>
      <c r="V121" s="74"/>
      <c r="W121" s="74"/>
      <c r="X121" s="74"/>
      <c r="Y121" s="74"/>
      <c r="Z121" s="74"/>
    </row>
    <row r="122" spans="1:26" x14ac:dyDescent="0.3">
      <c r="A122" s="66">
        <f t="shared" si="14"/>
        <v>2001.4999999999895</v>
      </c>
      <c r="B122" s="67">
        <f>LOOKUP(A122+0.01,Amounts!$A$4:$A$103,Amounts!$B$4:$B$103)*0.1*$A$2</f>
        <v>7729.0167513999995</v>
      </c>
      <c r="C122" s="68">
        <f t="shared" si="13"/>
        <v>802800.88362320082</v>
      </c>
      <c r="D122" s="67">
        <f t="array" ref="D122">SUM($B$7:$B117*$F$1009*EXP(-$F$1009*($A122-$A$7:$A117)))*$F$1010</f>
        <v>106380865.6809859</v>
      </c>
      <c r="E122" s="67">
        <f t="shared" si="11"/>
        <v>202.80572911150057</v>
      </c>
      <c r="F122" s="70">
        <f t="shared" si="15"/>
        <v>12.314363871650315</v>
      </c>
      <c r="G122" s="67">
        <f>E122/'Lookup Tables'!$C$48</f>
        <v>405.61145822300114</v>
      </c>
      <c r="H122" s="70">
        <f t="shared" si="12"/>
        <v>0.13277849264430497</v>
      </c>
      <c r="I122" s="71">
        <f t="shared" si="16"/>
        <v>0.58408049984112165</v>
      </c>
      <c r="L122" s="74"/>
      <c r="M122" s="74"/>
      <c r="N122" s="74"/>
      <c r="O122" s="74"/>
      <c r="P122" s="74"/>
      <c r="Q122" s="74"/>
      <c r="R122" s="74"/>
      <c r="S122" s="74"/>
      <c r="T122" s="74"/>
      <c r="U122" s="74"/>
      <c r="V122" s="74"/>
      <c r="W122" s="74"/>
      <c r="X122" s="74"/>
      <c r="Y122" s="74"/>
      <c r="Z122" s="74"/>
    </row>
    <row r="123" spans="1:26" x14ac:dyDescent="0.3">
      <c r="A123" s="66">
        <f t="shared" si="14"/>
        <v>2001.5999999999894</v>
      </c>
      <c r="B123" s="67">
        <f>LOOKUP(A123+0.01,Amounts!$A$4:$A$103,Amounts!$B$4:$B$103)*0.1*$A$2</f>
        <v>7729.0167513999995</v>
      </c>
      <c r="C123" s="68">
        <f t="shared" si="13"/>
        <v>810529.90037460078</v>
      </c>
      <c r="D123" s="67">
        <f t="array" ref="D123">SUM($B$7:$B118*$F$1009*EXP(-$F$1009*($A123-$A$7:$A118)))*$F$1010</f>
        <v>107326475.95685786</v>
      </c>
      <c r="E123" s="67">
        <f t="shared" si="11"/>
        <v>204.60845162391772</v>
      </c>
      <c r="F123" s="70">
        <f t="shared" si="15"/>
        <v>12.423825182604284</v>
      </c>
      <c r="G123" s="67">
        <f>E123/'Lookup Tables'!$C$48</f>
        <v>409.21690324783543</v>
      </c>
      <c r="H123" s="70">
        <f t="shared" si="12"/>
        <v>0.13268135095797035</v>
      </c>
      <c r="I123" s="71">
        <f t="shared" si="16"/>
        <v>0.58927234067688306</v>
      </c>
      <c r="L123" s="74"/>
      <c r="M123" s="74"/>
      <c r="N123" s="74"/>
      <c r="O123" s="74"/>
      <c r="P123" s="74"/>
      <c r="Q123" s="74"/>
      <c r="R123" s="74"/>
      <c r="S123" s="74"/>
      <c r="T123" s="74"/>
      <c r="U123" s="74"/>
      <c r="V123" s="74"/>
      <c r="W123" s="74"/>
      <c r="X123" s="74"/>
      <c r="Y123" s="74"/>
      <c r="Z123" s="74"/>
    </row>
    <row r="124" spans="1:26" x14ac:dyDescent="0.3">
      <c r="A124" s="66">
        <f t="shared" si="14"/>
        <v>2001.6999999999894</v>
      </c>
      <c r="B124" s="67">
        <f>LOOKUP(A124+0.01,Amounts!$A$4:$A$103,Amounts!$B$4:$B$103)*0.1*$A$2</f>
        <v>7729.0167513999995</v>
      </c>
      <c r="C124" s="68">
        <f t="shared" si="13"/>
        <v>818258.91712600074</v>
      </c>
      <c r="D124" s="67">
        <f t="array" ref="D124">SUM($B$7:$B119*$F$1009*EXP(-$F$1009*($A124-$A$7:$A119)))*$F$1010</f>
        <v>108269442.22729248</v>
      </c>
      <c r="E124" s="67">
        <f t="shared" si="11"/>
        <v>206.40613357338154</v>
      </c>
      <c r="F124" s="70">
        <f t="shared" si="15"/>
        <v>12.532980430575728</v>
      </c>
      <c r="G124" s="67">
        <f>E124/'Lookup Tables'!$C$48</f>
        <v>412.81226714676308</v>
      </c>
      <c r="H124" s="70">
        <f t="shared" si="12"/>
        <v>0.13258280665881678</v>
      </c>
      <c r="I124" s="71">
        <f t="shared" si="16"/>
        <v>0.59444966469133886</v>
      </c>
      <c r="L124" s="74"/>
      <c r="M124" s="74"/>
      <c r="N124" s="74"/>
      <c r="O124" s="74"/>
      <c r="P124" s="74"/>
      <c r="Q124" s="74"/>
      <c r="R124" s="74"/>
      <c r="S124" s="74"/>
      <c r="T124" s="74"/>
      <c r="U124" s="74"/>
      <c r="V124" s="74"/>
      <c r="W124" s="74"/>
      <c r="X124" s="74"/>
      <c r="Y124" s="74"/>
      <c r="Z124" s="74"/>
    </row>
    <row r="125" spans="1:26" x14ac:dyDescent="0.3">
      <c r="A125" s="66">
        <f t="shared" si="14"/>
        <v>2001.7999999999893</v>
      </c>
      <c r="B125" s="67">
        <f>LOOKUP(A125+0.01,Amounts!$A$4:$A$103,Amounts!$B$4:$B$103)*0.1*$A$2</f>
        <v>7729.0167513999995</v>
      </c>
      <c r="C125" s="68">
        <f t="shared" si="13"/>
        <v>825987.9338774007</v>
      </c>
      <c r="D125" s="67">
        <f t="array" ref="D125">SUM($B$7:$B120*$F$1009*EXP(-$F$1009*($A125-$A$7:$A120)))*$F$1010</f>
        <v>109209771.88515005</v>
      </c>
      <c r="E125" s="67">
        <f t="shared" si="11"/>
        <v>208.19878905372758</v>
      </c>
      <c r="F125" s="70">
        <f t="shared" si="15"/>
        <v>12.641830471342338</v>
      </c>
      <c r="G125" s="67">
        <f>E125/'Lookup Tables'!$C$48</f>
        <v>416.39757810745516</v>
      </c>
      <c r="H125" s="70">
        <f t="shared" si="12"/>
        <v>0.1324829080891653</v>
      </c>
      <c r="I125" s="71">
        <f t="shared" si="16"/>
        <v>0.59961251247473546</v>
      </c>
      <c r="L125" s="74"/>
      <c r="M125" s="74"/>
      <c r="N125" s="74"/>
      <c r="O125" s="74"/>
      <c r="P125" s="74"/>
      <c r="Q125" s="74"/>
      <c r="R125" s="74"/>
      <c r="S125" s="74"/>
      <c r="T125" s="74"/>
      <c r="U125" s="74"/>
      <c r="V125" s="74"/>
      <c r="W125" s="74"/>
      <c r="X125" s="74"/>
      <c r="Y125" s="74"/>
      <c r="Z125" s="74"/>
    </row>
    <row r="126" spans="1:26" x14ac:dyDescent="0.3">
      <c r="A126" s="66">
        <f t="shared" si="14"/>
        <v>2001.8999999999892</v>
      </c>
      <c r="B126" s="67">
        <f>LOOKUP(A126+0.01,Amounts!$A$4:$A$103,Amounts!$B$4:$B$103)*0.1*$A$2</f>
        <v>7729.0167513999995</v>
      </c>
      <c r="C126" s="68">
        <f t="shared" si="13"/>
        <v>833716.95062880067</v>
      </c>
      <c r="D126" s="67">
        <f t="array" ref="D126">SUM($B$7:$B121*$F$1009*EXP(-$F$1009*($A126-$A$7:$A121)))*$F$1010</f>
        <v>110147472.30261993</v>
      </c>
      <c r="E126" s="67">
        <f t="shared" si="11"/>
        <v>209.98643211938395</v>
      </c>
      <c r="F126" s="70">
        <f t="shared" si="15"/>
        <v>12.750376158288994</v>
      </c>
      <c r="G126" s="67">
        <f>E126/'Lookup Tables'!$C$48</f>
        <v>419.9728642387679</v>
      </c>
      <c r="H126" s="70">
        <f t="shared" si="12"/>
        <v>0.13238170177385322</v>
      </c>
      <c r="I126" s="71">
        <f t="shared" si="16"/>
        <v>0.60476092450382568</v>
      </c>
      <c r="L126" s="74"/>
      <c r="M126" s="74"/>
      <c r="N126" s="74"/>
      <c r="O126" s="74"/>
      <c r="P126" s="74"/>
      <c r="Q126" s="74"/>
      <c r="R126" s="74"/>
      <c r="S126" s="74"/>
      <c r="T126" s="74"/>
      <c r="U126" s="74"/>
      <c r="V126" s="74"/>
      <c r="W126" s="74"/>
      <c r="X126" s="74"/>
      <c r="Y126" s="74"/>
      <c r="Z126" s="74"/>
    </row>
    <row r="127" spans="1:26" x14ac:dyDescent="0.3">
      <c r="A127" s="66">
        <f t="shared" si="14"/>
        <v>2001.9999999999891</v>
      </c>
      <c r="B127" s="67">
        <f>LOOKUP(A127+0.01,Amounts!$A$4:$A$103,Amounts!$B$4:$B$103)*0.1*$A$2</f>
        <v>7883.5524873699997</v>
      </c>
      <c r="C127" s="68">
        <f t="shared" si="13"/>
        <v>841600.50311617064</v>
      </c>
      <c r="D127" s="67">
        <f t="array" ref="D127">SUM($B$7:$B122*$F$1009*EXP(-$F$1009*($A127-$A$7:$A122)))*$F$1010</f>
        <v>111082550.83127819</v>
      </c>
      <c r="E127" s="67">
        <f t="shared" si="11"/>
        <v>211.76907678548147</v>
      </c>
      <c r="F127" s="70">
        <f t="shared" si="15"/>
        <v>12.858618342414434</v>
      </c>
      <c r="G127" s="67">
        <f>E127/'Lookup Tables'!$C$48</f>
        <v>423.53815357096295</v>
      </c>
      <c r="H127" s="70">
        <f t="shared" si="12"/>
        <v>0.13225494322581807</v>
      </c>
      <c r="I127" s="71">
        <f t="shared" si="16"/>
        <v>0.60989494114218668</v>
      </c>
      <c r="L127" s="74"/>
      <c r="M127" s="74"/>
      <c r="N127" s="74"/>
      <c r="O127" s="74"/>
      <c r="P127" s="74"/>
      <c r="Q127" s="74"/>
      <c r="R127" s="74"/>
      <c r="S127" s="74"/>
      <c r="T127" s="74"/>
      <c r="U127" s="74"/>
      <c r="V127" s="74"/>
      <c r="W127" s="74"/>
      <c r="X127" s="74"/>
      <c r="Y127" s="74"/>
      <c r="Z127" s="74"/>
    </row>
    <row r="128" spans="1:26" x14ac:dyDescent="0.3">
      <c r="A128" s="66">
        <f t="shared" si="14"/>
        <v>2002.099999999989</v>
      </c>
      <c r="B128" s="67">
        <f>LOOKUP(A128+0.01,Amounts!$A$4:$A$103,Amounts!$B$4:$B$103)*0.1*$A$2</f>
        <v>7883.5524873699997</v>
      </c>
      <c r="C128" s="68">
        <f t="shared" si="13"/>
        <v>849484.05560354062</v>
      </c>
      <c r="D128" s="67">
        <f t="array" ref="D128">SUM($B$7:$B123*$F$1009*EXP(-$F$1009*($A128-$A$7:$A123)))*$F$1010</f>
        <v>112015014.8021453</v>
      </c>
      <c r="E128" s="67">
        <f t="shared" si="11"/>
        <v>213.54673702796353</v>
      </c>
      <c r="F128" s="70">
        <f t="shared" si="15"/>
        <v>12.966557872337948</v>
      </c>
      <c r="G128" s="67">
        <f>E128/'Lookup Tables'!$C$48</f>
        <v>427.09347405592706</v>
      </c>
      <c r="H128" s="70">
        <f t="shared" si="12"/>
        <v>0.13212745341306417</v>
      </c>
      <c r="I128" s="71">
        <f t="shared" si="16"/>
        <v>0.61501460264053498</v>
      </c>
      <c r="L128" s="74"/>
      <c r="M128" s="74"/>
      <c r="N128" s="74"/>
      <c r="O128" s="74"/>
      <c r="P128" s="74"/>
      <c r="Q128" s="74"/>
      <c r="R128" s="74"/>
      <c r="S128" s="74"/>
      <c r="T128" s="74"/>
      <c r="U128" s="74"/>
      <c r="V128" s="74"/>
      <c r="W128" s="74"/>
      <c r="X128" s="74"/>
      <c r="Y128" s="74"/>
      <c r="Z128" s="74"/>
    </row>
    <row r="129" spans="1:26" x14ac:dyDescent="0.3">
      <c r="A129" s="66">
        <f t="shared" si="14"/>
        <v>2002.1999999999889</v>
      </c>
      <c r="B129" s="67">
        <f>LOOKUP(A129+0.01,Amounts!$A$4:$A$103,Amounts!$B$4:$B$103)*0.1*$A$2</f>
        <v>7883.5524873699997</v>
      </c>
      <c r="C129" s="68">
        <f t="shared" si="13"/>
        <v>857367.60809091059</v>
      </c>
      <c r="D129" s="67">
        <f t="array" ref="D129">SUM($B$7:$B124*$F$1009*EXP(-$F$1009*($A129-$A$7:$A124)))*$F$1010</f>
        <v>112944871.52574354</v>
      </c>
      <c r="E129" s="67">
        <f t="shared" si="11"/>
        <v>215.31942678369541</v>
      </c>
      <c r="F129" s="70">
        <f t="shared" si="15"/>
        <v>13.074195594305987</v>
      </c>
      <c r="G129" s="67">
        <f>E129/'Lookup Tables'!$C$48</f>
        <v>430.63885356739081</v>
      </c>
      <c r="H129" s="70">
        <f t="shared" si="12"/>
        <v>0.13199926105152104</v>
      </c>
      <c r="I129" s="71">
        <f t="shared" si="16"/>
        <v>0.62011994913704271</v>
      </c>
      <c r="L129" s="74"/>
      <c r="M129" s="74"/>
      <c r="N129" s="74"/>
      <c r="O129" s="74"/>
      <c r="P129" s="74"/>
      <c r="Q129" s="74"/>
      <c r="R129" s="74"/>
      <c r="S129" s="74"/>
      <c r="T129" s="74"/>
      <c r="U129" s="74"/>
      <c r="V129" s="74"/>
      <c r="W129" s="74"/>
      <c r="X129" s="74"/>
      <c r="Y129" s="74"/>
      <c r="Z129" s="74"/>
    </row>
    <row r="130" spans="1:26" x14ac:dyDescent="0.3">
      <c r="A130" s="66">
        <f t="shared" si="14"/>
        <v>2002.2999999999888</v>
      </c>
      <c r="B130" s="67">
        <f>LOOKUP(A130+0.01,Amounts!$A$4:$A$103,Amounts!$B$4:$B$103)*0.1*$A$2</f>
        <v>7883.5524873699997</v>
      </c>
      <c r="C130" s="68">
        <f t="shared" si="13"/>
        <v>865251.16057828057</v>
      </c>
      <c r="D130" s="67">
        <f t="array" ref="D130">SUM($B$7:$B125*$F$1009*EXP(-$F$1009*($A130-$A$7:$A125)))*$F$1010</f>
        <v>113872128.29215443</v>
      </c>
      <c r="E130" s="67">
        <f t="shared" si="11"/>
        <v>217.08715995057395</v>
      </c>
      <c r="F130" s="70">
        <f t="shared" si="15"/>
        <v>13.18153235219885</v>
      </c>
      <c r="G130" s="67">
        <f>E130/'Lookup Tables'!$C$48</f>
        <v>434.1743199011479</v>
      </c>
      <c r="H130" s="70">
        <f t="shared" si="12"/>
        <v>0.13187039378689025</v>
      </c>
      <c r="I130" s="71">
        <f t="shared" si="16"/>
        <v>0.62521102065765299</v>
      </c>
      <c r="L130" s="74"/>
      <c r="M130" s="74"/>
      <c r="N130" s="74"/>
      <c r="O130" s="74"/>
      <c r="P130" s="74"/>
      <c r="Q130" s="74"/>
      <c r="R130" s="74"/>
      <c r="S130" s="74"/>
      <c r="T130" s="74"/>
      <c r="U130" s="74"/>
      <c r="V130" s="74"/>
      <c r="W130" s="74"/>
      <c r="X130" s="74"/>
      <c r="Y130" s="74"/>
      <c r="Z130" s="74"/>
    </row>
    <row r="131" spans="1:26" x14ac:dyDescent="0.3">
      <c r="A131" s="66">
        <f t="shared" si="14"/>
        <v>2002.3999999999887</v>
      </c>
      <c r="B131" s="67">
        <f>LOOKUP(A131+0.01,Amounts!$A$4:$A$103,Amounts!$B$4:$B$103)*0.1*$A$2</f>
        <v>7883.5524873699997</v>
      </c>
      <c r="C131" s="68">
        <f t="shared" si="13"/>
        <v>873134.71306565055</v>
      </c>
      <c r="D131" s="67">
        <f t="array" ref="D131">SUM($B$7:$B126*$F$1009*EXP(-$F$1009*($A131-$A$7:$A126)))*$F$1010</f>
        <v>114796792.37107572</v>
      </c>
      <c r="E131" s="67">
        <f t="shared" si="11"/>
        <v>218.8499503876362</v>
      </c>
      <c r="F131" s="70">
        <f t="shared" si="15"/>
        <v>13.288568987537271</v>
      </c>
      <c r="G131" s="67">
        <f>E131/'Lookup Tables'!$C$48</f>
        <v>437.6999007752724</v>
      </c>
      <c r="H131" s="70">
        <f t="shared" si="12"/>
        <v>0.13174087824302633</v>
      </c>
      <c r="I131" s="71">
        <f t="shared" si="16"/>
        <v>0.63028785711639235</v>
      </c>
      <c r="L131" s="74"/>
      <c r="M131" s="74"/>
      <c r="N131" s="74"/>
      <c r="O131" s="74"/>
      <c r="P131" s="74"/>
      <c r="Q131" s="74"/>
      <c r="R131" s="74"/>
      <c r="S131" s="74"/>
      <c r="T131" s="74"/>
      <c r="U131" s="74"/>
      <c r="V131" s="74"/>
      <c r="W131" s="74"/>
      <c r="X131" s="74"/>
      <c r="Y131" s="74"/>
      <c r="Z131" s="74"/>
    </row>
    <row r="132" spans="1:26" x14ac:dyDescent="0.3">
      <c r="A132" s="66">
        <f t="shared" si="14"/>
        <v>2002.4999999999886</v>
      </c>
      <c r="B132" s="67">
        <f>LOOKUP(A132+0.01,Amounts!$A$4:$A$103,Amounts!$B$4:$B$103)*0.1*$A$2</f>
        <v>7883.5524873699997</v>
      </c>
      <c r="C132" s="68">
        <f t="shared" si="13"/>
        <v>881018.26555302052</v>
      </c>
      <c r="D132" s="67">
        <f t="array" ref="D132">SUM($B$7:$B127*$F$1009*EXP(-$F$1009*($A132-$A$7:$A127)))*$F$1010</f>
        <v>115743725.04051325</v>
      </c>
      <c r="E132" s="67">
        <f t="shared" si="11"/>
        <v>220.65519392664513</v>
      </c>
      <c r="F132" s="70">
        <f t="shared" si="15"/>
        <v>13.398183375225893</v>
      </c>
      <c r="G132" s="67">
        <f>E132/'Lookup Tables'!$C$48</f>
        <v>441.31038785329025</v>
      </c>
      <c r="H132" s="70">
        <f t="shared" si="12"/>
        <v>0.13163900734231157</v>
      </c>
      <c r="I132" s="71">
        <f t="shared" si="16"/>
        <v>0.63548695850873793</v>
      </c>
      <c r="L132" s="74"/>
      <c r="M132" s="74"/>
      <c r="N132" s="74"/>
      <c r="O132" s="74"/>
      <c r="P132" s="74"/>
      <c r="Q132" s="74"/>
      <c r="R132" s="74"/>
      <c r="S132" s="74"/>
      <c r="T132" s="74"/>
      <c r="U132" s="74"/>
      <c r="V132" s="74"/>
      <c r="W132" s="74"/>
      <c r="X132" s="74"/>
      <c r="Y132" s="74"/>
      <c r="Z132" s="74"/>
    </row>
    <row r="133" spans="1:26" x14ac:dyDescent="0.3">
      <c r="A133" s="66">
        <f t="shared" si="14"/>
        <v>2002.5999999999885</v>
      </c>
      <c r="B133" s="67">
        <f>LOOKUP(A133+0.01,Amounts!$A$4:$A$103,Amounts!$B$4:$B$103)*0.1*$A$2</f>
        <v>7883.5524873699997</v>
      </c>
      <c r="C133" s="68">
        <f t="shared" si="13"/>
        <v>888901.8180403905</v>
      </c>
      <c r="D133" s="67">
        <f t="array" ref="D133">SUM($B$7:$B128*$F$1009*EXP(-$F$1009*($A133-$A$7:$A128)))*$F$1010</f>
        <v>116688010.00699028</v>
      </c>
      <c r="E133" s="67">
        <f t="shared" si="11"/>
        <v>222.4553898536993</v>
      </c>
      <c r="F133" s="70">
        <f t="shared" si="15"/>
        <v>13.507491271916622</v>
      </c>
      <c r="G133" s="67">
        <f>E133/'Lookup Tables'!$C$48</f>
        <v>444.9107797073986</v>
      </c>
      <c r="H133" s="70">
        <f t="shared" si="12"/>
        <v>0.13153595879111091</v>
      </c>
      <c r="I133" s="71">
        <f t="shared" si="16"/>
        <v>0.64067152277865402</v>
      </c>
      <c r="L133" s="74"/>
      <c r="M133" s="74"/>
      <c r="N133" s="74"/>
      <c r="O133" s="74"/>
      <c r="P133" s="74"/>
      <c r="Q133" s="74"/>
      <c r="R133" s="74"/>
      <c r="S133" s="74"/>
      <c r="T133" s="74"/>
      <c r="U133" s="74"/>
      <c r="V133" s="74"/>
      <c r="W133" s="74"/>
      <c r="X133" s="74"/>
      <c r="Y133" s="74"/>
      <c r="Z133" s="74"/>
    </row>
    <row r="134" spans="1:26" x14ac:dyDescent="0.3">
      <c r="A134" s="66">
        <f t="shared" si="14"/>
        <v>2002.6999999999884</v>
      </c>
      <c r="B134" s="67">
        <f>LOOKUP(A134+0.01,Amounts!$A$4:$A$103,Amounts!$B$4:$B$103)*0.1*$A$2</f>
        <v>7883.5524873699997</v>
      </c>
      <c r="C134" s="68">
        <f t="shared" si="13"/>
        <v>896785.37052776047</v>
      </c>
      <c r="D134" s="67">
        <f t="array" ref="D134">SUM($B$7:$B129*$F$1009*EXP(-$F$1009*($A134-$A$7:$A129)))*$F$1010</f>
        <v>117629654.67370591</v>
      </c>
      <c r="E134" s="67">
        <f t="shared" si="11"/>
        <v>224.2505522823441</v>
      </c>
      <c r="F134" s="70">
        <f t="shared" si="15"/>
        <v>13.616493534583933</v>
      </c>
      <c r="G134" s="67">
        <f>E134/'Lookup Tables'!$C$48</f>
        <v>448.50110456468821</v>
      </c>
      <c r="H134" s="70">
        <f t="shared" si="12"/>
        <v>0.13143177191911098</v>
      </c>
      <c r="I134" s="71">
        <f t="shared" si="16"/>
        <v>0.64584159057315105</v>
      </c>
      <c r="L134" s="74"/>
      <c r="M134" s="74"/>
      <c r="N134" s="74"/>
      <c r="O134" s="74"/>
      <c r="P134" s="74"/>
      <c r="Q134" s="74"/>
      <c r="R134" s="74"/>
      <c r="S134" s="74"/>
      <c r="T134" s="74"/>
      <c r="U134" s="74"/>
      <c r="V134" s="74"/>
      <c r="W134" s="74"/>
      <c r="X134" s="74"/>
      <c r="Y134" s="74"/>
      <c r="Z134" s="74"/>
    </row>
    <row r="135" spans="1:26" x14ac:dyDescent="0.3">
      <c r="A135" s="66">
        <f t="shared" si="14"/>
        <v>2002.7999999999884</v>
      </c>
      <c r="B135" s="67">
        <f>LOOKUP(A135+0.01,Amounts!$A$4:$A$103,Amounts!$B$4:$B$103)*0.1*$A$2</f>
        <v>7883.5524873699997</v>
      </c>
      <c r="C135" s="68">
        <f t="shared" si="13"/>
        <v>904668.92301513045</v>
      </c>
      <c r="D135" s="67">
        <f t="array" ref="D135">SUM($B$7:$B130*$F$1009*EXP(-$F$1009*($A135-$A$7:$A130)))*$F$1010</f>
        <v>118568666.42315908</v>
      </c>
      <c r="E135" s="67">
        <f t="shared" ref="E135:E198" si="17">D135/(365*24*60)*1.00201</f>
        <v>226.04069528666219</v>
      </c>
      <c r="F135" s="70">
        <f t="shared" si="15"/>
        <v>13.725191017806127</v>
      </c>
      <c r="G135" s="67">
        <f>E135/'Lookup Tables'!$C$48</f>
        <v>452.08139057332437</v>
      </c>
      <c r="H135" s="70">
        <f t="shared" ref="H135:H198" si="18">G135*60*24*365/(C135*2000)</f>
        <v>0.13132648466214927</v>
      </c>
      <c r="I135" s="71">
        <f t="shared" si="16"/>
        <v>0.65099720242558701</v>
      </c>
      <c r="L135" s="74"/>
      <c r="M135" s="74"/>
      <c r="N135" s="74"/>
      <c r="O135" s="74"/>
      <c r="P135" s="74"/>
      <c r="Q135" s="74"/>
      <c r="R135" s="74"/>
      <c r="S135" s="74"/>
      <c r="T135" s="74"/>
      <c r="U135" s="74"/>
      <c r="V135" s="74"/>
      <c r="W135" s="74"/>
      <c r="X135" s="74"/>
      <c r="Y135" s="74"/>
      <c r="Z135" s="74"/>
    </row>
    <row r="136" spans="1:26" x14ac:dyDescent="0.3">
      <c r="A136" s="66">
        <f t="shared" si="14"/>
        <v>2002.8999999999883</v>
      </c>
      <c r="B136" s="67">
        <f>LOOKUP(A136+0.01,Amounts!$A$4:$A$103,Amounts!$B$4:$B$103)*0.1*$A$2</f>
        <v>7883.5524873699997</v>
      </c>
      <c r="C136" s="68">
        <f t="shared" si="13"/>
        <v>912552.47550250043</v>
      </c>
      <c r="D136" s="67">
        <f t="array" ref="D136">SUM($B$7:$B131*$F$1009*EXP(-$F$1009*($A136-$A$7:$A131)))*$F$1010</f>
        <v>119505052.61720668</v>
      </c>
      <c r="E136" s="67">
        <f t="shared" si="17"/>
        <v>227.82583290138371</v>
      </c>
      <c r="F136" s="70">
        <f t="shared" si="15"/>
        <v>13.833584573772018</v>
      </c>
      <c r="G136" s="67">
        <f>E136/'Lookup Tables'!$C$48</f>
        <v>455.65166580276741</v>
      </c>
      <c r="H136" s="70">
        <f t="shared" si="18"/>
        <v>0.13122013362248466</v>
      </c>
      <c r="I136" s="71">
        <f t="shared" si="16"/>
        <v>0.65613839875598512</v>
      </c>
      <c r="L136" s="74"/>
      <c r="M136" s="74"/>
      <c r="N136" s="74"/>
      <c r="O136" s="74"/>
      <c r="P136" s="74"/>
      <c r="Q136" s="74"/>
      <c r="R136" s="74"/>
      <c r="S136" s="74"/>
      <c r="T136" s="74"/>
      <c r="U136" s="74"/>
      <c r="V136" s="74"/>
      <c r="W136" s="74"/>
      <c r="X136" s="74"/>
      <c r="Y136" s="74"/>
      <c r="Z136" s="74"/>
    </row>
    <row r="137" spans="1:26" x14ac:dyDescent="0.3">
      <c r="A137" s="66">
        <f t="shared" si="14"/>
        <v>2002.9999999999882</v>
      </c>
      <c r="B137" s="67">
        <f>LOOKUP(A137+0.01,Amounts!$A$4:$A$103,Amounts!$B$4:$B$103)*0.1*$A$2</f>
        <v>8041.2101573999998</v>
      </c>
      <c r="C137" s="68">
        <f t="shared" ref="C137:C200" si="19">C136+B137</f>
        <v>920593.68565990042</v>
      </c>
      <c r="D137" s="67">
        <f t="array" ref="D137">SUM($B$7:$B132*$F$1009*EXP(-$F$1009*($A137-$A$7:$A132)))*$F$1010</f>
        <v>120438820.5971213</v>
      </c>
      <c r="E137" s="67">
        <f t="shared" si="17"/>
        <v>229.60597912199682</v>
      </c>
      <c r="F137" s="70">
        <f t="shared" si="15"/>
        <v>13.941675052287648</v>
      </c>
      <c r="G137" s="67">
        <f>E137/'Lookup Tables'!$C$48</f>
        <v>459.21195824399365</v>
      </c>
      <c r="H137" s="70">
        <f t="shared" si="18"/>
        <v>0.13109030021210169</v>
      </c>
      <c r="I137" s="71">
        <f t="shared" si="16"/>
        <v>0.66126521987135078</v>
      </c>
      <c r="L137" s="74"/>
      <c r="M137" s="74"/>
      <c r="N137" s="74"/>
      <c r="O137" s="74"/>
      <c r="P137" s="74"/>
      <c r="Q137" s="74"/>
      <c r="R137" s="74"/>
      <c r="S137" s="74"/>
      <c r="T137" s="74"/>
      <c r="U137" s="74"/>
      <c r="V137" s="74"/>
      <c r="W137" s="74"/>
      <c r="X137" s="74"/>
      <c r="Y137" s="74"/>
      <c r="Z137" s="74"/>
    </row>
    <row r="138" spans="1:26" x14ac:dyDescent="0.3">
      <c r="A138" s="66">
        <f t="shared" si="14"/>
        <v>2003.0999999999881</v>
      </c>
      <c r="B138" s="67">
        <f>LOOKUP(A138+0.01,Amounts!$A$4:$A$103,Amounts!$B$4:$B$103)*0.1*$A$2</f>
        <v>8041.2101573999998</v>
      </c>
      <c r="C138" s="68">
        <f t="shared" si="19"/>
        <v>928634.89581730042</v>
      </c>
      <c r="D138" s="67">
        <f t="array" ref="D138">SUM($B$7:$B133*$F$1009*EXP(-$F$1009*($A138-$A$7:$A133)))*$F$1010</f>
        <v>121369977.68364866</v>
      </c>
      <c r="E138" s="67">
        <f t="shared" si="17"/>
        <v>231.38114790485693</v>
      </c>
      <c r="F138" s="70">
        <f t="shared" si="15"/>
        <v>14.049463300782913</v>
      </c>
      <c r="G138" s="67">
        <f>E138/'Lookup Tables'!$C$48</f>
        <v>462.76229580971386</v>
      </c>
      <c r="H138" s="70">
        <f t="shared" si="18"/>
        <v>0.13095989811125849</v>
      </c>
      <c r="I138" s="71">
        <f t="shared" si="16"/>
        <v>0.666377705965988</v>
      </c>
      <c r="L138" s="74"/>
      <c r="M138" s="74"/>
      <c r="N138" s="74"/>
      <c r="O138" s="74"/>
      <c r="P138" s="74"/>
      <c r="Q138" s="74"/>
      <c r="R138" s="74"/>
      <c r="S138" s="74"/>
      <c r="T138" s="74"/>
      <c r="U138" s="74"/>
      <c r="V138" s="74"/>
      <c r="W138" s="74"/>
      <c r="X138" s="74"/>
      <c r="Y138" s="74"/>
      <c r="Z138" s="74"/>
    </row>
    <row r="139" spans="1:26" x14ac:dyDescent="0.3">
      <c r="A139" s="66">
        <f t="shared" si="14"/>
        <v>2003.199999999988</v>
      </c>
      <c r="B139" s="67">
        <f>LOOKUP(A139+0.01,Amounts!$A$4:$A$103,Amounts!$B$4:$B$103)*0.1*$A$2</f>
        <v>8041.2101573999998</v>
      </c>
      <c r="C139" s="68">
        <f t="shared" si="19"/>
        <v>936676.10597470042</v>
      </c>
      <c r="D139" s="67">
        <f t="array" ref="D139">SUM($B$7:$B134*$F$1009*EXP(-$F$1009*($A139-$A$7:$A134)))*$F$1010</f>
        <v>122298531.17706516</v>
      </c>
      <c r="E139" s="67">
        <f t="shared" si="17"/>
        <v>233.15135316729658</v>
      </c>
      <c r="F139" s="70">
        <f t="shared" si="15"/>
        <v>14.156950164318246</v>
      </c>
      <c r="G139" s="67">
        <f>E139/'Lookup Tables'!$C$48</f>
        <v>466.30270633459315</v>
      </c>
      <c r="H139" s="70">
        <f t="shared" si="18"/>
        <v>0.13082894977577339</v>
      </c>
      <c r="I139" s="71">
        <f t="shared" si="16"/>
        <v>0.6714758971218141</v>
      </c>
      <c r="L139" s="74"/>
      <c r="M139" s="74"/>
      <c r="N139" s="74"/>
      <c r="O139" s="74"/>
      <c r="P139" s="74"/>
      <c r="Q139" s="74"/>
      <c r="R139" s="74"/>
      <c r="S139" s="74"/>
      <c r="T139" s="74"/>
      <c r="U139" s="74"/>
      <c r="V139" s="74"/>
      <c r="W139" s="74"/>
      <c r="X139" s="74"/>
      <c r="Y139" s="74"/>
      <c r="Z139" s="74"/>
    </row>
    <row r="140" spans="1:26" x14ac:dyDescent="0.3">
      <c r="A140" s="66">
        <f t="shared" si="14"/>
        <v>2003.2999999999879</v>
      </c>
      <c r="B140" s="67">
        <f>LOOKUP(A140+0.01,Amounts!$A$4:$A$103,Amounts!$B$4:$B$103)*0.1*$A$2</f>
        <v>8041.2101573999998</v>
      </c>
      <c r="C140" s="68">
        <f t="shared" si="19"/>
        <v>944717.31613210042</v>
      </c>
      <c r="D140" s="67">
        <f t="array" ref="D140">SUM($B$7:$B135*$F$1009*EXP(-$F$1009*($A140-$A$7:$A135)))*$F$1010</f>
        <v>123224488.35723491</v>
      </c>
      <c r="E140" s="67">
        <f t="shared" si="17"/>
        <v>234.91660878773396</v>
      </c>
      <c r="F140" s="70">
        <f t="shared" si="15"/>
        <v>14.264136485591207</v>
      </c>
      <c r="G140" s="67">
        <f>E140/'Lookup Tables'!$C$48</f>
        <v>469.83321757546793</v>
      </c>
      <c r="H140" s="70">
        <f t="shared" si="18"/>
        <v>0.13069747687526009</v>
      </c>
      <c r="I140" s="71">
        <f t="shared" si="16"/>
        <v>0.67655983330867386</v>
      </c>
      <c r="L140" s="74"/>
      <c r="M140" s="74"/>
      <c r="N140" s="74"/>
      <c r="O140" s="74"/>
      <c r="P140" s="74"/>
      <c r="Q140" s="74"/>
      <c r="R140" s="74"/>
      <c r="S140" s="74"/>
      <c r="T140" s="74"/>
      <c r="U140" s="74"/>
      <c r="V140" s="74"/>
      <c r="W140" s="74"/>
      <c r="X140" s="74"/>
      <c r="Y140" s="74"/>
      <c r="Z140" s="74"/>
    </row>
    <row r="141" spans="1:26" x14ac:dyDescent="0.3">
      <c r="A141" s="66">
        <f t="shared" si="14"/>
        <v>2003.3999999999878</v>
      </c>
      <c r="B141" s="67">
        <f>LOOKUP(A141+0.01,Amounts!$A$4:$A$103,Amounts!$B$4:$B$103)*0.1*$A$2</f>
        <v>8041.2101573999998</v>
      </c>
      <c r="C141" s="68">
        <f t="shared" si="19"/>
        <v>952758.52628950041</v>
      </c>
      <c r="D141" s="67">
        <f t="array" ref="D141">SUM($B$7:$B136*$F$1009*EXP(-$F$1009*($A141-$A$7:$A136)))*$F$1010</f>
        <v>124147856.48366696</v>
      </c>
      <c r="E141" s="67">
        <f t="shared" si="17"/>
        <v>236.67692860578222</v>
      </c>
      <c r="F141" s="70">
        <f t="shared" si="15"/>
        <v>14.371023104943095</v>
      </c>
      <c r="G141" s="67">
        <f>E141/'Lookup Tables'!$C$48</f>
        <v>473.35385721156445</v>
      </c>
      <c r="H141" s="70">
        <f t="shared" si="18"/>
        <v>0.13056550032636535</v>
      </c>
      <c r="I141" s="71">
        <f t="shared" si="16"/>
        <v>0.68162955438465278</v>
      </c>
      <c r="L141" s="74"/>
      <c r="M141" s="74"/>
      <c r="N141" s="74"/>
      <c r="O141" s="74"/>
      <c r="P141" s="74"/>
      <c r="Q141" s="74"/>
      <c r="R141" s="74"/>
      <c r="S141" s="74"/>
      <c r="T141" s="74"/>
      <c r="U141" s="74"/>
      <c r="V141" s="74"/>
      <c r="W141" s="74"/>
      <c r="X141" s="74"/>
      <c r="Y141" s="74"/>
      <c r="Z141" s="74"/>
    </row>
    <row r="142" spans="1:26" x14ac:dyDescent="0.3">
      <c r="A142" s="66">
        <f t="shared" si="14"/>
        <v>2003.4999999999877</v>
      </c>
      <c r="B142" s="67">
        <f>LOOKUP(A142+0.01,Amounts!$A$4:$A$103,Amounts!$B$4:$B$103)*0.1*$A$2</f>
        <v>8041.2101573999998</v>
      </c>
      <c r="C142" s="68">
        <f t="shared" si="19"/>
        <v>960799.73644690041</v>
      </c>
      <c r="D142" s="67">
        <f t="array" ref="D142">SUM($B$7:$B137*$F$1009*EXP(-$F$1009*($A142-$A$7:$A137)))*$F$1010</f>
        <v>125093998.9257953</v>
      </c>
      <c r="E142" s="67">
        <f t="shared" si="17"/>
        <v>238.48066564618753</v>
      </c>
      <c r="F142" s="70">
        <f t="shared" si="15"/>
        <v>14.480546018036508</v>
      </c>
      <c r="G142" s="67">
        <f>E142/'Lookup Tables'!$C$48</f>
        <v>476.96133129237506</v>
      </c>
      <c r="H142" s="70">
        <f t="shared" si="18"/>
        <v>0.13045948402023058</v>
      </c>
      <c r="I142" s="71">
        <f t="shared" si="16"/>
        <v>0.6868243170610201</v>
      </c>
      <c r="L142" s="74"/>
      <c r="M142" s="74"/>
      <c r="N142" s="74"/>
      <c r="O142" s="74"/>
      <c r="P142" s="74"/>
      <c r="Q142" s="74"/>
      <c r="R142" s="74"/>
      <c r="S142" s="74"/>
      <c r="T142" s="74"/>
      <c r="U142" s="74"/>
      <c r="V142" s="74"/>
      <c r="W142" s="74"/>
      <c r="X142" s="74"/>
      <c r="Y142" s="74"/>
      <c r="Z142" s="74"/>
    </row>
    <row r="143" spans="1:26" x14ac:dyDescent="0.3">
      <c r="A143" s="66">
        <f t="shared" si="14"/>
        <v>2003.5999999999876</v>
      </c>
      <c r="B143" s="67">
        <f>LOOKUP(A143+0.01,Amounts!$A$4:$A$103,Amounts!$B$4:$B$103)*0.1*$A$2</f>
        <v>8041.2101573999998</v>
      </c>
      <c r="C143" s="68">
        <f t="shared" si="19"/>
        <v>968840.94660430041</v>
      </c>
      <c r="D143" s="67">
        <f t="array" ref="D143">SUM($B$7:$B138*$F$1009*EXP(-$F$1009*($A143-$A$7:$A138)))*$F$1010</f>
        <v>126037495.87450488</v>
      </c>
      <c r="E143" s="67">
        <f t="shared" si="17"/>
        <v>240.27935928693424</v>
      </c>
      <c r="F143" s="70">
        <f t="shared" si="15"/>
        <v>14.589762695902648</v>
      </c>
      <c r="G143" s="67">
        <f>E143/'Lookup Tables'!$C$48</f>
        <v>480.55871857386848</v>
      </c>
      <c r="H143" s="70">
        <f t="shared" si="18"/>
        <v>0.130352491483613</v>
      </c>
      <c r="I143" s="71">
        <f t="shared" si="16"/>
        <v>0.69200455474637057</v>
      </c>
      <c r="L143" s="74"/>
      <c r="M143" s="74"/>
      <c r="N143" s="74"/>
      <c r="O143" s="74"/>
      <c r="P143" s="74"/>
      <c r="Q143" s="74"/>
      <c r="R143" s="74"/>
      <c r="S143" s="74"/>
      <c r="T143" s="74"/>
      <c r="U143" s="74"/>
      <c r="V143" s="74"/>
      <c r="W143" s="74"/>
      <c r="X143" s="74"/>
      <c r="Y143" s="74"/>
      <c r="Z143" s="74"/>
    </row>
    <row r="144" spans="1:26" x14ac:dyDescent="0.3">
      <c r="A144" s="66">
        <f t="shared" si="14"/>
        <v>2003.6999999999875</v>
      </c>
      <c r="B144" s="67">
        <f>LOOKUP(A144+0.01,Amounts!$A$4:$A$103,Amounts!$B$4:$B$103)*0.1*$A$2</f>
        <v>8041.2101573999998</v>
      </c>
      <c r="C144" s="68">
        <f t="shared" si="19"/>
        <v>976882.1567617004</v>
      </c>
      <c r="D144" s="67">
        <f t="array" ref="D144">SUM($B$7:$B139*$F$1009*EXP(-$F$1009*($A144-$A$7:$A139)))*$F$1010</f>
        <v>126978354.72681655</v>
      </c>
      <c r="E144" s="67">
        <f t="shared" si="17"/>
        <v>242.0730236297897</v>
      </c>
      <c r="F144" s="70">
        <f t="shared" si="15"/>
        <v>14.698673994800831</v>
      </c>
      <c r="G144" s="67">
        <f>E144/'Lookup Tables'!$C$48</f>
        <v>484.1460472595794</v>
      </c>
      <c r="H144" s="70">
        <f t="shared" si="18"/>
        <v>0.13024455441134103</v>
      </c>
      <c r="I144" s="71">
        <f t="shared" si="16"/>
        <v>0.69717030805379432</v>
      </c>
      <c r="L144" s="74"/>
      <c r="M144" s="74"/>
      <c r="N144" s="74"/>
      <c r="O144" s="74"/>
      <c r="P144" s="74"/>
      <c r="Q144" s="74"/>
      <c r="R144" s="74"/>
      <c r="S144" s="74"/>
      <c r="T144" s="74"/>
      <c r="U144" s="74"/>
      <c r="V144" s="74"/>
      <c r="W144" s="74"/>
      <c r="X144" s="74"/>
      <c r="Y144" s="74"/>
      <c r="Z144" s="74"/>
    </row>
    <row r="145" spans="1:26" x14ac:dyDescent="0.3">
      <c r="A145" s="66">
        <f t="shared" si="14"/>
        <v>2003.7999999999874</v>
      </c>
      <c r="B145" s="67">
        <f>LOOKUP(A145+0.01,Amounts!$A$4:$A$103,Amounts!$B$4:$B$103)*0.1*$A$2</f>
        <v>8041.2101573999998</v>
      </c>
      <c r="C145" s="68">
        <f t="shared" si="19"/>
        <v>984923.3669191004</v>
      </c>
      <c r="D145" s="67">
        <f t="array" ref="D145">SUM($B$7:$B140*$F$1009*EXP(-$F$1009*($A145-$A$7:$A140)))*$F$1010</f>
        <v>127916582.85906862</v>
      </c>
      <c r="E145" s="67">
        <f t="shared" si="17"/>
        <v>243.86167273709162</v>
      </c>
      <c r="F145" s="70">
        <f t="shared" si="15"/>
        <v>14.807280768596202</v>
      </c>
      <c r="G145" s="67">
        <f>E145/'Lookup Tables'!$C$48</f>
        <v>487.72334547418325</v>
      </c>
      <c r="H145" s="70">
        <f t="shared" si="18"/>
        <v>0.13013570344213721</v>
      </c>
      <c r="I145" s="71">
        <f t="shared" si="16"/>
        <v>0.70232161748282373</v>
      </c>
      <c r="L145" s="74"/>
      <c r="M145" s="74"/>
      <c r="N145" s="74"/>
      <c r="O145" s="74"/>
      <c r="P145" s="74"/>
      <c r="Q145" s="74"/>
      <c r="R145" s="74"/>
      <c r="S145" s="74"/>
      <c r="T145" s="74"/>
      <c r="U145" s="74"/>
      <c r="V145" s="74"/>
      <c r="W145" s="74"/>
      <c r="X145" s="74"/>
      <c r="Y145" s="74"/>
      <c r="Z145" s="74"/>
    </row>
    <row r="146" spans="1:26" x14ac:dyDescent="0.3">
      <c r="A146" s="66">
        <f t="shared" si="14"/>
        <v>2003.8999999999874</v>
      </c>
      <c r="B146" s="67">
        <f>LOOKUP(A146+0.01,Amounts!$A$4:$A$103,Amounts!$B$4:$B$103)*0.1*$A$2</f>
        <v>8041.2101573999998</v>
      </c>
      <c r="C146" s="68">
        <f t="shared" si="19"/>
        <v>992964.5770765004</v>
      </c>
      <c r="D146" s="67">
        <f t="array" ref="D146">SUM($B$7:$B141*$F$1009*EXP(-$F$1009*($A146-$A$7:$A141)))*$F$1010</f>
        <v>128852187.62697443</v>
      </c>
      <c r="E146" s="67">
        <f t="shared" si="17"/>
        <v>245.6453206318582</v>
      </c>
      <c r="F146" s="70">
        <f t="shared" si="15"/>
        <v>14.915583868766429</v>
      </c>
      <c r="G146" s="67">
        <f>E146/'Lookup Tables'!$C$48</f>
        <v>491.2906412637164</v>
      </c>
      <c r="H146" s="70">
        <f t="shared" si="18"/>
        <v>0.1300259682014393</v>
      </c>
      <c r="I146" s="71">
        <f t="shared" si="16"/>
        <v>0.70745852341975157</v>
      </c>
      <c r="L146" s="74"/>
      <c r="M146" s="74"/>
      <c r="N146" s="74"/>
      <c r="O146" s="74"/>
      <c r="P146" s="74"/>
      <c r="Q146" s="74"/>
      <c r="R146" s="74"/>
      <c r="S146" s="74"/>
      <c r="T146" s="74"/>
      <c r="U146" s="74"/>
      <c r="V146" s="74"/>
      <c r="W146" s="74"/>
      <c r="X146" s="74"/>
      <c r="Y146" s="74"/>
      <c r="Z146" s="74"/>
    </row>
    <row r="147" spans="1:26" x14ac:dyDescent="0.3">
      <c r="A147" s="66">
        <f t="shared" ref="A147:A210" si="20">A146+0.1</f>
        <v>2003.9999999999873</v>
      </c>
      <c r="B147" s="67">
        <f>LOOKUP(A147+0.01,Amounts!$A$4:$A$103,Amounts!$B$4:$B$103)*0.1*$A$2</f>
        <v>8201.9897614900019</v>
      </c>
      <c r="C147" s="68">
        <f t="shared" si="19"/>
        <v>1001166.5668379904</v>
      </c>
      <c r="D147" s="67">
        <f t="array" ref="D147">SUM($B$7:$B142*$F$1009*EXP(-$F$1009*($A147-$A$7:$A142)))*$F$1010</f>
        <v>129785176.36568005</v>
      </c>
      <c r="E147" s="67">
        <f t="shared" si="17"/>
        <v>247.4239812978978</v>
      </c>
      <c r="F147" s="70">
        <f t="shared" ref="F147:F210" si="21">E147*60*1012/1000000</f>
        <v>15.023584144408355</v>
      </c>
      <c r="G147" s="67">
        <f>E147/'Lookup Tables'!$C$48</f>
        <v>494.84796259579559</v>
      </c>
      <c r="H147" s="70">
        <f t="shared" si="18"/>
        <v>0.1298945139377784</v>
      </c>
      <c r="I147" s="71">
        <f t="shared" ref="I147:I210" si="22">G147*60*24/1000000</f>
        <v>0.7125810661379457</v>
      </c>
      <c r="L147" s="74"/>
      <c r="M147" s="74"/>
      <c r="N147" s="74"/>
      <c r="O147" s="74"/>
      <c r="P147" s="74"/>
      <c r="Q147" s="74"/>
      <c r="R147" s="74"/>
      <c r="S147" s="74"/>
      <c r="T147" s="74"/>
      <c r="U147" s="74"/>
      <c r="V147" s="74"/>
      <c r="W147" s="74"/>
      <c r="X147" s="74"/>
      <c r="Y147" s="74"/>
      <c r="Z147" s="74"/>
    </row>
    <row r="148" spans="1:26" x14ac:dyDescent="0.3">
      <c r="A148" s="66">
        <f t="shared" si="20"/>
        <v>2004.0999999999872</v>
      </c>
      <c r="B148" s="67">
        <f>LOOKUP(A148+0.01,Amounts!$A$4:$A$103,Amounts!$B$4:$B$103)*0.1*$A$2</f>
        <v>8201.9897614900019</v>
      </c>
      <c r="C148" s="68">
        <f t="shared" si="19"/>
        <v>1009368.5565994804</v>
      </c>
      <c r="D148" s="67">
        <f t="array" ref="D148">SUM($B$7:$B143*$F$1009*EXP(-$F$1009*($A148-$A$7:$A143)))*$F$1010</f>
        <v>130715556.38982205</v>
      </c>
      <c r="E148" s="67">
        <f t="shared" si="17"/>
        <v>249.19766867991933</v>
      </c>
      <c r="F148" s="70">
        <f t="shared" si="21"/>
        <v>15.131282442244702</v>
      </c>
      <c r="G148" s="67">
        <f>E148/'Lookup Tables'!$C$48</f>
        <v>498.39533735983866</v>
      </c>
      <c r="H148" s="70">
        <f t="shared" si="18"/>
        <v>0.12976260633620873</v>
      </c>
      <c r="I148" s="71">
        <f t="shared" si="22"/>
        <v>0.71768928579816771</v>
      </c>
      <c r="L148" s="74"/>
      <c r="M148" s="74"/>
      <c r="N148" s="74"/>
      <c r="O148" s="74"/>
      <c r="P148" s="74"/>
      <c r="Q148" s="74"/>
      <c r="R148" s="74"/>
      <c r="S148" s="74"/>
      <c r="T148" s="74"/>
      <c r="U148" s="74"/>
      <c r="V148" s="74"/>
      <c r="W148" s="74"/>
      <c r="X148" s="74"/>
      <c r="Y148" s="74"/>
      <c r="Z148" s="74"/>
    </row>
    <row r="149" spans="1:26" x14ac:dyDescent="0.3">
      <c r="A149" s="66">
        <f t="shared" si="20"/>
        <v>2004.1999999999871</v>
      </c>
      <c r="B149" s="67">
        <f>LOOKUP(A149+0.01,Amounts!$A$4:$A$103,Amounts!$B$4:$B$103)*0.1*$A$2</f>
        <v>8201.9897614900019</v>
      </c>
      <c r="C149" s="68">
        <f t="shared" si="19"/>
        <v>1017570.5463609705</v>
      </c>
      <c r="D149" s="67">
        <f t="array" ref="D149">SUM($B$7:$B144*$F$1009*EXP(-$F$1009*($A149-$A$7:$A144)))*$F$1010</f>
        <v>131643334.99358457</v>
      </c>
      <c r="E149" s="67">
        <f t="shared" si="17"/>
        <v>250.96639668364097</v>
      </c>
      <c r="F149" s="70">
        <f t="shared" si="21"/>
        <v>15.238679606630679</v>
      </c>
      <c r="G149" s="67">
        <f>E149/'Lookup Tables'!$C$48</f>
        <v>501.93279336728193</v>
      </c>
      <c r="H149" s="70">
        <f t="shared" si="18"/>
        <v>0.12963026354157953</v>
      </c>
      <c r="I149" s="71">
        <f t="shared" si="22"/>
        <v>0.72278322244888593</v>
      </c>
      <c r="L149" s="74"/>
      <c r="M149" s="74"/>
      <c r="N149" s="74"/>
      <c r="O149" s="74"/>
      <c r="P149" s="74"/>
      <c r="Q149" s="74"/>
      <c r="R149" s="74"/>
      <c r="S149" s="74"/>
      <c r="T149" s="74"/>
      <c r="U149" s="74"/>
      <c r="V149" s="74"/>
      <c r="W149" s="74"/>
      <c r="X149" s="74"/>
      <c r="Y149" s="74"/>
      <c r="Z149" s="74"/>
    </row>
    <row r="150" spans="1:26" x14ac:dyDescent="0.3">
      <c r="A150" s="66">
        <f t="shared" si="20"/>
        <v>2004.299999999987</v>
      </c>
      <c r="B150" s="67">
        <f>LOOKUP(A150+0.01,Amounts!$A$4:$A$103,Amounts!$B$4:$B$103)*0.1*$A$2</f>
        <v>8201.9897614900019</v>
      </c>
      <c r="C150" s="68">
        <f t="shared" si="19"/>
        <v>1025772.5361224605</v>
      </c>
      <c r="D150" s="67">
        <f t="array" ref="D150">SUM($B$7:$B145*$F$1009*EXP(-$F$1009*($A150-$A$7:$A145)))*$F$1010</f>
        <v>132568519.45075671</v>
      </c>
      <c r="E150" s="67">
        <f t="shared" si="17"/>
        <v>252.73017917589945</v>
      </c>
      <c r="F150" s="70">
        <f t="shared" si="21"/>
        <v>15.345776479560614</v>
      </c>
      <c r="G150" s="67">
        <f>E150/'Lookup Tables'!$C$48</f>
        <v>505.4603583517989</v>
      </c>
      <c r="H150" s="70">
        <f t="shared" si="18"/>
        <v>0.12949750309847877</v>
      </c>
      <c r="I150" s="71">
        <f t="shared" si="22"/>
        <v>0.72786291602659037</v>
      </c>
      <c r="L150" s="74"/>
      <c r="M150" s="74"/>
      <c r="N150" s="74"/>
      <c r="O150" s="74"/>
      <c r="P150" s="74"/>
      <c r="Q150" s="74"/>
      <c r="R150" s="74"/>
      <c r="S150" s="74"/>
      <c r="T150" s="74"/>
      <c r="U150" s="74"/>
      <c r="V150" s="74"/>
      <c r="W150" s="74"/>
      <c r="X150" s="74"/>
      <c r="Y150" s="74"/>
      <c r="Z150" s="74"/>
    </row>
    <row r="151" spans="1:26" x14ac:dyDescent="0.3">
      <c r="A151" s="66">
        <f t="shared" si="20"/>
        <v>2004.3999999999869</v>
      </c>
      <c r="B151" s="67">
        <f>LOOKUP(A151+0.01,Amounts!$A$4:$A$103,Amounts!$B$4:$B$103)*0.1*$A$2</f>
        <v>8201.9897614900019</v>
      </c>
      <c r="C151" s="68">
        <f t="shared" si="19"/>
        <v>1033974.5258839505</v>
      </c>
      <c r="D151" s="67">
        <f t="array" ref="D151">SUM($B$7:$B146*$F$1009*EXP(-$F$1009*($A151-$A$7:$A146)))*$F$1010</f>
        <v>133491117.01478916</v>
      </c>
      <c r="E151" s="67">
        <f t="shared" si="17"/>
        <v>254.48902998475819</v>
      </c>
      <c r="F151" s="70">
        <f t="shared" si="21"/>
        <v>15.452573900674516</v>
      </c>
      <c r="G151" s="67">
        <f>E151/'Lookup Tables'!$C$48</f>
        <v>508.97805996951638</v>
      </c>
      <c r="H151" s="70">
        <f t="shared" si="18"/>
        <v>0.12936434197509578</v>
      </c>
      <c r="I151" s="71">
        <f t="shared" si="22"/>
        <v>0.73292840635610346</v>
      </c>
      <c r="L151" s="74"/>
      <c r="M151" s="74"/>
      <c r="N151" s="74"/>
      <c r="O151" s="74"/>
      <c r="P151" s="74"/>
      <c r="Q151" s="74"/>
      <c r="R151" s="74"/>
      <c r="S151" s="74"/>
      <c r="T151" s="74"/>
      <c r="U151" s="74"/>
      <c r="V151" s="74"/>
      <c r="W151" s="74"/>
      <c r="X151" s="74"/>
      <c r="Y151" s="74"/>
      <c r="Z151" s="74"/>
    </row>
    <row r="152" spans="1:26" x14ac:dyDescent="0.3">
      <c r="A152" s="66">
        <f t="shared" si="20"/>
        <v>2004.4999999999868</v>
      </c>
      <c r="B152" s="67">
        <f>LOOKUP(A152+0.01,Amounts!$A$4:$A$103,Amounts!$B$4:$B$103)*0.1*$A$2</f>
        <v>8201.9897614900019</v>
      </c>
      <c r="C152" s="68">
        <f t="shared" si="19"/>
        <v>1042176.5156454406</v>
      </c>
      <c r="D152" s="67">
        <f t="array" ref="D152">SUM($B$7:$B147*$F$1009*EXP(-$F$1009*($A152-$A$7:$A147)))*$F$1010</f>
        <v>134436993.15066355</v>
      </c>
      <c r="E152" s="67">
        <f t="shared" si="17"/>
        <v>256.29225933579983</v>
      </c>
      <c r="F152" s="70">
        <f t="shared" si="21"/>
        <v>15.562065986869765</v>
      </c>
      <c r="G152" s="67">
        <f>E152/'Lookup Tables'!$C$48</f>
        <v>512.58451867159965</v>
      </c>
      <c r="H152" s="70">
        <f t="shared" si="18"/>
        <v>0.12925565821589208</v>
      </c>
      <c r="I152" s="71">
        <f t="shared" si="22"/>
        <v>0.73812170688710355</v>
      </c>
      <c r="L152" s="74"/>
      <c r="M152" s="74"/>
      <c r="N152" s="74"/>
      <c r="O152" s="74"/>
      <c r="P152" s="74"/>
      <c r="Q152" s="74"/>
      <c r="R152" s="74"/>
      <c r="S152" s="74"/>
      <c r="T152" s="74"/>
      <c r="U152" s="74"/>
      <c r="V152" s="74"/>
      <c r="W152" s="74"/>
      <c r="X152" s="74"/>
      <c r="Y152" s="74"/>
      <c r="Z152" s="74"/>
    </row>
    <row r="153" spans="1:26" x14ac:dyDescent="0.3">
      <c r="A153" s="66">
        <f t="shared" si="20"/>
        <v>2004.5999999999867</v>
      </c>
      <c r="B153" s="67">
        <f>LOOKUP(A153+0.01,Amounts!$A$4:$A$103,Amounts!$B$4:$B$103)*0.1*$A$2</f>
        <v>8201.9897614900019</v>
      </c>
      <c r="C153" s="68">
        <f t="shared" si="19"/>
        <v>1050378.5054069306</v>
      </c>
      <c r="D153" s="67">
        <f t="array" ref="D153">SUM($B$7:$B148*$F$1009*EXP(-$F$1009*($A153-$A$7:$A148)))*$F$1010</f>
        <v>135380224.5377337</v>
      </c>
      <c r="E153" s="67">
        <f t="shared" si="17"/>
        <v>258.09044670672478</v>
      </c>
      <c r="F153" s="70">
        <f t="shared" si="21"/>
        <v>15.671251924032328</v>
      </c>
      <c r="G153" s="67">
        <f>E153/'Lookup Tables'!$C$48</f>
        <v>516.18089341344955</v>
      </c>
      <c r="H153" s="70">
        <f t="shared" si="18"/>
        <v>0.12914614883184516</v>
      </c>
      <c r="I153" s="71">
        <f t="shared" si="22"/>
        <v>0.7433004865153674</v>
      </c>
      <c r="L153" s="74"/>
      <c r="M153" s="74"/>
      <c r="N153" s="74"/>
      <c r="O153" s="74"/>
      <c r="P153" s="74"/>
      <c r="Q153" s="74"/>
      <c r="R153" s="74"/>
      <c r="S153" s="74"/>
      <c r="T153" s="74"/>
      <c r="U153" s="74"/>
      <c r="V153" s="74"/>
      <c r="W153" s="74"/>
      <c r="X153" s="74"/>
      <c r="Y153" s="74"/>
      <c r="Z153" s="74"/>
    </row>
    <row r="154" spans="1:26" x14ac:dyDescent="0.3">
      <c r="A154" s="66">
        <f t="shared" si="20"/>
        <v>2004.6999999999866</v>
      </c>
      <c r="B154" s="67">
        <f>LOOKUP(A154+0.01,Amounts!$A$4:$A$103,Amounts!$B$4:$B$103)*0.1*$A$2</f>
        <v>8201.9897614900019</v>
      </c>
      <c r="C154" s="68">
        <f t="shared" si="19"/>
        <v>1058580.4951684205</v>
      </c>
      <c r="D154" s="67">
        <f t="array" ref="D154">SUM($B$7:$B149*$F$1009*EXP(-$F$1009*($A154-$A$7:$A149)))*$F$1010</f>
        <v>136320818.57093856</v>
      </c>
      <c r="E154" s="67">
        <f t="shared" si="17"/>
        <v>259.88360619533137</v>
      </c>
      <c r="F154" s="70">
        <f t="shared" si="21"/>
        <v>15.78013256818052</v>
      </c>
      <c r="G154" s="67">
        <f>E154/'Lookup Tables'!$C$48</f>
        <v>519.76721239066273</v>
      </c>
      <c r="H154" s="70">
        <f t="shared" si="18"/>
        <v>0.12903584001378554</v>
      </c>
      <c r="I154" s="71">
        <f t="shared" si="22"/>
        <v>0.74846478584255427</v>
      </c>
      <c r="L154" s="74"/>
      <c r="M154" s="74"/>
      <c r="N154" s="74"/>
      <c r="O154" s="74"/>
      <c r="P154" s="74"/>
      <c r="Q154" s="74"/>
      <c r="R154" s="74"/>
      <c r="S154" s="74"/>
      <c r="T154" s="74"/>
      <c r="U154" s="74"/>
      <c r="V154" s="74"/>
      <c r="W154" s="74"/>
      <c r="X154" s="74"/>
      <c r="Y154" s="74"/>
      <c r="Z154" s="74"/>
    </row>
    <row r="155" spans="1:26" x14ac:dyDescent="0.3">
      <c r="A155" s="66">
        <f t="shared" si="20"/>
        <v>2004.7999999999865</v>
      </c>
      <c r="B155" s="67">
        <f>LOOKUP(A155+0.01,Amounts!$A$4:$A$103,Amounts!$B$4:$B$103)*0.1*$A$2</f>
        <v>8201.9897614900019</v>
      </c>
      <c r="C155" s="68">
        <f t="shared" si="19"/>
        <v>1066782.4849299104</v>
      </c>
      <c r="D155" s="67">
        <f t="array" ref="D155">SUM($B$7:$B150*$F$1009*EXP(-$F$1009*($A155-$A$7:$A150)))*$F$1010</f>
        <v>137258782.62454012</v>
      </c>
      <c r="E155" s="67">
        <f t="shared" si="17"/>
        <v>261.67175185999895</v>
      </c>
      <c r="F155" s="70">
        <f t="shared" si="21"/>
        <v>15.888708772939136</v>
      </c>
      <c r="G155" s="67">
        <f>E155/'Lookup Tables'!$C$48</f>
        <v>523.3435037199979</v>
      </c>
      <c r="H155" s="70">
        <f t="shared" si="18"/>
        <v>0.12892475712764603</v>
      </c>
      <c r="I155" s="71">
        <f t="shared" si="22"/>
        <v>0.7536146453567969</v>
      </c>
      <c r="L155" s="74"/>
      <c r="M155" s="74"/>
      <c r="N155" s="74"/>
      <c r="O155" s="74"/>
      <c r="P155" s="74"/>
      <c r="Q155" s="74"/>
      <c r="R155" s="74"/>
      <c r="S155" s="74"/>
      <c r="T155" s="74"/>
      <c r="U155" s="74"/>
      <c r="V155" s="74"/>
      <c r="W155" s="74"/>
      <c r="X155" s="74"/>
      <c r="Y155" s="74"/>
      <c r="Z155" s="74"/>
    </row>
    <row r="156" spans="1:26" x14ac:dyDescent="0.3">
      <c r="A156" s="66">
        <f t="shared" si="20"/>
        <v>2004.8999999999864</v>
      </c>
      <c r="B156" s="67">
        <f>LOOKUP(A156+0.01,Amounts!$A$4:$A$103,Amounts!$B$4:$B$103)*0.1*$A$2</f>
        <v>8201.9897614900019</v>
      </c>
      <c r="C156" s="68">
        <f t="shared" si="19"/>
        <v>1074984.4746914003</v>
      </c>
      <c r="D156" s="67">
        <f t="array" ref="D156">SUM($B$7:$B151*$F$1009*EXP(-$F$1009*($A156-$A$7:$A151)))*$F$1010</f>
        <v>138194124.05218136</v>
      </c>
      <c r="E156" s="67">
        <f t="shared" si="17"/>
        <v>263.45489771979879</v>
      </c>
      <c r="F156" s="70">
        <f t="shared" si="21"/>
        <v>15.996981389546184</v>
      </c>
      <c r="G156" s="67">
        <f>E156/'Lookup Tables'!$C$48</f>
        <v>526.90979543959759</v>
      </c>
      <c r="H156" s="70">
        <f t="shared" si="18"/>
        <v>0.12881292474598563</v>
      </c>
      <c r="I156" s="71">
        <f t="shared" si="22"/>
        <v>0.75875010543302046</v>
      </c>
      <c r="L156" s="74"/>
      <c r="M156" s="74"/>
      <c r="N156" s="74"/>
      <c r="O156" s="74"/>
      <c r="P156" s="74"/>
      <c r="Q156" s="74"/>
      <c r="R156" s="74"/>
      <c r="S156" s="74"/>
      <c r="T156" s="74"/>
      <c r="U156" s="74"/>
      <c r="V156" s="74"/>
      <c r="W156" s="74"/>
      <c r="X156" s="74"/>
      <c r="Y156" s="74"/>
      <c r="Z156" s="74"/>
    </row>
    <row r="157" spans="1:26" x14ac:dyDescent="0.3">
      <c r="A157" s="66">
        <f t="shared" si="20"/>
        <v>2004.9999999999864</v>
      </c>
      <c r="B157" s="67">
        <f>LOOKUP(A157+0.01,Amounts!$A$4:$A$103,Amounts!$B$4:$B$103)*0.1*$A$2</f>
        <v>8366.1142949300011</v>
      </c>
      <c r="C157" s="68">
        <f t="shared" si="19"/>
        <v>1083350.5889863302</v>
      </c>
      <c r="D157" s="67">
        <f t="array" ref="D157">SUM($B$7:$B152*$F$1009*EXP(-$F$1009*($A157-$A$7:$A152)))*$F$1010</f>
        <v>139126850.18694401</v>
      </c>
      <c r="E157" s="67">
        <f t="shared" si="17"/>
        <v>265.23305775460381</v>
      </c>
      <c r="F157" s="70">
        <f t="shared" si="21"/>
        <v>16.104951266859544</v>
      </c>
      <c r="G157" s="67">
        <f>E157/'Lookup Tables'!$C$48</f>
        <v>530.46611550920761</v>
      </c>
      <c r="H157" s="70">
        <f t="shared" si="18"/>
        <v>0.12868086893852126</v>
      </c>
      <c r="I157" s="71">
        <f t="shared" si="22"/>
        <v>0.763871206333259</v>
      </c>
      <c r="L157" s="74"/>
      <c r="M157" s="74"/>
      <c r="N157" s="74"/>
      <c r="O157" s="74"/>
      <c r="P157" s="74"/>
      <c r="Q157" s="74"/>
      <c r="R157" s="74"/>
      <c r="S157" s="74"/>
      <c r="T157" s="74"/>
      <c r="U157" s="74"/>
      <c r="V157" s="74"/>
      <c r="W157" s="74"/>
      <c r="X157" s="74"/>
      <c r="Y157" s="74"/>
      <c r="Z157" s="74"/>
    </row>
    <row r="158" spans="1:26" x14ac:dyDescent="0.3">
      <c r="A158" s="66">
        <f t="shared" si="20"/>
        <v>2005.0999999999863</v>
      </c>
      <c r="B158" s="67">
        <f>LOOKUP(A158+0.01,Amounts!$A$4:$A$103,Amounts!$B$4:$B$103)*0.1*$A$2</f>
        <v>8366.1142949300011</v>
      </c>
      <c r="C158" s="68">
        <f t="shared" si="19"/>
        <v>1091716.7032812601</v>
      </c>
      <c r="D158" s="67">
        <f t="array" ref="D158">SUM($B$7:$B153*$F$1009*EXP(-$F$1009*($A158-$A$7:$A153)))*$F$1010</f>
        <v>140056968.3414056</v>
      </c>
      <c r="E158" s="67">
        <f t="shared" si="17"/>
        <v>267.00624590519755</v>
      </c>
      <c r="F158" s="70">
        <f t="shared" si="21"/>
        <v>16.212619251363595</v>
      </c>
      <c r="G158" s="67">
        <f>E158/'Lookup Tables'!$C$48</f>
        <v>534.01249181039509</v>
      </c>
      <c r="H158" s="70">
        <f t="shared" si="18"/>
        <v>0.12854844340658247</v>
      </c>
      <c r="I158" s="71">
        <f t="shared" si="22"/>
        <v>0.76897798820696894</v>
      </c>
      <c r="L158" s="74"/>
      <c r="M158" s="74"/>
      <c r="N158" s="74"/>
      <c r="O158" s="74"/>
      <c r="P158" s="74"/>
      <c r="Q158" s="74"/>
      <c r="R158" s="74"/>
      <c r="S158" s="74"/>
      <c r="T158" s="74"/>
      <c r="U158" s="74"/>
      <c r="V158" s="74"/>
      <c r="W158" s="74"/>
      <c r="X158" s="74"/>
      <c r="Y158" s="74"/>
      <c r="Z158" s="74"/>
    </row>
    <row r="159" spans="1:26" x14ac:dyDescent="0.3">
      <c r="A159" s="66">
        <f t="shared" si="20"/>
        <v>2005.1999999999862</v>
      </c>
      <c r="B159" s="67">
        <f>LOOKUP(A159+0.01,Amounts!$A$4:$A$103,Amounts!$B$4:$B$103)*0.1*$A$2</f>
        <v>8366.1142949300011</v>
      </c>
      <c r="C159" s="68">
        <f t="shared" si="19"/>
        <v>1100082.81757619</v>
      </c>
      <c r="D159" s="67">
        <f t="array" ref="D159">SUM($B$7:$B154*$F$1009*EXP(-$F$1009*($A159-$A$7:$A154)))*$F$1010</f>
        <v>140984485.80769718</v>
      </c>
      <c r="E159" s="67">
        <f t="shared" si="17"/>
        <v>268.77447607338405</v>
      </c>
      <c r="F159" s="70">
        <f t="shared" si="21"/>
        <v>16.319986187175878</v>
      </c>
      <c r="G159" s="67">
        <f>E159/'Lookup Tables'!$C$48</f>
        <v>537.5489521467681</v>
      </c>
      <c r="H159" s="70">
        <f t="shared" si="18"/>
        <v>0.12841566322745213</v>
      </c>
      <c r="I159" s="71">
        <f t="shared" si="22"/>
        <v>0.77407049109134618</v>
      </c>
      <c r="L159" s="74"/>
      <c r="M159" s="74"/>
      <c r="N159" s="74"/>
      <c r="O159" s="74"/>
      <c r="P159" s="74"/>
      <c r="Q159" s="74"/>
      <c r="R159" s="74"/>
      <c r="S159" s="74"/>
      <c r="T159" s="74"/>
      <c r="U159" s="74"/>
      <c r="V159" s="74"/>
      <c r="W159" s="74"/>
      <c r="X159" s="74"/>
      <c r="Y159" s="74"/>
      <c r="Z159" s="74"/>
    </row>
    <row r="160" spans="1:26" x14ac:dyDescent="0.3">
      <c r="A160" s="66">
        <f t="shared" si="20"/>
        <v>2005.2999999999861</v>
      </c>
      <c r="B160" s="67">
        <f>LOOKUP(A160+0.01,Amounts!$A$4:$A$103,Amounts!$B$4:$B$103)*0.1*$A$2</f>
        <v>8366.1142949300011</v>
      </c>
      <c r="C160" s="68">
        <f t="shared" si="19"/>
        <v>1108448.9318711199</v>
      </c>
      <c r="D160" s="67">
        <f t="array" ref="D160">SUM($B$7:$B155*$F$1009*EXP(-$F$1009*($A160-$A$7:$A155)))*$F$1010</f>
        <v>141909409.85756058</v>
      </c>
      <c r="E160" s="67">
        <f t="shared" si="17"/>
        <v>270.53776212209715</v>
      </c>
      <c r="F160" s="70">
        <f t="shared" si="21"/>
        <v>16.427052916053739</v>
      </c>
      <c r="G160" s="67">
        <f>E160/'Lookup Tables'!$C$48</f>
        <v>541.0755242441943</v>
      </c>
      <c r="H160" s="70">
        <f t="shared" si="18"/>
        <v>0.12828254300479339</v>
      </c>
      <c r="I160" s="71">
        <f t="shared" si="22"/>
        <v>0.77914875491163971</v>
      </c>
      <c r="L160" s="74"/>
      <c r="M160" s="74"/>
      <c r="N160" s="74"/>
      <c r="O160" s="74"/>
      <c r="P160" s="74"/>
      <c r="Q160" s="74"/>
      <c r="R160" s="74"/>
      <c r="S160" s="74"/>
      <c r="T160" s="74"/>
      <c r="U160" s="74"/>
      <c r="V160" s="74"/>
      <c r="W160" s="74"/>
      <c r="X160" s="74"/>
      <c r="Y160" s="74"/>
      <c r="Z160" s="74"/>
    </row>
    <row r="161" spans="1:26" x14ac:dyDescent="0.3">
      <c r="A161" s="66">
        <f t="shared" si="20"/>
        <v>2005.399999999986</v>
      </c>
      <c r="B161" s="67">
        <f>LOOKUP(A161+0.01,Amounts!$A$4:$A$103,Amounts!$B$4:$B$103)*0.1*$A$2</f>
        <v>8366.1142949300011</v>
      </c>
      <c r="C161" s="68">
        <f t="shared" si="19"/>
        <v>1116815.0461660498</v>
      </c>
      <c r="D161" s="67">
        <f t="array" ref="D161">SUM($B$7:$B156*$F$1009*EXP(-$F$1009*($A161-$A$7:$A156)))*$F$1010</f>
        <v>142831747.74240503</v>
      </c>
      <c r="E161" s="67">
        <f t="shared" si="17"/>
        <v>272.29611787550851</v>
      </c>
      <c r="F161" s="70">
        <f t="shared" si="21"/>
        <v>16.533820277400878</v>
      </c>
      <c r="G161" s="67">
        <f>E161/'Lookup Tables'!$C$48</f>
        <v>544.59223575101703</v>
      </c>
      <c r="H161" s="70">
        <f t="shared" si="18"/>
        <v>0.12814909688644019</v>
      </c>
      <c r="I161" s="71">
        <f t="shared" si="22"/>
        <v>0.7842128194814646</v>
      </c>
      <c r="L161" s="74"/>
      <c r="M161" s="74"/>
      <c r="N161" s="74"/>
      <c r="O161" s="74"/>
      <c r="P161" s="74"/>
      <c r="Q161" s="74"/>
      <c r="R161" s="74"/>
      <c r="S161" s="74"/>
      <c r="T161" s="74"/>
      <c r="U161" s="74"/>
      <c r="V161" s="74"/>
      <c r="W161" s="74"/>
      <c r="X161" s="74"/>
      <c r="Y161" s="74"/>
      <c r="Z161" s="74"/>
    </row>
    <row r="162" spans="1:26" x14ac:dyDescent="0.3">
      <c r="A162" s="66">
        <f t="shared" si="20"/>
        <v>2005.4999999999859</v>
      </c>
      <c r="B162" s="67">
        <f>LOOKUP(A162+0.01,Amounts!$A$4:$A$103,Amounts!$B$4:$B$103)*0.1*$A$2</f>
        <v>8366.1142949300011</v>
      </c>
      <c r="C162" s="68">
        <f t="shared" si="19"/>
        <v>1125181.1604609797</v>
      </c>
      <c r="D162" s="67">
        <f t="array" ref="D162">SUM($B$7:$B157*$F$1009*EXP(-$F$1009*($A162-$A$7:$A157)))*$F$1010</f>
        <v>143777902.8911638</v>
      </c>
      <c r="E162" s="67">
        <f t="shared" si="17"/>
        <v>274.09987913998299</v>
      </c>
      <c r="F162" s="70">
        <f t="shared" si="21"/>
        <v>16.643344661379764</v>
      </c>
      <c r="G162" s="67">
        <f>E162/'Lookup Tables'!$C$48</f>
        <v>548.19975827996598</v>
      </c>
      <c r="H162" s="70">
        <f t="shared" si="18"/>
        <v>0.12803884524421982</v>
      </c>
      <c r="I162" s="71">
        <f t="shared" si="22"/>
        <v>0.78940765192315099</v>
      </c>
      <c r="L162" s="74"/>
      <c r="M162" s="74"/>
      <c r="N162" s="74"/>
      <c r="O162" s="74"/>
      <c r="P162" s="74"/>
      <c r="Q162" s="74"/>
      <c r="R162" s="74"/>
      <c r="S162" s="74"/>
      <c r="T162" s="74"/>
      <c r="U162" s="74"/>
      <c r="V162" s="74"/>
      <c r="W162" s="74"/>
      <c r="X162" s="74"/>
      <c r="Y162" s="74"/>
      <c r="Z162" s="74"/>
    </row>
    <row r="163" spans="1:26" x14ac:dyDescent="0.3">
      <c r="A163" s="66">
        <f t="shared" si="20"/>
        <v>2005.5999999999858</v>
      </c>
      <c r="B163" s="67">
        <f>LOOKUP(A163+0.01,Amounts!$A$4:$A$103,Amounts!$B$4:$B$103)*0.1*$A$2</f>
        <v>8366.1142949300011</v>
      </c>
      <c r="C163" s="68">
        <f t="shared" si="19"/>
        <v>1133547.2747559096</v>
      </c>
      <c r="D163" s="67">
        <f t="array" ref="D163">SUM($B$7:$B158*$F$1009*EXP(-$F$1009*($A163-$A$7:$A158)))*$F$1010</f>
        <v>144721412.51097494</v>
      </c>
      <c r="E163" s="67">
        <f t="shared" si="17"/>
        <v>275.8985969370662</v>
      </c>
      <c r="F163" s="70">
        <f t="shared" si="21"/>
        <v>16.752562806018659</v>
      </c>
      <c r="G163" s="67">
        <f>E163/'Lookup Tables'!$C$48</f>
        <v>551.7971938741324</v>
      </c>
      <c r="H163" s="70">
        <f t="shared" si="18"/>
        <v>0.12792788247966805</v>
      </c>
      <c r="I163" s="71">
        <f t="shared" si="22"/>
        <v>0.79458795917875069</v>
      </c>
      <c r="L163" s="74"/>
      <c r="M163" s="74"/>
      <c r="N163" s="74"/>
      <c r="O163" s="74"/>
      <c r="P163" s="74"/>
      <c r="Q163" s="74"/>
      <c r="R163" s="74"/>
      <c r="S163" s="74"/>
      <c r="T163" s="74"/>
      <c r="U163" s="74"/>
      <c r="V163" s="74"/>
      <c r="W163" s="74"/>
      <c r="X163" s="74"/>
      <c r="Y163" s="74"/>
      <c r="Z163" s="74"/>
    </row>
    <row r="164" spans="1:26" x14ac:dyDescent="0.3">
      <c r="A164" s="66">
        <f t="shared" si="20"/>
        <v>2005.6999999999857</v>
      </c>
      <c r="B164" s="67">
        <f>LOOKUP(A164+0.01,Amounts!$A$4:$A$103,Amounts!$B$4:$B$103)*0.1*$A$2</f>
        <v>8366.1142949300011</v>
      </c>
      <c r="C164" s="68">
        <f t="shared" si="19"/>
        <v>1141913.3890508395</v>
      </c>
      <c r="D164" s="67">
        <f t="array" ref="D164">SUM($B$7:$B159*$F$1009*EXP(-$F$1009*($A164-$A$7:$A159)))*$F$1010</f>
        <v>145662283.99895877</v>
      </c>
      <c r="E164" s="67">
        <f t="shared" si="17"/>
        <v>277.69228536871515</v>
      </c>
      <c r="F164" s="70">
        <f t="shared" si="21"/>
        <v>16.861475567588382</v>
      </c>
      <c r="G164" s="67">
        <f>E164/'Lookup Tables'!$C$48</f>
        <v>555.38457073743029</v>
      </c>
      <c r="H164" s="70">
        <f t="shared" si="18"/>
        <v>0.12781623071353493</v>
      </c>
      <c r="I164" s="71">
        <f t="shared" si="22"/>
        <v>0.79975378186189949</v>
      </c>
      <c r="L164" s="74"/>
      <c r="M164" s="74"/>
      <c r="N164" s="74"/>
      <c r="O164" s="74"/>
      <c r="P164" s="74"/>
      <c r="Q164" s="74"/>
      <c r="R164" s="74"/>
      <c r="S164" s="74"/>
      <c r="T164" s="74"/>
      <c r="U164" s="74"/>
      <c r="V164" s="74"/>
      <c r="W164" s="74"/>
      <c r="X164" s="74"/>
      <c r="Y164" s="74"/>
      <c r="Z164" s="74"/>
    </row>
    <row r="165" spans="1:26" x14ac:dyDescent="0.3">
      <c r="A165" s="66">
        <f t="shared" si="20"/>
        <v>2005.7999999999856</v>
      </c>
      <c r="B165" s="67">
        <f>LOOKUP(A165+0.01,Amounts!$A$4:$A$103,Amounts!$B$4:$B$103)*0.1*$A$2</f>
        <v>8366.1142949300011</v>
      </c>
      <c r="C165" s="68">
        <f t="shared" si="19"/>
        <v>1150279.5033457694</v>
      </c>
      <c r="D165" s="67">
        <f t="array" ref="D165">SUM($B$7:$B160*$F$1009*EXP(-$F$1009*($A165-$A$7:$A160)))*$F$1010</f>
        <v>146600524.7315526</v>
      </c>
      <c r="E165" s="67">
        <f t="shared" si="17"/>
        <v>279.4809584974563</v>
      </c>
      <c r="F165" s="70">
        <f t="shared" si="21"/>
        <v>16.970083799965547</v>
      </c>
      <c r="G165" s="67">
        <f>E165/'Lookup Tables'!$C$48</f>
        <v>558.9619169949126</v>
      </c>
      <c r="H165" s="70">
        <f t="shared" si="18"/>
        <v>0.1277039114050065</v>
      </c>
      <c r="I165" s="71">
        <f t="shared" si="22"/>
        <v>0.80490516047267402</v>
      </c>
      <c r="L165" s="74"/>
      <c r="M165" s="74"/>
      <c r="N165" s="74"/>
      <c r="O165" s="74"/>
      <c r="P165" s="74"/>
      <c r="Q165" s="74"/>
      <c r="R165" s="74"/>
      <c r="S165" s="74"/>
      <c r="T165" s="74"/>
      <c r="U165" s="74"/>
      <c r="V165" s="74"/>
      <c r="W165" s="74"/>
      <c r="X165" s="74"/>
      <c r="Y165" s="74"/>
      <c r="Z165" s="74"/>
    </row>
    <row r="166" spans="1:26" x14ac:dyDescent="0.3">
      <c r="A166" s="66">
        <f t="shared" si="20"/>
        <v>2005.8999999999855</v>
      </c>
      <c r="B166" s="67">
        <f>LOOKUP(A166+0.01,Amounts!$A$4:$A$103,Amounts!$B$4:$B$103)*0.1*$A$2</f>
        <v>8366.1142949300011</v>
      </c>
      <c r="C166" s="68">
        <f t="shared" si="19"/>
        <v>1158645.6176406993</v>
      </c>
      <c r="D166" s="67">
        <f t="array" ref="D166">SUM($B$7:$B161*$F$1009*EXP(-$F$1009*($A166-$A$7:$A161)))*$F$1010</f>
        <v>147536142.06456849</v>
      </c>
      <c r="E166" s="67">
        <f t="shared" si="17"/>
        <v>281.26463034649595</v>
      </c>
      <c r="F166" s="70">
        <f t="shared" si="21"/>
        <v>17.078388354639234</v>
      </c>
      <c r="G166" s="67">
        <f>E166/'Lookup Tables'!$C$48</f>
        <v>562.5292606929919</v>
      </c>
      <c r="H166" s="70">
        <f t="shared" si="18"/>
        <v>0.12759094537563925</v>
      </c>
      <c r="I166" s="71">
        <f t="shared" si="22"/>
        <v>0.81004213539790826</v>
      </c>
      <c r="L166" s="74"/>
      <c r="M166" s="74"/>
      <c r="N166" s="74"/>
      <c r="O166" s="74"/>
      <c r="P166" s="74"/>
      <c r="Q166" s="74"/>
      <c r="R166" s="74"/>
      <c r="S166" s="74"/>
      <c r="T166" s="74"/>
      <c r="U166" s="74"/>
      <c r="V166" s="74"/>
      <c r="W166" s="74"/>
      <c r="X166" s="74"/>
      <c r="Y166" s="74"/>
      <c r="Z166" s="74"/>
    </row>
    <row r="167" spans="1:26" x14ac:dyDescent="0.3">
      <c r="A167" s="66">
        <f t="shared" si="20"/>
        <v>2005.9999999999854</v>
      </c>
      <c r="B167" s="67">
        <f>LOOKUP(A167+0.01,Amounts!$A$4:$A$103,Amounts!$B$4:$B$103)*0.1*$A$2</f>
        <v>8533.3607624300002</v>
      </c>
      <c r="C167" s="68">
        <f t="shared" si="19"/>
        <v>1167178.9784031291</v>
      </c>
      <c r="D167" s="67">
        <f t="array" ref="D167">SUM($B$7:$B162*$F$1009*EXP(-$F$1009*($A167-$A$7:$A162)))*$F$1010</f>
        <v>148469143.33325124</v>
      </c>
      <c r="E167" s="67">
        <f t="shared" si="17"/>
        <v>283.04331489983082</v>
      </c>
      <c r="F167" s="70">
        <f t="shared" si="21"/>
        <v>17.186390080717729</v>
      </c>
      <c r="G167" s="67">
        <f>E167/'Lookup Tables'!$C$48</f>
        <v>566.08662979966164</v>
      </c>
      <c r="H167" s="70">
        <f t="shared" si="18"/>
        <v>0.12745908645038037</v>
      </c>
      <c r="I167" s="71">
        <f t="shared" si="22"/>
        <v>0.81516474691151264</v>
      </c>
      <c r="L167" s="74"/>
      <c r="M167" s="74"/>
      <c r="N167" s="74"/>
      <c r="O167" s="74"/>
      <c r="P167" s="74"/>
      <c r="Q167" s="74"/>
      <c r="R167" s="74"/>
      <c r="S167" s="74"/>
      <c r="T167" s="74"/>
      <c r="U167" s="74"/>
      <c r="V167" s="74"/>
      <c r="W167" s="74"/>
      <c r="X167" s="74"/>
      <c r="Y167" s="74"/>
      <c r="Z167" s="74"/>
    </row>
    <row r="168" spans="1:26" x14ac:dyDescent="0.3">
      <c r="A168" s="66">
        <f t="shared" si="20"/>
        <v>2006.0999999999854</v>
      </c>
      <c r="B168" s="67">
        <f>LOOKUP(A168+0.01,Amounts!$A$4:$A$103,Amounts!$B$4:$B$103)*0.1*$A$2</f>
        <v>8533.3607624300002</v>
      </c>
      <c r="C168" s="68">
        <f t="shared" si="19"/>
        <v>1175712.339165559</v>
      </c>
      <c r="D168" s="67">
        <f t="array" ref="D168">SUM($B$7:$B163*$F$1009*EXP(-$F$1009*($A168-$A$7:$A163)))*$F$1010</f>
        <v>149399535.85233542</v>
      </c>
      <c r="E168" s="67">
        <f t="shared" si="17"/>
        <v>284.81702610235664</v>
      </c>
      <c r="F168" s="70">
        <f t="shared" si="21"/>
        <v>17.294089824935092</v>
      </c>
      <c r="G168" s="67">
        <f>E168/'Lookup Tables'!$C$48</f>
        <v>569.63405220471327</v>
      </c>
      <c r="H168" s="70">
        <f t="shared" si="18"/>
        <v>0.12732691827122053</v>
      </c>
      <c r="I168" s="71">
        <f t="shared" si="22"/>
        <v>0.820273035174787</v>
      </c>
      <c r="L168" s="74"/>
      <c r="M168" s="74"/>
      <c r="N168" s="74"/>
      <c r="O168" s="74"/>
      <c r="P168" s="74"/>
      <c r="Q168" s="74"/>
      <c r="R168" s="74"/>
      <c r="S168" s="74"/>
      <c r="T168" s="74"/>
      <c r="U168" s="74"/>
      <c r="V168" s="74"/>
      <c r="W168" s="74"/>
      <c r="X168" s="74"/>
      <c r="Y168" s="74"/>
      <c r="Z168" s="74"/>
    </row>
    <row r="169" spans="1:26" x14ac:dyDescent="0.3">
      <c r="A169" s="66">
        <f t="shared" si="20"/>
        <v>2006.1999999999853</v>
      </c>
      <c r="B169" s="67">
        <f>LOOKUP(A169+0.01,Amounts!$A$4:$A$103,Amounts!$B$4:$B$103)*0.1*$A$2</f>
        <v>8533.3607624300002</v>
      </c>
      <c r="C169" s="68">
        <f t="shared" si="19"/>
        <v>1184245.6999279889</v>
      </c>
      <c r="D169" s="67">
        <f t="array" ref="D169">SUM($B$7:$B164*$F$1009*EXP(-$F$1009*($A169-$A$7:$A164)))*$F$1010</f>
        <v>150327326.91610327</v>
      </c>
      <c r="E169" s="67">
        <f t="shared" si="17"/>
        <v>286.58577785997841</v>
      </c>
      <c r="F169" s="70">
        <f t="shared" si="21"/>
        <v>17.401488431657889</v>
      </c>
      <c r="G169" s="67">
        <f>E169/'Lookup Tables'!$C$48</f>
        <v>573.17155571995681</v>
      </c>
      <c r="H169" s="70">
        <f t="shared" si="18"/>
        <v>0.12719445369517832</v>
      </c>
      <c r="I169" s="71">
        <f t="shared" si="22"/>
        <v>0.82536704023673779</v>
      </c>
      <c r="L169" s="74"/>
      <c r="M169" s="74"/>
      <c r="N169" s="74"/>
      <c r="O169" s="74"/>
      <c r="P169" s="74"/>
      <c r="Q169" s="74"/>
      <c r="R169" s="74"/>
      <c r="S169" s="74"/>
      <c r="T169" s="74"/>
      <c r="U169" s="74"/>
      <c r="V169" s="74"/>
      <c r="W169" s="74"/>
      <c r="X169" s="74"/>
      <c r="Y169" s="74"/>
      <c r="Z169" s="74"/>
    </row>
    <row r="170" spans="1:26" x14ac:dyDescent="0.3">
      <c r="A170" s="66">
        <f t="shared" si="20"/>
        <v>2006.2999999999852</v>
      </c>
      <c r="B170" s="67">
        <f>LOOKUP(A170+0.01,Amounts!$A$4:$A$103,Amounts!$B$4:$B$103)*0.1*$A$2</f>
        <v>8533.3607624300002</v>
      </c>
      <c r="C170" s="68">
        <f t="shared" si="19"/>
        <v>1192779.0606904188</v>
      </c>
      <c r="D170" s="67">
        <f t="array" ref="D170">SUM($B$7:$B165*$F$1009*EXP(-$F$1009*($A170-$A$7:$A165)))*$F$1010</f>
        <v>151252523.79844144</v>
      </c>
      <c r="E170" s="67">
        <f t="shared" si="17"/>
        <v>288.34958403971899</v>
      </c>
      <c r="F170" s="70">
        <f t="shared" si="21"/>
        <v>17.508586742891737</v>
      </c>
      <c r="G170" s="67">
        <f>E170/'Lookup Tables'!$C$48</f>
        <v>576.69916807943798</v>
      </c>
      <c r="H170" s="70">
        <f t="shared" si="18"/>
        <v>0.127061705194213</v>
      </c>
      <c r="I170" s="71">
        <f t="shared" si="22"/>
        <v>0.83044680203439059</v>
      </c>
      <c r="L170" s="74"/>
      <c r="M170" s="74"/>
      <c r="N170" s="74"/>
      <c r="O170" s="74"/>
      <c r="P170" s="74"/>
      <c r="Q170" s="74"/>
      <c r="R170" s="74"/>
      <c r="S170" s="74"/>
      <c r="T170" s="74"/>
      <c r="U170" s="74"/>
      <c r="V170" s="74"/>
      <c r="W170" s="74"/>
      <c r="X170" s="74"/>
      <c r="Y170" s="74"/>
      <c r="Z170" s="74"/>
    </row>
    <row r="171" spans="1:26" x14ac:dyDescent="0.3">
      <c r="A171" s="66">
        <f t="shared" si="20"/>
        <v>2006.3999999999851</v>
      </c>
      <c r="B171" s="67">
        <f>LOOKUP(A171+0.01,Amounts!$A$4:$A$103,Amounts!$B$4:$B$103)*0.1*$A$2</f>
        <v>8533.3607624300002</v>
      </c>
      <c r="C171" s="68">
        <f t="shared" si="19"/>
        <v>1201312.4214528487</v>
      </c>
      <c r="D171" s="67">
        <f t="array" ref="D171">SUM($B$7:$B166*$F$1009*EXP(-$F$1009*($A171-$A$7:$A166)))*$F$1010</f>
        <v>152175133.75289822</v>
      </c>
      <c r="E171" s="67">
        <f t="shared" si="17"/>
        <v>290.10845846982789</v>
      </c>
      <c r="F171" s="70">
        <f t="shared" si="21"/>
        <v>17.615385598287947</v>
      </c>
      <c r="G171" s="67">
        <f>E171/'Lookup Tables'!$C$48</f>
        <v>580.21691693965579</v>
      </c>
      <c r="H171" s="70">
        <f t="shared" si="18"/>
        <v>0.12692868486894807</v>
      </c>
      <c r="I171" s="71">
        <f t="shared" si="22"/>
        <v>0.83551236039310428</v>
      </c>
      <c r="L171" s="74"/>
      <c r="M171" s="74"/>
      <c r="N171" s="74"/>
      <c r="O171" s="74"/>
      <c r="P171" s="74"/>
      <c r="Q171" s="74"/>
      <c r="R171" s="74"/>
      <c r="S171" s="74"/>
      <c r="T171" s="74"/>
      <c r="U171" s="74"/>
      <c r="V171" s="74"/>
      <c r="W171" s="74"/>
      <c r="X171" s="74"/>
      <c r="Y171" s="74"/>
      <c r="Z171" s="74"/>
    </row>
    <row r="172" spans="1:26" x14ac:dyDescent="0.3">
      <c r="A172" s="66">
        <f t="shared" si="20"/>
        <v>2006.499999999985</v>
      </c>
      <c r="B172" s="67">
        <f>LOOKUP(A172+0.01,Amounts!$A$4:$A$103,Amounts!$B$4:$B$103)*0.1*$A$2</f>
        <v>8533.3607624300002</v>
      </c>
      <c r="C172" s="68">
        <f t="shared" si="19"/>
        <v>1209845.7822152786</v>
      </c>
      <c r="D172" s="67">
        <f t="array" ref="D172">SUM($B$7:$B167*$F$1009*EXP(-$F$1009*($A172-$A$7:$A167)))*$F$1010</f>
        <v>153122062.31212854</v>
      </c>
      <c r="E172" s="67">
        <f t="shared" si="17"/>
        <v>291.91369417308971</v>
      </c>
      <c r="F172" s="70">
        <f t="shared" si="21"/>
        <v>17.72499951019001</v>
      </c>
      <c r="G172" s="67">
        <f>E172/'Lookup Tables'!$C$48</f>
        <v>583.82738834617942</v>
      </c>
      <c r="H172" s="70">
        <f t="shared" si="18"/>
        <v>0.12681768198293791</v>
      </c>
      <c r="I172" s="71">
        <f t="shared" si="22"/>
        <v>0.84071143921849845</v>
      </c>
      <c r="L172" s="74"/>
      <c r="M172" s="74"/>
      <c r="N172" s="74"/>
      <c r="O172" s="74"/>
      <c r="P172" s="74"/>
      <c r="Q172" s="74"/>
      <c r="R172" s="74"/>
      <c r="S172" s="74"/>
      <c r="T172" s="74"/>
      <c r="U172" s="74"/>
      <c r="V172" s="74"/>
      <c r="W172" s="74"/>
      <c r="X172" s="74"/>
      <c r="Y172" s="74"/>
      <c r="Z172" s="74"/>
    </row>
    <row r="173" spans="1:26" x14ac:dyDescent="0.3">
      <c r="A173" s="66">
        <f t="shared" si="20"/>
        <v>2006.5999999999849</v>
      </c>
      <c r="B173" s="67">
        <f>LOOKUP(A173+0.01,Amounts!$A$4:$A$103,Amounts!$B$4:$B$103)*0.1*$A$2</f>
        <v>8533.3607624300002</v>
      </c>
      <c r="C173" s="68">
        <f t="shared" si="19"/>
        <v>1218379.1429777085</v>
      </c>
      <c r="D173" s="67">
        <f t="array" ref="D173">SUM($B$7:$B168*$F$1009*EXP(-$F$1009*($A173-$A$7:$A168)))*$F$1010</f>
        <v>154066343.17989087</v>
      </c>
      <c r="E173" s="67">
        <f t="shared" si="17"/>
        <v>293.71388228630605</v>
      </c>
      <c r="F173" s="70">
        <f t="shared" si="21"/>
        <v>17.8343069324245</v>
      </c>
      <c r="G173" s="67">
        <f>E173/'Lookup Tables'!$C$48</f>
        <v>587.42776457261209</v>
      </c>
      <c r="H173" s="70">
        <f t="shared" si="18"/>
        <v>0.12670605650092528</v>
      </c>
      <c r="I173" s="71">
        <f t="shared" si="22"/>
        <v>0.84589598098456142</v>
      </c>
      <c r="L173" s="74"/>
      <c r="M173" s="74"/>
      <c r="N173" s="74"/>
      <c r="O173" s="74"/>
      <c r="P173" s="74"/>
      <c r="Q173" s="74"/>
      <c r="R173" s="74"/>
      <c r="S173" s="74"/>
      <c r="T173" s="74"/>
      <c r="U173" s="74"/>
      <c r="V173" s="74"/>
      <c r="W173" s="74"/>
      <c r="X173" s="74"/>
      <c r="Y173" s="74"/>
      <c r="Z173" s="74"/>
    </row>
    <row r="174" spans="1:26" x14ac:dyDescent="0.3">
      <c r="A174" s="66">
        <f t="shared" si="20"/>
        <v>2006.6999999999848</v>
      </c>
      <c r="B174" s="67">
        <f>LOOKUP(A174+0.01,Amounts!$A$4:$A$103,Amounts!$B$4:$B$103)*0.1*$A$2</f>
        <v>8533.3607624300002</v>
      </c>
      <c r="C174" s="68">
        <f t="shared" si="19"/>
        <v>1226912.5037401384</v>
      </c>
      <c r="D174" s="67">
        <f t="array" ref="D174">SUM($B$7:$B169*$F$1009*EXP(-$F$1009*($A174-$A$7:$A169)))*$F$1010</f>
        <v>155007983.75935209</v>
      </c>
      <c r="E174" s="67">
        <f t="shared" si="17"/>
        <v>295.50903692296117</v>
      </c>
      <c r="F174" s="70">
        <f t="shared" si="21"/>
        <v>17.943308721962204</v>
      </c>
      <c r="G174" s="67">
        <f>E174/'Lookup Tables'!$C$48</f>
        <v>591.01807384592234</v>
      </c>
      <c r="H174" s="70">
        <f t="shared" si="18"/>
        <v>0.12659382745976586</v>
      </c>
      <c r="I174" s="71">
        <f t="shared" si="22"/>
        <v>0.85106602633812811</v>
      </c>
      <c r="L174" s="74"/>
      <c r="M174" s="74"/>
      <c r="N174" s="74"/>
      <c r="O174" s="74"/>
      <c r="P174" s="74"/>
      <c r="Q174" s="74"/>
      <c r="R174" s="74"/>
      <c r="S174" s="74"/>
      <c r="T174" s="74"/>
      <c r="U174" s="74"/>
      <c r="V174" s="74"/>
      <c r="W174" s="74"/>
      <c r="X174" s="74"/>
      <c r="Y174" s="74"/>
      <c r="Z174" s="74"/>
    </row>
    <row r="175" spans="1:26" x14ac:dyDescent="0.3">
      <c r="A175" s="66">
        <f t="shared" si="20"/>
        <v>2006.7999999999847</v>
      </c>
      <c r="B175" s="67">
        <f>LOOKUP(A175+0.01,Amounts!$A$4:$A$103,Amounts!$B$4:$B$103)*0.1*$A$2</f>
        <v>8533.3607624300002</v>
      </c>
      <c r="C175" s="68">
        <f t="shared" si="19"/>
        <v>1235445.8645025683</v>
      </c>
      <c r="D175" s="67">
        <f t="array" ref="D175">SUM($B$7:$B170*$F$1009*EXP(-$F$1009*($A175-$A$7:$A170)))*$F$1010</f>
        <v>155946991.43297917</v>
      </c>
      <c r="E175" s="67">
        <f t="shared" si="17"/>
        <v>297.29917215707661</v>
      </c>
      <c r="F175" s="70">
        <f t="shared" si="21"/>
        <v>18.05200573337769</v>
      </c>
      <c r="G175" s="67">
        <f>E175/'Lookup Tables'!$C$48</f>
        <v>594.59834431415322</v>
      </c>
      <c r="H175" s="70">
        <f t="shared" si="18"/>
        <v>0.12648101335356779</v>
      </c>
      <c r="I175" s="71">
        <f t="shared" si="22"/>
        <v>0.85622161581238054</v>
      </c>
      <c r="L175" s="74"/>
      <c r="M175" s="74"/>
      <c r="N175" s="74"/>
      <c r="O175" s="74"/>
      <c r="P175" s="74"/>
      <c r="Q175" s="74"/>
      <c r="R175" s="74"/>
      <c r="S175" s="74"/>
      <c r="T175" s="74"/>
      <c r="U175" s="74"/>
      <c r="V175" s="74"/>
      <c r="W175" s="74"/>
      <c r="X175" s="74"/>
      <c r="Y175" s="74"/>
      <c r="Z175" s="74"/>
    </row>
    <row r="176" spans="1:26" x14ac:dyDescent="0.3">
      <c r="A176" s="66">
        <f t="shared" si="20"/>
        <v>2006.8999999999846</v>
      </c>
      <c r="B176" s="67">
        <f>LOOKUP(A176+0.01,Amounts!$A$4:$A$103,Amounts!$B$4:$B$103)*0.1*$A$2</f>
        <v>8533.3607624300002</v>
      </c>
      <c r="C176" s="68">
        <f t="shared" si="19"/>
        <v>1243979.2252649982</v>
      </c>
      <c r="D176" s="67">
        <f t="array" ref="D176">SUM($B$7:$B171*$F$1009*EXP(-$F$1009*($A176-$A$7:$A171)))*$F$1010</f>
        <v>156883373.56259707</v>
      </c>
      <c r="E176" s="67">
        <f t="shared" si="17"/>
        <v>299.08430202332175</v>
      </c>
      <c r="F176" s="70">
        <f t="shared" si="21"/>
        <v>18.160398818856098</v>
      </c>
      <c r="G176" s="67">
        <f>E176/'Lookup Tables'!$C$48</f>
        <v>598.16860404664351</v>
      </c>
      <c r="H176" s="70">
        <f t="shared" si="18"/>
        <v>0.12636763215235425</v>
      </c>
      <c r="I176" s="71">
        <f t="shared" si="22"/>
        <v>0.86136278982716674</v>
      </c>
      <c r="L176" s="74"/>
      <c r="M176" s="74"/>
      <c r="N176" s="74"/>
      <c r="O176" s="74"/>
      <c r="P176" s="74"/>
      <c r="Q176" s="74"/>
      <c r="R176" s="74"/>
      <c r="S176" s="74"/>
      <c r="T176" s="74"/>
      <c r="U176" s="74"/>
      <c r="V176" s="74"/>
      <c r="W176" s="74"/>
      <c r="X176" s="74"/>
      <c r="Y176" s="74"/>
      <c r="Z176" s="74"/>
    </row>
    <row r="177" spans="1:26" x14ac:dyDescent="0.3">
      <c r="A177" s="66">
        <f t="shared" si="20"/>
        <v>2006.9999999999845</v>
      </c>
      <c r="B177" s="67">
        <f>LOOKUP(A177+0.01,Amounts!$A$4:$A$103,Amounts!$B$4:$B$103)*0.1*$A$2</f>
        <v>8703.9521592799993</v>
      </c>
      <c r="C177" s="68">
        <f t="shared" si="19"/>
        <v>1252683.1774242781</v>
      </c>
      <c r="D177" s="67">
        <f t="array" ref="D177">SUM($B$7:$B172*$F$1009*EXP(-$F$1009*($A177-$A$7:$A172)))*$F$1010</f>
        <v>157817137.48944643</v>
      </c>
      <c r="E177" s="67">
        <f t="shared" si="17"/>
        <v>300.86444051712374</v>
      </c>
      <c r="F177" s="70">
        <f t="shared" si="21"/>
        <v>18.268488828199754</v>
      </c>
      <c r="G177" s="67">
        <f>E177/'Lookup Tables'!$C$48</f>
        <v>601.72888103424748</v>
      </c>
      <c r="H177" s="70">
        <f t="shared" si="18"/>
        <v>0.12623650798995353</v>
      </c>
      <c r="I177" s="71">
        <f t="shared" si="22"/>
        <v>0.86648958868931636</v>
      </c>
      <c r="L177" s="74"/>
      <c r="M177" s="74"/>
      <c r="N177" s="74"/>
      <c r="O177" s="74"/>
      <c r="P177" s="74"/>
      <c r="Q177" s="74"/>
      <c r="R177" s="74"/>
      <c r="S177" s="74"/>
      <c r="T177" s="74"/>
      <c r="U177" s="74"/>
      <c r="V177" s="74"/>
      <c r="W177" s="74"/>
      <c r="X177" s="74"/>
      <c r="Y177" s="74"/>
      <c r="Z177" s="74"/>
    </row>
    <row r="178" spans="1:26" x14ac:dyDescent="0.3">
      <c r="A178" s="66">
        <f t="shared" si="20"/>
        <v>2007.0999999999844</v>
      </c>
      <c r="B178" s="67">
        <f>LOOKUP(A178+0.01,Amounts!$A$4:$A$103,Amounts!$B$4:$B$103)*0.1*$A$2</f>
        <v>8703.9521592799993</v>
      </c>
      <c r="C178" s="68">
        <f t="shared" si="19"/>
        <v>1261387.1295835581</v>
      </c>
      <c r="D178" s="67">
        <f t="array" ref="D178">SUM($B$7:$B173*$F$1009*EXP(-$F$1009*($A178-$A$7:$A173)))*$F$1010</f>
        <v>158748290.53424129</v>
      </c>
      <c r="E178" s="67">
        <f t="shared" si="17"/>
        <v>302.63960159477762</v>
      </c>
      <c r="F178" s="70">
        <f t="shared" si="21"/>
        <v>18.376276608834896</v>
      </c>
      <c r="G178" s="67">
        <f>E178/'Lookup Tables'!$C$48</f>
        <v>605.27920318955523</v>
      </c>
      <c r="H178" s="70">
        <f t="shared" si="18"/>
        <v>0.12610511940987582</v>
      </c>
      <c r="I178" s="71">
        <f t="shared" si="22"/>
        <v>0.87160205259295953</v>
      </c>
      <c r="L178" s="74"/>
      <c r="M178" s="74"/>
      <c r="N178" s="74"/>
      <c r="O178" s="74"/>
      <c r="P178" s="74"/>
      <c r="Q178" s="74"/>
      <c r="R178" s="74"/>
      <c r="S178" s="74"/>
      <c r="T178" s="74"/>
      <c r="U178" s="74"/>
      <c r="V178" s="74"/>
      <c r="W178" s="74"/>
      <c r="X178" s="74"/>
      <c r="Y178" s="74"/>
      <c r="Z178" s="74"/>
    </row>
    <row r="179" spans="1:26" x14ac:dyDescent="0.3">
      <c r="A179" s="66">
        <f t="shared" si="20"/>
        <v>2007.1999999999844</v>
      </c>
      <c r="B179" s="67">
        <f>LOOKUP(A179+0.01,Amounts!$A$4:$A$103,Amounts!$B$4:$B$103)*0.1*$A$2</f>
        <v>8703.9521592799993</v>
      </c>
      <c r="C179" s="68">
        <f t="shared" si="19"/>
        <v>1270091.081742838</v>
      </c>
      <c r="D179" s="67">
        <f t="array" ref="D179">SUM($B$7:$B174*$F$1009*EXP(-$F$1009*($A179-$A$7:$A174)))*$F$1010</f>
        <v>159676839.9972263</v>
      </c>
      <c r="E179" s="67">
        <f t="shared" si="17"/>
        <v>304.40979917355543</v>
      </c>
      <c r="F179" s="70">
        <f t="shared" si="21"/>
        <v>18.483763005818286</v>
      </c>
      <c r="G179" s="67">
        <f>E179/'Lookup Tables'!$C$48</f>
        <v>608.81959834711085</v>
      </c>
      <c r="H179" s="70">
        <f t="shared" si="18"/>
        <v>0.12597347760766053</v>
      </c>
      <c r="I179" s="71">
        <f t="shared" si="22"/>
        <v>0.87670022161983963</v>
      </c>
      <c r="L179" s="74"/>
      <c r="M179" s="74"/>
      <c r="N179" s="74"/>
      <c r="O179" s="74"/>
      <c r="P179" s="74"/>
      <c r="Q179" s="74"/>
      <c r="R179" s="74"/>
      <c r="S179" s="74"/>
      <c r="T179" s="74"/>
      <c r="U179" s="74"/>
      <c r="V179" s="74"/>
      <c r="W179" s="74"/>
      <c r="X179" s="74"/>
      <c r="Y179" s="74"/>
      <c r="Z179" s="74"/>
    </row>
    <row r="180" spans="1:26" x14ac:dyDescent="0.3">
      <c r="A180" s="66">
        <f t="shared" si="20"/>
        <v>2007.2999999999843</v>
      </c>
      <c r="B180" s="67">
        <f>LOOKUP(A180+0.01,Amounts!$A$4:$A$103,Amounts!$B$4:$B$103)*0.1*$A$2</f>
        <v>8703.9521592799993</v>
      </c>
      <c r="C180" s="68">
        <f t="shared" si="19"/>
        <v>1278795.033902118</v>
      </c>
      <c r="D180" s="67">
        <f t="array" ref="D180">SUM($B$7:$B175*$F$1009*EXP(-$F$1009*($A180-$A$7:$A175)))*$F$1010</f>
        <v>160602793.15823391</v>
      </c>
      <c r="E180" s="67">
        <f t="shared" si="17"/>
        <v>306.17504713181501</v>
      </c>
      <c r="F180" s="70">
        <f t="shared" si="21"/>
        <v>18.59094886184381</v>
      </c>
      <c r="G180" s="67">
        <f>E180/'Lookup Tables'!$C$48</f>
        <v>612.35009426363001</v>
      </c>
      <c r="H180" s="70">
        <f t="shared" si="18"/>
        <v>0.12584159345804874</v>
      </c>
      <c r="I180" s="71">
        <f t="shared" si="22"/>
        <v>0.88178413573962733</v>
      </c>
      <c r="L180" s="74"/>
      <c r="M180" s="74"/>
      <c r="N180" s="74"/>
      <c r="O180" s="74"/>
      <c r="P180" s="74"/>
      <c r="Q180" s="74"/>
      <c r="R180" s="74"/>
      <c r="S180" s="74"/>
      <c r="T180" s="74"/>
      <c r="U180" s="74"/>
      <c r="V180" s="74"/>
      <c r="W180" s="74"/>
      <c r="X180" s="74"/>
      <c r="Y180" s="74"/>
      <c r="Z180" s="74"/>
    </row>
    <row r="181" spans="1:26" x14ac:dyDescent="0.3">
      <c r="A181" s="66">
        <f t="shared" si="20"/>
        <v>2007.3999999999842</v>
      </c>
      <c r="B181" s="67">
        <f>LOOKUP(A181+0.01,Amounts!$A$4:$A$103,Amounts!$B$4:$B$103)*0.1*$A$2</f>
        <v>8703.9521592799993</v>
      </c>
      <c r="C181" s="68">
        <f t="shared" si="19"/>
        <v>1287498.9860613979</v>
      </c>
      <c r="D181" s="67">
        <f t="array" ref="D181">SUM($B$7:$B176*$F$1009*EXP(-$F$1009*($A181-$A$7:$A176)))*$F$1010</f>
        <v>161526157.27674171</v>
      </c>
      <c r="E181" s="67">
        <f t="shared" si="17"/>
        <v>307.93535930910951</v>
      </c>
      <c r="F181" s="70">
        <f t="shared" si="21"/>
        <v>18.69783501724913</v>
      </c>
      <c r="G181" s="67">
        <f>E181/'Lookup Tables'!$C$48</f>
        <v>615.87071861821903</v>
      </c>
      <c r="H181" s="70">
        <f t="shared" si="18"/>
        <v>0.12570947752587175</v>
      </c>
      <c r="I181" s="71">
        <f t="shared" si="22"/>
        <v>0.8868538348102355</v>
      </c>
      <c r="L181" s="74"/>
      <c r="M181" s="74"/>
      <c r="N181" s="74"/>
      <c r="O181" s="74"/>
      <c r="P181" s="74"/>
      <c r="Q181" s="74"/>
      <c r="R181" s="74"/>
      <c r="S181" s="74"/>
      <c r="T181" s="74"/>
      <c r="U181" s="74"/>
      <c r="V181" s="74"/>
      <c r="W181" s="74"/>
      <c r="X181" s="74"/>
      <c r="Y181" s="74"/>
      <c r="Z181" s="74"/>
    </row>
    <row r="182" spans="1:26" x14ac:dyDescent="0.3">
      <c r="A182" s="66">
        <f t="shared" si="20"/>
        <v>2007.4999999999841</v>
      </c>
      <c r="B182" s="67">
        <f>LOOKUP(A182+0.01,Amounts!$A$4:$A$103,Amounts!$B$4:$B$103)*0.1*$A$2</f>
        <v>8703.9521592799993</v>
      </c>
      <c r="C182" s="68">
        <f t="shared" si="19"/>
        <v>1296202.9382206779</v>
      </c>
      <c r="D182" s="67">
        <f t="array" ref="D182">SUM($B$7:$B177*$F$1009*EXP(-$F$1009*($A182-$A$7:$A177)))*$F$1010</f>
        <v>162474375.85730508</v>
      </c>
      <c r="E182" s="67">
        <f t="shared" si="17"/>
        <v>309.74305432415957</v>
      </c>
      <c r="F182" s="70">
        <f t="shared" si="21"/>
        <v>18.807598258562969</v>
      </c>
      <c r="G182" s="67">
        <f>E182/'Lookup Tables'!$C$48</f>
        <v>619.48610864831915</v>
      </c>
      <c r="H182" s="70">
        <f t="shared" si="18"/>
        <v>0.12559834926485985</v>
      </c>
      <c r="I182" s="71">
        <f t="shared" si="22"/>
        <v>0.89205999645357947</v>
      </c>
      <c r="L182" s="74"/>
      <c r="M182" s="74"/>
      <c r="N182" s="74"/>
      <c r="O182" s="74"/>
      <c r="P182" s="74"/>
      <c r="Q182" s="74"/>
      <c r="R182" s="74"/>
      <c r="S182" s="74"/>
      <c r="T182" s="74"/>
      <c r="U182" s="74"/>
      <c r="V182" s="74"/>
      <c r="W182" s="74"/>
      <c r="X182" s="74"/>
      <c r="Y182" s="74"/>
      <c r="Z182" s="74"/>
    </row>
    <row r="183" spans="1:26" x14ac:dyDescent="0.3">
      <c r="A183" s="66">
        <f t="shared" si="20"/>
        <v>2007.599999999984</v>
      </c>
      <c r="B183" s="67">
        <f>LOOKUP(A183+0.01,Amounts!$A$4:$A$103,Amounts!$B$4:$B$103)*0.1*$A$2</f>
        <v>8703.9521592799993</v>
      </c>
      <c r="C183" s="68">
        <f t="shared" si="19"/>
        <v>1304906.8903799579</v>
      </c>
      <c r="D183" s="67">
        <f t="array" ref="D183">SUM($B$7:$B178*$F$1009*EXP(-$F$1009*($A183-$A$7:$A178)))*$F$1010</f>
        <v>163419943.13939291</v>
      </c>
      <c r="E183" s="67">
        <f t="shared" si="17"/>
        <v>311.54569487272278</v>
      </c>
      <c r="F183" s="70">
        <f t="shared" si="21"/>
        <v>18.917054592671729</v>
      </c>
      <c r="G183" s="67">
        <f>E183/'Lookup Tables'!$C$48</f>
        <v>623.09138974544555</v>
      </c>
      <c r="H183" s="70">
        <f t="shared" si="18"/>
        <v>0.12548666761765925</v>
      </c>
      <c r="I183" s="71">
        <f t="shared" si="22"/>
        <v>0.89725160123344161</v>
      </c>
      <c r="L183" s="74"/>
      <c r="M183" s="74"/>
      <c r="N183" s="74"/>
      <c r="O183" s="74"/>
      <c r="P183" s="74"/>
      <c r="Q183" s="74"/>
      <c r="R183" s="74"/>
      <c r="S183" s="74"/>
      <c r="T183" s="74"/>
      <c r="U183" s="74"/>
      <c r="V183" s="74"/>
      <c r="W183" s="74"/>
      <c r="X183" s="74"/>
      <c r="Y183" s="74"/>
      <c r="Z183" s="74"/>
    </row>
    <row r="184" spans="1:26" x14ac:dyDescent="0.3">
      <c r="A184" s="66">
        <f t="shared" si="20"/>
        <v>2007.6999999999839</v>
      </c>
      <c r="B184" s="67">
        <f>LOOKUP(A184+0.01,Amounts!$A$4:$A$103,Amounts!$B$4:$B$103)*0.1*$A$2</f>
        <v>8703.9521592799993</v>
      </c>
      <c r="C184" s="68">
        <f t="shared" si="19"/>
        <v>1313610.8425392378</v>
      </c>
      <c r="D184" s="67">
        <f t="array" ref="D184">SUM($B$7:$B179*$F$1009*EXP(-$F$1009*($A184-$A$7:$A179)))*$F$1010</f>
        <v>164362866.53625759</v>
      </c>
      <c r="E184" s="67">
        <f t="shared" si="17"/>
        <v>313.3432950875104</v>
      </c>
      <c r="F184" s="70">
        <f t="shared" si="21"/>
        <v>19.026204877713631</v>
      </c>
      <c r="G184" s="67">
        <f>E184/'Lookup Tables'!$C$48</f>
        <v>626.6865901750208</v>
      </c>
      <c r="H184" s="70">
        <f t="shared" si="18"/>
        <v>0.12537444923919777</v>
      </c>
      <c r="I184" s="71">
        <f t="shared" si="22"/>
        <v>0.90242868985203006</v>
      </c>
      <c r="L184" s="74"/>
      <c r="M184" s="74"/>
      <c r="N184" s="74"/>
      <c r="O184" s="74"/>
      <c r="P184" s="74"/>
      <c r="Q184" s="74"/>
      <c r="R184" s="74"/>
      <c r="S184" s="74"/>
      <c r="T184" s="74"/>
      <c r="U184" s="74"/>
      <c r="V184" s="74"/>
      <c r="W184" s="74"/>
      <c r="X184" s="74"/>
      <c r="Y184" s="74"/>
      <c r="Z184" s="74"/>
    </row>
    <row r="185" spans="1:26" x14ac:dyDescent="0.3">
      <c r="A185" s="66">
        <f t="shared" si="20"/>
        <v>2007.7999999999838</v>
      </c>
      <c r="B185" s="67">
        <f>LOOKUP(A185+0.01,Amounts!$A$4:$A$103,Amounts!$B$4:$B$103)*0.1*$A$2</f>
        <v>8703.9521592799993</v>
      </c>
      <c r="C185" s="68">
        <f t="shared" si="19"/>
        <v>1322314.7946985178</v>
      </c>
      <c r="D185" s="67">
        <f t="array" ref="D185">SUM($B$7:$B180*$F$1009*EXP(-$F$1009*($A185-$A$7:$A180)))*$F$1010</f>
        <v>165303153.44042331</v>
      </c>
      <c r="E185" s="67">
        <f t="shared" si="17"/>
        <v>315.13586906171724</v>
      </c>
      <c r="F185" s="70">
        <f t="shared" si="21"/>
        <v>19.13504996942747</v>
      </c>
      <c r="G185" s="67">
        <f>E185/'Lookup Tables'!$C$48</f>
        <v>630.27173812343449</v>
      </c>
      <c r="H185" s="70">
        <f t="shared" si="18"/>
        <v>0.12526171033018108</v>
      </c>
      <c r="I185" s="71">
        <f t="shared" si="22"/>
        <v>0.9075913028977457</v>
      </c>
      <c r="L185" s="74"/>
      <c r="M185" s="74"/>
      <c r="N185" s="74"/>
      <c r="O185" s="74"/>
      <c r="P185" s="74"/>
      <c r="Q185" s="74"/>
      <c r="R185" s="74"/>
      <c r="S185" s="74"/>
      <c r="T185" s="74"/>
      <c r="U185" s="74"/>
      <c r="V185" s="74"/>
      <c r="W185" s="74"/>
      <c r="X185" s="74"/>
      <c r="Y185" s="74"/>
      <c r="Z185" s="74"/>
    </row>
    <row r="186" spans="1:26" x14ac:dyDescent="0.3">
      <c r="A186" s="66">
        <f t="shared" si="20"/>
        <v>2007.8999999999837</v>
      </c>
      <c r="B186" s="67">
        <f>LOOKUP(A186+0.01,Amounts!$A$4:$A$103,Amounts!$B$4:$B$103)*0.1*$A$2</f>
        <v>8703.9521592799993</v>
      </c>
      <c r="C186" s="68">
        <f t="shared" si="19"/>
        <v>1331018.7468577977</v>
      </c>
      <c r="D186" s="67">
        <f t="array" ref="D186">SUM($B$7:$B181*$F$1009*EXP(-$F$1009*($A186-$A$7:$A181)))*$F$1010</f>
        <v>166240811.22374418</v>
      </c>
      <c r="E186" s="67">
        <f t="shared" si="17"/>
        <v>316.92343084913227</v>
      </c>
      <c r="F186" s="70">
        <f t="shared" si="21"/>
        <v>19.243590721159311</v>
      </c>
      <c r="G186" s="67">
        <f>E186/'Lookup Tables'!$C$48</f>
        <v>633.84686169826455</v>
      </c>
      <c r="H186" s="70">
        <f t="shared" si="18"/>
        <v>0.12514846665198801</v>
      </c>
      <c r="I186" s="71">
        <f t="shared" si="22"/>
        <v>0.91273948084550094</v>
      </c>
      <c r="L186" s="74"/>
      <c r="M186" s="74"/>
      <c r="N186" s="74"/>
      <c r="O186" s="74"/>
      <c r="P186" s="74"/>
      <c r="Q186" s="74"/>
      <c r="R186" s="74"/>
      <c r="S186" s="74"/>
      <c r="T186" s="74"/>
      <c r="U186" s="74"/>
      <c r="V186" s="74"/>
      <c r="W186" s="74"/>
      <c r="X186" s="74"/>
      <c r="Y186" s="74"/>
      <c r="Z186" s="74"/>
    </row>
    <row r="187" spans="1:26" x14ac:dyDescent="0.3">
      <c r="A187" s="66">
        <f t="shared" si="20"/>
        <v>2007.9999999999836</v>
      </c>
      <c r="B187" s="67">
        <f>LOOKUP(A187+0.01,Amounts!$A$4:$A$103,Amounts!$B$4:$B$103)*0.1*$A$2</f>
        <v>8878.1114807699996</v>
      </c>
      <c r="C187" s="68">
        <f t="shared" si="19"/>
        <v>1339896.8583385677</v>
      </c>
      <c r="D187" s="67">
        <f t="array" ref="D187">SUM($B$7:$B182*$F$1009*EXP(-$F$1009*($A187-$A$7:$A182)))*$F$1010</f>
        <v>167175847.23746219</v>
      </c>
      <c r="E187" s="67">
        <f t="shared" si="17"/>
        <v>318.70599446424944</v>
      </c>
      <c r="F187" s="70">
        <f t="shared" si="21"/>
        <v>19.351827983869224</v>
      </c>
      <c r="G187" s="67">
        <f>E187/'Lookup Tables'!$C$48</f>
        <v>637.41198892849889</v>
      </c>
      <c r="H187" s="70">
        <f t="shared" si="18"/>
        <v>0.12501848157037942</v>
      </c>
      <c r="I187" s="71">
        <f t="shared" si="22"/>
        <v>0.9178732640570384</v>
      </c>
      <c r="L187" s="74"/>
      <c r="M187" s="74"/>
      <c r="N187" s="74"/>
      <c r="O187" s="74"/>
      <c r="P187" s="74"/>
      <c r="Q187" s="74"/>
      <c r="R187" s="74"/>
      <c r="S187" s="74"/>
      <c r="T187" s="74"/>
      <c r="U187" s="74"/>
      <c r="V187" s="74"/>
      <c r="W187" s="74"/>
      <c r="X187" s="74"/>
      <c r="Y187" s="74"/>
      <c r="Z187" s="74"/>
    </row>
    <row r="188" spans="1:26" x14ac:dyDescent="0.3">
      <c r="A188" s="66">
        <f t="shared" si="20"/>
        <v>2008.0999999999835</v>
      </c>
      <c r="B188" s="67">
        <f>LOOKUP(A188+0.01,Amounts!$A$4:$A$103,Amounts!$B$4:$B$103)*0.1*$A$2</f>
        <v>8878.1114807699996</v>
      </c>
      <c r="C188" s="68">
        <f t="shared" si="19"/>
        <v>1348774.9698193376</v>
      </c>
      <c r="D188" s="67">
        <f t="array" ref="D188">SUM($B$7:$B183*$F$1009*EXP(-$F$1009*($A188-$A$7:$A183)))*$F$1010</f>
        <v>168108268.81226432</v>
      </c>
      <c r="E188" s="67">
        <f t="shared" si="17"/>
        <v>320.48357388237628</v>
      </c>
      <c r="F188" s="70">
        <f t="shared" si="21"/>
        <v>19.459762606137886</v>
      </c>
      <c r="G188" s="67">
        <f>E188/'Lookup Tables'!$C$48</f>
        <v>640.96714776475255</v>
      </c>
      <c r="H188" s="70">
        <f t="shared" si="18"/>
        <v>0.12488826542736003</v>
      </c>
      <c r="I188" s="71">
        <f t="shared" si="22"/>
        <v>0.92299269278124363</v>
      </c>
      <c r="L188" s="74"/>
      <c r="M188" s="74"/>
      <c r="N188" s="74"/>
      <c r="O188" s="74"/>
      <c r="P188" s="74"/>
      <c r="Q188" s="74"/>
      <c r="R188" s="74"/>
      <c r="S188" s="74"/>
      <c r="T188" s="74"/>
      <c r="U188" s="74"/>
      <c r="V188" s="74"/>
      <c r="W188" s="74"/>
      <c r="X188" s="74"/>
      <c r="Y188" s="74"/>
      <c r="Z188" s="74"/>
    </row>
    <row r="189" spans="1:26" x14ac:dyDescent="0.3">
      <c r="A189" s="66">
        <f t="shared" si="20"/>
        <v>2008.1999999999834</v>
      </c>
      <c r="B189" s="67">
        <f>LOOKUP(A189+0.01,Amounts!$A$4:$A$103,Amounts!$B$4:$B$103)*0.1*$A$2</f>
        <v>8878.1114807699996</v>
      </c>
      <c r="C189" s="68">
        <f t="shared" si="19"/>
        <v>1357653.0813001075</v>
      </c>
      <c r="D189" s="67">
        <f t="array" ref="D189">SUM($B$7:$B184*$F$1009*EXP(-$F$1009*($A189-$A$7:$A184)))*$F$1010</f>
        <v>169038083.2583406</v>
      </c>
      <c r="E189" s="67">
        <f t="shared" si="17"/>
        <v>322.25618303974483</v>
      </c>
      <c r="F189" s="70">
        <f t="shared" si="21"/>
        <v>19.56739543417331</v>
      </c>
      <c r="G189" s="67">
        <f>E189/'Lookup Tables'!$C$48</f>
        <v>644.51236607948965</v>
      </c>
      <c r="H189" s="70">
        <f t="shared" si="18"/>
        <v>0.12475782815112924</v>
      </c>
      <c r="I189" s="71">
        <f t="shared" si="22"/>
        <v>0.92809780715446522</v>
      </c>
      <c r="L189" s="74"/>
      <c r="M189" s="74"/>
      <c r="N189" s="74"/>
      <c r="O189" s="74"/>
      <c r="P189" s="74"/>
      <c r="Q189" s="74"/>
      <c r="R189" s="74"/>
      <c r="S189" s="74"/>
      <c r="T189" s="74"/>
      <c r="U189" s="74"/>
      <c r="V189" s="74"/>
      <c r="W189" s="74"/>
      <c r="X189" s="74"/>
      <c r="Y189" s="74"/>
      <c r="Z189" s="74"/>
    </row>
    <row r="190" spans="1:26" x14ac:dyDescent="0.3">
      <c r="A190" s="66">
        <f t="shared" si="20"/>
        <v>2008.2999999999834</v>
      </c>
      <c r="B190" s="67">
        <f>LOOKUP(A190+0.01,Amounts!$A$4:$A$103,Amounts!$B$4:$B$103)*0.1*$A$2</f>
        <v>8878.1114807699996</v>
      </c>
      <c r="C190" s="68">
        <f t="shared" si="19"/>
        <v>1366531.1927808775</v>
      </c>
      <c r="D190" s="67">
        <f t="array" ref="D190">SUM($B$7:$B185*$F$1009*EXP(-$F$1009*($A190-$A$7:$A185)))*$F$1010</f>
        <v>169965297.86544096</v>
      </c>
      <c r="E190" s="67">
        <f t="shared" si="17"/>
        <v>324.02383583361967</v>
      </c>
      <c r="F190" s="70">
        <f t="shared" si="21"/>
        <v>19.674727311817385</v>
      </c>
      <c r="G190" s="67">
        <f>E190/'Lookup Tables'!$C$48</f>
        <v>648.04767166723934</v>
      </c>
      <c r="H190" s="70">
        <f t="shared" si="18"/>
        <v>0.12462717939689148</v>
      </c>
      <c r="I190" s="71">
        <f t="shared" si="22"/>
        <v>0.93318864720082462</v>
      </c>
      <c r="L190" s="74"/>
      <c r="M190" s="74"/>
      <c r="N190" s="74"/>
      <c r="O190" s="74"/>
      <c r="P190" s="74"/>
      <c r="Q190" s="74"/>
      <c r="R190" s="74"/>
      <c r="S190" s="74"/>
      <c r="T190" s="74"/>
      <c r="U190" s="74"/>
      <c r="V190" s="74"/>
      <c r="W190" s="74"/>
      <c r="X190" s="74"/>
      <c r="Y190" s="74"/>
      <c r="Z190" s="74"/>
    </row>
    <row r="191" spans="1:26" x14ac:dyDescent="0.3">
      <c r="A191" s="66">
        <f t="shared" si="20"/>
        <v>2008.3999999999833</v>
      </c>
      <c r="B191" s="67">
        <f>LOOKUP(A191+0.01,Amounts!$A$4:$A$103,Amounts!$B$4:$B$103)*0.1*$A$2</f>
        <v>8878.1114807699996</v>
      </c>
      <c r="C191" s="68">
        <f t="shared" si="19"/>
        <v>1375409.3042616474</v>
      </c>
      <c r="D191" s="67">
        <f t="array" ref="D191">SUM($B$7:$B186*$F$1009*EXP(-$F$1009*($A191-$A$7:$A186)))*$F$1010</f>
        <v>170889919.90293273</v>
      </c>
      <c r="E191" s="67">
        <f t="shared" si="17"/>
        <v>325.78654612240797</v>
      </c>
      <c r="F191" s="70">
        <f t="shared" si="21"/>
        <v>19.781759080552611</v>
      </c>
      <c r="G191" s="67">
        <f>E191/'Lookup Tables'!$C$48</f>
        <v>651.57309224481594</v>
      </c>
      <c r="H191" s="70">
        <f t="shared" si="18"/>
        <v>0.12449632855570933</v>
      </c>
      <c r="I191" s="71">
        <f t="shared" si="22"/>
        <v>0.93826525283253492</v>
      </c>
      <c r="L191" s="74"/>
      <c r="M191" s="74"/>
      <c r="N191" s="74"/>
      <c r="O191" s="74"/>
      <c r="P191" s="74"/>
      <c r="Q191" s="74"/>
      <c r="R191" s="74"/>
      <c r="S191" s="74"/>
      <c r="T191" s="74"/>
      <c r="U191" s="74"/>
      <c r="V191" s="74"/>
      <c r="W191" s="74"/>
      <c r="X191" s="74"/>
      <c r="Y191" s="74"/>
      <c r="Z191" s="74"/>
    </row>
    <row r="192" spans="1:26" x14ac:dyDescent="0.3">
      <c r="A192" s="66">
        <f t="shared" si="20"/>
        <v>2008.4999999999832</v>
      </c>
      <c r="B192" s="67">
        <f>LOOKUP(A192+0.01,Amounts!$A$4:$A$103,Amounts!$B$4:$B$103)*0.1*$A$2</f>
        <v>8878.1114807699996</v>
      </c>
      <c r="C192" s="68">
        <f t="shared" si="19"/>
        <v>1384287.4157424173</v>
      </c>
      <c r="D192" s="67">
        <f t="array" ref="D192">SUM($B$7:$B187*$F$1009*EXP(-$F$1009*($A192-$A$7:$A187)))*$F$1010</f>
        <v>171839966.71562022</v>
      </c>
      <c r="E192" s="67">
        <f t="shared" si="17"/>
        <v>327.5977265006062</v>
      </c>
      <c r="F192" s="70">
        <f t="shared" si="21"/>
        <v>19.891733953116809</v>
      </c>
      <c r="G192" s="67">
        <f>E192/'Lookup Tables'!$C$48</f>
        <v>655.1954530012124</v>
      </c>
      <c r="H192" s="70">
        <f t="shared" si="18"/>
        <v>0.12438555974040451</v>
      </c>
      <c r="I192" s="71">
        <f t="shared" si="22"/>
        <v>0.94348145232174596</v>
      </c>
      <c r="L192" s="74"/>
      <c r="M192" s="74"/>
      <c r="N192" s="74"/>
      <c r="O192" s="74"/>
      <c r="P192" s="74"/>
      <c r="Q192" s="74"/>
      <c r="R192" s="74"/>
      <c r="S192" s="74"/>
      <c r="T192" s="74"/>
      <c r="U192" s="74"/>
      <c r="V192" s="74"/>
      <c r="W192" s="74"/>
      <c r="X192" s="74"/>
      <c r="Y192" s="74"/>
      <c r="Z192" s="74"/>
    </row>
    <row r="193" spans="1:26" x14ac:dyDescent="0.3">
      <c r="A193" s="66">
        <f t="shared" si="20"/>
        <v>2008.5999999999831</v>
      </c>
      <c r="B193" s="67">
        <f>LOOKUP(A193+0.01,Amounts!$A$4:$A$103,Amounts!$B$4:$B$103)*0.1*$A$2</f>
        <v>8878.1114807699996</v>
      </c>
      <c r="C193" s="68">
        <f t="shared" si="19"/>
        <v>1393165.5272231873</v>
      </c>
      <c r="D193" s="67">
        <f t="array" ref="D193">SUM($B$7:$B188*$F$1009*EXP(-$F$1009*($A193-$A$7:$A188)))*$F$1010</f>
        <v>172787357.11794224</v>
      </c>
      <c r="E193" s="67">
        <f t="shared" si="17"/>
        <v>329.40384266695077</v>
      </c>
      <c r="F193" s="70">
        <f t="shared" si="21"/>
        <v>20.001401326737252</v>
      </c>
      <c r="G193" s="67">
        <f>E193/'Lookup Tables'!$C$48</f>
        <v>658.80768533390153</v>
      </c>
      <c r="H193" s="70">
        <f t="shared" si="18"/>
        <v>0.12427429212294376</v>
      </c>
      <c r="I193" s="71">
        <f t="shared" si="22"/>
        <v>0.94868306688081827</v>
      </c>
      <c r="L193" s="74"/>
      <c r="M193" s="74"/>
      <c r="N193" s="74"/>
      <c r="O193" s="74"/>
      <c r="P193" s="74"/>
      <c r="Q193" s="74"/>
      <c r="R193" s="74"/>
      <c r="S193" s="74"/>
      <c r="T193" s="74"/>
      <c r="U193" s="74"/>
      <c r="V193" s="74"/>
      <c r="W193" s="74"/>
      <c r="X193" s="74"/>
      <c r="Y193" s="74"/>
      <c r="Z193" s="74"/>
    </row>
    <row r="194" spans="1:26" x14ac:dyDescent="0.3">
      <c r="A194" s="66">
        <f t="shared" si="20"/>
        <v>2008.699999999983</v>
      </c>
      <c r="B194" s="67">
        <f>LOOKUP(A194+0.01,Amounts!$A$4:$A$103,Amounts!$B$4:$B$103)*0.1*$A$2</f>
        <v>8878.1114807699996</v>
      </c>
      <c r="C194" s="68">
        <f t="shared" si="19"/>
        <v>1402043.6387039572</v>
      </c>
      <c r="D194" s="67">
        <f t="array" ref="D194">SUM($B$7:$B189*$F$1009*EXP(-$F$1009*($A194-$A$7:$A189)))*$F$1010</f>
        <v>173732098.53744432</v>
      </c>
      <c r="E194" s="67">
        <f t="shared" si="17"/>
        <v>331.20490878140146</v>
      </c>
      <c r="F194" s="70">
        <f t="shared" si="21"/>
        <v>20.1107620612067</v>
      </c>
      <c r="G194" s="67">
        <f>E194/'Lookup Tables'!$C$48</f>
        <v>662.40981756280291</v>
      </c>
      <c r="H194" s="70">
        <f t="shared" si="18"/>
        <v>0.12416254048727371</v>
      </c>
      <c r="I194" s="71">
        <f t="shared" si="22"/>
        <v>0.95387013729043635</v>
      </c>
      <c r="L194" s="74"/>
      <c r="M194" s="74"/>
      <c r="N194" s="74"/>
      <c r="O194" s="74"/>
      <c r="P194" s="74"/>
      <c r="Q194" s="74"/>
      <c r="R194" s="74"/>
      <c r="S194" s="74"/>
      <c r="T194" s="74"/>
      <c r="U194" s="74"/>
      <c r="V194" s="74"/>
      <c r="W194" s="74"/>
      <c r="X194" s="74"/>
      <c r="Y194" s="74"/>
      <c r="Z194" s="74"/>
    </row>
    <row r="195" spans="1:26" x14ac:dyDescent="0.3">
      <c r="A195" s="66">
        <f t="shared" si="20"/>
        <v>2008.7999999999829</v>
      </c>
      <c r="B195" s="67">
        <f>LOOKUP(A195+0.01,Amounts!$A$4:$A$103,Amounts!$B$4:$B$103)*0.1*$A$2</f>
        <v>8878.1114807699996</v>
      </c>
      <c r="C195" s="68">
        <f t="shared" si="19"/>
        <v>1410921.7501847271</v>
      </c>
      <c r="D195" s="67">
        <f t="array" ref="D195">SUM($B$7:$B190*$F$1009*EXP(-$F$1009*($A195-$A$7:$A190)))*$F$1010</f>
        <v>174674198.38090417</v>
      </c>
      <c r="E195" s="67">
        <f t="shared" si="17"/>
        <v>333.00093896432611</v>
      </c>
      <c r="F195" s="70">
        <f t="shared" si="21"/>
        <v>20.219817013913882</v>
      </c>
      <c r="G195" s="67">
        <f>E195/'Lookup Tables'!$C$48</f>
        <v>666.00187792865222</v>
      </c>
      <c r="H195" s="70">
        <f t="shared" si="18"/>
        <v>0.12405031923048483</v>
      </c>
      <c r="I195" s="71">
        <f t="shared" si="22"/>
        <v>0.95904270421725912</v>
      </c>
      <c r="L195" s="74"/>
      <c r="M195" s="74"/>
      <c r="N195" s="74"/>
      <c r="O195" s="74"/>
      <c r="P195" s="74"/>
      <c r="Q195" s="74"/>
      <c r="R195" s="74"/>
      <c r="S195" s="74"/>
      <c r="T195" s="74"/>
      <c r="U195" s="74"/>
      <c r="V195" s="74"/>
      <c r="W195" s="74"/>
      <c r="X195" s="74"/>
      <c r="Y195" s="74"/>
      <c r="Z195" s="74"/>
    </row>
    <row r="196" spans="1:26" x14ac:dyDescent="0.3">
      <c r="A196" s="66">
        <f t="shared" si="20"/>
        <v>2008.8999999999828</v>
      </c>
      <c r="B196" s="67">
        <f>LOOKUP(A196+0.01,Amounts!$A$4:$A$103,Amounts!$B$4:$B$103)*0.1*$A$2</f>
        <v>8878.1114807699996</v>
      </c>
      <c r="C196" s="68">
        <f t="shared" si="19"/>
        <v>1419799.8616654971</v>
      </c>
      <c r="D196" s="67">
        <f t="array" ref="D196">SUM($B$7:$B191*$F$1009*EXP(-$F$1009*($A196-$A$7:$A191)))*$F$1010</f>
        <v>175613664.03438929</v>
      </c>
      <c r="E196" s="67">
        <f t="shared" si="17"/>
        <v>334.79194729661037</v>
      </c>
      <c r="F196" s="70">
        <f t="shared" si="21"/>
        <v>20.328567039850181</v>
      </c>
      <c r="G196" s="67">
        <f>E196/'Lookup Tables'!$C$48</f>
        <v>669.58389459322075</v>
      </c>
      <c r="H196" s="70">
        <f t="shared" si="18"/>
        <v>0.12393764237494757</v>
      </c>
      <c r="I196" s="71">
        <f t="shared" si="22"/>
        <v>0.96420080821423793</v>
      </c>
      <c r="L196" s="74"/>
      <c r="M196" s="74"/>
      <c r="N196" s="74"/>
      <c r="O196" s="74"/>
      <c r="P196" s="74"/>
      <c r="Q196" s="74"/>
      <c r="R196" s="74"/>
      <c r="S196" s="74"/>
      <c r="T196" s="74"/>
      <c r="U196" s="74"/>
      <c r="V196" s="74"/>
      <c r="W196" s="74"/>
      <c r="X196" s="74"/>
      <c r="Y196" s="74"/>
      <c r="Z196" s="74"/>
    </row>
    <row r="197" spans="1:26" x14ac:dyDescent="0.3">
      <c r="A197" s="66">
        <f t="shared" si="20"/>
        <v>2008.9999999999827</v>
      </c>
      <c r="B197" s="67">
        <f>LOOKUP(A197+0.01,Amounts!$A$4:$A$103,Amounts!$B$4:$B$103)*0.1*$A$2</f>
        <v>9055.6157316099998</v>
      </c>
      <c r="C197" s="68">
        <f t="shared" si="19"/>
        <v>1428855.4773971071</v>
      </c>
      <c r="D197" s="67">
        <f t="array" ref="D197">SUM($B$7:$B192*$F$1009*EXP(-$F$1009*($A197-$A$7:$A192)))*$F$1010</f>
        <v>176550502.86331514</v>
      </c>
      <c r="E197" s="67">
        <f t="shared" si="17"/>
        <v>336.57794781976867</v>
      </c>
      <c r="F197" s="70">
        <f t="shared" si="21"/>
        <v>20.437012991616353</v>
      </c>
      <c r="G197" s="67">
        <f>E197/'Lookup Tables'!$C$48</f>
        <v>673.15589563953733</v>
      </c>
      <c r="H197" s="70">
        <f t="shared" si="18"/>
        <v>0.12380914107305825</v>
      </c>
      <c r="I197" s="71">
        <f t="shared" si="22"/>
        <v>0.96934448972093379</v>
      </c>
      <c r="L197" s="74"/>
      <c r="M197" s="74"/>
      <c r="N197" s="74"/>
      <c r="O197" s="74"/>
      <c r="P197" s="74"/>
      <c r="Q197" s="74"/>
      <c r="R197" s="74"/>
      <c r="S197" s="74"/>
      <c r="T197" s="74"/>
      <c r="U197" s="74"/>
      <c r="V197" s="74"/>
      <c r="W197" s="74"/>
      <c r="X197" s="74"/>
      <c r="Y197" s="74"/>
      <c r="Z197" s="74"/>
    </row>
    <row r="198" spans="1:26" x14ac:dyDescent="0.3">
      <c r="A198" s="66">
        <f t="shared" si="20"/>
        <v>2009.0999999999826</v>
      </c>
      <c r="B198" s="67">
        <f>LOOKUP(A198+0.01,Amounts!$A$4:$A$103,Amounts!$B$4:$B$103)*0.1*$A$2</f>
        <v>9055.6157316099998</v>
      </c>
      <c r="C198" s="68">
        <f t="shared" si="19"/>
        <v>1437911.093128717</v>
      </c>
      <c r="D198" s="67">
        <f t="array" ref="D198">SUM($B$7:$B193*$F$1009*EXP(-$F$1009*($A198-$A$7:$A193)))*$F$1010</f>
        <v>177484722.21250314</v>
      </c>
      <c r="E198" s="67">
        <f t="shared" si="17"/>
        <v>338.35895453605451</v>
      </c>
      <c r="F198" s="70">
        <f t="shared" si="21"/>
        <v>20.545155719429228</v>
      </c>
      <c r="G198" s="67">
        <f>E198/'Lookup Tables'!$C$48</f>
        <v>676.71790907210902</v>
      </c>
      <c r="H198" s="70">
        <f t="shared" si="18"/>
        <v>0.12368043292383897</v>
      </c>
      <c r="I198" s="71">
        <f t="shared" si="22"/>
        <v>0.97447378906383686</v>
      </c>
      <c r="L198" s="74"/>
      <c r="M198" s="74"/>
      <c r="N198" s="74"/>
      <c r="O198" s="74"/>
      <c r="P198" s="74"/>
      <c r="Q198" s="74"/>
      <c r="R198" s="74"/>
      <c r="S198" s="74"/>
      <c r="T198" s="74"/>
      <c r="U198" s="74"/>
      <c r="V198" s="74"/>
      <c r="W198" s="74"/>
      <c r="X198" s="74"/>
      <c r="Y198" s="74"/>
      <c r="Z198" s="74"/>
    </row>
    <row r="199" spans="1:26" x14ac:dyDescent="0.3">
      <c r="A199" s="66">
        <f t="shared" si="20"/>
        <v>2009.1999999999825</v>
      </c>
      <c r="B199" s="67">
        <f>LOOKUP(A199+0.01,Amounts!$A$4:$A$103,Amounts!$B$4:$B$103)*0.1*$A$2</f>
        <v>9055.6157316099998</v>
      </c>
      <c r="C199" s="68">
        <f t="shared" si="19"/>
        <v>1446966.708860327</v>
      </c>
      <c r="D199" s="67">
        <f t="array" ref="D199">SUM($B$7:$B194*$F$1009*EXP(-$F$1009*($A199-$A$7:$A194)))*$F$1010</f>
        <v>178416329.40623757</v>
      </c>
      <c r="E199" s="67">
        <f t="shared" ref="E199:E262" si="23">D199/(365*24*60)*1.00201</f>
        <v>340.13498140856944</v>
      </c>
      <c r="F199" s="70">
        <f t="shared" si="21"/>
        <v>20.652996071128335</v>
      </c>
      <c r="G199" s="67">
        <f>E199/'Lookup Tables'!$C$48</f>
        <v>680.26996281713889</v>
      </c>
      <c r="H199" s="70">
        <f t="shared" ref="H199:H262" si="24">G199*60*24*365/(C199*2000)</f>
        <v>0.1235515268828489</v>
      </c>
      <c r="I199" s="71">
        <f t="shared" si="22"/>
        <v>0.97958874645667993</v>
      </c>
      <c r="L199" s="74"/>
      <c r="M199" s="74"/>
      <c r="N199" s="74"/>
      <c r="O199" s="74"/>
      <c r="P199" s="74"/>
      <c r="Q199" s="74"/>
      <c r="R199" s="74"/>
      <c r="S199" s="74"/>
      <c r="T199" s="74"/>
      <c r="U199" s="74"/>
      <c r="V199" s="74"/>
      <c r="W199" s="74"/>
      <c r="X199" s="74"/>
      <c r="Y199" s="74"/>
      <c r="Z199" s="74"/>
    </row>
    <row r="200" spans="1:26" x14ac:dyDescent="0.3">
      <c r="A200" s="66">
        <f t="shared" si="20"/>
        <v>2009.2999999999824</v>
      </c>
      <c r="B200" s="67">
        <f>LOOKUP(A200+0.01,Amounts!$A$4:$A$103,Amounts!$B$4:$B$103)*0.1*$A$2</f>
        <v>9055.6157316099998</v>
      </c>
      <c r="C200" s="68">
        <f t="shared" si="19"/>
        <v>1456022.324591937</v>
      </c>
      <c r="D200" s="67">
        <f t="array" ref="D200">SUM($B$7:$B195*$F$1009*EXP(-$F$1009*($A200-$A$7:$A195)))*$F$1010</f>
        <v>179345331.74832377</v>
      </c>
      <c r="E200" s="67">
        <f t="shared" si="23"/>
        <v>341.90604236137352</v>
      </c>
      <c r="F200" s="70">
        <f t="shared" si="21"/>
        <v>20.760534892182601</v>
      </c>
      <c r="G200" s="67">
        <f>E200/'Lookup Tables'!$C$48</f>
        <v>683.81208472274704</v>
      </c>
      <c r="H200" s="70">
        <f t="shared" si="24"/>
        <v>0.12342243166876034</v>
      </c>
      <c r="I200" s="71">
        <f t="shared" si="22"/>
        <v>0.98468940200075572</v>
      </c>
      <c r="L200" s="74"/>
      <c r="M200" s="74"/>
      <c r="N200" s="74"/>
      <c r="O200" s="74"/>
      <c r="P200" s="74"/>
      <c r="Q200" s="74"/>
      <c r="R200" s="74"/>
      <c r="S200" s="74"/>
      <c r="T200" s="74"/>
      <c r="U200" s="74"/>
      <c r="V200" s="74"/>
      <c r="W200" s="74"/>
      <c r="X200" s="74"/>
      <c r="Y200" s="74"/>
      <c r="Z200" s="74"/>
    </row>
    <row r="201" spans="1:26" x14ac:dyDescent="0.3">
      <c r="A201" s="66">
        <f t="shared" si="20"/>
        <v>2009.3999999999824</v>
      </c>
      <c r="B201" s="67">
        <f>LOOKUP(A201+0.01,Amounts!$A$4:$A$103,Amounts!$B$4:$B$103)*0.1*$A$2</f>
        <v>9055.6157316099998</v>
      </c>
      <c r="C201" s="68">
        <f t="shared" ref="C201:C264" si="25">C200+B201</f>
        <v>1465077.940323547</v>
      </c>
      <c r="D201" s="67">
        <f t="array" ref="D201">SUM($B$7:$B196*$F$1009*EXP(-$F$1009*($A201-$A$7:$A196)))*$F$1010</f>
        <v>180271736.52214471</v>
      </c>
      <c r="E201" s="67">
        <f t="shared" si="23"/>
        <v>343.67215127959327</v>
      </c>
      <c r="F201" s="70">
        <f t="shared" si="21"/>
        <v>20.867773025696902</v>
      </c>
      <c r="G201" s="67">
        <f>E201/'Lookup Tables'!$C$48</f>
        <v>687.34430255918653</v>
      </c>
      <c r="H201" s="70">
        <f t="shared" si="24"/>
        <v>0.12329315577071831</v>
      </c>
      <c r="I201" s="71">
        <f t="shared" si="22"/>
        <v>0.98977579568522867</v>
      </c>
      <c r="L201" s="74"/>
      <c r="M201" s="74"/>
      <c r="N201" s="74"/>
      <c r="O201" s="74"/>
      <c r="P201" s="74"/>
      <c r="Q201" s="74"/>
      <c r="R201" s="74"/>
      <c r="S201" s="74"/>
      <c r="T201" s="74"/>
      <c r="U201" s="74"/>
      <c r="V201" s="74"/>
      <c r="W201" s="74"/>
      <c r="X201" s="74"/>
      <c r="Y201" s="74"/>
      <c r="Z201" s="74"/>
    </row>
    <row r="202" spans="1:26" x14ac:dyDescent="0.3">
      <c r="A202" s="66">
        <f t="shared" si="20"/>
        <v>2009.4999999999823</v>
      </c>
      <c r="B202" s="67">
        <f>LOOKUP(A202+0.01,Amounts!$A$4:$A$103,Amounts!$B$4:$B$103)*0.1*$A$2</f>
        <v>9055.6157316099998</v>
      </c>
      <c r="C202" s="68">
        <f t="shared" si="25"/>
        <v>1474133.556055157</v>
      </c>
      <c r="D202" s="67">
        <f t="array" ref="D202">SUM($B$7:$B197*$F$1009*EXP(-$F$1009*($A202-$A$7:$A197)))*$F$1010</f>
        <v>181224099.05246928</v>
      </c>
      <c r="E202" s="67">
        <f t="shared" si="23"/>
        <v>345.48774636903494</v>
      </c>
      <c r="F202" s="70">
        <f t="shared" si="21"/>
        <v>20.978015959527802</v>
      </c>
      <c r="G202" s="67">
        <f>E202/'Lookup Tables'!$C$48</f>
        <v>690.97549273806987</v>
      </c>
      <c r="H202" s="70">
        <f t="shared" si="24"/>
        <v>0.12318311237517911</v>
      </c>
      <c r="I202" s="71">
        <f t="shared" si="22"/>
        <v>0.99500470954282072</v>
      </c>
      <c r="L202" s="74"/>
      <c r="M202" s="74"/>
      <c r="N202" s="74"/>
      <c r="O202" s="74"/>
      <c r="P202" s="74"/>
      <c r="Q202" s="74"/>
      <c r="R202" s="74"/>
      <c r="S202" s="74"/>
      <c r="T202" s="74"/>
      <c r="U202" s="74"/>
      <c r="V202" s="74"/>
      <c r="W202" s="74"/>
      <c r="X202" s="74"/>
      <c r="Y202" s="74"/>
      <c r="Z202" s="74"/>
    </row>
    <row r="203" spans="1:26" x14ac:dyDescent="0.3">
      <c r="A203" s="66">
        <f t="shared" si="20"/>
        <v>2009.5999999999822</v>
      </c>
      <c r="B203" s="67">
        <f>LOOKUP(A203+0.01,Amounts!$A$4:$A$103,Amounts!$B$4:$B$103)*0.1*$A$2</f>
        <v>9055.6157316099998</v>
      </c>
      <c r="C203" s="68">
        <f t="shared" si="25"/>
        <v>1483189.171786767</v>
      </c>
      <c r="D203" s="67">
        <f t="array" ref="D203">SUM($B$7:$B198*$F$1009*EXP(-$F$1009*($A203-$A$7:$A198)))*$F$1010</f>
        <v>182173798.6974881</v>
      </c>
      <c r="E203" s="67">
        <f t="shared" si="23"/>
        <v>347.2982649027208</v>
      </c>
      <c r="F203" s="70">
        <f t="shared" si="21"/>
        <v>21.087950644893208</v>
      </c>
      <c r="G203" s="67">
        <f>E203/'Lookup Tables'!$C$48</f>
        <v>694.59652980544161</v>
      </c>
      <c r="H203" s="70">
        <f t="shared" si="24"/>
        <v>0.12307261373339719</v>
      </c>
      <c r="I203" s="71">
        <f t="shared" si="22"/>
        <v>1.0002190029198359</v>
      </c>
      <c r="L203" s="74"/>
      <c r="M203" s="74"/>
      <c r="N203" s="74"/>
      <c r="O203" s="74"/>
      <c r="P203" s="74"/>
      <c r="Q203" s="74"/>
      <c r="R203" s="74"/>
      <c r="S203" s="74"/>
      <c r="T203" s="74"/>
      <c r="U203" s="74"/>
      <c r="V203" s="74"/>
      <c r="W203" s="74"/>
      <c r="X203" s="74"/>
      <c r="Y203" s="74"/>
      <c r="Z203" s="74"/>
    </row>
    <row r="204" spans="1:26" x14ac:dyDescent="0.3">
      <c r="A204" s="66">
        <f t="shared" si="20"/>
        <v>2009.6999999999821</v>
      </c>
      <c r="B204" s="67">
        <f>LOOKUP(A204+0.01,Amounts!$A$4:$A$103,Amounts!$B$4:$B$103)*0.1*$A$2</f>
        <v>9055.6157316099998</v>
      </c>
      <c r="C204" s="68">
        <f t="shared" si="25"/>
        <v>1492244.787518377</v>
      </c>
      <c r="D204" s="67">
        <f t="array" ref="D204">SUM($B$7:$B199*$F$1009*EXP(-$F$1009*($A204-$A$7:$A199)))*$F$1010</f>
        <v>183120842.90285131</v>
      </c>
      <c r="E204" s="67">
        <f t="shared" si="23"/>
        <v>349.10372107512569</v>
      </c>
      <c r="F204" s="70">
        <f t="shared" si="21"/>
        <v>21.19757794368163</v>
      </c>
      <c r="G204" s="67">
        <f>E204/'Lookup Tables'!$C$48</f>
        <v>698.20744215025138</v>
      </c>
      <c r="H204" s="70">
        <f t="shared" si="24"/>
        <v>0.12296167313288496</v>
      </c>
      <c r="I204" s="71">
        <f t="shared" si="22"/>
        <v>1.005418716696362</v>
      </c>
      <c r="L204" s="74"/>
      <c r="M204" s="74"/>
      <c r="N204" s="74"/>
      <c r="O204" s="74"/>
      <c r="P204" s="74"/>
      <c r="Q204" s="74"/>
      <c r="R204" s="74"/>
      <c r="S204" s="74"/>
      <c r="T204" s="74"/>
      <c r="U204" s="74"/>
      <c r="V204" s="74"/>
      <c r="W204" s="74"/>
      <c r="X204" s="74"/>
      <c r="Y204" s="74"/>
      <c r="Z204" s="74"/>
    </row>
    <row r="205" spans="1:26" x14ac:dyDescent="0.3">
      <c r="A205" s="66">
        <f t="shared" si="20"/>
        <v>2009.799999999982</v>
      </c>
      <c r="B205" s="67">
        <f>LOOKUP(A205+0.01,Amounts!$A$4:$A$103,Amounts!$B$4:$B$103)*0.1*$A$2</f>
        <v>9055.6157316099998</v>
      </c>
      <c r="C205" s="68">
        <f t="shared" si="25"/>
        <v>1501300.4032499869</v>
      </c>
      <c r="D205" s="67">
        <f t="array" ref="D205">SUM($B$7:$B200*$F$1009*EXP(-$F$1009*($A205-$A$7:$A200)))*$F$1010</f>
        <v>184065239.09339026</v>
      </c>
      <c r="E205" s="67">
        <f t="shared" si="23"/>
        <v>350.90412904103493</v>
      </c>
      <c r="F205" s="70">
        <f t="shared" si="21"/>
        <v>21.306898715371641</v>
      </c>
      <c r="G205" s="67">
        <f>E205/'Lookup Tables'!$C$48</f>
        <v>701.80825808206987</v>
      </c>
      <c r="H205" s="70">
        <f t="shared" si="24"/>
        <v>0.12285030352666668</v>
      </c>
      <c r="I205" s="71">
        <f t="shared" si="22"/>
        <v>1.0106038916381805</v>
      </c>
      <c r="L205" s="74"/>
      <c r="M205" s="74"/>
      <c r="N205" s="74"/>
      <c r="O205" s="74"/>
      <c r="P205" s="74"/>
      <c r="Q205" s="74"/>
      <c r="R205" s="74"/>
      <c r="S205" s="74"/>
      <c r="T205" s="74"/>
      <c r="U205" s="74"/>
      <c r="V205" s="74"/>
      <c r="W205" s="74"/>
      <c r="X205" s="74"/>
      <c r="Y205" s="74"/>
      <c r="Z205" s="74"/>
    </row>
    <row r="206" spans="1:26" x14ac:dyDescent="0.3">
      <c r="A206" s="66">
        <f t="shared" si="20"/>
        <v>2009.8999999999819</v>
      </c>
      <c r="B206" s="67">
        <f>LOOKUP(A206+0.01,Amounts!$A$4:$A$103,Amounts!$B$4:$B$103)*0.1*$A$2</f>
        <v>9055.6157316099998</v>
      </c>
      <c r="C206" s="68">
        <f t="shared" si="25"/>
        <v>1510356.0189815969</v>
      </c>
      <c r="D206" s="67">
        <f t="array" ref="D206">SUM($B$7:$B201*$F$1009*EXP(-$F$1009*($A206-$A$7:$A201)))*$F$1010</f>
        <v>185006994.67317602</v>
      </c>
      <c r="E206" s="67">
        <f t="shared" si="23"/>
        <v>352.69950291565658</v>
      </c>
      <c r="F206" s="70">
        <f t="shared" si="21"/>
        <v>21.415913817038668</v>
      </c>
      <c r="G206" s="67">
        <f>E206/'Lookup Tables'!$C$48</f>
        <v>705.39900583131316</v>
      </c>
      <c r="H206" s="70">
        <f t="shared" si="24"/>
        <v>0.12273851754334475</v>
      </c>
      <c r="I206" s="71">
        <f t="shared" si="22"/>
        <v>1.0157745683970909</v>
      </c>
      <c r="L206" s="74"/>
      <c r="M206" s="74"/>
      <c r="N206" s="74"/>
      <c r="O206" s="74"/>
      <c r="P206" s="74"/>
      <c r="Q206" s="74"/>
      <c r="R206" s="74"/>
      <c r="S206" s="74"/>
      <c r="T206" s="74"/>
      <c r="U206" s="74"/>
      <c r="V206" s="74"/>
      <c r="W206" s="74"/>
      <c r="X206" s="74"/>
      <c r="Y206" s="74"/>
      <c r="Z206" s="74"/>
    </row>
    <row r="207" spans="1:26" x14ac:dyDescent="0.3">
      <c r="A207" s="66">
        <f t="shared" si="20"/>
        <v>2009.9999999999818</v>
      </c>
      <c r="B207" s="67">
        <f>LOOKUP(A207+0.01,Amounts!$A$4:$A$103,Amounts!$B$4:$B$103)*0.1*$A$2</f>
        <v>9236.6879070899995</v>
      </c>
      <c r="C207" s="68">
        <f t="shared" si="25"/>
        <v>1519592.7068886869</v>
      </c>
      <c r="D207" s="67">
        <f t="array" ref="D207">SUM($B$7:$B202*$F$1009*EXP(-$F$1009*($A207-$A$7:$A202)))*$F$1010</f>
        <v>185946117.02557707</v>
      </c>
      <c r="E207" s="67">
        <f t="shared" si="23"/>
        <v>354.48985677473075</v>
      </c>
      <c r="F207" s="70">
        <f t="shared" si="21"/>
        <v>21.524624103361653</v>
      </c>
      <c r="G207" s="67">
        <f>E207/'Lookup Tables'!$C$48</f>
        <v>708.97971354946151</v>
      </c>
      <c r="H207" s="70">
        <f t="shared" si="24"/>
        <v>0.12261171554467508</v>
      </c>
      <c r="I207" s="71">
        <f t="shared" si="22"/>
        <v>1.0209307875112246</v>
      </c>
      <c r="L207" s="74"/>
      <c r="M207" s="74"/>
      <c r="N207" s="74"/>
      <c r="O207" s="74"/>
      <c r="P207" s="74"/>
      <c r="Q207" s="74"/>
      <c r="R207" s="74"/>
      <c r="S207" s="74"/>
      <c r="T207" s="74"/>
      <c r="U207" s="74"/>
      <c r="V207" s="74"/>
      <c r="W207" s="74"/>
      <c r="X207" s="74"/>
      <c r="Y207" s="74"/>
      <c r="Z207" s="74"/>
    </row>
    <row r="208" spans="1:26" x14ac:dyDescent="0.3">
      <c r="A208" s="66">
        <f t="shared" si="20"/>
        <v>2010.0999999999817</v>
      </c>
      <c r="B208" s="67">
        <f>LOOKUP(A208+0.01,Amounts!$A$4:$A$103,Amounts!$B$4:$B$103)*0.1*$A$2</f>
        <v>9236.6879070899995</v>
      </c>
      <c r="C208" s="68">
        <f t="shared" si="25"/>
        <v>1528829.3947957768</v>
      </c>
      <c r="D208" s="67">
        <f t="array" ref="D208">SUM($B$7:$B203*$F$1009*EXP(-$F$1009*($A208-$A$7:$A203)))*$F$1010</f>
        <v>186882613.5133175</v>
      </c>
      <c r="E208" s="67">
        <f t="shared" si="23"/>
        <v>356.27520465464096</v>
      </c>
      <c r="F208" s="70">
        <f t="shared" si="21"/>
        <v>21.633030426629798</v>
      </c>
      <c r="G208" s="67">
        <f>E208/'Lookup Tables'!$C$48</f>
        <v>712.55040930928192</v>
      </c>
      <c r="H208" s="70">
        <f t="shared" si="24"/>
        <v>0.12248472472070274</v>
      </c>
      <c r="I208" s="71">
        <f t="shared" si="22"/>
        <v>1.0260725894053659</v>
      </c>
      <c r="L208" s="74"/>
      <c r="M208" s="74"/>
      <c r="N208" s="74"/>
      <c r="O208" s="74"/>
      <c r="P208" s="74"/>
      <c r="Q208" s="74"/>
      <c r="R208" s="74"/>
      <c r="S208" s="74"/>
      <c r="T208" s="74"/>
      <c r="U208" s="74"/>
      <c r="V208" s="74"/>
      <c r="W208" s="74"/>
      <c r="X208" s="74"/>
      <c r="Y208" s="74"/>
      <c r="Z208" s="74"/>
    </row>
    <row r="209" spans="1:26" x14ac:dyDescent="0.3">
      <c r="A209" s="66">
        <f t="shared" si="20"/>
        <v>2010.1999999999816</v>
      </c>
      <c r="B209" s="67">
        <f>LOOKUP(A209+0.01,Amounts!$A$4:$A$103,Amounts!$B$4:$B$103)*0.1*$A$2</f>
        <v>9236.6879070899995</v>
      </c>
      <c r="C209" s="68">
        <f t="shared" si="25"/>
        <v>1538066.0827028668</v>
      </c>
      <c r="D209" s="67">
        <f t="array" ref="D209">SUM($B$7:$B204*$F$1009*EXP(-$F$1009*($A209-$A$7:$A204)))*$F$1010</f>
        <v>187816491.47853452</v>
      </c>
      <c r="E209" s="67">
        <f t="shared" si="23"/>
        <v>358.05556055252356</v>
      </c>
      <c r="F209" s="70">
        <f t="shared" si="21"/>
        <v>21.741133636749229</v>
      </c>
      <c r="G209" s="67">
        <f>E209/'Lookup Tables'!$C$48</f>
        <v>716.11112110504712</v>
      </c>
      <c r="H209" s="70">
        <f t="shared" si="24"/>
        <v>0.12235755325654814</v>
      </c>
      <c r="I209" s="71">
        <f t="shared" si="22"/>
        <v>1.0312000143912678</v>
      </c>
      <c r="L209" s="74"/>
      <c r="M209" s="74"/>
      <c r="N209" s="74"/>
      <c r="O209" s="74"/>
      <c r="P209" s="74"/>
      <c r="Q209" s="74"/>
      <c r="R209" s="74"/>
      <c r="S209" s="74"/>
      <c r="T209" s="74"/>
      <c r="U209" s="74"/>
      <c r="V209" s="74"/>
      <c r="W209" s="74"/>
      <c r="X209" s="74"/>
      <c r="Y209" s="74"/>
      <c r="Z209" s="74"/>
    </row>
    <row r="210" spans="1:26" x14ac:dyDescent="0.3">
      <c r="A210" s="66">
        <f t="shared" si="20"/>
        <v>2010.2999999999815</v>
      </c>
      <c r="B210" s="67">
        <f>LOOKUP(A210+0.01,Amounts!$A$4:$A$103,Amounts!$B$4:$B$103)*0.1*$A$2</f>
        <v>9236.6879070899995</v>
      </c>
      <c r="C210" s="68">
        <f t="shared" si="25"/>
        <v>1547302.7706099567</v>
      </c>
      <c r="D210" s="67">
        <f t="array" ref="D210">SUM($B$7:$B205*$F$1009*EXP(-$F$1009*($A210-$A$7:$A205)))*$F$1010</f>
        <v>188747758.24283627</v>
      </c>
      <c r="E210" s="67">
        <f t="shared" si="23"/>
        <v>359.83093842637817</v>
      </c>
      <c r="F210" s="70">
        <f t="shared" si="21"/>
        <v>21.848934581249679</v>
      </c>
      <c r="G210" s="67">
        <f>E210/'Lookup Tables'!$C$48</f>
        <v>719.66187685275634</v>
      </c>
      <c r="H210" s="70">
        <f t="shared" si="24"/>
        <v>0.1222302091285917</v>
      </c>
      <c r="I210" s="71">
        <f t="shared" si="22"/>
        <v>1.0363131026679691</v>
      </c>
      <c r="L210" s="74"/>
      <c r="M210" s="74"/>
      <c r="N210" s="74"/>
      <c r="O210" s="74"/>
      <c r="P210" s="74"/>
      <c r="Q210" s="74"/>
      <c r="R210" s="74"/>
      <c r="S210" s="74"/>
      <c r="T210" s="74"/>
      <c r="U210" s="74"/>
      <c r="V210" s="74"/>
      <c r="W210" s="74"/>
      <c r="X210" s="74"/>
      <c r="Y210" s="74"/>
      <c r="Z210" s="74"/>
    </row>
    <row r="211" spans="1:26" x14ac:dyDescent="0.3">
      <c r="A211" s="66">
        <f t="shared" ref="A211:A274" si="26">A210+0.1</f>
        <v>2010.3999999999814</v>
      </c>
      <c r="B211" s="67">
        <f>LOOKUP(A211+0.01,Amounts!$A$4:$A$103,Amounts!$B$4:$B$103)*0.1*$A$2</f>
        <v>9236.6879070899995</v>
      </c>
      <c r="C211" s="68">
        <f t="shared" si="25"/>
        <v>1556539.4585170466</v>
      </c>
      <c r="D211" s="67">
        <f t="array" ref="D211">SUM($B$7:$B206*$F$1009*EXP(-$F$1009*($A211-$A$7:$A206)))*$F$1010</f>
        <v>189676421.10735884</v>
      </c>
      <c r="E211" s="67">
        <f t="shared" si="23"/>
        <v>361.60135219517628</v>
      </c>
      <c r="F211" s="70">
        <f t="shared" ref="F211:F274" si="27">E211*60*1012/1000000</f>
        <v>21.956434105291102</v>
      </c>
      <c r="G211" s="67">
        <f>E211/'Lookup Tables'!$C$48</f>
        <v>723.20270439035255</v>
      </c>
      <c r="H211" s="70">
        <f t="shared" si="24"/>
        <v>0.12210270011070407</v>
      </c>
      <c r="I211" s="71">
        <f t="shared" ref="I211:I274" si="28">G211*60*24/1000000</f>
        <v>1.0414118943221076</v>
      </c>
      <c r="L211" s="74"/>
      <c r="M211" s="74"/>
      <c r="N211" s="74"/>
      <c r="O211" s="74"/>
      <c r="P211" s="74"/>
      <c r="Q211" s="74"/>
      <c r="R211" s="74"/>
      <c r="S211" s="74"/>
      <c r="T211" s="74"/>
      <c r="U211" s="74"/>
      <c r="V211" s="74"/>
      <c r="W211" s="74"/>
      <c r="X211" s="74"/>
      <c r="Y211" s="74"/>
      <c r="Z211" s="74"/>
    </row>
    <row r="212" spans="1:26" x14ac:dyDescent="0.3">
      <c r="A212" s="66">
        <f t="shared" si="26"/>
        <v>2010.4999999999814</v>
      </c>
      <c r="B212" s="67">
        <f>LOOKUP(A212+0.01,Amounts!$A$4:$A$103,Amounts!$B$4:$B$103)*0.1*$A$2</f>
        <v>9236.6879070899995</v>
      </c>
      <c r="C212" s="68">
        <f t="shared" si="25"/>
        <v>1565776.1464241366</v>
      </c>
      <c r="D212" s="67">
        <f t="array" ref="D212">SUM($B$7:$B207*$F$1009*EXP(-$F$1009*($A212-$A$7:$A207)))*$F$1010</f>
        <v>190631609.24496153</v>
      </c>
      <c r="E212" s="67">
        <f t="shared" si="23"/>
        <v>363.42233405544886</v>
      </c>
      <c r="F212" s="70">
        <f t="shared" si="27"/>
        <v>22.067004123846854</v>
      </c>
      <c r="G212" s="67">
        <f>E212/'Lookup Tables'!$C$48</f>
        <v>726.84466811089771</v>
      </c>
      <c r="H212" s="70">
        <f t="shared" si="24"/>
        <v>0.12199367017806258</v>
      </c>
      <c r="I212" s="71">
        <f t="shared" si="28"/>
        <v>1.0466563220796927</v>
      </c>
      <c r="L212" s="74"/>
      <c r="M212" s="74"/>
      <c r="N212" s="74"/>
      <c r="O212" s="74"/>
      <c r="P212" s="74"/>
      <c r="Q212" s="74"/>
      <c r="R212" s="74"/>
      <c r="S212" s="74"/>
      <c r="T212" s="74"/>
      <c r="U212" s="74"/>
      <c r="V212" s="74"/>
      <c r="W212" s="74"/>
      <c r="X212" s="74"/>
      <c r="Y212" s="74"/>
      <c r="Z212" s="74"/>
    </row>
    <row r="213" spans="1:26" x14ac:dyDescent="0.3">
      <c r="A213" s="66">
        <f t="shared" si="26"/>
        <v>2010.5999999999813</v>
      </c>
      <c r="B213" s="67">
        <f>LOOKUP(A213+0.01,Amounts!$A$4:$A$103,Amounts!$B$4:$B$103)*0.1*$A$2</f>
        <v>9236.6879070899995</v>
      </c>
      <c r="C213" s="68">
        <f t="shared" si="25"/>
        <v>1575012.8343312265</v>
      </c>
      <c r="D213" s="67">
        <f t="array" ref="D213">SUM($B$7:$B208*$F$1009*EXP(-$F$1009*($A213-$A$7:$A208)))*$F$1010</f>
        <v>191584126.59662411</v>
      </c>
      <c r="E213" s="67">
        <f t="shared" si="23"/>
        <v>365.23822429810377</v>
      </c>
      <c r="F213" s="70">
        <f t="shared" si="27"/>
        <v>22.177264979380862</v>
      </c>
      <c r="G213" s="67">
        <f>E213/'Lookup Tables'!$C$48</f>
        <v>730.47644859620755</v>
      </c>
      <c r="H213" s="70">
        <f t="shared" si="24"/>
        <v>0.12188421992929108</v>
      </c>
      <c r="I213" s="71">
        <f t="shared" si="28"/>
        <v>1.0518860859785388</v>
      </c>
      <c r="L213" s="74"/>
      <c r="M213" s="74"/>
      <c r="N213" s="74"/>
      <c r="O213" s="74"/>
      <c r="P213" s="74"/>
      <c r="Q213" s="74"/>
      <c r="R213" s="74"/>
      <c r="S213" s="74"/>
      <c r="T213" s="74"/>
      <c r="U213" s="74"/>
      <c r="V213" s="74"/>
      <c r="W213" s="74"/>
      <c r="X213" s="74"/>
      <c r="Y213" s="74"/>
      <c r="Z213" s="74"/>
    </row>
    <row r="214" spans="1:26" x14ac:dyDescent="0.3">
      <c r="A214" s="66">
        <f t="shared" si="26"/>
        <v>2010.6999999999812</v>
      </c>
      <c r="B214" s="67">
        <f>LOOKUP(A214+0.01,Amounts!$A$4:$A$103,Amounts!$B$4:$B$103)*0.1*$A$2</f>
        <v>9236.6879070899995</v>
      </c>
      <c r="C214" s="68">
        <f t="shared" si="25"/>
        <v>1584249.5222383165</v>
      </c>
      <c r="D214" s="67">
        <f t="array" ref="D214">SUM($B$7:$B209*$F$1009*EXP(-$F$1009*($A214-$A$7:$A209)))*$F$1010</f>
        <v>192533980.63008752</v>
      </c>
      <c r="E214" s="67">
        <f t="shared" si="23"/>
        <v>367.04903715972983</v>
      </c>
      <c r="F214" s="70">
        <f t="shared" si="27"/>
        <v>22.287217536338794</v>
      </c>
      <c r="G214" s="67">
        <f>E214/'Lookup Tables'!$C$48</f>
        <v>734.09807431945967</v>
      </c>
      <c r="H214" s="70">
        <f t="shared" si="24"/>
        <v>0.12177436143934224</v>
      </c>
      <c r="I214" s="71">
        <f t="shared" si="28"/>
        <v>1.057101227020022</v>
      </c>
      <c r="L214" s="74"/>
      <c r="M214" s="74"/>
      <c r="N214" s="74"/>
      <c r="O214" s="74"/>
      <c r="P214" s="74"/>
      <c r="Q214" s="74"/>
      <c r="R214" s="74"/>
      <c r="S214" s="74"/>
      <c r="T214" s="74"/>
      <c r="U214" s="74"/>
      <c r="V214" s="74"/>
      <c r="W214" s="74"/>
      <c r="X214" s="74"/>
      <c r="Y214" s="74"/>
      <c r="Z214" s="74"/>
    </row>
    <row r="215" spans="1:26" x14ac:dyDescent="0.3">
      <c r="A215" s="66">
        <f t="shared" si="26"/>
        <v>2010.7999999999811</v>
      </c>
      <c r="B215" s="67">
        <f>LOOKUP(A215+0.01,Amounts!$A$4:$A$103,Amounts!$B$4:$B$103)*0.1*$A$2</f>
        <v>9236.6879070899995</v>
      </c>
      <c r="C215" s="68">
        <f t="shared" si="25"/>
        <v>1593486.2101454064</v>
      </c>
      <c r="D215" s="67">
        <f t="array" ref="D215">SUM($B$7:$B210*$F$1009*EXP(-$F$1009*($A215-$A$7:$A210)))*$F$1010</f>
        <v>193481178.79221237</v>
      </c>
      <c r="E215" s="67">
        <f t="shared" si="23"/>
        <v>368.85478683710949</v>
      </c>
      <c r="F215" s="70">
        <f t="shared" si="27"/>
        <v>22.396862656749285</v>
      </c>
      <c r="G215" s="67">
        <f>E215/'Lookup Tables'!$C$48</f>
        <v>737.70957367421897</v>
      </c>
      <c r="H215" s="70">
        <f t="shared" si="24"/>
        <v>0.12166410649006745</v>
      </c>
      <c r="I215" s="71">
        <f t="shared" si="28"/>
        <v>1.0623017860908752</v>
      </c>
      <c r="L215" s="74"/>
      <c r="M215" s="74"/>
      <c r="N215" s="74"/>
      <c r="O215" s="74"/>
      <c r="P215" s="74"/>
      <c r="Q215" s="74"/>
      <c r="R215" s="74"/>
      <c r="S215" s="74"/>
      <c r="T215" s="74"/>
      <c r="U215" s="74"/>
      <c r="V215" s="74"/>
      <c r="W215" s="74"/>
      <c r="X215" s="74"/>
      <c r="Y215" s="74"/>
      <c r="Z215" s="74"/>
    </row>
    <row r="216" spans="1:26" x14ac:dyDescent="0.3">
      <c r="A216" s="66">
        <f t="shared" si="26"/>
        <v>2010.899999999981</v>
      </c>
      <c r="B216" s="67">
        <f>LOOKUP(A216+0.01,Amounts!$A$4:$A$103,Amounts!$B$4:$B$103)*0.1*$A$2</f>
        <v>9236.6879070899995</v>
      </c>
      <c r="C216" s="68">
        <f t="shared" si="25"/>
        <v>1602722.8980524964</v>
      </c>
      <c r="D216" s="67">
        <f t="array" ref="D216">SUM($B$7:$B211*$F$1009*EXP(-$F$1009*($A216-$A$7:$A211)))*$F$1010</f>
        <v>194425728.50903696</v>
      </c>
      <c r="E216" s="67">
        <f t="shared" si="23"/>
        <v>370.65548748732903</v>
      </c>
      <c r="F216" s="70">
        <f t="shared" si="27"/>
        <v>22.506201200230617</v>
      </c>
      <c r="G216" s="67">
        <f>E216/'Lookup Tables'!$C$48</f>
        <v>741.31097497465805</v>
      </c>
      <c r="H216" s="70">
        <f t="shared" si="24"/>
        <v>0.12155346657869924</v>
      </c>
      <c r="I216" s="71">
        <f t="shared" si="28"/>
        <v>1.0674878039635076</v>
      </c>
      <c r="L216" s="74"/>
      <c r="M216" s="74"/>
      <c r="N216" s="74"/>
      <c r="O216" s="74"/>
      <c r="P216" s="74"/>
      <c r="Q216" s="74"/>
      <c r="R216" s="74"/>
      <c r="S216" s="74"/>
      <c r="T216" s="74"/>
      <c r="U216" s="74"/>
      <c r="V216" s="74"/>
      <c r="W216" s="74"/>
      <c r="X216" s="74"/>
      <c r="Y216" s="74"/>
      <c r="Z216" s="74"/>
    </row>
    <row r="217" spans="1:26" x14ac:dyDescent="0.3">
      <c r="A217" s="66">
        <f t="shared" si="26"/>
        <v>2010.9999999999809</v>
      </c>
      <c r="B217" s="67">
        <f>LOOKUP(A217+0.01,Amounts!$A$4:$A$103,Amounts!$B$4:$B$103)*0.1*$A$2</f>
        <v>9421.3280072100006</v>
      </c>
      <c r="C217" s="68">
        <f t="shared" si="25"/>
        <v>1612144.2260597064</v>
      </c>
      <c r="D217" s="67">
        <f t="array" ref="D217">SUM($B$7:$B212*$F$1009*EXP(-$F$1009*($A217-$A$7:$A212)))*$F$1010</f>
        <v>195367637.18583593</v>
      </c>
      <c r="E217" s="67">
        <f t="shared" si="23"/>
        <v>372.45115322789093</v>
      </c>
      <c r="F217" s="70">
        <f t="shared" si="27"/>
        <v>22.615234023997537</v>
      </c>
      <c r="G217" s="67">
        <f>E217/'Lookup Tables'!$C$48</f>
        <v>744.90230645578185</v>
      </c>
      <c r="H217" s="70">
        <f t="shared" si="24"/>
        <v>0.12142854402986239</v>
      </c>
      <c r="I217" s="71">
        <f t="shared" si="28"/>
        <v>1.0726593212963258</v>
      </c>
      <c r="L217" s="74"/>
      <c r="M217" s="74"/>
      <c r="N217" s="74"/>
      <c r="O217" s="74"/>
      <c r="P217" s="74"/>
      <c r="Q217" s="74"/>
      <c r="R217" s="74"/>
      <c r="S217" s="74"/>
      <c r="T217" s="74"/>
      <c r="U217" s="74"/>
      <c r="V217" s="74"/>
      <c r="W217" s="74"/>
      <c r="X217" s="74"/>
      <c r="Y217" s="74"/>
      <c r="Z217" s="74"/>
    </row>
    <row r="218" spans="1:26" x14ac:dyDescent="0.3">
      <c r="A218" s="66">
        <f t="shared" si="26"/>
        <v>2011.0999999999808</v>
      </c>
      <c r="B218" s="67">
        <f>LOOKUP(A218+0.01,Amounts!$A$4:$A$103,Amounts!$B$4:$B$103)*0.1*$A$2</f>
        <v>9421.3280072100006</v>
      </c>
      <c r="C218" s="68">
        <f t="shared" si="25"/>
        <v>1621565.5540669165</v>
      </c>
      <c r="D218" s="67">
        <f t="array" ref="D218">SUM($B$7:$B213*$F$1009*EXP(-$F$1009*($A218-$A$7:$A213)))*$F$1010</f>
        <v>196306912.20717815</v>
      </c>
      <c r="E218" s="67">
        <f t="shared" si="23"/>
        <v>374.24179813682377</v>
      </c>
      <c r="F218" s="70">
        <f t="shared" si="27"/>
        <v>22.723961982867941</v>
      </c>
      <c r="G218" s="67">
        <f>E218/'Lookup Tables'!$C$48</f>
        <v>748.48359627364755</v>
      </c>
      <c r="H218" s="70">
        <f t="shared" si="24"/>
        <v>0.12130344567777948</v>
      </c>
      <c r="I218" s="71">
        <f t="shared" si="28"/>
        <v>1.0778163786340527</v>
      </c>
      <c r="L218" s="74"/>
      <c r="M218" s="74"/>
      <c r="N218" s="74"/>
      <c r="O218" s="74"/>
      <c r="P218" s="74"/>
      <c r="Q218" s="74"/>
      <c r="R218" s="74"/>
      <c r="S218" s="74"/>
      <c r="T218" s="74"/>
      <c r="U218" s="74"/>
      <c r="V218" s="74"/>
      <c r="W218" s="74"/>
      <c r="X218" s="74"/>
      <c r="Y218" s="74"/>
      <c r="Z218" s="74"/>
    </row>
    <row r="219" spans="1:26" x14ac:dyDescent="0.3">
      <c r="A219" s="66">
        <f t="shared" si="26"/>
        <v>2011.1999999999807</v>
      </c>
      <c r="B219" s="67">
        <f>LOOKUP(A219+0.01,Amounts!$A$4:$A$103,Amounts!$B$4:$B$103)*0.1*$A$2</f>
        <v>9421.3280072100006</v>
      </c>
      <c r="C219" s="68">
        <f t="shared" si="25"/>
        <v>1630986.8820741265</v>
      </c>
      <c r="D219" s="67">
        <f t="array" ref="D219">SUM($B$7:$B214*$F$1009*EXP(-$F$1009*($A219-$A$7:$A214)))*$F$1010</f>
        <v>197243560.93698469</v>
      </c>
      <c r="E219" s="67">
        <f t="shared" si="23"/>
        <v>376.02743625279311</v>
      </c>
      <c r="F219" s="70">
        <f t="shared" si="27"/>
        <v>22.832385929269599</v>
      </c>
      <c r="G219" s="67">
        <f>E219/'Lookup Tables'!$C$48</f>
        <v>752.05487250558622</v>
      </c>
      <c r="H219" s="70">
        <f t="shared" si="24"/>
        <v>0.12117817909309558</v>
      </c>
      <c r="I219" s="71">
        <f t="shared" si="28"/>
        <v>1.082959016408044</v>
      </c>
      <c r="L219" s="74"/>
      <c r="M219" s="74"/>
      <c r="N219" s="74"/>
      <c r="O219" s="74"/>
      <c r="P219" s="74"/>
      <c r="Q219" s="74"/>
      <c r="R219" s="74"/>
      <c r="S219" s="74"/>
      <c r="T219" s="74"/>
      <c r="U219" s="74"/>
      <c r="V219" s="74"/>
      <c r="W219" s="74"/>
      <c r="X219" s="74"/>
      <c r="Y219" s="74"/>
      <c r="Z219" s="74"/>
    </row>
    <row r="220" spans="1:26" x14ac:dyDescent="0.3">
      <c r="A220" s="66">
        <f t="shared" si="26"/>
        <v>2011.2999999999806</v>
      </c>
      <c r="B220" s="67">
        <f>LOOKUP(A220+0.01,Amounts!$A$4:$A$103,Amounts!$B$4:$B$103)*0.1*$A$2</f>
        <v>9421.3280072100006</v>
      </c>
      <c r="C220" s="68">
        <f t="shared" si="25"/>
        <v>1640408.2100813366</v>
      </c>
      <c r="D220" s="67">
        <f t="array" ref="D220">SUM($B$7:$B215*$F$1009*EXP(-$F$1009*($A220-$A$7:$A215)))*$F$1010</f>
        <v>198177590.71858627</v>
      </c>
      <c r="E220" s="67">
        <f t="shared" si="23"/>
        <v>377.80808157521051</v>
      </c>
      <c r="F220" s="70">
        <f t="shared" si="27"/>
        <v>22.94050671324678</v>
      </c>
      <c r="G220" s="67">
        <f>E220/'Lookup Tables'!$C$48</f>
        <v>755.61616315042102</v>
      </c>
      <c r="H220" s="70">
        <f t="shared" si="24"/>
        <v>0.12105275165995702</v>
      </c>
      <c r="I220" s="71">
        <f t="shared" si="28"/>
        <v>1.0880872749366062</v>
      </c>
      <c r="L220" s="74"/>
      <c r="M220" s="74"/>
      <c r="N220" s="74"/>
      <c r="O220" s="74"/>
      <c r="P220" s="74"/>
      <c r="Q220" s="74"/>
      <c r="R220" s="74"/>
      <c r="S220" s="74"/>
      <c r="T220" s="74"/>
      <c r="U220" s="74"/>
      <c r="V220" s="74"/>
      <c r="W220" s="74"/>
      <c r="X220" s="74"/>
      <c r="Y220" s="74"/>
      <c r="Z220" s="74"/>
    </row>
    <row r="221" spans="1:26" x14ac:dyDescent="0.3">
      <c r="A221" s="66">
        <f t="shared" si="26"/>
        <v>2011.3999999999805</v>
      </c>
      <c r="B221" s="67">
        <f>LOOKUP(A221+0.01,Amounts!$A$4:$A$103,Amounts!$B$4:$B$103)*0.1*$A$2</f>
        <v>9421.3280072100006</v>
      </c>
      <c r="C221" s="68">
        <f t="shared" si="25"/>
        <v>1649829.5380885466</v>
      </c>
      <c r="D221" s="67">
        <f t="array" ref="D221">SUM($B$7:$B216*$F$1009*EXP(-$F$1009*($A221-$A$7:$A216)))*$F$1010</f>
        <v>199109008.87478113</v>
      </c>
      <c r="E221" s="67">
        <f t="shared" si="23"/>
        <v>379.58374806434449</v>
      </c>
      <c r="F221" s="70">
        <f t="shared" si="27"/>
        <v>23.048325182467</v>
      </c>
      <c r="G221" s="67">
        <f>E221/'Lookup Tables'!$C$48</f>
        <v>759.16749612868898</v>
      </c>
      <c r="H221" s="70">
        <f t="shared" si="24"/>
        <v>0.1209271705813718</v>
      </c>
      <c r="I221" s="71">
        <f t="shared" si="28"/>
        <v>1.0932011944253124</v>
      </c>
      <c r="L221" s="74"/>
      <c r="M221" s="74"/>
      <c r="N221" s="74"/>
      <c r="O221" s="74"/>
      <c r="P221" s="74"/>
      <c r="Q221" s="74"/>
      <c r="R221" s="74"/>
      <c r="S221" s="74"/>
      <c r="T221" s="74"/>
      <c r="U221" s="74"/>
      <c r="V221" s="74"/>
      <c r="W221" s="74"/>
      <c r="X221" s="74"/>
      <c r="Y221" s="74"/>
      <c r="Z221" s="74"/>
    </row>
    <row r="222" spans="1:26" x14ac:dyDescent="0.3">
      <c r="A222" s="66">
        <f t="shared" si="26"/>
        <v>2011.4999999999804</v>
      </c>
      <c r="B222" s="67">
        <f>LOOKUP(A222+0.01,Amounts!$A$4:$A$103,Amounts!$B$4:$B$103)*0.1*$A$2</f>
        <v>9421.3280072100006</v>
      </c>
      <c r="C222" s="68">
        <f t="shared" si="25"/>
        <v>1659250.8660957566</v>
      </c>
      <c r="D222" s="67">
        <f t="array" ref="D222">SUM($B$7:$B217*$F$1009*EXP(-$F$1009*($A222-$A$7:$A217)))*$F$1010</f>
        <v>200067518.430417</v>
      </c>
      <c r="E222" s="67">
        <f t="shared" si="23"/>
        <v>381.41106191488234</v>
      </c>
      <c r="F222" s="70">
        <f t="shared" si="27"/>
        <v>23.159279679471656</v>
      </c>
      <c r="G222" s="67">
        <f>E222/'Lookup Tables'!$C$48</f>
        <v>762.82212382976468</v>
      </c>
      <c r="H222" s="70">
        <f t="shared" si="24"/>
        <v>0.12081937592364823</v>
      </c>
      <c r="I222" s="71">
        <f t="shared" si="28"/>
        <v>1.0984638583148612</v>
      </c>
      <c r="L222" s="74"/>
      <c r="M222" s="74"/>
      <c r="N222" s="74"/>
      <c r="O222" s="74"/>
      <c r="P222" s="74"/>
      <c r="Q222" s="74"/>
      <c r="R222" s="74"/>
      <c r="S222" s="74"/>
      <c r="T222" s="74"/>
      <c r="U222" s="74"/>
      <c r="V222" s="74"/>
      <c r="W222" s="74"/>
      <c r="X222" s="74"/>
      <c r="Y222" s="74"/>
      <c r="Z222" s="74"/>
    </row>
    <row r="223" spans="1:26" x14ac:dyDescent="0.3">
      <c r="A223" s="66">
        <f t="shared" si="26"/>
        <v>2011.5999999999804</v>
      </c>
      <c r="B223" s="67">
        <f>LOOKUP(A223+0.01,Amounts!$A$4:$A$103,Amounts!$B$4:$B$103)*0.1*$A$2</f>
        <v>9421.3280072100006</v>
      </c>
      <c r="C223" s="68">
        <f t="shared" si="25"/>
        <v>1668672.1941029667</v>
      </c>
      <c r="D223" s="67">
        <f t="array" ref="D223">SUM($B$7:$B218*$F$1009*EXP(-$F$1009*($A223-$A$7:$A218)))*$F$1010</f>
        <v>201023347.91315013</v>
      </c>
      <c r="E223" s="67">
        <f t="shared" si="23"/>
        <v>383.23326644302813</v>
      </c>
      <c r="F223" s="70">
        <f t="shared" si="27"/>
        <v>23.269923938420668</v>
      </c>
      <c r="G223" s="67">
        <f>E223/'Lookup Tables'!$C$48</f>
        <v>766.46653288605626</v>
      </c>
      <c r="H223" s="70">
        <f t="shared" si="24"/>
        <v>0.12071118914445479</v>
      </c>
      <c r="I223" s="71">
        <f t="shared" si="28"/>
        <v>1.1037118073559211</v>
      </c>
      <c r="L223" s="74"/>
      <c r="M223" s="74"/>
      <c r="N223" s="74"/>
      <c r="O223" s="74"/>
      <c r="P223" s="74"/>
      <c r="Q223" s="74"/>
      <c r="R223" s="74"/>
      <c r="S223" s="74"/>
      <c r="T223" s="74"/>
      <c r="U223" s="74"/>
      <c r="V223" s="74"/>
      <c r="W223" s="74"/>
      <c r="X223" s="74"/>
      <c r="Y223" s="74"/>
      <c r="Z223" s="74"/>
    </row>
    <row r="224" spans="1:26" x14ac:dyDescent="0.3">
      <c r="A224" s="66">
        <f t="shared" si="26"/>
        <v>2011.6999999999803</v>
      </c>
      <c r="B224" s="67">
        <f>LOOKUP(A224+0.01,Amounts!$A$4:$A$103,Amounts!$B$4:$B$103)*0.1*$A$2</f>
        <v>9421.3280072100006</v>
      </c>
      <c r="C224" s="68">
        <f t="shared" si="25"/>
        <v>1678093.5221101767</v>
      </c>
      <c r="D224" s="67">
        <f t="array" ref="D224">SUM($B$7:$B219*$F$1009*EXP(-$F$1009*($A224-$A$7:$A219)))*$F$1010</f>
        <v>201976504.81668854</v>
      </c>
      <c r="E224" s="67">
        <f t="shared" si="23"/>
        <v>385.05037593487458</v>
      </c>
      <c r="F224" s="70">
        <f t="shared" si="27"/>
        <v>23.380258826765584</v>
      </c>
      <c r="G224" s="67">
        <f>E224/'Lookup Tables'!$C$48</f>
        <v>770.10075186974916</v>
      </c>
      <c r="H224" s="70">
        <f t="shared" si="24"/>
        <v>0.12060262132284333</v>
      </c>
      <c r="I224" s="71">
        <f t="shared" si="28"/>
        <v>1.1089450826924387</v>
      </c>
      <c r="L224" s="74"/>
      <c r="M224" s="74"/>
      <c r="N224" s="74"/>
      <c r="O224" s="74"/>
      <c r="P224" s="74"/>
      <c r="Q224" s="74"/>
      <c r="R224" s="74"/>
      <c r="S224" s="74"/>
      <c r="T224" s="74"/>
      <c r="U224" s="74"/>
      <c r="V224" s="74"/>
      <c r="W224" s="74"/>
      <c r="X224" s="74"/>
      <c r="Y224" s="74"/>
      <c r="Z224" s="74"/>
    </row>
    <row r="225" spans="1:26" x14ac:dyDescent="0.3">
      <c r="A225" s="66">
        <f t="shared" si="26"/>
        <v>2011.7999999999802</v>
      </c>
      <c r="B225" s="67">
        <f>LOOKUP(A225+0.01,Amounts!$A$4:$A$103,Amounts!$B$4:$B$103)*0.1*$A$2</f>
        <v>9421.3280072100006</v>
      </c>
      <c r="C225" s="68">
        <f t="shared" si="25"/>
        <v>1687514.8501173868</v>
      </c>
      <c r="D225" s="67">
        <f t="array" ref="D225">SUM($B$7:$B220*$F$1009*EXP(-$F$1009*($A225-$A$7:$A220)))*$F$1010</f>
        <v>202926996.61378726</v>
      </c>
      <c r="E225" s="67">
        <f t="shared" si="23"/>
        <v>386.86240463656964</v>
      </c>
      <c r="F225" s="70">
        <f t="shared" si="27"/>
        <v>23.490285209532509</v>
      </c>
      <c r="G225" s="67">
        <f>E225/'Lookup Tables'!$C$48</f>
        <v>773.72480927313927</v>
      </c>
      <c r="H225" s="70">
        <f t="shared" si="24"/>
        <v>0.12049368327800887</v>
      </c>
      <c r="I225" s="71">
        <f t="shared" si="28"/>
        <v>1.1141637253533205</v>
      </c>
      <c r="L225" s="74"/>
      <c r="M225" s="74"/>
      <c r="N225" s="74"/>
      <c r="O225" s="74"/>
      <c r="P225" s="74"/>
      <c r="Q225" s="74"/>
      <c r="R225" s="74"/>
      <c r="S225" s="74"/>
      <c r="T225" s="74"/>
      <c r="U225" s="74"/>
      <c r="V225" s="74"/>
      <c r="W225" s="74"/>
      <c r="X225" s="74"/>
      <c r="Y225" s="74"/>
      <c r="Z225" s="74"/>
    </row>
    <row r="226" spans="1:26" x14ac:dyDescent="0.3">
      <c r="A226" s="66">
        <f t="shared" si="26"/>
        <v>2011.8999999999801</v>
      </c>
      <c r="B226" s="67">
        <f>LOOKUP(A226+0.01,Amounts!$A$4:$A$103,Amounts!$B$4:$B$103)*0.1*$A$2</f>
        <v>9421.3280072100006</v>
      </c>
      <c r="C226" s="68">
        <f t="shared" si="25"/>
        <v>1696936.1781245968</v>
      </c>
      <c r="D226" s="67">
        <f t="array" ref="D226">SUM($B$7:$B221*$F$1009*EXP(-$F$1009*($A226-$A$7:$A221)))*$F$1010</f>
        <v>203874830.75630695</v>
      </c>
      <c r="E226" s="67">
        <f t="shared" si="23"/>
        <v>388.66936675442759</v>
      </c>
      <c r="F226" s="70">
        <f t="shared" si="27"/>
        <v>23.600003949328844</v>
      </c>
      <c r="G226" s="67">
        <f>E226/'Lookup Tables'!$C$48</f>
        <v>777.33873350885517</v>
      </c>
      <c r="H226" s="70">
        <f t="shared" si="24"/>
        <v>0.12038438557653736</v>
      </c>
      <c r="I226" s="71">
        <f t="shared" si="28"/>
        <v>1.1193677762527514</v>
      </c>
      <c r="L226" s="74"/>
      <c r="M226" s="74"/>
      <c r="N226" s="74"/>
      <c r="O226" s="74"/>
      <c r="P226" s="74"/>
      <c r="Q226" s="74"/>
      <c r="R226" s="74"/>
      <c r="S226" s="74"/>
      <c r="T226" s="74"/>
      <c r="U226" s="74"/>
      <c r="V226" s="74"/>
      <c r="W226" s="74"/>
      <c r="X226" s="74"/>
      <c r="Y226" s="74"/>
      <c r="Z226" s="74"/>
    </row>
    <row r="227" spans="1:26" x14ac:dyDescent="0.3">
      <c r="A227" s="66">
        <f t="shared" si="26"/>
        <v>2011.99999999998</v>
      </c>
      <c r="B227" s="67">
        <f>LOOKUP(A227+0.01,Amounts!$A$4:$A$103,Amounts!$B$4:$B$103)*0.1*$A$2</f>
        <v>10034.788049999999</v>
      </c>
      <c r="C227" s="68">
        <f t="shared" si="25"/>
        <v>1706970.9661745969</v>
      </c>
      <c r="D227" s="67">
        <f t="array" ref="D227">SUM($B$7:$B222*$F$1009*EXP(-$F$1009*($A227-$A$7:$A222)))*$F$1010</f>
        <v>204820014.67527205</v>
      </c>
      <c r="E227" s="67">
        <f t="shared" si="23"/>
        <v>390.47127645504065</v>
      </c>
      <c r="F227" s="70">
        <f t="shared" si="27"/>
        <v>23.70941590635007</v>
      </c>
      <c r="G227" s="67">
        <f>E227/'Lookup Tables'!$C$48</f>
        <v>780.9425529100813</v>
      </c>
      <c r="H227" s="70">
        <f t="shared" si="24"/>
        <v>0.12023151358262604</v>
      </c>
      <c r="I227" s="71">
        <f t="shared" si="28"/>
        <v>1.1245572761905169</v>
      </c>
      <c r="L227" s="74"/>
      <c r="M227" s="74"/>
      <c r="N227" s="74"/>
      <c r="O227" s="74"/>
      <c r="P227" s="74"/>
      <c r="Q227" s="74"/>
      <c r="R227" s="74"/>
      <c r="S227" s="74"/>
      <c r="T227" s="74"/>
      <c r="U227" s="74"/>
      <c r="V227" s="74"/>
      <c r="W227" s="74"/>
      <c r="X227" s="74"/>
      <c r="Y227" s="74"/>
      <c r="Z227" s="74"/>
    </row>
    <row r="228" spans="1:26" x14ac:dyDescent="0.3">
      <c r="A228" s="66">
        <f t="shared" si="26"/>
        <v>2012.0999999999799</v>
      </c>
      <c r="B228" s="67">
        <f>LOOKUP(A228+0.01,Amounts!$A$4:$A$103,Amounts!$B$4:$B$103)*0.1*$A$2</f>
        <v>10034.788049999999</v>
      </c>
      <c r="C228" s="68">
        <f t="shared" si="25"/>
        <v>1717005.754224597</v>
      </c>
      <c r="D228" s="67">
        <f t="array" ref="D228">SUM($B$7:$B223*$F$1009*EXP(-$F$1009*($A228-$A$7:$A223)))*$F$1010</f>
        <v>205762555.78092933</v>
      </c>
      <c r="E228" s="67">
        <f t="shared" si="23"/>
        <v>392.26814786539006</v>
      </c>
      <c r="F228" s="70">
        <f t="shared" si="27"/>
        <v>23.818521938386485</v>
      </c>
      <c r="G228" s="67">
        <f>E228/'Lookup Tables'!$C$48</f>
        <v>784.53629573078013</v>
      </c>
      <c r="H228" s="70">
        <f t="shared" si="24"/>
        <v>0.1200788861719095</v>
      </c>
      <c r="I228" s="71">
        <f t="shared" si="28"/>
        <v>1.1297322658523232</v>
      </c>
      <c r="L228" s="74"/>
      <c r="M228" s="74"/>
      <c r="N228" s="74"/>
      <c r="O228" s="74"/>
      <c r="P228" s="74"/>
      <c r="Q228" s="74"/>
      <c r="R228" s="74"/>
      <c r="S228" s="74"/>
      <c r="T228" s="74"/>
      <c r="U228" s="74"/>
      <c r="V228" s="74"/>
      <c r="W228" s="74"/>
      <c r="X228" s="74"/>
      <c r="Y228" s="74"/>
      <c r="Z228" s="74"/>
    </row>
    <row r="229" spans="1:26" x14ac:dyDescent="0.3">
      <c r="A229" s="66">
        <f t="shared" si="26"/>
        <v>2012.1999999999798</v>
      </c>
      <c r="B229" s="67">
        <f>LOOKUP(A229+0.01,Amounts!$A$4:$A$103,Amounts!$B$4:$B$103)*0.1*$A$2</f>
        <v>10034.788049999999</v>
      </c>
      <c r="C229" s="68">
        <f t="shared" si="25"/>
        <v>1727040.5422745971</v>
      </c>
      <c r="D229" s="67">
        <f t="array" ref="D229">SUM($B$7:$B224*$F$1009*EXP(-$F$1009*($A229-$A$7:$A224)))*$F$1010</f>
        <v>206702461.46280575</v>
      </c>
      <c r="E229" s="67">
        <f t="shared" si="23"/>
        <v>394.05999507295667</v>
      </c>
      <c r="F229" s="70">
        <f t="shared" si="27"/>
        <v>23.927322900829928</v>
      </c>
      <c r="G229" s="67">
        <f>E229/'Lookup Tables'!$C$48</f>
        <v>788.11999014591333</v>
      </c>
      <c r="H229" s="70">
        <f t="shared" si="24"/>
        <v>0.11992650336833525</v>
      </c>
      <c r="I229" s="71">
        <f t="shared" si="28"/>
        <v>1.1348927858101152</v>
      </c>
      <c r="L229" s="74"/>
      <c r="M229" s="74"/>
      <c r="N229" s="74"/>
      <c r="O229" s="74"/>
      <c r="P229" s="74"/>
      <c r="Q229" s="74"/>
      <c r="R229" s="74"/>
      <c r="S229" s="74"/>
      <c r="T229" s="74"/>
      <c r="U229" s="74"/>
      <c r="V229" s="74"/>
      <c r="W229" s="74"/>
      <c r="X229" s="74"/>
      <c r="Y229" s="74"/>
      <c r="Z229" s="74"/>
    </row>
    <row r="230" spans="1:26" x14ac:dyDescent="0.3">
      <c r="A230" s="66">
        <f t="shared" si="26"/>
        <v>2012.2999999999797</v>
      </c>
      <c r="B230" s="67">
        <f>LOOKUP(A230+0.01,Amounts!$A$4:$A$103,Amounts!$B$4:$B$103)*0.1*$A$2</f>
        <v>10034.788049999999</v>
      </c>
      <c r="C230" s="68">
        <f t="shared" si="25"/>
        <v>1737075.3303245972</v>
      </c>
      <c r="D230" s="67">
        <f t="array" ref="D230">SUM($B$7:$B225*$F$1009*EXP(-$F$1009*($A230-$A$7:$A225)))*$F$1010</f>
        <v>207639739.08976692</v>
      </c>
      <c r="E230" s="67">
        <f t="shared" si="23"/>
        <v>395.84683212583212</v>
      </c>
      <c r="F230" s="70">
        <f t="shared" si="27"/>
        <v>24.035819646680526</v>
      </c>
      <c r="G230" s="67">
        <f>E230/'Lookup Tables'!$C$48</f>
        <v>791.69366425166425</v>
      </c>
      <c r="H230" s="70">
        <f t="shared" si="24"/>
        <v>0.11977436518337921</v>
      </c>
      <c r="I230" s="71">
        <f t="shared" si="28"/>
        <v>1.1400388765223965</v>
      </c>
      <c r="L230" s="74"/>
      <c r="M230" s="74"/>
      <c r="N230" s="74"/>
      <c r="O230" s="74"/>
      <c r="P230" s="74"/>
      <c r="Q230" s="74"/>
      <c r="R230" s="74"/>
      <c r="S230" s="74"/>
      <c r="T230" s="74"/>
      <c r="U230" s="74"/>
      <c r="V230" s="74"/>
      <c r="W230" s="74"/>
      <c r="X230" s="74"/>
      <c r="Y230" s="74"/>
      <c r="Z230" s="74"/>
    </row>
    <row r="231" spans="1:26" x14ac:dyDescent="0.3">
      <c r="A231" s="66">
        <f t="shared" si="26"/>
        <v>2012.3999999999796</v>
      </c>
      <c r="B231" s="67">
        <f>LOOKUP(A231+0.01,Amounts!$A$4:$A$103,Amounts!$B$4:$B$103)*0.1*$A$2</f>
        <v>10034.788049999999</v>
      </c>
      <c r="C231" s="68">
        <f t="shared" si="25"/>
        <v>1747110.1183745973</v>
      </c>
      <c r="D231" s="67">
        <f t="array" ref="D231">SUM($B$7:$B226*$F$1009*EXP(-$F$1009*($A231-$A$7:$A226)))*$F$1010</f>
        <v>208574396.01007405</v>
      </c>
      <c r="E231" s="67">
        <f t="shared" si="23"/>
        <v>397.62867303282786</v>
      </c>
      <c r="F231" s="70">
        <f t="shared" si="27"/>
        <v>24.14401302655331</v>
      </c>
      <c r="G231" s="67">
        <f>E231/'Lookup Tables'!$C$48</f>
        <v>795.25734606565572</v>
      </c>
      <c r="H231" s="70">
        <f t="shared" si="24"/>
        <v>0.11962247161643653</v>
      </c>
      <c r="I231" s="71">
        <f t="shared" si="28"/>
        <v>1.1451705783345443</v>
      </c>
      <c r="L231" s="74"/>
      <c r="M231" s="74"/>
      <c r="N231" s="74"/>
      <c r="O231" s="74"/>
      <c r="P231" s="74"/>
      <c r="Q231" s="74"/>
      <c r="R231" s="74"/>
      <c r="S231" s="74"/>
      <c r="T231" s="74"/>
      <c r="U231" s="74"/>
      <c r="V231" s="74"/>
      <c r="W231" s="74"/>
      <c r="X231" s="74"/>
      <c r="Y231" s="74"/>
      <c r="Z231" s="74"/>
    </row>
    <row r="232" spans="1:26" x14ac:dyDescent="0.3">
      <c r="A232" s="66">
        <f t="shared" si="26"/>
        <v>2012.4999999999795</v>
      </c>
      <c r="B232" s="67">
        <f>LOOKUP(A232+0.01,Amounts!$A$4:$A$103,Amounts!$B$4:$B$103)*0.1*$A$2</f>
        <v>10034.788049999999</v>
      </c>
      <c r="C232" s="68">
        <f t="shared" si="25"/>
        <v>1757144.9064245974</v>
      </c>
      <c r="D232" s="67">
        <f t="array" ref="D232">SUM($B$7:$B227*$F$1009*EXP(-$F$1009*($A232-$A$7:$A227)))*$F$1010</f>
        <v>209605102.51359808</v>
      </c>
      <c r="E232" s="67">
        <f t="shared" si="23"/>
        <v>399.59362399096352</v>
      </c>
      <c r="F232" s="70">
        <f t="shared" si="27"/>
        <v>24.263324848731305</v>
      </c>
      <c r="G232" s="67">
        <f>E232/'Lookup Tables'!$C$48</f>
        <v>799.18724798192704</v>
      </c>
      <c r="H232" s="70">
        <f t="shared" si="24"/>
        <v>0.11952708510364572</v>
      </c>
      <c r="I232" s="71">
        <f t="shared" si="28"/>
        <v>1.150829637093975</v>
      </c>
      <c r="L232" s="74"/>
      <c r="M232" s="74"/>
      <c r="N232" s="74"/>
      <c r="O232" s="74"/>
      <c r="P232" s="74"/>
      <c r="Q232" s="74"/>
      <c r="R232" s="74"/>
      <c r="S232" s="74"/>
      <c r="T232" s="74"/>
      <c r="U232" s="74"/>
      <c r="V232" s="74"/>
      <c r="W232" s="74"/>
      <c r="X232" s="74"/>
      <c r="Y232" s="74"/>
      <c r="Z232" s="74"/>
    </row>
    <row r="233" spans="1:26" x14ac:dyDescent="0.3">
      <c r="A233" s="66">
        <f t="shared" si="26"/>
        <v>2012.5999999999794</v>
      </c>
      <c r="B233" s="67">
        <f>LOOKUP(A233+0.01,Amounts!$A$4:$A$103,Amounts!$B$4:$B$103)*0.1*$A$2</f>
        <v>10034.788049999999</v>
      </c>
      <c r="C233" s="68">
        <f t="shared" si="25"/>
        <v>1767179.6944745975</v>
      </c>
      <c r="D233" s="67">
        <f t="array" ref="D233">SUM($B$7:$B228*$F$1009*EXP(-$F$1009*($A233-$A$7:$A228)))*$F$1010</f>
        <v>210632927.07551342</v>
      </c>
      <c r="E233" s="67">
        <f t="shared" si="23"/>
        <v>401.55308078184021</v>
      </c>
      <c r="F233" s="70">
        <f t="shared" si="27"/>
        <v>24.382303065073337</v>
      </c>
      <c r="G233" s="67">
        <f>E233/'Lookup Tables'!$C$48</f>
        <v>803.10616156368042</v>
      </c>
      <c r="H233" s="70">
        <f t="shared" si="24"/>
        <v>0.11943114778810573</v>
      </c>
      <c r="I233" s="71">
        <f t="shared" si="28"/>
        <v>1.1564728726516997</v>
      </c>
      <c r="L233" s="74"/>
      <c r="M233" s="74"/>
      <c r="N233" s="74"/>
      <c r="O233" s="74"/>
      <c r="P233" s="74"/>
      <c r="Q233" s="74"/>
      <c r="R233" s="74"/>
      <c r="S233" s="74"/>
      <c r="T233" s="74"/>
      <c r="U233" s="74"/>
      <c r="V233" s="74"/>
      <c r="W233" s="74"/>
      <c r="X233" s="74"/>
      <c r="Y233" s="74"/>
      <c r="Z233" s="74"/>
    </row>
    <row r="234" spans="1:26" x14ac:dyDescent="0.3">
      <c r="A234" s="66">
        <f t="shared" si="26"/>
        <v>2012.6999999999794</v>
      </c>
      <c r="B234" s="67">
        <f>LOOKUP(A234+0.01,Amounts!$A$4:$A$103,Amounts!$B$4:$B$103)*0.1*$A$2</f>
        <v>10034.788049999999</v>
      </c>
      <c r="C234" s="68">
        <f t="shared" si="25"/>
        <v>1777214.4825245976</v>
      </c>
      <c r="D234" s="67">
        <f t="array" ref="D234">SUM($B$7:$B229*$F$1009*EXP(-$F$1009*($A234-$A$7:$A229)))*$F$1010</f>
        <v>211657877.75396976</v>
      </c>
      <c r="E234" s="67">
        <f t="shared" si="23"/>
        <v>403.5070587676089</v>
      </c>
      <c r="F234" s="70">
        <f t="shared" si="27"/>
        <v>24.500948608369214</v>
      </c>
      <c r="G234" s="67">
        <f>E234/'Lookup Tables'!$C$48</f>
        <v>807.01411753521779</v>
      </c>
      <c r="H234" s="70">
        <f t="shared" si="24"/>
        <v>0.11933467354316356</v>
      </c>
      <c r="I234" s="71">
        <f t="shared" si="28"/>
        <v>1.1621003292507135</v>
      </c>
      <c r="L234" s="74"/>
      <c r="M234" s="74"/>
      <c r="N234" s="74"/>
      <c r="O234" s="74"/>
      <c r="P234" s="74"/>
      <c r="Q234" s="74"/>
      <c r="R234" s="74"/>
      <c r="S234" s="74"/>
      <c r="T234" s="74"/>
      <c r="U234" s="74"/>
      <c r="V234" s="74"/>
      <c r="W234" s="74"/>
      <c r="X234" s="74"/>
      <c r="Y234" s="74"/>
      <c r="Z234" s="74"/>
    </row>
    <row r="235" spans="1:26" x14ac:dyDescent="0.3">
      <c r="A235" s="66">
        <f t="shared" si="26"/>
        <v>2012.7999999999793</v>
      </c>
      <c r="B235" s="67">
        <f>LOOKUP(A235+0.01,Amounts!$A$4:$A$103,Amounts!$B$4:$B$103)*0.1*$A$2</f>
        <v>10034.788049999999</v>
      </c>
      <c r="C235" s="68">
        <f t="shared" si="25"/>
        <v>1787249.2705745976</v>
      </c>
      <c r="D235" s="67">
        <f t="array" ref="D235">SUM($B$7:$B230*$F$1009*EXP(-$F$1009*($A235-$A$7:$A230)))*$F$1010</f>
        <v>212679962.5845857</v>
      </c>
      <c r="E235" s="67">
        <f t="shared" si="23"/>
        <v>405.45557326746717</v>
      </c>
      <c r="F235" s="70">
        <f t="shared" si="27"/>
        <v>24.619262408800605</v>
      </c>
      <c r="G235" s="67">
        <f>E235/'Lookup Tables'!$C$48</f>
        <v>810.91114653493435</v>
      </c>
      <c r="H235" s="70">
        <f t="shared" si="24"/>
        <v>0.11923767591795804</v>
      </c>
      <c r="I235" s="71">
        <f t="shared" si="28"/>
        <v>1.1677120510103056</v>
      </c>
      <c r="L235" s="74"/>
      <c r="M235" s="74"/>
      <c r="N235" s="74"/>
      <c r="O235" s="74"/>
      <c r="P235" s="74"/>
      <c r="Q235" s="74"/>
      <c r="R235" s="74"/>
      <c r="S235" s="74"/>
      <c r="T235" s="74"/>
      <c r="U235" s="74"/>
      <c r="V235" s="74"/>
      <c r="W235" s="74"/>
      <c r="X235" s="74"/>
      <c r="Y235" s="74"/>
      <c r="Z235" s="74"/>
    </row>
    <row r="236" spans="1:26" x14ac:dyDescent="0.3">
      <c r="A236" s="66">
        <f t="shared" si="26"/>
        <v>2012.8999999999792</v>
      </c>
      <c r="B236" s="67">
        <f>LOOKUP(A236+0.01,Amounts!$A$4:$A$103,Amounts!$B$4:$B$103)*0.1*$A$2</f>
        <v>10034.788049999999</v>
      </c>
      <c r="C236" s="68">
        <f t="shared" si="25"/>
        <v>1797284.0586245977</v>
      </c>
      <c r="D236" s="67">
        <f t="array" ref="D236">SUM($B$7:$B231*$F$1009*EXP(-$F$1009*($A236-$A$7:$A231)))*$F$1010</f>
        <v>213699189.58051166</v>
      </c>
      <c r="E236" s="67">
        <f t="shared" si="23"/>
        <v>407.39863955777878</v>
      </c>
      <c r="F236" s="70">
        <f t="shared" si="27"/>
        <v>24.737245393948328</v>
      </c>
      <c r="G236" s="67">
        <f>E236/'Lookup Tables'!$C$48</f>
        <v>814.79727911555756</v>
      </c>
      <c r="H236" s="70">
        <f t="shared" si="24"/>
        <v>0.11914016814650555</v>
      </c>
      <c r="I236" s="71">
        <f t="shared" si="28"/>
        <v>1.1733080819264028</v>
      </c>
      <c r="L236" s="74"/>
      <c r="M236" s="74"/>
      <c r="N236" s="74"/>
      <c r="O236" s="74"/>
      <c r="P236" s="74"/>
      <c r="Q236" s="74"/>
      <c r="R236" s="74"/>
      <c r="S236" s="74"/>
      <c r="T236" s="74"/>
      <c r="U236" s="74"/>
      <c r="V236" s="74"/>
      <c r="W236" s="74"/>
      <c r="X236" s="74"/>
      <c r="Y236" s="74"/>
      <c r="Z236" s="74"/>
    </row>
    <row r="237" spans="1:26" x14ac:dyDescent="0.3">
      <c r="A237" s="66">
        <f t="shared" si="26"/>
        <v>2012.9999999999791</v>
      </c>
      <c r="B237" s="67">
        <f>LOOKUP(A237+0.01,Amounts!$A$4:$A$103,Amounts!$B$4:$B$103)*0.1*$A$2</f>
        <v>10235.483811</v>
      </c>
      <c r="C237" s="68">
        <f t="shared" si="25"/>
        <v>1807519.5424355976</v>
      </c>
      <c r="D237" s="67">
        <f t="array" ref="D237">SUM($B$7:$B232*$F$1009*EXP(-$F$1009*($A237-$A$7:$A232)))*$F$1010</f>
        <v>214715566.73249245</v>
      </c>
      <c r="E237" s="67">
        <f t="shared" si="23"/>
        <v>409.33627287219326</v>
      </c>
      <c r="F237" s="70">
        <f t="shared" si="27"/>
        <v>24.854898488799577</v>
      </c>
      <c r="G237" s="67">
        <f>E237/'Lookup Tables'!$C$48</f>
        <v>818.67254574438653</v>
      </c>
      <c r="H237" s="70">
        <f t="shared" si="24"/>
        <v>0.11902894545290402</v>
      </c>
      <c r="I237" s="71">
        <f t="shared" si="28"/>
        <v>1.1788884658719165</v>
      </c>
      <c r="L237" s="74"/>
      <c r="M237" s="74"/>
      <c r="N237" s="74"/>
      <c r="O237" s="74"/>
      <c r="P237" s="74"/>
      <c r="Q237" s="74"/>
      <c r="R237" s="74"/>
      <c r="S237" s="74"/>
      <c r="T237" s="74"/>
      <c r="U237" s="74"/>
      <c r="V237" s="74"/>
      <c r="W237" s="74"/>
      <c r="X237" s="74"/>
      <c r="Y237" s="74"/>
      <c r="Z237" s="74"/>
    </row>
    <row r="238" spans="1:26" x14ac:dyDescent="0.3">
      <c r="A238" s="66">
        <f t="shared" si="26"/>
        <v>2013.099999999979</v>
      </c>
      <c r="B238" s="67">
        <f>LOOKUP(A238+0.01,Amounts!$A$4:$A$103,Amounts!$B$4:$B$103)*0.1*$A$2</f>
        <v>10235.483811</v>
      </c>
      <c r="C238" s="68">
        <f t="shared" si="25"/>
        <v>1817755.0262465975</v>
      </c>
      <c r="D238" s="67">
        <f t="array" ref="D238">SUM($B$7:$B233*$F$1009*EXP(-$F$1009*($A238-$A$7:$A233)))*$F$1010</f>
        <v>215729102.00893015</v>
      </c>
      <c r="E238" s="67">
        <f t="shared" si="23"/>
        <v>411.26848840176581</v>
      </c>
      <c r="F238" s="70">
        <f t="shared" si="27"/>
        <v>24.972222615755221</v>
      </c>
      <c r="G238" s="67">
        <f>E238/'Lookup Tables'!$C$48</f>
        <v>822.53697680353162</v>
      </c>
      <c r="H238" s="70">
        <f t="shared" si="24"/>
        <v>0.1189174087722442</v>
      </c>
      <c r="I238" s="71">
        <f t="shared" si="28"/>
        <v>1.1844532465970856</v>
      </c>
      <c r="L238" s="74"/>
      <c r="M238" s="74"/>
      <c r="N238" s="74"/>
      <c r="O238" s="74"/>
      <c r="P238" s="74"/>
      <c r="Q238" s="74"/>
      <c r="R238" s="74"/>
      <c r="S238" s="74"/>
      <c r="T238" s="74"/>
      <c r="U238" s="74"/>
      <c r="V238" s="74"/>
      <c r="W238" s="74"/>
      <c r="X238" s="74"/>
      <c r="Y238" s="74"/>
      <c r="Z238" s="74"/>
    </row>
    <row r="239" spans="1:26" x14ac:dyDescent="0.3">
      <c r="A239" s="66">
        <f t="shared" si="26"/>
        <v>2013.1999999999789</v>
      </c>
      <c r="B239" s="67">
        <f>LOOKUP(A239+0.01,Amounts!$A$4:$A$103,Amounts!$B$4:$B$103)*0.1*$A$2</f>
        <v>10235.483811</v>
      </c>
      <c r="C239" s="68">
        <f t="shared" si="25"/>
        <v>1827990.5100575974</v>
      </c>
      <c r="D239" s="67">
        <f t="array" ref="D239">SUM($B$7:$B234*$F$1009*EXP(-$F$1009*($A239-$A$7:$A234)))*$F$1010</f>
        <v>216739803.35594651</v>
      </c>
      <c r="E239" s="67">
        <f t="shared" si="23"/>
        <v>413.19530129507604</v>
      </c>
      <c r="F239" s="70">
        <f t="shared" si="27"/>
        <v>25.089218694637015</v>
      </c>
      <c r="G239" s="67">
        <f>E239/'Lookup Tables'!$C$48</f>
        <v>826.39060259015207</v>
      </c>
      <c r="H239" s="70">
        <f t="shared" si="24"/>
        <v>0.11880556773451142</v>
      </c>
      <c r="I239" s="71">
        <f t="shared" si="28"/>
        <v>1.1900024677298191</v>
      </c>
      <c r="L239" s="74"/>
      <c r="M239" s="74"/>
      <c r="N239" s="74"/>
      <c r="O239" s="74"/>
      <c r="P239" s="74"/>
      <c r="Q239" s="74"/>
      <c r="R239" s="74"/>
      <c r="S239" s="74"/>
      <c r="T239" s="74"/>
      <c r="U239" s="74"/>
      <c r="V239" s="74"/>
      <c r="W239" s="74"/>
      <c r="X239" s="74"/>
      <c r="Y239" s="74"/>
      <c r="Z239" s="74"/>
    </row>
    <row r="240" spans="1:26" x14ac:dyDescent="0.3">
      <c r="A240" s="66">
        <f t="shared" si="26"/>
        <v>2013.2999999999788</v>
      </c>
      <c r="B240" s="67">
        <f>LOOKUP(A240+0.01,Amounts!$A$4:$A$103,Amounts!$B$4:$B$103)*0.1*$A$2</f>
        <v>10235.483811</v>
      </c>
      <c r="C240" s="68">
        <f t="shared" si="25"/>
        <v>1838225.9938685973</v>
      </c>
      <c r="D240" s="67">
        <f t="array" ref="D240">SUM($B$7:$B235*$F$1009*EXP(-$F$1009*($A240-$A$7:$A235)))*$F$1010</f>
        <v>217747678.69744524</v>
      </c>
      <c r="E240" s="67">
        <f t="shared" si="23"/>
        <v>415.11672665834692</v>
      </c>
      <c r="F240" s="70">
        <f t="shared" si="27"/>
        <v>25.205887642694822</v>
      </c>
      <c r="G240" s="67">
        <f>E240/'Lookup Tables'!$C$48</f>
        <v>830.23345331669384</v>
      </c>
      <c r="H240" s="70">
        <f t="shared" si="24"/>
        <v>0.11869343174309599</v>
      </c>
      <c r="I240" s="71">
        <f t="shared" si="28"/>
        <v>1.1955361727760392</v>
      </c>
      <c r="L240" s="74"/>
      <c r="M240" s="74"/>
      <c r="N240" s="74"/>
      <c r="O240" s="74"/>
      <c r="P240" s="74"/>
      <c r="Q240" s="74"/>
      <c r="R240" s="74"/>
      <c r="S240" s="74"/>
      <c r="T240" s="74"/>
      <c r="U240" s="74"/>
      <c r="V240" s="74"/>
      <c r="W240" s="74"/>
      <c r="X240" s="74"/>
      <c r="Y240" s="74"/>
      <c r="Z240" s="74"/>
    </row>
    <row r="241" spans="1:26" x14ac:dyDescent="0.3">
      <c r="A241" s="66">
        <f t="shared" si="26"/>
        <v>2013.3999999999787</v>
      </c>
      <c r="B241" s="67">
        <f>LOOKUP(A241+0.01,Amounts!$A$4:$A$103,Amounts!$B$4:$B$103)*0.1*$A$2</f>
        <v>10235.483811</v>
      </c>
      <c r="C241" s="68">
        <f t="shared" si="25"/>
        <v>1848461.4776795972</v>
      </c>
      <c r="D241" s="67">
        <f t="array" ref="D241">SUM($B$7:$B236*$F$1009*EXP(-$F$1009*($A241-$A$7:$A236)))*$F$1010</f>
        <v>218752735.93517429</v>
      </c>
      <c r="E241" s="67">
        <f t="shared" si="23"/>
        <v>417.0327795555632</v>
      </c>
      <c r="F241" s="70">
        <f t="shared" si="27"/>
        <v>25.322230374613799</v>
      </c>
      <c r="G241" s="67">
        <f>E241/'Lookup Tables'!$C$48</f>
        <v>834.06555911112639</v>
      </c>
      <c r="H241" s="70">
        <f t="shared" si="24"/>
        <v>0.11858100998110048</v>
      </c>
      <c r="I241" s="71">
        <f t="shared" si="28"/>
        <v>1.201054405120022</v>
      </c>
      <c r="L241" s="74"/>
      <c r="M241" s="74"/>
      <c r="N241" s="74"/>
      <c r="O241" s="74"/>
      <c r="P241" s="74"/>
      <c r="Q241" s="74"/>
      <c r="R241" s="74"/>
      <c r="S241" s="74"/>
      <c r="T241" s="74"/>
      <c r="U241" s="74"/>
      <c r="V241" s="74"/>
      <c r="W241" s="74"/>
      <c r="X241" s="74"/>
      <c r="Y241" s="74"/>
      <c r="Z241" s="74"/>
    </row>
    <row r="242" spans="1:26" x14ac:dyDescent="0.3">
      <c r="A242" s="66">
        <f t="shared" si="26"/>
        <v>2013.4999999999786</v>
      </c>
      <c r="B242" s="67">
        <f>LOOKUP(A242+0.01,Amounts!$A$4:$A$103,Amounts!$B$4:$B$103)*0.1*$A$2</f>
        <v>10235.483811</v>
      </c>
      <c r="C242" s="68">
        <f t="shared" si="25"/>
        <v>1858696.9614905971</v>
      </c>
      <c r="D242" s="67">
        <f t="array" ref="D242">SUM($B$7:$B237*$F$1009*EXP(-$F$1009*($A242-$A$7:$A237)))*$F$1010</f>
        <v>219787260.90805316</v>
      </c>
      <c r="E242" s="67">
        <f t="shared" si="23"/>
        <v>419.00501008842917</v>
      </c>
      <c r="F242" s="70">
        <f t="shared" si="27"/>
        <v>25.44198421256942</v>
      </c>
      <c r="G242" s="67">
        <f>E242/'Lookup Tables'!$C$48</f>
        <v>838.01002017685835</v>
      </c>
      <c r="H242" s="70">
        <f t="shared" si="24"/>
        <v>0.11848571223028413</v>
      </c>
      <c r="I242" s="71">
        <f t="shared" si="28"/>
        <v>1.206734429054676</v>
      </c>
      <c r="L242" s="74"/>
      <c r="M242" s="74"/>
      <c r="N242" s="74"/>
      <c r="O242" s="74"/>
      <c r="P242" s="74"/>
      <c r="Q242" s="74"/>
      <c r="R242" s="74"/>
      <c r="S242" s="74"/>
      <c r="T242" s="74"/>
      <c r="U242" s="74"/>
      <c r="V242" s="74"/>
      <c r="W242" s="74"/>
      <c r="X242" s="74"/>
      <c r="Y242" s="74"/>
      <c r="Z242" s="74"/>
    </row>
    <row r="243" spans="1:26" x14ac:dyDescent="0.3">
      <c r="A243" s="66">
        <f t="shared" si="26"/>
        <v>2013.5999999999785</v>
      </c>
      <c r="B243" s="67">
        <f>LOOKUP(A243+0.01,Amounts!$A$4:$A$103,Amounts!$B$4:$B$103)*0.1*$A$2</f>
        <v>10235.483811</v>
      </c>
      <c r="C243" s="68">
        <f t="shared" si="25"/>
        <v>1868932.445301597</v>
      </c>
      <c r="D243" s="67">
        <f t="array" ref="D243">SUM($B$7:$B238*$F$1009*EXP(-$F$1009*($A243-$A$7:$A238)))*$F$1010</f>
        <v>220818893.26256356</v>
      </c>
      <c r="E243" s="67">
        <f t="shared" si="23"/>
        <v>420.97172609973614</v>
      </c>
      <c r="F243" s="70">
        <f t="shared" si="27"/>
        <v>25.561403208775978</v>
      </c>
      <c r="G243" s="67">
        <f>E243/'Lookup Tables'!$C$48</f>
        <v>841.94345219947229</v>
      </c>
      <c r="H243" s="70">
        <f t="shared" si="24"/>
        <v>0.11838990745452828</v>
      </c>
      <c r="I243" s="71">
        <f t="shared" si="28"/>
        <v>1.2123985711672403</v>
      </c>
      <c r="L243" s="74"/>
      <c r="M243" s="74"/>
      <c r="N243" s="74"/>
      <c r="O243" s="74"/>
      <c r="P243" s="74"/>
      <c r="Q243" s="74"/>
      <c r="R243" s="74"/>
      <c r="S243" s="74"/>
      <c r="T243" s="74"/>
      <c r="U243" s="74"/>
      <c r="V243" s="74"/>
      <c r="W243" s="74"/>
      <c r="X243" s="74"/>
      <c r="Y243" s="74"/>
      <c r="Z243" s="74"/>
    </row>
    <row r="244" spans="1:26" x14ac:dyDescent="0.3">
      <c r="A244" s="66">
        <f t="shared" si="26"/>
        <v>2013.6999999999784</v>
      </c>
      <c r="B244" s="67">
        <f>LOOKUP(A244+0.01,Amounts!$A$4:$A$103,Amounts!$B$4:$B$103)*0.1*$A$2</f>
        <v>10235.483811</v>
      </c>
      <c r="C244" s="68">
        <f t="shared" si="25"/>
        <v>1879167.9291125969</v>
      </c>
      <c r="D244" s="67">
        <f t="array" ref="D244">SUM($B$7:$B239*$F$1009*EXP(-$F$1009*($A244-$A$7:$A239)))*$F$1010</f>
        <v>221847641.08670843</v>
      </c>
      <c r="E244" s="67">
        <f t="shared" si="23"/>
        <v>422.9329430085478</v>
      </c>
      <c r="F244" s="70">
        <f t="shared" si="27"/>
        <v>25.68048829947902</v>
      </c>
      <c r="G244" s="67">
        <f>E244/'Lookup Tables'!$C$48</f>
        <v>845.86588601709559</v>
      </c>
      <c r="H244" s="70">
        <f t="shared" si="24"/>
        <v>0.11829360825153439</v>
      </c>
      <c r="I244" s="71">
        <f t="shared" si="28"/>
        <v>1.2180468758646175</v>
      </c>
      <c r="L244" s="74"/>
      <c r="M244" s="74"/>
      <c r="N244" s="74"/>
      <c r="O244" s="74"/>
      <c r="P244" s="74"/>
      <c r="Q244" s="74"/>
      <c r="R244" s="74"/>
      <c r="S244" s="74"/>
      <c r="T244" s="74"/>
      <c r="U244" s="74"/>
      <c r="V244" s="74"/>
      <c r="W244" s="74"/>
      <c r="X244" s="74"/>
      <c r="Y244" s="74"/>
      <c r="Z244" s="74"/>
    </row>
    <row r="245" spans="1:26" x14ac:dyDescent="0.3">
      <c r="A245" s="66">
        <f t="shared" si="26"/>
        <v>2013.7999999999784</v>
      </c>
      <c r="B245" s="67">
        <f>LOOKUP(A245+0.01,Amounts!$A$4:$A$103,Amounts!$B$4:$B$103)*0.1*$A$2</f>
        <v>10235.483811</v>
      </c>
      <c r="C245" s="68">
        <f t="shared" si="25"/>
        <v>1889403.4129235968</v>
      </c>
      <c r="D245" s="67">
        <f t="array" ref="D245">SUM($B$7:$B240*$F$1009*EXP(-$F$1009*($A245-$A$7:$A240)))*$F$1010</f>
        <v>222873512.44587597</v>
      </c>
      <c r="E245" s="67">
        <f t="shared" si="23"/>
        <v>424.88867619081469</v>
      </c>
      <c r="F245" s="70">
        <f t="shared" si="27"/>
        <v>25.799240418306269</v>
      </c>
      <c r="G245" s="67">
        <f>E245/'Lookup Tables'!$C$48</f>
        <v>849.77735238162938</v>
      </c>
      <c r="H245" s="70">
        <f t="shared" si="24"/>
        <v>0.118196826934028</v>
      </c>
      <c r="I245" s="71">
        <f t="shared" si="28"/>
        <v>1.2236793874295464</v>
      </c>
      <c r="L245" s="74"/>
      <c r="M245" s="74"/>
      <c r="N245" s="74"/>
      <c r="O245" s="74"/>
      <c r="P245" s="74"/>
      <c r="Q245" s="74"/>
      <c r="R245" s="74"/>
      <c r="S245" s="74"/>
      <c r="T245" s="74"/>
      <c r="U245" s="74"/>
      <c r="V245" s="74"/>
      <c r="W245" s="74"/>
      <c r="X245" s="74"/>
      <c r="Y245" s="74"/>
      <c r="Z245" s="74"/>
    </row>
    <row r="246" spans="1:26" x14ac:dyDescent="0.3">
      <c r="A246" s="66">
        <f t="shared" si="26"/>
        <v>2013.8999999999783</v>
      </c>
      <c r="B246" s="67">
        <f>LOOKUP(A246+0.01,Amounts!$A$4:$A$103,Amounts!$B$4:$B$103)*0.1*$A$2</f>
        <v>10235.483811</v>
      </c>
      <c r="C246" s="68">
        <f t="shared" si="25"/>
        <v>1899638.8967345967</v>
      </c>
      <c r="D246" s="67">
        <f t="array" ref="D246">SUM($B$7:$B241*$F$1009*EXP(-$F$1009*($A246-$A$7:$A241)))*$F$1010</f>
        <v>223896515.38290289</v>
      </c>
      <c r="E246" s="67">
        <f t="shared" si="23"/>
        <v>426.83894097949491</v>
      </c>
      <c r="F246" s="70">
        <f t="shared" si="27"/>
        <v>25.917660496274934</v>
      </c>
      <c r="G246" s="67">
        <f>E246/'Lookup Tables'!$C$48</f>
        <v>853.67788195898981</v>
      </c>
      <c r="H246" s="70">
        <f t="shared" si="24"/>
        <v>0.1180995755374694</v>
      </c>
      <c r="I246" s="71">
        <f t="shared" si="28"/>
        <v>1.2292961500209454</v>
      </c>
      <c r="L246" s="74"/>
      <c r="M246" s="74"/>
      <c r="N246" s="74"/>
      <c r="O246" s="74"/>
      <c r="P246" s="74"/>
      <c r="Q246" s="74"/>
      <c r="R246" s="74"/>
      <c r="S246" s="74"/>
      <c r="T246" s="74"/>
      <c r="U246" s="74"/>
      <c r="V246" s="74"/>
      <c r="W246" s="74"/>
      <c r="X246" s="74"/>
      <c r="Y246" s="74"/>
      <c r="Z246" s="74"/>
    </row>
    <row r="247" spans="1:26" x14ac:dyDescent="0.3">
      <c r="A247" s="66">
        <f t="shared" si="26"/>
        <v>2013.9999999999782</v>
      </c>
      <c r="B247" s="67">
        <f>LOOKUP(A247+0.01,Amounts!$A$4:$A$103,Amounts!$B$4:$B$103)*0.1*$A$2</f>
        <v>10440.19348722</v>
      </c>
      <c r="C247" s="68">
        <f t="shared" si="25"/>
        <v>1910079.0902218167</v>
      </c>
      <c r="D247" s="67">
        <f t="array" ref="D247">SUM($B$7:$B242*$F$1009*EXP(-$F$1009*($A247-$A$7:$A242)))*$F$1010</f>
        <v>224916657.91813734</v>
      </c>
      <c r="E247" s="67">
        <f t="shared" si="23"/>
        <v>428.7837526646743</v>
      </c>
      <c r="F247" s="70">
        <f t="shared" si="27"/>
        <v>26.035749461799021</v>
      </c>
      <c r="G247" s="67">
        <f>E247/'Lookup Tables'!$C$48</f>
        <v>857.56750532934859</v>
      </c>
      <c r="H247" s="70">
        <f t="shared" si="24"/>
        <v>0.11798921916598794</v>
      </c>
      <c r="I247" s="71">
        <f t="shared" si="28"/>
        <v>1.2348972076742619</v>
      </c>
      <c r="L247" s="74"/>
      <c r="M247" s="74"/>
      <c r="N247" s="74"/>
      <c r="O247" s="74"/>
      <c r="P247" s="74"/>
      <c r="Q247" s="74"/>
      <c r="R247" s="74"/>
      <c r="S247" s="74"/>
      <c r="T247" s="74"/>
      <c r="U247" s="74"/>
      <c r="V247" s="74"/>
      <c r="W247" s="74"/>
      <c r="X247" s="74"/>
      <c r="Y247" s="74"/>
      <c r="Z247" s="74"/>
    </row>
    <row r="248" spans="1:26" x14ac:dyDescent="0.3">
      <c r="A248" s="66">
        <f t="shared" si="26"/>
        <v>2014.0999999999781</v>
      </c>
      <c r="B248" s="67">
        <f>LOOKUP(A248+0.01,Amounts!$A$4:$A$103,Amounts!$B$4:$B$103)*0.1*$A$2</f>
        <v>10440.19348722</v>
      </c>
      <c r="C248" s="68">
        <f t="shared" si="25"/>
        <v>1920519.2837090367</v>
      </c>
      <c r="D248" s="67">
        <f t="array" ref="D248">SUM($B$7:$B243*$F$1009*EXP(-$F$1009*($A248-$A$7:$A243)))*$F$1010</f>
        <v>225933948.04950225</v>
      </c>
      <c r="E248" s="67">
        <f t="shared" si="23"/>
        <v>430.72312649368678</v>
      </c>
      <c r="F248" s="70">
        <f t="shared" si="27"/>
        <v>26.153508240696656</v>
      </c>
      <c r="G248" s="67">
        <f>E248/'Lookup Tables'!$C$48</f>
        <v>861.44625298737355</v>
      </c>
      <c r="H248" s="70">
        <f t="shared" si="24"/>
        <v>0.11787857440716024</v>
      </c>
      <c r="I248" s="71">
        <f t="shared" si="28"/>
        <v>1.2404826043018178</v>
      </c>
      <c r="L248" s="74"/>
      <c r="M248" s="74"/>
      <c r="N248" s="74"/>
      <c r="O248" s="74"/>
      <c r="P248" s="74"/>
      <c r="Q248" s="74"/>
      <c r="R248" s="74"/>
      <c r="S248" s="74"/>
      <c r="T248" s="74"/>
      <c r="U248" s="74"/>
      <c r="V248" s="74"/>
      <c r="W248" s="74"/>
      <c r="X248" s="74"/>
      <c r="Y248" s="74"/>
      <c r="Z248" s="74"/>
    </row>
    <row r="249" spans="1:26" x14ac:dyDescent="0.3">
      <c r="A249" s="66">
        <f t="shared" si="26"/>
        <v>2014.199999999978</v>
      </c>
      <c r="B249" s="67">
        <f>LOOKUP(A249+0.01,Amounts!$A$4:$A$103,Amounts!$B$4:$B$103)*0.1*$A$2</f>
        <v>10440.19348722</v>
      </c>
      <c r="C249" s="68">
        <f t="shared" si="25"/>
        <v>1930959.4771962566</v>
      </c>
      <c r="D249" s="67">
        <f t="array" ref="D249">SUM($B$7:$B244*$F$1009*EXP(-$F$1009*($A249-$A$7:$A244)))*$F$1010</f>
        <v>226948393.75255722</v>
      </c>
      <c r="E249" s="67">
        <f t="shared" si="23"/>
        <v>432.65707767123263</v>
      </c>
      <c r="F249" s="70">
        <f t="shared" si="27"/>
        <v>26.270937756197249</v>
      </c>
      <c r="G249" s="67">
        <f>E249/'Lookup Tables'!$C$48</f>
        <v>865.31415534246526</v>
      </c>
      <c r="H249" s="70">
        <f t="shared" si="24"/>
        <v>0.11776765007735436</v>
      </c>
      <c r="I249" s="71">
        <f t="shared" si="28"/>
        <v>1.2460523836931501</v>
      </c>
      <c r="L249" s="74"/>
      <c r="M249" s="74"/>
      <c r="N249" s="74"/>
      <c r="O249" s="74"/>
      <c r="P249" s="74"/>
      <c r="Q249" s="74"/>
      <c r="R249" s="74"/>
      <c r="S249" s="74"/>
      <c r="T249" s="74"/>
      <c r="U249" s="74"/>
      <c r="V249" s="74"/>
      <c r="W249" s="74"/>
      <c r="X249" s="74"/>
      <c r="Y249" s="74"/>
      <c r="Z249" s="74"/>
    </row>
    <row r="250" spans="1:26" x14ac:dyDescent="0.3">
      <c r="A250" s="66">
        <f t="shared" si="26"/>
        <v>2014.2999999999779</v>
      </c>
      <c r="B250" s="67">
        <f>LOOKUP(A250+0.01,Amounts!$A$4:$A$103,Amounts!$B$4:$B$103)*0.1*$A$2</f>
        <v>10440.19348722</v>
      </c>
      <c r="C250" s="68">
        <f t="shared" si="25"/>
        <v>1941399.6706834766</v>
      </c>
      <c r="D250" s="67">
        <f t="array" ref="D250">SUM($B$7:$B245*$F$1009*EXP(-$F$1009*($A250-$A$7:$A245)))*$F$1010</f>
        <v>227960002.98056179</v>
      </c>
      <c r="E250" s="67">
        <f t="shared" si="23"/>
        <v>434.58562135949916</v>
      </c>
      <c r="F250" s="70">
        <f t="shared" si="27"/>
        <v>26.388038928948792</v>
      </c>
      <c r="G250" s="67">
        <f>E250/'Lookup Tables'!$C$48</f>
        <v>869.17124271899831</v>
      </c>
      <c r="H250" s="70">
        <f t="shared" si="24"/>
        <v>0.11765645479178295</v>
      </c>
      <c r="I250" s="71">
        <f t="shared" si="28"/>
        <v>1.2516065895153576</v>
      </c>
      <c r="L250" s="74"/>
      <c r="M250" s="74"/>
      <c r="N250" s="74"/>
      <c r="O250" s="74"/>
      <c r="P250" s="74"/>
      <c r="Q250" s="74"/>
      <c r="R250" s="74"/>
      <c r="S250" s="74"/>
      <c r="T250" s="74"/>
      <c r="U250" s="74"/>
      <c r="V250" s="74"/>
      <c r="W250" s="74"/>
      <c r="X250" s="74"/>
      <c r="Y250" s="74"/>
      <c r="Z250" s="74"/>
    </row>
    <row r="251" spans="1:26" x14ac:dyDescent="0.3">
      <c r="A251" s="66">
        <f t="shared" si="26"/>
        <v>2014.3999999999778</v>
      </c>
      <c r="B251" s="67">
        <f>LOOKUP(A251+0.01,Amounts!$A$4:$A$103,Amounts!$B$4:$B$103)*0.1*$A$2</f>
        <v>10440.19348722</v>
      </c>
      <c r="C251" s="68">
        <f t="shared" si="25"/>
        <v>1951839.8641706966</v>
      </c>
      <c r="D251" s="67">
        <f t="array" ref="D251">SUM($B$7:$B246*$F$1009*EXP(-$F$1009*($A251-$A$7:$A246)))*$F$1010</f>
        <v>228968783.66453782</v>
      </c>
      <c r="E251" s="67">
        <f t="shared" si="23"/>
        <v>436.50877267827917</v>
      </c>
      <c r="F251" s="70">
        <f t="shared" si="27"/>
        <v>26.504812677025111</v>
      </c>
      <c r="G251" s="67">
        <f>E251/'Lookup Tables'!$C$48</f>
        <v>873.01754535655834</v>
      </c>
      <c r="H251" s="70">
        <f t="shared" si="24"/>
        <v>0.11754499696991484</v>
      </c>
      <c r="I251" s="71">
        <f t="shared" si="28"/>
        <v>1.2571452653134441</v>
      </c>
      <c r="L251" s="74"/>
      <c r="M251" s="74"/>
      <c r="N251" s="74"/>
      <c r="O251" s="74"/>
      <c r="P251" s="74"/>
      <c r="Q251" s="74"/>
      <c r="R251" s="74"/>
      <c r="S251" s="74"/>
      <c r="T251" s="74"/>
      <c r="U251" s="74"/>
      <c r="V251" s="74"/>
      <c r="W251" s="74"/>
      <c r="X251" s="74"/>
      <c r="Y251" s="74"/>
      <c r="Z251" s="74"/>
    </row>
    <row r="252" spans="1:26" x14ac:dyDescent="0.3">
      <c r="A252" s="66">
        <f t="shared" si="26"/>
        <v>2014.4999999999777</v>
      </c>
      <c r="B252" s="67">
        <f>LOOKUP(A252+0.01,Amounts!$A$4:$A$103,Amounts!$B$4:$B$103)*0.1*$A$2</f>
        <v>10440.19348722</v>
      </c>
      <c r="C252" s="68">
        <f t="shared" si="25"/>
        <v>1962280.0576579166</v>
      </c>
      <c r="D252" s="67">
        <f t="array" ref="D252">SUM($B$7:$B247*$F$1009*EXP(-$F$1009*($A252-$A$7:$A247)))*$F$1010</f>
        <v>230007667.23178175</v>
      </c>
      <c r="E252" s="67">
        <f t="shared" si="23"/>
        <v>438.48931248652525</v>
      </c>
      <c r="F252" s="70">
        <f t="shared" si="27"/>
        <v>26.625071054181813</v>
      </c>
      <c r="G252" s="67">
        <f>E252/'Lookup Tables'!$C$48</f>
        <v>876.9786249730505</v>
      </c>
      <c r="H252" s="70">
        <f t="shared" si="24"/>
        <v>0.11745009676039599</v>
      </c>
      <c r="I252" s="71">
        <f t="shared" si="28"/>
        <v>1.2628492199611929</v>
      </c>
      <c r="L252" s="74"/>
      <c r="M252" s="74"/>
      <c r="N252" s="74"/>
      <c r="O252" s="74"/>
      <c r="P252" s="74"/>
      <c r="Q252" s="74"/>
      <c r="R252" s="74"/>
      <c r="S252" s="74"/>
      <c r="T252" s="74"/>
      <c r="U252" s="74"/>
      <c r="V252" s="74"/>
      <c r="W252" s="74"/>
      <c r="X252" s="74"/>
      <c r="Y252" s="74"/>
      <c r="Z252" s="74"/>
    </row>
    <row r="253" spans="1:26" x14ac:dyDescent="0.3">
      <c r="A253" s="66">
        <f t="shared" si="26"/>
        <v>2014.5999999999776</v>
      </c>
      <c r="B253" s="67">
        <f>LOOKUP(A253+0.01,Amounts!$A$4:$A$103,Amounts!$B$4:$B$103)*0.1*$A$2</f>
        <v>10440.19348722</v>
      </c>
      <c r="C253" s="68">
        <f t="shared" si="25"/>
        <v>1972720.2511451365</v>
      </c>
      <c r="D253" s="67">
        <f t="array" ref="D253">SUM($B$7:$B248*$F$1009*EXP(-$F$1009*($A253-$A$7:$A248)))*$F$1010</f>
        <v>231043645.99366271</v>
      </c>
      <c r="E253" s="67">
        <f t="shared" si="23"/>
        <v>440.46431453978306</v>
      </c>
      <c r="F253" s="70">
        <f t="shared" si="27"/>
        <v>26.744993178855626</v>
      </c>
      <c r="G253" s="67">
        <f>E253/'Lookup Tables'!$C$48</f>
        <v>880.92862907956612</v>
      </c>
      <c r="H253" s="70">
        <f t="shared" si="24"/>
        <v>0.11735472558145171</v>
      </c>
      <c r="I253" s="71">
        <f t="shared" si="28"/>
        <v>1.2685372258745753</v>
      </c>
      <c r="L253" s="74"/>
      <c r="M253" s="74"/>
      <c r="N253" s="74"/>
      <c r="O253" s="74"/>
      <c r="P253" s="74"/>
      <c r="Q253" s="74"/>
      <c r="R253" s="74"/>
      <c r="S253" s="74"/>
      <c r="T253" s="74"/>
      <c r="U253" s="74"/>
      <c r="V253" s="74"/>
      <c r="W253" s="74"/>
      <c r="X253" s="74"/>
      <c r="Y253" s="74"/>
      <c r="Z253" s="74"/>
    </row>
    <row r="254" spans="1:26" x14ac:dyDescent="0.3">
      <c r="A254" s="66">
        <f t="shared" si="26"/>
        <v>2014.6999999999775</v>
      </c>
      <c r="B254" s="67">
        <f>LOOKUP(A254+0.01,Amounts!$A$4:$A$103,Amounts!$B$4:$B$103)*0.1*$A$2</f>
        <v>10440.19348722</v>
      </c>
      <c r="C254" s="68">
        <f t="shared" si="25"/>
        <v>1983160.4446323565</v>
      </c>
      <c r="D254" s="67">
        <f t="array" ref="D254">SUM($B$7:$B249*$F$1009*EXP(-$F$1009*($A254-$A$7:$A249)))*$F$1010</f>
        <v>232076728.07225958</v>
      </c>
      <c r="E254" s="67">
        <f t="shared" si="23"/>
        <v>442.43379432207917</v>
      </c>
      <c r="F254" s="70">
        <f t="shared" si="27"/>
        <v>26.864579991236649</v>
      </c>
      <c r="G254" s="67">
        <f>E254/'Lookup Tables'!$C$48</f>
        <v>884.86758864415833</v>
      </c>
      <c r="H254" s="70">
        <f t="shared" si="24"/>
        <v>0.11725889497498236</v>
      </c>
      <c r="I254" s="71">
        <f t="shared" si="28"/>
        <v>1.2742093276475879</v>
      </c>
      <c r="L254" s="74"/>
      <c r="M254" s="74"/>
      <c r="N254" s="74"/>
      <c r="O254" s="74"/>
      <c r="P254" s="74"/>
      <c r="Q254" s="74"/>
      <c r="R254" s="74"/>
      <c r="S254" s="74"/>
      <c r="T254" s="74"/>
      <c r="U254" s="74"/>
      <c r="V254" s="74"/>
      <c r="W254" s="74"/>
      <c r="X254" s="74"/>
      <c r="Y254" s="74"/>
      <c r="Z254" s="74"/>
    </row>
    <row r="255" spans="1:26" x14ac:dyDescent="0.3">
      <c r="A255" s="66">
        <f t="shared" si="26"/>
        <v>2014.7999999999774</v>
      </c>
      <c r="B255" s="67">
        <f>LOOKUP(A255+0.01,Amounts!$A$4:$A$103,Amounts!$B$4:$B$103)*0.1*$A$2</f>
        <v>10440.19348722</v>
      </c>
      <c r="C255" s="68">
        <f t="shared" si="25"/>
        <v>1993600.6381195765</v>
      </c>
      <c r="D255" s="67">
        <f t="array" ref="D255">SUM($B$7:$B250*$F$1009*EXP(-$F$1009*($A255-$A$7:$A250)))*$F$1010</f>
        <v>233106921.56694099</v>
      </c>
      <c r="E255" s="67">
        <f t="shared" si="23"/>
        <v>444.39776727414488</v>
      </c>
      <c r="F255" s="70">
        <f t="shared" si="27"/>
        <v>26.983832428886078</v>
      </c>
      <c r="G255" s="67">
        <f>E255/'Lookup Tables'!$C$48</f>
        <v>888.79553454828977</v>
      </c>
      <c r="H255" s="70">
        <f t="shared" si="24"/>
        <v>0.11716261622970081</v>
      </c>
      <c r="I255" s="71">
        <f t="shared" si="28"/>
        <v>1.2798655697495374</v>
      </c>
      <c r="L255" s="74"/>
      <c r="M255" s="74"/>
      <c r="N255" s="74"/>
      <c r="O255" s="74"/>
      <c r="P255" s="74"/>
      <c r="Q255" s="74"/>
      <c r="R255" s="74"/>
      <c r="S255" s="74"/>
      <c r="T255" s="74"/>
      <c r="U255" s="74"/>
      <c r="V255" s="74"/>
      <c r="W255" s="74"/>
      <c r="X255" s="74"/>
      <c r="Y255" s="74"/>
      <c r="Z255" s="74"/>
    </row>
    <row r="256" spans="1:26" x14ac:dyDescent="0.3">
      <c r="A256" s="66">
        <f t="shared" si="26"/>
        <v>2014.8999999999774</v>
      </c>
      <c r="B256" s="67">
        <f>LOOKUP(A256+0.01,Amounts!$A$4:$A$103,Amounts!$B$4:$B$103)*0.1*$A$2</f>
        <v>10440.19348722</v>
      </c>
      <c r="C256" s="68">
        <f t="shared" si="25"/>
        <v>2004040.8316067965</v>
      </c>
      <c r="D256" s="67">
        <f t="array" ref="D256">SUM($B$7:$B251*$F$1009*EXP(-$F$1009*($A256-$A$7:$A251)))*$F$1010</f>
        <v>234134234.55442935</v>
      </c>
      <c r="E256" s="67">
        <f t="shared" si="23"/>
        <v>446.35624879353838</v>
      </c>
      <c r="F256" s="70">
        <f t="shared" si="27"/>
        <v>27.102751426743648</v>
      </c>
      <c r="G256" s="67">
        <f>E256/'Lookup Tables'!$C$48</f>
        <v>892.71249758707677</v>
      </c>
      <c r="H256" s="70">
        <f t="shared" si="24"/>
        <v>0.11706590038775941</v>
      </c>
      <c r="I256" s="71">
        <f t="shared" si="28"/>
        <v>1.2855059965253905</v>
      </c>
      <c r="L256" s="74"/>
      <c r="M256" s="74"/>
      <c r="N256" s="74"/>
      <c r="O256" s="74"/>
      <c r="P256" s="74"/>
      <c r="Q256" s="74"/>
      <c r="R256" s="74"/>
      <c r="S256" s="74"/>
      <c r="T256" s="74"/>
      <c r="U256" s="74"/>
      <c r="V256" s="74"/>
      <c r="W256" s="74"/>
      <c r="X256" s="74"/>
      <c r="Y256" s="74"/>
      <c r="Z256" s="74"/>
    </row>
    <row r="257" spans="1:26" x14ac:dyDescent="0.3">
      <c r="A257" s="66">
        <f t="shared" si="26"/>
        <v>2014.9999999999773</v>
      </c>
      <c r="B257" s="67">
        <f>LOOKUP(A257+0.01,Amounts!$A$4:$A$103,Amounts!$B$4:$B$103)*0.1*$A$2</f>
        <v>10648.917078660001</v>
      </c>
      <c r="C257" s="68">
        <f t="shared" si="25"/>
        <v>2014689.7486854566</v>
      </c>
      <c r="D257" s="67">
        <f t="array" ref="D257">SUM($B$7:$B252*$F$1009*EXP(-$F$1009*($A257-$A$7:$A252)))*$F$1010</f>
        <v>235158675.0888637</v>
      </c>
      <c r="E257" s="67">
        <f t="shared" si="23"/>
        <v>448.30925423476469</v>
      </c>
      <c r="F257" s="70">
        <f t="shared" si="27"/>
        <v>27.22133791713491</v>
      </c>
      <c r="G257" s="67">
        <f>E257/'Lookup Tables'!$C$48</f>
        <v>896.61850846952939</v>
      </c>
      <c r="H257" s="70">
        <f t="shared" si="24"/>
        <v>0.11695664018717369</v>
      </c>
      <c r="I257" s="71">
        <f t="shared" si="28"/>
        <v>1.2911306521961223</v>
      </c>
      <c r="L257" s="74"/>
      <c r="M257" s="74"/>
      <c r="N257" s="74"/>
      <c r="O257" s="74"/>
      <c r="P257" s="74"/>
      <c r="Q257" s="74"/>
      <c r="R257" s="74"/>
      <c r="S257" s="74"/>
      <c r="T257" s="74"/>
      <c r="U257" s="74"/>
      <c r="V257" s="74"/>
      <c r="W257" s="74"/>
      <c r="X257" s="74"/>
      <c r="Y257" s="74"/>
      <c r="Z257" s="74"/>
    </row>
    <row r="258" spans="1:26" x14ac:dyDescent="0.3">
      <c r="A258" s="66">
        <f t="shared" si="26"/>
        <v>2015.0999999999772</v>
      </c>
      <c r="B258" s="67">
        <f>LOOKUP(A258+0.01,Amounts!$A$4:$A$103,Amounts!$B$4:$B$103)*0.1*$A$2</f>
        <v>10648.917078660001</v>
      </c>
      <c r="C258" s="68">
        <f t="shared" si="25"/>
        <v>2025338.6657641167</v>
      </c>
      <c r="D258" s="67">
        <f t="array" ref="D258">SUM($B$7:$B253*$F$1009*EXP(-$F$1009*($A258-$A$7:$A253)))*$F$1010</f>
        <v>236180251.20186308</v>
      </c>
      <c r="E258" s="67">
        <f t="shared" si="23"/>
        <v>450.25679890939654</v>
      </c>
      <c r="F258" s="70">
        <f t="shared" si="27"/>
        <v>27.339592829778557</v>
      </c>
      <c r="G258" s="67">
        <f>E258/'Lookup Tables'!$C$48</f>
        <v>900.51359781879307</v>
      </c>
      <c r="H258" s="70">
        <f t="shared" si="24"/>
        <v>0.11684711179771703</v>
      </c>
      <c r="I258" s="71">
        <f t="shared" si="28"/>
        <v>1.296739580859062</v>
      </c>
      <c r="L258" s="74"/>
      <c r="M258" s="74"/>
      <c r="N258" s="74"/>
      <c r="O258" s="74"/>
      <c r="P258" s="74"/>
      <c r="Q258" s="74"/>
      <c r="R258" s="74"/>
      <c r="S258" s="74"/>
      <c r="T258" s="74"/>
      <c r="U258" s="74"/>
      <c r="V258" s="74"/>
      <c r="W258" s="74"/>
      <c r="X258" s="74"/>
      <c r="Y258" s="74"/>
      <c r="Z258" s="74"/>
    </row>
    <row r="259" spans="1:26" x14ac:dyDescent="0.3">
      <c r="A259" s="66">
        <f t="shared" si="26"/>
        <v>2015.1999999999771</v>
      </c>
      <c r="B259" s="67">
        <f>LOOKUP(A259+0.01,Amounts!$A$4:$A$103,Amounts!$B$4:$B$103)*0.1*$A$2</f>
        <v>10648.917078660001</v>
      </c>
      <c r="C259" s="68">
        <f t="shared" si="25"/>
        <v>2035987.5828427768</v>
      </c>
      <c r="D259" s="67">
        <f t="array" ref="D259">SUM($B$7:$B254*$F$1009*EXP(-$F$1009*($A259-$A$7:$A254)))*$F$1010</f>
        <v>237198970.90258947</v>
      </c>
      <c r="E259" s="67">
        <f t="shared" si="23"/>
        <v>452.19889808619422</v>
      </c>
      <c r="F259" s="70">
        <f t="shared" si="27"/>
        <v>27.457517091793711</v>
      </c>
      <c r="G259" s="67">
        <f>E259/'Lookup Tables'!$C$48</f>
        <v>904.39779617238844</v>
      </c>
      <c r="H259" s="70">
        <f t="shared" si="24"/>
        <v>0.1167373233692543</v>
      </c>
      <c r="I259" s="71">
        <f t="shared" si="28"/>
        <v>1.3023328264882392</v>
      </c>
      <c r="L259" s="74"/>
      <c r="M259" s="74"/>
      <c r="N259" s="74"/>
      <c r="O259" s="74"/>
      <c r="P259" s="74"/>
      <c r="Q259" s="74"/>
      <c r="R259" s="74"/>
      <c r="S259" s="74"/>
      <c r="T259" s="74"/>
      <c r="U259" s="74"/>
      <c r="V259" s="74"/>
      <c r="W259" s="74"/>
      <c r="X259" s="74"/>
      <c r="Y259" s="74"/>
      <c r="Z259" s="74"/>
    </row>
    <row r="260" spans="1:26" x14ac:dyDescent="0.3">
      <c r="A260" s="66">
        <f t="shared" si="26"/>
        <v>2015.299999999977</v>
      </c>
      <c r="B260" s="67">
        <f>LOOKUP(A260+0.01,Amounts!$A$4:$A$103,Amounts!$B$4:$B$103)*0.1*$A$2</f>
        <v>10648.917078660001</v>
      </c>
      <c r="C260" s="68">
        <f t="shared" si="25"/>
        <v>2046636.4999214369</v>
      </c>
      <c r="D260" s="67">
        <f t="array" ref="D260">SUM($B$7:$B255*$F$1009*EXP(-$F$1009*($A260-$A$7:$A255)))*$F$1010</f>
        <v>238214842.17781046</v>
      </c>
      <c r="E260" s="67">
        <f t="shared" si="23"/>
        <v>454.13556699122506</v>
      </c>
      <c r="F260" s="70">
        <f t="shared" si="27"/>
        <v>27.575111627707184</v>
      </c>
      <c r="G260" s="67">
        <f>E260/'Lookup Tables'!$C$48</f>
        <v>908.27113398245012</v>
      </c>
      <c r="H260" s="70">
        <f t="shared" si="24"/>
        <v>0.11662728287106698</v>
      </c>
      <c r="I260" s="71">
        <f t="shared" si="28"/>
        <v>1.307910432934728</v>
      </c>
      <c r="L260" s="74"/>
      <c r="M260" s="74"/>
      <c r="N260" s="74"/>
      <c r="O260" s="74"/>
      <c r="P260" s="74"/>
      <c r="Q260" s="74"/>
      <c r="R260" s="74"/>
      <c r="S260" s="74"/>
      <c r="T260" s="74"/>
      <c r="U260" s="74"/>
      <c r="V260" s="74"/>
      <c r="W260" s="74"/>
      <c r="X260" s="74"/>
      <c r="Y260" s="74"/>
      <c r="Z260" s="74"/>
    </row>
    <row r="261" spans="1:26" x14ac:dyDescent="0.3">
      <c r="A261" s="66">
        <f t="shared" si="26"/>
        <v>2015.3999999999769</v>
      </c>
      <c r="B261" s="67">
        <f>LOOKUP(A261+0.01,Amounts!$A$4:$A$103,Amounts!$B$4:$B$103)*0.1*$A$2</f>
        <v>10648.917078660001</v>
      </c>
      <c r="C261" s="68">
        <f t="shared" si="25"/>
        <v>2057285.417000097</v>
      </c>
      <c r="D261" s="67">
        <f t="array" ref="D261">SUM($B$7:$B256*$F$1009*EXP(-$F$1009*($A261-$A$7:$A256)))*$F$1010</f>
        <v>239227872.99196202</v>
      </c>
      <c r="E261" s="67">
        <f t="shared" si="23"/>
        <v>456.06682080798305</v>
      </c>
      <c r="F261" s="70">
        <f t="shared" si="27"/>
        <v>27.692377359460732</v>
      </c>
      <c r="G261" s="67">
        <f>E261/'Lookup Tables'!$C$48</f>
        <v>912.1336416159661</v>
      </c>
      <c r="H261" s="70">
        <f t="shared" si="24"/>
        <v>0.11651699809655754</v>
      </c>
      <c r="I261" s="71">
        <f t="shared" si="28"/>
        <v>1.3134724439269911</v>
      </c>
      <c r="L261" s="74"/>
      <c r="M261" s="74"/>
      <c r="N261" s="74"/>
      <c r="O261" s="74"/>
      <c r="P261" s="74"/>
      <c r="Q261" s="74"/>
      <c r="R261" s="74"/>
      <c r="S261" s="74"/>
      <c r="T261" s="74"/>
      <c r="U261" s="74"/>
      <c r="V261" s="74"/>
      <c r="W261" s="74"/>
      <c r="X261" s="74"/>
      <c r="Y261" s="74"/>
      <c r="Z261" s="74"/>
    </row>
    <row r="262" spans="1:26" x14ac:dyDescent="0.3">
      <c r="A262" s="66">
        <f t="shared" si="26"/>
        <v>2015.4999999999768</v>
      </c>
      <c r="B262" s="67">
        <f>LOOKUP(A262+0.01,Amounts!$A$4:$A$103,Amounts!$B$4:$B$103)*0.1*$A$2</f>
        <v>10648.917078660001</v>
      </c>
      <c r="C262" s="68">
        <f t="shared" si="25"/>
        <v>2067934.3340787571</v>
      </c>
      <c r="D262" s="67">
        <f t="array" ref="D262">SUM($B$7:$B257*$F$1009*EXP(-$F$1009*($A262-$A$7:$A257)))*$F$1010</f>
        <v>240271640.36484754</v>
      </c>
      <c r="E262" s="67">
        <f t="shared" si="23"/>
        <v>458.05667116054201</v>
      </c>
      <c r="F262" s="70">
        <f t="shared" si="27"/>
        <v>27.813201072868107</v>
      </c>
      <c r="G262" s="67">
        <f>E262/'Lookup Tables'!$C$48</f>
        <v>916.11334232108402</v>
      </c>
      <c r="H262" s="70">
        <f t="shared" si="24"/>
        <v>0.11642274244130411</v>
      </c>
      <c r="I262" s="71">
        <f t="shared" si="28"/>
        <v>1.319203212942361</v>
      </c>
      <c r="L262" s="74"/>
      <c r="M262" s="74"/>
      <c r="N262" s="74"/>
      <c r="O262" s="74"/>
      <c r="P262" s="74"/>
      <c r="Q262" s="74"/>
      <c r="R262" s="74"/>
      <c r="S262" s="74"/>
      <c r="T262" s="74"/>
      <c r="U262" s="74"/>
      <c r="V262" s="74"/>
      <c r="W262" s="74"/>
      <c r="X262" s="74"/>
      <c r="Y262" s="74"/>
      <c r="Z262" s="74"/>
    </row>
    <row r="263" spans="1:26" x14ac:dyDescent="0.3">
      <c r="A263" s="66">
        <f t="shared" si="26"/>
        <v>2015.5999999999767</v>
      </c>
      <c r="B263" s="67">
        <f>LOOKUP(A263+0.01,Amounts!$A$4:$A$103,Amounts!$B$4:$B$103)*0.1*$A$2</f>
        <v>10648.917078660001</v>
      </c>
      <c r="C263" s="68">
        <f t="shared" si="25"/>
        <v>2078583.2511574172</v>
      </c>
      <c r="D263" s="67">
        <f t="array" ref="D263">SUM($B$7:$B258*$F$1009*EXP(-$F$1009*($A263-$A$7:$A258)))*$F$1010</f>
        <v>241312489.2768409</v>
      </c>
      <c r="E263" s="67">
        <f t="shared" ref="E263:E326" si="29">D263/(365*24*60)*1.00201</f>
        <v>460.04095772505207</v>
      </c>
      <c r="F263" s="70">
        <f t="shared" si="27"/>
        <v>27.933686953065159</v>
      </c>
      <c r="G263" s="67">
        <f>E263/'Lookup Tables'!$C$48</f>
        <v>920.08191545010413</v>
      </c>
      <c r="H263" s="70">
        <f t="shared" ref="H263:H326" si="30">G263*60*24*365/(C263*2000)</f>
        <v>0.11632804567517192</v>
      </c>
      <c r="I263" s="71">
        <f t="shared" si="28"/>
        <v>1.3249179582481501</v>
      </c>
      <c r="L263" s="74"/>
      <c r="M263" s="74"/>
      <c r="N263" s="74"/>
      <c r="O263" s="74"/>
      <c r="P263" s="74"/>
      <c r="Q263" s="74"/>
      <c r="R263" s="74"/>
      <c r="S263" s="74"/>
      <c r="T263" s="74"/>
      <c r="U263" s="74"/>
      <c r="V263" s="74"/>
      <c r="W263" s="74"/>
      <c r="X263" s="74"/>
      <c r="Y263" s="74"/>
      <c r="Z263" s="74"/>
    </row>
    <row r="264" spans="1:26" x14ac:dyDescent="0.3">
      <c r="A264" s="66">
        <f t="shared" si="26"/>
        <v>2015.6999999999766</v>
      </c>
      <c r="B264" s="67">
        <f>LOOKUP(A264+0.01,Amounts!$A$4:$A$103,Amounts!$B$4:$B$103)*0.1*$A$2</f>
        <v>10648.917078660001</v>
      </c>
      <c r="C264" s="68">
        <f t="shared" si="25"/>
        <v>2089232.1682360773</v>
      </c>
      <c r="D264" s="67">
        <f t="array" ref="D264">SUM($B$7:$B259*$F$1009*EXP(-$F$1009*($A264-$A$7:$A259)))*$F$1010</f>
        <v>242350427.88820297</v>
      </c>
      <c r="E264" s="67">
        <f t="shared" si="29"/>
        <v>462.01969605833006</v>
      </c>
      <c r="F264" s="70">
        <f t="shared" si="27"/>
        <v>28.053835944661802</v>
      </c>
      <c r="G264" s="67">
        <f>E264/'Lookup Tables'!$C$48</f>
        <v>924.03939211666011</v>
      </c>
      <c r="H264" s="70">
        <f t="shared" si="30"/>
        <v>0.11623291845696794</v>
      </c>
      <c r="I264" s="71">
        <f t="shared" si="28"/>
        <v>1.3306167246479907</v>
      </c>
      <c r="L264" s="74"/>
      <c r="M264" s="74"/>
      <c r="N264" s="74"/>
      <c r="O264" s="74"/>
      <c r="P264" s="74"/>
      <c r="Q264" s="74"/>
      <c r="R264" s="74"/>
      <c r="S264" s="74"/>
      <c r="T264" s="74"/>
      <c r="U264" s="74"/>
      <c r="V264" s="74"/>
      <c r="W264" s="74"/>
      <c r="X264" s="74"/>
      <c r="Y264" s="74"/>
      <c r="Z264" s="74"/>
    </row>
    <row r="265" spans="1:26" x14ac:dyDescent="0.3">
      <c r="A265" s="66">
        <f t="shared" si="26"/>
        <v>2015.7999999999765</v>
      </c>
      <c r="B265" s="67">
        <f>LOOKUP(A265+0.01,Amounts!$A$4:$A$103,Amounts!$B$4:$B$103)*0.1*$A$2</f>
        <v>10648.917078660001</v>
      </c>
      <c r="C265" s="68">
        <f t="shared" ref="C265:C328" si="31">C264+B265</f>
        <v>2099881.0853147372</v>
      </c>
      <c r="D265" s="67">
        <f t="array" ref="D265">SUM($B$7:$B260*$F$1009*EXP(-$F$1009*($A265-$A$7:$A260)))*$F$1010</f>
        <v>243385464.3363778</v>
      </c>
      <c r="E265" s="67">
        <f t="shared" si="29"/>
        <v>463.99290167369469</v>
      </c>
      <c r="F265" s="70">
        <f t="shared" si="27"/>
        <v>28.173648989626738</v>
      </c>
      <c r="G265" s="67">
        <f>E265/'Lookup Tables'!$C$48</f>
        <v>927.98580334738938</v>
      </c>
      <c r="H265" s="70">
        <f t="shared" si="30"/>
        <v>0.11613737121839982</v>
      </c>
      <c r="I265" s="71">
        <f t="shared" si="28"/>
        <v>1.3362995568202405</v>
      </c>
      <c r="L265" s="74"/>
      <c r="M265" s="74"/>
      <c r="N265" s="74"/>
      <c r="O265" s="74"/>
      <c r="P265" s="74"/>
      <c r="Q265" s="74"/>
      <c r="R265" s="74"/>
      <c r="S265" s="74"/>
      <c r="T265" s="74"/>
      <c r="U265" s="74"/>
      <c r="V265" s="74"/>
      <c r="W265" s="74"/>
      <c r="X265" s="74"/>
      <c r="Y265" s="74"/>
      <c r="Z265" s="74"/>
    </row>
    <row r="266" spans="1:26" x14ac:dyDescent="0.3">
      <c r="A266" s="66">
        <f t="shared" si="26"/>
        <v>2015.8999999999764</v>
      </c>
      <c r="B266" s="67">
        <f>LOOKUP(A266+0.01,Amounts!$A$4:$A$103,Amounts!$B$4:$B$103)*0.1*$A$2</f>
        <v>10648.917078660001</v>
      </c>
      <c r="C266" s="68">
        <f t="shared" si="31"/>
        <v>2110530.002393397</v>
      </c>
      <c r="D266" s="67">
        <f t="array" ref="D266">SUM($B$7:$B261*$F$1009*EXP(-$F$1009*($A266-$A$7:$A261)))*$F$1010</f>
        <v>244417606.73605639</v>
      </c>
      <c r="E266" s="67">
        <f t="shared" si="29"/>
        <v>465.96059004108804</v>
      </c>
      <c r="F266" s="70">
        <f t="shared" si="27"/>
        <v>28.293127027294865</v>
      </c>
      <c r="G266" s="67">
        <f>E266/'Lookup Tables'!$C$48</f>
        <v>931.92118008217608</v>
      </c>
      <c r="H266" s="70">
        <f t="shared" si="30"/>
        <v>0.11604141416983539</v>
      </c>
      <c r="I266" s="71">
        <f t="shared" si="28"/>
        <v>1.3419664993183336</v>
      </c>
      <c r="L266" s="74"/>
      <c r="M266" s="74"/>
      <c r="N266" s="74"/>
      <c r="O266" s="74"/>
      <c r="P266" s="74"/>
      <c r="Q266" s="74"/>
      <c r="R266" s="74"/>
      <c r="S266" s="74"/>
      <c r="T266" s="74"/>
      <c r="U266" s="74"/>
      <c r="V266" s="74"/>
      <c r="W266" s="74"/>
      <c r="X266" s="74"/>
      <c r="Y266" s="74"/>
      <c r="Z266" s="74"/>
    </row>
    <row r="267" spans="1:26" x14ac:dyDescent="0.3">
      <c r="A267" s="66">
        <f t="shared" si="26"/>
        <v>2015.9999999999764</v>
      </c>
      <c r="B267" s="67">
        <f>LOOKUP(A267+0.01,Amounts!$A$4:$A$103,Amounts!$B$4:$B$103)*0.1*$A$2</f>
        <v>10861.87758061</v>
      </c>
      <c r="C267" s="68">
        <f t="shared" si="31"/>
        <v>2121391.8799740071</v>
      </c>
      <c r="D267" s="67">
        <f t="array" ref="D267">SUM($B$7:$B262*$F$1009*EXP(-$F$1009*($A267-$A$7:$A262)))*$F$1010</f>
        <v>245446863.17924055</v>
      </c>
      <c r="E267" s="67">
        <f t="shared" si="29"/>
        <v>467.92277658719718</v>
      </c>
      <c r="F267" s="70">
        <f t="shared" si="27"/>
        <v>28.412270994374609</v>
      </c>
      <c r="G267" s="67">
        <f>E267/'Lookup Tables'!$C$48</f>
        <v>935.84555317439435</v>
      </c>
      <c r="H267" s="70">
        <f t="shared" si="30"/>
        <v>0.11593341791109536</v>
      </c>
      <c r="I267" s="71">
        <f t="shared" si="28"/>
        <v>1.3476175965711279</v>
      </c>
      <c r="L267" s="74"/>
      <c r="M267" s="74"/>
      <c r="N267" s="74"/>
      <c r="O267" s="74"/>
      <c r="P267" s="74"/>
      <c r="Q267" s="74"/>
      <c r="R267" s="74"/>
      <c r="S267" s="74"/>
      <c r="T267" s="74"/>
      <c r="U267" s="74"/>
      <c r="V267" s="74"/>
      <c r="W267" s="74"/>
      <c r="X267" s="74"/>
      <c r="Y267" s="74"/>
      <c r="Z267" s="74"/>
    </row>
    <row r="268" spans="1:26" x14ac:dyDescent="0.3">
      <c r="A268" s="66">
        <f t="shared" si="26"/>
        <v>2016.0999999999763</v>
      </c>
      <c r="B268" s="67">
        <f>LOOKUP(A268+0.01,Amounts!$A$4:$A$103,Amounts!$B$4:$B$103)*0.1*$A$2</f>
        <v>10861.87758061</v>
      </c>
      <c r="C268" s="68">
        <f t="shared" si="31"/>
        <v>2132253.7575546172</v>
      </c>
      <c r="D268" s="67">
        <f t="array" ref="D268">SUM($B$7:$B263*$F$1009*EXP(-$F$1009*($A268-$A$7:$A263)))*$F$1010</f>
        <v>246473241.73530588</v>
      </c>
      <c r="E268" s="67">
        <f t="shared" si="29"/>
        <v>469.87947669557428</v>
      </c>
      <c r="F268" s="70">
        <f t="shared" si="27"/>
        <v>28.531081824955269</v>
      </c>
      <c r="G268" s="67">
        <f>E268/'Lookup Tables'!$C$48</f>
        <v>939.75895339114857</v>
      </c>
      <c r="H268" s="70">
        <f t="shared" si="30"/>
        <v>0.11582516953068041</v>
      </c>
      <c r="I268" s="71">
        <f t="shared" si="28"/>
        <v>1.3532528928832539</v>
      </c>
      <c r="L268" s="74"/>
      <c r="M268" s="74"/>
      <c r="N268" s="74"/>
      <c r="O268" s="74"/>
      <c r="P268" s="74"/>
      <c r="Q268" s="74"/>
      <c r="R268" s="74"/>
      <c r="S268" s="74"/>
      <c r="T268" s="74"/>
      <c r="U268" s="74"/>
      <c r="V268" s="74"/>
      <c r="W268" s="74"/>
      <c r="X268" s="74"/>
      <c r="Y268" s="74"/>
      <c r="Z268" s="74"/>
    </row>
    <row r="269" spans="1:26" x14ac:dyDescent="0.3">
      <c r="A269" s="66">
        <f t="shared" si="26"/>
        <v>2016.1999999999762</v>
      </c>
      <c r="B269" s="67">
        <f>LOOKUP(A269+0.01,Amounts!$A$4:$A$103,Amounts!$B$4:$B$103)*0.1*$A$2</f>
        <v>10861.87758061</v>
      </c>
      <c r="C269" s="68">
        <f t="shared" si="31"/>
        <v>2143115.6351352273</v>
      </c>
      <c r="D269" s="67">
        <f t="array" ref="D269">SUM($B$7:$B264*$F$1009*EXP(-$F$1009*($A269-$A$7:$A264)))*$F$1010</f>
        <v>247496750.4510656</v>
      </c>
      <c r="E269" s="67">
        <f t="shared" si="29"/>
        <v>471.83070570675847</v>
      </c>
      <c r="F269" s="70">
        <f t="shared" si="27"/>
        <v>28.649560450514372</v>
      </c>
      <c r="G269" s="67">
        <f>E269/'Lookup Tables'!$C$48</f>
        <v>943.66141141351693</v>
      </c>
      <c r="H269" s="70">
        <f t="shared" si="30"/>
        <v>0.11571667662432232</v>
      </c>
      <c r="I269" s="71">
        <f t="shared" si="28"/>
        <v>1.3588724324354644</v>
      </c>
      <c r="L269" s="74"/>
      <c r="M269" s="74"/>
      <c r="N269" s="74"/>
      <c r="O269" s="74"/>
      <c r="P269" s="74"/>
      <c r="Q269" s="74"/>
      <c r="R269" s="74"/>
      <c r="S269" s="74"/>
      <c r="T269" s="74"/>
      <c r="U269" s="74"/>
      <c r="V269" s="74"/>
      <c r="W269" s="74"/>
      <c r="X269" s="74"/>
      <c r="Y269" s="74"/>
      <c r="Z269" s="74"/>
    </row>
    <row r="270" spans="1:26" x14ac:dyDescent="0.3">
      <c r="A270" s="66">
        <f t="shared" si="26"/>
        <v>2016.2999999999761</v>
      </c>
      <c r="B270" s="67">
        <f>LOOKUP(A270+0.01,Amounts!$A$4:$A$103,Amounts!$B$4:$B$103)*0.1*$A$2</f>
        <v>10861.87758061</v>
      </c>
      <c r="C270" s="68">
        <f t="shared" si="31"/>
        <v>2153977.5127158375</v>
      </c>
      <c r="D270" s="67">
        <f t="array" ref="D270">SUM($B$7:$B265*$F$1009*EXP(-$F$1009*($A270-$A$7:$A265)))*$F$1010</f>
        <v>248517397.35083336</v>
      </c>
      <c r="E270" s="67">
        <f t="shared" si="29"/>
        <v>473.77647891839524</v>
      </c>
      <c r="F270" s="70">
        <f t="shared" si="27"/>
        <v>28.767707799924963</v>
      </c>
      <c r="G270" s="67">
        <f>E270/'Lookup Tables'!$C$48</f>
        <v>947.55295783679048</v>
      </c>
      <c r="H270" s="70">
        <f t="shared" si="30"/>
        <v>0.11560794662407414</v>
      </c>
      <c r="I270" s="71">
        <f t="shared" si="28"/>
        <v>1.3644762592849782</v>
      </c>
      <c r="L270" s="74"/>
      <c r="M270" s="74"/>
      <c r="N270" s="74"/>
      <c r="O270" s="74"/>
      <c r="P270" s="74"/>
      <c r="Q270" s="74"/>
      <c r="R270" s="74"/>
      <c r="S270" s="74"/>
      <c r="T270" s="74"/>
      <c r="U270" s="74"/>
      <c r="V270" s="74"/>
      <c r="W270" s="74"/>
      <c r="X270" s="74"/>
      <c r="Y270" s="74"/>
      <c r="Z270" s="74"/>
    </row>
    <row r="271" spans="1:26" x14ac:dyDescent="0.3">
      <c r="A271" s="66">
        <f t="shared" si="26"/>
        <v>2016.399999999976</v>
      </c>
      <c r="B271" s="67">
        <f>LOOKUP(A271+0.01,Amounts!$A$4:$A$103,Amounts!$B$4:$B$103)*0.1*$A$2</f>
        <v>10861.87758061</v>
      </c>
      <c r="C271" s="68">
        <f t="shared" si="31"/>
        <v>2164839.3902964476</v>
      </c>
      <c r="D271" s="67">
        <f t="array" ref="D271">SUM($B$7:$B266*$F$1009*EXP(-$F$1009*($A271-$A$7:$A266)))*$F$1010</f>
        <v>249535190.43648604</v>
      </c>
      <c r="E271" s="67">
        <f t="shared" si="29"/>
        <v>475.71681158535654</v>
      </c>
      <c r="F271" s="70">
        <f t="shared" si="27"/>
        <v>28.885524799462846</v>
      </c>
      <c r="G271" s="67">
        <f>E271/'Lookup Tables'!$C$48</f>
        <v>951.43362317071308</v>
      </c>
      <c r="H271" s="70">
        <f t="shared" si="30"/>
        <v>0.11549898680244543</v>
      </c>
      <c r="I271" s="71">
        <f t="shared" si="28"/>
        <v>1.370064417365827</v>
      </c>
      <c r="L271" s="74"/>
      <c r="M271" s="74"/>
      <c r="N271" s="74"/>
      <c r="O271" s="74"/>
      <c r="P271" s="74"/>
      <c r="Q271" s="74"/>
      <c r="R271" s="74"/>
      <c r="S271" s="74"/>
      <c r="T271" s="74"/>
      <c r="U271" s="74"/>
      <c r="V271" s="74"/>
      <c r="W271" s="74"/>
      <c r="X271" s="74"/>
      <c r="Y271" s="74"/>
      <c r="Z271" s="74"/>
    </row>
    <row r="272" spans="1:26" x14ac:dyDescent="0.3">
      <c r="A272" s="66">
        <f t="shared" si="26"/>
        <v>2016.4999999999759</v>
      </c>
      <c r="B272" s="67">
        <f>LOOKUP(A272+0.01,Amounts!$A$4:$A$103,Amounts!$B$4:$B$103)*0.1*$A$2</f>
        <v>10861.87758061</v>
      </c>
      <c r="C272" s="68">
        <f t="shared" si="31"/>
        <v>2175701.2678770577</v>
      </c>
      <c r="D272" s="67">
        <f t="array" ref="D272">SUM($B$7:$B267*$F$1009*EXP(-$F$1009*($A272-$A$7:$A267)))*$F$1010</f>
        <v>250584388.18874744</v>
      </c>
      <c r="E272" s="67">
        <f t="shared" si="29"/>
        <v>477.71701447680147</v>
      </c>
      <c r="F272" s="70">
        <f t="shared" si="27"/>
        <v>29.006977119031383</v>
      </c>
      <c r="G272" s="67">
        <f>E272/'Lookup Tables'!$C$48</f>
        <v>955.43402895360293</v>
      </c>
      <c r="H272" s="70">
        <f t="shared" si="30"/>
        <v>0.11540557819962399</v>
      </c>
      <c r="I272" s="71">
        <f t="shared" si="28"/>
        <v>1.3758250016931881</v>
      </c>
      <c r="L272" s="74"/>
      <c r="M272" s="74"/>
      <c r="N272" s="74"/>
      <c r="O272" s="74"/>
      <c r="P272" s="74"/>
      <c r="Q272" s="74"/>
      <c r="R272" s="74"/>
      <c r="S272" s="74"/>
      <c r="T272" s="74"/>
      <c r="U272" s="74"/>
      <c r="V272" s="74"/>
      <c r="W272" s="74"/>
      <c r="X272" s="74"/>
      <c r="Y272" s="74"/>
      <c r="Z272" s="74"/>
    </row>
    <row r="273" spans="1:26" x14ac:dyDescent="0.3">
      <c r="A273" s="66">
        <f t="shared" si="26"/>
        <v>2016.5999999999758</v>
      </c>
      <c r="B273" s="67">
        <f>LOOKUP(A273+0.01,Amounts!$A$4:$A$103,Amounts!$B$4:$B$103)*0.1*$A$2</f>
        <v>10861.87758061</v>
      </c>
      <c r="C273" s="68">
        <f t="shared" si="31"/>
        <v>2186563.1454576678</v>
      </c>
      <c r="D273" s="67">
        <f t="array" ref="D273">SUM($B$7:$B268*$F$1009*EXP(-$F$1009*($A273-$A$7:$A268)))*$F$1010</f>
        <v>251630652.29632187</v>
      </c>
      <c r="E273" s="67">
        <f t="shared" si="29"/>
        <v>479.71162463363299</v>
      </c>
      <c r="F273" s="70">
        <f t="shared" si="27"/>
        <v>29.128089847754197</v>
      </c>
      <c r="G273" s="67">
        <f>E273/'Lookup Tables'!$C$48</f>
        <v>959.42324926726599</v>
      </c>
      <c r="H273" s="70">
        <f t="shared" si="30"/>
        <v>0.1153117532558901</v>
      </c>
      <c r="I273" s="71">
        <f t="shared" si="28"/>
        <v>1.3815694789448631</v>
      </c>
      <c r="L273" s="74"/>
      <c r="M273" s="74"/>
      <c r="N273" s="74"/>
      <c r="O273" s="74"/>
      <c r="P273" s="74"/>
      <c r="Q273" s="74"/>
      <c r="R273" s="74"/>
      <c r="S273" s="74"/>
      <c r="T273" s="74"/>
      <c r="U273" s="74"/>
      <c r="V273" s="74"/>
      <c r="W273" s="74"/>
      <c r="X273" s="74"/>
      <c r="Y273" s="74"/>
      <c r="Z273" s="74"/>
    </row>
    <row r="274" spans="1:26" x14ac:dyDescent="0.3">
      <c r="A274" s="66">
        <f t="shared" si="26"/>
        <v>2016.6999999999757</v>
      </c>
      <c r="B274" s="67">
        <f>LOOKUP(A274+0.01,Amounts!$A$4:$A$103,Amounts!$B$4:$B$103)*0.1*$A$2</f>
        <v>10861.87758061</v>
      </c>
      <c r="C274" s="68">
        <f t="shared" si="31"/>
        <v>2197425.0230382779</v>
      </c>
      <c r="D274" s="67">
        <f t="array" ref="D274">SUM($B$7:$B269*$F$1009*EXP(-$F$1009*($A274-$A$7:$A269)))*$F$1010</f>
        <v>252673990.96192512</v>
      </c>
      <c r="E274" s="67">
        <f t="shared" si="29"/>
        <v>481.70065769360468</v>
      </c>
      <c r="F274" s="70">
        <f t="shared" si="27"/>
        <v>29.248863935155676</v>
      </c>
      <c r="G274" s="67">
        <f>E274/'Lookup Tables'!$C$48</f>
        <v>963.40131538720937</v>
      </c>
      <c r="H274" s="70">
        <f t="shared" si="30"/>
        <v>0.11521752188554572</v>
      </c>
      <c r="I274" s="71">
        <f t="shared" si="28"/>
        <v>1.3872978941575815</v>
      </c>
      <c r="L274" s="74"/>
      <c r="M274" s="74"/>
      <c r="N274" s="74"/>
      <c r="O274" s="74"/>
      <c r="P274" s="74"/>
      <c r="Q274" s="74"/>
      <c r="R274" s="74"/>
      <c r="S274" s="74"/>
      <c r="T274" s="74"/>
      <c r="U274" s="74"/>
      <c r="V274" s="74"/>
      <c r="W274" s="74"/>
      <c r="X274" s="74"/>
      <c r="Y274" s="74"/>
      <c r="Z274" s="74"/>
    </row>
    <row r="275" spans="1:26" x14ac:dyDescent="0.3">
      <c r="A275" s="66">
        <f t="shared" ref="A275:A338" si="32">A274+0.1</f>
        <v>2016.7999999999756</v>
      </c>
      <c r="B275" s="67">
        <f>LOOKUP(A275+0.01,Amounts!$A$4:$A$103,Amounts!$B$4:$B$103)*0.1*$A$2</f>
        <v>10861.87758061</v>
      </c>
      <c r="C275" s="68">
        <f t="shared" si="31"/>
        <v>2208286.900618888</v>
      </c>
      <c r="D275" s="67">
        <f t="array" ref="D275">SUM($B$7:$B270*$F$1009*EXP(-$F$1009*($A275-$A$7:$A270)))*$F$1010</f>
        <v>253714412.36533758</v>
      </c>
      <c r="E275" s="67">
        <f t="shared" si="29"/>
        <v>483.68412925074568</v>
      </c>
      <c r="F275" s="70">
        <f t="shared" ref="F275:F338" si="33">E275*60*1012/1000000</f>
        <v>29.369300328105275</v>
      </c>
      <c r="G275" s="67">
        <f>E275/'Lookup Tables'!$C$48</f>
        <v>967.36825850149137</v>
      </c>
      <c r="H275" s="70">
        <f t="shared" si="30"/>
        <v>0.11512289379742449</v>
      </c>
      <c r="I275" s="71">
        <f t="shared" ref="I275:I338" si="34">G275*60*24/1000000</f>
        <v>1.3930102922421475</v>
      </c>
      <c r="L275" s="74"/>
      <c r="M275" s="74"/>
      <c r="N275" s="74"/>
      <c r="O275" s="74"/>
      <c r="P275" s="74"/>
      <c r="Q275" s="74"/>
      <c r="R275" s="74"/>
      <c r="S275" s="74"/>
      <c r="T275" s="74"/>
      <c r="U275" s="74"/>
      <c r="V275" s="74"/>
      <c r="W275" s="74"/>
      <c r="X275" s="74"/>
      <c r="Y275" s="74"/>
      <c r="Z275" s="74"/>
    </row>
    <row r="276" spans="1:26" x14ac:dyDescent="0.3">
      <c r="A276" s="66">
        <f t="shared" si="32"/>
        <v>2016.8999999999755</v>
      </c>
      <c r="B276" s="67">
        <f>LOOKUP(A276+0.01,Amounts!$A$4:$A$103,Amounts!$B$4:$B$103)*0.1*$A$2</f>
        <v>10861.87758061</v>
      </c>
      <c r="C276" s="68">
        <f t="shared" si="31"/>
        <v>2219148.7781994981</v>
      </c>
      <c r="D276" s="67">
        <f t="array" ref="D276">SUM($B$7:$B271*$F$1009*EXP(-$F$1009*($A276-$A$7:$A271)))*$F$1010</f>
        <v>254751924.66346851</v>
      </c>
      <c r="E276" s="67">
        <f t="shared" si="29"/>
        <v>485.6620548554834</v>
      </c>
      <c r="F276" s="70">
        <f t="shared" si="33"/>
        <v>29.489399970824948</v>
      </c>
      <c r="G276" s="67">
        <f>E276/'Lookup Tables'!$C$48</f>
        <v>971.32410971096681</v>
      </c>
      <c r="H276" s="70">
        <f t="shared" si="30"/>
        <v>0.11502787849994896</v>
      </c>
      <c r="I276" s="71">
        <f t="shared" si="34"/>
        <v>1.398706717983792</v>
      </c>
      <c r="L276" s="74"/>
      <c r="M276" s="74"/>
      <c r="N276" s="74"/>
      <c r="O276" s="74"/>
      <c r="P276" s="74"/>
      <c r="Q276" s="74"/>
      <c r="R276" s="74"/>
      <c r="S276" s="74"/>
      <c r="T276" s="74"/>
      <c r="U276" s="74"/>
      <c r="V276" s="74"/>
      <c r="W276" s="74"/>
      <c r="X276" s="74"/>
      <c r="Y276" s="74"/>
      <c r="Z276" s="74"/>
    </row>
    <row r="277" spans="1:26" x14ac:dyDescent="0.3">
      <c r="A277" s="66">
        <f t="shared" si="32"/>
        <v>2016.9999999999754</v>
      </c>
      <c r="B277" s="67">
        <f>LOOKUP(A277+0.01,Amounts!$A$4:$A$103,Amounts!$B$4:$B$103)*0.1*$A$2</f>
        <v>0</v>
      </c>
      <c r="C277" s="68">
        <f t="shared" si="31"/>
        <v>2219148.7781994981</v>
      </c>
      <c r="D277" s="67">
        <f t="array" ref="D277">SUM($B$7:$B272*$F$1009*EXP(-$F$1009*($A277-$A$7:$A272)))*$F$1010</f>
        <v>255786535.99041969</v>
      </c>
      <c r="E277" s="67">
        <f t="shared" si="29"/>
        <v>487.63445001476492</v>
      </c>
      <c r="F277" s="70">
        <f t="shared" si="33"/>
        <v>29.609163804896525</v>
      </c>
      <c r="G277" s="67">
        <f>E277/'Lookup Tables'!$C$48</f>
        <v>975.26890002952985</v>
      </c>
      <c r="H277" s="70">
        <f t="shared" si="30"/>
        <v>0.11549503550442862</v>
      </c>
      <c r="I277" s="71">
        <f t="shared" si="34"/>
        <v>1.4043872160425228</v>
      </c>
      <c r="L277" s="74"/>
      <c r="M277" s="74"/>
      <c r="N277" s="74"/>
      <c r="O277" s="74"/>
      <c r="P277" s="74"/>
      <c r="Q277" s="74"/>
      <c r="R277" s="74"/>
      <c r="S277" s="74"/>
      <c r="T277" s="74"/>
      <c r="U277" s="74"/>
      <c r="V277" s="74"/>
      <c r="W277" s="74"/>
      <c r="X277" s="74"/>
      <c r="Y277" s="74"/>
      <c r="Z277" s="74"/>
    </row>
    <row r="278" spans="1:26" x14ac:dyDescent="0.3">
      <c r="A278" s="66">
        <f t="shared" si="32"/>
        <v>2017.0999999999754</v>
      </c>
      <c r="B278" s="67">
        <f>LOOKUP(A278+0.01,Amounts!$A$4:$A$103,Amounts!$B$4:$B$103)*0.1*$A$2</f>
        <v>0</v>
      </c>
      <c r="C278" s="68">
        <f t="shared" si="31"/>
        <v>2219148.7781994981</v>
      </c>
      <c r="D278" s="67">
        <f t="array" ref="D278">SUM($B$7:$B273*$F$1009*EXP(-$F$1009*($A278-$A$7:$A273)))*$F$1010</f>
        <v>256818254.45754915</v>
      </c>
      <c r="E278" s="67">
        <f t="shared" si="29"/>
        <v>489.60133019217812</v>
      </c>
      <c r="F278" s="70">
        <f t="shared" si="33"/>
        <v>29.728592769269053</v>
      </c>
      <c r="G278" s="67">
        <f>E278/'Lookup Tables'!$C$48</f>
        <v>979.20266038435625</v>
      </c>
      <c r="H278" s="70">
        <f t="shared" si="30"/>
        <v>0.1159608862988432</v>
      </c>
      <c r="I278" s="71">
        <f t="shared" si="34"/>
        <v>1.4100518309534731</v>
      </c>
      <c r="L278" s="74"/>
      <c r="M278" s="74"/>
      <c r="N278" s="74"/>
      <c r="O278" s="74"/>
      <c r="P278" s="74"/>
      <c r="Q278" s="74"/>
      <c r="R278" s="74"/>
      <c r="S278" s="74"/>
      <c r="T278" s="74"/>
      <c r="U278" s="74"/>
      <c r="V278" s="74"/>
      <c r="W278" s="74"/>
      <c r="X278" s="74"/>
      <c r="Y278" s="74"/>
      <c r="Z278" s="74"/>
    </row>
    <row r="279" spans="1:26" x14ac:dyDescent="0.3">
      <c r="A279" s="66">
        <f t="shared" si="32"/>
        <v>2017.1999999999753</v>
      </c>
      <c r="B279" s="67">
        <f>LOOKUP(A279+0.01,Amounts!$A$4:$A$103,Amounts!$B$4:$B$103)*0.1*$A$2</f>
        <v>0</v>
      </c>
      <c r="C279" s="68">
        <f t="shared" si="31"/>
        <v>2219148.7781994981</v>
      </c>
      <c r="D279" s="67">
        <f t="array" ref="D279">SUM($B$7:$B274*$F$1009*EXP(-$F$1009*($A279-$A$7:$A274)))*$F$1010</f>
        <v>257847088.15353498</v>
      </c>
      <c r="E279" s="67">
        <f t="shared" si="29"/>
        <v>491.56271080807386</v>
      </c>
      <c r="F279" s="70">
        <f t="shared" si="33"/>
        <v>29.847687800266247</v>
      </c>
      <c r="G279" s="67">
        <f>E279/'Lookup Tables'!$C$48</f>
        <v>983.12542161614772</v>
      </c>
      <c r="H279" s="70">
        <f t="shared" si="30"/>
        <v>0.11642543453546536</v>
      </c>
      <c r="I279" s="71">
        <f t="shared" si="34"/>
        <v>1.4157006071272527</v>
      </c>
      <c r="L279" s="74"/>
      <c r="M279" s="74"/>
      <c r="N279" s="74"/>
      <c r="O279" s="74"/>
      <c r="P279" s="74"/>
      <c r="Q279" s="74"/>
      <c r="R279" s="74"/>
      <c r="S279" s="74"/>
      <c r="T279" s="74"/>
      <c r="U279" s="74"/>
      <c r="V279" s="74"/>
      <c r="W279" s="74"/>
      <c r="X279" s="74"/>
      <c r="Y279" s="74"/>
      <c r="Z279" s="74"/>
    </row>
    <row r="280" spans="1:26" x14ac:dyDescent="0.3">
      <c r="A280" s="66">
        <f t="shared" si="32"/>
        <v>2017.2999999999752</v>
      </c>
      <c r="B280" s="67">
        <f>LOOKUP(A280+0.01,Amounts!$A$4:$A$103,Amounts!$B$4:$B$103)*0.1*$A$2</f>
        <v>0</v>
      </c>
      <c r="C280" s="68">
        <f t="shared" si="31"/>
        <v>2219148.7781994981</v>
      </c>
      <c r="D280" s="67">
        <f t="array" ref="D280">SUM($B$7:$B275*$F$1009*EXP(-$F$1009*($A280-$A$7:$A275)))*$F$1010</f>
        <v>258873045.14443862</v>
      </c>
      <c r="E280" s="67">
        <f t="shared" si="29"/>
        <v>493.51860723968599</v>
      </c>
      <c r="F280" s="70">
        <f t="shared" si="33"/>
        <v>29.966449831593732</v>
      </c>
      <c r="G280" s="67">
        <f>E280/'Lookup Tables'!$C$48</f>
        <v>987.03721447937198</v>
      </c>
      <c r="H280" s="70">
        <f t="shared" si="30"/>
        <v>0.11688868385635562</v>
      </c>
      <c r="I280" s="71">
        <f t="shared" si="34"/>
        <v>1.4213335888502956</v>
      </c>
      <c r="L280" s="74"/>
      <c r="M280" s="74"/>
      <c r="N280" s="74"/>
      <c r="O280" s="74"/>
      <c r="P280" s="74"/>
      <c r="Q280" s="74"/>
      <c r="R280" s="74"/>
      <c r="S280" s="74"/>
      <c r="T280" s="74"/>
      <c r="U280" s="74"/>
      <c r="V280" s="74"/>
      <c r="W280" s="74"/>
      <c r="X280" s="74"/>
      <c r="Y280" s="74"/>
      <c r="Z280" s="74"/>
    </row>
    <row r="281" spans="1:26" x14ac:dyDescent="0.3">
      <c r="A281" s="66">
        <f t="shared" si="32"/>
        <v>2017.3999999999751</v>
      </c>
      <c r="B281" s="67">
        <f>LOOKUP(A281+0.01,Amounts!$A$4:$A$103,Amounts!$B$4:$B$103)*0.1*$A$2</f>
        <v>0</v>
      </c>
      <c r="C281" s="68">
        <f t="shared" si="31"/>
        <v>2219148.7781994981</v>
      </c>
      <c r="D281" s="67">
        <f t="array" ref="D281">SUM($B$7:$B276*$F$1009*EXP(-$F$1009*($A281-$A$7:$A276)))*$F$1010</f>
        <v>259896133.47376814</v>
      </c>
      <c r="E281" s="67">
        <f t="shared" si="29"/>
        <v>495.46903482125271</v>
      </c>
      <c r="F281" s="70">
        <f t="shared" si="33"/>
        <v>30.084879794346467</v>
      </c>
      <c r="G281" s="67">
        <f>E281/'Lookup Tables'!$C$48</f>
        <v>990.93806964250541</v>
      </c>
      <c r="H281" s="70">
        <f t="shared" si="30"/>
        <v>0.11735063789339102</v>
      </c>
      <c r="I281" s="71">
        <f t="shared" si="34"/>
        <v>1.4269508202852079</v>
      </c>
      <c r="L281" s="74"/>
      <c r="M281" s="74"/>
      <c r="N281" s="74"/>
      <c r="O281" s="74"/>
      <c r="P281" s="74"/>
      <c r="Q281" s="74"/>
      <c r="R281" s="74"/>
      <c r="S281" s="74"/>
      <c r="T281" s="74"/>
      <c r="U281" s="74"/>
      <c r="V281" s="74"/>
      <c r="W281" s="74"/>
      <c r="X281" s="74"/>
      <c r="Y281" s="74"/>
      <c r="Z281" s="74"/>
    </row>
    <row r="282" spans="1:26" x14ac:dyDescent="0.3">
      <c r="A282" s="66">
        <f t="shared" si="32"/>
        <v>2017.499999999975</v>
      </c>
      <c r="B282" s="67">
        <f>LOOKUP(A282+0.01,Amounts!$A$4:$A$103,Amounts!$B$4:$B$103)*0.1*$A$2</f>
        <v>0</v>
      </c>
      <c r="C282" s="68">
        <f t="shared" si="31"/>
        <v>2219148.7781994981</v>
      </c>
      <c r="D282" s="67">
        <f t="array" ref="D282">SUM($B$7:$B277*$F$1009*EXP(-$F$1009*($A282-$A$7:$A277)))*$F$1010</f>
        <v>259169442.14267743</v>
      </c>
      <c r="E282" s="67">
        <f t="shared" si="29"/>
        <v>494.0836619508832</v>
      </c>
      <c r="F282" s="70">
        <f t="shared" si="33"/>
        <v>30.000759953657631</v>
      </c>
      <c r="G282" s="67">
        <f>E282/'Lookup Tables'!$C$48</f>
        <v>988.16732390176639</v>
      </c>
      <c r="H282" s="70">
        <f t="shared" si="30"/>
        <v>0.11702251569274391</v>
      </c>
      <c r="I282" s="71">
        <f t="shared" si="34"/>
        <v>1.4229609464185438</v>
      </c>
      <c r="L282" s="74"/>
      <c r="M282" s="74"/>
      <c r="N282" s="74"/>
      <c r="O282" s="74"/>
      <c r="P282" s="74"/>
      <c r="Q282" s="74"/>
      <c r="R282" s="74"/>
      <c r="S282" s="74"/>
      <c r="T282" s="74"/>
      <c r="U282" s="74"/>
      <c r="V282" s="74"/>
      <c r="W282" s="74"/>
      <c r="X282" s="74"/>
      <c r="Y282" s="74"/>
      <c r="Z282" s="74"/>
    </row>
    <row r="283" spans="1:26" x14ac:dyDescent="0.3">
      <c r="A283" s="66">
        <f t="shared" si="32"/>
        <v>2017.5999999999749</v>
      </c>
      <c r="B283" s="67">
        <f>LOOKUP(A283+0.01,Amounts!$A$4:$A$103,Amounts!$B$4:$B$103)*0.1*$A$2</f>
        <v>0</v>
      </c>
      <c r="C283" s="68">
        <f t="shared" si="31"/>
        <v>2219148.7781994981</v>
      </c>
      <c r="D283" s="67">
        <f t="array" ref="D283">SUM($B$7:$B278*$F$1009*EXP(-$F$1009*($A283-$A$7:$A278)))*$F$1010</f>
        <v>258444782.70134062</v>
      </c>
      <c r="E283" s="67">
        <f t="shared" si="29"/>
        <v>492.70216269895423</v>
      </c>
      <c r="F283" s="70">
        <f t="shared" si="33"/>
        <v>29.916875319080496</v>
      </c>
      <c r="G283" s="67">
        <f>E283/'Lookup Tables'!$C$48</f>
        <v>985.40432539790845</v>
      </c>
      <c r="H283" s="70">
        <f t="shared" si="30"/>
        <v>0.11669531094921921</v>
      </c>
      <c r="I283" s="71">
        <f t="shared" si="34"/>
        <v>1.4189822285729883</v>
      </c>
      <c r="L283" s="74"/>
      <c r="M283" s="74"/>
      <c r="N283" s="74"/>
      <c r="O283" s="74"/>
      <c r="P283" s="74"/>
      <c r="Q283" s="74"/>
      <c r="R283" s="74"/>
      <c r="S283" s="74"/>
      <c r="T283" s="74"/>
      <c r="U283" s="74"/>
      <c r="V283" s="74"/>
      <c r="W283" s="74"/>
      <c r="X283" s="74"/>
      <c r="Y283" s="74"/>
      <c r="Z283" s="74"/>
    </row>
    <row r="284" spans="1:26" x14ac:dyDescent="0.3">
      <c r="A284" s="66">
        <f t="shared" si="32"/>
        <v>2017.6999999999748</v>
      </c>
      <c r="B284" s="67">
        <f>LOOKUP(A284+0.01,Amounts!$A$4:$A$103,Amounts!$B$4:$B$103)*0.1*$A$2</f>
        <v>0</v>
      </c>
      <c r="C284" s="68">
        <f t="shared" si="31"/>
        <v>2219148.7781994981</v>
      </c>
      <c r="D284" s="67">
        <f t="array" ref="D284">SUM($B$7:$B279*$F$1009*EXP(-$F$1009*($A284-$A$7:$A279)))*$F$1010</f>
        <v>257722149.46842384</v>
      </c>
      <c r="E284" s="67">
        <f t="shared" si="29"/>
        <v>491.32452623450416</v>
      </c>
      <c r="F284" s="70">
        <f t="shared" si="33"/>
        <v>29.833225232959091</v>
      </c>
      <c r="G284" s="67">
        <f>E284/'Lookup Tables'!$C$48</f>
        <v>982.64905246900832</v>
      </c>
      <c r="H284" s="70">
        <f t="shared" si="30"/>
        <v>0.11636902109753001</v>
      </c>
      <c r="I284" s="71">
        <f t="shared" si="34"/>
        <v>1.4150146355553719</v>
      </c>
      <c r="L284" s="74"/>
      <c r="M284" s="74"/>
      <c r="N284" s="74"/>
      <c r="O284" s="74"/>
      <c r="P284" s="74"/>
      <c r="Q284" s="74"/>
      <c r="R284" s="74"/>
      <c r="S284" s="74"/>
      <c r="T284" s="74"/>
      <c r="U284" s="74"/>
      <c r="V284" s="74"/>
      <c r="W284" s="74"/>
      <c r="X284" s="74"/>
      <c r="Y284" s="74"/>
      <c r="Z284" s="74"/>
    </row>
    <row r="285" spans="1:26" x14ac:dyDescent="0.3">
      <c r="A285" s="66">
        <f t="shared" si="32"/>
        <v>2017.7999999999747</v>
      </c>
      <c r="B285" s="67">
        <f>LOOKUP(A285+0.01,Amounts!$A$4:$A$103,Amounts!$B$4:$B$103)*0.1*$A$2</f>
        <v>0</v>
      </c>
      <c r="C285" s="68">
        <f t="shared" si="31"/>
        <v>2219148.7781994981</v>
      </c>
      <c r="D285" s="67">
        <f t="array" ref="D285">SUM($B$7:$B280*$F$1009*EXP(-$F$1009*($A285-$A$7:$A280)))*$F$1010</f>
        <v>257001536.77847904</v>
      </c>
      <c r="E285" s="67">
        <f t="shared" si="29"/>
        <v>489.95074175685653</v>
      </c>
      <c r="F285" s="70">
        <f t="shared" si="33"/>
        <v>29.749809039476329</v>
      </c>
      <c r="G285" s="67">
        <f>E285/'Lookup Tables'!$C$48</f>
        <v>979.90148351371306</v>
      </c>
      <c r="H285" s="70">
        <f t="shared" si="30"/>
        <v>0.11604364357956233</v>
      </c>
      <c r="I285" s="71">
        <f t="shared" si="34"/>
        <v>1.4110581362597467</v>
      </c>
      <c r="L285" s="74"/>
      <c r="M285" s="74"/>
      <c r="N285" s="74"/>
      <c r="O285" s="74"/>
      <c r="P285" s="74"/>
      <c r="Q285" s="74"/>
      <c r="R285" s="74"/>
      <c r="S285" s="74"/>
      <c r="T285" s="74"/>
      <c r="U285" s="74"/>
      <c r="V285" s="74"/>
      <c r="W285" s="74"/>
      <c r="X285" s="74"/>
      <c r="Y285" s="74"/>
      <c r="Z285" s="74"/>
    </row>
    <row r="286" spans="1:26" x14ac:dyDescent="0.3">
      <c r="A286" s="66">
        <f t="shared" si="32"/>
        <v>2017.8999999999746</v>
      </c>
      <c r="B286" s="67">
        <f>LOOKUP(A286+0.01,Amounts!$A$4:$A$103,Amounts!$B$4:$B$103)*0.1*$A$2</f>
        <v>0</v>
      </c>
      <c r="C286" s="68">
        <f t="shared" si="31"/>
        <v>2219148.7781994981</v>
      </c>
      <c r="D286" s="67">
        <f t="array" ref="D286">SUM($B$7:$B281*$F$1009*EXP(-$F$1009*($A286-$A$7:$A281)))*$F$1010</f>
        <v>256282938.98189911</v>
      </c>
      <c r="E286" s="67">
        <f t="shared" si="29"/>
        <v>488.58079849553411</v>
      </c>
      <c r="F286" s="70">
        <f t="shared" si="33"/>
        <v>29.666626084648829</v>
      </c>
      <c r="G286" s="67">
        <f>E286/'Lookup Tables'!$C$48</f>
        <v>977.16159699106822</v>
      </c>
      <c r="H286" s="70">
        <f t="shared" si="30"/>
        <v>0.11571917584435475</v>
      </c>
      <c r="I286" s="71">
        <f t="shared" si="34"/>
        <v>1.4071126996671381</v>
      </c>
      <c r="L286" s="74"/>
      <c r="M286" s="74"/>
      <c r="N286" s="74"/>
      <c r="O286" s="74"/>
      <c r="P286" s="74"/>
      <c r="Q286" s="74"/>
      <c r="R286" s="74"/>
      <c r="S286" s="74"/>
      <c r="T286" s="74"/>
      <c r="U286" s="74"/>
      <c r="V286" s="74"/>
      <c r="W286" s="74"/>
      <c r="X286" s="74"/>
      <c r="Y286" s="74"/>
      <c r="Z286" s="74"/>
    </row>
    <row r="287" spans="1:26" x14ac:dyDescent="0.3">
      <c r="A287" s="66">
        <f t="shared" si="32"/>
        <v>2017.9999999999745</v>
      </c>
      <c r="B287" s="67">
        <f>LOOKUP(A287+0.01,Amounts!$A$4:$A$103,Amounts!$B$4:$B$103)*0.1*$A$2</f>
        <v>0</v>
      </c>
      <c r="C287" s="68">
        <f t="shared" si="31"/>
        <v>2219148.7781994981</v>
      </c>
      <c r="D287" s="67">
        <f t="array" ref="D287">SUM($B$7:$B282*$F$1009*EXP(-$F$1009*($A287-$A$7:$A282)))*$F$1010</f>
        <v>255566350.44487342</v>
      </c>
      <c r="E287" s="67">
        <f t="shared" si="29"/>
        <v>487.21468571017436</v>
      </c>
      <c r="F287" s="70">
        <f t="shared" si="33"/>
        <v>29.583675716321789</v>
      </c>
      <c r="G287" s="67">
        <f>E287/'Lookup Tables'!$C$48</f>
        <v>974.42937142034873</v>
      </c>
      <c r="H287" s="70">
        <f t="shared" si="30"/>
        <v>0.11539561534807849</v>
      </c>
      <c r="I287" s="71">
        <f t="shared" si="34"/>
        <v>1.4031782948453022</v>
      </c>
      <c r="L287" s="74"/>
      <c r="M287" s="74"/>
      <c r="N287" s="74"/>
      <c r="O287" s="74"/>
      <c r="P287" s="74"/>
      <c r="Q287" s="74"/>
      <c r="R287" s="74"/>
      <c r="S287" s="74"/>
      <c r="T287" s="74"/>
      <c r="U287" s="74"/>
      <c r="V287" s="74"/>
      <c r="W287" s="74"/>
      <c r="X287" s="74"/>
      <c r="Y287" s="74"/>
      <c r="Z287" s="74"/>
    </row>
    <row r="288" spans="1:26" x14ac:dyDescent="0.3">
      <c r="A288" s="66">
        <f t="shared" si="32"/>
        <v>2018.0999999999744</v>
      </c>
      <c r="B288" s="67">
        <f>LOOKUP(A288+0.01,Amounts!$A$4:$A$103,Amounts!$B$4:$B$103)*0.1*$A$2</f>
        <v>0</v>
      </c>
      <c r="C288" s="68">
        <f t="shared" si="31"/>
        <v>2219148.7781994981</v>
      </c>
      <c r="D288" s="67">
        <f t="array" ref="D288">SUM($B$7:$B283*$F$1009*EXP(-$F$1009*($A288-$A$7:$A283)))*$F$1010</f>
        <v>254851765.54934424</v>
      </c>
      <c r="E288" s="67">
        <f t="shared" si="29"/>
        <v>485.8523926904461</v>
      </c>
      <c r="F288" s="70">
        <f t="shared" si="33"/>
        <v>29.500957284163885</v>
      </c>
      <c r="G288" s="67">
        <f>E288/'Lookup Tables'!$C$48</f>
        <v>971.70478538089219</v>
      </c>
      <c r="H288" s="70">
        <f t="shared" si="30"/>
        <v>0.11507295955401761</v>
      </c>
      <c r="I288" s="71">
        <f t="shared" si="34"/>
        <v>1.3992548909484845</v>
      </c>
      <c r="L288" s="74"/>
      <c r="M288" s="74"/>
      <c r="N288" s="74"/>
      <c r="O288" s="74"/>
      <c r="P288" s="74"/>
      <c r="Q288" s="74"/>
      <c r="R288" s="74"/>
      <c r="S288" s="74"/>
      <c r="T288" s="74"/>
      <c r="U288" s="74"/>
      <c r="V288" s="74"/>
      <c r="W288" s="74"/>
      <c r="X288" s="74"/>
      <c r="Y288" s="74"/>
      <c r="Z288" s="74"/>
    </row>
    <row r="289" spans="1:26" x14ac:dyDescent="0.3">
      <c r="A289" s="66">
        <f t="shared" si="32"/>
        <v>2018.1999999999744</v>
      </c>
      <c r="B289" s="67">
        <f>LOOKUP(A289+0.01,Amounts!$A$4:$A$103,Amounts!$B$4:$B$103)*0.1*$A$2</f>
        <v>0</v>
      </c>
      <c r="C289" s="68">
        <f t="shared" si="31"/>
        <v>2219148.7781994981</v>
      </c>
      <c r="D289" s="67">
        <f t="array" ref="D289">SUM($B$7:$B284*$F$1009*EXP(-$F$1009*($A289-$A$7:$A284)))*$F$1010</f>
        <v>254139178.69296238</v>
      </c>
      <c r="E289" s="67">
        <f t="shared" si="29"/>
        <v>484.49390875596509</v>
      </c>
      <c r="F289" s="70">
        <f t="shared" si="33"/>
        <v>29.418470139662197</v>
      </c>
      <c r="G289" s="67">
        <f>E289/'Lookup Tables'!$C$48</f>
        <v>968.98781751193019</v>
      </c>
      <c r="H289" s="70">
        <f t="shared" si="30"/>
        <v>0.11475120593254906</v>
      </c>
      <c r="I289" s="71">
        <f t="shared" si="34"/>
        <v>1.3953424572171795</v>
      </c>
      <c r="L289" s="74"/>
      <c r="M289" s="74"/>
      <c r="N289" s="74"/>
      <c r="O289" s="74"/>
      <c r="P289" s="74"/>
      <c r="Q289" s="74"/>
      <c r="R289" s="74"/>
      <c r="S289" s="74"/>
      <c r="T289" s="74"/>
      <c r="U289" s="74"/>
      <c r="V289" s="74"/>
      <c r="W289" s="74"/>
      <c r="X289" s="74"/>
      <c r="Y289" s="74"/>
      <c r="Z289" s="74"/>
    </row>
    <row r="290" spans="1:26" x14ac:dyDescent="0.3">
      <c r="A290" s="66">
        <f t="shared" si="32"/>
        <v>2018.2999999999743</v>
      </c>
      <c r="B290" s="67">
        <f>LOOKUP(A290+0.01,Amounts!$A$4:$A$103,Amounts!$B$4:$B$103)*0.1*$A$2</f>
        <v>0</v>
      </c>
      <c r="C290" s="68">
        <f t="shared" si="31"/>
        <v>2219148.7781994981</v>
      </c>
      <c r="D290" s="67">
        <f t="array" ref="D290">SUM($B$7:$B285*$F$1009*EXP(-$F$1009*($A290-$A$7:$A285)))*$F$1010</f>
        <v>253428584.28904313</v>
      </c>
      <c r="E290" s="67">
        <f t="shared" si="29"/>
        <v>483.13922325621024</v>
      </c>
      <c r="F290" s="70">
        <f t="shared" si="33"/>
        <v>29.336213636117087</v>
      </c>
      <c r="G290" s="67">
        <f>E290/'Lookup Tables'!$C$48</f>
        <v>966.27844651242049</v>
      </c>
      <c r="H290" s="70">
        <f t="shared" si="30"/>
        <v>0.11443035196112275</v>
      </c>
      <c r="I290" s="71">
        <f t="shared" si="34"/>
        <v>1.3914409629778854</v>
      </c>
      <c r="L290" s="74"/>
      <c r="M290" s="74"/>
      <c r="N290" s="74"/>
      <c r="O290" s="74"/>
      <c r="P290" s="74"/>
      <c r="Q290" s="74"/>
      <c r="R290" s="74"/>
      <c r="S290" s="74"/>
      <c r="T290" s="74"/>
      <c r="U290" s="74"/>
      <c r="V290" s="74"/>
      <c r="W290" s="74"/>
      <c r="X290" s="74"/>
      <c r="Y290" s="74"/>
      <c r="Z290" s="74"/>
    </row>
    <row r="291" spans="1:26" x14ac:dyDescent="0.3">
      <c r="A291" s="66">
        <f t="shared" si="32"/>
        <v>2018.3999999999742</v>
      </c>
      <c r="B291" s="67">
        <f>LOOKUP(A291+0.01,Amounts!$A$4:$A$103,Amounts!$B$4:$B$103)*0.1*$A$2</f>
        <v>0</v>
      </c>
      <c r="C291" s="68">
        <f t="shared" si="31"/>
        <v>2219148.7781994981</v>
      </c>
      <c r="D291" s="67">
        <f t="array" ref="D291">SUM($B$7:$B286*$F$1009*EXP(-$F$1009*($A291-$A$7:$A286)))*$F$1010</f>
        <v>252719976.76652282</v>
      </c>
      <c r="E291" s="67">
        <f t="shared" si="29"/>
        <v>481.78832557044052</v>
      </c>
      <c r="F291" s="70">
        <f t="shared" si="33"/>
        <v>29.254187128637149</v>
      </c>
      <c r="G291" s="67">
        <f>E291/'Lookup Tables'!$C$48</f>
        <v>963.57665114088104</v>
      </c>
      <c r="H291" s="70">
        <f t="shared" si="30"/>
        <v>0.11411039512424198</v>
      </c>
      <c r="I291" s="71">
        <f t="shared" si="34"/>
        <v>1.3875503776428688</v>
      </c>
      <c r="L291" s="74"/>
      <c r="M291" s="74"/>
      <c r="N291" s="74"/>
      <c r="O291" s="74"/>
      <c r="P291" s="74"/>
      <c r="Q291" s="74"/>
      <c r="R291" s="74"/>
      <c r="S291" s="74"/>
      <c r="T291" s="74"/>
      <c r="U291" s="74"/>
      <c r="V291" s="74"/>
      <c r="W291" s="74"/>
      <c r="X291" s="74"/>
      <c r="Y291" s="74"/>
      <c r="Z291" s="74"/>
    </row>
    <row r="292" spans="1:26" x14ac:dyDescent="0.3">
      <c r="A292" s="66">
        <f t="shared" si="32"/>
        <v>2018.4999999999741</v>
      </c>
      <c r="B292" s="67">
        <f>LOOKUP(A292+0.01,Amounts!$A$4:$A$103,Amounts!$B$4:$B$103)*0.1*$A$2</f>
        <v>0</v>
      </c>
      <c r="C292" s="68">
        <f t="shared" si="31"/>
        <v>2219148.7781994981</v>
      </c>
      <c r="D292" s="67">
        <f t="array" ref="D292">SUM($B$7:$B287*$F$1009*EXP(-$F$1009*($A292-$A$7:$A287)))*$F$1010</f>
        <v>252013350.56991485</v>
      </c>
      <c r="E292" s="67">
        <f t="shared" si="29"/>
        <v>480.4412051076111</v>
      </c>
      <c r="F292" s="70">
        <f t="shared" si="33"/>
        <v>29.172389974134145</v>
      </c>
      <c r="G292" s="67">
        <f>E292/'Lookup Tables'!$C$48</f>
        <v>960.88241021522219</v>
      </c>
      <c r="H292" s="70">
        <f t="shared" si="30"/>
        <v>0.11379133291344345</v>
      </c>
      <c r="I292" s="71">
        <f t="shared" si="34"/>
        <v>1.3836706707099198</v>
      </c>
      <c r="L292" s="74"/>
      <c r="M292" s="74"/>
      <c r="N292" s="74"/>
      <c r="O292" s="74"/>
      <c r="P292" s="74"/>
      <c r="Q292" s="74"/>
      <c r="R292" s="74"/>
      <c r="S292" s="74"/>
      <c r="T292" s="74"/>
      <c r="U292" s="74"/>
      <c r="V292" s="74"/>
      <c r="W292" s="74"/>
      <c r="X292" s="74"/>
      <c r="Y292" s="74"/>
      <c r="Z292" s="74"/>
    </row>
    <row r="293" spans="1:26" x14ac:dyDescent="0.3">
      <c r="A293" s="66">
        <f t="shared" si="32"/>
        <v>2018.599999999974</v>
      </c>
      <c r="B293" s="67">
        <f>LOOKUP(A293+0.01,Amounts!$A$4:$A$103,Amounts!$B$4:$B$103)*0.1*$A$2</f>
        <v>0</v>
      </c>
      <c r="C293" s="68">
        <f t="shared" si="31"/>
        <v>2219148.7781994981</v>
      </c>
      <c r="D293" s="67">
        <f t="array" ref="D293">SUM($B$7:$B288*$F$1009*EXP(-$F$1009*($A293-$A$7:$A288)))*$F$1010</f>
        <v>251308700.15926623</v>
      </c>
      <c r="E293" s="67">
        <f t="shared" si="29"/>
        <v>479.09785130629064</v>
      </c>
      <c r="F293" s="70">
        <f t="shared" si="33"/>
        <v>29.090821531317964</v>
      </c>
      <c r="G293" s="67">
        <f>E293/'Lookup Tables'!$C$48</f>
        <v>958.19570261258127</v>
      </c>
      <c r="H293" s="70">
        <f t="shared" si="30"/>
        <v>0.11347316282727783</v>
      </c>
      <c r="I293" s="71">
        <f t="shared" si="34"/>
        <v>1.3798018117621169</v>
      </c>
      <c r="L293" s="74"/>
      <c r="M293" s="74"/>
      <c r="N293" s="74"/>
      <c r="O293" s="74"/>
      <c r="P293" s="74"/>
      <c r="Q293" s="74"/>
      <c r="R293" s="74"/>
      <c r="S293" s="74"/>
      <c r="T293" s="74"/>
      <c r="U293" s="74"/>
      <c r="V293" s="74"/>
      <c r="W293" s="74"/>
      <c r="X293" s="74"/>
      <c r="Y293" s="74"/>
      <c r="Z293" s="74"/>
    </row>
    <row r="294" spans="1:26" x14ac:dyDescent="0.3">
      <c r="A294" s="66">
        <f t="shared" si="32"/>
        <v>2018.6999999999739</v>
      </c>
      <c r="B294" s="67">
        <f>LOOKUP(A294+0.01,Amounts!$A$4:$A$103,Amounts!$B$4:$B$103)*0.1*$A$2</f>
        <v>0</v>
      </c>
      <c r="C294" s="68">
        <f t="shared" si="31"/>
        <v>2219148.7781994981</v>
      </c>
      <c r="D294" s="67">
        <f t="array" ref="D294">SUM($B$7:$B289*$F$1009*EXP(-$F$1009*($A294-$A$7:$A289)))*$F$1010</f>
        <v>250606020.01011401</v>
      </c>
      <c r="E294" s="67">
        <f t="shared" si="29"/>
        <v>477.75825363457835</v>
      </c>
      <c r="F294" s="70">
        <f t="shared" si="33"/>
        <v>29.0094811606916</v>
      </c>
      <c r="G294" s="67">
        <f>E294/'Lookup Tables'!$C$48</f>
        <v>955.5165072691567</v>
      </c>
      <c r="H294" s="70">
        <f t="shared" si="30"/>
        <v>0.11315588237129001</v>
      </c>
      <c r="I294" s="71">
        <f t="shared" si="34"/>
        <v>1.3759437704675856</v>
      </c>
      <c r="L294" s="74"/>
      <c r="M294" s="74"/>
      <c r="N294" s="74"/>
      <c r="O294" s="74"/>
      <c r="P294" s="74"/>
      <c r="Q294" s="74"/>
      <c r="R294" s="74"/>
      <c r="S294" s="74"/>
      <c r="T294" s="74"/>
      <c r="U294" s="74"/>
      <c r="V294" s="74"/>
      <c r="W294" s="74"/>
      <c r="X294" s="74"/>
      <c r="Y294" s="74"/>
      <c r="Z294" s="74"/>
    </row>
    <row r="295" spans="1:26" x14ac:dyDescent="0.3">
      <c r="A295" s="66">
        <f t="shared" si="32"/>
        <v>2018.7999999999738</v>
      </c>
      <c r="B295" s="67">
        <f>LOOKUP(A295+0.01,Amounts!$A$4:$A$103,Amounts!$B$4:$B$103)*0.1*$A$2</f>
        <v>0</v>
      </c>
      <c r="C295" s="68">
        <f t="shared" si="31"/>
        <v>2219148.7781994981</v>
      </c>
      <c r="D295" s="67">
        <f t="array" ref="D295">SUM($B$7:$B290*$F$1009*EXP(-$F$1009*($A295-$A$7:$A290)))*$F$1010</f>
        <v>249905304.61344233</v>
      </c>
      <c r="E295" s="67">
        <f t="shared" si="29"/>
        <v>476.42240159002165</v>
      </c>
      <c r="F295" s="70">
        <f t="shared" si="33"/>
        <v>28.928368224546116</v>
      </c>
      <c r="G295" s="67">
        <f>E295/'Lookup Tables'!$C$48</f>
        <v>952.8448031800433</v>
      </c>
      <c r="H295" s="70">
        <f t="shared" si="30"/>
        <v>0.11283948905799958</v>
      </c>
      <c r="I295" s="71">
        <f t="shared" si="34"/>
        <v>1.3720965165792625</v>
      </c>
      <c r="L295" s="74"/>
      <c r="M295" s="74"/>
      <c r="N295" s="74"/>
      <c r="O295" s="74"/>
      <c r="P295" s="74"/>
      <c r="Q295" s="74"/>
      <c r="R295" s="74"/>
      <c r="S295" s="74"/>
      <c r="T295" s="74"/>
      <c r="U295" s="74"/>
      <c r="V295" s="74"/>
      <c r="W295" s="74"/>
      <c r="X295" s="74"/>
      <c r="Y295" s="74"/>
      <c r="Z295" s="74"/>
    </row>
    <row r="296" spans="1:26" x14ac:dyDescent="0.3">
      <c r="A296" s="66">
        <f t="shared" si="32"/>
        <v>2018.8999999999737</v>
      </c>
      <c r="B296" s="67">
        <f>LOOKUP(A296+0.01,Amounts!$A$4:$A$103,Amounts!$B$4:$B$103)*0.1*$A$2</f>
        <v>0</v>
      </c>
      <c r="C296" s="68">
        <f t="shared" si="31"/>
        <v>2219148.7781994981</v>
      </c>
      <c r="D296" s="67">
        <f t="array" ref="D296">SUM($B$7:$B291*$F$1009*EXP(-$F$1009*($A296-$A$7:$A291)))*$F$1010</f>
        <v>249206548.47563884</v>
      </c>
      <c r="E296" s="67">
        <f t="shared" si="29"/>
        <v>475.09028469953364</v>
      </c>
      <c r="F296" s="70">
        <f t="shared" si="33"/>
        <v>28.847482086955683</v>
      </c>
      <c r="G296" s="67">
        <f>E296/'Lookup Tables'!$C$48</f>
        <v>950.18056939906728</v>
      </c>
      <c r="H296" s="70">
        <f t="shared" si="30"/>
        <v>0.11252398040688129</v>
      </c>
      <c r="I296" s="71">
        <f t="shared" si="34"/>
        <v>1.3682600199346568</v>
      </c>
      <c r="L296" s="74"/>
      <c r="M296" s="74"/>
      <c r="N296" s="74"/>
      <c r="O296" s="74"/>
      <c r="P296" s="74"/>
      <c r="Q296" s="74"/>
      <c r="R296" s="74"/>
      <c r="S296" s="74"/>
      <c r="T296" s="74"/>
      <c r="U296" s="74"/>
      <c r="V296" s="74"/>
      <c r="W296" s="74"/>
      <c r="X296" s="74"/>
      <c r="Y296" s="74"/>
      <c r="Z296" s="74"/>
    </row>
    <row r="297" spans="1:26" x14ac:dyDescent="0.3">
      <c r="A297" s="66">
        <f t="shared" si="32"/>
        <v>2018.9999999999736</v>
      </c>
      <c r="B297" s="67">
        <f>LOOKUP(A297+0.01,Amounts!$A$4:$A$103,Amounts!$B$4:$B$103)*0.1*$A$2</f>
        <v>0</v>
      </c>
      <c r="C297" s="68">
        <f t="shared" si="31"/>
        <v>2219148.7781994981</v>
      </c>
      <c r="D297" s="67">
        <f t="array" ref="D297">SUM($B$7:$B292*$F$1009*EXP(-$F$1009*($A297-$A$7:$A292)))*$F$1010</f>
        <v>248509746.1184518</v>
      </c>
      <c r="E297" s="67">
        <f t="shared" si="29"/>
        <v>473.76189251931106</v>
      </c>
      <c r="F297" s="70">
        <f t="shared" si="33"/>
        <v>28.766822113772566</v>
      </c>
      <c r="G297" s="67">
        <f>E297/'Lookup Tables'!$C$48</f>
        <v>947.52378503862212</v>
      </c>
      <c r="H297" s="70">
        <f t="shared" si="30"/>
        <v>0.11220935394434574</v>
      </c>
      <c r="I297" s="71">
        <f t="shared" si="34"/>
        <v>1.3644342504556157</v>
      </c>
      <c r="L297" s="74"/>
      <c r="M297" s="74"/>
      <c r="N297" s="74"/>
      <c r="O297" s="74"/>
      <c r="P297" s="74"/>
      <c r="Q297" s="74"/>
      <c r="R297" s="74"/>
      <c r="S297" s="74"/>
      <c r="T297" s="74"/>
      <c r="U297" s="74"/>
      <c r="V297" s="74"/>
      <c r="W297" s="74"/>
      <c r="X297" s="74"/>
      <c r="Y297" s="74"/>
      <c r="Z297" s="74"/>
    </row>
    <row r="298" spans="1:26" x14ac:dyDescent="0.3">
      <c r="A298" s="66">
        <f t="shared" si="32"/>
        <v>2019.0999999999735</v>
      </c>
      <c r="B298" s="67">
        <f>LOOKUP(A298+0.01,Amounts!$A$4:$A$103,Amounts!$B$4:$B$103)*0.1*$A$2</f>
        <v>0</v>
      </c>
      <c r="C298" s="68">
        <f t="shared" si="31"/>
        <v>2219148.7781994981</v>
      </c>
      <c r="D298" s="67">
        <f t="array" ref="D298">SUM($B$7:$B293*$F$1009*EXP(-$F$1009*($A298-$A$7:$A293)))*$F$1010</f>
        <v>247814892.07894742</v>
      </c>
      <c r="E298" s="67">
        <f t="shared" si="29"/>
        <v>472.43721463475288</v>
      </c>
      <c r="F298" s="70">
        <f t="shared" si="33"/>
        <v>28.686387672622192</v>
      </c>
      <c r="G298" s="67">
        <f>E298/'Lookup Tables'!$C$48</f>
        <v>944.87442926950575</v>
      </c>
      <c r="H298" s="70">
        <f t="shared" si="30"/>
        <v>0.11189560720371995</v>
      </c>
      <c r="I298" s="71">
        <f t="shared" si="34"/>
        <v>1.3606191781480883</v>
      </c>
      <c r="L298" s="74"/>
      <c r="M298" s="74"/>
      <c r="N298" s="74"/>
      <c r="O298" s="74"/>
      <c r="P298" s="74"/>
      <c r="Q298" s="74"/>
      <c r="R298" s="74"/>
      <c r="S298" s="74"/>
      <c r="T298" s="74"/>
      <c r="U298" s="74"/>
      <c r="V298" s="74"/>
      <c r="W298" s="74"/>
      <c r="X298" s="74"/>
      <c r="Y298" s="74"/>
      <c r="Z298" s="74"/>
    </row>
    <row r="299" spans="1:26" x14ac:dyDescent="0.3">
      <c r="A299" s="66">
        <f t="shared" si="32"/>
        <v>2019.1999999999734</v>
      </c>
      <c r="B299" s="67">
        <f>LOOKUP(A299+0.01,Amounts!$A$4:$A$103,Amounts!$B$4:$B$103)*0.1*$A$2</f>
        <v>0</v>
      </c>
      <c r="C299" s="68">
        <f t="shared" si="31"/>
        <v>2219148.7781994981</v>
      </c>
      <c r="D299" s="67">
        <f t="array" ref="D299">SUM($B$7:$B294*$F$1009*EXP(-$F$1009*($A299-$A$7:$A294)))*$F$1010</f>
        <v>247121980.90946618</v>
      </c>
      <c r="E299" s="67">
        <f t="shared" si="29"/>
        <v>471.11624066037712</v>
      </c>
      <c r="F299" s="70">
        <f t="shared" si="33"/>
        <v>28.606178132898101</v>
      </c>
      <c r="G299" s="67">
        <f>E299/'Lookup Tables'!$C$48</f>
        <v>942.23248132075423</v>
      </c>
      <c r="H299" s="70">
        <f t="shared" si="30"/>
        <v>0.11158273772522774</v>
      </c>
      <c r="I299" s="71">
        <f t="shared" si="34"/>
        <v>1.356814773101886</v>
      </c>
      <c r="L299" s="74"/>
      <c r="M299" s="74"/>
      <c r="N299" s="74"/>
      <c r="O299" s="74"/>
      <c r="P299" s="74"/>
      <c r="Q299" s="74"/>
      <c r="R299" s="74"/>
      <c r="S299" s="74"/>
      <c r="T299" s="74"/>
      <c r="U299" s="74"/>
      <c r="V299" s="74"/>
      <c r="W299" s="74"/>
      <c r="X299" s="74"/>
      <c r="Y299" s="74"/>
      <c r="Z299" s="74"/>
    </row>
    <row r="300" spans="1:26" x14ac:dyDescent="0.3">
      <c r="A300" s="66">
        <f t="shared" si="32"/>
        <v>2019.2999999999734</v>
      </c>
      <c r="B300" s="67">
        <f>LOOKUP(A300+0.01,Amounts!$A$4:$A$103,Amounts!$B$4:$B$103)*0.1*$A$2</f>
        <v>0</v>
      </c>
      <c r="C300" s="68">
        <f t="shared" si="31"/>
        <v>2219148.7781994981</v>
      </c>
      <c r="D300" s="67">
        <f t="array" ref="D300">SUM($B$7:$B295*$F$1009*EXP(-$F$1009*($A300-$A$7:$A295)))*$F$1010</f>
        <v>246431007.17758101</v>
      </c>
      <c r="E300" s="67">
        <f t="shared" si="29"/>
        <v>469.79896023974123</v>
      </c>
      <c r="F300" s="70">
        <f t="shared" si="33"/>
        <v>28.526192865757089</v>
      </c>
      <c r="G300" s="67">
        <f>E300/'Lookup Tables'!$C$48</f>
        <v>939.59792047948247</v>
      </c>
      <c r="H300" s="70">
        <f t="shared" si="30"/>
        <v>0.11127074305597086</v>
      </c>
      <c r="I300" s="71">
        <f t="shared" si="34"/>
        <v>1.3530210054904548</v>
      </c>
      <c r="L300" s="74"/>
      <c r="M300" s="74"/>
      <c r="N300" s="74"/>
      <c r="O300" s="74"/>
      <c r="P300" s="74"/>
      <c r="Q300" s="74"/>
      <c r="R300" s="74"/>
      <c r="S300" s="74"/>
      <c r="T300" s="74"/>
      <c r="U300" s="74"/>
      <c r="V300" s="74"/>
      <c r="W300" s="74"/>
      <c r="X300" s="74"/>
      <c r="Y300" s="74"/>
      <c r="Z300" s="74"/>
    </row>
    <row r="301" spans="1:26" x14ac:dyDescent="0.3">
      <c r="A301" s="66">
        <f t="shared" si="32"/>
        <v>2019.3999999999733</v>
      </c>
      <c r="B301" s="67">
        <f>LOOKUP(A301+0.01,Amounts!$A$4:$A$103,Amounts!$B$4:$B$103)*0.1*$A$2</f>
        <v>0</v>
      </c>
      <c r="C301" s="68">
        <f t="shared" si="31"/>
        <v>2219148.7781994981</v>
      </c>
      <c r="D301" s="67">
        <f t="array" ref="D301">SUM($B$7:$B296*$F$1009*EXP(-$F$1009*($A301-$A$7:$A296)))*$F$1010</f>
        <v>245741965.46605441</v>
      </c>
      <c r="E301" s="67">
        <f t="shared" si="29"/>
        <v>468.48536304535997</v>
      </c>
      <c r="F301" s="70">
        <f t="shared" si="33"/>
        <v>28.446431244114258</v>
      </c>
      <c r="G301" s="67">
        <f>E301/'Lookup Tables'!$C$48</f>
        <v>936.97072609071995</v>
      </c>
      <c r="H301" s="70">
        <f t="shared" si="30"/>
        <v>0.11095962074990942</v>
      </c>
      <c r="I301" s="71">
        <f t="shared" si="34"/>
        <v>1.3492378455706366</v>
      </c>
      <c r="L301" s="74"/>
      <c r="M301" s="74"/>
      <c r="N301" s="74"/>
      <c r="O301" s="74"/>
      <c r="P301" s="74"/>
      <c r="Q301" s="74"/>
      <c r="R301" s="74"/>
      <c r="S301" s="74"/>
      <c r="T301" s="74"/>
      <c r="U301" s="74"/>
      <c r="V301" s="74"/>
      <c r="W301" s="74"/>
      <c r="X301" s="74"/>
      <c r="Y301" s="74"/>
      <c r="Z301" s="74"/>
    </row>
    <row r="302" spans="1:26" x14ac:dyDescent="0.3">
      <c r="A302" s="66">
        <f t="shared" si="32"/>
        <v>2019.4999999999732</v>
      </c>
      <c r="B302" s="67">
        <f>LOOKUP(A302+0.01,Amounts!$A$4:$A$103,Amounts!$B$4:$B$103)*0.1*$A$2</f>
        <v>0</v>
      </c>
      <c r="C302" s="68">
        <f t="shared" si="31"/>
        <v>2219148.7781994981</v>
      </c>
      <c r="D302" s="67">
        <f t="array" ref="D302">SUM($B$7:$B297*$F$1009*EXP(-$F$1009*($A302-$A$7:$A297)))*$F$1010</f>
        <v>245054850.37279573</v>
      </c>
      <c r="E302" s="67">
        <f t="shared" si="29"/>
        <v>467.17543877862454</v>
      </c>
      <c r="F302" s="70">
        <f t="shared" si="33"/>
        <v>28.366892642638085</v>
      </c>
      <c r="G302" s="67">
        <f>E302/'Lookup Tables'!$C$48</f>
        <v>934.35087755724908</v>
      </c>
      <c r="H302" s="70">
        <f t="shared" si="30"/>
        <v>0.11064936836784303</v>
      </c>
      <c r="I302" s="71">
        <f t="shared" si="34"/>
        <v>1.3454652636824387</v>
      </c>
      <c r="L302" s="74"/>
      <c r="M302" s="74"/>
      <c r="N302" s="74"/>
      <c r="O302" s="74"/>
      <c r="P302" s="74"/>
      <c r="Q302" s="74"/>
      <c r="R302" s="74"/>
      <c r="S302" s="74"/>
      <c r="T302" s="74"/>
      <c r="U302" s="74"/>
      <c r="V302" s="74"/>
      <c r="W302" s="74"/>
      <c r="X302" s="74"/>
      <c r="Y302" s="74"/>
      <c r="Z302" s="74"/>
    </row>
    <row r="303" spans="1:26" x14ac:dyDescent="0.3">
      <c r="A303" s="66">
        <f t="shared" si="32"/>
        <v>2019.5999999999731</v>
      </c>
      <c r="B303" s="67">
        <f>LOOKUP(A303+0.01,Amounts!$A$4:$A$103,Amounts!$B$4:$B$103)*0.1*$A$2</f>
        <v>0</v>
      </c>
      <c r="C303" s="68">
        <f t="shared" si="31"/>
        <v>2219148.7781994981</v>
      </c>
      <c r="D303" s="67">
        <f t="array" ref="D303">SUM($B$7:$B298*$F$1009*EXP(-$F$1009*($A303-$A$7:$A298)))*$F$1010</f>
        <v>244369656.51081926</v>
      </c>
      <c r="E303" s="67">
        <f t="shared" si="29"/>
        <v>465.86917716972221</v>
      </c>
      <c r="F303" s="70">
        <f t="shared" si="33"/>
        <v>28.287576437745535</v>
      </c>
      <c r="G303" s="67">
        <f>E303/'Lookup Tables'!$C$48</f>
        <v>931.73835433944441</v>
      </c>
      <c r="H303" s="70">
        <f t="shared" si="30"/>
        <v>0.11033998347739143</v>
      </c>
      <c r="I303" s="71">
        <f t="shared" si="34"/>
        <v>1.3417032302488001</v>
      </c>
      <c r="L303" s="74"/>
      <c r="M303" s="74"/>
      <c r="N303" s="74"/>
      <c r="O303" s="74"/>
      <c r="P303" s="74"/>
      <c r="Q303" s="74"/>
      <c r="R303" s="74"/>
      <c r="S303" s="74"/>
      <c r="T303" s="74"/>
      <c r="U303" s="74"/>
      <c r="V303" s="74"/>
      <c r="W303" s="74"/>
      <c r="X303" s="74"/>
      <c r="Y303" s="74"/>
      <c r="Z303" s="74"/>
    </row>
    <row r="304" spans="1:26" x14ac:dyDescent="0.3">
      <c r="A304" s="66">
        <f t="shared" si="32"/>
        <v>2019.699999999973</v>
      </c>
      <c r="B304" s="67">
        <f>LOOKUP(A304+0.01,Amounts!$A$4:$A$103,Amounts!$B$4:$B$103)*0.1*$A$2</f>
        <v>0</v>
      </c>
      <c r="C304" s="68">
        <f t="shared" si="31"/>
        <v>2219148.7781994981</v>
      </c>
      <c r="D304" s="67">
        <f t="array" ref="D304">SUM($B$7:$B299*$F$1009*EXP(-$F$1009*($A304-$A$7:$A299)))*$F$1010</f>
        <v>243686378.50820151</v>
      </c>
      <c r="E304" s="67">
        <f t="shared" si="29"/>
        <v>464.56656797755517</v>
      </c>
      <c r="F304" s="70">
        <f t="shared" si="33"/>
        <v>28.208482007597151</v>
      </c>
      <c r="G304" s="67">
        <f>E304/'Lookup Tables'!$C$48</f>
        <v>929.13313595511033</v>
      </c>
      <c r="H304" s="70">
        <f t="shared" si="30"/>
        <v>0.11003146365297548</v>
      </c>
      <c r="I304" s="71">
        <f t="shared" si="34"/>
        <v>1.3379517157753589</v>
      </c>
      <c r="L304" s="74"/>
      <c r="M304" s="74"/>
      <c r="N304" s="74"/>
      <c r="O304" s="74"/>
      <c r="P304" s="74"/>
      <c r="Q304" s="74"/>
      <c r="R304" s="74"/>
      <c r="S304" s="74"/>
      <c r="T304" s="74"/>
      <c r="U304" s="74"/>
      <c r="V304" s="74"/>
      <c r="W304" s="74"/>
      <c r="X304" s="74"/>
      <c r="Y304" s="74"/>
      <c r="Z304" s="74"/>
    </row>
    <row r="305" spans="1:26" x14ac:dyDescent="0.3">
      <c r="A305" s="66">
        <f t="shared" si="32"/>
        <v>2019.7999999999729</v>
      </c>
      <c r="B305" s="67">
        <f>LOOKUP(A305+0.01,Amounts!$A$4:$A$103,Amounts!$B$4:$B$103)*0.1*$A$2</f>
        <v>0</v>
      </c>
      <c r="C305" s="68">
        <f t="shared" si="31"/>
        <v>2219148.7781994981</v>
      </c>
      <c r="D305" s="67">
        <f t="array" ref="D305">SUM($B$7:$B300*$F$1009*EXP(-$F$1009*($A305-$A$7:$A300)))*$F$1010</f>
        <v>243005011.00803944</v>
      </c>
      <c r="E305" s="67">
        <f t="shared" si="29"/>
        <v>463.26760098966065</v>
      </c>
      <c r="F305" s="70">
        <f t="shared" si="33"/>
        <v>28.129608732092194</v>
      </c>
      <c r="G305" s="67">
        <f>E305/'Lookup Tables'!$C$48</f>
        <v>926.5352019793213</v>
      </c>
      <c r="H305" s="70">
        <f t="shared" si="30"/>
        <v>0.10972380647579816</v>
      </c>
      <c r="I305" s="71">
        <f t="shared" si="34"/>
        <v>1.3342106908502227</v>
      </c>
      <c r="L305" s="74"/>
      <c r="M305" s="74"/>
      <c r="N305" s="74"/>
      <c r="O305" s="74"/>
      <c r="P305" s="74"/>
      <c r="Q305" s="74"/>
      <c r="R305" s="74"/>
      <c r="S305" s="74"/>
      <c r="T305" s="74"/>
      <c r="U305" s="74"/>
      <c r="V305" s="74"/>
      <c r="W305" s="74"/>
      <c r="X305" s="74"/>
      <c r="Y305" s="74"/>
      <c r="Z305" s="74"/>
    </row>
    <row r="306" spans="1:26" x14ac:dyDescent="0.3">
      <c r="A306" s="66">
        <f t="shared" si="32"/>
        <v>2019.8999999999728</v>
      </c>
      <c r="B306" s="67">
        <f>LOOKUP(A306+0.01,Amounts!$A$4:$A$103,Amounts!$B$4:$B$103)*0.1*$A$2</f>
        <v>0</v>
      </c>
      <c r="C306" s="68">
        <f t="shared" si="31"/>
        <v>2219148.7781994981</v>
      </c>
      <c r="D306" s="67">
        <f t="array" ref="D306">SUM($B$7:$B301*$F$1009*EXP(-$F$1009*($A306-$A$7:$A301)))*$F$1010</f>
        <v>242325548.66840833</v>
      </c>
      <c r="E306" s="67">
        <f t="shared" si="29"/>
        <v>461.97226602213061</v>
      </c>
      <c r="F306" s="70">
        <f t="shared" si="33"/>
        <v>28.05095599286377</v>
      </c>
      <c r="G306" s="67">
        <f>E306/'Lookup Tables'!$C$48</f>
        <v>923.94453204426122</v>
      </c>
      <c r="H306" s="70">
        <f t="shared" si="30"/>
        <v>0.10941700953382558</v>
      </c>
      <c r="I306" s="71">
        <f t="shared" si="34"/>
        <v>1.3304801261437362</v>
      </c>
      <c r="L306" s="74"/>
      <c r="M306" s="74"/>
      <c r="N306" s="74"/>
      <c r="O306" s="74"/>
      <c r="P306" s="74"/>
      <c r="Q306" s="74"/>
      <c r="R306" s="74"/>
      <c r="S306" s="74"/>
      <c r="T306" s="74"/>
      <c r="U306" s="74"/>
      <c r="V306" s="74"/>
      <c r="W306" s="74"/>
      <c r="X306" s="74"/>
      <c r="Y306" s="74"/>
      <c r="Z306" s="74"/>
    </row>
    <row r="307" spans="1:26" x14ac:dyDescent="0.3">
      <c r="A307" s="66">
        <f t="shared" si="32"/>
        <v>2019.9999999999727</v>
      </c>
      <c r="B307" s="67">
        <f>LOOKUP(A307+0.01,Amounts!$A$4:$A$103,Amounts!$B$4:$B$103)*0.1*$A$2</f>
        <v>0</v>
      </c>
      <c r="C307" s="68">
        <f t="shared" si="31"/>
        <v>2219148.7781994981</v>
      </c>
      <c r="D307" s="67">
        <f t="array" ref="D307">SUM($B$7:$B302*$F$1009*EXP(-$F$1009*($A307-$A$7:$A302)))*$F$1010</f>
        <v>241647986.16232002</v>
      </c>
      <c r="E307" s="67">
        <f t="shared" si="29"/>
        <v>460.68055291953254</v>
      </c>
      <c r="F307" s="70">
        <f t="shared" si="33"/>
        <v>27.972523173274013</v>
      </c>
      <c r="G307" s="67">
        <f>E307/'Lookup Tables'!$C$48</f>
        <v>921.36110583906509</v>
      </c>
      <c r="H307" s="70">
        <f t="shared" si="30"/>
        <v>0.10911107042176819</v>
      </c>
      <c r="I307" s="71">
        <f t="shared" si="34"/>
        <v>1.3267599924082538</v>
      </c>
      <c r="L307" s="74"/>
      <c r="M307" s="74"/>
      <c r="N307" s="74"/>
      <c r="O307" s="74"/>
      <c r="P307" s="74"/>
      <c r="Q307" s="74"/>
      <c r="R307" s="74"/>
      <c r="S307" s="74"/>
      <c r="T307" s="74"/>
      <c r="U307" s="74"/>
      <c r="V307" s="74"/>
      <c r="W307" s="74"/>
      <c r="X307" s="74"/>
      <c r="Y307" s="74"/>
      <c r="Z307" s="74"/>
    </row>
    <row r="308" spans="1:26" x14ac:dyDescent="0.3">
      <c r="A308" s="66">
        <f t="shared" si="32"/>
        <v>2020.0999999999726</v>
      </c>
      <c r="B308" s="67">
        <f>LOOKUP(A308+0.01,Amounts!$A$4:$A$103,Amounts!$B$4:$B$103)*0.1*$A$2</f>
        <v>0</v>
      </c>
      <c r="C308" s="68">
        <f t="shared" si="31"/>
        <v>2219148.7781994981</v>
      </c>
      <c r="D308" s="67">
        <f t="array" ref="D308">SUM($B$7:$B303*$F$1009*EXP(-$F$1009*($A308-$A$7:$A303)))*$F$1010</f>
        <v>240972318.17768097</v>
      </c>
      <c r="E308" s="67">
        <f t="shared" si="29"/>
        <v>459.39245155482899</v>
      </c>
      <c r="F308" s="70">
        <f t="shared" si="33"/>
        <v>27.89430965840922</v>
      </c>
      <c r="G308" s="67">
        <f>E308/'Lookup Tables'!$C$48</f>
        <v>918.78490310965799</v>
      </c>
      <c r="H308" s="70">
        <f t="shared" si="30"/>
        <v>0.10880598674106182</v>
      </c>
      <c r="I308" s="71">
        <f t="shared" si="34"/>
        <v>1.3230502604779075</v>
      </c>
      <c r="L308" s="74"/>
      <c r="M308" s="74"/>
      <c r="N308" s="74"/>
      <c r="O308" s="74"/>
      <c r="P308" s="74"/>
      <c r="Q308" s="74"/>
      <c r="R308" s="74"/>
      <c r="S308" s="74"/>
      <c r="T308" s="74"/>
      <c r="U308" s="74"/>
      <c r="V308" s="74"/>
      <c r="W308" s="74"/>
      <c r="X308" s="74"/>
      <c r="Y308" s="74"/>
      <c r="Z308" s="74"/>
    </row>
    <row r="309" spans="1:26" x14ac:dyDescent="0.3">
      <c r="A309" s="66">
        <f t="shared" si="32"/>
        <v>2020.1999999999725</v>
      </c>
      <c r="B309" s="67">
        <f>LOOKUP(A309+0.01,Amounts!$A$4:$A$103,Amounts!$B$4:$B$103)*0.1*$A$2</f>
        <v>0</v>
      </c>
      <c r="C309" s="68">
        <f t="shared" si="31"/>
        <v>2219148.7781994981</v>
      </c>
      <c r="D309" s="67">
        <f t="array" ref="D309">SUM($B$7:$B304*$F$1009*EXP(-$F$1009*($A309-$A$7:$A304)))*$F$1010</f>
        <v>240298539.41725063</v>
      </c>
      <c r="E309" s="67">
        <f t="shared" si="29"/>
        <v>458.1079518292986</v>
      </c>
      <c r="F309" s="70">
        <f t="shared" si="33"/>
        <v>27.816314835075008</v>
      </c>
      <c r="G309" s="67">
        <f>E309/'Lookup Tables'!$C$48</f>
        <v>916.2159036585972</v>
      </c>
      <c r="H309" s="70">
        <f t="shared" si="30"/>
        <v>0.10850175609984876</v>
      </c>
      <c r="I309" s="71">
        <f t="shared" si="34"/>
        <v>1.3193509012683797</v>
      </c>
      <c r="L309" s="74"/>
      <c r="M309" s="74"/>
      <c r="N309" s="74"/>
      <c r="O309" s="74"/>
      <c r="P309" s="74"/>
      <c r="Q309" s="74"/>
      <c r="R309" s="74"/>
      <c r="S309" s="74"/>
      <c r="T309" s="74"/>
      <c r="U309" s="74"/>
      <c r="V309" s="74"/>
      <c r="W309" s="74"/>
      <c r="X309" s="74"/>
      <c r="Y309" s="74"/>
      <c r="Z309" s="74"/>
    </row>
    <row r="310" spans="1:26" x14ac:dyDescent="0.3">
      <c r="A310" s="66">
        <f t="shared" si="32"/>
        <v>2020.2999999999724</v>
      </c>
      <c r="B310" s="67">
        <f>LOOKUP(A310+0.01,Amounts!$A$4:$A$103,Amounts!$B$4:$B$103)*0.1*$A$2</f>
        <v>0</v>
      </c>
      <c r="C310" s="68">
        <f t="shared" si="31"/>
        <v>2219148.7781994981</v>
      </c>
      <c r="D310" s="67">
        <f t="array" ref="D310">SUM($B$7:$B305*$F$1009*EXP(-$F$1009*($A310-$A$7:$A305)))*$F$1010</f>
        <v>239626644.59860039</v>
      </c>
      <c r="E310" s="67">
        <f t="shared" si="29"/>
        <v>456.82704367245736</v>
      </c>
      <c r="F310" s="70">
        <f t="shared" si="33"/>
        <v>27.738538091791611</v>
      </c>
      <c r="G310" s="67">
        <f>E310/'Lookup Tables'!$C$48</f>
        <v>913.65408734491473</v>
      </c>
      <c r="H310" s="70">
        <f t="shared" si="30"/>
        <v>0.10819837611295939</v>
      </c>
      <c r="I310" s="71">
        <f t="shared" si="34"/>
        <v>1.3156618857766771</v>
      </c>
      <c r="L310" s="74"/>
      <c r="M310" s="74"/>
      <c r="N310" s="74"/>
      <c r="O310" s="74"/>
      <c r="P310" s="74"/>
      <c r="Q310" s="74"/>
      <c r="R310" s="74"/>
      <c r="S310" s="74"/>
      <c r="T310" s="74"/>
      <c r="U310" s="74"/>
      <c r="V310" s="74"/>
      <c r="W310" s="74"/>
      <c r="X310" s="74"/>
      <c r="Y310" s="74"/>
      <c r="Z310" s="74"/>
    </row>
    <row r="311" spans="1:26" x14ac:dyDescent="0.3">
      <c r="A311" s="66">
        <f t="shared" si="32"/>
        <v>2020.3999999999724</v>
      </c>
      <c r="B311" s="67">
        <f>LOOKUP(A311+0.01,Amounts!$A$4:$A$103,Amounts!$B$4:$B$103)*0.1*$A$2</f>
        <v>0</v>
      </c>
      <c r="C311" s="68">
        <f t="shared" si="31"/>
        <v>2219148.7781994981</v>
      </c>
      <c r="D311" s="67">
        <f t="array" ref="D311">SUM($B$7:$B306*$F$1009*EXP(-$F$1009*($A311-$A$7:$A306)))*$F$1010</f>
        <v>238956628.4540711</v>
      </c>
      <c r="E311" s="67">
        <f t="shared" si="29"/>
        <v>455.54971704197828</v>
      </c>
      <c r="F311" s="70">
        <f t="shared" si="33"/>
        <v>27.660978818788919</v>
      </c>
      <c r="G311" s="67">
        <f>E311/'Lookup Tables'!$C$48</f>
        <v>911.09943408395657</v>
      </c>
      <c r="H311" s="70">
        <f t="shared" si="30"/>
        <v>0.1078958444018929</v>
      </c>
      <c r="I311" s="71">
        <f t="shared" si="34"/>
        <v>1.3119831850808976</v>
      </c>
      <c r="L311" s="74"/>
      <c r="M311" s="74"/>
      <c r="N311" s="74"/>
      <c r="O311" s="74"/>
      <c r="P311" s="74"/>
      <c r="Q311" s="74"/>
      <c r="R311" s="74"/>
      <c r="S311" s="74"/>
      <c r="T311" s="74"/>
      <c r="U311" s="74"/>
      <c r="V311" s="74"/>
      <c r="W311" s="74"/>
      <c r="X311" s="74"/>
      <c r="Y311" s="74"/>
      <c r="Z311" s="74"/>
    </row>
    <row r="312" spans="1:26" x14ac:dyDescent="0.3">
      <c r="A312" s="66">
        <f t="shared" si="32"/>
        <v>2020.4999999999723</v>
      </c>
      <c r="B312" s="67">
        <f>LOOKUP(A312+0.01,Amounts!$A$4:$A$103,Amounts!$B$4:$B$103)*0.1*$A$2</f>
        <v>0</v>
      </c>
      <c r="C312" s="68">
        <f t="shared" si="31"/>
        <v>2219148.7781994981</v>
      </c>
      <c r="D312" s="67">
        <f t="array" ref="D312">SUM($B$7:$B307*$F$1009*EXP(-$F$1009*($A312-$A$7:$A307)))*$F$1010</f>
        <v>238288485.7307328</v>
      </c>
      <c r="E312" s="67">
        <f t="shared" si="29"/>
        <v>454.27596192361409</v>
      </c>
      <c r="F312" s="70">
        <f t="shared" si="33"/>
        <v>27.583636408001848</v>
      </c>
      <c r="G312" s="67">
        <f>E312/'Lookup Tables'!$C$48</f>
        <v>908.55192384722818</v>
      </c>
      <c r="H312" s="70">
        <f t="shared" si="30"/>
        <v>0.10759415859479915</v>
      </c>
      <c r="I312" s="71">
        <f t="shared" si="34"/>
        <v>1.3083147703400086</v>
      </c>
      <c r="L312" s="74"/>
      <c r="M312" s="74"/>
      <c r="N312" s="74"/>
      <c r="O312" s="74"/>
      <c r="P312" s="74"/>
      <c r="Q312" s="74"/>
      <c r="R312" s="74"/>
      <c r="S312" s="74"/>
      <c r="T312" s="74"/>
      <c r="U312" s="74"/>
      <c r="V312" s="74"/>
      <c r="W312" s="74"/>
      <c r="X312" s="74"/>
      <c r="Y312" s="74"/>
      <c r="Z312" s="74"/>
    </row>
    <row r="313" spans="1:26" x14ac:dyDescent="0.3">
      <c r="A313" s="66">
        <f t="shared" si="32"/>
        <v>2020.5999999999722</v>
      </c>
      <c r="B313" s="67">
        <f>LOOKUP(A313+0.01,Amounts!$A$4:$A$103,Amounts!$B$4:$B$103)*0.1*$A$2</f>
        <v>0</v>
      </c>
      <c r="C313" s="68">
        <f t="shared" si="31"/>
        <v>2219148.7781994981</v>
      </c>
      <c r="D313" s="67">
        <f t="array" ref="D313">SUM($B$7:$B308*$F$1009*EXP(-$F$1009*($A313-$A$7:$A308)))*$F$1010</f>
        <v>237622211.1903432</v>
      </c>
      <c r="E313" s="67">
        <f t="shared" si="29"/>
        <v>453.00576833111836</v>
      </c>
      <c r="F313" s="70">
        <f t="shared" si="33"/>
        <v>27.506510253065503</v>
      </c>
      <c r="G313" s="67">
        <f>E313/'Lookup Tables'!$C$48</f>
        <v>906.01153666223672</v>
      </c>
      <c r="H313" s="70">
        <f t="shared" si="30"/>
        <v>0.1072933163264599</v>
      </c>
      <c r="I313" s="71">
        <f t="shared" si="34"/>
        <v>1.3046566127936208</v>
      </c>
      <c r="L313" s="74"/>
      <c r="M313" s="74"/>
      <c r="N313" s="74"/>
      <c r="O313" s="74"/>
      <c r="P313" s="74"/>
      <c r="Q313" s="74"/>
      <c r="R313" s="74"/>
      <c r="S313" s="74"/>
      <c r="T313" s="74"/>
      <c r="U313" s="74"/>
      <c r="V313" s="74"/>
      <c r="W313" s="74"/>
      <c r="X313" s="74"/>
      <c r="Y313" s="74"/>
      <c r="Z313" s="74"/>
    </row>
    <row r="314" spans="1:26" x14ac:dyDescent="0.3">
      <c r="A314" s="66">
        <f t="shared" si="32"/>
        <v>2020.6999999999721</v>
      </c>
      <c r="B314" s="67">
        <f>LOOKUP(A314+0.01,Amounts!$A$4:$A$103,Amounts!$B$4:$B$103)*0.1*$A$2</f>
        <v>0</v>
      </c>
      <c r="C314" s="68">
        <f t="shared" si="31"/>
        <v>2219148.7781994981</v>
      </c>
      <c r="D314" s="67">
        <f t="array" ref="D314">SUM($B$7:$B309*$F$1009*EXP(-$F$1009*($A314-$A$7:$A309)))*$F$1010</f>
        <v>236957799.60930642</v>
      </c>
      <c r="E314" s="67">
        <f t="shared" si="29"/>
        <v>451.73912630616655</v>
      </c>
      <c r="F314" s="70">
        <f t="shared" si="33"/>
        <v>27.429599749310434</v>
      </c>
      <c r="G314" s="67">
        <f>E314/'Lookup Tables'!$C$48</f>
        <v>903.47825261233311</v>
      </c>
      <c r="H314" s="70">
        <f t="shared" si="30"/>
        <v>0.10699331523827023</v>
      </c>
      <c r="I314" s="71">
        <f t="shared" si="34"/>
        <v>1.3010086837617596</v>
      </c>
      <c r="L314" s="74"/>
      <c r="M314" s="74"/>
      <c r="N314" s="74"/>
      <c r="O314" s="74"/>
      <c r="P314" s="74"/>
      <c r="Q314" s="74"/>
      <c r="R314" s="74"/>
      <c r="S314" s="74"/>
      <c r="T314" s="74"/>
      <c r="U314" s="74"/>
      <c r="V314" s="74"/>
      <c r="W314" s="74"/>
      <c r="X314" s="74"/>
      <c r="Y314" s="74"/>
      <c r="Z314" s="74"/>
    </row>
    <row r="315" spans="1:26" x14ac:dyDescent="0.3">
      <c r="A315" s="66">
        <f t="shared" si="32"/>
        <v>2020.799999999972</v>
      </c>
      <c r="B315" s="67">
        <f>LOOKUP(A315+0.01,Amounts!$A$4:$A$103,Amounts!$B$4:$B$103)*0.1*$A$2</f>
        <v>0</v>
      </c>
      <c r="C315" s="68">
        <f t="shared" si="31"/>
        <v>2219148.7781994981</v>
      </c>
      <c r="D315" s="67">
        <f t="array" ref="D315">SUM($B$7:$B310*$F$1009*EXP(-$F$1009*($A315-$A$7:$A310)))*$F$1010</f>
        <v>236295245.77863237</v>
      </c>
      <c r="E315" s="67">
        <f t="shared" si="29"/>
        <v>450.47602591827905</v>
      </c>
      <c r="F315" s="70">
        <f t="shared" si="33"/>
        <v>27.352904293757902</v>
      </c>
      <c r="G315" s="67">
        <f>E315/'Lookup Tables'!$C$48</f>
        <v>900.9520518365581</v>
      </c>
      <c r="H315" s="70">
        <f t="shared" si="30"/>
        <v>0.1066941529782201</v>
      </c>
      <c r="I315" s="71">
        <f t="shared" si="34"/>
        <v>1.2973709546446437</v>
      </c>
      <c r="L315" s="74"/>
      <c r="M315" s="74"/>
      <c r="N315" s="74"/>
      <c r="O315" s="74"/>
      <c r="P315" s="74"/>
      <c r="Q315" s="74"/>
      <c r="R315" s="74"/>
      <c r="S315" s="74"/>
      <c r="T315" s="74"/>
      <c r="U315" s="74"/>
      <c r="V315" s="74"/>
      <c r="W315" s="74"/>
      <c r="X315" s="74"/>
      <c r="Y315" s="74"/>
      <c r="Z315" s="74"/>
    </row>
    <row r="316" spans="1:26" x14ac:dyDescent="0.3">
      <c r="A316" s="66">
        <f t="shared" si="32"/>
        <v>2020.8999999999719</v>
      </c>
      <c r="B316" s="67">
        <f>LOOKUP(A316+0.01,Amounts!$A$4:$A$103,Amounts!$B$4:$B$103)*0.1*$A$2</f>
        <v>0</v>
      </c>
      <c r="C316" s="68">
        <f t="shared" si="31"/>
        <v>2219148.7781994981</v>
      </c>
      <c r="D316" s="67">
        <f t="array" ref="D316">SUM($B$7:$B311*$F$1009*EXP(-$F$1009*($A316-$A$7:$A311)))*$F$1010</f>
        <v>235634544.50389552</v>
      </c>
      <c r="E316" s="67">
        <f t="shared" si="29"/>
        <v>449.21645726474196</v>
      </c>
      <c r="F316" s="70">
        <f t="shared" si="33"/>
        <v>27.276423285115133</v>
      </c>
      <c r="G316" s="67">
        <f>E316/'Lookup Tables'!$C$48</f>
        <v>898.43291452948392</v>
      </c>
      <c r="H316" s="70">
        <f t="shared" si="30"/>
        <v>0.10639582720087577</v>
      </c>
      <c r="I316" s="71">
        <f t="shared" si="34"/>
        <v>1.293743396922457</v>
      </c>
      <c r="L316" s="74"/>
      <c r="M316" s="74"/>
      <c r="N316" s="74"/>
      <c r="O316" s="74"/>
      <c r="P316" s="74"/>
      <c r="Q316" s="74"/>
      <c r="R316" s="74"/>
      <c r="S316" s="74"/>
      <c r="T316" s="74"/>
      <c r="U316" s="74"/>
      <c r="V316" s="74"/>
      <c r="W316" s="74"/>
      <c r="X316" s="74"/>
      <c r="Y316" s="74"/>
      <c r="Z316" s="74"/>
    </row>
    <row r="317" spans="1:26" x14ac:dyDescent="0.3">
      <c r="A317" s="66">
        <f t="shared" si="32"/>
        <v>2020.9999999999718</v>
      </c>
      <c r="B317" s="67">
        <f>LOOKUP(A317+0.01,Amounts!$A$4:$A$103,Amounts!$B$4:$B$103)*0.1*$A$2</f>
        <v>0</v>
      </c>
      <c r="C317" s="68">
        <f t="shared" si="31"/>
        <v>2219148.7781994981</v>
      </c>
      <c r="D317" s="67">
        <f t="array" ref="D317">SUM($B$7:$B312*$F$1009*EXP(-$F$1009*($A317-$A$7:$A312)))*$F$1010</f>
        <v>234975690.60519466</v>
      </c>
      <c r="E317" s="67">
        <f t="shared" si="29"/>
        <v>447.96041047053103</v>
      </c>
      <c r="F317" s="70">
        <f t="shared" si="33"/>
        <v>27.200156123770643</v>
      </c>
      <c r="G317" s="67">
        <f>E317/'Lookup Tables'!$C$48</f>
        <v>895.92082094106206</v>
      </c>
      <c r="H317" s="70">
        <f t="shared" si="30"/>
        <v>0.10609833556736172</v>
      </c>
      <c r="I317" s="71">
        <f t="shared" si="34"/>
        <v>1.2901259821551294</v>
      </c>
      <c r="L317" s="74"/>
      <c r="M317" s="74"/>
      <c r="N317" s="74"/>
      <c r="O317" s="74"/>
      <c r="P317" s="74"/>
      <c r="Q317" s="74"/>
      <c r="R317" s="74"/>
      <c r="S317" s="74"/>
      <c r="T317" s="74"/>
      <c r="U317" s="74"/>
      <c r="V317" s="74"/>
      <c r="W317" s="74"/>
      <c r="X317" s="74"/>
      <c r="Y317" s="74"/>
      <c r="Z317" s="74"/>
    </row>
    <row r="318" spans="1:26" x14ac:dyDescent="0.3">
      <c r="A318" s="66">
        <f t="shared" si="32"/>
        <v>2021.0999999999717</v>
      </c>
      <c r="B318" s="67">
        <f>LOOKUP(A318+0.01,Amounts!$A$4:$A$103,Amounts!$B$4:$B$103)*0.1*$A$2</f>
        <v>0</v>
      </c>
      <c r="C318" s="68">
        <f t="shared" si="31"/>
        <v>2219148.7781994981</v>
      </c>
      <c r="D318" s="67">
        <f t="array" ref="D318">SUM($B$7:$B313*$F$1009*EXP(-$F$1009*($A318-$A$7:$A313)))*$F$1010</f>
        <v>234318678.91711158</v>
      </c>
      <c r="E318" s="67">
        <f t="shared" si="29"/>
        <v>446.70787568823249</v>
      </c>
      <c r="F318" s="70">
        <f t="shared" si="33"/>
        <v>27.124102211789474</v>
      </c>
      <c r="G318" s="67">
        <f>E318/'Lookup Tables'!$C$48</f>
        <v>893.41575137646498</v>
      </c>
      <c r="H318" s="70">
        <f t="shared" si="30"/>
        <v>0.10580167574534191</v>
      </c>
      <c r="I318" s="71">
        <f t="shared" si="34"/>
        <v>1.2865186819821095</v>
      </c>
      <c r="L318" s="74"/>
      <c r="M318" s="74"/>
      <c r="N318" s="74"/>
      <c r="O318" s="74"/>
      <c r="P318" s="74"/>
      <c r="Q318" s="74"/>
      <c r="R318" s="74"/>
      <c r="S318" s="74"/>
      <c r="T318" s="74"/>
      <c r="U318" s="74"/>
      <c r="V318" s="74"/>
      <c r="W318" s="74"/>
      <c r="X318" s="74"/>
      <c r="Y318" s="74"/>
      <c r="Z318" s="74"/>
    </row>
    <row r="319" spans="1:26" x14ac:dyDescent="0.3">
      <c r="A319" s="66">
        <f t="shared" si="32"/>
        <v>2021.1999999999716</v>
      </c>
      <c r="B319" s="67">
        <f>LOOKUP(A319+0.01,Amounts!$A$4:$A$103,Amounts!$B$4:$B$103)*0.1*$A$2</f>
        <v>0</v>
      </c>
      <c r="C319" s="68">
        <f t="shared" si="31"/>
        <v>2219148.7781994981</v>
      </c>
      <c r="D319" s="67">
        <f t="array" ref="D319">SUM($B$7:$B314*$F$1009*EXP(-$F$1009*($A319-$A$7:$A314)))*$F$1010</f>
        <v>233663504.28867152</v>
      </c>
      <c r="E319" s="67">
        <f t="shared" si="29"/>
        <v>445.45884309796759</v>
      </c>
      <c r="F319" s="70">
        <f t="shared" si="33"/>
        <v>27.048260952908596</v>
      </c>
      <c r="G319" s="67">
        <f>E319/'Lookup Tables'!$C$48</f>
        <v>890.91768619593518</v>
      </c>
      <c r="H319" s="70">
        <f t="shared" si="30"/>
        <v>0.10550584540900192</v>
      </c>
      <c r="I319" s="71">
        <f t="shared" si="34"/>
        <v>1.2829214681221466</v>
      </c>
      <c r="L319" s="74"/>
      <c r="M319" s="74"/>
      <c r="N319" s="74"/>
      <c r="O319" s="74"/>
      <c r="P319" s="74"/>
      <c r="Q319" s="74"/>
      <c r="R319" s="74"/>
      <c r="S319" s="74"/>
      <c r="T319" s="74"/>
      <c r="U319" s="74"/>
      <c r="V319" s="74"/>
      <c r="W319" s="74"/>
      <c r="X319" s="74"/>
      <c r="Y319" s="74"/>
      <c r="Z319" s="74"/>
    </row>
    <row r="320" spans="1:26" x14ac:dyDescent="0.3">
      <c r="A320" s="66">
        <f t="shared" si="32"/>
        <v>2021.2999999999715</v>
      </c>
      <c r="B320" s="67">
        <f>LOOKUP(A320+0.01,Amounts!$A$4:$A$103,Amounts!$B$4:$B$103)*0.1*$A$2</f>
        <v>0</v>
      </c>
      <c r="C320" s="68">
        <f t="shared" si="31"/>
        <v>2219148.7781994981</v>
      </c>
      <c r="D320" s="67">
        <f t="array" ref="D320">SUM($B$7:$B315*$F$1009*EXP(-$F$1009*($A320-$A$7:$A315)))*$F$1010</f>
        <v>233010161.58330184</v>
      </c>
      <c r="E320" s="67">
        <f t="shared" si="29"/>
        <v>444.21330290731413</v>
      </c>
      <c r="F320" s="70">
        <f t="shared" si="33"/>
        <v>26.972631752532113</v>
      </c>
      <c r="G320" s="67">
        <f>E320/'Lookup Tables'!$C$48</f>
        <v>888.42660581462826</v>
      </c>
      <c r="H320" s="70">
        <f t="shared" si="30"/>
        <v>0.10521084223903032</v>
      </c>
      <c r="I320" s="71">
        <f t="shared" si="34"/>
        <v>1.2793343123730647</v>
      </c>
      <c r="L320" s="74"/>
      <c r="M320" s="74"/>
      <c r="N320" s="74"/>
      <c r="O320" s="74"/>
      <c r="P320" s="74"/>
      <c r="Q320" s="74"/>
      <c r="R320" s="74"/>
      <c r="S320" s="74"/>
      <c r="T320" s="74"/>
      <c r="U320" s="74"/>
      <c r="V320" s="74"/>
      <c r="W320" s="74"/>
      <c r="X320" s="74"/>
      <c r="Y320" s="74"/>
      <c r="Z320" s="74"/>
    </row>
    <row r="321" spans="1:26" x14ac:dyDescent="0.3">
      <c r="A321" s="66">
        <f t="shared" si="32"/>
        <v>2021.3999999999714</v>
      </c>
      <c r="B321" s="67">
        <f>LOOKUP(A321+0.01,Amounts!$A$4:$A$103,Amounts!$B$4:$B$103)*0.1*$A$2</f>
        <v>0</v>
      </c>
      <c r="C321" s="68">
        <f t="shared" si="31"/>
        <v>2219148.7781994981</v>
      </c>
      <c r="D321" s="67">
        <f t="array" ref="D321">SUM($B$7:$B316*$F$1009*EXP(-$F$1009*($A321-$A$7:$A316)))*$F$1010</f>
        <v>232358645.67879248</v>
      </c>
      <c r="E321" s="67">
        <f t="shared" si="29"/>
        <v>442.97124535123072</v>
      </c>
      <c r="F321" s="70">
        <f t="shared" si="33"/>
        <v>26.897214017726728</v>
      </c>
      <c r="G321" s="67">
        <f>E321/'Lookup Tables'!$C$48</f>
        <v>885.94249070246144</v>
      </c>
      <c r="H321" s="70">
        <f t="shared" si="30"/>
        <v>0.10491666392260075</v>
      </c>
      <c r="I321" s="71">
        <f t="shared" si="34"/>
        <v>1.2757571866115442</v>
      </c>
      <c r="L321" s="74"/>
      <c r="M321" s="74"/>
      <c r="N321" s="74"/>
      <c r="O321" s="74"/>
      <c r="P321" s="74"/>
      <c r="Q321" s="74"/>
      <c r="R321" s="74"/>
      <c r="S321" s="74"/>
      <c r="T321" s="74"/>
      <c r="U321" s="74"/>
      <c r="V321" s="74"/>
      <c r="W321" s="74"/>
      <c r="X321" s="74"/>
      <c r="Y321" s="74"/>
      <c r="Z321" s="74"/>
    </row>
    <row r="322" spans="1:26" x14ac:dyDescent="0.3">
      <c r="A322" s="66">
        <f t="shared" si="32"/>
        <v>2021.4999999999714</v>
      </c>
      <c r="B322" s="67">
        <f>LOOKUP(A322+0.01,Amounts!$A$4:$A$103,Amounts!$B$4:$B$103)*0.1*$A$2</f>
        <v>0</v>
      </c>
      <c r="C322" s="68">
        <f t="shared" si="31"/>
        <v>2219148.7781994981</v>
      </c>
      <c r="D322" s="67">
        <f t="array" ref="D322">SUM($B$7:$B317*$F$1009*EXP(-$F$1009*($A322-$A$7:$A317)))*$F$1010</f>
        <v>231708951.46725538</v>
      </c>
      <c r="E322" s="67">
        <f t="shared" si="29"/>
        <v>441.73266069197979</v>
      </c>
      <c r="F322" s="70">
        <f t="shared" si="33"/>
        <v>26.822007157217016</v>
      </c>
      <c r="G322" s="67">
        <f>E322/'Lookup Tables'!$C$48</f>
        <v>883.46532138395958</v>
      </c>
      <c r="H322" s="70">
        <f t="shared" si="30"/>
        <v>0.10462330815335377</v>
      </c>
      <c r="I322" s="71">
        <f t="shared" si="34"/>
        <v>1.2721900627929019</v>
      </c>
      <c r="L322" s="74"/>
      <c r="M322" s="74"/>
      <c r="N322" s="74"/>
      <c r="O322" s="74"/>
      <c r="P322" s="74"/>
      <c r="Q322" s="74"/>
      <c r="R322" s="74"/>
      <c r="S322" s="74"/>
      <c r="T322" s="74"/>
      <c r="U322" s="74"/>
      <c r="V322" s="74"/>
      <c r="W322" s="74"/>
      <c r="X322" s="74"/>
      <c r="Y322" s="74"/>
      <c r="Z322" s="74"/>
    </row>
    <row r="323" spans="1:26" x14ac:dyDescent="0.3">
      <c r="A323" s="66">
        <f t="shared" si="32"/>
        <v>2021.5999999999713</v>
      </c>
      <c r="B323" s="67">
        <f>LOOKUP(A323+0.01,Amounts!$A$4:$A$103,Amounts!$B$4:$B$103)*0.1*$A$2</f>
        <v>0</v>
      </c>
      <c r="C323" s="68">
        <f t="shared" si="31"/>
        <v>2219148.7781994981</v>
      </c>
      <c r="D323" s="67">
        <f t="array" ref="D323">SUM($B$7:$B318*$F$1009*EXP(-$F$1009*($A323-$A$7:$A318)))*$F$1010</f>
        <v>231061073.85508472</v>
      </c>
      <c r="E323" s="67">
        <f t="shared" si="29"/>
        <v>440.49753921905142</v>
      </c>
      <c r="F323" s="70">
        <f t="shared" si="33"/>
        <v>26.747010581380799</v>
      </c>
      <c r="G323" s="67">
        <f>E323/'Lookup Tables'!$C$48</f>
        <v>880.99507843810284</v>
      </c>
      <c r="H323" s="70">
        <f t="shared" si="30"/>
        <v>0.10433077263137858</v>
      </c>
      <c r="I323" s="71">
        <f t="shared" si="34"/>
        <v>1.268632912950868</v>
      </c>
      <c r="L323" s="74"/>
      <c r="M323" s="74"/>
      <c r="N323" s="74"/>
      <c r="O323" s="74"/>
      <c r="P323" s="74"/>
      <c r="Q323" s="74"/>
      <c r="R323" s="74"/>
      <c r="S323" s="74"/>
      <c r="T323" s="74"/>
      <c r="U323" s="74"/>
      <c r="V323" s="74"/>
      <c r="W323" s="74"/>
      <c r="X323" s="74"/>
      <c r="Y323" s="74"/>
      <c r="Z323" s="74"/>
    </row>
    <row r="324" spans="1:26" x14ac:dyDescent="0.3">
      <c r="A324" s="66">
        <f t="shared" si="32"/>
        <v>2021.6999999999712</v>
      </c>
      <c r="B324" s="67">
        <f>LOOKUP(A324+0.01,Amounts!$A$4:$A$103,Amounts!$B$4:$B$103)*0.1*$A$2</f>
        <v>0</v>
      </c>
      <c r="C324" s="68">
        <f t="shared" si="31"/>
        <v>2219148.7781994981</v>
      </c>
      <c r="D324" s="67">
        <f t="array" ref="D324">SUM($B$7:$B319*$F$1009*EXP(-$F$1009*($A324-$A$7:$A319)))*$F$1010</f>
        <v>230415007.76291659</v>
      </c>
      <c r="E324" s="67">
        <f t="shared" si="29"/>
        <v>439.2658712490869</v>
      </c>
      <c r="F324" s="70">
        <f t="shared" si="33"/>
        <v>26.672223702244558</v>
      </c>
      <c r="G324" s="67">
        <f>E324/'Lookup Tables'!$C$48</f>
        <v>878.5317424981738</v>
      </c>
      <c r="H324" s="70">
        <f t="shared" si="30"/>
        <v>0.10403905506319526</v>
      </c>
      <c r="I324" s="71">
        <f t="shared" si="34"/>
        <v>1.2650857091973704</v>
      </c>
      <c r="L324" s="74"/>
      <c r="M324" s="74"/>
      <c r="N324" s="74"/>
      <c r="O324" s="74"/>
      <c r="P324" s="74"/>
      <c r="Q324" s="74"/>
      <c r="R324" s="74"/>
      <c r="S324" s="74"/>
      <c r="T324" s="74"/>
      <c r="U324" s="74"/>
      <c r="V324" s="74"/>
      <c r="W324" s="74"/>
      <c r="X324" s="74"/>
      <c r="Y324" s="74"/>
      <c r="Z324" s="74"/>
    </row>
    <row r="325" spans="1:26" x14ac:dyDescent="0.3">
      <c r="A325" s="66">
        <f t="shared" si="32"/>
        <v>2021.7999999999711</v>
      </c>
      <c r="B325" s="67">
        <f>LOOKUP(A325+0.01,Amounts!$A$4:$A$103,Amounts!$B$4:$B$103)*0.1*$A$2</f>
        <v>0</v>
      </c>
      <c r="C325" s="68">
        <f t="shared" si="31"/>
        <v>2219148.7781994981</v>
      </c>
      <c r="D325" s="67">
        <f t="array" ref="D325">SUM($B$7:$B320*$F$1009*EXP(-$F$1009*($A325-$A$7:$A320)))*$F$1010</f>
        <v>229770748.12558952</v>
      </c>
      <c r="E325" s="67">
        <f t="shared" si="29"/>
        <v>438.03764712580283</v>
      </c>
      <c r="F325" s="70">
        <f t="shared" si="33"/>
        <v>26.597645933478745</v>
      </c>
      <c r="G325" s="67">
        <f>E325/'Lookup Tables'!$C$48</f>
        <v>876.07529425160567</v>
      </c>
      <c r="H325" s="70">
        <f t="shared" si="30"/>
        <v>0.10374815316173649</v>
      </c>
      <c r="I325" s="71">
        <f t="shared" si="34"/>
        <v>1.261548423722312</v>
      </c>
      <c r="L325" s="74"/>
      <c r="M325" s="74"/>
      <c r="N325" s="74"/>
      <c r="O325" s="74"/>
      <c r="P325" s="74"/>
      <c r="Q325" s="74"/>
      <c r="R325" s="74"/>
      <c r="S325" s="74"/>
      <c r="T325" s="74"/>
      <c r="U325" s="74"/>
      <c r="V325" s="74"/>
      <c r="W325" s="74"/>
      <c r="X325" s="74"/>
      <c r="Y325" s="74"/>
      <c r="Z325" s="74"/>
    </row>
    <row r="326" spans="1:26" x14ac:dyDescent="0.3">
      <c r="A326" s="66">
        <f t="shared" si="32"/>
        <v>2021.899999999971</v>
      </c>
      <c r="B326" s="67">
        <f>LOOKUP(A326+0.01,Amounts!$A$4:$A$103,Amounts!$B$4:$B$103)*0.1*$A$2</f>
        <v>0</v>
      </c>
      <c r="C326" s="68">
        <f t="shared" si="31"/>
        <v>2219148.7781994981</v>
      </c>
      <c r="D326" s="67">
        <f t="array" ref="D326">SUM($B$7:$B321*$F$1009*EXP(-$F$1009*($A326-$A$7:$A321)))*$F$1010</f>
        <v>229128289.89210469</v>
      </c>
      <c r="E326" s="67">
        <f t="shared" si="29"/>
        <v>436.812857219916</v>
      </c>
      <c r="F326" s="70">
        <f t="shared" si="33"/>
        <v>26.523276690393299</v>
      </c>
      <c r="G326" s="67">
        <f>E326/'Lookup Tables'!$C$48</f>
        <v>873.625714439832</v>
      </c>
      <c r="H326" s="70">
        <f t="shared" si="30"/>
        <v>0.10345806464632999</v>
      </c>
      <c r="I326" s="71">
        <f t="shared" si="34"/>
        <v>1.2580210287933582</v>
      </c>
      <c r="L326" s="74"/>
      <c r="M326" s="74"/>
      <c r="N326" s="74"/>
      <c r="O326" s="74"/>
      <c r="P326" s="74"/>
      <c r="Q326" s="74"/>
      <c r="R326" s="74"/>
      <c r="S326" s="74"/>
      <c r="T326" s="74"/>
      <c r="U326" s="74"/>
      <c r="V326" s="74"/>
      <c r="W326" s="74"/>
      <c r="X326" s="74"/>
      <c r="Y326" s="74"/>
      <c r="Z326" s="74"/>
    </row>
    <row r="327" spans="1:26" x14ac:dyDescent="0.3">
      <c r="A327" s="66">
        <f t="shared" si="32"/>
        <v>2021.9999999999709</v>
      </c>
      <c r="B327" s="67">
        <f>LOOKUP(A327+0.01,Amounts!$A$4:$A$103,Amounts!$B$4:$B$103)*0.1*$A$2</f>
        <v>0</v>
      </c>
      <c r="C327" s="68">
        <f t="shared" si="31"/>
        <v>2219148.7781994981</v>
      </c>
      <c r="D327" s="67">
        <f t="array" ref="D327">SUM($B$7:$B322*$F$1009*EXP(-$F$1009*($A327-$A$7:$A322)))*$F$1010</f>
        <v>228487628.02558622</v>
      </c>
      <c r="E327" s="67">
        <f t="shared" ref="E327:E390" si="35">D327/(365*24*60)*1.00201</f>
        <v>435.59149192906705</v>
      </c>
      <c r="F327" s="70">
        <f t="shared" si="33"/>
        <v>26.449115389932949</v>
      </c>
      <c r="G327" s="67">
        <f>E327/'Lookup Tables'!$C$48</f>
        <v>871.18298385813409</v>
      </c>
      <c r="H327" s="70">
        <f t="shared" ref="H327:H390" si="36">G327*60*24*365/(C327*2000)</f>
        <v>0.10316878724268017</v>
      </c>
      <c r="I327" s="71">
        <f t="shared" si="34"/>
        <v>1.2545034967557132</v>
      </c>
      <c r="L327" s="74"/>
      <c r="M327" s="74"/>
      <c r="N327" s="74"/>
      <c r="O327" s="74"/>
      <c r="P327" s="74"/>
      <c r="Q327" s="74"/>
      <c r="R327" s="74"/>
      <c r="S327" s="74"/>
      <c r="T327" s="74"/>
      <c r="U327" s="74"/>
      <c r="V327" s="74"/>
      <c r="W327" s="74"/>
      <c r="X327" s="74"/>
      <c r="Y327" s="74"/>
      <c r="Z327" s="74"/>
    </row>
    <row r="328" spans="1:26" x14ac:dyDescent="0.3">
      <c r="A328" s="66">
        <f t="shared" si="32"/>
        <v>2022.0999999999708</v>
      </c>
      <c r="B328" s="67">
        <f>LOOKUP(A328+0.01,Amounts!$A$4:$A$103,Amounts!$B$4:$B$103)*0.1*$A$2</f>
        <v>0</v>
      </c>
      <c r="C328" s="68">
        <f t="shared" si="31"/>
        <v>2219148.7781994981</v>
      </c>
      <c r="D328" s="67">
        <f t="array" ref="D328">SUM($B$7:$B323*$F$1009*EXP(-$F$1009*($A328-$A$7:$A323)))*$F$1010</f>
        <v>227848757.50324184</v>
      </c>
      <c r="E328" s="67">
        <f t="shared" si="35"/>
        <v>434.37354167774612</v>
      </c>
      <c r="F328" s="70">
        <f t="shared" si="33"/>
        <v>26.375161450672742</v>
      </c>
      <c r="G328" s="67">
        <f>E328/'Lookup Tables'!$C$48</f>
        <v>868.74708335549224</v>
      </c>
      <c r="H328" s="70">
        <f t="shared" si="36"/>
        <v>0.10288031868285079</v>
      </c>
      <c r="I328" s="71">
        <f t="shared" si="34"/>
        <v>1.2509958000319088</v>
      </c>
      <c r="L328" s="74"/>
      <c r="M328" s="74"/>
      <c r="N328" s="74"/>
      <c r="O328" s="74"/>
      <c r="P328" s="74"/>
      <c r="Q328" s="74"/>
      <c r="R328" s="74"/>
      <c r="S328" s="74"/>
      <c r="T328" s="74"/>
      <c r="U328" s="74"/>
      <c r="V328" s="74"/>
      <c r="W328" s="74"/>
      <c r="X328" s="74"/>
      <c r="Y328" s="74"/>
      <c r="Z328" s="74"/>
    </row>
    <row r="329" spans="1:26" x14ac:dyDescent="0.3">
      <c r="A329" s="66">
        <f t="shared" si="32"/>
        <v>2022.1999999999707</v>
      </c>
      <c r="B329" s="67">
        <f>LOOKUP(A329+0.01,Amounts!$A$4:$A$103,Amounts!$B$4:$B$103)*0.1*$A$2</f>
        <v>0</v>
      </c>
      <c r="C329" s="68">
        <f t="shared" ref="C329:C392" si="37">C328+B329</f>
        <v>2219148.7781994981</v>
      </c>
      <c r="D329" s="67">
        <f t="array" ref="D329">SUM($B$7:$B324*$F$1009*EXP(-$F$1009*($A329-$A$7:$A324)))*$F$1010</f>
        <v>227211673.31632325</v>
      </c>
      <c r="E329" s="67">
        <f t="shared" si="35"/>
        <v>433.15899691721665</v>
      </c>
      <c r="F329" s="70">
        <f t="shared" si="33"/>
        <v>26.301414292813398</v>
      </c>
      <c r="G329" s="67">
        <f>E329/'Lookup Tables'!$C$48</f>
        <v>866.31799383443331</v>
      </c>
      <c r="H329" s="70">
        <f t="shared" si="36"/>
        <v>0.10259265670524684</v>
      </c>
      <c r="I329" s="71">
        <f t="shared" si="34"/>
        <v>1.247497911121584</v>
      </c>
      <c r="L329" s="74"/>
      <c r="M329" s="74"/>
      <c r="N329" s="74"/>
      <c r="O329" s="74"/>
      <c r="P329" s="74"/>
      <c r="Q329" s="74"/>
      <c r="R329" s="74"/>
      <c r="S329" s="74"/>
      <c r="T329" s="74"/>
      <c r="U329" s="74"/>
      <c r="V329" s="74"/>
      <c r="W329" s="74"/>
      <c r="X329" s="74"/>
      <c r="Y329" s="74"/>
      <c r="Z329" s="74"/>
    </row>
    <row r="330" spans="1:26" x14ac:dyDescent="0.3">
      <c r="A330" s="66">
        <f t="shared" si="32"/>
        <v>2022.2999999999706</v>
      </c>
      <c r="B330" s="67">
        <f>LOOKUP(A330+0.01,Amounts!$A$4:$A$103,Amounts!$B$4:$B$103)*0.1*$A$2</f>
        <v>0</v>
      </c>
      <c r="C330" s="68">
        <f t="shared" si="37"/>
        <v>2219148.7781994981</v>
      </c>
      <c r="D330" s="67">
        <f t="array" ref="D330">SUM($B$7:$B325*$F$1009*EXP(-$F$1009*($A330-$A$7:$A325)))*$F$1010</f>
        <v>226576370.47008738</v>
      </c>
      <c r="E330" s="67">
        <f t="shared" si="35"/>
        <v>431.94784812544191</v>
      </c>
      <c r="F330" s="70">
        <f t="shared" si="33"/>
        <v>26.227873338176831</v>
      </c>
      <c r="G330" s="67">
        <f>E330/'Lookup Tables'!$C$48</f>
        <v>863.89569625088382</v>
      </c>
      <c r="H330" s="70">
        <f t="shared" si="36"/>
        <v>0.10230579905459698</v>
      </c>
      <c r="I330" s="71">
        <f t="shared" si="34"/>
        <v>1.2440098026012727</v>
      </c>
      <c r="L330" s="74"/>
      <c r="M330" s="74"/>
      <c r="N330" s="74"/>
      <c r="O330" s="74"/>
      <c r="P330" s="74"/>
      <c r="Q330" s="74"/>
      <c r="R330" s="74"/>
      <c r="S330" s="74"/>
      <c r="T330" s="74"/>
      <c r="U330" s="74"/>
      <c r="V330" s="74"/>
      <c r="W330" s="74"/>
      <c r="X330" s="74"/>
      <c r="Y330" s="74"/>
      <c r="Z330" s="74"/>
    </row>
    <row r="331" spans="1:26" x14ac:dyDescent="0.3">
      <c r="A331" s="66">
        <f t="shared" si="32"/>
        <v>2022.3999999999705</v>
      </c>
      <c r="B331" s="67">
        <f>LOOKUP(A331+0.01,Amounts!$A$4:$A$103,Amounts!$B$4:$B$103)*0.1*$A$2</f>
        <v>0</v>
      </c>
      <c r="C331" s="68">
        <f t="shared" si="37"/>
        <v>2219148.7781994981</v>
      </c>
      <c r="D331" s="67">
        <f t="array" ref="D331">SUM($B$7:$B326*$F$1009*EXP(-$F$1009*($A331-$A$7:$A326)))*$F$1010</f>
        <v>225942843.98375651</v>
      </c>
      <c r="E331" s="67">
        <f t="shared" si="35"/>
        <v>430.74008580700888</v>
      </c>
      <c r="F331" s="70">
        <f t="shared" si="33"/>
        <v>26.154538010201581</v>
      </c>
      <c r="G331" s="67">
        <f>E331/'Lookup Tables'!$C$48</f>
        <v>861.48017161401776</v>
      </c>
      <c r="H331" s="70">
        <f t="shared" si="36"/>
        <v>0.10201974348193571</v>
      </c>
      <c r="I331" s="71">
        <f t="shared" si="34"/>
        <v>1.2405314471241855</v>
      </c>
      <c r="L331" s="74"/>
      <c r="M331" s="74"/>
      <c r="N331" s="74"/>
      <c r="O331" s="74"/>
      <c r="P331" s="74"/>
      <c r="Q331" s="74"/>
      <c r="R331" s="74"/>
      <c r="S331" s="74"/>
      <c r="T331" s="74"/>
      <c r="U331" s="74"/>
      <c r="V331" s="74"/>
      <c r="W331" s="74"/>
      <c r="X331" s="74"/>
      <c r="Y331" s="74"/>
      <c r="Z331" s="74"/>
    </row>
    <row r="332" spans="1:26" x14ac:dyDescent="0.3">
      <c r="A332" s="66">
        <f t="shared" si="32"/>
        <v>2022.4999999999704</v>
      </c>
      <c r="B332" s="67">
        <f>LOOKUP(A332+0.01,Amounts!$A$4:$A$103,Amounts!$B$4:$B$103)*0.1*$A$2</f>
        <v>0</v>
      </c>
      <c r="C332" s="68">
        <f t="shared" si="37"/>
        <v>2219148.7781994981</v>
      </c>
      <c r="D332" s="67">
        <f t="array" ref="D332">SUM($B$7:$B327*$F$1009*EXP(-$F$1009*($A332-$A$7:$A327)))*$F$1010</f>
        <v>225311088.89047977</v>
      </c>
      <c r="E332" s="67">
        <f t="shared" si="35"/>
        <v>429.53570049305489</v>
      </c>
      <c r="F332" s="70">
        <f t="shared" si="33"/>
        <v>26.081407733938295</v>
      </c>
      <c r="G332" s="67">
        <f>E332/'Lookup Tables'!$C$48</f>
        <v>859.07140098610978</v>
      </c>
      <c r="H332" s="70">
        <f t="shared" si="36"/>
        <v>0.10173448774458592</v>
      </c>
      <c r="I332" s="71">
        <f t="shared" si="34"/>
        <v>1.237062817419998</v>
      </c>
      <c r="L332" s="74"/>
      <c r="M332" s="74"/>
      <c r="N332" s="74"/>
      <c r="O332" s="74"/>
      <c r="P332" s="74"/>
      <c r="Q332" s="74"/>
      <c r="R332" s="74"/>
      <c r="S332" s="74"/>
      <c r="T332" s="74"/>
      <c r="U332" s="74"/>
      <c r="V332" s="74"/>
      <c r="W332" s="74"/>
      <c r="X332" s="74"/>
      <c r="Y332" s="74"/>
      <c r="Z332" s="74"/>
    </row>
    <row r="333" spans="1:26" x14ac:dyDescent="0.3">
      <c r="A333" s="66">
        <f t="shared" si="32"/>
        <v>2022.5999999999704</v>
      </c>
      <c r="B333" s="67">
        <f>LOOKUP(A333+0.01,Amounts!$A$4:$A$103,Amounts!$B$4:$B$103)*0.1*$A$2</f>
        <v>0</v>
      </c>
      <c r="C333" s="68">
        <f t="shared" si="37"/>
        <v>2219148.7781994981</v>
      </c>
      <c r="D333" s="67">
        <f t="array" ref="D333">SUM($B$7:$B328*$F$1009*EXP(-$F$1009*($A333-$A$7:$A328)))*$F$1010</f>
        <v>224681100.23729402</v>
      </c>
      <c r="E333" s="67">
        <f t="shared" si="35"/>
        <v>428.33468274119286</v>
      </c>
      <c r="F333" s="70">
        <f t="shared" si="33"/>
        <v>26.008481936045229</v>
      </c>
      <c r="G333" s="67">
        <f>E333/'Lookup Tables'!$C$48</f>
        <v>856.66936548238573</v>
      </c>
      <c r="H333" s="70">
        <f t="shared" si="36"/>
        <v>0.10145002960614112</v>
      </c>
      <c r="I333" s="71">
        <f t="shared" si="34"/>
        <v>1.2336038862946355</v>
      </c>
      <c r="L333" s="74"/>
      <c r="M333" s="74"/>
      <c r="N333" s="74"/>
      <c r="O333" s="74"/>
      <c r="P333" s="74"/>
      <c r="Q333" s="74"/>
      <c r="R333" s="74"/>
      <c r="S333" s="74"/>
      <c r="T333" s="74"/>
      <c r="U333" s="74"/>
      <c r="V333" s="74"/>
      <c r="W333" s="74"/>
      <c r="X333" s="74"/>
      <c r="Y333" s="74"/>
      <c r="Z333" s="74"/>
    </row>
    <row r="334" spans="1:26" x14ac:dyDescent="0.3">
      <c r="A334" s="66">
        <f t="shared" si="32"/>
        <v>2022.6999999999703</v>
      </c>
      <c r="B334" s="67">
        <f>LOOKUP(A334+0.01,Amounts!$A$4:$A$103,Amounts!$B$4:$B$103)*0.1*$A$2</f>
        <v>0</v>
      </c>
      <c r="C334" s="68">
        <f t="shared" si="37"/>
        <v>2219148.7781994981</v>
      </c>
      <c r="D334" s="67">
        <f t="array" ref="D334">SUM($B$7:$B329*$F$1009*EXP(-$F$1009*($A334-$A$7:$A329)))*$F$1010</f>
        <v>224052873.08508492</v>
      </c>
      <c r="E334" s="67">
        <f t="shared" si="35"/>
        <v>427.13702313543752</v>
      </c>
      <c r="F334" s="70">
        <f t="shared" si="33"/>
        <v>25.935760044783766</v>
      </c>
      <c r="G334" s="67">
        <f>E334/'Lookup Tables'!$C$48</f>
        <v>854.27404627087503</v>
      </c>
      <c r="H334" s="70">
        <f t="shared" si="36"/>
        <v>0.10116636683644806</v>
      </c>
      <c r="I334" s="71">
        <f t="shared" si="34"/>
        <v>1.2301546266300598</v>
      </c>
      <c r="L334" s="74"/>
      <c r="M334" s="74"/>
      <c r="N334" s="74"/>
      <c r="O334" s="74"/>
      <c r="P334" s="74"/>
      <c r="Q334" s="74"/>
      <c r="R334" s="74"/>
      <c r="S334" s="74"/>
      <c r="T334" s="74"/>
      <c r="U334" s="74"/>
      <c r="V334" s="74"/>
      <c r="W334" s="74"/>
      <c r="X334" s="74"/>
      <c r="Y334" s="74"/>
      <c r="Z334" s="74"/>
    </row>
    <row r="335" spans="1:26" x14ac:dyDescent="0.3">
      <c r="A335" s="66">
        <f t="shared" si="32"/>
        <v>2022.7999999999702</v>
      </c>
      <c r="B335" s="67">
        <f>LOOKUP(A335+0.01,Amounts!$A$4:$A$103,Amounts!$B$4:$B$103)*0.1*$A$2</f>
        <v>0</v>
      </c>
      <c r="C335" s="68">
        <f t="shared" si="37"/>
        <v>2219148.7781994981</v>
      </c>
      <c r="D335" s="67">
        <f t="array" ref="D335">SUM($B$7:$B330*$F$1009*EXP(-$F$1009*($A335-$A$7:$A330)))*$F$1010</f>
        <v>223426402.50854838</v>
      </c>
      <c r="E335" s="67">
        <f t="shared" si="35"/>
        <v>425.94271228613127</v>
      </c>
      <c r="F335" s="70">
        <f t="shared" si="33"/>
        <v>25.863241490013891</v>
      </c>
      <c r="G335" s="67">
        <f>E335/'Lookup Tables'!$C$48</f>
        <v>851.88542457226254</v>
      </c>
      <c r="H335" s="70">
        <f t="shared" si="36"/>
        <v>0.10088349721158917</v>
      </c>
      <c r="I335" s="71">
        <f t="shared" si="34"/>
        <v>1.2267150113840581</v>
      </c>
      <c r="L335" s="74"/>
      <c r="M335" s="74"/>
      <c r="N335" s="74"/>
      <c r="O335" s="74"/>
      <c r="P335" s="74"/>
      <c r="Q335" s="74"/>
      <c r="R335" s="74"/>
      <c r="S335" s="74"/>
      <c r="T335" s="74"/>
      <c r="U335" s="74"/>
      <c r="V335" s="74"/>
      <c r="W335" s="74"/>
      <c r="X335" s="74"/>
      <c r="Y335" s="74"/>
      <c r="Z335" s="74"/>
    </row>
    <row r="336" spans="1:26" x14ac:dyDescent="0.3">
      <c r="A336" s="66">
        <f t="shared" si="32"/>
        <v>2022.8999999999701</v>
      </c>
      <c r="B336" s="67">
        <f>LOOKUP(A336+0.01,Amounts!$A$4:$A$103,Amounts!$B$4:$B$103)*0.1*$A$2</f>
        <v>0</v>
      </c>
      <c r="C336" s="68">
        <f t="shared" si="37"/>
        <v>2219148.7781994981</v>
      </c>
      <c r="D336" s="67">
        <f t="array" ref="D336">SUM($B$7:$B331*$F$1009*EXP(-$F$1009*($A336-$A$7:$A331)))*$F$1010</f>
        <v>222801683.59615207</v>
      </c>
      <c r="E336" s="67">
        <f t="shared" si="35"/>
        <v>424.75174082987127</v>
      </c>
      <c r="F336" s="70">
        <f t="shared" si="33"/>
        <v>25.790925703189785</v>
      </c>
      <c r="G336" s="67">
        <f>E336/'Lookup Tables'!$C$48</f>
        <v>849.50348165974253</v>
      </c>
      <c r="H336" s="70">
        <f t="shared" si="36"/>
        <v>0.10060141851386523</v>
      </c>
      <c r="I336" s="71">
        <f t="shared" si="34"/>
        <v>1.2232850135900295</v>
      </c>
      <c r="L336" s="74"/>
      <c r="M336" s="74"/>
      <c r="N336" s="74"/>
      <c r="O336" s="74"/>
      <c r="P336" s="74"/>
      <c r="Q336" s="74"/>
      <c r="R336" s="74"/>
      <c r="S336" s="74"/>
      <c r="T336" s="74"/>
      <c r="U336" s="74"/>
      <c r="V336" s="74"/>
      <c r="W336" s="74"/>
      <c r="X336" s="74"/>
      <c r="Y336" s="74"/>
      <c r="Z336" s="74"/>
    </row>
    <row r="337" spans="1:26" x14ac:dyDescent="0.3">
      <c r="A337" s="66">
        <f t="shared" si="32"/>
        <v>2022.99999999997</v>
      </c>
      <c r="B337" s="67">
        <f>LOOKUP(A337+0.01,Amounts!$A$4:$A$103,Amounts!$B$4:$B$103)*0.1*$A$2</f>
        <v>0</v>
      </c>
      <c r="C337" s="68">
        <f t="shared" si="37"/>
        <v>2219148.7781994981</v>
      </c>
      <c r="D337" s="67">
        <f t="array" ref="D337">SUM($B$7:$B332*$F$1009*EXP(-$F$1009*($A337-$A$7:$A332)))*$F$1010</f>
        <v>222178711.45009631</v>
      </c>
      <c r="E337" s="67">
        <f t="shared" si="35"/>
        <v>423.56409942943498</v>
      </c>
      <c r="F337" s="70">
        <f t="shared" si="33"/>
        <v>25.718812117355291</v>
      </c>
      <c r="G337" s="67">
        <f>E337/'Lookup Tables'!$C$48</f>
        <v>847.12819885886995</v>
      </c>
      <c r="H337" s="70">
        <f t="shared" si="36"/>
        <v>0.10032012853177766</v>
      </c>
      <c r="I337" s="71">
        <f t="shared" si="34"/>
        <v>1.2198646063567726</v>
      </c>
      <c r="L337" s="74"/>
      <c r="M337" s="74"/>
      <c r="N337" s="74"/>
      <c r="O337" s="74"/>
      <c r="P337" s="74"/>
      <c r="Q337" s="74"/>
      <c r="R337" s="74"/>
      <c r="S337" s="74"/>
      <c r="T337" s="74"/>
      <c r="U337" s="74"/>
      <c r="V337" s="74"/>
      <c r="W337" s="74"/>
      <c r="X337" s="74"/>
      <c r="Y337" s="74"/>
      <c r="Z337" s="74"/>
    </row>
    <row r="338" spans="1:26" x14ac:dyDescent="0.3">
      <c r="A338" s="66">
        <f t="shared" si="32"/>
        <v>2023.0999999999699</v>
      </c>
      <c r="B338" s="67">
        <f>LOOKUP(A338+0.01,Amounts!$A$4:$A$103,Amounts!$B$4:$B$103)*0.1*$A$2</f>
        <v>0</v>
      </c>
      <c r="C338" s="68">
        <f t="shared" si="37"/>
        <v>2219148.7781994981</v>
      </c>
      <c r="D338" s="67">
        <f t="array" ref="D338">SUM($B$7:$B333*$F$1009*EXP(-$F$1009*($A338-$A$7:$A333)))*$F$1010</f>
        <v>221557481.18627638</v>
      </c>
      <c r="E338" s="67">
        <f t="shared" si="35"/>
        <v>422.37977877370781</v>
      </c>
      <c r="F338" s="70">
        <f t="shared" si="33"/>
        <v>25.646900167139538</v>
      </c>
      <c r="G338" s="67">
        <f>E338/'Lookup Tables'!$C$48</f>
        <v>844.75955754741562</v>
      </c>
      <c r="H338" s="70">
        <f t="shared" si="36"/>
        <v>0.1000396250600117</v>
      </c>
      <c r="I338" s="71">
        <f t="shared" si="34"/>
        <v>1.2164537628682786</v>
      </c>
      <c r="L338" s="74"/>
      <c r="M338" s="74"/>
      <c r="N338" s="74"/>
      <c r="O338" s="74"/>
      <c r="P338" s="74"/>
      <c r="Q338" s="74"/>
      <c r="R338" s="74"/>
      <c r="S338" s="74"/>
      <c r="T338" s="74"/>
      <c r="U338" s="74"/>
      <c r="V338" s="74"/>
      <c r="W338" s="74"/>
      <c r="X338" s="74"/>
      <c r="Y338" s="74"/>
      <c r="Z338" s="74"/>
    </row>
    <row r="339" spans="1:26" x14ac:dyDescent="0.3">
      <c r="A339" s="66">
        <f t="shared" ref="A339:A402" si="38">A338+0.1</f>
        <v>2023.1999999999698</v>
      </c>
      <c r="B339" s="67">
        <f>LOOKUP(A339+0.01,Amounts!$A$4:$A$103,Amounts!$B$4:$B$103)*0.1*$A$2</f>
        <v>0</v>
      </c>
      <c r="C339" s="68">
        <f t="shared" si="37"/>
        <v>2219148.7781994981</v>
      </c>
      <c r="D339" s="67">
        <f t="array" ref="D339">SUM($B$7:$B334*$F$1009*EXP(-$F$1009*($A339-$A$7:$A334)))*$F$1010</f>
        <v>220937987.93424374</v>
      </c>
      <c r="E339" s="67">
        <f t="shared" si="35"/>
        <v>421.19876957760954</v>
      </c>
      <c r="F339" s="70">
        <f t="shared" ref="F339:F402" si="39">E339*60*1012/1000000</f>
        <v>25.575189288752451</v>
      </c>
      <c r="G339" s="67">
        <f>E339/'Lookup Tables'!$C$48</f>
        <v>842.39753915521908</v>
      </c>
      <c r="H339" s="70">
        <f t="shared" si="36"/>
        <v>9.9759905899418536E-2</v>
      </c>
      <c r="I339" s="71">
        <f t="shared" ref="I339:I402" si="40">G339*60*24/1000000</f>
        <v>1.2130524563835154</v>
      </c>
      <c r="L339" s="74"/>
      <c r="M339" s="74"/>
      <c r="N339" s="74"/>
      <c r="O339" s="74"/>
      <c r="P339" s="74"/>
      <c r="Q339" s="74"/>
      <c r="R339" s="74"/>
      <c r="S339" s="74"/>
      <c r="T339" s="74"/>
      <c r="U339" s="74"/>
      <c r="V339" s="74"/>
      <c r="W339" s="74"/>
      <c r="X339" s="74"/>
      <c r="Y339" s="74"/>
      <c r="Z339" s="74"/>
    </row>
    <row r="340" spans="1:26" x14ac:dyDescent="0.3">
      <c r="A340" s="66">
        <f t="shared" si="38"/>
        <v>2023.2999999999697</v>
      </c>
      <c r="B340" s="67">
        <f>LOOKUP(A340+0.01,Amounts!$A$4:$A$103,Amounts!$B$4:$B$103)*0.1*$A$2</f>
        <v>0</v>
      </c>
      <c r="C340" s="68">
        <f t="shared" si="37"/>
        <v>2219148.7781994981</v>
      </c>
      <c r="D340" s="67">
        <f t="array" ref="D340">SUM($B$7:$B335*$F$1009*EXP(-$F$1009*($A340-$A$7:$A335)))*$F$1010</f>
        <v>220320226.83716813</v>
      </c>
      <c r="E340" s="67">
        <f t="shared" si="35"/>
        <v>420.02106258202213</v>
      </c>
      <c r="F340" s="70">
        <f t="shared" si="39"/>
        <v>25.503678919980384</v>
      </c>
      <c r="G340" s="67">
        <f>E340/'Lookup Tables'!$C$48</f>
        <v>840.04212516404425</v>
      </c>
      <c r="H340" s="70">
        <f t="shared" si="36"/>
        <v>9.9480968856998628E-2</v>
      </c>
      <c r="I340" s="71">
        <f t="shared" si="40"/>
        <v>1.2096606602362239</v>
      </c>
      <c r="L340" s="74"/>
      <c r="M340" s="74"/>
      <c r="N340" s="74"/>
      <c r="O340" s="74"/>
      <c r="P340" s="74"/>
      <c r="Q340" s="74"/>
      <c r="R340" s="74"/>
      <c r="S340" s="74"/>
      <c r="T340" s="74"/>
      <c r="U340" s="74"/>
      <c r="V340" s="74"/>
      <c r="W340" s="74"/>
      <c r="X340" s="74"/>
      <c r="Y340" s="74"/>
      <c r="Z340" s="74"/>
    </row>
    <row r="341" spans="1:26" x14ac:dyDescent="0.3">
      <c r="A341" s="66">
        <f t="shared" si="38"/>
        <v>2023.3999999999696</v>
      </c>
      <c r="B341" s="67">
        <f>LOOKUP(A341+0.01,Amounts!$A$4:$A$103,Amounts!$B$4:$B$103)*0.1*$A$2</f>
        <v>0</v>
      </c>
      <c r="C341" s="68">
        <f t="shared" si="37"/>
        <v>2219148.7781994981</v>
      </c>
      <c r="D341" s="67">
        <f t="array" ref="D341">SUM($B$7:$B336*$F$1009*EXP(-$F$1009*($A341-$A$7:$A336)))*$F$1010</f>
        <v>219704193.05179942</v>
      </c>
      <c r="E341" s="67">
        <f t="shared" si="35"/>
        <v>418.84664855371682</v>
      </c>
      <c r="F341" s="70">
        <f t="shared" si="39"/>
        <v>25.432368500181685</v>
      </c>
      <c r="G341" s="67">
        <f>E341/'Lookup Tables'!$C$48</f>
        <v>837.69329710743364</v>
      </c>
      <c r="H341" s="70">
        <f t="shared" si="36"/>
        <v>9.920281174588412E-2</v>
      </c>
      <c r="I341" s="71">
        <f t="shared" si="40"/>
        <v>1.2062783478347043</v>
      </c>
      <c r="L341" s="74"/>
      <c r="M341" s="74"/>
      <c r="N341" s="74"/>
      <c r="O341" s="74"/>
      <c r="P341" s="74"/>
      <c r="Q341" s="74"/>
      <c r="R341" s="74"/>
      <c r="S341" s="74"/>
      <c r="T341" s="74"/>
      <c r="U341" s="74"/>
      <c r="V341" s="74"/>
      <c r="W341" s="74"/>
      <c r="X341" s="74"/>
      <c r="Y341" s="74"/>
      <c r="Z341" s="74"/>
    </row>
    <row r="342" spans="1:26" x14ac:dyDescent="0.3">
      <c r="A342" s="66">
        <f t="shared" si="38"/>
        <v>2023.4999999999695</v>
      </c>
      <c r="B342" s="67">
        <f>LOOKUP(A342+0.01,Amounts!$A$4:$A$103,Amounts!$B$4:$B$103)*0.1*$A$2</f>
        <v>0</v>
      </c>
      <c r="C342" s="68">
        <f t="shared" si="37"/>
        <v>2219148.7781994981</v>
      </c>
      <c r="D342" s="67">
        <f t="array" ref="D342">SUM($B$7:$B337*$F$1009*EXP(-$F$1009*($A342-$A$7:$A337)))*$F$1010</f>
        <v>219089881.74842963</v>
      </c>
      <c r="E342" s="67">
        <f t="shared" si="35"/>
        <v>417.67551828528156</v>
      </c>
      <c r="F342" s="70">
        <f t="shared" si="39"/>
        <v>25.361257470282297</v>
      </c>
      <c r="G342" s="67">
        <f>E342/'Lookup Tables'!$C$48</f>
        <v>835.35103657056311</v>
      </c>
      <c r="H342" s="70">
        <f t="shared" si="36"/>
        <v>9.8925432385321838E-2</v>
      </c>
      <c r="I342" s="71">
        <f t="shared" si="40"/>
        <v>1.202905492661611</v>
      </c>
      <c r="L342" s="74"/>
      <c r="M342" s="74"/>
      <c r="N342" s="74"/>
      <c r="O342" s="74"/>
      <c r="P342" s="74"/>
      <c r="Q342" s="74"/>
      <c r="R342" s="74"/>
      <c r="S342" s="74"/>
      <c r="T342" s="74"/>
      <c r="U342" s="74"/>
      <c r="V342" s="74"/>
      <c r="W342" s="74"/>
      <c r="X342" s="74"/>
      <c r="Y342" s="74"/>
      <c r="Z342" s="74"/>
    </row>
    <row r="343" spans="1:26" x14ac:dyDescent="0.3">
      <c r="A343" s="66">
        <f t="shared" si="38"/>
        <v>2023.5999999999694</v>
      </c>
      <c r="B343" s="67">
        <f>LOOKUP(A343+0.01,Amounts!$A$4:$A$103,Amounts!$B$4:$B$103)*0.1*$A$2</f>
        <v>0</v>
      </c>
      <c r="C343" s="68">
        <f t="shared" si="37"/>
        <v>2219148.7781994981</v>
      </c>
      <c r="D343" s="67">
        <f t="array" ref="D343">SUM($B$7:$B338*$F$1009*EXP(-$F$1009*($A343-$A$7:$A338)))*$F$1010</f>
        <v>218477288.11085492</v>
      </c>
      <c r="E343" s="67">
        <f t="shared" si="35"/>
        <v>416.507662595049</v>
      </c>
      <c r="F343" s="70">
        <f t="shared" si="39"/>
        <v>25.290345272771376</v>
      </c>
      <c r="G343" s="67">
        <f>E343/'Lookup Tables'!$C$48</f>
        <v>833.015325190098</v>
      </c>
      <c r="H343" s="70">
        <f t="shared" si="36"/>
        <v>9.8648828600656144E-2</v>
      </c>
      <c r="I343" s="71">
        <f t="shared" si="40"/>
        <v>1.1995420682737412</v>
      </c>
      <c r="L343" s="74"/>
      <c r="M343" s="74"/>
      <c r="N343" s="74"/>
      <c r="O343" s="74"/>
      <c r="P343" s="74"/>
      <c r="Q343" s="74"/>
      <c r="R343" s="74"/>
      <c r="S343" s="74"/>
      <c r="T343" s="74"/>
      <c r="U343" s="74"/>
      <c r="V343" s="74"/>
      <c r="W343" s="74"/>
      <c r="X343" s="74"/>
      <c r="Y343" s="74"/>
      <c r="Z343" s="74"/>
    </row>
    <row r="344" spans="1:26" x14ac:dyDescent="0.3">
      <c r="A344" s="66">
        <f t="shared" si="38"/>
        <v>2023.6999999999694</v>
      </c>
      <c r="B344" s="67">
        <f>LOOKUP(A344+0.01,Amounts!$A$4:$A$103,Amounts!$B$4:$B$103)*0.1*$A$2</f>
        <v>0</v>
      </c>
      <c r="C344" s="68">
        <f t="shared" si="37"/>
        <v>2219148.7781994981</v>
      </c>
      <c r="D344" s="67">
        <f t="array" ref="D344">SUM($B$7:$B339*$F$1009*EXP(-$F$1009*($A344-$A$7:$A339)))*$F$1010</f>
        <v>217866407.33633813</v>
      </c>
      <c r="E344" s="67">
        <f t="shared" si="35"/>
        <v>415.34307232702474</v>
      </c>
      <c r="F344" s="70">
        <f t="shared" si="39"/>
        <v>25.219631351696943</v>
      </c>
      <c r="G344" s="67">
        <f>E344/'Lookup Tables'!$C$48</f>
        <v>830.68614465404949</v>
      </c>
      <c r="H344" s="70">
        <f t="shared" si="36"/>
        <v>9.8372998223311997E-2</v>
      </c>
      <c r="I344" s="71">
        <f t="shared" si="40"/>
        <v>1.1961880483018315</v>
      </c>
      <c r="L344" s="74"/>
      <c r="M344" s="74"/>
      <c r="N344" s="74"/>
      <c r="O344" s="74"/>
      <c r="P344" s="74"/>
      <c r="Q344" s="74"/>
      <c r="R344" s="74"/>
      <c r="S344" s="74"/>
      <c r="T344" s="74"/>
      <c r="U344" s="74"/>
      <c r="V344" s="74"/>
      <c r="W344" s="74"/>
      <c r="X344" s="74"/>
      <c r="Y344" s="74"/>
      <c r="Z344" s="74"/>
    </row>
    <row r="345" spans="1:26" x14ac:dyDescent="0.3">
      <c r="A345" s="66">
        <f t="shared" si="38"/>
        <v>2023.7999999999693</v>
      </c>
      <c r="B345" s="67">
        <f>LOOKUP(A345+0.01,Amounts!$A$4:$A$103,Amounts!$B$4:$B$103)*0.1*$A$2</f>
        <v>0</v>
      </c>
      <c r="C345" s="68">
        <f t="shared" si="37"/>
        <v>2219148.7781994981</v>
      </c>
      <c r="D345" s="67">
        <f t="array" ref="D345">SUM($B$7:$B340*$F$1009*EXP(-$F$1009*($A345-$A$7:$A340)))*$F$1010</f>
        <v>217257234.63557082</v>
      </c>
      <c r="E345" s="67">
        <f t="shared" si="35"/>
        <v>414.18173835081495</v>
      </c>
      <c r="F345" s="70">
        <f t="shared" si="39"/>
        <v>25.149115152661484</v>
      </c>
      <c r="G345" s="67">
        <f>E345/'Lookup Tables'!$C$48</f>
        <v>828.36347670162991</v>
      </c>
      <c r="H345" s="70">
        <f t="shared" si="36"/>
        <v>9.8097939090777797E-2</v>
      </c>
      <c r="I345" s="71">
        <f t="shared" si="40"/>
        <v>1.192843406450347</v>
      </c>
      <c r="L345" s="74"/>
      <c r="M345" s="74"/>
      <c r="N345" s="74"/>
      <c r="O345" s="74"/>
      <c r="P345" s="74"/>
      <c r="Q345" s="74"/>
      <c r="R345" s="74"/>
      <c r="S345" s="74"/>
      <c r="T345" s="74"/>
      <c r="U345" s="74"/>
      <c r="V345" s="74"/>
      <c r="W345" s="74"/>
      <c r="X345" s="74"/>
      <c r="Y345" s="74"/>
      <c r="Z345" s="74"/>
    </row>
    <row r="346" spans="1:26" x14ac:dyDescent="0.3">
      <c r="A346" s="66">
        <f t="shared" si="38"/>
        <v>2023.8999999999692</v>
      </c>
      <c r="B346" s="67">
        <f>LOOKUP(A346+0.01,Amounts!$A$4:$A$103,Amounts!$B$4:$B$103)*0.1*$A$2</f>
        <v>0</v>
      </c>
      <c r="C346" s="68">
        <f t="shared" si="37"/>
        <v>2219148.7781994981</v>
      </c>
      <c r="D346" s="67">
        <f t="array" ref="D346">SUM($B$7:$B341*$F$1009*EXP(-$F$1009*($A346-$A$7:$A341)))*$F$1010</f>
        <v>216649765.23263583</v>
      </c>
      <c r="E346" s="67">
        <f t="shared" si="35"/>
        <v>413.02365156155525</v>
      </c>
      <c r="F346" s="70">
        <f t="shared" si="39"/>
        <v>25.078796122817636</v>
      </c>
      <c r="G346" s="67">
        <f>E346/'Lookup Tables'!$C$48</f>
        <v>826.04730312311051</v>
      </c>
      <c r="H346" s="70">
        <f t="shared" si="36"/>
        <v>9.7823649046588537E-2</v>
      </c>
      <c r="I346" s="71">
        <f t="shared" si="40"/>
        <v>1.1895081164972792</v>
      </c>
      <c r="L346" s="74"/>
      <c r="M346" s="74"/>
      <c r="N346" s="74"/>
      <c r="O346" s="74"/>
      <c r="P346" s="74"/>
      <c r="Q346" s="74"/>
      <c r="R346" s="74"/>
      <c r="S346" s="74"/>
      <c r="T346" s="74"/>
      <c r="U346" s="74"/>
      <c r="V346" s="74"/>
      <c r="W346" s="74"/>
      <c r="X346" s="74"/>
      <c r="Y346" s="74"/>
      <c r="Z346" s="74"/>
    </row>
    <row r="347" spans="1:26" x14ac:dyDescent="0.3">
      <c r="A347" s="66">
        <f t="shared" si="38"/>
        <v>2023.9999999999691</v>
      </c>
      <c r="B347" s="67">
        <f>LOOKUP(A347+0.01,Amounts!$A$4:$A$103,Amounts!$B$4:$B$103)*0.1*$A$2</f>
        <v>0</v>
      </c>
      <c r="C347" s="68">
        <f t="shared" si="37"/>
        <v>2219148.7781994981</v>
      </c>
      <c r="D347" s="67">
        <f t="array" ref="D347">SUM($B$7:$B342*$F$1009*EXP(-$F$1009*($A347-$A$7:$A342)))*$F$1010</f>
        <v>216043994.36497003</v>
      </c>
      <c r="E347" s="67">
        <f t="shared" si="35"/>
        <v>411.86880287983951</v>
      </c>
      <c r="F347" s="70">
        <f t="shared" si="39"/>
        <v>25.008673710863853</v>
      </c>
      <c r="G347" s="67">
        <f>E347/'Lookup Tables'!$C$48</f>
        <v>823.73760575967901</v>
      </c>
      <c r="H347" s="70">
        <f t="shared" si="36"/>
        <v>9.7550125940308888E-2</v>
      </c>
      <c r="I347" s="71">
        <f t="shared" si="40"/>
        <v>1.1861821522939378</v>
      </c>
      <c r="L347" s="74"/>
      <c r="M347" s="74"/>
      <c r="N347" s="74"/>
      <c r="O347" s="74"/>
      <c r="P347" s="74"/>
      <c r="Q347" s="74"/>
      <c r="R347" s="74"/>
      <c r="S347" s="74"/>
      <c r="T347" s="74"/>
      <c r="U347" s="74"/>
      <c r="V347" s="74"/>
      <c r="W347" s="74"/>
      <c r="X347" s="74"/>
      <c r="Y347" s="74"/>
      <c r="Z347" s="74"/>
    </row>
    <row r="348" spans="1:26" x14ac:dyDescent="0.3">
      <c r="A348" s="66">
        <f t="shared" si="38"/>
        <v>2024.099999999969</v>
      </c>
      <c r="B348" s="67">
        <f>LOOKUP(A348+0.01,Amounts!$A$4:$A$103,Amounts!$B$4:$B$103)*0.1*$A$2</f>
        <v>0</v>
      </c>
      <c r="C348" s="68">
        <f t="shared" si="37"/>
        <v>2219148.7781994981</v>
      </c>
      <c r="D348" s="67">
        <f t="array" ref="D348">SUM($B$7:$B343*$F$1009*EXP(-$F$1009*($A348-$A$7:$A343)))*$F$1010</f>
        <v>215439917.28332657</v>
      </c>
      <c r="E348" s="67">
        <f t="shared" si="35"/>
        <v>410.71718325164778</v>
      </c>
      <c r="F348" s="70">
        <f t="shared" si="39"/>
        <v>24.938747367040055</v>
      </c>
      <c r="G348" s="67">
        <f>E348/'Lookup Tables'!$C$48</f>
        <v>821.43436650329556</v>
      </c>
      <c r="H348" s="70">
        <f t="shared" si="36"/>
        <v>9.7277367627516237E-2</v>
      </c>
      <c r="I348" s="71">
        <f t="shared" si="40"/>
        <v>1.1828654877647455</v>
      </c>
      <c r="L348" s="74"/>
      <c r="M348" s="74"/>
      <c r="N348" s="74"/>
      <c r="O348" s="74"/>
      <c r="P348" s="74"/>
      <c r="Q348" s="74"/>
      <c r="R348" s="74"/>
      <c r="S348" s="74"/>
      <c r="T348" s="74"/>
      <c r="U348" s="74"/>
      <c r="V348" s="74"/>
      <c r="W348" s="74"/>
      <c r="X348" s="74"/>
      <c r="Y348" s="74"/>
      <c r="Z348" s="74"/>
    </row>
    <row r="349" spans="1:26" x14ac:dyDescent="0.3">
      <c r="A349" s="66">
        <f t="shared" si="38"/>
        <v>2024.1999999999689</v>
      </c>
      <c r="B349" s="67">
        <f>LOOKUP(A349+0.01,Amounts!$A$4:$A$103,Amounts!$B$4:$B$103)*0.1*$A$2</f>
        <v>0</v>
      </c>
      <c r="C349" s="68">
        <f t="shared" si="37"/>
        <v>2219148.7781994981</v>
      </c>
      <c r="D349" s="67">
        <f t="array" ref="D349">SUM($B$7:$B344*$F$1009*EXP(-$F$1009*($A349-$A$7:$A344)))*$F$1010</f>
        <v>214837529.25173819</v>
      </c>
      <c r="E349" s="67">
        <f t="shared" si="35"/>
        <v>409.56878364827662</v>
      </c>
      <c r="F349" s="70">
        <f t="shared" si="39"/>
        <v>24.869016543123358</v>
      </c>
      <c r="G349" s="67">
        <f>E349/'Lookup Tables'!$C$48</f>
        <v>819.13756729655324</v>
      </c>
      <c r="H349" s="70">
        <f t="shared" si="36"/>
        <v>9.7005371969784079E-2</v>
      </c>
      <c r="I349" s="71">
        <f t="shared" si="40"/>
        <v>1.1795580969070365</v>
      </c>
      <c r="L349" s="74"/>
      <c r="M349" s="74"/>
      <c r="N349" s="74"/>
      <c r="O349" s="74"/>
      <c r="P349" s="74"/>
      <c r="Q349" s="74"/>
      <c r="R349" s="74"/>
      <c r="S349" s="74"/>
      <c r="T349" s="74"/>
      <c r="U349" s="74"/>
      <c r="V349" s="74"/>
      <c r="W349" s="74"/>
      <c r="X349" s="74"/>
      <c r="Y349" s="74"/>
      <c r="Z349" s="74"/>
    </row>
    <row r="350" spans="1:26" x14ac:dyDescent="0.3">
      <c r="A350" s="66">
        <f t="shared" si="38"/>
        <v>2024.2999999999688</v>
      </c>
      <c r="B350" s="67">
        <f>LOOKUP(A350+0.01,Amounts!$A$4:$A$103,Amounts!$B$4:$B$103)*0.1*$A$2</f>
        <v>0</v>
      </c>
      <c r="C350" s="68">
        <f t="shared" si="37"/>
        <v>2219148.7781994981</v>
      </c>
      <c r="D350" s="67">
        <f t="array" ref="D350">SUM($B$7:$B345*$F$1009*EXP(-$F$1009*($A350-$A$7:$A345)))*$F$1010</f>
        <v>214236825.54747954</v>
      </c>
      <c r="E350" s="67">
        <f t="shared" si="35"/>
        <v>408.42359506626713</v>
      </c>
      <c r="F350" s="70">
        <f t="shared" si="39"/>
        <v>24.799480692423742</v>
      </c>
      <c r="G350" s="67">
        <f>E350/'Lookup Tables'!$C$48</f>
        <v>816.84719013253425</v>
      </c>
      <c r="H350" s="70">
        <f t="shared" si="36"/>
        <v>9.6734136834665044E-2</v>
      </c>
      <c r="I350" s="71">
        <f t="shared" si="40"/>
        <v>1.1762599537908494</v>
      </c>
      <c r="L350" s="74"/>
      <c r="M350" s="74"/>
      <c r="N350" s="74"/>
      <c r="O350" s="74"/>
      <c r="P350" s="74"/>
      <c r="Q350" s="74"/>
      <c r="R350" s="74"/>
      <c r="S350" s="74"/>
      <c r="T350" s="74"/>
      <c r="U350" s="74"/>
      <c r="V350" s="74"/>
      <c r="W350" s="74"/>
      <c r="X350" s="74"/>
      <c r="Y350" s="74"/>
      <c r="Z350" s="74"/>
    </row>
    <row r="351" spans="1:26" x14ac:dyDescent="0.3">
      <c r="A351" s="66">
        <f t="shared" si="38"/>
        <v>2024.3999999999687</v>
      </c>
      <c r="B351" s="67">
        <f>LOOKUP(A351+0.01,Amounts!$A$4:$A$103,Amounts!$B$4:$B$103)*0.1*$A$2</f>
        <v>0</v>
      </c>
      <c r="C351" s="68">
        <f t="shared" si="37"/>
        <v>2219148.7781994981</v>
      </c>
      <c r="D351" s="67">
        <f t="array" ref="D351">SUM($B$7:$B346*$F$1009*EXP(-$F$1009*($A351-$A$7:$A346)))*$F$1010</f>
        <v>213637801.46103054</v>
      </c>
      <c r="E351" s="67">
        <f t="shared" si="35"/>
        <v>407.28160852733487</v>
      </c>
      <c r="F351" s="70">
        <f t="shared" si="39"/>
        <v>24.730139269779773</v>
      </c>
      <c r="G351" s="67">
        <f>E351/'Lookup Tables'!$C$48</f>
        <v>814.56321705466974</v>
      </c>
      <c r="H351" s="70">
        <f t="shared" si="36"/>
        <v>9.6463660095674239E-2</v>
      </c>
      <c r="I351" s="71">
        <f t="shared" si="40"/>
        <v>1.1729710325587244</v>
      </c>
      <c r="L351" s="74"/>
      <c r="M351" s="74"/>
      <c r="N351" s="74"/>
      <c r="O351" s="74"/>
      <c r="P351" s="74"/>
      <c r="Q351" s="74"/>
      <c r="R351" s="74"/>
      <c r="S351" s="74"/>
      <c r="T351" s="74"/>
      <c r="U351" s="74"/>
      <c r="V351" s="74"/>
      <c r="W351" s="74"/>
      <c r="X351" s="74"/>
      <c r="Y351" s="74"/>
      <c r="Z351" s="74"/>
    </row>
    <row r="352" spans="1:26" x14ac:dyDescent="0.3">
      <c r="A352" s="66">
        <f t="shared" si="38"/>
        <v>2024.4999999999686</v>
      </c>
      <c r="B352" s="67">
        <f>LOOKUP(A352+0.01,Amounts!$A$4:$A$103,Amounts!$B$4:$B$103)*0.1*$A$2</f>
        <v>0</v>
      </c>
      <c r="C352" s="68">
        <f t="shared" si="37"/>
        <v>2219148.7781994981</v>
      </c>
      <c r="D352" s="67">
        <f t="array" ref="D352">SUM($B$7:$B347*$F$1009*EXP(-$F$1009*($A352-$A$7:$A347)))*$F$1010</f>
        <v>213040452.29603934</v>
      </c>
      <c r="E352" s="67">
        <f t="shared" si="35"/>
        <v>406.1428150782998</v>
      </c>
      <c r="F352" s="70">
        <f t="shared" si="39"/>
        <v>24.660991731554368</v>
      </c>
      <c r="G352" s="67">
        <f>E352/'Lookup Tables'!$C$48</f>
        <v>812.28563015659961</v>
      </c>
      <c r="H352" s="70">
        <f t="shared" si="36"/>
        <v>9.6193939632272782E-2</v>
      </c>
      <c r="I352" s="71">
        <f t="shared" si="40"/>
        <v>1.1696913074255035</v>
      </c>
      <c r="L352" s="74"/>
      <c r="M352" s="74"/>
      <c r="N352" s="74"/>
      <c r="O352" s="74"/>
      <c r="P352" s="74"/>
      <c r="Q352" s="74"/>
      <c r="R352" s="74"/>
      <c r="S352" s="74"/>
      <c r="T352" s="74"/>
      <c r="U352" s="74"/>
      <c r="V352" s="74"/>
      <c r="W352" s="74"/>
      <c r="X352" s="74"/>
      <c r="Y352" s="74"/>
      <c r="Z352" s="74"/>
    </row>
    <row r="353" spans="1:26" x14ac:dyDescent="0.3">
      <c r="A353" s="66">
        <f t="shared" si="38"/>
        <v>2024.5999999999685</v>
      </c>
      <c r="B353" s="67">
        <f>LOOKUP(A353+0.01,Amounts!$A$4:$A$103,Amounts!$B$4:$B$103)*0.1*$A$2</f>
        <v>0</v>
      </c>
      <c r="C353" s="68">
        <f t="shared" si="37"/>
        <v>2219148.7781994981</v>
      </c>
      <c r="D353" s="67">
        <f t="array" ref="D353">SUM($B$7:$B348*$F$1009*EXP(-$F$1009*($A353-$A$7:$A348)))*$F$1010</f>
        <v>212444773.36928535</v>
      </c>
      <c r="E353" s="67">
        <f t="shared" si="35"/>
        <v>405.00720579101528</v>
      </c>
      <c r="F353" s="70">
        <f t="shared" si="39"/>
        <v>24.592037535630446</v>
      </c>
      <c r="G353" s="67">
        <f>E353/'Lookup Tables'!$C$48</f>
        <v>810.01441158203056</v>
      </c>
      <c r="H353" s="70">
        <f t="shared" si="36"/>
        <v>9.5924973329850699E-2</v>
      </c>
      <c r="I353" s="71">
        <f t="shared" si="40"/>
        <v>1.1664207526781241</v>
      </c>
      <c r="L353" s="74"/>
      <c r="M353" s="74"/>
      <c r="N353" s="74"/>
      <c r="O353" s="74"/>
      <c r="P353" s="74"/>
      <c r="Q353" s="74"/>
      <c r="R353" s="74"/>
      <c r="S353" s="74"/>
      <c r="T353" s="74"/>
      <c r="U353" s="74"/>
      <c r="V353" s="74"/>
      <c r="W353" s="74"/>
      <c r="X353" s="74"/>
      <c r="Y353" s="74"/>
      <c r="Z353" s="74"/>
    </row>
    <row r="354" spans="1:26" x14ac:dyDescent="0.3">
      <c r="A354" s="66">
        <f t="shared" si="38"/>
        <v>2024.6999999999684</v>
      </c>
      <c r="B354" s="67">
        <f>LOOKUP(A354+0.01,Amounts!$A$4:$A$103,Amounts!$B$4:$B$103)*0.1*$A$2</f>
        <v>0</v>
      </c>
      <c r="C354" s="68">
        <f t="shared" si="37"/>
        <v>2219148.7781994981</v>
      </c>
      <c r="D354" s="67">
        <f t="array" ref="D354">SUM($B$7:$B349*$F$1009*EXP(-$F$1009*($A354-$A$7:$A349)))*$F$1010</f>
        <v>211850760.01064259</v>
      </c>
      <c r="E354" s="67">
        <f t="shared" si="35"/>
        <v>403.87477176229828</v>
      </c>
      <c r="F354" s="70">
        <f t="shared" si="39"/>
        <v>24.523276141406754</v>
      </c>
      <c r="G354" s="67">
        <f>E354/'Lookup Tables'!$C$48</f>
        <v>807.74954352459656</v>
      </c>
      <c r="H354" s="70">
        <f t="shared" si="36"/>
        <v>9.5656759079710801E-2</v>
      </c>
      <c r="I354" s="71">
        <f t="shared" si="40"/>
        <v>1.163159342675419</v>
      </c>
      <c r="L354" s="74"/>
      <c r="M354" s="74"/>
      <c r="N354" s="74"/>
      <c r="O354" s="74"/>
      <c r="P354" s="74"/>
      <c r="Q354" s="74"/>
      <c r="R354" s="74"/>
      <c r="S354" s="74"/>
      <c r="T354" s="74"/>
      <c r="U354" s="74"/>
      <c r="V354" s="74"/>
      <c r="W354" s="74"/>
      <c r="X354" s="74"/>
      <c r="Y354" s="74"/>
      <c r="Z354" s="74"/>
    </row>
    <row r="355" spans="1:26" x14ac:dyDescent="0.3">
      <c r="A355" s="66">
        <f t="shared" si="38"/>
        <v>2024.7999999999683</v>
      </c>
      <c r="B355" s="67">
        <f>LOOKUP(A355+0.01,Amounts!$A$4:$A$103,Amounts!$B$4:$B$103)*0.1*$A$2</f>
        <v>0</v>
      </c>
      <c r="C355" s="68">
        <f t="shared" si="37"/>
        <v>2219148.7781994981</v>
      </c>
      <c r="D355" s="67">
        <f t="array" ref="D355">SUM($B$7:$B350*$F$1009*EXP(-$F$1009*($A355-$A$7:$A350)))*$F$1010</f>
        <v>211258407.5630435</v>
      </c>
      <c r="E355" s="67">
        <f t="shared" si="35"/>
        <v>402.74550411386082</v>
      </c>
      <c r="F355" s="70">
        <f t="shared" si="39"/>
        <v>24.454707009793626</v>
      </c>
      <c r="G355" s="67">
        <f>E355/'Lookup Tables'!$C$48</f>
        <v>805.49100822772164</v>
      </c>
      <c r="H355" s="70">
        <f t="shared" si="36"/>
        <v>9.53892947790521E-2</v>
      </c>
      <c r="I355" s="71">
        <f t="shared" si="40"/>
        <v>1.1599070518479191</v>
      </c>
      <c r="L355" s="74"/>
      <c r="M355" s="74"/>
      <c r="N355" s="74"/>
      <c r="O355" s="74"/>
      <c r="P355" s="74"/>
      <c r="Q355" s="74"/>
      <c r="R355" s="74"/>
      <c r="S355" s="74"/>
      <c r="T355" s="74"/>
      <c r="U355" s="74"/>
      <c r="V355" s="74"/>
      <c r="W355" s="74"/>
      <c r="X355" s="74"/>
      <c r="Y355" s="74"/>
      <c r="Z355" s="74"/>
    </row>
    <row r="356" spans="1:26" x14ac:dyDescent="0.3">
      <c r="A356" s="66">
        <f t="shared" si="38"/>
        <v>2024.8999999999683</v>
      </c>
      <c r="B356" s="67">
        <f>LOOKUP(A356+0.01,Amounts!$A$4:$A$103,Amounts!$B$4:$B$103)*0.1*$A$2</f>
        <v>0</v>
      </c>
      <c r="C356" s="68">
        <f t="shared" si="37"/>
        <v>2219148.7781994981</v>
      </c>
      <c r="D356" s="67">
        <f t="array" ref="D356">SUM($B$7:$B351*$F$1009*EXP(-$F$1009*($A356-$A$7:$A351)))*$F$1010</f>
        <v>210667711.38244173</v>
      </c>
      <c r="E356" s="67">
        <f t="shared" si="35"/>
        <v>401.61939399223832</v>
      </c>
      <c r="F356" s="70">
        <f t="shared" si="39"/>
        <v>24.386329603208708</v>
      </c>
      <c r="G356" s="67">
        <f>E356/'Lookup Tables'!$C$48</f>
        <v>803.23878798447663</v>
      </c>
      <c r="H356" s="70">
        <f t="shared" si="36"/>
        <v>9.5122578330953028E-2</v>
      </c>
      <c r="I356" s="71">
        <f t="shared" si="40"/>
        <v>1.1566638546976464</v>
      </c>
      <c r="L356" s="74"/>
      <c r="M356" s="74"/>
      <c r="N356" s="74"/>
      <c r="O356" s="74"/>
      <c r="P356" s="74"/>
      <c r="Q356" s="74"/>
      <c r="R356" s="74"/>
      <c r="S356" s="74"/>
      <c r="T356" s="74"/>
      <c r="U356" s="74"/>
      <c r="V356" s="74"/>
      <c r="W356" s="74"/>
      <c r="X356" s="74"/>
      <c r="Y356" s="74"/>
      <c r="Z356" s="74"/>
    </row>
    <row r="357" spans="1:26" x14ac:dyDescent="0.3">
      <c r="A357" s="66">
        <f t="shared" si="38"/>
        <v>2024.9999999999682</v>
      </c>
      <c r="B357" s="67">
        <f>LOOKUP(A357+0.01,Amounts!$A$4:$A$103,Amounts!$B$4:$B$103)*0.1*$A$2</f>
        <v>0</v>
      </c>
      <c r="C357" s="68">
        <f t="shared" si="37"/>
        <v>2219148.7781994981</v>
      </c>
      <c r="D357" s="67">
        <f t="array" ref="D357">SUM($B$7:$B352*$F$1009*EXP(-$F$1009*($A357-$A$7:$A352)))*$F$1010</f>
        <v>210078666.83777633</v>
      </c>
      <c r="E357" s="67">
        <f t="shared" si="35"/>
        <v>400.49643256872196</v>
      </c>
      <c r="F357" s="70">
        <f t="shared" si="39"/>
        <v>24.3181433855728</v>
      </c>
      <c r="G357" s="67">
        <f>E357/'Lookup Tables'!$C$48</f>
        <v>800.99286513744391</v>
      </c>
      <c r="H357" s="70">
        <f t="shared" si="36"/>
        <v>9.4856607644355315E-2</v>
      </c>
      <c r="I357" s="71">
        <f t="shared" si="40"/>
        <v>1.1534297257979194</v>
      </c>
      <c r="L357" s="74"/>
      <c r="M357" s="74"/>
      <c r="N357" s="74"/>
      <c r="O357" s="74"/>
      <c r="P357" s="74"/>
      <c r="Q357" s="74"/>
      <c r="R357" s="74"/>
      <c r="S357" s="74"/>
      <c r="T357" s="74"/>
      <c r="U357" s="74"/>
      <c r="V357" s="74"/>
      <c r="W357" s="74"/>
      <c r="X357" s="74"/>
      <c r="Y357" s="74"/>
      <c r="Z357" s="74"/>
    </row>
    <row r="358" spans="1:26" x14ac:dyDescent="0.3">
      <c r="A358" s="66">
        <f t="shared" si="38"/>
        <v>2025.0999999999681</v>
      </c>
      <c r="B358" s="67">
        <f>LOOKUP(A358+0.01,Amounts!$A$4:$A$103,Amounts!$B$4:$B$103)*0.1*$A$2</f>
        <v>0</v>
      </c>
      <c r="C358" s="68">
        <f t="shared" si="37"/>
        <v>2219148.7781994981</v>
      </c>
      <c r="D358" s="67">
        <f t="array" ref="D358">SUM($B$7:$B353*$F$1009*EXP(-$F$1009*($A358-$A$7:$A353)))*$F$1010</f>
        <v>209491269.31093499</v>
      </c>
      <c r="E358" s="67">
        <f t="shared" si="35"/>
        <v>399.37661103928838</v>
      </c>
      <c r="F358" s="70">
        <f t="shared" si="39"/>
        <v>24.250147822305589</v>
      </c>
      <c r="G358" s="67">
        <f>E358/'Lookup Tables'!$C$48</f>
        <v>798.75322207857675</v>
      </c>
      <c r="H358" s="70">
        <f t="shared" si="36"/>
        <v>9.4591380634047401E-2</v>
      </c>
      <c r="I358" s="71">
        <f t="shared" si="40"/>
        <v>1.1502046397931507</v>
      </c>
      <c r="L358" s="74"/>
      <c r="M358" s="74"/>
      <c r="N358" s="74"/>
      <c r="O358" s="74"/>
      <c r="P358" s="74"/>
      <c r="Q358" s="74"/>
      <c r="R358" s="74"/>
      <c r="S358" s="74"/>
      <c r="T358" s="74"/>
      <c r="U358" s="74"/>
      <c r="V358" s="74"/>
      <c r="W358" s="74"/>
      <c r="X358" s="74"/>
      <c r="Y358" s="74"/>
      <c r="Z358" s="74"/>
    </row>
    <row r="359" spans="1:26" x14ac:dyDescent="0.3">
      <c r="A359" s="66">
        <f t="shared" si="38"/>
        <v>2025.199999999968</v>
      </c>
      <c r="B359" s="67">
        <f>LOOKUP(A359+0.01,Amounts!$A$4:$A$103,Amounts!$B$4:$B$103)*0.1*$A$2</f>
        <v>0</v>
      </c>
      <c r="C359" s="68">
        <f t="shared" si="37"/>
        <v>2219148.7781994981</v>
      </c>
      <c r="D359" s="67">
        <f t="array" ref="D359">SUM($B$7:$B354*$F$1009*EXP(-$F$1009*($A359-$A$7:$A354)))*$F$1010</f>
        <v>208905514.19671813</v>
      </c>
      <c r="E359" s="67">
        <f t="shared" si="35"/>
        <v>398.25992062453111</v>
      </c>
      <c r="F359" s="70">
        <f t="shared" si="39"/>
        <v>24.182342380321529</v>
      </c>
      <c r="G359" s="67">
        <f>E359/'Lookup Tables'!$C$48</f>
        <v>796.51984124906221</v>
      </c>
      <c r="H359" s="70">
        <f t="shared" si="36"/>
        <v>9.4326895220648216E-2</v>
      </c>
      <c r="I359" s="71">
        <f t="shared" si="40"/>
        <v>1.1469885713986496</v>
      </c>
      <c r="L359" s="74"/>
      <c r="M359" s="74"/>
      <c r="N359" s="74"/>
      <c r="O359" s="74"/>
      <c r="P359" s="74"/>
      <c r="Q359" s="74"/>
      <c r="R359" s="74"/>
      <c r="S359" s="74"/>
      <c r="T359" s="74"/>
      <c r="U359" s="74"/>
      <c r="V359" s="74"/>
      <c r="W359" s="74"/>
      <c r="X359" s="74"/>
      <c r="Y359" s="74"/>
      <c r="Z359" s="74"/>
    </row>
    <row r="360" spans="1:26" x14ac:dyDescent="0.3">
      <c r="A360" s="66">
        <f t="shared" si="38"/>
        <v>2025.2999999999679</v>
      </c>
      <c r="B360" s="67">
        <f>LOOKUP(A360+0.01,Amounts!$A$4:$A$103,Amounts!$B$4:$B$103)*0.1*$A$2</f>
        <v>0</v>
      </c>
      <c r="C360" s="68">
        <f t="shared" si="37"/>
        <v>2219148.7781994981</v>
      </c>
      <c r="D360" s="67">
        <f t="array" ref="D360">SUM($B$7:$B355*$F$1009*EXP(-$F$1009*($A360-$A$7:$A355)))*$F$1010</f>
        <v>208321396.90280265</v>
      </c>
      <c r="E360" s="67">
        <f t="shared" si="35"/>
        <v>397.1463525695915</v>
      </c>
      <c r="F360" s="70">
        <f t="shared" si="39"/>
        <v>24.114726528025592</v>
      </c>
      <c r="G360" s="67">
        <f>E360/'Lookup Tables'!$C$48</f>
        <v>794.292705139183</v>
      </c>
      <c r="H360" s="70">
        <f t="shared" si="36"/>
        <v>9.4063149330590692E-2</v>
      </c>
      <c r="I360" s="71">
        <f t="shared" si="40"/>
        <v>1.1437814954004235</v>
      </c>
      <c r="L360" s="74"/>
      <c r="M360" s="74"/>
      <c r="N360" s="74"/>
      <c r="O360" s="74"/>
      <c r="P360" s="74"/>
      <c r="Q360" s="74"/>
      <c r="R360" s="74"/>
      <c r="S360" s="74"/>
      <c r="T360" s="74"/>
      <c r="U360" s="74"/>
      <c r="V360" s="74"/>
      <c r="W360" s="74"/>
      <c r="X360" s="74"/>
      <c r="Y360" s="74"/>
      <c r="Z360" s="74"/>
    </row>
    <row r="361" spans="1:26" x14ac:dyDescent="0.3">
      <c r="A361" s="66">
        <f t="shared" si="38"/>
        <v>2025.3999999999678</v>
      </c>
      <c r="B361" s="67">
        <f>LOOKUP(A361+0.01,Amounts!$A$4:$A$103,Amounts!$B$4:$B$103)*0.1*$A$2</f>
        <v>0</v>
      </c>
      <c r="C361" s="68">
        <f t="shared" si="37"/>
        <v>2219148.7781994981</v>
      </c>
      <c r="D361" s="67">
        <f t="array" ref="D361">SUM($B$7:$B356*$F$1009*EXP(-$F$1009*($A361-$A$7:$A356)))*$F$1010</f>
        <v>207738912.84970587</v>
      </c>
      <c r="E361" s="67">
        <f t="shared" si="35"/>
        <v>396.0358981440902</v>
      </c>
      <c r="F361" s="70">
        <f t="shared" si="39"/>
        <v>24.047299735309156</v>
      </c>
      <c r="G361" s="67">
        <f>E361/'Lookup Tables'!$C$48</f>
        <v>792.07179628818039</v>
      </c>
      <c r="H361" s="70">
        <f t="shared" si="36"/>
        <v>9.3800140896105721E-2</v>
      </c>
      <c r="I361" s="71">
        <f t="shared" si="40"/>
        <v>1.1405833866549797</v>
      </c>
      <c r="L361" s="74"/>
      <c r="M361" s="74"/>
      <c r="N361" s="74"/>
      <c r="O361" s="74"/>
      <c r="P361" s="74"/>
      <c r="Q361" s="74"/>
      <c r="R361" s="74"/>
      <c r="S361" s="74"/>
      <c r="T361" s="74"/>
      <c r="U361" s="74"/>
      <c r="V361" s="74"/>
      <c r="W361" s="74"/>
      <c r="X361" s="74"/>
      <c r="Y361" s="74"/>
      <c r="Z361" s="74"/>
    </row>
    <row r="362" spans="1:26" x14ac:dyDescent="0.3">
      <c r="A362" s="66">
        <f t="shared" si="38"/>
        <v>2025.4999999999677</v>
      </c>
      <c r="B362" s="67">
        <f>LOOKUP(A362+0.01,Amounts!$A$4:$A$103,Amounts!$B$4:$B$103)*0.1*$A$2</f>
        <v>0</v>
      </c>
      <c r="C362" s="68">
        <f t="shared" si="37"/>
        <v>2219148.7781994981</v>
      </c>
      <c r="D362" s="67">
        <f t="array" ref="D362">SUM($B$7:$B357*$F$1009*EXP(-$F$1009*($A362-$A$7:$A357)))*$F$1010</f>
        <v>207158057.4707498</v>
      </c>
      <c r="E362" s="67">
        <f t="shared" si="35"/>
        <v>394.92854864205862</v>
      </c>
      <c r="F362" s="70">
        <f t="shared" si="39"/>
        <v>23.980061473545803</v>
      </c>
      <c r="G362" s="67">
        <f>E362/'Lookup Tables'!$C$48</f>
        <v>789.85709728411723</v>
      </c>
      <c r="H362" s="70">
        <f t="shared" si="36"/>
        <v>9.3537867855205764E-2</v>
      </c>
      <c r="I362" s="71">
        <f t="shared" si="40"/>
        <v>1.1373942200891287</v>
      </c>
      <c r="L362" s="74"/>
      <c r="M362" s="74"/>
      <c r="N362" s="74"/>
      <c r="O362" s="74"/>
      <c r="P362" s="74"/>
      <c r="Q362" s="74"/>
      <c r="R362" s="74"/>
      <c r="S362" s="74"/>
      <c r="T362" s="74"/>
      <c r="U362" s="74"/>
      <c r="V362" s="74"/>
      <c r="W362" s="74"/>
      <c r="X362" s="74"/>
      <c r="Y362" s="74"/>
      <c r="Z362" s="74"/>
    </row>
    <row r="363" spans="1:26" x14ac:dyDescent="0.3">
      <c r="A363" s="66">
        <f t="shared" si="38"/>
        <v>2025.5999999999676</v>
      </c>
      <c r="B363" s="67">
        <f>LOOKUP(A363+0.01,Amounts!$A$4:$A$103,Amounts!$B$4:$B$103)*0.1*$A$2</f>
        <v>0</v>
      </c>
      <c r="C363" s="68">
        <f t="shared" si="37"/>
        <v>2219148.7781994981</v>
      </c>
      <c r="D363" s="67">
        <f t="array" ref="D363">SUM($B$7:$B358*$F$1009*EXP(-$F$1009*($A363-$A$7:$A358)))*$F$1010</f>
        <v>206578826.21202552</v>
      </c>
      <c r="E363" s="67">
        <f t="shared" si="35"/>
        <v>393.82429538187159</v>
      </c>
      <c r="F363" s="70">
        <f t="shared" si="39"/>
        <v>23.913011215587243</v>
      </c>
      <c r="G363" s="67">
        <f>E363/'Lookup Tables'!$C$48</f>
        <v>787.64859076374319</v>
      </c>
      <c r="H363" s="70">
        <f t="shared" si="36"/>
        <v>9.3276328151669002E-2</v>
      </c>
      <c r="I363" s="71">
        <f t="shared" si="40"/>
        <v>1.1342139706997902</v>
      </c>
      <c r="L363" s="74"/>
      <c r="M363" s="74"/>
      <c r="N363" s="74"/>
      <c r="O363" s="74"/>
      <c r="P363" s="74"/>
      <c r="Q363" s="74"/>
      <c r="R363" s="74"/>
      <c r="S363" s="74"/>
      <c r="T363" s="74"/>
      <c r="U363" s="74"/>
      <c r="V363" s="74"/>
      <c r="W363" s="74"/>
      <c r="X363" s="74"/>
      <c r="Y363" s="74"/>
      <c r="Z363" s="74"/>
    </row>
    <row r="364" spans="1:26" x14ac:dyDescent="0.3">
      <c r="A364" s="66">
        <f t="shared" si="38"/>
        <v>2025.6999999999675</v>
      </c>
      <c r="B364" s="67">
        <f>LOOKUP(A364+0.01,Amounts!$A$4:$A$103,Amounts!$B$4:$B$103)*0.1*$A$2</f>
        <v>0</v>
      </c>
      <c r="C364" s="68">
        <f t="shared" si="37"/>
        <v>2219148.7781994981</v>
      </c>
      <c r="D364" s="67">
        <f t="array" ref="D364">SUM($B$7:$B359*$F$1009*EXP(-$F$1009*($A364-$A$7:$A359)))*$F$1010</f>
        <v>206001214.53235686</v>
      </c>
      <c r="E364" s="67">
        <f t="shared" si="35"/>
        <v>392.72312970617747</v>
      </c>
      <c r="F364" s="70">
        <f t="shared" si="39"/>
        <v>23.846148435759098</v>
      </c>
      <c r="G364" s="67">
        <f>E364/'Lookup Tables'!$C$48</f>
        <v>785.44625941235495</v>
      </c>
      <c r="H364" s="70">
        <f t="shared" si="36"/>
        <v>9.3015519735022686E-2</v>
      </c>
      <c r="I364" s="71">
        <f t="shared" si="40"/>
        <v>1.1310426135537912</v>
      </c>
      <c r="L364" s="74"/>
      <c r="M364" s="74"/>
      <c r="N364" s="74"/>
      <c r="O364" s="74"/>
      <c r="P364" s="74"/>
      <c r="Q364" s="74"/>
      <c r="R364" s="74"/>
      <c r="S364" s="74"/>
      <c r="T364" s="74"/>
      <c r="U364" s="74"/>
      <c r="V364" s="74"/>
      <c r="W364" s="74"/>
      <c r="X364" s="74"/>
      <c r="Y364" s="74"/>
      <c r="Z364" s="74"/>
    </row>
    <row r="365" spans="1:26" x14ac:dyDescent="0.3">
      <c r="A365" s="66">
        <f t="shared" si="38"/>
        <v>2025.7999999999674</v>
      </c>
      <c r="B365" s="67">
        <f>LOOKUP(A365+0.01,Amounts!$A$4:$A$103,Amounts!$B$4:$B$103)*0.1*$A$2</f>
        <v>0</v>
      </c>
      <c r="C365" s="68">
        <f t="shared" si="37"/>
        <v>2219148.7781994981</v>
      </c>
      <c r="D365" s="67">
        <f t="array" ref="D365">SUM($B$7:$B360*$F$1009*EXP(-$F$1009*($A365-$A$7:$A360)))*$F$1010</f>
        <v>205425217.90326527</v>
      </c>
      <c r="E365" s="67">
        <f t="shared" si="35"/>
        <v>391.62504298183188</v>
      </c>
      <c r="F365" s="70">
        <f t="shared" si="39"/>
        <v>23.779472609856832</v>
      </c>
      <c r="G365" s="67">
        <f>E365/'Lookup Tables'!$C$48</f>
        <v>783.25008596366376</v>
      </c>
      <c r="H365" s="70">
        <f t="shared" si="36"/>
        <v>9.2755440560527522E-2</v>
      </c>
      <c r="I365" s="71">
        <f t="shared" si="40"/>
        <v>1.1278801237876757</v>
      </c>
      <c r="L365" s="74"/>
      <c r="M365" s="74"/>
      <c r="N365" s="74"/>
      <c r="O365" s="74"/>
      <c r="P365" s="74"/>
      <c r="Q365" s="74"/>
      <c r="R365" s="74"/>
      <c r="S365" s="74"/>
      <c r="T365" s="74"/>
      <c r="U365" s="74"/>
      <c r="V365" s="74"/>
      <c r="W365" s="74"/>
      <c r="X365" s="74"/>
      <c r="Y365" s="74"/>
      <c r="Z365" s="74"/>
    </row>
    <row r="366" spans="1:26" x14ac:dyDescent="0.3">
      <c r="A366" s="66">
        <f t="shared" si="38"/>
        <v>2025.8999999999673</v>
      </c>
      <c r="B366" s="67">
        <f>LOOKUP(A366+0.01,Amounts!$A$4:$A$103,Amounts!$B$4:$B$103)*0.1*$A$2</f>
        <v>0</v>
      </c>
      <c r="C366" s="68">
        <f t="shared" si="37"/>
        <v>2219148.7781994981</v>
      </c>
      <c r="D366" s="67">
        <f t="array" ref="D366">SUM($B$7:$B361*$F$1009*EXP(-$F$1009*($A366-$A$7:$A361)))*$F$1010</f>
        <v>204850831.8089343</v>
      </c>
      <c r="E366" s="67">
        <f t="shared" si="35"/>
        <v>390.53002659982928</v>
      </c>
      <c r="F366" s="70">
        <f t="shared" si="39"/>
        <v>23.712983215141634</v>
      </c>
      <c r="G366" s="67">
        <f>E366/'Lookup Tables'!$C$48</f>
        <v>781.06005319965857</v>
      </c>
      <c r="H366" s="70">
        <f t="shared" si="36"/>
        <v>9.2496088589161488E-2</v>
      </c>
      <c r="I366" s="71">
        <f t="shared" si="40"/>
        <v>1.1247264766075082</v>
      </c>
      <c r="L366" s="74"/>
      <c r="M366" s="74"/>
      <c r="N366" s="74"/>
      <c r="O366" s="74"/>
      <c r="P366" s="74"/>
      <c r="Q366" s="74"/>
      <c r="R366" s="74"/>
      <c r="S366" s="74"/>
      <c r="T366" s="74"/>
      <c r="U366" s="74"/>
      <c r="V366" s="74"/>
      <c r="W366" s="74"/>
      <c r="X366" s="74"/>
      <c r="Y366" s="74"/>
      <c r="Z366" s="74"/>
    </row>
    <row r="367" spans="1:26" x14ac:dyDescent="0.3">
      <c r="A367" s="66">
        <f t="shared" si="38"/>
        <v>2025.9999999999673</v>
      </c>
      <c r="B367" s="67">
        <f>LOOKUP(A367+0.01,Amounts!$A$4:$A$103,Amounts!$B$4:$B$103)*0.1*$A$2</f>
        <v>0</v>
      </c>
      <c r="C367" s="68">
        <f t="shared" si="37"/>
        <v>2219148.7781994981</v>
      </c>
      <c r="D367" s="67">
        <f t="array" ref="D367">SUM($B$7:$B362*$F$1009*EXP(-$F$1009*($A367-$A$7:$A362)))*$F$1010</f>
        <v>204278051.74617395</v>
      </c>
      <c r="E367" s="67">
        <f t="shared" si="35"/>
        <v>389.43807197523546</v>
      </c>
      <c r="F367" s="70">
        <f t="shared" si="39"/>
        <v>23.646679730336299</v>
      </c>
      <c r="G367" s="67">
        <f>E367/'Lookup Tables'!$C$48</f>
        <v>778.87614395047092</v>
      </c>
      <c r="H367" s="70">
        <f t="shared" si="36"/>
        <v>9.2237461787603767E-2</v>
      </c>
      <c r="I367" s="71">
        <f t="shared" si="40"/>
        <v>1.1215816472886782</v>
      </c>
      <c r="L367" s="74"/>
      <c r="M367" s="74"/>
      <c r="N367" s="74"/>
      <c r="O367" s="74"/>
      <c r="P367" s="74"/>
      <c r="Q367" s="74"/>
      <c r="R367" s="74"/>
      <c r="S367" s="74"/>
      <c r="T367" s="74"/>
      <c r="U367" s="74"/>
      <c r="V367" s="74"/>
      <c r="W367" s="74"/>
      <c r="X367" s="74"/>
      <c r="Y367" s="74"/>
      <c r="Z367" s="74"/>
    </row>
    <row r="368" spans="1:26" x14ac:dyDescent="0.3">
      <c r="A368" s="66">
        <f t="shared" si="38"/>
        <v>2026.0999999999672</v>
      </c>
      <c r="B368" s="67">
        <f>LOOKUP(A368+0.01,Amounts!$A$4:$A$103,Amounts!$B$4:$B$103)*0.1*$A$2</f>
        <v>0</v>
      </c>
      <c r="C368" s="68">
        <f t="shared" si="37"/>
        <v>2219148.7781994981</v>
      </c>
      <c r="D368" s="67">
        <f t="array" ref="D368">SUM($B$7:$B363*$F$1009*EXP(-$F$1009*($A368-$A$7:$A363)))*$F$1010</f>
        <v>203706873.22438556</v>
      </c>
      <c r="E368" s="67">
        <f t="shared" si="35"/>
        <v>388.34917054712065</v>
      </c>
      <c r="F368" s="70">
        <f t="shared" si="39"/>
        <v>23.580561635621169</v>
      </c>
      <c r="G368" s="67">
        <f>E368/'Lookup Tables'!$C$48</f>
        <v>776.6983410942413</v>
      </c>
      <c r="H368" s="70">
        <f t="shared" si="36"/>
        <v>9.1979558128218869E-2</v>
      </c>
      <c r="I368" s="71">
        <f t="shared" si="40"/>
        <v>1.1184456111757075</v>
      </c>
      <c r="L368" s="74"/>
      <c r="M368" s="74"/>
      <c r="N368" s="74"/>
      <c r="O368" s="74"/>
      <c r="P368" s="74"/>
      <c r="Q368" s="74"/>
      <c r="R368" s="74"/>
      <c r="S368" s="74"/>
      <c r="T368" s="74"/>
      <c r="U368" s="74"/>
      <c r="V368" s="74"/>
      <c r="W368" s="74"/>
      <c r="X368" s="74"/>
      <c r="Y368" s="74"/>
      <c r="Z368" s="74"/>
    </row>
    <row r="369" spans="1:26" x14ac:dyDescent="0.3">
      <c r="A369" s="66">
        <f t="shared" si="38"/>
        <v>2026.1999999999671</v>
      </c>
      <c r="B369" s="67">
        <f>LOOKUP(A369+0.01,Amounts!$A$4:$A$103,Amounts!$B$4:$B$103)*0.1*$A$2</f>
        <v>0</v>
      </c>
      <c r="C369" s="68">
        <f t="shared" si="37"/>
        <v>2219148.7781994981</v>
      </c>
      <c r="D369" s="67">
        <f t="array" ref="D369">SUM($B$7:$B364*$F$1009*EXP(-$F$1009*($A369-$A$7:$A364)))*$F$1010</f>
        <v>203137291.76552665</v>
      </c>
      <c r="E369" s="67">
        <f t="shared" si="35"/>
        <v>387.26331377849198</v>
      </c>
      <c r="F369" s="70">
        <f t="shared" si="39"/>
        <v>23.514628412630032</v>
      </c>
      <c r="G369" s="67">
        <f>E369/'Lookup Tables'!$C$48</f>
        <v>774.52662755698395</v>
      </c>
      <c r="H369" s="70">
        <f t="shared" si="36"/>
        <v>9.1722375589040797E-2</v>
      </c>
      <c r="I369" s="71">
        <f t="shared" si="40"/>
        <v>1.1153183436820568</v>
      </c>
      <c r="L369" s="74"/>
      <c r="M369" s="74"/>
      <c r="N369" s="74"/>
      <c r="O369" s="74"/>
      <c r="P369" s="74"/>
      <c r="Q369" s="74"/>
      <c r="R369" s="74"/>
      <c r="S369" s="74"/>
      <c r="T369" s="74"/>
      <c r="U369" s="74"/>
      <c r="V369" s="74"/>
      <c r="W369" s="74"/>
      <c r="X369" s="74"/>
      <c r="Y369" s="74"/>
      <c r="Z369" s="74"/>
    </row>
    <row r="370" spans="1:26" x14ac:dyDescent="0.3">
      <c r="A370" s="66">
        <f t="shared" si="38"/>
        <v>2026.299999999967</v>
      </c>
      <c r="B370" s="67">
        <f>LOOKUP(A370+0.01,Amounts!$A$4:$A$103,Amounts!$B$4:$B$103)*0.1*$A$2</f>
        <v>0</v>
      </c>
      <c r="C370" s="68">
        <f t="shared" si="37"/>
        <v>2219148.7781994981</v>
      </c>
      <c r="D370" s="67">
        <f t="array" ref="D370">SUM($B$7:$B365*$F$1009*EXP(-$F$1009*($A370-$A$7:$A365)))*$F$1010</f>
        <v>202569302.90407571</v>
      </c>
      <c r="E370" s="67">
        <f t="shared" si="35"/>
        <v>386.18049315622699</v>
      </c>
      <c r="F370" s="70">
        <f t="shared" si="39"/>
        <v>23.4488795444461</v>
      </c>
      <c r="G370" s="67">
        <f>E370/'Lookup Tables'!$C$48</f>
        <v>772.36098631245397</v>
      </c>
      <c r="H370" s="70">
        <f t="shared" si="36"/>
        <v>9.146591215375717E-2</v>
      </c>
      <c r="I370" s="71">
        <f t="shared" si="40"/>
        <v>1.1121998202899337</v>
      </c>
      <c r="L370" s="74"/>
      <c r="M370" s="74"/>
      <c r="N370" s="74"/>
      <c r="O370" s="74"/>
      <c r="P370" s="74"/>
      <c r="Q370" s="74"/>
      <c r="R370" s="74"/>
      <c r="S370" s="74"/>
      <c r="T370" s="74"/>
      <c r="U370" s="74"/>
      <c r="V370" s="74"/>
      <c r="W370" s="74"/>
      <c r="X370" s="74"/>
      <c r="Y370" s="74"/>
      <c r="Z370" s="74"/>
    </row>
    <row r="371" spans="1:26" x14ac:dyDescent="0.3">
      <c r="A371" s="66">
        <f t="shared" si="38"/>
        <v>2026.3999999999669</v>
      </c>
      <c r="B371" s="67">
        <f>LOOKUP(A371+0.01,Amounts!$A$4:$A$103,Amounts!$B$4:$B$103)*0.1*$A$2</f>
        <v>0</v>
      </c>
      <c r="C371" s="68">
        <f t="shared" si="37"/>
        <v>2219148.7781994981</v>
      </c>
      <c r="D371" s="67">
        <f t="array" ref="D371">SUM($B$7:$B366*$F$1009*EXP(-$F$1009*($A371-$A$7:$A366)))*$F$1010</f>
        <v>202002902.18699709</v>
      </c>
      <c r="E371" s="67">
        <f t="shared" si="35"/>
        <v>385.10070019100641</v>
      </c>
      <c r="F371" s="70">
        <f t="shared" si="39"/>
        <v>23.38331451559791</v>
      </c>
      <c r="G371" s="67">
        <f>E371/'Lookup Tables'!$C$48</f>
        <v>770.20140038201282</v>
      </c>
      <c r="H371" s="70">
        <f t="shared" si="36"/>
        <v>9.1210165811693375E-2</v>
      </c>
      <c r="I371" s="71">
        <f t="shared" si="40"/>
        <v>1.1090900165500985</v>
      </c>
      <c r="L371" s="74"/>
      <c r="M371" s="74"/>
      <c r="N371" s="74"/>
      <c r="O371" s="74"/>
      <c r="P371" s="74"/>
      <c r="Q371" s="74"/>
      <c r="R371" s="74"/>
      <c r="S371" s="74"/>
      <c r="T371" s="74"/>
      <c r="U371" s="74"/>
      <c r="V371" s="74"/>
      <c r="W371" s="74"/>
      <c r="X371" s="74"/>
      <c r="Y371" s="74"/>
      <c r="Z371" s="74"/>
    </row>
    <row r="372" spans="1:26" x14ac:dyDescent="0.3">
      <c r="A372" s="66">
        <f t="shared" si="38"/>
        <v>2026.4999999999668</v>
      </c>
      <c r="B372" s="67">
        <f>LOOKUP(A372+0.01,Amounts!$A$4:$A$103,Amounts!$B$4:$B$103)*0.1*$A$2</f>
        <v>0</v>
      </c>
      <c r="C372" s="68">
        <f t="shared" si="37"/>
        <v>2219148.7781994981</v>
      </c>
      <c r="D372" s="67">
        <f t="array" ref="D372">SUM($B$7:$B367*$F$1009*EXP(-$F$1009*($A372-$A$7:$A367)))*$F$1010</f>
        <v>201438085.17370644</v>
      </c>
      <c r="E372" s="67">
        <f t="shared" si="35"/>
        <v>384.02392641724811</v>
      </c>
      <c r="F372" s="70">
        <f t="shared" si="39"/>
        <v>23.317932812055304</v>
      </c>
      <c r="G372" s="67">
        <f>E372/'Lookup Tables'!$C$48</f>
        <v>768.04785283449621</v>
      </c>
      <c r="H372" s="70">
        <f t="shared" si="36"/>
        <v>9.0955134557796732E-2</v>
      </c>
      <c r="I372" s="71">
        <f t="shared" si="40"/>
        <v>1.1059889080816745</v>
      </c>
      <c r="L372" s="74"/>
      <c r="M372" s="74"/>
      <c r="N372" s="74"/>
      <c r="O372" s="74"/>
      <c r="P372" s="74"/>
      <c r="Q372" s="74"/>
      <c r="R372" s="74"/>
      <c r="S372" s="74"/>
      <c r="T372" s="74"/>
      <c r="U372" s="74"/>
      <c r="V372" s="74"/>
      <c r="W372" s="74"/>
      <c r="X372" s="74"/>
      <c r="Y372" s="74"/>
      <c r="Z372" s="74"/>
    </row>
    <row r="373" spans="1:26" x14ac:dyDescent="0.3">
      <c r="A373" s="66">
        <f t="shared" si="38"/>
        <v>2026.5999999999667</v>
      </c>
      <c r="B373" s="67">
        <f>LOOKUP(A373+0.01,Amounts!$A$4:$A$103,Amounts!$B$4:$B$103)*0.1*$A$2</f>
        <v>0</v>
      </c>
      <c r="C373" s="68">
        <f t="shared" si="37"/>
        <v>2219148.7781994981</v>
      </c>
      <c r="D373" s="67">
        <f t="array" ref="D373">SUM($B$7:$B368*$F$1009*EXP(-$F$1009*($A373-$A$7:$A368)))*$F$1010</f>
        <v>200874847.43603519</v>
      </c>
      <c r="E373" s="67">
        <f t="shared" si="35"/>
        <v>382.95016339303965</v>
      </c>
      <c r="F373" s="70">
        <f t="shared" si="39"/>
        <v>23.252733921225371</v>
      </c>
      <c r="G373" s="67">
        <f>E373/'Lookup Tables'!$C$48</f>
        <v>765.90032678607929</v>
      </c>
      <c r="H373" s="70">
        <f t="shared" si="36"/>
        <v>9.0700816392620884E-2</v>
      </c>
      <c r="I373" s="71">
        <f t="shared" si="40"/>
        <v>1.1028964705719542</v>
      </c>
      <c r="L373" s="74"/>
      <c r="M373" s="74"/>
      <c r="N373" s="74"/>
      <c r="O373" s="74"/>
      <c r="P373" s="74"/>
      <c r="Q373" s="74"/>
      <c r="R373" s="74"/>
      <c r="S373" s="74"/>
      <c r="T373" s="74"/>
      <c r="U373" s="74"/>
      <c r="V373" s="74"/>
      <c r="W373" s="74"/>
      <c r="X373" s="74"/>
      <c r="Y373" s="74"/>
      <c r="Z373" s="74"/>
    </row>
    <row r="374" spans="1:26" x14ac:dyDescent="0.3">
      <c r="A374" s="66">
        <f t="shared" si="38"/>
        <v>2026.6999999999666</v>
      </c>
      <c r="B374" s="67">
        <f>LOOKUP(A374+0.01,Amounts!$A$4:$A$103,Amounts!$B$4:$B$103)*0.1*$A$2</f>
        <v>0</v>
      </c>
      <c r="C374" s="68">
        <f t="shared" si="37"/>
        <v>2219148.7781994981</v>
      </c>
      <c r="D374" s="67">
        <f t="array" ref="D374">SUM($B$7:$B369*$F$1009*EXP(-$F$1009*($A374-$A$7:$A369)))*$F$1010</f>
        <v>200313184.55819678</v>
      </c>
      <c r="E374" s="67">
        <f t="shared" si="35"/>
        <v>381.8794027000738</v>
      </c>
      <c r="F374" s="70">
        <f t="shared" si="39"/>
        <v>23.18771733194848</v>
      </c>
      <c r="G374" s="67">
        <f>E374/'Lookup Tables'!$C$48</f>
        <v>763.75880540014759</v>
      </c>
      <c r="H374" s="70">
        <f t="shared" si="36"/>
        <v>9.0447209322310124E-2</v>
      </c>
      <c r="I374" s="71">
        <f t="shared" si="40"/>
        <v>1.0998126797762124</v>
      </c>
      <c r="L374" s="74"/>
      <c r="M374" s="74"/>
      <c r="N374" s="74"/>
      <c r="O374" s="74"/>
      <c r="P374" s="74"/>
      <c r="Q374" s="74"/>
      <c r="R374" s="74"/>
      <c r="S374" s="74"/>
      <c r="T374" s="74"/>
      <c r="U374" s="74"/>
      <c r="V374" s="74"/>
      <c r="W374" s="74"/>
      <c r="X374" s="74"/>
      <c r="Y374" s="74"/>
      <c r="Z374" s="74"/>
    </row>
    <row r="375" spans="1:26" x14ac:dyDescent="0.3">
      <c r="A375" s="66">
        <f t="shared" si="38"/>
        <v>2026.7999999999665</v>
      </c>
      <c r="B375" s="67">
        <f>LOOKUP(A375+0.01,Amounts!$A$4:$A$103,Amounts!$B$4:$B$103)*0.1*$A$2</f>
        <v>0</v>
      </c>
      <c r="C375" s="68">
        <f t="shared" si="37"/>
        <v>2219148.7781994981</v>
      </c>
      <c r="D375" s="67">
        <f t="array" ref="D375">SUM($B$7:$B370*$F$1009*EXP(-$F$1009*($A375-$A$7:$A370)))*$F$1010</f>
        <v>199753092.13675141</v>
      </c>
      <c r="E375" s="67">
        <f t="shared" si="35"/>
        <v>380.81163594358122</v>
      </c>
      <c r="F375" s="70">
        <f t="shared" si="39"/>
        <v>23.122882534494256</v>
      </c>
      <c r="G375" s="67">
        <f>E375/'Lookup Tables'!$C$48</f>
        <v>761.62327188716245</v>
      </c>
      <c r="H375" s="70">
        <f t="shared" si="36"/>
        <v>9.0194311358583773E-2</v>
      </c>
      <c r="I375" s="71">
        <f t="shared" si="40"/>
        <v>1.096737511517514</v>
      </c>
      <c r="L375" s="74"/>
      <c r="M375" s="74"/>
      <c r="N375" s="74"/>
      <c r="O375" s="74"/>
      <c r="P375" s="74"/>
      <c r="Q375" s="74"/>
      <c r="R375" s="74"/>
      <c r="S375" s="74"/>
      <c r="T375" s="74"/>
      <c r="U375" s="74"/>
      <c r="V375" s="74"/>
      <c r="W375" s="74"/>
      <c r="X375" s="74"/>
      <c r="Y375" s="74"/>
      <c r="Z375" s="74"/>
    </row>
    <row r="376" spans="1:26" x14ac:dyDescent="0.3">
      <c r="A376" s="66">
        <f t="shared" si="38"/>
        <v>2026.8999999999664</v>
      </c>
      <c r="B376" s="67">
        <f>LOOKUP(A376+0.01,Amounts!$A$4:$A$103,Amounts!$B$4:$B$103)*0.1*$A$2</f>
        <v>0</v>
      </c>
      <c r="C376" s="68">
        <f t="shared" si="37"/>
        <v>2219148.7781994981</v>
      </c>
      <c r="D376" s="67">
        <f t="array" ref="D376">SUM($B$7:$B371*$F$1009*EXP(-$F$1009*($A376-$A$7:$A371)))*$F$1010</f>
        <v>199194565.78057152</v>
      </c>
      <c r="E376" s="67">
        <f t="shared" si="35"/>
        <v>379.74685475226499</v>
      </c>
      <c r="F376" s="70">
        <f t="shared" si="39"/>
        <v>23.05822902055753</v>
      </c>
      <c r="G376" s="67">
        <f>E376/'Lookup Tables'!$C$48</f>
        <v>759.49370950452999</v>
      </c>
      <c r="H376" s="70">
        <f t="shared" si="36"/>
        <v>8.9942120518720442E-2</v>
      </c>
      <c r="I376" s="71">
        <f t="shared" si="40"/>
        <v>1.0936709416865231</v>
      </c>
      <c r="L376" s="74"/>
      <c r="M376" s="74"/>
      <c r="N376" s="74"/>
      <c r="O376" s="74"/>
      <c r="P376" s="74"/>
      <c r="Q376" s="74"/>
      <c r="R376" s="74"/>
      <c r="S376" s="74"/>
      <c r="T376" s="74"/>
      <c r="U376" s="74"/>
      <c r="V376" s="74"/>
      <c r="W376" s="74"/>
      <c r="X376" s="74"/>
      <c r="Y376" s="74"/>
      <c r="Z376" s="74"/>
    </row>
    <row r="377" spans="1:26" x14ac:dyDescent="0.3">
      <c r="A377" s="66">
        <f t="shared" si="38"/>
        <v>2026.9999999999663</v>
      </c>
      <c r="B377" s="67">
        <f>LOOKUP(A377+0.01,Amounts!$A$4:$A$103,Amounts!$B$4:$B$103)*0.1*$A$2</f>
        <v>0</v>
      </c>
      <c r="C377" s="68">
        <f t="shared" si="37"/>
        <v>2219148.7781994981</v>
      </c>
      <c r="D377" s="67">
        <f t="array" ref="D377">SUM($B$7:$B372*$F$1009*EXP(-$F$1009*($A377-$A$7:$A372)))*$F$1010</f>
        <v>198637601.11080757</v>
      </c>
      <c r="E377" s="67">
        <f t="shared" si="35"/>
        <v>378.68505077823494</v>
      </c>
      <c r="F377" s="70">
        <f t="shared" si="39"/>
        <v>22.993756283254427</v>
      </c>
      <c r="G377" s="67">
        <f>E377/'Lookup Tables'!$C$48</f>
        <v>757.37010155646988</v>
      </c>
      <c r="H377" s="70">
        <f t="shared" si="36"/>
        <v>8.9690634825542626E-2</v>
      </c>
      <c r="I377" s="71">
        <f t="shared" si="40"/>
        <v>1.0906129462413165</v>
      </c>
      <c r="L377" s="74"/>
      <c r="M377" s="74"/>
      <c r="N377" s="74"/>
      <c r="O377" s="74"/>
      <c r="P377" s="74"/>
      <c r="Q377" s="74"/>
      <c r="R377" s="74"/>
      <c r="S377" s="74"/>
      <c r="T377" s="74"/>
      <c r="U377" s="74"/>
      <c r="V377" s="74"/>
      <c r="W377" s="74"/>
      <c r="X377" s="74"/>
      <c r="Y377" s="74"/>
      <c r="Z377" s="74"/>
    </row>
    <row r="378" spans="1:26" x14ac:dyDescent="0.3">
      <c r="A378" s="66">
        <f t="shared" si="38"/>
        <v>2027.0999999999663</v>
      </c>
      <c r="B378" s="67">
        <f>LOOKUP(A378+0.01,Amounts!$A$4:$A$103,Amounts!$B$4:$B$103)*0.1*$A$2</f>
        <v>0</v>
      </c>
      <c r="C378" s="68">
        <f t="shared" si="37"/>
        <v>2219148.7781994981</v>
      </c>
      <c r="D378" s="67">
        <f t="array" ref="D378">SUM($B$7:$B373*$F$1009*EXP(-$F$1009*($A378-$A$7:$A373)))*$F$1010</f>
        <v>198082193.76085392</v>
      </c>
      <c r="E378" s="67">
        <f t="shared" si="35"/>
        <v>377.62621569694301</v>
      </c>
      <c r="F378" s="70">
        <f t="shared" si="39"/>
        <v>22.929463817118375</v>
      </c>
      <c r="G378" s="67">
        <f>E378/'Lookup Tables'!$C$48</f>
        <v>755.25243139388601</v>
      </c>
      <c r="H378" s="70">
        <f t="shared" si="36"/>
        <v>8.9439852307401327E-2</v>
      </c>
      <c r="I378" s="71">
        <f t="shared" si="40"/>
        <v>1.0875635012071956</v>
      </c>
      <c r="L378" s="74"/>
      <c r="M378" s="74"/>
      <c r="N378" s="74"/>
      <c r="O378" s="74"/>
      <c r="P378" s="74"/>
      <c r="Q378" s="74"/>
      <c r="R378" s="74"/>
      <c r="S378" s="74"/>
      <c r="T378" s="74"/>
      <c r="U378" s="74"/>
      <c r="V378" s="74"/>
      <c r="W378" s="74"/>
      <c r="X378" s="74"/>
      <c r="Y378" s="74"/>
      <c r="Z378" s="74"/>
    </row>
    <row r="379" spans="1:26" x14ac:dyDescent="0.3">
      <c r="A379" s="66">
        <f t="shared" si="38"/>
        <v>2027.1999999999662</v>
      </c>
      <c r="B379" s="67">
        <f>LOOKUP(A379+0.01,Amounts!$A$4:$A$103,Amounts!$B$4:$B$103)*0.1*$A$2</f>
        <v>0</v>
      </c>
      <c r="C379" s="68">
        <f t="shared" si="37"/>
        <v>2219148.7781994981</v>
      </c>
      <c r="D379" s="67">
        <f t="array" ref="D379">SUM($B$7:$B374*$F$1009*EXP(-$F$1009*($A379-$A$7:$A374)))*$F$1010</f>
        <v>197528339.37631387</v>
      </c>
      <c r="E379" s="67">
        <f t="shared" si="35"/>
        <v>376.5703412071162</v>
      </c>
      <c r="F379" s="70">
        <f t="shared" si="39"/>
        <v>22.865351118096093</v>
      </c>
      <c r="G379" s="67">
        <f>E379/'Lookup Tables'!$C$48</f>
        <v>753.1406824142324</v>
      </c>
      <c r="H379" s="70">
        <f t="shared" si="36"/>
        <v>8.9189770998160223E-2</v>
      </c>
      <c r="I379" s="71">
        <f t="shared" si="40"/>
        <v>1.0845225826764948</v>
      </c>
      <c r="L379" s="74"/>
      <c r="M379" s="74"/>
      <c r="N379" s="74"/>
      <c r="O379" s="74"/>
      <c r="P379" s="74"/>
      <c r="Q379" s="74"/>
      <c r="R379" s="74"/>
      <c r="S379" s="74"/>
      <c r="T379" s="74"/>
      <c r="U379" s="74"/>
      <c r="V379" s="74"/>
      <c r="W379" s="74"/>
      <c r="X379" s="74"/>
      <c r="Y379" s="74"/>
      <c r="Z379" s="74"/>
    </row>
    <row r="380" spans="1:26" x14ac:dyDescent="0.3">
      <c r="A380" s="66">
        <f t="shared" si="38"/>
        <v>2027.2999999999661</v>
      </c>
      <c r="B380" s="67">
        <f>LOOKUP(A380+0.01,Amounts!$A$4:$A$103,Amounts!$B$4:$B$103)*0.1*$A$2</f>
        <v>0</v>
      </c>
      <c r="C380" s="68">
        <f t="shared" si="37"/>
        <v>2219148.7781994981</v>
      </c>
      <c r="D380" s="67">
        <f t="array" ref="D380">SUM($B$7:$B375*$F$1009*EXP(-$F$1009*($A380-$A$7:$A375)))*$F$1010</f>
        <v>196976033.61496633</v>
      </c>
      <c r="E380" s="67">
        <f t="shared" si="35"/>
        <v>375.51741903069336</v>
      </c>
      <c r="F380" s="70">
        <f t="shared" si="39"/>
        <v>22.801417683543701</v>
      </c>
      <c r="G380" s="67">
        <f>E380/'Lookup Tables'!$C$48</f>
        <v>751.03483806138672</v>
      </c>
      <c r="H380" s="70">
        <f t="shared" si="36"/>
        <v>8.8940388937180564E-2</v>
      </c>
      <c r="I380" s="71">
        <f t="shared" si="40"/>
        <v>1.0814901668083967</v>
      </c>
      <c r="L380" s="74"/>
      <c r="M380" s="74"/>
      <c r="N380" s="74"/>
      <c r="O380" s="74"/>
      <c r="P380" s="74"/>
      <c r="Q380" s="74"/>
      <c r="R380" s="74"/>
      <c r="S380" s="74"/>
      <c r="T380" s="74"/>
      <c r="U380" s="74"/>
      <c r="V380" s="74"/>
      <c r="W380" s="74"/>
      <c r="X380" s="74"/>
      <c r="Y380" s="74"/>
      <c r="Z380" s="74"/>
    </row>
    <row r="381" spans="1:26" x14ac:dyDescent="0.3">
      <c r="A381" s="66">
        <f t="shared" si="38"/>
        <v>2027.399999999966</v>
      </c>
      <c r="B381" s="67">
        <f>LOOKUP(A381+0.01,Amounts!$A$4:$A$103,Amounts!$B$4:$B$103)*0.1*$A$2</f>
        <v>0</v>
      </c>
      <c r="C381" s="68">
        <f t="shared" si="37"/>
        <v>2219148.7781994981</v>
      </c>
      <c r="D381" s="67">
        <f t="array" ref="D381">SUM($B$7:$B376*$F$1009*EXP(-$F$1009*($A381-$A$7:$A376)))*$F$1010</f>
        <v>196425272.1467312</v>
      </c>
      <c r="E381" s="67">
        <f t="shared" si="35"/>
        <v>374.46744091275906</v>
      </c>
      <c r="F381" s="70">
        <f t="shared" si="39"/>
        <v>22.737663012222729</v>
      </c>
      <c r="G381" s="67">
        <f>E381/'Lookup Tables'!$C$48</f>
        <v>748.93488182551812</v>
      </c>
      <c r="H381" s="70">
        <f t="shared" si="36"/>
        <v>8.8691704169305732E-2</v>
      </c>
      <c r="I381" s="71">
        <f t="shared" si="40"/>
        <v>1.078466229828746</v>
      </c>
      <c r="L381" s="74"/>
      <c r="M381" s="74"/>
      <c r="N381" s="74"/>
      <c r="O381" s="74"/>
      <c r="P381" s="74"/>
      <c r="Q381" s="74"/>
      <c r="R381" s="74"/>
      <c r="S381" s="74"/>
      <c r="T381" s="74"/>
      <c r="U381" s="74"/>
      <c r="V381" s="74"/>
      <c r="W381" s="74"/>
      <c r="X381" s="74"/>
      <c r="Y381" s="74"/>
      <c r="Z381" s="74"/>
    </row>
    <row r="382" spans="1:26" x14ac:dyDescent="0.3">
      <c r="A382" s="66">
        <f t="shared" si="38"/>
        <v>2027.4999999999659</v>
      </c>
      <c r="B382" s="67">
        <f>LOOKUP(A382+0.01,Amounts!$A$4:$A$103,Amounts!$B$4:$B$103)*0.1*$A$2</f>
        <v>0</v>
      </c>
      <c r="C382" s="68">
        <f t="shared" si="37"/>
        <v>2219148.7781994981</v>
      </c>
      <c r="D382" s="67">
        <f t="array" ref="D382">SUM($B$7:$B377*$F$1009*EXP(-$F$1009*($A382-$A$7:$A377)))*$F$1010</f>
        <v>195876050.6536358</v>
      </c>
      <c r="E382" s="67">
        <f t="shared" si="35"/>
        <v>373.42039862147948</v>
      </c>
      <c r="F382" s="70">
        <f t="shared" si="39"/>
        <v>22.674086604296235</v>
      </c>
      <c r="G382" s="67">
        <f>E382/'Lookup Tables'!$C$48</f>
        <v>746.84079724295896</v>
      </c>
      <c r="H382" s="70">
        <f t="shared" si="36"/>
        <v>8.8443714744845858E-2</v>
      </c>
      <c r="I382" s="71">
        <f t="shared" si="40"/>
        <v>1.075450748029861</v>
      </c>
      <c r="L382" s="74"/>
      <c r="M382" s="74"/>
      <c r="N382" s="74"/>
      <c r="O382" s="74"/>
      <c r="P382" s="74"/>
      <c r="Q382" s="74"/>
      <c r="R382" s="74"/>
      <c r="S382" s="74"/>
      <c r="T382" s="74"/>
      <c r="U382" s="74"/>
      <c r="V382" s="74"/>
      <c r="W382" s="74"/>
      <c r="X382" s="74"/>
      <c r="Y382" s="74"/>
      <c r="Z382" s="74"/>
    </row>
    <row r="383" spans="1:26" x14ac:dyDescent="0.3">
      <c r="A383" s="66">
        <f t="shared" si="38"/>
        <v>2027.5999999999658</v>
      </c>
      <c r="B383" s="67">
        <f>LOOKUP(A383+0.01,Amounts!$A$4:$A$103,Amounts!$B$4:$B$103)*0.1*$A$2</f>
        <v>0</v>
      </c>
      <c r="C383" s="68">
        <f t="shared" si="37"/>
        <v>2219148.7781994981</v>
      </c>
      <c r="D383" s="67">
        <f t="array" ref="D383">SUM($B$7:$B378*$F$1009*EXP(-$F$1009*($A383-$A$7:$A378)))*$F$1010</f>
        <v>195328364.82978088</v>
      </c>
      <c r="E383" s="67">
        <f t="shared" si="35"/>
        <v>372.37628394803795</v>
      </c>
      <c r="F383" s="70">
        <f t="shared" si="39"/>
        <v>22.610687961324867</v>
      </c>
      <c r="G383" s="67">
        <f>E383/'Lookup Tables'!$C$48</f>
        <v>744.7525678960759</v>
      </c>
      <c r="H383" s="70">
        <f t="shared" si="36"/>
        <v>8.819641871956263E-2</v>
      </c>
      <c r="I383" s="71">
        <f t="shared" si="40"/>
        <v>1.0724436977703493</v>
      </c>
      <c r="L383" s="74"/>
      <c r="M383" s="74"/>
      <c r="N383" s="74"/>
      <c r="O383" s="74"/>
      <c r="P383" s="74"/>
      <c r="Q383" s="74"/>
      <c r="R383" s="74"/>
      <c r="S383" s="74"/>
      <c r="T383" s="74"/>
      <c r="U383" s="74"/>
      <c r="V383" s="74"/>
      <c r="W383" s="74"/>
      <c r="X383" s="74"/>
      <c r="Y383" s="74"/>
      <c r="Z383" s="74"/>
    </row>
    <row r="384" spans="1:26" x14ac:dyDescent="0.3">
      <c r="A384" s="66">
        <f t="shared" si="38"/>
        <v>2027.6999999999657</v>
      </c>
      <c r="B384" s="67">
        <f>LOOKUP(A384+0.01,Amounts!$A$4:$A$103,Amounts!$B$4:$B$103)*0.1*$A$2</f>
        <v>0</v>
      </c>
      <c r="C384" s="68">
        <f t="shared" si="37"/>
        <v>2219148.7781994981</v>
      </c>
      <c r="D384" s="67">
        <f t="array" ref="D384">SUM($B$7:$B379*$F$1009*EXP(-$F$1009*($A384-$A$7:$A379)))*$F$1010</f>
        <v>194782210.3813068</v>
      </c>
      <c r="E384" s="67">
        <f t="shared" si="35"/>
        <v>371.33508870657005</v>
      </c>
      <c r="F384" s="70">
        <f t="shared" si="39"/>
        <v>22.547466586262935</v>
      </c>
      <c r="G384" s="67">
        <f>E384/'Lookup Tables'!$C$48</f>
        <v>742.6701774131401</v>
      </c>
      <c r="H384" s="70">
        <f t="shared" si="36"/>
        <v>8.7949814154653944E-2</v>
      </c>
      <c r="I384" s="71">
        <f t="shared" si="40"/>
        <v>1.0694450554749217</v>
      </c>
      <c r="L384" s="74"/>
      <c r="M384" s="74"/>
      <c r="N384" s="74"/>
      <c r="O384" s="74"/>
      <c r="P384" s="74"/>
      <c r="Q384" s="74"/>
      <c r="R384" s="74"/>
      <c r="S384" s="74"/>
      <c r="T384" s="74"/>
      <c r="U384" s="74"/>
      <c r="V384" s="74"/>
      <c r="W384" s="74"/>
      <c r="X384" s="74"/>
      <c r="Y384" s="74"/>
      <c r="Z384" s="74"/>
    </row>
    <row r="385" spans="1:26" x14ac:dyDescent="0.3">
      <c r="A385" s="66">
        <f t="shared" si="38"/>
        <v>2027.7999999999656</v>
      </c>
      <c r="B385" s="67">
        <f>LOOKUP(A385+0.01,Amounts!$A$4:$A$103,Amounts!$B$4:$B$103)*0.1*$A$2</f>
        <v>0</v>
      </c>
      <c r="C385" s="68">
        <f t="shared" si="37"/>
        <v>2219148.7781994981</v>
      </c>
      <c r="D385" s="67">
        <f t="array" ref="D385">SUM($B$7:$B380*$F$1009*EXP(-$F$1009*($A385-$A$7:$A380)))*$F$1010</f>
        <v>194237583.02635974</v>
      </c>
      <c r="E385" s="67">
        <f t="shared" si="35"/>
        <v>370.29680473409957</v>
      </c>
      <c r="F385" s="70">
        <f t="shared" si="39"/>
        <v>22.484421983454524</v>
      </c>
      <c r="G385" s="67">
        <f>E385/'Lookup Tables'!$C$48</f>
        <v>740.59360946819913</v>
      </c>
      <c r="H385" s="70">
        <f t="shared" si="36"/>
        <v>8.7703899116738704E-2</v>
      </c>
      <c r="I385" s="71">
        <f t="shared" si="40"/>
        <v>1.0664547976342067</v>
      </c>
      <c r="L385" s="74"/>
      <c r="M385" s="74"/>
      <c r="N385" s="74"/>
      <c r="O385" s="74"/>
      <c r="P385" s="74"/>
      <c r="Q385" s="74"/>
      <c r="R385" s="74"/>
      <c r="S385" s="74"/>
      <c r="T385" s="74"/>
      <c r="U385" s="74"/>
      <c r="V385" s="74"/>
      <c r="W385" s="74"/>
      <c r="X385" s="74"/>
      <c r="Y385" s="74"/>
      <c r="Z385" s="74"/>
    </row>
    <row r="386" spans="1:26" x14ac:dyDescent="0.3">
      <c r="A386" s="66">
        <f t="shared" si="38"/>
        <v>2027.8999999999655</v>
      </c>
      <c r="B386" s="67">
        <f>LOOKUP(A386+0.01,Amounts!$A$4:$A$103,Amounts!$B$4:$B$103)*0.1*$A$2</f>
        <v>0</v>
      </c>
      <c r="C386" s="68">
        <f t="shared" si="37"/>
        <v>2219148.7781994981</v>
      </c>
      <c r="D386" s="67">
        <f t="array" ref="D386">SUM($B$7:$B381*$F$1009*EXP(-$F$1009*($A386-$A$7:$A381)))*$F$1010</f>
        <v>193694478.49505842</v>
      </c>
      <c r="E386" s="67">
        <f t="shared" si="35"/>
        <v>369.2614238904747</v>
      </c>
      <c r="F386" s="70">
        <f t="shared" si="39"/>
        <v>22.421553658629627</v>
      </c>
      <c r="G386" s="67">
        <f>E386/'Lookup Tables'!$C$48</f>
        <v>738.52284778094941</v>
      </c>
      <c r="H386" s="70">
        <f t="shared" si="36"/>
        <v>8.7458671677841715E-2</v>
      </c>
      <c r="I386" s="71">
        <f t="shared" si="40"/>
        <v>1.0634729008045671</v>
      </c>
      <c r="L386" s="74"/>
      <c r="M386" s="74"/>
      <c r="N386" s="74"/>
      <c r="O386" s="74"/>
      <c r="P386" s="74"/>
      <c r="Q386" s="74"/>
      <c r="R386" s="74"/>
      <c r="S386" s="74"/>
      <c r="T386" s="74"/>
      <c r="U386" s="74"/>
      <c r="V386" s="74"/>
      <c r="W386" s="74"/>
      <c r="X386" s="74"/>
      <c r="Y386" s="74"/>
      <c r="Z386" s="74"/>
    </row>
    <row r="387" spans="1:26" x14ac:dyDescent="0.3">
      <c r="A387" s="66">
        <f t="shared" si="38"/>
        <v>2027.9999999999654</v>
      </c>
      <c r="B387" s="67">
        <f>LOOKUP(A387+0.01,Amounts!$A$4:$A$103,Amounts!$B$4:$B$103)*0.1*$A$2</f>
        <v>0</v>
      </c>
      <c r="C387" s="68">
        <f t="shared" si="37"/>
        <v>2219148.7781994981</v>
      </c>
      <c r="D387" s="67">
        <f t="array" ref="D387">SUM($B$7:$B382*$F$1009*EXP(-$F$1009*($A387-$A$7:$A382)))*$F$1010</f>
        <v>193152892.52946067</v>
      </c>
      <c r="E387" s="67">
        <f t="shared" si="35"/>
        <v>368.22893805830461</v>
      </c>
      <c r="F387" s="70">
        <f t="shared" si="39"/>
        <v>22.358861118900258</v>
      </c>
      <c r="G387" s="67">
        <f>E387/'Lookup Tables'!$C$48</f>
        <v>736.45787611660921</v>
      </c>
      <c r="H387" s="70">
        <f t="shared" si="36"/>
        <v>8.7214129915378691E-2</v>
      </c>
      <c r="I387" s="71">
        <f t="shared" si="40"/>
        <v>1.0604993416079174</v>
      </c>
      <c r="L387" s="74"/>
      <c r="M387" s="74"/>
      <c r="N387" s="74"/>
      <c r="O387" s="74"/>
      <c r="P387" s="74"/>
      <c r="Q387" s="74"/>
      <c r="R387" s="74"/>
      <c r="S387" s="74"/>
      <c r="T387" s="74"/>
      <c r="U387" s="74"/>
      <c r="V387" s="74"/>
      <c r="W387" s="74"/>
      <c r="X387" s="74"/>
      <c r="Y387" s="74"/>
      <c r="Z387" s="74"/>
    </row>
    <row r="388" spans="1:26" x14ac:dyDescent="0.3">
      <c r="A388" s="66">
        <f t="shared" si="38"/>
        <v>2028.0999999999653</v>
      </c>
      <c r="B388" s="67">
        <f>LOOKUP(A388+0.01,Amounts!$A$4:$A$103,Amounts!$B$4:$B$103)*0.1*$A$2</f>
        <v>0</v>
      </c>
      <c r="C388" s="68">
        <f t="shared" si="37"/>
        <v>2219148.7781994981</v>
      </c>
      <c r="D388" s="67">
        <f t="array" ref="D388">SUM($B$7:$B383*$F$1009*EXP(-$F$1009*($A388-$A$7:$A383)))*$F$1010</f>
        <v>192612820.88352969</v>
      </c>
      <c r="E388" s="67">
        <f t="shared" si="35"/>
        <v>367.19933914289493</v>
      </c>
      <c r="F388" s="70">
        <f t="shared" si="39"/>
        <v>22.296343872756577</v>
      </c>
      <c r="G388" s="67">
        <f>E388/'Lookup Tables'!$C$48</f>
        <v>734.39867828578986</v>
      </c>
      <c r="H388" s="70">
        <f t="shared" si="36"/>
        <v>8.6970271912140892E-2</v>
      </c>
      <c r="I388" s="71">
        <f t="shared" si="40"/>
        <v>1.0575340967315374</v>
      </c>
      <c r="L388" s="74"/>
      <c r="M388" s="74"/>
      <c r="N388" s="74"/>
      <c r="O388" s="74"/>
      <c r="P388" s="74"/>
      <c r="Q388" s="74"/>
      <c r="R388" s="74"/>
      <c r="S388" s="74"/>
      <c r="T388" s="74"/>
      <c r="U388" s="74"/>
      <c r="V388" s="74"/>
      <c r="W388" s="74"/>
      <c r="X388" s="74"/>
      <c r="Y388" s="74"/>
      <c r="Z388" s="74"/>
    </row>
    <row r="389" spans="1:26" x14ac:dyDescent="0.3">
      <c r="A389" s="66">
        <f t="shared" si="38"/>
        <v>2028.1999999999653</v>
      </c>
      <c r="B389" s="67">
        <f>LOOKUP(A389+0.01,Amounts!$A$4:$A$103,Amounts!$B$4:$B$103)*0.1*$A$2</f>
        <v>0</v>
      </c>
      <c r="C389" s="68">
        <f t="shared" si="37"/>
        <v>2219148.7781994981</v>
      </c>
      <c r="D389" s="67">
        <f t="array" ref="D389">SUM($B$7:$B384*$F$1009*EXP(-$F$1009*($A389-$A$7:$A384)))*$F$1010</f>
        <v>192074259.3231011</v>
      </c>
      <c r="E389" s="67">
        <f t="shared" si="35"/>
        <v>366.17261907218523</v>
      </c>
      <c r="F389" s="70">
        <f t="shared" si="39"/>
        <v>22.234001430063085</v>
      </c>
      <c r="G389" s="67">
        <f>E389/'Lookup Tables'!$C$48</f>
        <v>732.34523814437046</v>
      </c>
      <c r="H389" s="70">
        <f t="shared" si="36"/>
        <v>8.6727095756280403E-2</v>
      </c>
      <c r="I389" s="71">
        <f t="shared" si="40"/>
        <v>1.0545771429278934</v>
      </c>
      <c r="L389" s="74"/>
      <c r="M389" s="74"/>
      <c r="N389" s="74"/>
      <c r="O389" s="74"/>
      <c r="P389" s="74"/>
      <c r="Q389" s="74"/>
      <c r="R389" s="74"/>
      <c r="S389" s="74"/>
      <c r="T389" s="74"/>
      <c r="U389" s="74"/>
      <c r="V389" s="74"/>
      <c r="W389" s="74"/>
      <c r="X389" s="74"/>
      <c r="Y389" s="74"/>
      <c r="Z389" s="74"/>
    </row>
    <row r="390" spans="1:26" x14ac:dyDescent="0.3">
      <c r="A390" s="66">
        <f t="shared" si="38"/>
        <v>2028.2999999999652</v>
      </c>
      <c r="B390" s="67">
        <f>LOOKUP(A390+0.01,Amounts!$A$4:$A$103,Amounts!$B$4:$B$103)*0.1*$A$2</f>
        <v>0</v>
      </c>
      <c r="C390" s="68">
        <f t="shared" si="37"/>
        <v>2219148.7781994981</v>
      </c>
      <c r="D390" s="67">
        <f t="array" ref="D390">SUM($B$7:$B385*$F$1009*EXP(-$F$1009*($A390-$A$7:$A385)))*$F$1010</f>
        <v>191537203.62584943</v>
      </c>
      <c r="E390" s="67">
        <f t="shared" si="35"/>
        <v>365.14876979668452</v>
      </c>
      <c r="F390" s="70">
        <f t="shared" si="39"/>
        <v>22.171833302054683</v>
      </c>
      <c r="G390" s="67">
        <f>E390/'Lookup Tables'!$C$48</f>
        <v>730.29753959336904</v>
      </c>
      <c r="H390" s="70">
        <f t="shared" si="36"/>
        <v>8.6484599541294865E-2</v>
      </c>
      <c r="I390" s="71">
        <f t="shared" si="40"/>
        <v>1.0516284570144514</v>
      </c>
      <c r="L390" s="74"/>
      <c r="M390" s="74"/>
      <c r="N390" s="74"/>
      <c r="O390" s="74"/>
      <c r="P390" s="74"/>
      <c r="Q390" s="74"/>
      <c r="R390" s="74"/>
      <c r="S390" s="74"/>
      <c r="T390" s="74"/>
      <c r="U390" s="74"/>
      <c r="V390" s="74"/>
      <c r="W390" s="74"/>
      <c r="X390" s="74"/>
      <c r="Y390" s="74"/>
      <c r="Z390" s="74"/>
    </row>
    <row r="391" spans="1:26" x14ac:dyDescent="0.3">
      <c r="A391" s="66">
        <f t="shared" si="38"/>
        <v>2028.3999999999651</v>
      </c>
      <c r="B391" s="67">
        <f>LOOKUP(A391+0.01,Amounts!$A$4:$A$103,Amounts!$B$4:$B$103)*0.1*$A$2</f>
        <v>0</v>
      </c>
      <c r="C391" s="68">
        <f t="shared" si="37"/>
        <v>2219148.7781994981</v>
      </c>
      <c r="D391" s="67">
        <f t="array" ref="D391">SUM($B$7:$B386*$F$1009*EXP(-$F$1009*($A391-$A$7:$A386)))*$F$1010</f>
        <v>191001649.58125526</v>
      </c>
      <c r="E391" s="67">
        <f t="shared" ref="E391:E454" si="41">D391/(365*24*60)*1.00201</f>
        <v>364.12778328940942</v>
      </c>
      <c r="F391" s="70">
        <f t="shared" si="39"/>
        <v>22.109839001332944</v>
      </c>
      <c r="G391" s="67">
        <f>E391/'Lookup Tables'!$C$48</f>
        <v>728.25556657881884</v>
      </c>
      <c r="H391" s="70">
        <f t="shared" ref="H391:H454" si="42">G391*60*24*365/(C391*2000)</f>
        <v>8.6242781366012738E-2</v>
      </c>
      <c r="I391" s="71">
        <f t="shared" si="40"/>
        <v>1.0486880158734992</v>
      </c>
      <c r="L391" s="74"/>
      <c r="M391" s="74"/>
      <c r="N391" s="74"/>
      <c r="O391" s="74"/>
      <c r="P391" s="74"/>
      <c r="Q391" s="74"/>
      <c r="R391" s="74"/>
      <c r="S391" s="74"/>
      <c r="T391" s="74"/>
      <c r="U391" s="74"/>
      <c r="V391" s="74"/>
      <c r="W391" s="74"/>
      <c r="X391" s="74"/>
      <c r="Y391" s="74"/>
      <c r="Z391" s="74"/>
    </row>
    <row r="392" spans="1:26" x14ac:dyDescent="0.3">
      <c r="A392" s="66">
        <f t="shared" si="38"/>
        <v>2028.499999999965</v>
      </c>
      <c r="B392" s="67">
        <f>LOOKUP(A392+0.01,Amounts!$A$4:$A$103,Amounts!$B$4:$B$103)*0.1*$A$2</f>
        <v>0</v>
      </c>
      <c r="C392" s="68">
        <f t="shared" si="37"/>
        <v>2219148.7781994981</v>
      </c>
      <c r="D392" s="67">
        <f t="array" ref="D392">SUM($B$7:$B387*$F$1009*EXP(-$F$1009*($A392-$A$7:$A387)))*$F$1010</f>
        <v>190467592.99057215</v>
      </c>
      <c r="E392" s="67">
        <f t="shared" si="41"/>
        <v>363.10965154582044</v>
      </c>
      <c r="F392" s="70">
        <f t="shared" si="39"/>
        <v>22.048018041862221</v>
      </c>
      <c r="G392" s="67">
        <f>E392/'Lookup Tables'!$C$48</f>
        <v>726.21930309164088</v>
      </c>
      <c r="H392" s="70">
        <f t="shared" si="42"/>
        <v>8.6001639334578259E-2</v>
      </c>
      <c r="I392" s="71">
        <f t="shared" si="40"/>
        <v>1.0457557964519628</v>
      </c>
      <c r="L392" s="74"/>
      <c r="M392" s="74"/>
      <c r="N392" s="74"/>
      <c r="O392" s="74"/>
      <c r="P392" s="74"/>
      <c r="Q392" s="74"/>
      <c r="R392" s="74"/>
      <c r="S392" s="74"/>
      <c r="T392" s="74"/>
      <c r="U392" s="74"/>
      <c r="V392" s="74"/>
      <c r="W392" s="74"/>
      <c r="X392" s="74"/>
      <c r="Y392" s="74"/>
      <c r="Z392" s="74"/>
    </row>
    <row r="393" spans="1:26" x14ac:dyDescent="0.3">
      <c r="A393" s="66">
        <f t="shared" si="38"/>
        <v>2028.5999999999649</v>
      </c>
      <c r="B393" s="67">
        <f>LOOKUP(A393+0.01,Amounts!$A$4:$A$103,Amounts!$B$4:$B$103)*0.1*$A$2</f>
        <v>0</v>
      </c>
      <c r="C393" s="68">
        <f t="shared" ref="C393:C456" si="43">C392+B393</f>
        <v>2219148.7781994981</v>
      </c>
      <c r="D393" s="67">
        <f t="array" ref="D393">SUM($B$7:$B388*$F$1009*EXP(-$F$1009*($A393-$A$7:$A388)))*$F$1010</f>
        <v>189935029.66679358</v>
      </c>
      <c r="E393" s="67">
        <f t="shared" si="41"/>
        <v>362.09436658375921</v>
      </c>
      <c r="F393" s="70">
        <f t="shared" si="39"/>
        <v>21.986369938965858</v>
      </c>
      <c r="G393" s="67">
        <f>E393/'Lookup Tables'!$C$48</f>
        <v>724.18873316751842</v>
      </c>
      <c r="H393" s="70">
        <f t="shared" si="42"/>
        <v>8.5761171556436588E-2</v>
      </c>
      <c r="I393" s="71">
        <f t="shared" si="40"/>
        <v>1.0428317757612264</v>
      </c>
      <c r="L393" s="74"/>
      <c r="M393" s="74"/>
      <c r="N393" s="74"/>
      <c r="O393" s="74"/>
      <c r="P393" s="74"/>
      <c r="Q393" s="74"/>
      <c r="R393" s="74"/>
      <c r="S393" s="74"/>
      <c r="T393" s="74"/>
      <c r="U393" s="74"/>
      <c r="V393" s="74"/>
      <c r="W393" s="74"/>
      <c r="X393" s="74"/>
      <c r="Y393" s="74"/>
      <c r="Z393" s="74"/>
    </row>
    <row r="394" spans="1:26" x14ac:dyDescent="0.3">
      <c r="A394" s="66">
        <f t="shared" si="38"/>
        <v>2028.6999999999648</v>
      </c>
      <c r="B394" s="67">
        <f>LOOKUP(A394+0.01,Amounts!$A$4:$A$103,Amounts!$B$4:$B$103)*0.1*$A$2</f>
        <v>0</v>
      </c>
      <c r="C394" s="68">
        <f t="shared" si="43"/>
        <v>2219148.7781994981</v>
      </c>
      <c r="D394" s="67">
        <f t="array" ref="D394">SUM($B$7:$B389*$F$1009*EXP(-$F$1009*($A394-$A$7:$A389)))*$F$1010</f>
        <v>189403955.4346205</v>
      </c>
      <c r="E394" s="67">
        <f t="shared" si="41"/>
        <v>361.08192044338676</v>
      </c>
      <c r="F394" s="70">
        <f t="shared" si="39"/>
        <v>21.924894209322446</v>
      </c>
      <c r="G394" s="67">
        <f>E394/'Lookup Tables'!$C$48</f>
        <v>722.16384088677353</v>
      </c>
      <c r="H394" s="70">
        <f t="shared" si="42"/>
        <v>8.5521376146319258E-2</v>
      </c>
      <c r="I394" s="71">
        <f t="shared" si="40"/>
        <v>1.0399159308769539</v>
      </c>
      <c r="L394" s="74"/>
      <c r="M394" s="74"/>
      <c r="N394" s="74"/>
      <c r="O394" s="74"/>
      <c r="P394" s="74"/>
      <c r="Q394" s="74"/>
      <c r="R394" s="74"/>
      <c r="S394" s="74"/>
      <c r="T394" s="74"/>
      <c r="U394" s="74"/>
      <c r="V394" s="74"/>
      <c r="W394" s="74"/>
      <c r="X394" s="74"/>
      <c r="Y394" s="74"/>
      <c r="Z394" s="74"/>
    </row>
    <row r="395" spans="1:26" x14ac:dyDescent="0.3">
      <c r="A395" s="66">
        <f t="shared" si="38"/>
        <v>2028.7999999999647</v>
      </c>
      <c r="B395" s="67">
        <f>LOOKUP(A395+0.01,Amounts!$A$4:$A$103,Amounts!$B$4:$B$103)*0.1*$A$2</f>
        <v>0</v>
      </c>
      <c r="C395" s="68">
        <f t="shared" si="43"/>
        <v>2219148.7781994981</v>
      </c>
      <c r="D395" s="67">
        <f t="array" ref="D395">SUM($B$7:$B390*$F$1009*EXP(-$F$1009*($A395-$A$7:$A390)))*$F$1010</f>
        <v>188874366.13042825</v>
      </c>
      <c r="E395" s="67">
        <f t="shared" si="41"/>
        <v>360.07230518712032</v>
      </c>
      <c r="F395" s="70">
        <f t="shared" si="39"/>
        <v>21.863590370961944</v>
      </c>
      <c r="G395" s="67">
        <f>E395/'Lookup Tables'!$C$48</f>
        <v>720.14461037424064</v>
      </c>
      <c r="H395" s="70">
        <f t="shared" si="42"/>
        <v>8.5282251224229E-2</v>
      </c>
      <c r="I395" s="71">
        <f t="shared" si="40"/>
        <v>1.0370082389389066</v>
      </c>
      <c r="L395" s="74"/>
      <c r="M395" s="74"/>
      <c r="N395" s="74"/>
      <c r="O395" s="74"/>
      <c r="P395" s="74"/>
      <c r="Q395" s="74"/>
      <c r="R395" s="74"/>
      <c r="S395" s="74"/>
      <c r="T395" s="74"/>
      <c r="U395" s="74"/>
      <c r="V395" s="74"/>
      <c r="W395" s="74"/>
      <c r="X395" s="74"/>
      <c r="Y395" s="74"/>
      <c r="Z395" s="74"/>
    </row>
    <row r="396" spans="1:26" x14ac:dyDescent="0.3">
      <c r="A396" s="66">
        <f t="shared" si="38"/>
        <v>2028.8999999999646</v>
      </c>
      <c r="B396" s="67">
        <f>LOOKUP(A396+0.01,Amounts!$A$4:$A$103,Amounts!$B$4:$B$103)*0.1*$A$2</f>
        <v>0</v>
      </c>
      <c r="C396" s="68">
        <f t="shared" si="43"/>
        <v>2219148.7781994981</v>
      </c>
      <c r="D396" s="67">
        <f t="array" ref="D396">SUM($B$7:$B391*$F$1009*EXP(-$F$1009*($A396-$A$7:$A391)))*$F$1010</f>
        <v>188346257.60223386</v>
      </c>
      <c r="E396" s="67">
        <f t="shared" si="41"/>
        <v>359.06551289957065</v>
      </c>
      <c r="F396" s="70">
        <f t="shared" si="39"/>
        <v>21.802457943261931</v>
      </c>
      <c r="G396" s="67">
        <f>E396/'Lookup Tables'!$C$48</f>
        <v>718.1310257991413</v>
      </c>
      <c r="H396" s="70">
        <f t="shared" si="42"/>
        <v>8.5043794915425117E-2</v>
      </c>
      <c r="I396" s="71">
        <f t="shared" si="40"/>
        <v>1.0341086771507635</v>
      </c>
      <c r="L396" s="74"/>
      <c r="M396" s="74"/>
      <c r="N396" s="74"/>
      <c r="O396" s="74"/>
      <c r="P396" s="74"/>
      <c r="Q396" s="74"/>
      <c r="R396" s="74"/>
      <c r="S396" s="74"/>
      <c r="T396" s="74"/>
      <c r="U396" s="74"/>
      <c r="V396" s="74"/>
      <c r="W396" s="74"/>
      <c r="X396" s="74"/>
      <c r="Y396" s="74"/>
      <c r="Z396" s="74"/>
    </row>
    <row r="397" spans="1:26" x14ac:dyDescent="0.3">
      <c r="A397" s="66">
        <f t="shared" si="38"/>
        <v>2028.9999999999645</v>
      </c>
      <c r="B397" s="67">
        <f>LOOKUP(A397+0.01,Amounts!$A$4:$A$103,Amounts!$B$4:$B$103)*0.1*$A$2</f>
        <v>0</v>
      </c>
      <c r="C397" s="68">
        <f t="shared" si="43"/>
        <v>2219148.7781994981</v>
      </c>
      <c r="D397" s="67">
        <f t="array" ref="D397">SUM($B$7:$B392*$F$1009*EXP(-$F$1009*($A397-$A$7:$A392)))*$F$1010</f>
        <v>187819625.70966384</v>
      </c>
      <c r="E397" s="67">
        <f t="shared" si="41"/>
        <v>358.06153568748152</v>
      </c>
      <c r="F397" s="70">
        <f t="shared" si="39"/>
        <v>21.741496446943881</v>
      </c>
      <c r="G397" s="67">
        <f>E397/'Lookup Tables'!$C$48</f>
        <v>716.12307137496305</v>
      </c>
      <c r="H397" s="70">
        <f t="shared" si="42"/>
        <v>8.4806005350409039E-2</v>
      </c>
      <c r="I397" s="71">
        <f t="shared" si="40"/>
        <v>1.0312172227799468</v>
      </c>
      <c r="L397" s="74"/>
      <c r="M397" s="74"/>
      <c r="N397" s="74"/>
      <c r="O397" s="74"/>
      <c r="P397" s="74"/>
      <c r="Q397" s="74"/>
      <c r="R397" s="74"/>
      <c r="S397" s="74"/>
      <c r="T397" s="74"/>
      <c r="U397" s="74"/>
      <c r="V397" s="74"/>
      <c r="W397" s="74"/>
      <c r="X397" s="74"/>
      <c r="Y397" s="74"/>
      <c r="Z397" s="74"/>
    </row>
    <row r="398" spans="1:26" x14ac:dyDescent="0.3">
      <c r="A398" s="66">
        <f t="shared" si="38"/>
        <v>2029.0999999999644</v>
      </c>
      <c r="B398" s="67">
        <f>LOOKUP(A398+0.01,Amounts!$A$4:$A$103,Amounts!$B$4:$B$103)*0.1*$A$2</f>
        <v>0</v>
      </c>
      <c r="C398" s="68">
        <f t="shared" si="43"/>
        <v>2219148.7781994981</v>
      </c>
      <c r="D398" s="67">
        <f t="array" ref="D398">SUM($B$7:$B393*$F$1009*EXP(-$F$1009*($A398-$A$7:$A393)))*$F$1010</f>
        <v>187294466.32392141</v>
      </c>
      <c r="E398" s="67">
        <f t="shared" si="41"/>
        <v>357.06036567966612</v>
      </c>
      <c r="F398" s="70">
        <f t="shared" si="39"/>
        <v>21.680705404069325</v>
      </c>
      <c r="G398" s="67">
        <f>E398/'Lookup Tables'!$C$48</f>
        <v>714.12073135933224</v>
      </c>
      <c r="H398" s="70">
        <f t="shared" si="42"/>
        <v>8.4568880664909238E-2</v>
      </c>
      <c r="I398" s="71">
        <f t="shared" si="40"/>
        <v>1.0283338531574384</v>
      </c>
      <c r="L398" s="74"/>
      <c r="M398" s="74"/>
      <c r="N398" s="74"/>
      <c r="O398" s="74"/>
      <c r="P398" s="74"/>
      <c r="Q398" s="74"/>
      <c r="R398" s="74"/>
      <c r="S398" s="74"/>
      <c r="T398" s="74"/>
      <c r="U398" s="74"/>
      <c r="V398" s="74"/>
      <c r="W398" s="74"/>
      <c r="X398" s="74"/>
      <c r="Y398" s="74"/>
      <c r="Z398" s="74"/>
    </row>
    <row r="399" spans="1:26" x14ac:dyDescent="0.3">
      <c r="A399" s="66">
        <f t="shared" si="38"/>
        <v>2029.1999999999643</v>
      </c>
      <c r="B399" s="67">
        <f>LOOKUP(A399+0.01,Amounts!$A$4:$A$103,Amounts!$B$4:$B$103)*0.1*$A$2</f>
        <v>0</v>
      </c>
      <c r="C399" s="68">
        <f t="shared" si="43"/>
        <v>2219148.7781994981</v>
      </c>
      <c r="D399" s="67">
        <f t="array" ref="D399">SUM($B$7:$B394*$F$1009*EXP(-$F$1009*($A399-$A$7:$A394)))*$F$1010</f>
        <v>186770775.32775423</v>
      </c>
      <c r="E399" s="67">
        <f t="shared" si="41"/>
        <v>356.06199502694642</v>
      </c>
      <c r="F399" s="70">
        <f t="shared" si="39"/>
        <v>21.620084338036186</v>
      </c>
      <c r="G399" s="67">
        <f>E399/'Lookup Tables'!$C$48</f>
        <v>712.12399005389284</v>
      </c>
      <c r="H399" s="70">
        <f t="shared" si="42"/>
        <v>8.4332418999867015E-2</v>
      </c>
      <c r="I399" s="71">
        <f t="shared" si="40"/>
        <v>1.0254585456776057</v>
      </c>
      <c r="L399" s="74"/>
      <c r="M399" s="74"/>
      <c r="N399" s="74"/>
      <c r="O399" s="74"/>
      <c r="P399" s="74"/>
      <c r="Q399" s="74"/>
      <c r="R399" s="74"/>
      <c r="S399" s="74"/>
      <c r="T399" s="74"/>
      <c r="U399" s="74"/>
      <c r="V399" s="74"/>
      <c r="W399" s="74"/>
      <c r="X399" s="74"/>
      <c r="Y399" s="74"/>
      <c r="Z399" s="74"/>
    </row>
    <row r="400" spans="1:26" x14ac:dyDescent="0.3">
      <c r="A400" s="66">
        <f t="shared" si="38"/>
        <v>2029.2999999999643</v>
      </c>
      <c r="B400" s="67">
        <f>LOOKUP(A400+0.01,Amounts!$A$4:$A$103,Amounts!$B$4:$B$103)*0.1*$A$2</f>
        <v>0</v>
      </c>
      <c r="C400" s="68">
        <f t="shared" si="43"/>
        <v>2219148.7781994981</v>
      </c>
      <c r="D400" s="67">
        <f t="array" ref="D400">SUM($B$7:$B395*$F$1009*EXP(-$F$1009*($A400-$A$7:$A395)))*$F$1010</f>
        <v>186248548.61542234</v>
      </c>
      <c r="E400" s="67">
        <f t="shared" si="41"/>
        <v>355.06641590209165</v>
      </c>
      <c r="F400" s="70">
        <f t="shared" si="39"/>
        <v>21.559632773575004</v>
      </c>
      <c r="G400" s="67">
        <f>E400/'Lookup Tables'!$C$48</f>
        <v>710.1328318041833</v>
      </c>
      <c r="H400" s="70">
        <f t="shared" si="42"/>
        <v>8.4096618501421735E-2</v>
      </c>
      <c r="I400" s="71">
        <f t="shared" si="40"/>
        <v>1.0225912777980239</v>
      </c>
      <c r="L400" s="74"/>
      <c r="M400" s="74"/>
      <c r="N400" s="74"/>
      <c r="O400" s="74"/>
      <c r="P400" s="74"/>
      <c r="Q400" s="74"/>
      <c r="R400" s="74"/>
      <c r="S400" s="74"/>
      <c r="T400" s="74"/>
      <c r="U400" s="74"/>
      <c r="V400" s="74"/>
      <c r="W400" s="74"/>
      <c r="X400" s="74"/>
      <c r="Y400" s="74"/>
      <c r="Z400" s="74"/>
    </row>
    <row r="401" spans="1:26" x14ac:dyDescent="0.3">
      <c r="A401" s="66">
        <f t="shared" si="38"/>
        <v>2029.3999999999642</v>
      </c>
      <c r="B401" s="67">
        <f>LOOKUP(A401+0.01,Amounts!$A$4:$A$103,Amounts!$B$4:$B$103)*0.1*$A$2</f>
        <v>0</v>
      </c>
      <c r="C401" s="68">
        <f t="shared" si="43"/>
        <v>2219148.7781994981</v>
      </c>
      <c r="D401" s="67">
        <f t="array" ref="D401">SUM($B$7:$B396*$F$1009*EXP(-$F$1009*($A401-$A$7:$A396)))*$F$1010</f>
        <v>185727782.09266552</v>
      </c>
      <c r="E401" s="67">
        <f t="shared" si="41"/>
        <v>354.07362049975609</v>
      </c>
      <c r="F401" s="70">
        <f t="shared" si="39"/>
        <v>21.49935023674519</v>
      </c>
      <c r="G401" s="67">
        <f>E401/'Lookup Tables'!$C$48</f>
        <v>708.14724099951218</v>
      </c>
      <c r="H401" s="70">
        <f t="shared" si="42"/>
        <v>8.3861477320896244E-2</v>
      </c>
      <c r="I401" s="71">
        <f t="shared" si="40"/>
        <v>1.0197320270392976</v>
      </c>
      <c r="L401" s="74"/>
      <c r="M401" s="74"/>
      <c r="N401" s="74"/>
      <c r="O401" s="74"/>
      <c r="P401" s="74"/>
      <c r="Q401" s="74"/>
      <c r="R401" s="74"/>
      <c r="S401" s="74"/>
      <c r="T401" s="74"/>
      <c r="U401" s="74"/>
      <c r="V401" s="74"/>
      <c r="W401" s="74"/>
      <c r="X401" s="74"/>
      <c r="Y401" s="74"/>
      <c r="Z401" s="74"/>
    </row>
    <row r="402" spans="1:26" x14ac:dyDescent="0.3">
      <c r="A402" s="66">
        <f t="shared" si="38"/>
        <v>2029.4999999999641</v>
      </c>
      <c r="B402" s="67">
        <f>LOOKUP(A402+0.01,Amounts!$A$4:$A$103,Amounts!$B$4:$B$103)*0.1*$A$2</f>
        <v>0</v>
      </c>
      <c r="C402" s="68">
        <f t="shared" si="43"/>
        <v>2219148.7781994981</v>
      </c>
      <c r="D402" s="67">
        <f t="array" ref="D402">SUM($B$7:$B397*$F$1009*EXP(-$F$1009*($A402-$A$7:$A397)))*$F$1010</f>
        <v>185208471.67667162</v>
      </c>
      <c r="E402" s="67">
        <f t="shared" si="41"/>
        <v>353.08360103641888</v>
      </c>
      <c r="F402" s="70">
        <f t="shared" si="39"/>
        <v>21.439236254931352</v>
      </c>
      <c r="G402" s="67">
        <f>E402/'Lookup Tables'!$C$48</f>
        <v>706.16720207283777</v>
      </c>
      <c r="H402" s="70">
        <f t="shared" si="42"/>
        <v>8.3626993614782472E-2</v>
      </c>
      <c r="I402" s="71">
        <f t="shared" si="40"/>
        <v>1.0168807709848864</v>
      </c>
      <c r="L402" s="74"/>
      <c r="M402" s="74"/>
      <c r="N402" s="74"/>
      <c r="O402" s="74"/>
      <c r="P402" s="74"/>
      <c r="Q402" s="74"/>
      <c r="R402" s="74"/>
      <c r="S402" s="74"/>
      <c r="T402" s="74"/>
      <c r="U402" s="74"/>
      <c r="V402" s="74"/>
      <c r="W402" s="74"/>
      <c r="X402" s="74"/>
      <c r="Y402" s="74"/>
      <c r="Z402" s="74"/>
    </row>
    <row r="403" spans="1:26" x14ac:dyDescent="0.3">
      <c r="A403" s="66">
        <f t="shared" ref="A403:A466" si="44">A402+0.1</f>
        <v>2029.599999999964</v>
      </c>
      <c r="B403" s="67">
        <f>LOOKUP(A403+0.01,Amounts!$A$4:$A$103,Amounts!$B$4:$B$103)*0.1*$A$2</f>
        <v>0</v>
      </c>
      <c r="C403" s="68">
        <f t="shared" si="43"/>
        <v>2219148.7781994981</v>
      </c>
      <c r="D403" s="67">
        <f t="array" ref="D403">SUM($B$7:$B398*$F$1009*EXP(-$F$1009*($A403-$A$7:$A398)))*$F$1010</f>
        <v>184690613.29604441</v>
      </c>
      <c r="E403" s="67">
        <f t="shared" si="41"/>
        <v>352.09634975032242</v>
      </c>
      <c r="F403" s="70">
        <f t="shared" ref="F403:F466" si="45">E403*60*1012/1000000</f>
        <v>21.379290356839576</v>
      </c>
      <c r="G403" s="67">
        <f>E403/'Lookup Tables'!$C$48</f>
        <v>704.19269950064484</v>
      </c>
      <c r="H403" s="70">
        <f t="shared" si="42"/>
        <v>8.3393165544727033E-2</v>
      </c>
      <c r="I403" s="71">
        <f t="shared" ref="I403:I466" si="46">G403*60*24/1000000</f>
        <v>1.0140374872809286</v>
      </c>
      <c r="L403" s="74"/>
      <c r="M403" s="74"/>
      <c r="N403" s="74"/>
      <c r="O403" s="74"/>
      <c r="P403" s="74"/>
      <c r="Q403" s="74"/>
      <c r="R403" s="74"/>
      <c r="S403" s="74"/>
      <c r="T403" s="74"/>
      <c r="U403" s="74"/>
      <c r="V403" s="74"/>
      <c r="W403" s="74"/>
      <c r="X403" s="74"/>
      <c r="Y403" s="74"/>
      <c r="Z403" s="74"/>
    </row>
    <row r="404" spans="1:26" x14ac:dyDescent="0.3">
      <c r="A404" s="66">
        <f t="shared" si="44"/>
        <v>2029.6999999999639</v>
      </c>
      <c r="B404" s="67">
        <f>LOOKUP(A404+0.01,Amounts!$A$4:$A$103,Amounts!$B$4:$B$103)*0.1*$A$2</f>
        <v>0</v>
      </c>
      <c r="C404" s="68">
        <f t="shared" si="43"/>
        <v>2219148.7781994981</v>
      </c>
      <c r="D404" s="67">
        <f t="array" ref="D404">SUM($B$7:$B399*$F$1009*EXP(-$F$1009*($A404-$A$7:$A399)))*$F$1010</f>
        <v>184174202.89077148</v>
      </c>
      <c r="E404" s="67">
        <f t="shared" si="41"/>
        <v>351.11185890141161</v>
      </c>
      <c r="F404" s="70">
        <f t="shared" si="45"/>
        <v>21.319512072493712</v>
      </c>
      <c r="G404" s="67">
        <f>E404/'Lookup Tables'!$C$48</f>
        <v>702.22371780282322</v>
      </c>
      <c r="H404" s="70">
        <f t="shared" si="42"/>
        <v>8.3159991277516637E-2</v>
      </c>
      <c r="I404" s="71">
        <f t="shared" si="46"/>
        <v>1.0112021536360656</v>
      </c>
      <c r="L404" s="74"/>
      <c r="M404" s="74"/>
      <c r="N404" s="74"/>
      <c r="O404" s="74"/>
      <c r="P404" s="74"/>
      <c r="Q404" s="74"/>
      <c r="R404" s="74"/>
      <c r="S404" s="74"/>
      <c r="T404" s="74"/>
      <c r="U404" s="74"/>
      <c r="V404" s="74"/>
      <c r="W404" s="74"/>
      <c r="X404" s="74"/>
      <c r="Y404" s="74"/>
      <c r="Z404" s="74"/>
    </row>
    <row r="405" spans="1:26" x14ac:dyDescent="0.3">
      <c r="A405" s="66">
        <f t="shared" si="44"/>
        <v>2029.7999999999638</v>
      </c>
      <c r="B405" s="67">
        <f>LOOKUP(A405+0.01,Amounts!$A$4:$A$103,Amounts!$B$4:$B$103)*0.1*$A$2</f>
        <v>0</v>
      </c>
      <c r="C405" s="68">
        <f t="shared" si="43"/>
        <v>2219148.7781994981</v>
      </c>
      <c r="D405" s="67">
        <f t="array" ref="D405">SUM($B$7:$B400*$F$1009*EXP(-$F$1009*($A405-$A$7:$A400)))*$F$1010</f>
        <v>183659236.41219243</v>
      </c>
      <c r="E405" s="67">
        <f t="shared" si="41"/>
        <v>350.13012077127274</v>
      </c>
      <c r="F405" s="70">
        <f t="shared" si="45"/>
        <v>21.259900933231677</v>
      </c>
      <c r="G405" s="67">
        <f>E405/'Lookup Tables'!$C$48</f>
        <v>700.26024154254549</v>
      </c>
      <c r="H405" s="70">
        <f t="shared" si="42"/>
        <v>8.2927468985063715E-2</v>
      </c>
      <c r="I405" s="71">
        <f t="shared" si="46"/>
        <v>1.0083747478212655</v>
      </c>
      <c r="L405" s="74"/>
      <c r="M405" s="74"/>
      <c r="N405" s="74"/>
      <c r="O405" s="74"/>
      <c r="P405" s="74"/>
      <c r="Q405" s="74"/>
      <c r="R405" s="74"/>
      <c r="S405" s="74"/>
      <c r="T405" s="74"/>
      <c r="U405" s="74"/>
      <c r="V405" s="74"/>
      <c r="W405" s="74"/>
      <c r="X405" s="74"/>
      <c r="Y405" s="74"/>
      <c r="Z405" s="74"/>
    </row>
    <row r="406" spans="1:26" x14ac:dyDescent="0.3">
      <c r="A406" s="66">
        <f t="shared" si="44"/>
        <v>2029.8999999999637</v>
      </c>
      <c r="B406" s="67">
        <f>LOOKUP(A406+0.01,Amounts!$A$4:$A$103,Amounts!$B$4:$B$103)*0.1*$A$2</f>
        <v>0</v>
      </c>
      <c r="C406" s="68">
        <f t="shared" si="43"/>
        <v>2219148.7781994981</v>
      </c>
      <c r="D406" s="67">
        <f t="array" ref="D406">SUM($B$7:$B401*$F$1009*EXP(-$F$1009*($A406-$A$7:$A401)))*$F$1010</f>
        <v>183145709.82296768</v>
      </c>
      <c r="E406" s="67">
        <f t="shared" si="41"/>
        <v>349.15112766307431</v>
      </c>
      <c r="F406" s="70">
        <f t="shared" si="45"/>
        <v>21.200456471701873</v>
      </c>
      <c r="G406" s="67">
        <f>E406/'Lookup Tables'!$C$48</f>
        <v>698.30225532614861</v>
      </c>
      <c r="H406" s="70">
        <f t="shared" si="42"/>
        <v>8.2695596844392483E-2</v>
      </c>
      <c r="I406" s="71">
        <f t="shared" si="46"/>
        <v>1.0055552476696539</v>
      </c>
      <c r="L406" s="74"/>
      <c r="M406" s="74"/>
      <c r="N406" s="74"/>
      <c r="O406" s="74"/>
      <c r="P406" s="74"/>
      <c r="Q406" s="74"/>
      <c r="R406" s="74"/>
      <c r="S406" s="74"/>
      <c r="T406" s="74"/>
      <c r="U406" s="74"/>
      <c r="V406" s="74"/>
      <c r="W406" s="74"/>
      <c r="X406" s="74"/>
      <c r="Y406" s="74"/>
      <c r="Z406" s="74"/>
    </row>
    <row r="407" spans="1:26" x14ac:dyDescent="0.3">
      <c r="A407" s="66">
        <f t="shared" si="44"/>
        <v>2029.9999999999636</v>
      </c>
      <c r="B407" s="67">
        <f>LOOKUP(A407+0.01,Amounts!$A$4:$A$103,Amounts!$B$4:$B$103)*0.1*$A$2</f>
        <v>0</v>
      </c>
      <c r="C407" s="68">
        <f t="shared" si="43"/>
        <v>2219148.7781994981</v>
      </c>
      <c r="D407" s="67">
        <f t="array" ref="D407">SUM($B$7:$B402*$F$1009*EXP(-$F$1009*($A407-$A$7:$A402)))*$F$1010</f>
        <v>182633619.09704593</v>
      </c>
      <c r="E407" s="67">
        <f t="shared" si="41"/>
        <v>348.17487190150496</v>
      </c>
      <c r="F407" s="70">
        <f t="shared" si="45"/>
        <v>21.141178221859381</v>
      </c>
      <c r="G407" s="67">
        <f>E407/'Lookup Tables'!$C$48</f>
        <v>696.34974380300991</v>
      </c>
      <c r="H407" s="70">
        <f t="shared" si="42"/>
        <v>8.2464373037624036E-2</v>
      </c>
      <c r="I407" s="71">
        <f t="shared" si="46"/>
        <v>1.0027436310763342</v>
      </c>
      <c r="L407" s="74"/>
      <c r="M407" s="74"/>
      <c r="N407" s="74"/>
      <c r="O407" s="74"/>
      <c r="P407" s="74"/>
      <c r="Q407" s="74"/>
      <c r="R407" s="74"/>
      <c r="S407" s="74"/>
      <c r="T407" s="74"/>
      <c r="U407" s="74"/>
      <c r="V407" s="74"/>
      <c r="W407" s="74"/>
      <c r="X407" s="74"/>
      <c r="Y407" s="74"/>
      <c r="Z407" s="74"/>
    </row>
    <row r="408" spans="1:26" x14ac:dyDescent="0.3">
      <c r="A408" s="66">
        <f t="shared" si="44"/>
        <v>2030.0999999999635</v>
      </c>
      <c r="B408" s="67">
        <f>LOOKUP(A408+0.01,Amounts!$A$4:$A$103,Amounts!$B$4:$B$103)*0.1*$A$2</f>
        <v>0</v>
      </c>
      <c r="C408" s="68">
        <f t="shared" si="43"/>
        <v>2219148.7781994981</v>
      </c>
      <c r="D408" s="67">
        <f t="array" ref="D408">SUM($B$7:$B403*$F$1009*EXP(-$F$1009*($A408-$A$7:$A403)))*$F$1010</f>
        <v>182122960.21963349</v>
      </c>
      <c r="E408" s="67">
        <f t="shared" si="41"/>
        <v>347.20134583271494</v>
      </c>
      <c r="F408" s="70">
        <f t="shared" si="45"/>
        <v>21.082065718962454</v>
      </c>
      <c r="G408" s="67">
        <f>E408/'Lookup Tables'!$C$48</f>
        <v>694.40269166542987</v>
      </c>
      <c r="H408" s="70">
        <f t="shared" si="42"/>
        <v>8.2233795751962643E-2</v>
      </c>
      <c r="I408" s="71">
        <f t="shared" si="46"/>
        <v>0.99993987599821899</v>
      </c>
      <c r="L408" s="74"/>
      <c r="M408" s="74"/>
      <c r="N408" s="74"/>
      <c r="O408" s="74"/>
      <c r="P408" s="74"/>
      <c r="Q408" s="74"/>
      <c r="R408" s="74"/>
      <c r="S408" s="74"/>
      <c r="T408" s="74"/>
      <c r="U408" s="74"/>
      <c r="V408" s="74"/>
      <c r="W408" s="74"/>
      <c r="X408" s="74"/>
      <c r="Y408" s="74"/>
      <c r="Z408" s="74"/>
    </row>
    <row r="409" spans="1:26" x14ac:dyDescent="0.3">
      <c r="A409" s="66">
        <f t="shared" si="44"/>
        <v>2030.1999999999634</v>
      </c>
      <c r="B409" s="67">
        <f>LOOKUP(A409+0.01,Amounts!$A$4:$A$103,Amounts!$B$4:$B$103)*0.1*$A$2</f>
        <v>0</v>
      </c>
      <c r="C409" s="68">
        <f t="shared" si="43"/>
        <v>2219148.7781994981</v>
      </c>
      <c r="D409" s="67">
        <f t="array" ref="D409">SUM($B$7:$B404*$F$1009*EXP(-$F$1009*($A409-$A$7:$A404)))*$F$1010</f>
        <v>181613729.18716198</v>
      </c>
      <c r="E409" s="67">
        <f t="shared" si="41"/>
        <v>346.23054182425454</v>
      </c>
      <c r="F409" s="70">
        <f t="shared" si="45"/>
        <v>21.023118499568735</v>
      </c>
      <c r="G409" s="67">
        <f>E409/'Lookup Tables'!$C$48</f>
        <v>692.46108364850909</v>
      </c>
      <c r="H409" s="70">
        <f t="shared" si="42"/>
        <v>8.2003863179681127E-2</v>
      </c>
      <c r="I409" s="71">
        <f t="shared" si="46"/>
        <v>0.99714396045385301</v>
      </c>
      <c r="L409" s="74"/>
      <c r="M409" s="74"/>
      <c r="N409" s="74"/>
      <c r="O409" s="74"/>
      <c r="P409" s="74"/>
      <c r="Q409" s="74"/>
      <c r="R409" s="74"/>
      <c r="S409" s="74"/>
      <c r="T409" s="74"/>
      <c r="U409" s="74"/>
      <c r="V409" s="74"/>
      <c r="W409" s="74"/>
      <c r="X409" s="74"/>
      <c r="Y409" s="74"/>
      <c r="Z409" s="74"/>
    </row>
    <row r="410" spans="1:26" x14ac:dyDescent="0.3">
      <c r="A410" s="66">
        <f t="shared" si="44"/>
        <v>2030.2999999999633</v>
      </c>
      <c r="B410" s="67">
        <f>LOOKUP(A410+0.01,Amounts!$A$4:$A$103,Amounts!$B$4:$B$103)*0.1*$A$2</f>
        <v>0</v>
      </c>
      <c r="C410" s="68">
        <f t="shared" si="43"/>
        <v>2219148.7781994981</v>
      </c>
      <c r="D410" s="67">
        <f t="array" ref="D410">SUM($B$7:$B405*$F$1009*EXP(-$F$1009*($A410-$A$7:$A405)))*$F$1010</f>
        <v>181105922.00725758</v>
      </c>
      <c r="E410" s="67">
        <f t="shared" si="41"/>
        <v>345.26245226501555</v>
      </c>
      <c r="F410" s="70">
        <f t="shared" si="45"/>
        <v>20.964336101531742</v>
      </c>
      <c r="G410" s="67">
        <f>E410/'Lookup Tables'!$C$48</f>
        <v>690.52490453003111</v>
      </c>
      <c r="H410" s="70">
        <f t="shared" si="42"/>
        <v>8.1774573518106977E-2</v>
      </c>
      <c r="I410" s="71">
        <f t="shared" si="46"/>
        <v>0.9943558625232447</v>
      </c>
      <c r="L410" s="74"/>
      <c r="M410" s="74"/>
      <c r="N410" s="74"/>
      <c r="O410" s="74"/>
      <c r="P410" s="74"/>
      <c r="Q410" s="74"/>
      <c r="R410" s="74"/>
      <c r="S410" s="74"/>
      <c r="T410" s="74"/>
      <c r="U410" s="74"/>
      <c r="V410" s="74"/>
      <c r="W410" s="74"/>
      <c r="X410" s="74"/>
      <c r="Y410" s="74"/>
      <c r="Z410" s="74"/>
    </row>
    <row r="411" spans="1:26" x14ac:dyDescent="0.3">
      <c r="A411" s="66">
        <f t="shared" si="44"/>
        <v>2030.3999999999633</v>
      </c>
      <c r="B411" s="67">
        <f>LOOKUP(A411+0.01,Amounts!$A$4:$A$103,Amounts!$B$4:$B$103)*0.1*$A$2</f>
        <v>0</v>
      </c>
      <c r="C411" s="68">
        <f t="shared" si="43"/>
        <v>2219148.7781994981</v>
      </c>
      <c r="D411" s="67">
        <f t="array" ref="D411">SUM($B$7:$B406*$F$1009*EXP(-$F$1009*($A411-$A$7:$A406)))*$F$1010</f>
        <v>180599534.69870934</v>
      </c>
      <c r="E411" s="67">
        <f t="shared" si="41"/>
        <v>344.29706956517077</v>
      </c>
      <c r="F411" s="70">
        <f t="shared" si="45"/>
        <v>20.905718063997167</v>
      </c>
      <c r="G411" s="67">
        <f>E411/'Lookup Tables'!$C$48</f>
        <v>688.59413913034155</v>
      </c>
      <c r="H411" s="70">
        <f t="shared" si="42"/>
        <v>8.1545924969608094E-2</v>
      </c>
      <c r="I411" s="71">
        <f t="shared" si="46"/>
        <v>0.99157556034769179</v>
      </c>
      <c r="L411" s="74"/>
      <c r="M411" s="74"/>
      <c r="N411" s="74"/>
      <c r="O411" s="74"/>
      <c r="P411" s="74"/>
      <c r="Q411" s="74"/>
      <c r="R411" s="74"/>
      <c r="S411" s="74"/>
      <c r="T411" s="74"/>
      <c r="U411" s="74"/>
      <c r="V411" s="74"/>
      <c r="W411" s="74"/>
      <c r="X411" s="74"/>
      <c r="Y411" s="74"/>
      <c r="Z411" s="74"/>
    </row>
    <row r="412" spans="1:26" x14ac:dyDescent="0.3">
      <c r="A412" s="66">
        <f t="shared" si="44"/>
        <v>2030.4999999999632</v>
      </c>
      <c r="B412" s="67">
        <f>LOOKUP(A412+0.01,Amounts!$A$4:$A$103,Amounts!$B$4:$B$103)*0.1*$A$2</f>
        <v>0</v>
      </c>
      <c r="C412" s="68">
        <f t="shared" si="43"/>
        <v>2219148.7781994981</v>
      </c>
      <c r="D412" s="67">
        <f t="array" ref="D412">SUM($B$7:$B407*$F$1009*EXP(-$F$1009*($A412-$A$7:$A407)))*$F$1010</f>
        <v>180094563.29143828</v>
      </c>
      <c r="E412" s="67">
        <f t="shared" si="41"/>
        <v>343.3343861561151</v>
      </c>
      <c r="F412" s="70">
        <f t="shared" si="45"/>
        <v>20.847263927399307</v>
      </c>
      <c r="G412" s="67">
        <f>E412/'Lookup Tables'!$C$48</f>
        <v>686.6687723122302</v>
      </c>
      <c r="H412" s="70">
        <f t="shared" si="42"/>
        <v>8.1317915741578692E-2</v>
      </c>
      <c r="I412" s="71">
        <f t="shared" si="46"/>
        <v>0.98880303212961151</v>
      </c>
      <c r="L412" s="74"/>
      <c r="M412" s="74"/>
      <c r="N412" s="74"/>
      <c r="O412" s="74"/>
      <c r="P412" s="74"/>
      <c r="Q412" s="74"/>
      <c r="R412" s="74"/>
      <c r="S412" s="74"/>
      <c r="T412" s="74"/>
      <c r="U412" s="74"/>
      <c r="V412" s="74"/>
      <c r="W412" s="74"/>
      <c r="X412" s="74"/>
      <c r="Y412" s="74"/>
      <c r="Z412" s="74"/>
    </row>
    <row r="413" spans="1:26" x14ac:dyDescent="0.3">
      <c r="A413" s="66">
        <f t="shared" si="44"/>
        <v>2030.5999999999631</v>
      </c>
      <c r="B413" s="67">
        <f>LOOKUP(A413+0.01,Amounts!$A$4:$A$103,Amounts!$B$4:$B$103)*0.1*$A$2</f>
        <v>0</v>
      </c>
      <c r="C413" s="68">
        <f t="shared" si="43"/>
        <v>2219148.7781994981</v>
      </c>
      <c r="D413" s="67">
        <f t="array" ref="D413">SUM($B$7:$B408*$F$1009*EXP(-$F$1009*($A413-$A$7:$A408)))*$F$1010</f>
        <v>179591003.82646582</v>
      </c>
      <c r="E413" s="67">
        <f t="shared" si="41"/>
        <v>342.37439449040528</v>
      </c>
      <c r="F413" s="70">
        <f t="shared" si="45"/>
        <v>20.788973233457408</v>
      </c>
      <c r="G413" s="67">
        <f>E413/'Lookup Tables'!$C$48</f>
        <v>684.74878898081056</v>
      </c>
      <c r="H413" s="70">
        <f t="shared" si="42"/>
        <v>8.109054404642517E-2</v>
      </c>
      <c r="I413" s="71">
        <f t="shared" si="46"/>
        <v>0.98603825613236717</v>
      </c>
      <c r="L413" s="74"/>
      <c r="M413" s="74"/>
      <c r="N413" s="74"/>
      <c r="O413" s="74"/>
      <c r="P413" s="74"/>
      <c r="Q413" s="74"/>
      <c r="R413" s="74"/>
      <c r="S413" s="74"/>
      <c r="T413" s="74"/>
      <c r="U413" s="74"/>
      <c r="V413" s="74"/>
      <c r="W413" s="74"/>
      <c r="X413" s="74"/>
      <c r="Y413" s="74"/>
      <c r="Z413" s="74"/>
    </row>
    <row r="414" spans="1:26" x14ac:dyDescent="0.3">
      <c r="A414" s="66">
        <f t="shared" si="44"/>
        <v>2030.699999999963</v>
      </c>
      <c r="B414" s="67">
        <f>LOOKUP(A414+0.01,Amounts!$A$4:$A$103,Amounts!$B$4:$B$103)*0.1*$A$2</f>
        <v>0</v>
      </c>
      <c r="C414" s="68">
        <f t="shared" si="43"/>
        <v>2219148.7781994981</v>
      </c>
      <c r="D414" s="67">
        <f t="array" ref="D414">SUM($B$7:$B409*$F$1009*EXP(-$F$1009*($A414-$A$7:$A409)))*$F$1010</f>
        <v>179088852.35588327</v>
      </c>
      <c r="E414" s="67">
        <f t="shared" si="41"/>
        <v>341.41708704170202</v>
      </c>
      <c r="F414" s="70">
        <f t="shared" si="45"/>
        <v>20.730845525172146</v>
      </c>
      <c r="G414" s="67">
        <f>E414/'Lookup Tables'!$C$48</f>
        <v>682.83417408340404</v>
      </c>
      <c r="H414" s="70">
        <f t="shared" si="42"/>
        <v>8.0863808101552345E-2</v>
      </c>
      <c r="I414" s="71">
        <f t="shared" si="46"/>
        <v>0.98328121068010177</v>
      </c>
      <c r="L414" s="74"/>
      <c r="M414" s="74"/>
      <c r="N414" s="74"/>
      <c r="O414" s="74"/>
      <c r="P414" s="74"/>
      <c r="Q414" s="74"/>
      <c r="R414" s="74"/>
      <c r="S414" s="74"/>
      <c r="T414" s="74"/>
      <c r="U414" s="74"/>
      <c r="V414" s="74"/>
      <c r="W414" s="74"/>
      <c r="X414" s="74"/>
      <c r="Y414" s="74"/>
      <c r="Z414" s="74"/>
    </row>
    <row r="415" spans="1:26" x14ac:dyDescent="0.3">
      <c r="A415" s="66">
        <f t="shared" si="44"/>
        <v>2030.7999999999629</v>
      </c>
      <c r="B415" s="67">
        <f>LOOKUP(A415+0.01,Amounts!$A$4:$A$103,Amounts!$B$4:$B$103)*0.1*$A$2</f>
        <v>0</v>
      </c>
      <c r="C415" s="68">
        <f t="shared" si="43"/>
        <v>2219148.7781994981</v>
      </c>
      <c r="D415" s="67">
        <f t="array" ref="D415">SUM($B$7:$B410*$F$1009*EXP(-$F$1009*($A415-$A$7:$A410)))*$F$1010</f>
        <v>178588104.94282046</v>
      </c>
      <c r="E415" s="67">
        <f t="shared" si="41"/>
        <v>340.46245630470992</v>
      </c>
      <c r="F415" s="70">
        <f t="shared" si="45"/>
        <v>20.672880346821987</v>
      </c>
      <c r="G415" s="67">
        <f>E415/'Lookup Tables'!$C$48</f>
        <v>680.92491260941983</v>
      </c>
      <c r="H415" s="70">
        <f t="shared" si="42"/>
        <v>8.0637706129349215E-2</v>
      </c>
      <c r="I415" s="71">
        <f t="shared" si="46"/>
        <v>0.98053187415756449</v>
      </c>
      <c r="L415" s="74"/>
      <c r="M415" s="74"/>
      <c r="N415" s="74"/>
      <c r="O415" s="74"/>
      <c r="P415" s="74"/>
      <c r="Q415" s="74"/>
      <c r="R415" s="74"/>
      <c r="S415" s="74"/>
      <c r="T415" s="74"/>
      <c r="U415" s="74"/>
      <c r="V415" s="74"/>
      <c r="W415" s="74"/>
      <c r="X415" s="74"/>
      <c r="Y415" s="74"/>
      <c r="Z415" s="74"/>
    </row>
    <row r="416" spans="1:26" x14ac:dyDescent="0.3">
      <c r="A416" s="66">
        <f t="shared" si="44"/>
        <v>2030.8999999999628</v>
      </c>
      <c r="B416" s="67">
        <f>LOOKUP(A416+0.01,Amounts!$A$4:$A$103,Amounts!$B$4:$B$103)*0.1*$A$2</f>
        <v>0</v>
      </c>
      <c r="C416" s="68">
        <f t="shared" si="43"/>
        <v>2219148.7781994981</v>
      </c>
      <c r="D416" s="67">
        <f t="array" ref="D416">SUM($B$7:$B411*$F$1009*EXP(-$F$1009*($A416-$A$7:$A411)))*$F$1010</f>
        <v>178088757.66141522</v>
      </c>
      <c r="E416" s="67">
        <f t="shared" si="41"/>
        <v>339.5104947951192</v>
      </c>
      <c r="F416" s="70">
        <f t="shared" si="45"/>
        <v>20.615077243959636</v>
      </c>
      <c r="G416" s="67">
        <f>E416/'Lookup Tables'!$C$48</f>
        <v>679.0209895902384</v>
      </c>
      <c r="H416" s="70">
        <f t="shared" si="42"/>
        <v>8.0412236357175204E-2</v>
      </c>
      <c r="I416" s="71">
        <f t="shared" si="46"/>
        <v>0.97779022500994328</v>
      </c>
      <c r="L416" s="74"/>
      <c r="M416" s="74"/>
      <c r="N416" s="74"/>
      <c r="O416" s="74"/>
      <c r="P416" s="74"/>
      <c r="Q416" s="74"/>
      <c r="R416" s="74"/>
      <c r="S416" s="74"/>
      <c r="T416" s="74"/>
      <c r="U416" s="74"/>
      <c r="V416" s="74"/>
      <c r="W416" s="74"/>
      <c r="X416" s="74"/>
      <c r="Y416" s="74"/>
      <c r="Z416" s="74"/>
    </row>
    <row r="417" spans="1:26" x14ac:dyDescent="0.3">
      <c r="A417" s="66">
        <f t="shared" si="44"/>
        <v>2030.9999999999627</v>
      </c>
      <c r="B417" s="67">
        <f>LOOKUP(A417+0.01,Amounts!$A$4:$A$103,Amounts!$B$4:$B$103)*0.1*$A$2</f>
        <v>0</v>
      </c>
      <c r="C417" s="68">
        <f t="shared" si="43"/>
        <v>2219148.7781994981</v>
      </c>
      <c r="D417" s="67">
        <f t="array" ref="D417">SUM($B$7:$B412*$F$1009*EXP(-$F$1009*($A417-$A$7:$A412)))*$F$1010</f>
        <v>177590806.59678218</v>
      </c>
      <c r="E417" s="67">
        <f t="shared" si="41"/>
        <v>338.56119504954665</v>
      </c>
      <c r="F417" s="70">
        <f t="shared" si="45"/>
        <v>20.557435763408471</v>
      </c>
      <c r="G417" s="67">
        <f>E417/'Lookup Tables'!$C$48</f>
        <v>677.12239009909331</v>
      </c>
      <c r="H417" s="70">
        <f t="shared" si="42"/>
        <v>8.0187397017346104E-2</v>
      </c>
      <c r="I417" s="71">
        <f t="shared" si="46"/>
        <v>0.97505624174269423</v>
      </c>
      <c r="L417" s="74"/>
      <c r="M417" s="74"/>
      <c r="N417" s="74"/>
      <c r="O417" s="74"/>
      <c r="P417" s="74"/>
      <c r="Q417" s="74"/>
      <c r="R417" s="74"/>
      <c r="S417" s="74"/>
      <c r="T417" s="74"/>
      <c r="U417" s="74"/>
      <c r="V417" s="74"/>
      <c r="W417" s="74"/>
      <c r="X417" s="74"/>
      <c r="Y417" s="74"/>
      <c r="Z417" s="74"/>
    </row>
    <row r="418" spans="1:26" x14ac:dyDescent="0.3">
      <c r="A418" s="66">
        <f t="shared" si="44"/>
        <v>2031.0999999999626</v>
      </c>
      <c r="B418" s="67">
        <f>LOOKUP(A418+0.01,Amounts!$A$4:$A$103,Amounts!$B$4:$B$103)*0.1*$A$2</f>
        <v>0</v>
      </c>
      <c r="C418" s="68">
        <f t="shared" si="43"/>
        <v>2219148.7781994981</v>
      </c>
      <c r="D418" s="67">
        <f t="array" ref="D418">SUM($B$7:$B413*$F$1009*EXP(-$F$1009*($A418-$A$7:$A413)))*$F$1010</f>
        <v>177094247.8449825</v>
      </c>
      <c r="E418" s="67">
        <f t="shared" si="41"/>
        <v>337.61454962547742</v>
      </c>
      <c r="F418" s="70">
        <f t="shared" si="45"/>
        <v>20.499955453258988</v>
      </c>
      <c r="G418" s="67">
        <f>E418/'Lookup Tables'!$C$48</f>
        <v>675.22909925095485</v>
      </c>
      <c r="H418" s="70">
        <f t="shared" si="42"/>
        <v>7.9963186347120352E-2</v>
      </c>
      <c r="I418" s="71">
        <f t="shared" si="46"/>
        <v>0.97232990292137489</v>
      </c>
      <c r="L418" s="74"/>
      <c r="M418" s="74"/>
      <c r="N418" s="74"/>
      <c r="O418" s="74"/>
      <c r="P418" s="74"/>
      <c r="Q418" s="74"/>
      <c r="R418" s="74"/>
      <c r="S418" s="74"/>
      <c r="T418" s="74"/>
      <c r="U418" s="74"/>
      <c r="V418" s="74"/>
      <c r="W418" s="74"/>
      <c r="X418" s="74"/>
      <c r="Y418" s="74"/>
      <c r="Z418" s="74"/>
    </row>
    <row r="419" spans="1:26" x14ac:dyDescent="0.3">
      <c r="A419" s="66">
        <f t="shared" si="44"/>
        <v>2031.1999999999625</v>
      </c>
      <c r="B419" s="67">
        <f>LOOKUP(A419+0.01,Amounts!$A$4:$A$103,Amounts!$B$4:$B$103)*0.1*$A$2</f>
        <v>0</v>
      </c>
      <c r="C419" s="68">
        <f t="shared" si="43"/>
        <v>2219148.7781994981</v>
      </c>
      <c r="D419" s="67">
        <f t="array" ref="D419">SUM($B$7:$B414*$F$1009*EXP(-$F$1009*($A419-$A$7:$A414)))*$F$1010</f>
        <v>176599077.51299307</v>
      </c>
      <c r="E419" s="67">
        <f t="shared" si="41"/>
        <v>336.67055110120657</v>
      </c>
      <c r="F419" s="70">
        <f t="shared" si="45"/>
        <v>20.442635862865263</v>
      </c>
      <c r="G419" s="67">
        <f>E419/'Lookup Tables'!$C$48</f>
        <v>673.34110220241314</v>
      </c>
      <c r="H419" s="70">
        <f t="shared" si="42"/>
        <v>7.9739602588685135E-2</v>
      </c>
      <c r="I419" s="71">
        <f t="shared" si="46"/>
        <v>0.96961118717147476</v>
      </c>
      <c r="L419" s="74"/>
      <c r="M419" s="74"/>
      <c r="N419" s="74"/>
      <c r="O419" s="74"/>
      <c r="P419" s="74"/>
      <c r="Q419" s="74"/>
      <c r="R419" s="74"/>
      <c r="S419" s="74"/>
      <c r="T419" s="74"/>
      <c r="U419" s="74"/>
      <c r="V419" s="74"/>
      <c r="W419" s="74"/>
      <c r="X419" s="74"/>
      <c r="Y419" s="74"/>
      <c r="Z419" s="74"/>
    </row>
    <row r="420" spans="1:26" x14ac:dyDescent="0.3">
      <c r="A420" s="66">
        <f t="shared" si="44"/>
        <v>2031.2999999999624</v>
      </c>
      <c r="B420" s="67">
        <f>LOOKUP(A420+0.01,Amounts!$A$4:$A$103,Amounts!$B$4:$B$103)*0.1*$A$2</f>
        <v>0</v>
      </c>
      <c r="C420" s="68">
        <f t="shared" si="43"/>
        <v>2219148.7781994981</v>
      </c>
      <c r="D420" s="67">
        <f t="array" ref="D420">SUM($B$7:$B415*$F$1009*EXP(-$F$1009*($A420-$A$7:$A415)))*$F$1010</f>
        <v>176105291.71867585</v>
      </c>
      <c r="E420" s="67">
        <f t="shared" si="41"/>
        <v>335.72919207578082</v>
      </c>
      <c r="F420" s="70">
        <f t="shared" si="45"/>
        <v>20.385476542841413</v>
      </c>
      <c r="G420" s="67">
        <f>E420/'Lookup Tables'!$C$48</f>
        <v>671.45838415156163</v>
      </c>
      <c r="H420" s="70">
        <f t="shared" si="42"/>
        <v>7.9516643989142655E-2</v>
      </c>
      <c r="I420" s="71">
        <f t="shared" si="46"/>
        <v>0.96690007317824866</v>
      </c>
      <c r="L420" s="74"/>
      <c r="M420" s="74"/>
      <c r="N420" s="74"/>
      <c r="O420" s="74"/>
      <c r="P420" s="74"/>
      <c r="Q420" s="74"/>
      <c r="R420" s="74"/>
      <c r="S420" s="74"/>
      <c r="T420" s="74"/>
      <c r="U420" s="74"/>
      <c r="V420" s="74"/>
      <c r="W420" s="74"/>
      <c r="X420" s="74"/>
      <c r="Y420" s="74"/>
      <c r="Z420" s="74"/>
    </row>
    <row r="421" spans="1:26" x14ac:dyDescent="0.3">
      <c r="A421" s="66">
        <f t="shared" si="44"/>
        <v>2031.3999999999623</v>
      </c>
      <c r="B421" s="67">
        <f>LOOKUP(A421+0.01,Amounts!$A$4:$A$103,Amounts!$B$4:$B$103)*0.1*$A$2</f>
        <v>0</v>
      </c>
      <c r="C421" s="68">
        <f t="shared" si="43"/>
        <v>2219148.7781994981</v>
      </c>
      <c r="D421" s="67">
        <f t="array" ref="D421">SUM($B$7:$B416*$F$1009*EXP(-$F$1009*($A421-$A$7:$A416)))*$F$1010</f>
        <v>175612886.59074774</v>
      </c>
      <c r="E421" s="67">
        <f t="shared" si="41"/>
        <v>334.79046516894056</v>
      </c>
      <c r="F421" s="70">
        <f t="shared" si="45"/>
        <v>20.328477045058072</v>
      </c>
      <c r="G421" s="67">
        <f>E421/'Lookup Tables'!$C$48</f>
        <v>669.58093033788111</v>
      </c>
      <c r="H421" s="70">
        <f t="shared" si="42"/>
        <v>7.929430880049633E-2</v>
      </c>
      <c r="I421" s="71">
        <f t="shared" si="46"/>
        <v>0.96419653968654873</v>
      </c>
      <c r="L421" s="74"/>
      <c r="M421" s="74"/>
      <c r="N421" s="74"/>
      <c r="O421" s="74"/>
      <c r="P421" s="74"/>
      <c r="Q421" s="74"/>
      <c r="R421" s="74"/>
      <c r="S421" s="74"/>
      <c r="T421" s="74"/>
      <c r="U421" s="74"/>
      <c r="V421" s="74"/>
      <c r="W421" s="74"/>
      <c r="X421" s="74"/>
      <c r="Y421" s="74"/>
      <c r="Z421" s="74"/>
    </row>
    <row r="422" spans="1:26" x14ac:dyDescent="0.3">
      <c r="A422" s="66">
        <f t="shared" si="44"/>
        <v>2031.4999999999623</v>
      </c>
      <c r="B422" s="67">
        <f>LOOKUP(A422+0.01,Amounts!$A$4:$A$103,Amounts!$B$4:$B$103)*0.1*$A$2</f>
        <v>0</v>
      </c>
      <c r="C422" s="68">
        <f t="shared" si="43"/>
        <v>2219148.7781994981</v>
      </c>
      <c r="D422" s="67">
        <f t="array" ref="D422">SUM($B$7:$B417*$F$1009*EXP(-$F$1009*($A422-$A$7:$A417)))*$F$1010</f>
        <v>175121858.26874998</v>
      </c>
      <c r="E422" s="67">
        <f t="shared" si="41"/>
        <v>333.854363021062</v>
      </c>
      <c r="F422" s="70">
        <f t="shared" si="45"/>
        <v>20.271636922638884</v>
      </c>
      <c r="G422" s="67">
        <f>E422/'Lookup Tables'!$C$48</f>
        <v>667.708726042124</v>
      </c>
      <c r="H422" s="70">
        <f t="shared" si="42"/>
        <v>7.9072595279637142E-2</v>
      </c>
      <c r="I422" s="71">
        <f t="shared" si="46"/>
        <v>0.96150056550065843</v>
      </c>
      <c r="L422" s="74"/>
      <c r="M422" s="74"/>
      <c r="N422" s="74"/>
      <c r="O422" s="74"/>
      <c r="P422" s="74"/>
      <c r="Q422" s="74"/>
      <c r="R422" s="74"/>
      <c r="S422" s="74"/>
      <c r="T422" s="74"/>
      <c r="U422" s="74"/>
      <c r="V422" s="74"/>
      <c r="W422" s="74"/>
      <c r="X422" s="74"/>
      <c r="Y422" s="74"/>
      <c r="Z422" s="74"/>
    </row>
    <row r="423" spans="1:26" x14ac:dyDescent="0.3">
      <c r="A423" s="66">
        <f t="shared" si="44"/>
        <v>2031.5999999999622</v>
      </c>
      <c r="B423" s="67">
        <f>LOOKUP(A423+0.01,Amounts!$A$4:$A$103,Amounts!$B$4:$B$103)*0.1*$A$2</f>
        <v>0</v>
      </c>
      <c r="C423" s="68">
        <f t="shared" si="43"/>
        <v>2219148.7781994981</v>
      </c>
      <c r="D423" s="67">
        <f t="array" ref="D423">SUM($B$7:$B418*$F$1009*EXP(-$F$1009*($A423-$A$7:$A418)))*$F$1010</f>
        <v>174632202.90301809</v>
      </c>
      <c r="E423" s="67">
        <f t="shared" si="41"/>
        <v>332.92087829309963</v>
      </c>
      <c r="F423" s="70">
        <f t="shared" si="45"/>
        <v>20.214955729957008</v>
      </c>
      <c r="G423" s="67">
        <f>E423/'Lookup Tables'!$C$48</f>
        <v>665.84175658619927</v>
      </c>
      <c r="H423" s="70">
        <f t="shared" si="42"/>
        <v>7.8851501688329981E-2</v>
      </c>
      <c r="I423" s="71">
        <f t="shared" si="46"/>
        <v>0.95881212948412686</v>
      </c>
      <c r="L423" s="74"/>
      <c r="M423" s="74"/>
      <c r="N423" s="74"/>
      <c r="O423" s="74"/>
      <c r="P423" s="74"/>
      <c r="Q423" s="74"/>
      <c r="R423" s="74"/>
      <c r="S423" s="74"/>
      <c r="T423" s="74"/>
      <c r="U423" s="74"/>
      <c r="V423" s="74"/>
      <c r="W423" s="74"/>
      <c r="X423" s="74"/>
      <c r="Y423" s="74"/>
      <c r="Z423" s="74"/>
    </row>
    <row r="424" spans="1:26" x14ac:dyDescent="0.3">
      <c r="A424" s="66">
        <f t="shared" si="44"/>
        <v>2031.6999999999621</v>
      </c>
      <c r="B424" s="67">
        <f>LOOKUP(A424+0.01,Amounts!$A$4:$A$103,Amounts!$B$4:$B$103)*0.1*$A$2</f>
        <v>0</v>
      </c>
      <c r="C424" s="68">
        <f t="shared" si="43"/>
        <v>2219148.7781994981</v>
      </c>
      <c r="D424" s="67">
        <f t="array" ref="D424">SUM($B$7:$B419*$F$1009*EXP(-$F$1009*($A424-$A$7:$A419)))*$F$1010</f>
        <v>174143916.6546514</v>
      </c>
      <c r="E424" s="67">
        <f t="shared" si="41"/>
        <v>331.99000366652825</v>
      </c>
      <c r="F424" s="70">
        <f t="shared" si="45"/>
        <v>20.158433022631591</v>
      </c>
      <c r="G424" s="67">
        <f>E424/'Lookup Tables'!$C$48</f>
        <v>663.98000733305651</v>
      </c>
      <c r="H424" s="70">
        <f t="shared" si="42"/>
        <v>7.8631026293199929E-2</v>
      </c>
      <c r="I424" s="71">
        <f t="shared" si="46"/>
        <v>0.95613121055960126</v>
      </c>
      <c r="L424" s="74"/>
      <c r="M424" s="74"/>
      <c r="N424" s="74"/>
      <c r="O424" s="74"/>
      <c r="P424" s="74"/>
      <c r="Q424" s="74"/>
      <c r="R424" s="74"/>
      <c r="S424" s="74"/>
      <c r="T424" s="74"/>
      <c r="U424" s="74"/>
      <c r="V424" s="74"/>
      <c r="W424" s="74"/>
      <c r="X424" s="74"/>
      <c r="Y424" s="74"/>
      <c r="Z424" s="74"/>
    </row>
    <row r="425" spans="1:26" x14ac:dyDescent="0.3">
      <c r="A425" s="66">
        <f t="shared" si="44"/>
        <v>2031.799999999962</v>
      </c>
      <c r="B425" s="67">
        <f>LOOKUP(A425+0.01,Amounts!$A$4:$A$103,Amounts!$B$4:$B$103)*0.1*$A$2</f>
        <v>0</v>
      </c>
      <c r="C425" s="68">
        <f t="shared" si="43"/>
        <v>2219148.7781994981</v>
      </c>
      <c r="D425" s="67">
        <f t="array" ref="D425">SUM($B$7:$B420*$F$1009*EXP(-$F$1009*($A425-$A$7:$A420)))*$F$1010</f>
        <v>173656995.69548339</v>
      </c>
      <c r="E425" s="67">
        <f t="shared" si="41"/>
        <v>331.06173184328634</v>
      </c>
      <c r="F425" s="70">
        <f t="shared" si="45"/>
        <v>20.102068357524345</v>
      </c>
      <c r="G425" s="67">
        <f>E425/'Lookup Tables'!$C$48</f>
        <v>662.12346368657268</v>
      </c>
      <c r="H425" s="70">
        <f t="shared" si="42"/>
        <v>7.8411167365718834E-2</v>
      </c>
      <c r="I425" s="71">
        <f t="shared" si="46"/>
        <v>0.95345778770866474</v>
      </c>
      <c r="L425" s="74"/>
      <c r="M425" s="74"/>
      <c r="N425" s="74"/>
      <c r="O425" s="74"/>
      <c r="P425" s="74"/>
      <c r="Q425" s="74"/>
      <c r="R425" s="74"/>
      <c r="S425" s="74"/>
      <c r="T425" s="74"/>
      <c r="U425" s="74"/>
      <c r="V425" s="74"/>
      <c r="W425" s="74"/>
      <c r="X425" s="74"/>
      <c r="Y425" s="74"/>
      <c r="Z425" s="74"/>
    </row>
    <row r="426" spans="1:26" x14ac:dyDescent="0.3">
      <c r="A426" s="66">
        <f t="shared" si="44"/>
        <v>2031.8999999999619</v>
      </c>
      <c r="B426" s="67">
        <f>LOOKUP(A426+0.01,Amounts!$A$4:$A$103,Amounts!$B$4:$B$103)*0.1*$A$2</f>
        <v>0</v>
      </c>
      <c r="C426" s="68">
        <f t="shared" si="43"/>
        <v>2219148.7781994981</v>
      </c>
      <c r="D426" s="67">
        <f t="array" ref="D426">SUM($B$7:$B421*$F$1009*EXP(-$F$1009*($A426-$A$7:$A421)))*$F$1010</f>
        <v>173171436.20805103</v>
      </c>
      <c r="E426" s="67">
        <f t="shared" si="41"/>
        <v>330.13605554571768</v>
      </c>
      <c r="F426" s="70">
        <f t="shared" si="45"/>
        <v>20.045861292735978</v>
      </c>
      <c r="G426" s="67">
        <f>E426/'Lookup Tables'!$C$48</f>
        <v>660.27211109143536</v>
      </c>
      <c r="H426" s="70">
        <f t="shared" si="42"/>
        <v>7.8191923182191467E-2</v>
      </c>
      <c r="I426" s="71">
        <f t="shared" si="46"/>
        <v>0.95079183997166694</v>
      </c>
      <c r="L426" s="74"/>
      <c r="M426" s="74"/>
      <c r="N426" s="74"/>
      <c r="O426" s="74"/>
      <c r="P426" s="74"/>
      <c r="Q426" s="74"/>
      <c r="R426" s="74"/>
      <c r="S426" s="74"/>
      <c r="T426" s="74"/>
      <c r="U426" s="74"/>
      <c r="V426" s="74"/>
      <c r="W426" s="74"/>
      <c r="X426" s="74"/>
      <c r="Y426" s="74"/>
      <c r="Z426" s="74"/>
    </row>
    <row r="427" spans="1:26" x14ac:dyDescent="0.3">
      <c r="A427" s="66">
        <f t="shared" si="44"/>
        <v>2031.9999999999618</v>
      </c>
      <c r="B427" s="67">
        <f>LOOKUP(A427+0.01,Amounts!$A$4:$A$103,Amounts!$B$4:$B$103)*0.1*$A$2</f>
        <v>0</v>
      </c>
      <c r="C427" s="68">
        <f t="shared" si="43"/>
        <v>2219148.7781994981</v>
      </c>
      <c r="D427" s="67">
        <f t="array" ref="D427">SUM($B$7:$B422*$F$1009*EXP(-$F$1009*($A427-$A$7:$A422)))*$F$1010</f>
        <v>172687234.38556552</v>
      </c>
      <c r="E427" s="67">
        <f t="shared" si="41"/>
        <v>329.21296751651545</v>
      </c>
      <c r="F427" s="70">
        <f t="shared" si="45"/>
        <v>19.989811387602821</v>
      </c>
      <c r="G427" s="67">
        <f>E427/'Lookup Tables'!$C$48</f>
        <v>658.4259350330309</v>
      </c>
      <c r="H427" s="70">
        <f t="shared" si="42"/>
        <v>7.7973292023742355E-2</v>
      </c>
      <c r="I427" s="71">
        <f t="shared" si="46"/>
        <v>0.94813334644756453</v>
      </c>
      <c r="L427" s="74"/>
      <c r="M427" s="74"/>
      <c r="N427" s="74"/>
      <c r="O427" s="74"/>
      <c r="P427" s="74"/>
      <c r="Q427" s="74"/>
      <c r="R427" s="74"/>
      <c r="S427" s="74"/>
      <c r="T427" s="74"/>
      <c r="U427" s="74"/>
      <c r="V427" s="74"/>
      <c r="W427" s="74"/>
      <c r="X427" s="74"/>
      <c r="Y427" s="74"/>
      <c r="Z427" s="74"/>
    </row>
    <row r="428" spans="1:26" x14ac:dyDescent="0.3">
      <c r="A428" s="66">
        <f t="shared" si="44"/>
        <v>2032.0999999999617</v>
      </c>
      <c r="B428" s="67">
        <f>LOOKUP(A428+0.01,Amounts!$A$4:$A$103,Amounts!$B$4:$B$103)*0.1*$A$2</f>
        <v>0</v>
      </c>
      <c r="C428" s="68">
        <f t="shared" si="43"/>
        <v>2219148.7781994981</v>
      </c>
      <c r="D428" s="67">
        <f t="array" ref="D428">SUM($B$7:$B423*$F$1009*EXP(-$F$1009*($A428-$A$7:$A423)))*$F$1010</f>
        <v>172204386.43188208</v>
      </c>
      <c r="E428" s="67">
        <f t="shared" si="41"/>
        <v>328.29246051866471</v>
      </c>
      <c r="F428" s="70">
        <f t="shared" si="45"/>
        <v>19.93391820269332</v>
      </c>
      <c r="G428" s="67">
        <f>E428/'Lookup Tables'!$C$48</f>
        <v>656.58492103732942</v>
      </c>
      <c r="H428" s="70">
        <f t="shared" si="42"/>
        <v>7.775527217630207E-2</v>
      </c>
      <c r="I428" s="71">
        <f t="shared" si="46"/>
        <v>0.9454822862937543</v>
      </c>
      <c r="L428" s="74"/>
      <c r="M428" s="74"/>
      <c r="N428" s="74"/>
      <c r="O428" s="74"/>
      <c r="P428" s="74"/>
      <c r="Q428" s="74"/>
      <c r="R428" s="74"/>
      <c r="S428" s="74"/>
      <c r="T428" s="74"/>
      <c r="U428" s="74"/>
      <c r="V428" s="74"/>
      <c r="W428" s="74"/>
      <c r="X428" s="74"/>
      <c r="Y428" s="74"/>
      <c r="Z428" s="74"/>
    </row>
    <row r="429" spans="1:26" x14ac:dyDescent="0.3">
      <c r="A429" s="66">
        <f t="shared" si="44"/>
        <v>2032.1999999999616</v>
      </c>
      <c r="B429" s="67">
        <f>LOOKUP(A429+0.01,Amounts!$A$4:$A$103,Amounts!$B$4:$B$103)*0.1*$A$2</f>
        <v>0</v>
      </c>
      <c r="C429" s="68">
        <f t="shared" si="43"/>
        <v>2219148.7781994981</v>
      </c>
      <c r="D429" s="67">
        <f t="array" ref="D429">SUM($B$7:$B424*$F$1009*EXP(-$F$1009*($A429-$A$7:$A424)))*$F$1010</f>
        <v>171722888.56147042</v>
      </c>
      <c r="E429" s="67">
        <f t="shared" si="41"/>
        <v>327.37452733538623</v>
      </c>
      <c r="F429" s="70">
        <f t="shared" si="45"/>
        <v>19.878181299804655</v>
      </c>
      <c r="G429" s="67">
        <f>E429/'Lookup Tables'!$C$48</f>
        <v>654.74905467077247</v>
      </c>
      <c r="H429" s="70">
        <f t="shared" si="42"/>
        <v>7.7537861930593976E-2</v>
      </c>
      <c r="I429" s="71">
        <f t="shared" si="46"/>
        <v>0.94283863872591245</v>
      </c>
      <c r="L429" s="74"/>
      <c r="M429" s="74"/>
      <c r="N429" s="74"/>
      <c r="O429" s="74"/>
      <c r="P429" s="74"/>
      <c r="Q429" s="74"/>
      <c r="R429" s="74"/>
      <c r="S429" s="74"/>
      <c r="T429" s="74"/>
      <c r="U429" s="74"/>
      <c r="V429" s="74"/>
      <c r="W429" s="74"/>
      <c r="X429" s="74"/>
      <c r="Y429" s="74"/>
      <c r="Z429" s="74"/>
    </row>
    <row r="430" spans="1:26" x14ac:dyDescent="0.3">
      <c r="A430" s="66">
        <f t="shared" si="44"/>
        <v>2032.2999999999615</v>
      </c>
      <c r="B430" s="67">
        <f>LOOKUP(A430+0.01,Amounts!$A$4:$A$103,Amounts!$B$4:$B$103)*0.1*$A$2</f>
        <v>0</v>
      </c>
      <c r="C430" s="68">
        <f t="shared" si="43"/>
        <v>2219148.7781994981</v>
      </c>
      <c r="D430" s="67">
        <f t="array" ref="D430">SUM($B$7:$B425*$F$1009*EXP(-$F$1009*($A430-$A$7:$A425)))*$F$1010</f>
        <v>171242736.99938467</v>
      </c>
      <c r="E430" s="67">
        <f t="shared" si="41"/>
        <v>326.45916077007888</v>
      </c>
      <c r="F430" s="70">
        <f t="shared" si="45"/>
        <v>19.822600241959194</v>
      </c>
      <c r="G430" s="67">
        <f>E430/'Lookup Tables'!$C$48</f>
        <v>652.91832154015776</v>
      </c>
      <c r="H430" s="70">
        <f t="shared" si="42"/>
        <v>7.7321059582120572E-2</v>
      </c>
      <c r="I430" s="71">
        <f t="shared" si="46"/>
        <v>0.94020238301782733</v>
      </c>
      <c r="L430" s="74"/>
      <c r="M430" s="74"/>
      <c r="N430" s="74"/>
      <c r="O430" s="74"/>
      <c r="P430" s="74"/>
      <c r="Q430" s="74"/>
      <c r="R430" s="74"/>
      <c r="S430" s="74"/>
      <c r="T430" s="74"/>
      <c r="U430" s="74"/>
      <c r="V430" s="74"/>
      <c r="W430" s="74"/>
      <c r="X430" s="74"/>
      <c r="Y430" s="74"/>
      <c r="Z430" s="74"/>
    </row>
    <row r="431" spans="1:26" x14ac:dyDescent="0.3">
      <c r="A431" s="66">
        <f t="shared" si="44"/>
        <v>2032.3999999999614</v>
      </c>
      <c r="B431" s="67">
        <f>LOOKUP(A431+0.01,Amounts!$A$4:$A$103,Amounts!$B$4:$B$103)*0.1*$A$2</f>
        <v>0</v>
      </c>
      <c r="C431" s="68">
        <f t="shared" si="43"/>
        <v>2219148.7781994981</v>
      </c>
      <c r="D431" s="67">
        <f t="array" ref="D431">SUM($B$7:$B426*$F$1009*EXP(-$F$1009*($A431-$A$7:$A426)))*$F$1010</f>
        <v>170763927.98123407</v>
      </c>
      <c r="E431" s="67">
        <f t="shared" si="41"/>
        <v>325.54635364626398</v>
      </c>
      <c r="F431" s="70">
        <f t="shared" si="45"/>
        <v>19.767174593401148</v>
      </c>
      <c r="G431" s="67">
        <f>E431/'Lookup Tables'!$C$48</f>
        <v>651.09270729252796</v>
      </c>
      <c r="H431" s="70">
        <f t="shared" si="42"/>
        <v>7.7104863431150292E-2</v>
      </c>
      <c r="I431" s="71">
        <f t="shared" si="46"/>
        <v>0.93757349850124028</v>
      </c>
      <c r="L431" s="74"/>
      <c r="M431" s="74"/>
      <c r="N431" s="74"/>
      <c r="O431" s="74"/>
      <c r="P431" s="74"/>
      <c r="Q431" s="74"/>
      <c r="R431" s="74"/>
      <c r="S431" s="74"/>
      <c r="T431" s="74"/>
      <c r="U431" s="74"/>
      <c r="V431" s="74"/>
      <c r="W431" s="74"/>
      <c r="X431" s="74"/>
      <c r="Y431" s="74"/>
      <c r="Z431" s="74"/>
    </row>
    <row r="432" spans="1:26" x14ac:dyDescent="0.3">
      <c r="A432" s="66">
        <f t="shared" si="44"/>
        <v>2032.4999999999613</v>
      </c>
      <c r="B432" s="67">
        <f>LOOKUP(A432+0.01,Amounts!$A$4:$A$103,Amounts!$B$4:$B$103)*0.1*$A$2</f>
        <v>0</v>
      </c>
      <c r="C432" s="68">
        <f t="shared" si="43"/>
        <v>2219148.7781994981</v>
      </c>
      <c r="D432" s="67">
        <f t="array" ref="D432">SUM($B$7:$B427*$F$1009*EXP(-$F$1009*($A432-$A$7:$A427)))*$F$1010</f>
        <v>170286457.75315359</v>
      </c>
      <c r="E432" s="67">
        <f t="shared" si="41"/>
        <v>324.63609880752938</v>
      </c>
      <c r="F432" s="70">
        <f t="shared" si="45"/>
        <v>19.711903919593187</v>
      </c>
      <c r="G432" s="67">
        <f>E432/'Lookup Tables'!$C$48</f>
        <v>649.27219761505876</v>
      </c>
      <c r="H432" s="70">
        <f t="shared" si="42"/>
        <v>7.6889271782704313E-2</v>
      </c>
      <c r="I432" s="71">
        <f t="shared" si="46"/>
        <v>0.93495196456568452</v>
      </c>
      <c r="L432" s="74"/>
      <c r="M432" s="74"/>
      <c r="N432" s="74"/>
      <c r="O432" s="74"/>
      <c r="P432" s="74"/>
      <c r="Q432" s="74"/>
      <c r="R432" s="74"/>
      <c r="S432" s="74"/>
      <c r="T432" s="74"/>
      <c r="U432" s="74"/>
      <c r="V432" s="74"/>
      <c r="W432" s="74"/>
      <c r="X432" s="74"/>
      <c r="Y432" s="74"/>
      <c r="Z432" s="74"/>
    </row>
    <row r="433" spans="1:26" x14ac:dyDescent="0.3">
      <c r="A433" s="66">
        <f t="shared" si="44"/>
        <v>2032.5999999999613</v>
      </c>
      <c r="B433" s="67">
        <f>LOOKUP(A433+0.01,Amounts!$A$4:$A$103,Amounts!$B$4:$B$103)*0.1*$A$2</f>
        <v>0</v>
      </c>
      <c r="C433" s="68">
        <f t="shared" si="43"/>
        <v>2219148.7781994981</v>
      </c>
      <c r="D433" s="67">
        <f t="array" ref="D433">SUM($B$7:$B428*$F$1009*EXP(-$F$1009*($A433-$A$7:$A428)))*$F$1010</f>
        <v>169810322.57177404</v>
      </c>
      <c r="E433" s="67">
        <f t="shared" si="41"/>
        <v>323.72838911747209</v>
      </c>
      <c r="F433" s="70">
        <f t="shared" si="45"/>
        <v>19.656787787212906</v>
      </c>
      <c r="G433" s="67">
        <f>E433/'Lookup Tables'!$C$48</f>
        <v>647.45677823494418</v>
      </c>
      <c r="H433" s="70">
        <f t="shared" si="42"/>
        <v>7.667428294654291E-2</v>
      </c>
      <c r="I433" s="71">
        <f t="shared" si="46"/>
        <v>0.93233776065831953</v>
      </c>
      <c r="L433" s="74"/>
      <c r="M433" s="74"/>
      <c r="N433" s="74"/>
      <c r="O433" s="74"/>
      <c r="P433" s="74"/>
      <c r="Q433" s="74"/>
      <c r="R433" s="74"/>
      <c r="S433" s="74"/>
      <c r="T433" s="74"/>
      <c r="U433" s="74"/>
      <c r="V433" s="74"/>
      <c r="W433" s="74"/>
      <c r="X433" s="74"/>
      <c r="Y433" s="74"/>
      <c r="Z433" s="74"/>
    </row>
    <row r="434" spans="1:26" x14ac:dyDescent="0.3">
      <c r="A434" s="66">
        <f t="shared" si="44"/>
        <v>2032.6999999999612</v>
      </c>
      <c r="B434" s="67">
        <f>LOOKUP(A434+0.01,Amounts!$A$4:$A$103,Amounts!$B$4:$B$103)*0.1*$A$2</f>
        <v>0</v>
      </c>
      <c r="C434" s="68">
        <f t="shared" si="43"/>
        <v>2219148.7781994981</v>
      </c>
      <c r="D434" s="67">
        <f t="array" ref="D434">SUM($B$7:$B429*$F$1009*EXP(-$F$1009*($A434-$A$7:$A429)))*$F$1010</f>
        <v>169335518.70419332</v>
      </c>
      <c r="E434" s="67">
        <f t="shared" si="41"/>
        <v>322.82321745964379</v>
      </c>
      <c r="F434" s="70">
        <f t="shared" si="45"/>
        <v>19.60182576414957</v>
      </c>
      <c r="G434" s="67">
        <f>E434/'Lookup Tables'!$C$48</f>
        <v>645.64643491928757</v>
      </c>
      <c r="H434" s="70">
        <f t="shared" si="42"/>
        <v>7.6459895237152575E-2</v>
      </c>
      <c r="I434" s="71">
        <f t="shared" si="46"/>
        <v>0.92973086628377399</v>
      </c>
      <c r="L434" s="74"/>
      <c r="M434" s="74"/>
      <c r="N434" s="74"/>
      <c r="O434" s="74"/>
      <c r="P434" s="74"/>
      <c r="Q434" s="74"/>
      <c r="R434" s="74"/>
      <c r="S434" s="74"/>
      <c r="T434" s="74"/>
      <c r="U434" s="74"/>
      <c r="V434" s="74"/>
      <c r="W434" s="74"/>
      <c r="X434" s="74"/>
      <c r="Y434" s="74"/>
      <c r="Z434" s="74"/>
    </row>
    <row r="435" spans="1:26" x14ac:dyDescent="0.3">
      <c r="A435" s="66">
        <f t="shared" si="44"/>
        <v>2032.7999999999611</v>
      </c>
      <c r="B435" s="67">
        <f>LOOKUP(A435+0.01,Amounts!$A$4:$A$103,Amounts!$B$4:$B$103)*0.1*$A$2</f>
        <v>0</v>
      </c>
      <c r="C435" s="68">
        <f t="shared" si="43"/>
        <v>2219148.7781994981</v>
      </c>
      <c r="D435" s="67">
        <f t="array" ref="D435">SUM($B$7:$B430*$F$1009*EXP(-$F$1009*($A435-$A$7:$A430)))*$F$1010</f>
        <v>168862042.42794648</v>
      </c>
      <c r="E435" s="67">
        <f t="shared" si="41"/>
        <v>321.9205767374936</v>
      </c>
      <c r="F435" s="70">
        <f t="shared" si="45"/>
        <v>19.547017419500612</v>
      </c>
      <c r="G435" s="67">
        <f>E435/'Lookup Tables'!$C$48</f>
        <v>643.84115347498721</v>
      </c>
      <c r="H435" s="70">
        <f t="shared" si="42"/>
        <v>7.6246106973732464E-2</v>
      </c>
      <c r="I435" s="71">
        <f t="shared" si="46"/>
        <v>0.92713126100398158</v>
      </c>
      <c r="L435" s="74"/>
      <c r="M435" s="74"/>
      <c r="N435" s="74"/>
      <c r="O435" s="74"/>
      <c r="P435" s="74"/>
      <c r="Q435" s="74"/>
      <c r="R435" s="74"/>
      <c r="S435" s="74"/>
      <c r="T435" s="74"/>
      <c r="U435" s="74"/>
      <c r="V435" s="74"/>
      <c r="W435" s="74"/>
      <c r="X435" s="74"/>
      <c r="Y435" s="74"/>
      <c r="Z435" s="74"/>
    </row>
    <row r="436" spans="1:26" x14ac:dyDescent="0.3">
      <c r="A436" s="66">
        <f t="shared" si="44"/>
        <v>2032.899999999961</v>
      </c>
      <c r="B436" s="67">
        <f>LOOKUP(A436+0.01,Amounts!$A$4:$A$103,Amounts!$B$4:$B$103)*0.1*$A$2</f>
        <v>0</v>
      </c>
      <c r="C436" s="68">
        <f t="shared" si="43"/>
        <v>2219148.7781994981</v>
      </c>
      <c r="D436" s="67">
        <f t="array" ref="D436">SUM($B$7:$B431*$F$1009*EXP(-$F$1009*($A436-$A$7:$A431)))*$F$1010</f>
        <v>168389890.03097734</v>
      </c>
      <c r="E436" s="67">
        <f t="shared" si="41"/>
        <v>321.02045987431433</v>
      </c>
      <c r="F436" s="70">
        <f t="shared" si="45"/>
        <v>19.492362323568365</v>
      </c>
      <c r="G436" s="67">
        <f>E436/'Lookup Tables'!$C$48</f>
        <v>642.04091974862865</v>
      </c>
      <c r="H436" s="70">
        <f t="shared" si="42"/>
        <v>7.6032916480181664E-2</v>
      </c>
      <c r="I436" s="71">
        <f t="shared" si="46"/>
        <v>0.92453892443802532</v>
      </c>
      <c r="L436" s="74"/>
      <c r="M436" s="74"/>
      <c r="N436" s="74"/>
      <c r="O436" s="74"/>
      <c r="P436" s="74"/>
      <c r="Q436" s="74"/>
      <c r="R436" s="74"/>
      <c r="S436" s="74"/>
      <c r="T436" s="74"/>
      <c r="U436" s="74"/>
      <c r="V436" s="74"/>
      <c r="W436" s="74"/>
      <c r="X436" s="74"/>
      <c r="Y436" s="74"/>
      <c r="Z436" s="74"/>
    </row>
    <row r="437" spans="1:26" x14ac:dyDescent="0.3">
      <c r="A437" s="66">
        <f t="shared" si="44"/>
        <v>2032.9999999999609</v>
      </c>
      <c r="B437" s="67">
        <f>LOOKUP(A437+0.01,Amounts!$A$4:$A$103,Amounts!$B$4:$B$103)*0.1*$A$2</f>
        <v>0</v>
      </c>
      <c r="C437" s="68">
        <f t="shared" si="43"/>
        <v>2219148.7781994981</v>
      </c>
      <c r="D437" s="67">
        <f t="array" ref="D437">SUM($B$7:$B432*$F$1009*EXP(-$F$1009*($A437-$A$7:$A432)))*$F$1010</f>
        <v>167919057.81160852</v>
      </c>
      <c r="E437" s="67">
        <f t="shared" si="41"/>
        <v>320.12285981318468</v>
      </c>
      <c r="F437" s="70">
        <f t="shared" si="45"/>
        <v>19.437860047856574</v>
      </c>
      <c r="G437" s="67">
        <f>E437/'Lookup Tables'!$C$48</f>
        <v>640.24571962636935</v>
      </c>
      <c r="H437" s="70">
        <f t="shared" si="42"/>
        <v>7.5820322085085476E-2</v>
      </c>
      <c r="I437" s="71">
        <f t="shared" si="46"/>
        <v>0.9219538362619718</v>
      </c>
      <c r="L437" s="74"/>
      <c r="M437" s="74"/>
      <c r="N437" s="74"/>
      <c r="O437" s="74"/>
      <c r="P437" s="74"/>
      <c r="Q437" s="74"/>
      <c r="R437" s="74"/>
      <c r="S437" s="74"/>
      <c r="T437" s="74"/>
      <c r="U437" s="74"/>
      <c r="V437" s="74"/>
      <c r="W437" s="74"/>
      <c r="X437" s="74"/>
      <c r="Y437" s="74"/>
      <c r="Z437" s="74"/>
    </row>
    <row r="438" spans="1:26" x14ac:dyDescent="0.3">
      <c r="A438" s="66">
        <f t="shared" si="44"/>
        <v>2033.0999999999608</v>
      </c>
      <c r="B438" s="67">
        <f>LOOKUP(A438+0.01,Amounts!$A$4:$A$103,Amounts!$B$4:$B$103)*0.1*$A$2</f>
        <v>0</v>
      </c>
      <c r="C438" s="68">
        <f t="shared" si="43"/>
        <v>2219148.7781994981</v>
      </c>
      <c r="D438" s="67">
        <f t="array" ref="D438">SUM($B$7:$B433*$F$1009*EXP(-$F$1009*($A438-$A$7:$A433)))*$F$1010</f>
        <v>167449542.07851306</v>
      </c>
      <c r="E438" s="67">
        <f t="shared" si="41"/>
        <v>319.22776951691566</v>
      </c>
      <c r="F438" s="70">
        <f t="shared" si="45"/>
        <v>19.383510165067118</v>
      </c>
      <c r="G438" s="67">
        <f>E438/'Lookup Tables'!$C$48</f>
        <v>638.45553903383131</v>
      </c>
      <c r="H438" s="70">
        <f t="shared" si="42"/>
        <v>7.5608322121702806E-2</v>
      </c>
      <c r="I438" s="71">
        <f t="shared" si="46"/>
        <v>0.91937597620871714</v>
      </c>
      <c r="L438" s="74"/>
      <c r="M438" s="74"/>
      <c r="N438" s="74"/>
      <c r="O438" s="74"/>
      <c r="P438" s="74"/>
      <c r="Q438" s="74"/>
      <c r="R438" s="74"/>
      <c r="S438" s="74"/>
      <c r="T438" s="74"/>
      <c r="U438" s="74"/>
      <c r="V438" s="74"/>
      <c r="W438" s="74"/>
      <c r="X438" s="74"/>
      <c r="Y438" s="74"/>
      <c r="Z438" s="74"/>
    </row>
    <row r="439" spans="1:26" x14ac:dyDescent="0.3">
      <c r="A439" s="66">
        <f t="shared" si="44"/>
        <v>2033.1999999999607</v>
      </c>
      <c r="B439" s="67">
        <f>LOOKUP(A439+0.01,Amounts!$A$4:$A$103,Amounts!$B$4:$B$103)*0.1*$A$2</f>
        <v>0</v>
      </c>
      <c r="C439" s="68">
        <f t="shared" si="43"/>
        <v>2219148.7781994981</v>
      </c>
      <c r="D439" s="67">
        <f t="array" ref="D439">SUM($B$7:$B434*$F$1009*EXP(-$F$1009*($A439-$A$7:$A434)))*$F$1010</f>
        <v>166981339.15068519</v>
      </c>
      <c r="E439" s="67">
        <f t="shared" si="41"/>
        <v>318.33518196799486</v>
      </c>
      <c r="F439" s="70">
        <f t="shared" si="45"/>
        <v>19.329312249096645</v>
      </c>
      <c r="G439" s="67">
        <f>E439/'Lookup Tables'!$C$48</f>
        <v>636.67036393598971</v>
      </c>
      <c r="H439" s="70">
        <f t="shared" si="42"/>
        <v>7.5396914927952863E-2</v>
      </c>
      <c r="I439" s="71">
        <f t="shared" si="46"/>
        <v>0.91680532406782522</v>
      </c>
      <c r="L439" s="74"/>
      <c r="M439" s="74"/>
      <c r="N439" s="74"/>
      <c r="O439" s="74"/>
      <c r="P439" s="74"/>
      <c r="Q439" s="74"/>
      <c r="R439" s="74"/>
      <c r="S439" s="74"/>
      <c r="T439" s="74"/>
      <c r="U439" s="74"/>
      <c r="V439" s="74"/>
      <c r="W439" s="74"/>
      <c r="X439" s="74"/>
      <c r="Y439" s="74"/>
      <c r="Z439" s="74"/>
    </row>
    <row r="440" spans="1:26" x14ac:dyDescent="0.3">
      <c r="A440" s="66">
        <f t="shared" si="44"/>
        <v>2033.2999999999606</v>
      </c>
      <c r="B440" s="67">
        <f>LOOKUP(A440+0.01,Amounts!$A$4:$A$103,Amounts!$B$4:$B$103)*0.1*$A$2</f>
        <v>0</v>
      </c>
      <c r="C440" s="68">
        <f t="shared" si="43"/>
        <v>2219148.7781994981</v>
      </c>
      <c r="D440" s="67">
        <f t="array" ref="D440">SUM($B$7:$B435*$F$1009*EXP(-$F$1009*($A440-$A$7:$A435)))*$F$1010</f>
        <v>166514445.35741147</v>
      </c>
      <c r="E440" s="67">
        <f t="shared" si="41"/>
        <v>317.44509016853101</v>
      </c>
      <c r="F440" s="70">
        <f t="shared" si="45"/>
        <v>19.275265875033199</v>
      </c>
      <c r="G440" s="67">
        <f>E440/'Lookup Tables'!$C$48</f>
        <v>634.89018033706202</v>
      </c>
      <c r="H440" s="70">
        <f t="shared" si="42"/>
        <v>7.518609884640208E-2</v>
      </c>
      <c r="I440" s="71">
        <f t="shared" si="46"/>
        <v>0.91424185968536931</v>
      </c>
      <c r="L440" s="74"/>
      <c r="M440" s="74"/>
      <c r="N440" s="74"/>
      <c r="O440" s="74"/>
      <c r="P440" s="74"/>
      <c r="Q440" s="74"/>
      <c r="R440" s="74"/>
      <c r="S440" s="74"/>
      <c r="T440" s="74"/>
      <c r="U440" s="74"/>
      <c r="V440" s="74"/>
      <c r="W440" s="74"/>
      <c r="X440" s="74"/>
      <c r="Y440" s="74"/>
      <c r="Z440" s="74"/>
    </row>
    <row r="441" spans="1:26" x14ac:dyDescent="0.3">
      <c r="A441" s="66">
        <f t="shared" si="44"/>
        <v>2033.3999999999605</v>
      </c>
      <c r="B441" s="67">
        <f>LOOKUP(A441+0.01,Amounts!$A$4:$A$103,Amounts!$B$4:$B$103)*0.1*$A$2</f>
        <v>0</v>
      </c>
      <c r="C441" s="68">
        <f t="shared" si="43"/>
        <v>2219148.7781994981</v>
      </c>
      <c r="D441" s="67">
        <f t="array" ref="D441">SUM($B$7:$B436*$F$1009*EXP(-$F$1009*($A441-$A$7:$A436)))*$F$1010</f>
        <v>166048857.03824231</v>
      </c>
      <c r="E441" s="67">
        <f t="shared" si="41"/>
        <v>316.55748714020012</v>
      </c>
      <c r="F441" s="70">
        <f t="shared" si="45"/>
        <v>19.22137061915295</v>
      </c>
      <c r="G441" s="67">
        <f>E441/'Lookup Tables'!$C$48</f>
        <v>633.11497428040025</v>
      </c>
      <c r="H441" s="70">
        <f t="shared" si="42"/>
        <v>7.4975872224251394E-2</v>
      </c>
      <c r="I441" s="71">
        <f t="shared" si="46"/>
        <v>0.91168556296377634</v>
      </c>
      <c r="L441" s="74"/>
      <c r="M441" s="74"/>
      <c r="N441" s="74"/>
      <c r="O441" s="74"/>
      <c r="P441" s="74"/>
      <c r="Q441" s="74"/>
      <c r="R441" s="74"/>
      <c r="S441" s="74"/>
      <c r="T441" s="74"/>
      <c r="U441" s="74"/>
      <c r="V441" s="74"/>
      <c r="W441" s="74"/>
      <c r="X441" s="74"/>
      <c r="Y441" s="74"/>
      <c r="Z441" s="74"/>
    </row>
    <row r="442" spans="1:26" x14ac:dyDescent="0.3">
      <c r="A442" s="66">
        <f t="shared" si="44"/>
        <v>2033.4999999999604</v>
      </c>
      <c r="B442" s="67">
        <f>LOOKUP(A442+0.01,Amounts!$A$4:$A$103,Amounts!$B$4:$B$103)*0.1*$A$2</f>
        <v>0</v>
      </c>
      <c r="C442" s="68">
        <f t="shared" si="43"/>
        <v>2219148.7781994981</v>
      </c>
      <c r="D442" s="67">
        <f t="array" ref="D442">SUM($B$7:$B437*$F$1009*EXP(-$F$1009*($A442-$A$7:$A437)))*$F$1010</f>
        <v>165584570.54296285</v>
      </c>
      <c r="E442" s="67">
        <f t="shared" si="41"/>
        <v>315.67236592418988</v>
      </c>
      <c r="F442" s="70">
        <f t="shared" si="45"/>
        <v>19.167626058916809</v>
      </c>
      <c r="G442" s="67">
        <f>E442/'Lookup Tables'!$C$48</f>
        <v>631.34473184837975</v>
      </c>
      <c r="H442" s="70">
        <f t="shared" si="42"/>
        <v>7.4766233413322988E-2</v>
      </c>
      <c r="I442" s="71">
        <f t="shared" si="46"/>
        <v>0.90913641386166677</v>
      </c>
      <c r="L442" s="74"/>
      <c r="M442" s="74"/>
      <c r="N442" s="74"/>
      <c r="O442" s="74"/>
      <c r="P442" s="74"/>
      <c r="Q442" s="74"/>
      <c r="R442" s="74"/>
      <c r="S442" s="74"/>
      <c r="T442" s="74"/>
      <c r="U442" s="74"/>
      <c r="V442" s="74"/>
      <c r="W442" s="74"/>
      <c r="X442" s="74"/>
      <c r="Y442" s="74"/>
      <c r="Z442" s="74"/>
    </row>
    <row r="443" spans="1:26" x14ac:dyDescent="0.3">
      <c r="A443" s="66">
        <f t="shared" si="44"/>
        <v>2033.5999999999603</v>
      </c>
      <c r="B443" s="67">
        <f>LOOKUP(A443+0.01,Amounts!$A$4:$A$103,Amounts!$B$4:$B$103)*0.1*$A$2</f>
        <v>0</v>
      </c>
      <c r="C443" s="68">
        <f t="shared" si="43"/>
        <v>2219148.7781994981</v>
      </c>
      <c r="D443" s="67">
        <f t="array" ref="D443">SUM($B$7:$B438*$F$1009*EXP(-$F$1009*($A443-$A$7:$A438)))*$F$1010</f>
        <v>165121582.23156458</v>
      </c>
      <c r="E443" s="67">
        <f t="shared" si="41"/>
        <v>314.78971958114539</v>
      </c>
      <c r="F443" s="70">
        <f t="shared" si="45"/>
        <v>19.114031772967149</v>
      </c>
      <c r="G443" s="67">
        <f>E443/'Lookup Tables'!$C$48</f>
        <v>629.57943916229078</v>
      </c>
      <c r="H443" s="70">
        <f t="shared" si="42"/>
        <v>7.4557180770047499E-2</v>
      </c>
      <c r="I443" s="71">
        <f t="shared" si="46"/>
        <v>0.90659439239369866</v>
      </c>
      <c r="L443" s="74"/>
      <c r="M443" s="74"/>
      <c r="N443" s="74"/>
      <c r="O443" s="74"/>
      <c r="P443" s="74"/>
      <c r="Q443" s="74"/>
      <c r="R443" s="74"/>
      <c r="S443" s="74"/>
      <c r="T443" s="74"/>
      <c r="U443" s="74"/>
      <c r="V443" s="74"/>
      <c r="W443" s="74"/>
      <c r="X443" s="74"/>
      <c r="Y443" s="74"/>
      <c r="Z443" s="74"/>
    </row>
    <row r="444" spans="1:26" x14ac:dyDescent="0.3">
      <c r="A444" s="66">
        <f t="shared" si="44"/>
        <v>2033.6999999999603</v>
      </c>
      <c r="B444" s="67">
        <f>LOOKUP(A444+0.01,Amounts!$A$4:$A$103,Amounts!$B$4:$B$103)*0.1*$A$2</f>
        <v>0</v>
      </c>
      <c r="C444" s="68">
        <f t="shared" si="43"/>
        <v>2219148.7781994981</v>
      </c>
      <c r="D444" s="67">
        <f t="array" ref="D444">SUM($B$7:$B439*$F$1009*EXP(-$F$1009*($A444-$A$7:$A439)))*$F$1010</f>
        <v>164659888.47421679</v>
      </c>
      <c r="E444" s="67">
        <f t="shared" si="41"/>
        <v>313.9095411911149</v>
      </c>
      <c r="F444" s="70">
        <f t="shared" si="45"/>
        <v>19.060587341124496</v>
      </c>
      <c r="G444" s="67">
        <f>E444/'Lookup Tables'!$C$48</f>
        <v>627.81908238222979</v>
      </c>
      <c r="H444" s="70">
        <f t="shared" si="42"/>
        <v>7.4348712655451163E-2</v>
      </c>
      <c r="I444" s="71">
        <f t="shared" si="46"/>
        <v>0.90405947863041092</v>
      </c>
      <c r="L444" s="74"/>
      <c r="M444" s="74"/>
      <c r="N444" s="74"/>
      <c r="O444" s="74"/>
      <c r="P444" s="74"/>
      <c r="Q444" s="74"/>
      <c r="R444" s="74"/>
      <c r="S444" s="74"/>
      <c r="T444" s="74"/>
      <c r="U444" s="74"/>
      <c r="V444" s="74"/>
      <c r="W444" s="74"/>
      <c r="X444" s="74"/>
      <c r="Y444" s="74"/>
      <c r="Z444" s="74"/>
    </row>
    <row r="445" spans="1:26" x14ac:dyDescent="0.3">
      <c r="A445" s="66">
        <f t="shared" si="44"/>
        <v>2033.7999999999602</v>
      </c>
      <c r="B445" s="67">
        <f>LOOKUP(A445+0.01,Amounts!$A$4:$A$103,Amounts!$B$4:$B$103)*0.1*$A$2</f>
        <v>0</v>
      </c>
      <c r="C445" s="68">
        <f t="shared" si="43"/>
        <v>2219148.7781994981</v>
      </c>
      <c r="D445" s="67">
        <f t="array" ref="D445">SUM($B$7:$B440*$F$1009*EXP(-$F$1009*($A445-$A$7:$A440)))*$F$1010</f>
        <v>164199485.65123805</v>
      </c>
      <c r="E445" s="67">
        <f t="shared" si="41"/>
        <v>313.03182385349515</v>
      </c>
      <c r="F445" s="70">
        <f t="shared" si="45"/>
        <v>19.007292344384222</v>
      </c>
      <c r="G445" s="67">
        <f>E445/'Lookup Tables'!$C$48</f>
        <v>626.06364770699031</v>
      </c>
      <c r="H445" s="70">
        <f t="shared" si="42"/>
        <v>7.4140827435142831E-2</v>
      </c>
      <c r="I445" s="71">
        <f t="shared" si="46"/>
        <v>0.90153165269806601</v>
      </c>
      <c r="L445" s="74"/>
      <c r="M445" s="74"/>
      <c r="N445" s="74"/>
      <c r="O445" s="74"/>
      <c r="P445" s="74"/>
      <c r="Q445" s="74"/>
      <c r="R445" s="74"/>
      <c r="S445" s="74"/>
      <c r="T445" s="74"/>
      <c r="U445" s="74"/>
      <c r="V445" s="74"/>
      <c r="W445" s="74"/>
      <c r="X445" s="74"/>
      <c r="Y445" s="74"/>
      <c r="Z445" s="74"/>
    </row>
    <row r="446" spans="1:26" x14ac:dyDescent="0.3">
      <c r="A446" s="66">
        <f t="shared" si="44"/>
        <v>2033.8999999999601</v>
      </c>
      <c r="B446" s="67">
        <f>LOOKUP(A446+0.01,Amounts!$A$4:$A$103,Amounts!$B$4:$B$103)*0.1*$A$2</f>
        <v>0</v>
      </c>
      <c r="C446" s="68">
        <f t="shared" si="43"/>
        <v>2219148.7781994981</v>
      </c>
      <c r="D446" s="67">
        <f t="array" ref="D446">SUM($B$7:$B441*$F$1009*EXP(-$F$1009*($A446-$A$7:$A441)))*$F$1010</f>
        <v>163740370.15306783</v>
      </c>
      <c r="E446" s="67">
        <f t="shared" si="41"/>
        <v>312.15656068697774</v>
      </c>
      <c r="F446" s="70">
        <f t="shared" si="45"/>
        <v>18.954146364913289</v>
      </c>
      <c r="G446" s="67">
        <f>E446/'Lookup Tables'!$C$48</f>
        <v>624.31312137395548</v>
      </c>
      <c r="H446" s="70">
        <f t="shared" si="42"/>
        <v>7.393352347930135E-2</v>
      </c>
      <c r="I446" s="71">
        <f t="shared" si="46"/>
        <v>0.89901089477849594</v>
      </c>
      <c r="L446" s="74"/>
      <c r="M446" s="74"/>
      <c r="N446" s="74"/>
      <c r="O446" s="74"/>
      <c r="P446" s="74"/>
      <c r="Q446" s="74"/>
      <c r="R446" s="74"/>
      <c r="S446" s="74"/>
      <c r="T446" s="74"/>
      <c r="U446" s="74"/>
      <c r="V446" s="74"/>
      <c r="W446" s="74"/>
      <c r="X446" s="74"/>
      <c r="Y446" s="74"/>
      <c r="Z446" s="74"/>
    </row>
    <row r="447" spans="1:26" x14ac:dyDescent="0.3">
      <c r="A447" s="66">
        <f t="shared" si="44"/>
        <v>2033.99999999996</v>
      </c>
      <c r="B447" s="67">
        <f>LOOKUP(A447+0.01,Amounts!$A$4:$A$103,Amounts!$B$4:$B$103)*0.1*$A$2</f>
        <v>0</v>
      </c>
      <c r="C447" s="68">
        <f t="shared" si="43"/>
        <v>2219148.7781994981</v>
      </c>
      <c r="D447" s="67">
        <f t="array" ref="D447">SUM($B$7:$B442*$F$1009*EXP(-$F$1009*($A447-$A$7:$A442)))*$F$1010</f>
        <v>163282538.38023835</v>
      </c>
      <c r="E447" s="67">
        <f t="shared" si="41"/>
        <v>311.28374482949511</v>
      </c>
      <c r="F447" s="70">
        <f t="shared" si="45"/>
        <v>18.901148986046945</v>
      </c>
      <c r="G447" s="67">
        <f>E447/'Lookup Tables'!$C$48</f>
        <v>622.56748965899021</v>
      </c>
      <c r="H447" s="70">
        <f t="shared" si="42"/>
        <v>7.3726799162662671E-2</v>
      </c>
      <c r="I447" s="71">
        <f t="shared" si="46"/>
        <v>0.89649718510894594</v>
      </c>
      <c r="L447" s="74"/>
      <c r="M447" s="74"/>
      <c r="N447" s="74"/>
      <c r="O447" s="74"/>
      <c r="P447" s="74"/>
      <c r="Q447" s="74"/>
      <c r="R447" s="74"/>
      <c r="S447" s="74"/>
      <c r="T447" s="74"/>
      <c r="U447" s="74"/>
      <c r="V447" s="74"/>
      <c r="W447" s="74"/>
      <c r="X447" s="74"/>
      <c r="Y447" s="74"/>
      <c r="Z447" s="74"/>
    </row>
    <row r="448" spans="1:26" x14ac:dyDescent="0.3">
      <c r="A448" s="66">
        <f t="shared" si="44"/>
        <v>2034.0999999999599</v>
      </c>
      <c r="B448" s="67">
        <f>LOOKUP(A448+0.01,Amounts!$A$4:$A$103,Amounts!$B$4:$B$103)*0.1*$A$2</f>
        <v>0</v>
      </c>
      <c r="C448" s="68">
        <f t="shared" si="43"/>
        <v>2219148.7781994981</v>
      </c>
      <c r="D448" s="67">
        <f t="array" ref="D448">SUM($B$7:$B443*$F$1009*EXP(-$F$1009*($A448-$A$7:$A443)))*$F$1010</f>
        <v>162825986.7433461</v>
      </c>
      <c r="E448" s="67">
        <f t="shared" si="41"/>
        <v>310.4133694381664</v>
      </c>
      <c r="F448" s="70">
        <f t="shared" si="45"/>
        <v>18.848299792285463</v>
      </c>
      <c r="G448" s="67">
        <f>E448/'Lookup Tables'!$C$48</f>
        <v>620.8267388763328</v>
      </c>
      <c r="H448" s="70">
        <f t="shared" si="42"/>
        <v>7.3520652864507055E-2</v>
      </c>
      <c r="I448" s="71">
        <f t="shared" si="46"/>
        <v>0.89399050398191926</v>
      </c>
      <c r="L448" s="74"/>
      <c r="M448" s="74"/>
      <c r="N448" s="74"/>
      <c r="O448" s="74"/>
      <c r="P448" s="74"/>
      <c r="Q448" s="74"/>
      <c r="R448" s="74"/>
      <c r="S448" s="74"/>
      <c r="T448" s="74"/>
      <c r="U448" s="74"/>
      <c r="V448" s="74"/>
      <c r="W448" s="74"/>
      <c r="X448" s="74"/>
      <c r="Y448" s="74"/>
      <c r="Z448" s="74"/>
    </row>
    <row r="449" spans="1:26" x14ac:dyDescent="0.3">
      <c r="A449" s="66">
        <f t="shared" si="44"/>
        <v>2034.1999999999598</v>
      </c>
      <c r="B449" s="67">
        <f>LOOKUP(A449+0.01,Amounts!$A$4:$A$103,Amounts!$B$4:$B$103)*0.1*$A$2</f>
        <v>0</v>
      </c>
      <c r="C449" s="68">
        <f t="shared" si="43"/>
        <v>2219148.7781994981</v>
      </c>
      <c r="D449" s="67">
        <f t="array" ref="D449">SUM($B$7:$B444*$F$1009*EXP(-$F$1009*($A449-$A$7:$A444)))*$F$1010</f>
        <v>162370711.66302392</v>
      </c>
      <c r="E449" s="67">
        <f t="shared" si="41"/>
        <v>309.54542768924392</v>
      </c>
      <c r="F449" s="70">
        <f t="shared" si="45"/>
        <v>18.795598369290889</v>
      </c>
      <c r="G449" s="67">
        <f>E449/'Lookup Tables'!$C$48</f>
        <v>619.09085537848784</v>
      </c>
      <c r="H449" s="70">
        <f t="shared" si="42"/>
        <v>7.3315082968646444E-2</v>
      </c>
      <c r="I449" s="71">
        <f t="shared" si="46"/>
        <v>0.89149083174502242</v>
      </c>
      <c r="L449" s="74"/>
      <c r="M449" s="74"/>
      <c r="N449" s="74"/>
      <c r="O449" s="74"/>
      <c r="P449" s="74"/>
      <c r="Q449" s="74"/>
      <c r="R449" s="74"/>
      <c r="S449" s="74"/>
      <c r="T449" s="74"/>
      <c r="U449" s="74"/>
      <c r="V449" s="74"/>
      <c r="W449" s="74"/>
      <c r="X449" s="74"/>
      <c r="Y449" s="74"/>
      <c r="Z449" s="74"/>
    </row>
    <row r="450" spans="1:26" x14ac:dyDescent="0.3">
      <c r="A450" s="66">
        <f t="shared" si="44"/>
        <v>2034.2999999999597</v>
      </c>
      <c r="B450" s="67">
        <f>LOOKUP(A450+0.01,Amounts!$A$4:$A$103,Amounts!$B$4:$B$103)*0.1*$A$2</f>
        <v>0</v>
      </c>
      <c r="C450" s="68">
        <f t="shared" si="43"/>
        <v>2219148.7781994981</v>
      </c>
      <c r="D450" s="67">
        <f t="array" ref="D450">SUM($B$7:$B445*$F$1009*EXP(-$F$1009*($A450-$A$7:$A445)))*$F$1010</f>
        <v>161916709.56991291</v>
      </c>
      <c r="E450" s="67">
        <f t="shared" si="41"/>
        <v>308.67991277806021</v>
      </c>
      <c r="F450" s="70">
        <f t="shared" si="45"/>
        <v>18.743044303883813</v>
      </c>
      <c r="G450" s="67">
        <f>E450/'Lookup Tables'!$C$48</f>
        <v>617.35982555612043</v>
      </c>
      <c r="H450" s="70">
        <f t="shared" si="42"/>
        <v>7.3110087863411874E-2</v>
      </c>
      <c r="I450" s="71">
        <f t="shared" si="46"/>
        <v>0.8889981488008134</v>
      </c>
      <c r="L450" s="74"/>
      <c r="M450" s="74"/>
      <c r="N450" s="74"/>
      <c r="O450" s="74"/>
      <c r="P450" s="74"/>
      <c r="Q450" s="74"/>
      <c r="R450" s="74"/>
      <c r="S450" s="74"/>
      <c r="T450" s="74"/>
      <c r="U450" s="74"/>
      <c r="V450" s="74"/>
      <c r="W450" s="74"/>
      <c r="X450" s="74"/>
      <c r="Y450" s="74"/>
      <c r="Z450" s="74"/>
    </row>
    <row r="451" spans="1:26" x14ac:dyDescent="0.3">
      <c r="A451" s="66">
        <f t="shared" si="44"/>
        <v>2034.3999999999596</v>
      </c>
      <c r="B451" s="67">
        <f>LOOKUP(A451+0.01,Amounts!$A$4:$A$103,Amounts!$B$4:$B$103)*0.1*$A$2</f>
        <v>0</v>
      </c>
      <c r="C451" s="68">
        <f t="shared" si="43"/>
        <v>2219148.7781994981</v>
      </c>
      <c r="D451" s="67">
        <f t="array" ref="D451">SUM($B$7:$B446*$F$1009*EXP(-$F$1009*($A451-$A$7:$A446)))*$F$1010</f>
        <v>161463976.9046343</v>
      </c>
      <c r="E451" s="67">
        <f t="shared" si="41"/>
        <v>307.81681791897381</v>
      </c>
      <c r="F451" s="70">
        <f t="shared" si="45"/>
        <v>18.690637184040089</v>
      </c>
      <c r="G451" s="67">
        <f>E451/'Lookup Tables'!$C$48</f>
        <v>615.63363583794762</v>
      </c>
      <c r="H451" s="70">
        <f t="shared" si="42"/>
        <v>7.2905665941640649E-2</v>
      </c>
      <c r="I451" s="71">
        <f t="shared" si="46"/>
        <v>0.8865124356066445</v>
      </c>
      <c r="L451" s="74"/>
      <c r="M451" s="74"/>
      <c r="N451" s="74"/>
      <c r="O451" s="74"/>
      <c r="P451" s="74"/>
      <c r="Q451" s="74"/>
      <c r="R451" s="74"/>
      <c r="S451" s="74"/>
      <c r="T451" s="74"/>
      <c r="U451" s="74"/>
      <c r="V451" s="74"/>
      <c r="W451" s="74"/>
      <c r="X451" s="74"/>
      <c r="Y451" s="74"/>
      <c r="Z451" s="74"/>
    </row>
    <row r="452" spans="1:26" x14ac:dyDescent="0.3">
      <c r="A452" s="66">
        <f t="shared" si="44"/>
        <v>2034.4999999999595</v>
      </c>
      <c r="B452" s="67">
        <f>LOOKUP(A452+0.01,Amounts!$A$4:$A$103,Amounts!$B$4:$B$103)*0.1*$A$2</f>
        <v>0</v>
      </c>
      <c r="C452" s="68">
        <f t="shared" si="43"/>
        <v>2219148.7781994981</v>
      </c>
      <c r="D452" s="67">
        <f t="array" ref="D452">SUM($B$7:$B447*$F$1009*EXP(-$F$1009*($A452-$A$7:$A447)))*$F$1010</f>
        <v>161012510.11776161</v>
      </c>
      <c r="E452" s="67">
        <f t="shared" si="41"/>
        <v>306.95613634531645</v>
      </c>
      <c r="F452" s="70">
        <f t="shared" si="45"/>
        <v>18.638376598887614</v>
      </c>
      <c r="G452" s="67">
        <f>E452/'Lookup Tables'!$C$48</f>
        <v>613.9122726906329</v>
      </c>
      <c r="H452" s="70">
        <f t="shared" si="42"/>
        <v>7.2701815600663813E-2</v>
      </c>
      <c r="I452" s="71">
        <f t="shared" si="46"/>
        <v>0.88403367267451127</v>
      </c>
      <c r="L452" s="74"/>
      <c r="M452" s="74"/>
      <c r="N452" s="74"/>
      <c r="O452" s="74"/>
      <c r="P452" s="74"/>
      <c r="Q452" s="74"/>
      <c r="R452" s="74"/>
      <c r="S452" s="74"/>
      <c r="T452" s="74"/>
      <c r="U452" s="74"/>
      <c r="V452" s="74"/>
      <c r="W452" s="74"/>
      <c r="X452" s="74"/>
      <c r="Y452" s="74"/>
      <c r="Z452" s="74"/>
    </row>
    <row r="453" spans="1:26" x14ac:dyDescent="0.3">
      <c r="A453" s="66">
        <f t="shared" si="44"/>
        <v>2034.5999999999594</v>
      </c>
      <c r="B453" s="67">
        <f>LOOKUP(A453+0.01,Amounts!$A$4:$A$103,Amounts!$B$4:$B$103)*0.1*$A$2</f>
        <v>0</v>
      </c>
      <c r="C453" s="68">
        <f t="shared" si="43"/>
        <v>2219148.7781994981</v>
      </c>
      <c r="D453" s="67">
        <f t="array" ref="D453">SUM($B$7:$B448*$F$1009*EXP(-$F$1009*($A453-$A$7:$A448)))*$F$1010</f>
        <v>160562305.66979298</v>
      </c>
      <c r="E453" s="67">
        <f t="shared" si="41"/>
        <v>306.09786130934032</v>
      </c>
      <c r="F453" s="70">
        <f t="shared" si="45"/>
        <v>18.586262138703145</v>
      </c>
      <c r="G453" s="67">
        <f>E453/'Lookup Tables'!$C$48</f>
        <v>612.19572261868063</v>
      </c>
      <c r="H453" s="70">
        <f t="shared" si="42"/>
        <v>7.2498535242293674E-2</v>
      </c>
      <c r="I453" s="71">
        <f t="shared" si="46"/>
        <v>0.88156184057090015</v>
      </c>
      <c r="L453" s="74"/>
      <c r="M453" s="74"/>
      <c r="N453" s="74"/>
      <c r="O453" s="74"/>
      <c r="P453" s="74"/>
      <c r="Q453" s="74"/>
      <c r="R453" s="74"/>
      <c r="S453" s="74"/>
      <c r="T453" s="74"/>
      <c r="U453" s="74"/>
      <c r="V453" s="74"/>
      <c r="W453" s="74"/>
      <c r="X453" s="74"/>
      <c r="Y453" s="74"/>
      <c r="Z453" s="74"/>
    </row>
    <row r="454" spans="1:26" x14ac:dyDescent="0.3">
      <c r="A454" s="66">
        <f t="shared" si="44"/>
        <v>2034.6999999999593</v>
      </c>
      <c r="B454" s="67">
        <f>LOOKUP(A454+0.01,Amounts!$A$4:$A$103,Amounts!$B$4:$B$103)*0.1*$A$2</f>
        <v>0</v>
      </c>
      <c r="C454" s="68">
        <f t="shared" si="43"/>
        <v>2219148.7781994981</v>
      </c>
      <c r="D454" s="67">
        <f t="array" ref="D454">SUM($B$7:$B449*$F$1009*EXP(-$F$1009*($A454-$A$7:$A449)))*$F$1010</f>
        <v>160113360.03112322</v>
      </c>
      <c r="E454" s="67">
        <f t="shared" si="41"/>
        <v>305.24198608216471</v>
      </c>
      <c r="F454" s="70">
        <f t="shared" si="45"/>
        <v>18.534293394909042</v>
      </c>
      <c r="G454" s="67">
        <f>E454/'Lookup Tables'!$C$48</f>
        <v>610.48397216432943</v>
      </c>
      <c r="H454" s="70">
        <f t="shared" si="42"/>
        <v>7.2295823272811185E-2</v>
      </c>
      <c r="I454" s="71">
        <f t="shared" si="46"/>
        <v>0.87909691991663441</v>
      </c>
      <c r="L454" s="74"/>
      <c r="M454" s="74"/>
      <c r="N454" s="74"/>
      <c r="O454" s="74"/>
      <c r="P454" s="74"/>
      <c r="Q454" s="74"/>
      <c r="R454" s="74"/>
      <c r="S454" s="74"/>
      <c r="T454" s="74"/>
      <c r="U454" s="74"/>
      <c r="V454" s="74"/>
      <c r="W454" s="74"/>
      <c r="X454" s="74"/>
      <c r="Y454" s="74"/>
      <c r="Z454" s="74"/>
    </row>
    <row r="455" spans="1:26" x14ac:dyDescent="0.3">
      <c r="A455" s="66">
        <f t="shared" si="44"/>
        <v>2034.7999999999593</v>
      </c>
      <c r="B455" s="67">
        <f>LOOKUP(A455+0.01,Amounts!$A$4:$A$103,Amounts!$B$4:$B$103)*0.1*$A$2</f>
        <v>0</v>
      </c>
      <c r="C455" s="68">
        <f t="shared" si="43"/>
        <v>2219148.7781994981</v>
      </c>
      <c r="D455" s="67">
        <f t="array" ref="D455">SUM($B$7:$B450*$F$1009*EXP(-$F$1009*($A455-$A$7:$A450)))*$F$1010</f>
        <v>159665669.68201625</v>
      </c>
      <c r="E455" s="67">
        <f t="shared" ref="E455:E518" si="47">D455/(365*24*60)*1.00201</f>
        <v>304.38850395372361</v>
      </c>
      <c r="F455" s="70">
        <f t="shared" si="45"/>
        <v>18.482469960070098</v>
      </c>
      <c r="G455" s="67">
        <f>E455/'Lookup Tables'!$C$48</f>
        <v>608.77700790744723</v>
      </c>
      <c r="H455" s="70">
        <f t="shared" ref="H455:H518" si="48">G455*60*24*365/(C455*2000)</f>
        <v>7.2093678102953473E-2</v>
      </c>
      <c r="I455" s="71">
        <f t="shared" si="46"/>
        <v>0.87663889138672413</v>
      </c>
      <c r="L455" s="74"/>
      <c r="M455" s="74"/>
      <c r="N455" s="74"/>
      <c r="O455" s="74"/>
      <c r="P455" s="74"/>
      <c r="Q455" s="74"/>
      <c r="R455" s="74"/>
      <c r="S455" s="74"/>
      <c r="T455" s="74"/>
      <c r="U455" s="74"/>
      <c r="V455" s="74"/>
      <c r="W455" s="74"/>
      <c r="X455" s="74"/>
      <c r="Y455" s="74"/>
      <c r="Z455" s="74"/>
    </row>
    <row r="456" spans="1:26" x14ac:dyDescent="0.3">
      <c r="A456" s="66">
        <f t="shared" si="44"/>
        <v>2034.8999999999592</v>
      </c>
      <c r="B456" s="67">
        <f>LOOKUP(A456+0.01,Amounts!$A$4:$A$103,Amounts!$B$4:$B$103)*0.1*$A$2</f>
        <v>0</v>
      </c>
      <c r="C456" s="68">
        <f t="shared" si="43"/>
        <v>2219148.7781994981</v>
      </c>
      <c r="D456" s="67">
        <f t="array" ref="D456">SUM($B$7:$B451*$F$1009*EXP(-$F$1009*($A456-$A$7:$A451)))*$F$1010</f>
        <v>159219231.11257735</v>
      </c>
      <c r="E456" s="67">
        <f t="shared" si="47"/>
        <v>303.53740823271238</v>
      </c>
      <c r="F456" s="70">
        <f t="shared" si="45"/>
        <v>18.430791427890295</v>
      </c>
      <c r="G456" s="67">
        <f>E456/'Lookup Tables'!$C$48</f>
        <v>607.07481646542476</v>
      </c>
      <c r="H456" s="70">
        <f t="shared" si="48"/>
        <v>7.1892098147901304E-2</v>
      </c>
      <c r="I456" s="71">
        <f t="shared" si="46"/>
        <v>0.87418773571021158</v>
      </c>
      <c r="L456" s="74"/>
      <c r="M456" s="74"/>
      <c r="N456" s="74"/>
      <c r="O456" s="74"/>
      <c r="P456" s="74"/>
      <c r="Q456" s="74"/>
      <c r="R456" s="74"/>
      <c r="S456" s="74"/>
      <c r="T456" s="74"/>
      <c r="U456" s="74"/>
      <c r="V456" s="74"/>
      <c r="W456" s="74"/>
      <c r="X456" s="74"/>
      <c r="Y456" s="74"/>
      <c r="Z456" s="74"/>
    </row>
    <row r="457" spans="1:26" x14ac:dyDescent="0.3">
      <c r="A457" s="66">
        <f t="shared" si="44"/>
        <v>2034.9999999999591</v>
      </c>
      <c r="B457" s="67">
        <f>LOOKUP(A457+0.01,Amounts!$A$4:$A$103,Amounts!$B$4:$B$103)*0.1*$A$2</f>
        <v>0</v>
      </c>
      <c r="C457" s="68">
        <f t="shared" ref="C457:C520" si="49">C456+B457</f>
        <v>2219148.7781994981</v>
      </c>
      <c r="D457" s="67">
        <f t="array" ref="D457">SUM($B$7:$B452*$F$1009*EXP(-$F$1009*($A457-$A$7:$A452)))*$F$1010</f>
        <v>158774040.82272592</v>
      </c>
      <c r="E457" s="67">
        <f t="shared" si="47"/>
        <v>302.68869224653656</v>
      </c>
      <c r="F457" s="70">
        <f t="shared" si="45"/>
        <v>18.379257393209699</v>
      </c>
      <c r="G457" s="67">
        <f>E457/'Lookup Tables'!$C$48</f>
        <v>605.37738449307312</v>
      </c>
      <c r="H457" s="70">
        <f t="shared" si="48"/>
        <v>7.1691081827266911E-2</v>
      </c>
      <c r="I457" s="71">
        <f t="shared" si="46"/>
        <v>0.87174343367002527</v>
      </c>
      <c r="L457" s="74"/>
      <c r="M457" s="74"/>
      <c r="N457" s="74"/>
      <c r="O457" s="74"/>
      <c r="P457" s="74"/>
      <c r="Q457" s="74"/>
      <c r="R457" s="74"/>
      <c r="S457" s="74"/>
      <c r="T457" s="74"/>
      <c r="U457" s="74"/>
      <c r="V457" s="74"/>
      <c r="W457" s="74"/>
      <c r="X457" s="74"/>
      <c r="Y457" s="74"/>
      <c r="Z457" s="74"/>
    </row>
    <row r="458" spans="1:26" x14ac:dyDescent="0.3">
      <c r="A458" s="66">
        <f t="shared" si="44"/>
        <v>2035.099999999959</v>
      </c>
      <c r="B458" s="67">
        <f>LOOKUP(A458+0.01,Amounts!$A$4:$A$103,Amounts!$B$4:$B$103)*0.1*$A$2</f>
        <v>0</v>
      </c>
      <c r="C458" s="68">
        <f t="shared" si="49"/>
        <v>2219148.7781994981</v>
      </c>
      <c r="D458" s="67">
        <f t="array" ref="D458">SUM($B$7:$B453*$F$1009*EXP(-$F$1009*($A458-$A$7:$A453)))*$F$1010</f>
        <v>158330095.32216784</v>
      </c>
      <c r="E458" s="67">
        <f t="shared" si="47"/>
        <v>301.8423493412584</v>
      </c>
      <c r="F458" s="70">
        <f t="shared" si="45"/>
        <v>18.327867452001211</v>
      </c>
      <c r="G458" s="67">
        <f>E458/'Lookup Tables'!$C$48</f>
        <v>603.6846986825168</v>
      </c>
      <c r="H458" s="70">
        <f t="shared" si="48"/>
        <v>7.1490627565081247E-2</v>
      </c>
      <c r="I458" s="71">
        <f t="shared" si="46"/>
        <v>0.86930596610282418</v>
      </c>
      <c r="L458" s="74"/>
      <c r="M458" s="74"/>
      <c r="N458" s="74"/>
      <c r="O458" s="74"/>
      <c r="P458" s="74"/>
      <c r="Q458" s="74"/>
      <c r="R458" s="74"/>
      <c r="S458" s="74"/>
      <c r="T458" s="74"/>
      <c r="U458" s="74"/>
      <c r="V458" s="74"/>
      <c r="W458" s="74"/>
      <c r="X458" s="74"/>
      <c r="Y458" s="74"/>
      <c r="Z458" s="74"/>
    </row>
    <row r="459" spans="1:26" x14ac:dyDescent="0.3">
      <c r="A459" s="66">
        <f t="shared" si="44"/>
        <v>2035.1999999999589</v>
      </c>
      <c r="B459" s="67">
        <f>LOOKUP(A459+0.01,Amounts!$A$4:$A$103,Amounts!$B$4:$B$103)*0.1*$A$2</f>
        <v>0</v>
      </c>
      <c r="C459" s="68">
        <f t="shared" si="49"/>
        <v>2219148.7781994981</v>
      </c>
      <c r="D459" s="67">
        <f t="array" ref="D459">SUM($B$7:$B454*$F$1009*EXP(-$F$1009*($A459-$A$7:$A454)))*$F$1010</f>
        <v>157887391.13036808</v>
      </c>
      <c r="E459" s="67">
        <f t="shared" si="47"/>
        <v>300.99837288154515</v>
      </c>
      <c r="F459" s="70">
        <f t="shared" si="45"/>
        <v>18.276621201367423</v>
      </c>
      <c r="G459" s="67">
        <f>E459/'Lookup Tables'!$C$48</f>
        <v>601.9967457630903</v>
      </c>
      <c r="H459" s="70">
        <f t="shared" si="48"/>
        <v>7.1290733789781874E-2</v>
      </c>
      <c r="I459" s="71">
        <f t="shared" si="46"/>
        <v>0.86687531389884998</v>
      </c>
      <c r="L459" s="74"/>
      <c r="M459" s="74"/>
      <c r="N459" s="74"/>
      <c r="O459" s="74"/>
      <c r="P459" s="74"/>
      <c r="Q459" s="74"/>
      <c r="R459" s="74"/>
      <c r="S459" s="74"/>
      <c r="T459" s="74"/>
      <c r="U459" s="74"/>
      <c r="V459" s="74"/>
      <c r="W459" s="74"/>
      <c r="X459" s="74"/>
      <c r="Y459" s="74"/>
      <c r="Z459" s="74"/>
    </row>
    <row r="460" spans="1:26" x14ac:dyDescent="0.3">
      <c r="A460" s="66">
        <f t="shared" si="44"/>
        <v>2035.2999999999588</v>
      </c>
      <c r="B460" s="67">
        <f>LOOKUP(A460+0.01,Amounts!$A$4:$A$103,Amounts!$B$4:$B$103)*0.1*$A$2</f>
        <v>0</v>
      </c>
      <c r="C460" s="68">
        <f t="shared" si="49"/>
        <v>2219148.7781994981</v>
      </c>
      <c r="D460" s="67">
        <f t="array" ref="D460">SUM($B$7:$B455*$F$1009*EXP(-$F$1009*($A460-$A$7:$A455)))*$F$1010</f>
        <v>157445924.77652344</v>
      </c>
      <c r="E460" s="67">
        <f t="shared" si="47"/>
        <v>300.15675625061692</v>
      </c>
      <c r="F460" s="70">
        <f t="shared" si="45"/>
        <v>18.225518239537458</v>
      </c>
      <c r="G460" s="67">
        <f>E460/'Lookup Tables'!$C$48</f>
        <v>600.31351250123384</v>
      </c>
      <c r="H460" s="70">
        <f t="shared" si="48"/>
        <v>7.109139893420055E-2</v>
      </c>
      <c r="I460" s="71">
        <f t="shared" si="46"/>
        <v>0.8644514580017767</v>
      </c>
      <c r="L460" s="74"/>
      <c r="M460" s="74"/>
      <c r="N460" s="74"/>
      <c r="O460" s="74"/>
      <c r="P460" s="74"/>
      <c r="Q460" s="74"/>
      <c r="R460" s="74"/>
      <c r="S460" s="74"/>
      <c r="T460" s="74"/>
      <c r="U460" s="74"/>
      <c r="V460" s="74"/>
      <c r="W460" s="74"/>
      <c r="X460" s="74"/>
      <c r="Y460" s="74"/>
      <c r="Z460" s="74"/>
    </row>
    <row r="461" spans="1:26" x14ac:dyDescent="0.3">
      <c r="A461" s="66">
        <f t="shared" si="44"/>
        <v>2035.3999999999587</v>
      </c>
      <c r="B461" s="67">
        <f>LOOKUP(A461+0.01,Amounts!$A$4:$A$103,Amounts!$B$4:$B$103)*0.1*$A$2</f>
        <v>0</v>
      </c>
      <c r="C461" s="68">
        <f t="shared" si="49"/>
        <v>2219148.7781994981</v>
      </c>
      <c r="D461" s="67">
        <f t="array" ref="D461">SUM($B$7:$B456*$F$1009*EXP(-$F$1009*($A461-$A$7:$A456)))*$F$1010</f>
        <v>157005692.79953554</v>
      </c>
      <c r="E461" s="67">
        <f t="shared" si="47"/>
        <v>299.31749285019526</v>
      </c>
      <c r="F461" s="70">
        <f t="shared" si="45"/>
        <v>18.174558165863857</v>
      </c>
      <c r="G461" s="67">
        <f>E461/'Lookup Tables'!$C$48</f>
        <v>598.63498570039053</v>
      </c>
      <c r="H461" s="70">
        <f t="shared" si="48"/>
        <v>7.0892621435551043E-2</v>
      </c>
      <c r="I461" s="71">
        <f t="shared" si="46"/>
        <v>0.86203437940856242</v>
      </c>
      <c r="L461" s="74"/>
      <c r="M461" s="74"/>
      <c r="N461" s="74"/>
      <c r="O461" s="74"/>
      <c r="P461" s="74"/>
      <c r="Q461" s="74"/>
      <c r="R461" s="74"/>
      <c r="S461" s="74"/>
      <c r="T461" s="74"/>
      <c r="U461" s="74"/>
      <c r="V461" s="74"/>
      <c r="W461" s="74"/>
      <c r="X461" s="74"/>
      <c r="Y461" s="74"/>
      <c r="Z461" s="74"/>
    </row>
    <row r="462" spans="1:26" x14ac:dyDescent="0.3">
      <c r="A462" s="66">
        <f t="shared" si="44"/>
        <v>2035.4999999999586</v>
      </c>
      <c r="B462" s="67">
        <f>LOOKUP(A462+0.01,Amounts!$A$4:$A$103,Amounts!$B$4:$B$103)*0.1*$A$2</f>
        <v>0</v>
      </c>
      <c r="C462" s="68">
        <f t="shared" si="49"/>
        <v>2219148.7781994981</v>
      </c>
      <c r="D462" s="67">
        <f t="array" ref="D462">SUM($B$7:$B457*$F$1009*EXP(-$F$1009*($A462-$A$7:$A457)))*$F$1010</f>
        <v>156566691.7479834</v>
      </c>
      <c r="E462" s="67">
        <f t="shared" si="47"/>
        <v>298.48057610045061</v>
      </c>
      <c r="F462" s="70">
        <f t="shared" si="45"/>
        <v>18.123740580819362</v>
      </c>
      <c r="G462" s="67">
        <f>E462/'Lookup Tables'!$C$48</f>
        <v>596.96115220090121</v>
      </c>
      <c r="H462" s="70">
        <f t="shared" si="48"/>
        <v>7.0694399735416663E-2</v>
      </c>
      <c r="I462" s="71">
        <f t="shared" si="46"/>
        <v>0.85962405916929774</v>
      </c>
      <c r="L462" s="74"/>
      <c r="M462" s="74"/>
      <c r="N462" s="74"/>
      <c r="O462" s="74"/>
      <c r="P462" s="74"/>
      <c r="Q462" s="74"/>
      <c r="R462" s="74"/>
      <c r="S462" s="74"/>
      <c r="T462" s="74"/>
      <c r="U462" s="74"/>
      <c r="V462" s="74"/>
      <c r="W462" s="74"/>
      <c r="X462" s="74"/>
      <c r="Y462" s="74"/>
      <c r="Z462" s="74"/>
    </row>
    <row r="463" spans="1:26" x14ac:dyDescent="0.3">
      <c r="A463" s="66">
        <f t="shared" si="44"/>
        <v>2035.5999999999585</v>
      </c>
      <c r="B463" s="67">
        <f>LOOKUP(A463+0.01,Amounts!$A$4:$A$103,Amounts!$B$4:$B$103)*0.1*$A$2</f>
        <v>0</v>
      </c>
      <c r="C463" s="68">
        <f t="shared" si="49"/>
        <v>2219148.7781994981</v>
      </c>
      <c r="D463" s="67">
        <f t="array" ref="D463">SUM($B$7:$B458*$F$1009*EXP(-$F$1009*($A463-$A$7:$A458)))*$F$1010</f>
        <v>156128918.18009654</v>
      </c>
      <c r="E463" s="67">
        <f t="shared" si="47"/>
        <v>297.64599943995159</v>
      </c>
      <c r="F463" s="70">
        <f t="shared" si="45"/>
        <v>18.073065085993861</v>
      </c>
      <c r="G463" s="67">
        <f>E463/'Lookup Tables'!$C$48</f>
        <v>595.29199887990319</v>
      </c>
      <c r="H463" s="70">
        <f t="shared" si="48"/>
        <v>7.0496732279738378E-2</v>
      </c>
      <c r="I463" s="71">
        <f t="shared" si="46"/>
        <v>0.85722047838706061</v>
      </c>
      <c r="L463" s="74"/>
      <c r="M463" s="74"/>
      <c r="N463" s="74"/>
      <c r="O463" s="74"/>
      <c r="P463" s="74"/>
      <c r="Q463" s="74"/>
      <c r="R463" s="74"/>
      <c r="S463" s="74"/>
      <c r="T463" s="74"/>
      <c r="U463" s="74"/>
      <c r="V463" s="74"/>
      <c r="W463" s="74"/>
      <c r="X463" s="74"/>
      <c r="Y463" s="74"/>
      <c r="Z463" s="74"/>
    </row>
    <row r="464" spans="1:26" x14ac:dyDescent="0.3">
      <c r="A464" s="66">
        <f t="shared" si="44"/>
        <v>2035.6999999999584</v>
      </c>
      <c r="B464" s="67">
        <f>LOOKUP(A464+0.01,Amounts!$A$4:$A$103,Amounts!$B$4:$B$103)*0.1*$A$2</f>
        <v>0</v>
      </c>
      <c r="C464" s="68">
        <f t="shared" si="49"/>
        <v>2219148.7781994981</v>
      </c>
      <c r="D464" s="67">
        <f t="array" ref="D464">SUM($B$7:$B459*$F$1009*EXP(-$F$1009*($A464-$A$7:$A459)))*$F$1010</f>
        <v>155692368.66372788</v>
      </c>
      <c r="E464" s="67">
        <f t="shared" si="47"/>
        <v>296.81375632561259</v>
      </c>
      <c r="F464" s="70">
        <f t="shared" si="45"/>
        <v>18.022531284091198</v>
      </c>
      <c r="G464" s="67">
        <f>E464/'Lookup Tables'!$C$48</f>
        <v>593.62751265122517</v>
      </c>
      <c r="H464" s="70">
        <f t="shared" si="48"/>
        <v>7.0299617518802218E-2</v>
      </c>
      <c r="I464" s="71">
        <f t="shared" si="46"/>
        <v>0.85482361821776431</v>
      </c>
      <c r="L464" s="74"/>
      <c r="M464" s="74"/>
      <c r="N464" s="74"/>
      <c r="O464" s="74"/>
      <c r="P464" s="74"/>
      <c r="Q464" s="74"/>
      <c r="R464" s="74"/>
      <c r="S464" s="74"/>
      <c r="T464" s="74"/>
      <c r="U464" s="74"/>
      <c r="V464" s="74"/>
      <c r="W464" s="74"/>
      <c r="X464" s="74"/>
      <c r="Y464" s="74"/>
      <c r="Z464" s="74"/>
    </row>
    <row r="465" spans="1:26" x14ac:dyDescent="0.3">
      <c r="A465" s="66">
        <f t="shared" si="44"/>
        <v>2035.7999999999583</v>
      </c>
      <c r="B465" s="67">
        <f>LOOKUP(A465+0.01,Amounts!$A$4:$A$103,Amounts!$B$4:$B$103)*0.1*$A$2</f>
        <v>0</v>
      </c>
      <c r="C465" s="68">
        <f t="shared" si="49"/>
        <v>2219148.7781994981</v>
      </c>
      <c r="D465" s="67">
        <f t="array" ref="D465">SUM($B$7:$B460*$F$1009*EXP(-$F$1009*($A465-$A$7:$A460)))*$F$1010</f>
        <v>155257039.77632701</v>
      </c>
      <c r="E465" s="67">
        <f t="shared" si="47"/>
        <v>295.9838402326435</v>
      </c>
      <c r="F465" s="70">
        <f t="shared" si="45"/>
        <v>17.972138778926116</v>
      </c>
      <c r="G465" s="67">
        <f>E465/'Lookup Tables'!$C$48</f>
        <v>591.967680465287</v>
      </c>
      <c r="H465" s="70">
        <f t="shared" si="48"/>
        <v>7.01030539072275E-2</v>
      </c>
      <c r="I465" s="71">
        <f t="shared" si="46"/>
        <v>0.8524334598700134</v>
      </c>
      <c r="L465" s="74"/>
      <c r="M465" s="74"/>
      <c r="N465" s="74"/>
      <c r="O465" s="74"/>
      <c r="P465" s="74"/>
      <c r="Q465" s="74"/>
      <c r="R465" s="74"/>
      <c r="S465" s="74"/>
      <c r="T465" s="74"/>
      <c r="U465" s="74"/>
      <c r="V465" s="74"/>
      <c r="W465" s="74"/>
      <c r="X465" s="74"/>
      <c r="Y465" s="74"/>
      <c r="Z465" s="74"/>
    </row>
    <row r="466" spans="1:26" x14ac:dyDescent="0.3">
      <c r="A466" s="66">
        <f t="shared" si="44"/>
        <v>2035.8999999999583</v>
      </c>
      <c r="B466" s="67">
        <f>LOOKUP(A466+0.01,Amounts!$A$4:$A$103,Amounts!$B$4:$B$103)*0.1*$A$2</f>
        <v>0</v>
      </c>
      <c r="C466" s="68">
        <f t="shared" si="49"/>
        <v>2219148.7781994981</v>
      </c>
      <c r="D466" s="67">
        <f t="array" ref="D466">SUM($B$7:$B461*$F$1009*EXP(-$F$1009*($A466-$A$7:$A461)))*$F$1010</f>
        <v>154822928.1049132</v>
      </c>
      <c r="E466" s="67">
        <f t="shared" si="47"/>
        <v>295.15624465449793</v>
      </c>
      <c r="F466" s="70">
        <f t="shared" si="45"/>
        <v>17.921887175421116</v>
      </c>
      <c r="G466" s="67">
        <f>E466/'Lookup Tables'!$C$48</f>
        <v>590.31248930899585</v>
      </c>
      <c r="H466" s="70">
        <f t="shared" si="48"/>
        <v>6.9907039903954471E-2</v>
      </c>
      <c r="I466" s="71">
        <f t="shared" si="46"/>
        <v>0.85004998460495407</v>
      </c>
      <c r="L466" s="74"/>
      <c r="M466" s="74"/>
      <c r="N466" s="74"/>
      <c r="O466" s="74"/>
      <c r="P466" s="74"/>
      <c r="Q466" s="74"/>
      <c r="R466" s="74"/>
      <c r="S466" s="74"/>
      <c r="T466" s="74"/>
      <c r="U466" s="74"/>
      <c r="V466" s="74"/>
      <c r="W466" s="74"/>
      <c r="X466" s="74"/>
      <c r="Y466" s="74"/>
      <c r="Z466" s="74"/>
    </row>
    <row r="467" spans="1:26" x14ac:dyDescent="0.3">
      <c r="A467" s="66">
        <f t="shared" ref="A467:A530" si="50">A466+0.1</f>
        <v>2035.9999999999582</v>
      </c>
      <c r="B467" s="67">
        <f>LOOKUP(A467+0.01,Amounts!$A$4:$A$103,Amounts!$B$4:$B$103)*0.1*$A$2</f>
        <v>0</v>
      </c>
      <c r="C467" s="68">
        <f t="shared" si="49"/>
        <v>2219148.7781994981</v>
      </c>
      <c r="D467" s="67">
        <f t="array" ref="D467">SUM($B$7:$B462*$F$1009*EXP(-$F$1009*($A467-$A$7:$A462)))*$F$1010</f>
        <v>154390030.24604881</v>
      </c>
      <c r="E467" s="67">
        <f t="shared" si="47"/>
        <v>294.33096310282224</v>
      </c>
      <c r="F467" s="70">
        <f t="shared" ref="F467:F530" si="51">E467*60*1012/1000000</f>
        <v>17.871776079603368</v>
      </c>
      <c r="G467" s="67">
        <f>E467/'Lookup Tables'!$C$48</f>
        <v>588.66192620564448</v>
      </c>
      <c r="H467" s="70">
        <f t="shared" si="48"/>
        <v>6.9711573972232363E-2</v>
      </c>
      <c r="I467" s="71">
        <f t="shared" ref="I467:I530" si="52">G467*60*24/1000000</f>
        <v>0.84767317373612805</v>
      </c>
      <c r="L467" s="74"/>
      <c r="M467" s="74"/>
      <c r="N467" s="74"/>
      <c r="O467" s="74"/>
      <c r="P467" s="74"/>
      <c r="Q467" s="74"/>
      <c r="R467" s="74"/>
      <c r="S467" s="74"/>
      <c r="T467" s="74"/>
      <c r="U467" s="74"/>
      <c r="V467" s="74"/>
      <c r="W467" s="74"/>
      <c r="X467" s="74"/>
      <c r="Y467" s="74"/>
      <c r="Z467" s="74"/>
    </row>
    <row r="468" spans="1:26" x14ac:dyDescent="0.3">
      <c r="A468" s="66">
        <f t="shared" si="50"/>
        <v>2036.0999999999581</v>
      </c>
      <c r="B468" s="67">
        <f>LOOKUP(A468+0.01,Amounts!$A$4:$A$103,Amounts!$B$4:$B$103)*0.1*$A$2</f>
        <v>0</v>
      </c>
      <c r="C468" s="68">
        <f t="shared" si="49"/>
        <v>2219148.7781994981</v>
      </c>
      <c r="D468" s="67">
        <f t="array" ref="D468">SUM($B$7:$B463*$F$1009*EXP(-$F$1009*($A468-$A$7:$A463)))*$F$1010</f>
        <v>153958342.80581227</v>
      </c>
      <c r="E468" s="67">
        <f t="shared" si="47"/>
        <v>293.5079891074048</v>
      </c>
      <c r="F468" s="70">
        <f t="shared" si="51"/>
        <v>17.821805098601622</v>
      </c>
      <c r="G468" s="67">
        <f>E468/'Lookup Tables'!$C$48</f>
        <v>587.01597821480959</v>
      </c>
      <c r="H468" s="70">
        <f t="shared" si="48"/>
        <v>6.9516654579607248E-2</v>
      </c>
      <c r="I468" s="71">
        <f t="shared" si="52"/>
        <v>0.84530300862932573</v>
      </c>
      <c r="L468" s="74"/>
      <c r="M468" s="74"/>
      <c r="N468" s="74"/>
      <c r="O468" s="74"/>
      <c r="P468" s="74"/>
      <c r="Q468" s="74"/>
      <c r="R468" s="74"/>
      <c r="S468" s="74"/>
      <c r="T468" s="74"/>
      <c r="U468" s="74"/>
      <c r="V468" s="74"/>
      <c r="W468" s="74"/>
      <c r="X468" s="74"/>
      <c r="Y468" s="74"/>
      <c r="Z468" s="74"/>
    </row>
    <row r="469" spans="1:26" x14ac:dyDescent="0.3">
      <c r="A469" s="66">
        <f t="shared" si="50"/>
        <v>2036.199999999958</v>
      </c>
      <c r="B469" s="67">
        <f>LOOKUP(A469+0.01,Amounts!$A$4:$A$103,Amounts!$B$4:$B$103)*0.1*$A$2</f>
        <v>0</v>
      </c>
      <c r="C469" s="68">
        <f t="shared" si="49"/>
        <v>2219148.7781994981</v>
      </c>
      <c r="D469" s="67">
        <f t="array" ref="D469">SUM($B$7:$B464*$F$1009*EXP(-$F$1009*($A469-$A$7:$A464)))*$F$1010</f>
        <v>153527862.39977202</v>
      </c>
      <c r="E469" s="67">
        <f t="shared" si="47"/>
        <v>292.68731621612551</v>
      </c>
      <c r="F469" s="70">
        <f t="shared" si="51"/>
        <v>17.771973840643142</v>
      </c>
      <c r="G469" s="67">
        <f>E469/'Lookup Tables'!$C$48</f>
        <v>585.37463243225102</v>
      </c>
      <c r="H469" s="70">
        <f t="shared" si="48"/>
        <v>6.9322280197910147E-2</v>
      </c>
      <c r="I469" s="71">
        <f t="shared" si="52"/>
        <v>0.84293947070244146</v>
      </c>
      <c r="L469" s="74"/>
      <c r="M469" s="74"/>
      <c r="N469" s="74"/>
      <c r="O469" s="74"/>
      <c r="P469" s="74"/>
      <c r="Q469" s="74"/>
      <c r="R469" s="74"/>
      <c r="S469" s="74"/>
      <c r="T469" s="74"/>
      <c r="U469" s="74"/>
      <c r="V469" s="74"/>
      <c r="W469" s="74"/>
      <c r="X469" s="74"/>
      <c r="Y469" s="74"/>
      <c r="Z469" s="74"/>
    </row>
    <row r="470" spans="1:26" x14ac:dyDescent="0.3">
      <c r="A470" s="66">
        <f t="shared" si="50"/>
        <v>2036.2999999999579</v>
      </c>
      <c r="B470" s="67">
        <f>LOOKUP(A470+0.01,Amounts!$A$4:$A$103,Amounts!$B$4:$B$103)*0.1*$A$2</f>
        <v>0</v>
      </c>
      <c r="C470" s="68">
        <f t="shared" si="49"/>
        <v>2219148.7781994981</v>
      </c>
      <c r="D470" s="67">
        <f t="array" ref="D470">SUM($B$7:$B465*$F$1009*EXP(-$F$1009*($A470-$A$7:$A465)))*$F$1010</f>
        <v>153098585.65295935</v>
      </c>
      <c r="E470" s="67">
        <f t="shared" si="47"/>
        <v>291.86893799490451</v>
      </c>
      <c r="F470" s="70">
        <f t="shared" si="51"/>
        <v>17.722281915050605</v>
      </c>
      <c r="G470" s="67">
        <f>E470/'Lookup Tables'!$C$48</f>
        <v>583.73787598980903</v>
      </c>
      <c r="H470" s="70">
        <f t="shared" si="48"/>
        <v>6.9128449303244868E-2</v>
      </c>
      <c r="I470" s="71">
        <f t="shared" si="52"/>
        <v>0.84058254142532496</v>
      </c>
      <c r="L470" s="74"/>
      <c r="M470" s="74"/>
      <c r="N470" s="74"/>
      <c r="O470" s="74"/>
      <c r="P470" s="74"/>
      <c r="Q470" s="74"/>
      <c r="R470" s="74"/>
      <c r="S470" s="74"/>
      <c r="T470" s="74"/>
      <c r="U470" s="74"/>
      <c r="V470" s="74"/>
      <c r="W470" s="74"/>
      <c r="X470" s="74"/>
      <c r="Y470" s="74"/>
      <c r="Z470" s="74"/>
    </row>
    <row r="471" spans="1:26" x14ac:dyDescent="0.3">
      <c r="A471" s="66">
        <f t="shared" si="50"/>
        <v>2036.3999999999578</v>
      </c>
      <c r="B471" s="67">
        <f>LOOKUP(A471+0.01,Amounts!$A$4:$A$103,Amounts!$B$4:$B$103)*0.1*$A$2</f>
        <v>0</v>
      </c>
      <c r="C471" s="68">
        <f t="shared" si="49"/>
        <v>2219148.7781994981</v>
      </c>
      <c r="D471" s="67">
        <f t="array" ref="D471">SUM($B$7:$B466*$F$1009*EXP(-$F$1009*($A471-$A$7:$A466)))*$F$1010</f>
        <v>152670509.19984242</v>
      </c>
      <c r="E471" s="67">
        <f t="shared" si="47"/>
        <v>291.05284802765243</v>
      </c>
      <c r="F471" s="70">
        <f t="shared" si="51"/>
        <v>17.672728932239057</v>
      </c>
      <c r="G471" s="67">
        <f>E471/'Lookup Tables'!$C$48</f>
        <v>582.10569605530486</v>
      </c>
      <c r="H471" s="70">
        <f t="shared" si="48"/>
        <v>6.8935160375976232E-2</v>
      </c>
      <c r="I471" s="71">
        <f t="shared" si="52"/>
        <v>0.83823220231963902</v>
      </c>
      <c r="L471" s="74"/>
      <c r="M471" s="74"/>
      <c r="N471" s="74"/>
      <c r="O471" s="74"/>
      <c r="P471" s="74"/>
      <c r="Q471" s="74"/>
      <c r="R471" s="74"/>
      <c r="S471" s="74"/>
      <c r="T471" s="74"/>
      <c r="U471" s="74"/>
      <c r="V471" s="74"/>
      <c r="W471" s="74"/>
      <c r="X471" s="74"/>
      <c r="Y471" s="74"/>
      <c r="Z471" s="74"/>
    </row>
    <row r="472" spans="1:26" x14ac:dyDescent="0.3">
      <c r="A472" s="66">
        <f t="shared" si="50"/>
        <v>2036.4999999999577</v>
      </c>
      <c r="B472" s="67">
        <f>LOOKUP(A472+0.01,Amounts!$A$4:$A$103,Amounts!$B$4:$B$103)*0.1*$A$2</f>
        <v>0</v>
      </c>
      <c r="C472" s="68">
        <f t="shared" si="49"/>
        <v>2219148.7781994981</v>
      </c>
      <c r="D472" s="67">
        <f t="array" ref="D472">SUM($B$7:$B467*$F$1009*EXP(-$F$1009*($A472-$A$7:$A467)))*$F$1010</f>
        <v>152243629.68429956</v>
      </c>
      <c r="E472" s="67">
        <f t="shared" si="47"/>
        <v>290.23903991621961</v>
      </c>
      <c r="F472" s="70">
        <f t="shared" si="51"/>
        <v>17.623314503712855</v>
      </c>
      <c r="G472" s="67">
        <f>E472/'Lookup Tables'!$C$48</f>
        <v>580.47807983243922</v>
      </c>
      <c r="H472" s="70">
        <f t="shared" si="48"/>
        <v>6.8742411900718003E-2</v>
      </c>
      <c r="I472" s="71">
        <f t="shared" si="52"/>
        <v>0.83588843495871246</v>
      </c>
      <c r="L472" s="74"/>
      <c r="M472" s="74"/>
      <c r="N472" s="74"/>
      <c r="O472" s="74"/>
      <c r="P472" s="74"/>
      <c r="Q472" s="74"/>
      <c r="R472" s="74"/>
      <c r="S472" s="74"/>
      <c r="T472" s="74"/>
      <c r="U472" s="74"/>
      <c r="V472" s="74"/>
      <c r="W472" s="74"/>
      <c r="X472" s="74"/>
      <c r="Y472" s="74"/>
      <c r="Z472" s="74"/>
    </row>
    <row r="473" spans="1:26" x14ac:dyDescent="0.3">
      <c r="A473" s="66">
        <f t="shared" si="50"/>
        <v>2036.5999999999576</v>
      </c>
      <c r="B473" s="67">
        <f>LOOKUP(A473+0.01,Amounts!$A$4:$A$103,Amounts!$B$4:$B$103)*0.1*$A$2</f>
        <v>0</v>
      </c>
      <c r="C473" s="68">
        <f t="shared" si="49"/>
        <v>2219148.7781994981</v>
      </c>
      <c r="D473" s="67">
        <f t="array" ref="D473">SUM($B$7:$B468*$F$1009*EXP(-$F$1009*($A473-$A$7:$A468)))*$F$1010</f>
        <v>151817943.75959331</v>
      </c>
      <c r="E473" s="67">
        <f t="shared" si="47"/>
        <v>289.42750728034645</v>
      </c>
      <c r="F473" s="70">
        <f t="shared" si="51"/>
        <v>17.574038242062635</v>
      </c>
      <c r="G473" s="67">
        <f>E473/'Lookup Tables'!$C$48</f>
        <v>578.85501456069289</v>
      </c>
      <c r="H473" s="70">
        <f t="shared" si="48"/>
        <v>6.8550202366321228E-2</v>
      </c>
      <c r="I473" s="71">
        <f t="shared" si="52"/>
        <v>0.83355122096739775</v>
      </c>
      <c r="L473" s="74"/>
      <c r="M473" s="74"/>
      <c r="N473" s="74"/>
      <c r="O473" s="74"/>
      <c r="P473" s="74"/>
      <c r="Q473" s="74"/>
      <c r="R473" s="74"/>
      <c r="S473" s="74"/>
      <c r="T473" s="74"/>
      <c r="U473" s="74"/>
      <c r="V473" s="74"/>
      <c r="W473" s="74"/>
      <c r="X473" s="74"/>
      <c r="Y473" s="74"/>
      <c r="Z473" s="74"/>
    </row>
    <row r="474" spans="1:26" x14ac:dyDescent="0.3">
      <c r="A474" s="66">
        <f t="shared" si="50"/>
        <v>2036.6999999999575</v>
      </c>
      <c r="B474" s="67">
        <f>LOOKUP(A474+0.01,Amounts!$A$4:$A$103,Amounts!$B$4:$B$103)*0.1*$A$2</f>
        <v>0</v>
      </c>
      <c r="C474" s="68">
        <f t="shared" si="49"/>
        <v>2219148.7781994981</v>
      </c>
      <c r="D474" s="67">
        <f t="array" ref="D474">SUM($B$7:$B469*$F$1009*EXP(-$F$1009*($A474-$A$7:$A469)))*$F$1010</f>
        <v>151393448.08834368</v>
      </c>
      <c r="E474" s="67">
        <f t="shared" si="47"/>
        <v>288.61824375761273</v>
      </c>
      <c r="F474" s="70">
        <f t="shared" si="51"/>
        <v>17.524899760962246</v>
      </c>
      <c r="G474" s="67">
        <f>E474/'Lookup Tables'!$C$48</f>
        <v>577.23648751522546</v>
      </c>
      <c r="H474" s="70">
        <f t="shared" si="48"/>
        <v>6.8358530265862083E-2</v>
      </c>
      <c r="I474" s="71">
        <f t="shared" si="52"/>
        <v>0.83122054202192464</v>
      </c>
      <c r="L474" s="74"/>
      <c r="M474" s="74"/>
      <c r="N474" s="74"/>
      <c r="O474" s="74"/>
      <c r="P474" s="74"/>
      <c r="Q474" s="74"/>
      <c r="R474" s="74"/>
      <c r="S474" s="74"/>
      <c r="T474" s="74"/>
      <c r="U474" s="74"/>
      <c r="V474" s="74"/>
      <c r="W474" s="74"/>
      <c r="X474" s="74"/>
      <c r="Y474" s="74"/>
      <c r="Z474" s="74"/>
    </row>
    <row r="475" spans="1:26" x14ac:dyDescent="0.3">
      <c r="A475" s="66">
        <f t="shared" si="50"/>
        <v>2036.7999999999574</v>
      </c>
      <c r="B475" s="67">
        <f>LOOKUP(A475+0.01,Amounts!$A$4:$A$103,Amounts!$B$4:$B$103)*0.1*$A$2</f>
        <v>0</v>
      </c>
      <c r="C475" s="68">
        <f t="shared" si="49"/>
        <v>2219148.7781994981</v>
      </c>
      <c r="D475" s="67">
        <f t="array" ref="D475">SUM($B$7:$B470*$F$1009*EXP(-$F$1009*($A475-$A$7:$A470)))*$F$1010</f>
        <v>150970139.34250259</v>
      </c>
      <c r="E475" s="67">
        <f t="shared" si="47"/>
        <v>287.8112430033886</v>
      </c>
      <c r="F475" s="70">
        <f t="shared" si="51"/>
        <v>17.475898675165755</v>
      </c>
      <c r="G475" s="67">
        <f>E475/'Lookup Tables'!$C$48</f>
        <v>575.62248600677719</v>
      </c>
      <c r="H475" s="70">
        <f t="shared" si="48"/>
        <v>6.8167394096630404E-2</v>
      </c>
      <c r="I475" s="71">
        <f t="shared" si="52"/>
        <v>0.82889637984975917</v>
      </c>
      <c r="L475" s="74"/>
      <c r="M475" s="74"/>
      <c r="N475" s="74"/>
      <c r="O475" s="74"/>
      <c r="P475" s="74"/>
      <c r="Q475" s="74"/>
      <c r="R475" s="74"/>
      <c r="S475" s="74"/>
      <c r="T475" s="74"/>
      <c r="U475" s="74"/>
      <c r="V475" s="74"/>
      <c r="W475" s="74"/>
      <c r="X475" s="74"/>
      <c r="Y475" s="74"/>
      <c r="Z475" s="74"/>
    </row>
    <row r="476" spans="1:26" x14ac:dyDescent="0.3">
      <c r="A476" s="66">
        <f t="shared" si="50"/>
        <v>2036.8999999999573</v>
      </c>
      <c r="B476" s="67">
        <f>LOOKUP(A476+0.01,Amounts!$A$4:$A$103,Amounts!$B$4:$B$103)*0.1*$A$2</f>
        <v>0</v>
      </c>
      <c r="C476" s="68">
        <f t="shared" si="49"/>
        <v>2219148.7781994981</v>
      </c>
      <c r="D476" s="67">
        <f t="array" ref="D476">SUM($B$7:$B471*$F$1009*EXP(-$F$1009*($A476-$A$7:$A471)))*$F$1010</f>
        <v>150548014.20332724</v>
      </c>
      <c r="E476" s="67">
        <f t="shared" si="47"/>
        <v>287.0064986907837</v>
      </c>
      <c r="F476" s="70">
        <f t="shared" si="51"/>
        <v>17.427034600504388</v>
      </c>
      <c r="G476" s="67">
        <f>E476/'Lookup Tables'!$C$48</f>
        <v>574.0129973815674</v>
      </c>
      <c r="H476" s="70">
        <f t="shared" si="48"/>
        <v>6.7976792360117583E-2</v>
      </c>
      <c r="I476" s="71">
        <f t="shared" si="52"/>
        <v>0.82657871622945711</v>
      </c>
      <c r="L476" s="74"/>
      <c r="M476" s="74"/>
      <c r="N476" s="74"/>
      <c r="O476" s="74"/>
      <c r="P476" s="74"/>
      <c r="Q476" s="74"/>
      <c r="R476" s="74"/>
      <c r="S476" s="74"/>
      <c r="T476" s="74"/>
      <c r="U476" s="74"/>
      <c r="V476" s="74"/>
      <c r="W476" s="74"/>
      <c r="X476" s="74"/>
      <c r="Y476" s="74"/>
      <c r="Z476" s="74"/>
    </row>
    <row r="477" spans="1:26" x14ac:dyDescent="0.3">
      <c r="A477" s="66">
        <f t="shared" si="50"/>
        <v>2036.9999999999573</v>
      </c>
      <c r="B477" s="67">
        <f>LOOKUP(A477+0.01,Amounts!$A$4:$A$103,Amounts!$B$4:$B$103)*0.1*$A$2</f>
        <v>0</v>
      </c>
      <c r="C477" s="68">
        <f t="shared" si="49"/>
        <v>2219148.7781994981</v>
      </c>
      <c r="D477" s="67">
        <f t="array" ref="D477">SUM($B$7:$B472*$F$1009*EXP(-$F$1009*($A477-$A$7:$A472)))*$F$1010</f>
        <v>150127069.36135438</v>
      </c>
      <c r="E477" s="67">
        <f t="shared" si="47"/>
        <v>286.20400451059874</v>
      </c>
      <c r="F477" s="70">
        <f t="shared" si="51"/>
        <v>17.378307153883554</v>
      </c>
      <c r="G477" s="67">
        <f>E477/'Lookup Tables'!$C$48</f>
        <v>572.40800902119747</v>
      </c>
      <c r="H477" s="70">
        <f t="shared" si="48"/>
        <v>6.7786723562005075E-2</v>
      </c>
      <c r="I477" s="71">
        <f t="shared" si="52"/>
        <v>0.82426753299052435</v>
      </c>
      <c r="L477" s="74"/>
      <c r="M477" s="74"/>
      <c r="N477" s="74"/>
      <c r="O477" s="74"/>
      <c r="P477" s="74"/>
      <c r="Q477" s="74"/>
      <c r="R477" s="74"/>
      <c r="S477" s="74"/>
      <c r="T477" s="74"/>
      <c r="U477" s="74"/>
      <c r="V477" s="74"/>
      <c r="W477" s="74"/>
      <c r="X477" s="74"/>
      <c r="Y477" s="74"/>
      <c r="Z477" s="74"/>
    </row>
    <row r="478" spans="1:26" x14ac:dyDescent="0.3">
      <c r="A478" s="66">
        <f t="shared" si="50"/>
        <v>2037.0999999999572</v>
      </c>
      <c r="B478" s="67">
        <f>LOOKUP(A478+0.01,Amounts!$A$4:$A$103,Amounts!$B$4:$B$103)*0.1*$A$2</f>
        <v>0</v>
      </c>
      <c r="C478" s="68">
        <f t="shared" si="49"/>
        <v>2219148.7781994981</v>
      </c>
      <c r="D478" s="67">
        <f t="array" ref="D478">SUM($B$7:$B473*$F$1009*EXP(-$F$1009*($A478-$A$7:$A473)))*$F$1010</f>
        <v>149707301.51637426</v>
      </c>
      <c r="E478" s="67">
        <f t="shared" si="47"/>
        <v>285.40375417127512</v>
      </c>
      <c r="F478" s="70">
        <f t="shared" si="51"/>
        <v>17.329715953279827</v>
      </c>
      <c r="G478" s="67">
        <f>E478/'Lookup Tables'!$C$48</f>
        <v>570.80750834255025</v>
      </c>
      <c r="H478" s="70">
        <f t="shared" si="48"/>
        <v>6.7597186212152507E-2</v>
      </c>
      <c r="I478" s="71">
        <f t="shared" si="52"/>
        <v>0.82196281201327248</v>
      </c>
      <c r="L478" s="74"/>
      <c r="M478" s="74"/>
      <c r="N478" s="74"/>
      <c r="O478" s="74"/>
      <c r="P478" s="74"/>
      <c r="Q478" s="74"/>
      <c r="R478" s="74"/>
      <c r="S478" s="74"/>
      <c r="T478" s="74"/>
      <c r="U478" s="74"/>
      <c r="V478" s="74"/>
      <c r="W478" s="74"/>
      <c r="X478" s="74"/>
      <c r="Y478" s="74"/>
      <c r="Z478" s="74"/>
    </row>
    <row r="479" spans="1:26" x14ac:dyDescent="0.3">
      <c r="A479" s="66">
        <f t="shared" si="50"/>
        <v>2037.1999999999571</v>
      </c>
      <c r="B479" s="67">
        <f>LOOKUP(A479+0.01,Amounts!$A$4:$A$103,Amounts!$B$4:$B$103)*0.1*$A$2</f>
        <v>0</v>
      </c>
      <c r="C479" s="68">
        <f t="shared" si="49"/>
        <v>2219148.7781994981</v>
      </c>
      <c r="D479" s="67">
        <f t="array" ref="D479">SUM($B$7:$B474*$F$1009*EXP(-$F$1009*($A479-$A$7:$A474)))*$F$1010</f>
        <v>149288707.37740481</v>
      </c>
      <c r="E479" s="67">
        <f t="shared" si="47"/>
        <v>284.60574139884585</v>
      </c>
      <c r="F479" s="70">
        <f t="shared" si="51"/>
        <v>17.281260617737924</v>
      </c>
      <c r="G479" s="67">
        <f>E479/'Lookup Tables'!$C$48</f>
        <v>569.2114827976917</v>
      </c>
      <c r="H479" s="70">
        <f t="shared" si="48"/>
        <v>6.7408178824586037E-2</v>
      </c>
      <c r="I479" s="71">
        <f t="shared" si="52"/>
        <v>0.81966453522867622</v>
      </c>
      <c r="L479" s="74"/>
      <c r="M479" s="74"/>
      <c r="N479" s="74"/>
      <c r="O479" s="74"/>
      <c r="P479" s="74"/>
      <c r="Q479" s="74"/>
      <c r="R479" s="74"/>
      <c r="S479" s="74"/>
      <c r="T479" s="74"/>
      <c r="U479" s="74"/>
      <c r="V479" s="74"/>
      <c r="W479" s="74"/>
      <c r="X479" s="74"/>
      <c r="Y479" s="74"/>
      <c r="Z479" s="74"/>
    </row>
    <row r="480" spans="1:26" x14ac:dyDescent="0.3">
      <c r="A480" s="66">
        <f t="shared" si="50"/>
        <v>2037.299999999957</v>
      </c>
      <c r="B480" s="67">
        <f>LOOKUP(A480+0.01,Amounts!$A$4:$A$103,Amounts!$B$4:$B$103)*0.1*$A$2</f>
        <v>0</v>
      </c>
      <c r="C480" s="68">
        <f t="shared" si="49"/>
        <v>2219148.7781994981</v>
      </c>
      <c r="D480" s="67">
        <f t="array" ref="D480">SUM($B$7:$B475*$F$1009*EXP(-$F$1009*($A480-$A$7:$A475)))*$F$1010</f>
        <v>148871283.66266596</v>
      </c>
      <c r="E480" s="67">
        <f t="shared" si="47"/>
        <v>283.80995993688725</v>
      </c>
      <c r="F480" s="70">
        <f t="shared" si="51"/>
        <v>17.232940767367793</v>
      </c>
      <c r="G480" s="67">
        <f>E480/'Lookup Tables'!$C$48</f>
        <v>567.61991987377451</v>
      </c>
      <c r="H480" s="70">
        <f t="shared" si="48"/>
        <v>6.7219699917486886E-2</v>
      </c>
      <c r="I480" s="71">
        <f t="shared" si="52"/>
        <v>0.81737268461823531</v>
      </c>
      <c r="L480" s="74"/>
      <c r="M480" s="74"/>
      <c r="N480" s="74"/>
      <c r="O480" s="74"/>
      <c r="P480" s="74"/>
      <c r="Q480" s="74"/>
      <c r="R480" s="74"/>
      <c r="S480" s="74"/>
      <c r="T480" s="74"/>
      <c r="U480" s="74"/>
      <c r="V480" s="74"/>
      <c r="W480" s="74"/>
      <c r="X480" s="74"/>
      <c r="Y480" s="74"/>
      <c r="Z480" s="74"/>
    </row>
    <row r="481" spans="1:26" x14ac:dyDescent="0.3">
      <c r="A481" s="66">
        <f t="shared" si="50"/>
        <v>2037.3999999999569</v>
      </c>
      <c r="B481" s="67">
        <f>LOOKUP(A481+0.01,Amounts!$A$4:$A$103,Amounts!$B$4:$B$103)*0.1*$A$2</f>
        <v>0</v>
      </c>
      <c r="C481" s="68">
        <f t="shared" si="49"/>
        <v>2219148.7781994981</v>
      </c>
      <c r="D481" s="67">
        <f t="array" ref="D481">SUM($B$7:$B476*$F$1009*EXP(-$F$1009*($A481-$A$7:$A476)))*$F$1010</f>
        <v>148455027.09955347</v>
      </c>
      <c r="E481" s="67">
        <f t="shared" si="47"/>
        <v>283.01640354646804</v>
      </c>
      <c r="F481" s="70">
        <f t="shared" si="51"/>
        <v>17.184756023341539</v>
      </c>
      <c r="G481" s="67">
        <f>E481/'Lookup Tables'!$C$48</f>
        <v>566.03280709293608</v>
      </c>
      <c r="H481" s="70">
        <f t="shared" si="48"/>
        <v>6.7031748013179349E-2</v>
      </c>
      <c r="I481" s="71">
        <f t="shared" si="52"/>
        <v>0.815087242213828</v>
      </c>
      <c r="L481" s="74"/>
      <c r="M481" s="74"/>
      <c r="N481" s="74"/>
      <c r="O481" s="74"/>
      <c r="P481" s="74"/>
      <c r="Q481" s="74"/>
      <c r="R481" s="74"/>
      <c r="S481" s="74"/>
      <c r="T481" s="74"/>
      <c r="U481" s="74"/>
      <c r="V481" s="74"/>
      <c r="W481" s="74"/>
      <c r="X481" s="74"/>
      <c r="Y481" s="74"/>
      <c r="Z481" s="74"/>
    </row>
    <row r="482" spans="1:26" x14ac:dyDescent="0.3">
      <c r="A482" s="66">
        <f t="shared" si="50"/>
        <v>2037.4999999999568</v>
      </c>
      <c r="B482" s="67">
        <f>LOOKUP(A482+0.01,Amounts!$A$4:$A$103,Amounts!$B$4:$B$103)*0.1*$A$2</f>
        <v>0</v>
      </c>
      <c r="C482" s="68">
        <f t="shared" si="49"/>
        <v>2219148.7781994981</v>
      </c>
      <c r="D482" s="67">
        <f t="array" ref="D482">SUM($B$7:$B477*$F$1009*EXP(-$F$1009*($A482-$A$7:$A477)))*$F$1010</f>
        <v>148039934.42461383</v>
      </c>
      <c r="E482" s="67">
        <f t="shared" si="47"/>
        <v>282.22506600610217</v>
      </c>
      <c r="F482" s="70">
        <f t="shared" si="51"/>
        <v>17.136706007890528</v>
      </c>
      <c r="G482" s="67">
        <f>E482/'Lookup Tables'!$C$48</f>
        <v>564.45013201220434</v>
      </c>
      <c r="H482" s="70">
        <f t="shared" si="48"/>
        <v>6.6844321638119569E-2</v>
      </c>
      <c r="I482" s="71">
        <f t="shared" si="52"/>
        <v>0.81280819009757432</v>
      </c>
      <c r="L482" s="74"/>
      <c r="M482" s="74"/>
      <c r="N482" s="74"/>
      <c r="O482" s="74"/>
      <c r="P482" s="74"/>
      <c r="Q482" s="74"/>
      <c r="R482" s="74"/>
      <c r="S482" s="74"/>
      <c r="T482" s="74"/>
      <c r="U482" s="74"/>
      <c r="V482" s="74"/>
      <c r="W482" s="74"/>
      <c r="X482" s="74"/>
      <c r="Y482" s="74"/>
      <c r="Z482" s="74"/>
    </row>
    <row r="483" spans="1:26" x14ac:dyDescent="0.3">
      <c r="A483" s="66">
        <f t="shared" si="50"/>
        <v>2037.5999999999567</v>
      </c>
      <c r="B483" s="67">
        <f>LOOKUP(A483+0.01,Amounts!$A$4:$A$103,Amounts!$B$4:$B$103)*0.1*$A$2</f>
        <v>0</v>
      </c>
      <c r="C483" s="68">
        <f t="shared" si="49"/>
        <v>2219148.7781994981</v>
      </c>
      <c r="D483" s="67">
        <f t="array" ref="D483">SUM($B$7:$B478*$F$1009*EXP(-$F$1009*($A483-$A$7:$A478)))*$F$1010</f>
        <v>147626002.38351837</v>
      </c>
      <c r="E483" s="67">
        <f t="shared" si="47"/>
        <v>281.43594111169949</v>
      </c>
      <c r="F483" s="70">
        <f t="shared" si="51"/>
        <v>17.088790344302392</v>
      </c>
      <c r="G483" s="67">
        <f>E483/'Lookup Tables'!$C$48</f>
        <v>562.87188222339898</v>
      </c>
      <c r="H483" s="70">
        <f t="shared" si="48"/>
        <v>6.6657419322883826E-2</v>
      </c>
      <c r="I483" s="71">
        <f t="shared" si="52"/>
        <v>0.81053551040169458</v>
      </c>
      <c r="L483" s="74"/>
      <c r="M483" s="74"/>
      <c r="N483" s="74"/>
      <c r="O483" s="74"/>
      <c r="P483" s="74"/>
      <c r="Q483" s="74"/>
      <c r="R483" s="74"/>
      <c r="S483" s="74"/>
      <c r="T483" s="74"/>
      <c r="U483" s="74"/>
      <c r="V483" s="74"/>
      <c r="W483" s="74"/>
      <c r="X483" s="74"/>
      <c r="Y483" s="74"/>
      <c r="Z483" s="74"/>
    </row>
    <row r="484" spans="1:26" x14ac:dyDescent="0.3">
      <c r="A484" s="66">
        <f t="shared" si="50"/>
        <v>2037.6999999999566</v>
      </c>
      <c r="B484" s="67">
        <f>LOOKUP(A484+0.01,Amounts!$A$4:$A$103,Amounts!$B$4:$B$103)*0.1*$A$2</f>
        <v>0</v>
      </c>
      <c r="C484" s="68">
        <f t="shared" si="49"/>
        <v>2219148.7781994981</v>
      </c>
      <c r="D484" s="67">
        <f t="array" ref="D484">SUM($B$7:$B479*$F$1009*EXP(-$F$1009*($A484-$A$7:$A479)))*$F$1010</f>
        <v>147213227.7310378</v>
      </c>
      <c r="E484" s="67">
        <f t="shared" si="47"/>
        <v>280.64902267651672</v>
      </c>
      <c r="F484" s="70">
        <f t="shared" si="51"/>
        <v>17.041008656918098</v>
      </c>
      <c r="G484" s="67">
        <f>E484/'Lookup Tables'!$C$48</f>
        <v>561.29804535303344</v>
      </c>
      <c r="H484" s="70">
        <f t="shared" si="48"/>
        <v>6.6471039602157014E-2</v>
      </c>
      <c r="I484" s="71">
        <f t="shared" si="52"/>
        <v>0.80826918530836822</v>
      </c>
      <c r="L484" s="74"/>
      <c r="M484" s="74"/>
      <c r="N484" s="74"/>
      <c r="O484" s="74"/>
      <c r="P484" s="74"/>
      <c r="Q484" s="74"/>
      <c r="R484" s="74"/>
      <c r="S484" s="74"/>
      <c r="T484" s="74"/>
      <c r="U484" s="74"/>
      <c r="V484" s="74"/>
      <c r="W484" s="74"/>
      <c r="X484" s="74"/>
      <c r="Y484" s="74"/>
      <c r="Z484" s="74"/>
    </row>
    <row r="485" spans="1:26" x14ac:dyDescent="0.3">
      <c r="A485" s="66">
        <f t="shared" si="50"/>
        <v>2037.7999999999565</v>
      </c>
      <c r="B485" s="67">
        <f>LOOKUP(A485+0.01,Amounts!$A$4:$A$103,Amounts!$B$4:$B$103)*0.1*$A$2</f>
        <v>0</v>
      </c>
      <c r="C485" s="68">
        <f t="shared" si="49"/>
        <v>2219148.7781994981</v>
      </c>
      <c r="D485" s="67">
        <f t="array" ref="D485">SUM($B$7:$B480*$F$1009*EXP(-$F$1009*($A485-$A$7:$A480)))*$F$1010</f>
        <v>146801607.23101664</v>
      </c>
      <c r="E485" s="67">
        <f t="shared" si="47"/>
        <v>279.86430453110916</v>
      </c>
      <c r="F485" s="70">
        <f t="shared" si="51"/>
        <v>16.993360571128949</v>
      </c>
      <c r="G485" s="67">
        <f>E485/'Lookup Tables'!$C$48</f>
        <v>559.72860906221831</v>
      </c>
      <c r="H485" s="70">
        <f t="shared" si="48"/>
        <v>6.628518101472114E-2</v>
      </c>
      <c r="I485" s="71">
        <f t="shared" si="52"/>
        <v>0.80600919704959439</v>
      </c>
      <c r="L485" s="74"/>
      <c r="M485" s="74"/>
      <c r="N485" s="74"/>
      <c r="O485" s="74"/>
      <c r="P485" s="74"/>
      <c r="Q485" s="74"/>
      <c r="R485" s="74"/>
      <c r="S485" s="74"/>
      <c r="T485" s="74"/>
      <c r="U485" s="74"/>
      <c r="V485" s="74"/>
      <c r="W485" s="74"/>
      <c r="X485" s="74"/>
      <c r="Y485" s="74"/>
      <c r="Z485" s="74"/>
    </row>
    <row r="486" spans="1:26" x14ac:dyDescent="0.3">
      <c r="A486" s="66">
        <f t="shared" si="50"/>
        <v>2037.8999999999564</v>
      </c>
      <c r="B486" s="67">
        <f>LOOKUP(A486+0.01,Amounts!$A$4:$A$103,Amounts!$B$4:$B$103)*0.1*$A$2</f>
        <v>0</v>
      </c>
      <c r="C486" s="68">
        <f t="shared" si="49"/>
        <v>2219148.7781994981</v>
      </c>
      <c r="D486" s="67">
        <f t="array" ref="D486">SUM($B$7:$B481*$F$1009*EXP(-$F$1009*($A486-$A$7:$A481)))*$F$1010</f>
        <v>146391137.65634811</v>
      </c>
      <c r="E486" s="67">
        <f t="shared" si="47"/>
        <v>279.0817805232827</v>
      </c>
      <c r="F486" s="70">
        <f t="shared" si="51"/>
        <v>16.945845713373725</v>
      </c>
      <c r="G486" s="67">
        <f>E486/'Lookup Tables'!$C$48</f>
        <v>558.16356104656541</v>
      </c>
      <c r="H486" s="70">
        <f t="shared" si="48"/>
        <v>6.6099842103443954E-2</v>
      </c>
      <c r="I486" s="71">
        <f t="shared" si="52"/>
        <v>0.80375552790705418</v>
      </c>
      <c r="L486" s="74"/>
      <c r="M486" s="74"/>
      <c r="N486" s="74"/>
      <c r="O486" s="74"/>
      <c r="P486" s="74"/>
      <c r="Q486" s="74"/>
      <c r="R486" s="74"/>
      <c r="S486" s="74"/>
      <c r="T486" s="74"/>
      <c r="U486" s="74"/>
      <c r="V486" s="74"/>
      <c r="W486" s="74"/>
      <c r="X486" s="74"/>
      <c r="Y486" s="74"/>
      <c r="Z486" s="74"/>
    </row>
    <row r="487" spans="1:26" x14ac:dyDescent="0.3">
      <c r="A487" s="66">
        <f t="shared" si="50"/>
        <v>2037.9999999999563</v>
      </c>
      <c r="B487" s="67">
        <f>LOOKUP(A487+0.01,Amounts!$A$4:$A$103,Amounts!$B$4:$B$103)*0.1*$A$2</f>
        <v>0</v>
      </c>
      <c r="C487" s="68">
        <f t="shared" si="49"/>
        <v>2219148.7781994981</v>
      </c>
      <c r="D487" s="67">
        <f t="array" ref="D487">SUM($B$7:$B482*$F$1009*EXP(-$F$1009*($A487-$A$7:$A482)))*$F$1010</f>
        <v>145981815.78894866</v>
      </c>
      <c r="E487" s="67">
        <f t="shared" si="47"/>
        <v>278.301444518045</v>
      </c>
      <c r="F487" s="70">
        <f t="shared" si="51"/>
        <v>16.898463711135694</v>
      </c>
      <c r="G487" s="67">
        <f>E487/'Lookup Tables'!$C$48</f>
        <v>556.60288903609</v>
      </c>
      <c r="H487" s="70">
        <f t="shared" si="48"/>
        <v>6.5915021415267422E-2</v>
      </c>
      <c r="I487" s="71">
        <f t="shared" si="52"/>
        <v>0.80150816021196958</v>
      </c>
      <c r="L487" s="74"/>
      <c r="M487" s="74"/>
      <c r="N487" s="74"/>
      <c r="O487" s="74"/>
      <c r="P487" s="74"/>
      <c r="Q487" s="74"/>
      <c r="R487" s="74"/>
      <c r="S487" s="74"/>
      <c r="T487" s="74"/>
      <c r="U487" s="74"/>
      <c r="V487" s="74"/>
      <c r="W487" s="74"/>
      <c r="X487" s="74"/>
      <c r="Y487" s="74"/>
      <c r="Z487" s="74"/>
    </row>
    <row r="488" spans="1:26" x14ac:dyDescent="0.3">
      <c r="A488" s="66">
        <f t="shared" si="50"/>
        <v>2038.0999999999563</v>
      </c>
      <c r="B488" s="67">
        <f>LOOKUP(A488+0.01,Amounts!$A$4:$A$103,Amounts!$B$4:$B$103)*0.1*$A$2</f>
        <v>0</v>
      </c>
      <c r="C488" s="68">
        <f t="shared" si="49"/>
        <v>2219148.7781994981</v>
      </c>
      <c r="D488" s="67">
        <f t="array" ref="D488">SUM($B$7:$B483*$F$1009*EXP(-$F$1009*($A488-$A$7:$A483)))*$F$1010</f>
        <v>145573638.41973275</v>
      </c>
      <c r="E488" s="67">
        <f t="shared" si="47"/>
        <v>277.5232903975579</v>
      </c>
      <c r="F488" s="70">
        <f t="shared" si="51"/>
        <v>16.851214192939718</v>
      </c>
      <c r="G488" s="67">
        <f>E488/'Lookup Tables'!$C$48</f>
        <v>555.0465807951158</v>
      </c>
      <c r="H488" s="70">
        <f t="shared" si="48"/>
        <v>6.573071750119644E-2</v>
      </c>
      <c r="I488" s="71">
        <f t="shared" si="52"/>
        <v>0.79926707634496685</v>
      </c>
      <c r="L488" s="74"/>
      <c r="M488" s="74"/>
      <c r="N488" s="74"/>
      <c r="O488" s="74"/>
      <c r="P488" s="74"/>
      <c r="Q488" s="74"/>
      <c r="R488" s="74"/>
      <c r="S488" s="74"/>
      <c r="T488" s="74"/>
      <c r="U488" s="74"/>
      <c r="V488" s="74"/>
      <c r="W488" s="74"/>
      <c r="X488" s="74"/>
      <c r="Y488" s="74"/>
      <c r="Z488" s="74"/>
    </row>
    <row r="489" spans="1:26" x14ac:dyDescent="0.3">
      <c r="A489" s="66">
        <f t="shared" si="50"/>
        <v>2038.1999999999562</v>
      </c>
      <c r="B489" s="67">
        <f>LOOKUP(A489+0.01,Amounts!$A$4:$A$103,Amounts!$B$4:$B$103)*0.1*$A$2</f>
        <v>0</v>
      </c>
      <c r="C489" s="68">
        <f t="shared" si="49"/>
        <v>2219148.7781994981</v>
      </c>
      <c r="D489" s="67">
        <f t="array" ref="D489">SUM($B$7:$B484*$F$1009*EXP(-$F$1009*($A489-$A$7:$A484)))*$F$1010</f>
        <v>145166602.34858766</v>
      </c>
      <c r="E489" s="67">
        <f t="shared" si="47"/>
        <v>276.74731206108891</v>
      </c>
      <c r="F489" s="70">
        <f t="shared" si="51"/>
        <v>16.80409678834932</v>
      </c>
      <c r="G489" s="67">
        <f>E489/'Lookup Tables'!$C$48</f>
        <v>553.49462412217781</v>
      </c>
      <c r="H489" s="70">
        <f t="shared" si="48"/>
        <v>6.5546928916287314E-2</v>
      </c>
      <c r="I489" s="71">
        <f t="shared" si="52"/>
        <v>0.79703225873593608</v>
      </c>
      <c r="L489" s="74"/>
      <c r="M489" s="74"/>
      <c r="N489" s="74"/>
      <c r="O489" s="74"/>
      <c r="P489" s="74"/>
      <c r="Q489" s="74"/>
      <c r="R489" s="74"/>
      <c r="S489" s="74"/>
      <c r="T489" s="74"/>
      <c r="U489" s="74"/>
      <c r="V489" s="74"/>
      <c r="W489" s="74"/>
      <c r="X489" s="74"/>
      <c r="Y489" s="74"/>
      <c r="Z489" s="74"/>
    </row>
    <row r="490" spans="1:26" x14ac:dyDescent="0.3">
      <c r="A490" s="66">
        <f t="shared" si="50"/>
        <v>2038.2999999999561</v>
      </c>
      <c r="B490" s="67">
        <f>LOOKUP(A490+0.01,Amounts!$A$4:$A$103,Amounts!$B$4:$B$103)*0.1*$A$2</f>
        <v>0</v>
      </c>
      <c r="C490" s="68">
        <f t="shared" si="49"/>
        <v>2219148.7781994981</v>
      </c>
      <c r="D490" s="67">
        <f t="array" ref="D490">SUM($B$7:$B485*$F$1009*EXP(-$F$1009*($A490-$A$7:$A485)))*$F$1010</f>
        <v>144760704.38434851</v>
      </c>
      <c r="E490" s="67">
        <f t="shared" si="47"/>
        <v>275.97350342496395</v>
      </c>
      <c r="F490" s="70">
        <f t="shared" si="51"/>
        <v>16.75711112796381</v>
      </c>
      <c r="G490" s="67">
        <f>E490/'Lookup Tables'!$C$48</f>
        <v>551.9470068499279</v>
      </c>
      <c r="H490" s="70">
        <f t="shared" si="48"/>
        <v>6.5363654219636594E-2</v>
      </c>
      <c r="I490" s="71">
        <f t="shared" si="52"/>
        <v>0.79480368986389616</v>
      </c>
      <c r="L490" s="74"/>
      <c r="M490" s="74"/>
      <c r="N490" s="74"/>
      <c r="O490" s="74"/>
      <c r="P490" s="74"/>
      <c r="Q490" s="74"/>
      <c r="R490" s="74"/>
      <c r="S490" s="74"/>
      <c r="T490" s="74"/>
      <c r="U490" s="74"/>
      <c r="V490" s="74"/>
      <c r="W490" s="74"/>
      <c r="X490" s="74"/>
      <c r="Y490" s="74"/>
      <c r="Z490" s="74"/>
    </row>
    <row r="491" spans="1:26" x14ac:dyDescent="0.3">
      <c r="A491" s="66">
        <f t="shared" si="50"/>
        <v>2038.399999999956</v>
      </c>
      <c r="B491" s="67">
        <f>LOOKUP(A491+0.01,Amounts!$A$4:$A$103,Amounts!$B$4:$B$103)*0.1*$A$2</f>
        <v>0</v>
      </c>
      <c r="C491" s="68">
        <f t="shared" si="49"/>
        <v>2219148.7781994981</v>
      </c>
      <c r="D491" s="67">
        <f t="array" ref="D491">SUM($B$7:$B486*$F$1009*EXP(-$F$1009*($A491-$A$7:$A486)))*$F$1010</f>
        <v>144355941.34477323</v>
      </c>
      <c r="E491" s="67">
        <f t="shared" si="47"/>
        <v>275.20185842251948</v>
      </c>
      <c r="F491" s="70">
        <f t="shared" si="51"/>
        <v>16.710256843415383</v>
      </c>
      <c r="G491" s="67">
        <f>E491/'Lookup Tables'!$C$48</f>
        <v>550.40371684503896</v>
      </c>
      <c r="H491" s="70">
        <f t="shared" si="48"/>
        <v>6.5180891974369812E-2</v>
      </c>
      <c r="I491" s="71">
        <f t="shared" si="52"/>
        <v>0.792581352256856</v>
      </c>
      <c r="L491" s="74"/>
      <c r="M491" s="74"/>
      <c r="N491" s="74"/>
      <c r="O491" s="74"/>
      <c r="P491" s="74"/>
      <c r="Q491" s="74"/>
      <c r="R491" s="74"/>
      <c r="S491" s="74"/>
      <c r="T491" s="74"/>
      <c r="U491" s="74"/>
      <c r="V491" s="74"/>
      <c r="W491" s="74"/>
      <c r="X491" s="74"/>
      <c r="Y491" s="74"/>
      <c r="Z491" s="74"/>
    </row>
    <row r="492" spans="1:26" x14ac:dyDescent="0.3">
      <c r="A492" s="66">
        <f t="shared" si="50"/>
        <v>2038.4999999999559</v>
      </c>
      <c r="B492" s="67">
        <f>LOOKUP(A492+0.01,Amounts!$A$4:$A$103,Amounts!$B$4:$B$103)*0.1*$A$2</f>
        <v>0</v>
      </c>
      <c r="C492" s="68">
        <f t="shared" si="49"/>
        <v>2219148.7781994981</v>
      </c>
      <c r="D492" s="67">
        <f t="array" ref="D492">SUM($B$7:$B487*$F$1009*EXP(-$F$1009*($A492-$A$7:$A487)))*$F$1010</f>
        <v>143952310.05651754</v>
      </c>
      <c r="E492" s="67">
        <f t="shared" si="47"/>
        <v>274.43237100405469</v>
      </c>
      <c r="F492" s="70">
        <f t="shared" si="51"/>
        <v>16.663533567366201</v>
      </c>
      <c r="G492" s="67">
        <f>E492/'Lookup Tables'!$C$48</f>
        <v>548.86474200810937</v>
      </c>
      <c r="H492" s="70">
        <f t="shared" si="48"/>
        <v>6.4998640747629954E-2</v>
      </c>
      <c r="I492" s="71">
        <f t="shared" si="52"/>
        <v>0.79036522849167756</v>
      </c>
      <c r="L492" s="74"/>
      <c r="M492" s="74"/>
      <c r="N492" s="74"/>
      <c r="O492" s="74"/>
      <c r="P492" s="74"/>
      <c r="Q492" s="74"/>
      <c r="R492" s="74"/>
      <c r="S492" s="74"/>
      <c r="T492" s="74"/>
      <c r="U492" s="74"/>
      <c r="V492" s="74"/>
      <c r="W492" s="74"/>
      <c r="X492" s="74"/>
      <c r="Y492" s="74"/>
      <c r="Z492" s="74"/>
    </row>
    <row r="493" spans="1:26" x14ac:dyDescent="0.3">
      <c r="A493" s="66">
        <f t="shared" si="50"/>
        <v>2038.5999999999558</v>
      </c>
      <c r="B493" s="67">
        <f>LOOKUP(A493+0.01,Amounts!$A$4:$A$103,Amounts!$B$4:$B$103)*0.1*$A$2</f>
        <v>0</v>
      </c>
      <c r="C493" s="68">
        <f t="shared" si="49"/>
        <v>2219148.7781994981</v>
      </c>
      <c r="D493" s="67">
        <f t="array" ref="D493">SUM($B$7:$B488*$F$1009*EXP(-$F$1009*($A493-$A$7:$A488)))*$F$1010</f>
        <v>143549807.35511005</v>
      </c>
      <c r="E493" s="67">
        <f t="shared" si="47"/>
        <v>273.6650351367843</v>
      </c>
      <c r="F493" s="70">
        <f t="shared" si="51"/>
        <v>16.616940933505543</v>
      </c>
      <c r="G493" s="67">
        <f>E493/'Lookup Tables'!$C$48</f>
        <v>547.33007027356859</v>
      </c>
      <c r="H493" s="70">
        <f t="shared" si="48"/>
        <v>6.4816899110566525E-2</v>
      </c>
      <c r="I493" s="71">
        <f t="shared" si="52"/>
        <v>0.78815530119393884</v>
      </c>
      <c r="L493" s="74"/>
      <c r="M493" s="74"/>
      <c r="N493" s="74"/>
      <c r="O493" s="74"/>
      <c r="P493" s="74"/>
      <c r="Q493" s="74"/>
      <c r="R493" s="74"/>
      <c r="S493" s="74"/>
      <c r="T493" s="74"/>
      <c r="U493" s="74"/>
      <c r="V493" s="74"/>
      <c r="W493" s="74"/>
      <c r="X493" s="74"/>
      <c r="Y493" s="74"/>
      <c r="Z493" s="74"/>
    </row>
    <row r="494" spans="1:26" x14ac:dyDescent="0.3">
      <c r="A494" s="66">
        <f t="shared" si="50"/>
        <v>2038.6999999999557</v>
      </c>
      <c r="B494" s="67">
        <f>LOOKUP(A494+0.01,Amounts!$A$4:$A$103,Amounts!$B$4:$B$103)*0.1*$A$2</f>
        <v>0</v>
      </c>
      <c r="C494" s="68">
        <f t="shared" si="49"/>
        <v>2219148.7781994981</v>
      </c>
      <c r="D494" s="67">
        <f t="array" ref="D494">SUM($B$7:$B489*$F$1009*EXP(-$F$1009*($A494-$A$7:$A489)))*$F$1010</f>
        <v>143148430.08492747</v>
      </c>
      <c r="E494" s="67">
        <f t="shared" si="47"/>
        <v>272.89984480479109</v>
      </c>
      <c r="F494" s="70">
        <f t="shared" si="51"/>
        <v>16.570478576546915</v>
      </c>
      <c r="G494" s="67">
        <f>E494/'Lookup Tables'!$C$48</f>
        <v>545.79968960958217</v>
      </c>
      <c r="H494" s="70">
        <f t="shared" si="48"/>
        <v>6.4635665638324097E-2</v>
      </c>
      <c r="I494" s="71">
        <f t="shared" si="52"/>
        <v>0.7859515530377984</v>
      </c>
      <c r="L494" s="74"/>
      <c r="M494" s="74"/>
      <c r="N494" s="74"/>
      <c r="O494" s="74"/>
      <c r="P494" s="74"/>
      <c r="Q494" s="74"/>
      <c r="R494" s="74"/>
      <c r="S494" s="74"/>
      <c r="T494" s="74"/>
      <c r="U494" s="74"/>
      <c r="V494" s="74"/>
      <c r="W494" s="74"/>
      <c r="X494" s="74"/>
      <c r="Y494" s="74"/>
      <c r="Z494" s="74"/>
    </row>
    <row r="495" spans="1:26" x14ac:dyDescent="0.3">
      <c r="A495" s="66">
        <f t="shared" si="50"/>
        <v>2038.7999999999556</v>
      </c>
      <c r="B495" s="67">
        <f>LOOKUP(A495+0.01,Amounts!$A$4:$A$103,Amounts!$B$4:$B$103)*0.1*$A$2</f>
        <v>0</v>
      </c>
      <c r="C495" s="68">
        <f t="shared" si="49"/>
        <v>2219148.7781994981</v>
      </c>
      <c r="D495" s="67">
        <f t="array" ref="D495">SUM($B$7:$B490*$F$1009*EXP(-$F$1009*($A495-$A$7:$A490)))*$F$1010</f>
        <v>142748175.09917003</v>
      </c>
      <c r="E495" s="67">
        <f t="shared" si="47"/>
        <v>272.136794008979</v>
      </c>
      <c r="F495" s="70">
        <f t="shared" si="51"/>
        <v>16.524146132225205</v>
      </c>
      <c r="G495" s="67">
        <f>E495/'Lookup Tables'!$C$48</f>
        <v>544.27358801795799</v>
      </c>
      <c r="H495" s="70">
        <f t="shared" si="48"/>
        <v>6.4454938910031345E-2</v>
      </c>
      <c r="I495" s="71">
        <f t="shared" si="52"/>
        <v>0.78375396674585951</v>
      </c>
      <c r="L495" s="74"/>
      <c r="M495" s="74"/>
      <c r="N495" s="74"/>
      <c r="O495" s="74"/>
      <c r="P495" s="74"/>
      <c r="Q495" s="74"/>
      <c r="R495" s="74"/>
      <c r="S495" s="74"/>
      <c r="T495" s="74"/>
      <c r="U495" s="74"/>
      <c r="V495" s="74"/>
      <c r="W495" s="74"/>
      <c r="X495" s="74"/>
      <c r="Y495" s="74"/>
      <c r="Z495" s="74"/>
    </row>
    <row r="496" spans="1:26" x14ac:dyDescent="0.3">
      <c r="A496" s="66">
        <f t="shared" si="50"/>
        <v>2038.8999999999555</v>
      </c>
      <c r="B496" s="67">
        <f>LOOKUP(A496+0.01,Amounts!$A$4:$A$103,Amounts!$B$4:$B$103)*0.1*$A$2</f>
        <v>0</v>
      </c>
      <c r="C496" s="68">
        <f t="shared" si="49"/>
        <v>2219148.7781994981</v>
      </c>
      <c r="D496" s="67">
        <f t="array" ref="D496">SUM($B$7:$B491*$F$1009*EXP(-$F$1009*($A496-$A$7:$A491)))*$F$1010</f>
        <v>142349039.25983644</v>
      </c>
      <c r="E496" s="67">
        <f t="shared" si="47"/>
        <v>271.37587676702572</v>
      </c>
      <c r="F496" s="70">
        <f t="shared" si="51"/>
        <v>16.477943237293804</v>
      </c>
      <c r="G496" s="67">
        <f>E496/'Lookup Tables'!$C$48</f>
        <v>542.75175353405143</v>
      </c>
      <c r="H496" s="70">
        <f t="shared" si="48"/>
        <v>6.4274717508789783E-2</v>
      </c>
      <c r="I496" s="71">
        <f t="shared" si="52"/>
        <v>0.78156252508903412</v>
      </c>
      <c r="L496" s="74"/>
      <c r="M496" s="74"/>
      <c r="N496" s="74"/>
      <c r="O496" s="74"/>
      <c r="P496" s="74"/>
      <c r="Q496" s="74"/>
      <c r="R496" s="74"/>
      <c r="S496" s="74"/>
      <c r="T496" s="74"/>
      <c r="U496" s="74"/>
      <c r="V496" s="74"/>
      <c r="W496" s="74"/>
      <c r="X496" s="74"/>
      <c r="Y496" s="74"/>
      <c r="Z496" s="74"/>
    </row>
    <row r="497" spans="1:26" x14ac:dyDescent="0.3">
      <c r="A497" s="66">
        <f t="shared" si="50"/>
        <v>2038.9999999999554</v>
      </c>
      <c r="B497" s="67">
        <f>LOOKUP(A497+0.01,Amounts!$A$4:$A$103,Amounts!$B$4:$B$103)*0.1*$A$2</f>
        <v>0</v>
      </c>
      <c r="C497" s="68">
        <f t="shared" si="49"/>
        <v>2219148.7781994981</v>
      </c>
      <c r="D497" s="67">
        <f t="array" ref="D497">SUM($B$7:$B492*$F$1009*EXP(-$F$1009*($A497-$A$7:$A492)))*$F$1010</f>
        <v>141951019.43769982</v>
      </c>
      <c r="E497" s="67">
        <f t="shared" si="47"/>
        <v>270.61708711333637</v>
      </c>
      <c r="F497" s="70">
        <f t="shared" si="51"/>
        <v>16.431869529521784</v>
      </c>
      <c r="G497" s="67">
        <f>E497/'Lookup Tables'!$C$48</f>
        <v>541.23417422667274</v>
      </c>
      <c r="H497" s="70">
        <f t="shared" si="48"/>
        <v>6.4095000021662712E-2</v>
      </c>
      <c r="I497" s="71">
        <f t="shared" si="52"/>
        <v>0.77937721088640877</v>
      </c>
      <c r="L497" s="74"/>
      <c r="M497" s="74"/>
      <c r="N497" s="74"/>
      <c r="O497" s="74"/>
      <c r="P497" s="74"/>
      <c r="Q497" s="74"/>
      <c r="R497" s="74"/>
      <c r="S497" s="74"/>
      <c r="T497" s="74"/>
      <c r="U497" s="74"/>
      <c r="V497" s="74"/>
      <c r="W497" s="74"/>
      <c r="X497" s="74"/>
      <c r="Y497" s="74"/>
      <c r="Z497" s="74"/>
    </row>
    <row r="498" spans="1:26" x14ac:dyDescent="0.3">
      <c r="A498" s="66">
        <f t="shared" si="50"/>
        <v>2039.0999999999553</v>
      </c>
      <c r="B498" s="67">
        <f>LOOKUP(A498+0.01,Amounts!$A$4:$A$103,Amounts!$B$4:$B$103)*0.1*$A$2</f>
        <v>0</v>
      </c>
      <c r="C498" s="68">
        <f t="shared" si="49"/>
        <v>2219148.7781994981</v>
      </c>
      <c r="D498" s="67">
        <f t="array" ref="D498">SUM($B$7:$B493*$F$1009*EXP(-$F$1009*($A498-$A$7:$A493)))*$F$1010</f>
        <v>141554112.51228273</v>
      </c>
      <c r="E498" s="67">
        <f t="shared" si="47"/>
        <v>269.86041909899626</v>
      </c>
      <c r="F498" s="70">
        <f t="shared" si="51"/>
        <v>16.385924647691052</v>
      </c>
      <c r="G498" s="67">
        <f>E498/'Lookup Tables'!$C$48</f>
        <v>539.72083819799252</v>
      </c>
      <c r="H498" s="70">
        <f t="shared" si="48"/>
        <v>6.3915785039664136E-2</v>
      </c>
      <c r="I498" s="71">
        <f t="shared" si="52"/>
        <v>0.77719800700510921</v>
      </c>
      <c r="L498" s="74"/>
      <c r="M498" s="74"/>
      <c r="N498" s="74"/>
      <c r="O498" s="74"/>
      <c r="P498" s="74"/>
      <c r="Q498" s="74"/>
      <c r="R498" s="74"/>
      <c r="S498" s="74"/>
      <c r="T498" s="74"/>
      <c r="U498" s="74"/>
      <c r="V498" s="74"/>
      <c r="W498" s="74"/>
      <c r="X498" s="74"/>
      <c r="Y498" s="74"/>
      <c r="Z498" s="74"/>
    </row>
    <row r="499" spans="1:26" x14ac:dyDescent="0.3">
      <c r="A499" s="66">
        <f t="shared" si="50"/>
        <v>2039.1999999999553</v>
      </c>
      <c r="B499" s="67">
        <f>LOOKUP(A499+0.01,Amounts!$A$4:$A$103,Amounts!$B$4:$B$103)*0.1*$A$2</f>
        <v>0</v>
      </c>
      <c r="C499" s="68">
        <f t="shared" si="49"/>
        <v>2219148.7781994981</v>
      </c>
      <c r="D499" s="67">
        <f t="array" ref="D499">SUM($B$7:$B494*$F$1009*EXP(-$F$1009*($A499-$A$7:$A494)))*$F$1010</f>
        <v>141158315.37183279</v>
      </c>
      <c r="E499" s="67">
        <f t="shared" si="47"/>
        <v>269.10586679172411</v>
      </c>
      <c r="F499" s="70">
        <f t="shared" si="51"/>
        <v>16.340108231593486</v>
      </c>
      <c r="G499" s="67">
        <f>E499/'Lookup Tables'!$C$48</f>
        <v>538.21173358344822</v>
      </c>
      <c r="H499" s="70">
        <f t="shared" si="48"/>
        <v>6.3737071157747655E-2</v>
      </c>
      <c r="I499" s="71">
        <f t="shared" si="52"/>
        <v>0.77502489636016547</v>
      </c>
      <c r="L499" s="74"/>
      <c r="M499" s="74"/>
      <c r="N499" s="74"/>
      <c r="O499" s="74"/>
      <c r="P499" s="74"/>
      <c r="Q499" s="74"/>
      <c r="R499" s="74"/>
      <c r="S499" s="74"/>
      <c r="T499" s="74"/>
      <c r="U499" s="74"/>
      <c r="V499" s="74"/>
      <c r="W499" s="74"/>
      <c r="X499" s="74"/>
      <c r="Y499" s="74"/>
      <c r="Z499" s="74"/>
    </row>
    <row r="500" spans="1:26" x14ac:dyDescent="0.3">
      <c r="A500" s="66">
        <f t="shared" si="50"/>
        <v>2039.2999999999552</v>
      </c>
      <c r="B500" s="67">
        <f>LOOKUP(A500+0.01,Amounts!$A$4:$A$103,Amounts!$B$4:$B$103)*0.1*$A$2</f>
        <v>0</v>
      </c>
      <c r="C500" s="68">
        <f t="shared" si="49"/>
        <v>2219148.7781994981</v>
      </c>
      <c r="D500" s="67">
        <f t="array" ref="D500">SUM($B$7:$B495*$F$1009*EXP(-$F$1009*($A500-$A$7:$A495)))*$F$1010</f>
        <v>140763624.91329837</v>
      </c>
      <c r="E500" s="67">
        <f t="shared" si="47"/>
        <v>268.35342427582594</v>
      </c>
      <c r="F500" s="70">
        <f t="shared" si="51"/>
        <v>16.294419922028151</v>
      </c>
      <c r="G500" s="67">
        <f>E500/'Lookup Tables'!$C$48</f>
        <v>536.70684855165189</v>
      </c>
      <c r="H500" s="70">
        <f t="shared" si="48"/>
        <v>6.3558856974795505E-2</v>
      </c>
      <c r="I500" s="71">
        <f t="shared" si="52"/>
        <v>0.77285786191437866</v>
      </c>
      <c r="L500" s="74"/>
      <c r="M500" s="74"/>
      <c r="N500" s="74"/>
      <c r="O500" s="74"/>
      <c r="P500" s="74"/>
      <c r="Q500" s="74"/>
      <c r="R500" s="74"/>
      <c r="S500" s="74"/>
      <c r="T500" s="74"/>
      <c r="U500" s="74"/>
      <c r="V500" s="74"/>
      <c r="W500" s="74"/>
      <c r="X500" s="74"/>
      <c r="Y500" s="74"/>
      <c r="Z500" s="74"/>
    </row>
    <row r="501" spans="1:26" x14ac:dyDescent="0.3">
      <c r="A501" s="66">
        <f t="shared" si="50"/>
        <v>2039.3999999999551</v>
      </c>
      <c r="B501" s="67">
        <f>LOOKUP(A501+0.01,Amounts!$A$4:$A$103,Amounts!$B$4:$B$103)*0.1*$A$2</f>
        <v>0</v>
      </c>
      <c r="C501" s="68">
        <f t="shared" si="49"/>
        <v>2219148.7781994981</v>
      </c>
      <c r="D501" s="67">
        <f t="array" ref="D501">SUM($B$7:$B496*$F$1009*EXP(-$F$1009*($A501-$A$7:$A496)))*$F$1010</f>
        <v>140370038.04230428</v>
      </c>
      <c r="E501" s="67">
        <f t="shared" si="47"/>
        <v>267.60308565214859</v>
      </c>
      <c r="F501" s="70">
        <f t="shared" si="51"/>
        <v>16.248859360798463</v>
      </c>
      <c r="G501" s="67">
        <f>E501/'Lookup Tables'!$C$48</f>
        <v>535.20617130429719</v>
      </c>
      <c r="H501" s="70">
        <f t="shared" si="48"/>
        <v>6.3381141093607596E-2</v>
      </c>
      <c r="I501" s="71">
        <f t="shared" si="52"/>
        <v>0.77069688667818803</v>
      </c>
      <c r="L501" s="74"/>
      <c r="M501" s="74"/>
      <c r="N501" s="74"/>
      <c r="O501" s="74"/>
      <c r="P501" s="74"/>
      <c r="Q501" s="74"/>
      <c r="R501" s="74"/>
      <c r="S501" s="74"/>
      <c r="T501" s="74"/>
      <c r="U501" s="74"/>
      <c r="V501" s="74"/>
      <c r="W501" s="74"/>
      <c r="X501" s="74"/>
      <c r="Y501" s="74"/>
      <c r="Z501" s="74"/>
    </row>
    <row r="502" spans="1:26" x14ac:dyDescent="0.3">
      <c r="A502" s="66">
        <f t="shared" si="50"/>
        <v>2039.499999999955</v>
      </c>
      <c r="B502" s="67">
        <f>LOOKUP(A502+0.01,Amounts!$A$4:$A$103,Amounts!$B$4:$B$103)*0.1*$A$2</f>
        <v>0</v>
      </c>
      <c r="C502" s="68">
        <f t="shared" si="49"/>
        <v>2219148.7781994981</v>
      </c>
      <c r="D502" s="67">
        <f t="array" ref="D502">SUM($B$7:$B497*$F$1009*EXP(-$F$1009*($A502-$A$7:$A497)))*$F$1010</f>
        <v>139977551.67312741</v>
      </c>
      <c r="E502" s="67">
        <f t="shared" si="47"/>
        <v>266.85484503803349</v>
      </c>
      <c r="F502" s="70">
        <f t="shared" si="51"/>
        <v>16.203426190709393</v>
      </c>
      <c r="G502" s="67">
        <f>E502/'Lookup Tables'!$C$48</f>
        <v>533.70969007606698</v>
      </c>
      <c r="H502" s="70">
        <f t="shared" si="48"/>
        <v>6.3203922120890516E-2</v>
      </c>
      <c r="I502" s="71">
        <f t="shared" si="52"/>
        <v>0.76854195370953649</v>
      </c>
      <c r="L502" s="74"/>
      <c r="M502" s="74"/>
      <c r="N502" s="74"/>
      <c r="O502" s="74"/>
      <c r="P502" s="74"/>
      <c r="Q502" s="74"/>
      <c r="R502" s="74"/>
      <c r="S502" s="74"/>
      <c r="T502" s="74"/>
      <c r="U502" s="74"/>
      <c r="V502" s="74"/>
      <c r="W502" s="74"/>
      <c r="X502" s="74"/>
      <c r="Y502" s="74"/>
      <c r="Z502" s="74"/>
    </row>
    <row r="503" spans="1:26" x14ac:dyDescent="0.3">
      <c r="A503" s="66">
        <f t="shared" si="50"/>
        <v>2039.5999999999549</v>
      </c>
      <c r="B503" s="67">
        <f>LOOKUP(A503+0.01,Amounts!$A$4:$A$103,Amounts!$B$4:$B$103)*0.1*$A$2</f>
        <v>0</v>
      </c>
      <c r="C503" s="68">
        <f t="shared" si="49"/>
        <v>2219148.7781994981</v>
      </c>
      <c r="D503" s="67">
        <f t="array" ref="D503">SUM($B$7:$B498*$F$1009*EXP(-$F$1009*($A503-$A$7:$A498)))*$F$1010</f>
        <v>139586162.72867262</v>
      </c>
      <c r="E503" s="67">
        <f t="shared" si="47"/>
        <v>266.10869656727027</v>
      </c>
      <c r="F503" s="70">
        <f t="shared" si="51"/>
        <v>16.158120055564652</v>
      </c>
      <c r="G503" s="67">
        <f>E503/'Lookup Tables'!$C$48</f>
        <v>532.21739313454054</v>
      </c>
      <c r="H503" s="70">
        <f t="shared" si="48"/>
        <v>6.3027198667246556E-2</v>
      </c>
      <c r="I503" s="71">
        <f t="shared" si="52"/>
        <v>0.76639304611373837</v>
      </c>
      <c r="L503" s="74"/>
      <c r="M503" s="74"/>
      <c r="N503" s="74"/>
      <c r="O503" s="74"/>
      <c r="P503" s="74"/>
      <c r="Q503" s="74"/>
      <c r="R503" s="74"/>
      <c r="S503" s="74"/>
      <c r="T503" s="74"/>
      <c r="U503" s="74"/>
      <c r="V503" s="74"/>
      <c r="W503" s="74"/>
      <c r="X503" s="74"/>
      <c r="Y503" s="74"/>
      <c r="Z503" s="74"/>
    </row>
    <row r="504" spans="1:26" x14ac:dyDescent="0.3">
      <c r="A504" s="66">
        <f t="shared" si="50"/>
        <v>2039.6999999999548</v>
      </c>
      <c r="B504" s="67">
        <f>LOOKUP(A504+0.01,Amounts!$A$4:$A$103,Amounts!$B$4:$B$103)*0.1*$A$2</f>
        <v>0</v>
      </c>
      <c r="C504" s="68">
        <f t="shared" si="49"/>
        <v>2219148.7781994981</v>
      </c>
      <c r="D504" s="67">
        <f t="array" ref="D504">SUM($B$7:$B499*$F$1009*EXP(-$F$1009*($A504-$A$7:$A499)))*$F$1010</f>
        <v>139195868.1404486</v>
      </c>
      <c r="E504" s="67">
        <f t="shared" si="47"/>
        <v>265.36463439005121</v>
      </c>
      <c r="F504" s="70">
        <f t="shared" si="51"/>
        <v>16.11294060016391</v>
      </c>
      <c r="G504" s="67">
        <f>E504/'Lookup Tables'!$C$48</f>
        <v>530.72926878010242</v>
      </c>
      <c r="H504" s="70">
        <f t="shared" si="48"/>
        <v>6.2850969347163013E-2</v>
      </c>
      <c r="I504" s="71">
        <f t="shared" si="52"/>
        <v>0.76425014704334748</v>
      </c>
      <c r="L504" s="74"/>
      <c r="M504" s="74"/>
      <c r="N504" s="74"/>
      <c r="O504" s="74"/>
      <c r="P504" s="74"/>
      <c r="Q504" s="74"/>
      <c r="R504" s="74"/>
      <c r="S504" s="74"/>
      <c r="T504" s="74"/>
      <c r="U504" s="74"/>
      <c r="V504" s="74"/>
      <c r="W504" s="74"/>
      <c r="X504" s="74"/>
      <c r="Y504" s="74"/>
      <c r="Z504" s="74"/>
    </row>
    <row r="505" spans="1:26" x14ac:dyDescent="0.3">
      <c r="A505" s="66">
        <f t="shared" si="50"/>
        <v>2039.7999999999547</v>
      </c>
      <c r="B505" s="67">
        <f>LOOKUP(A505+0.01,Amounts!$A$4:$A$103,Amounts!$B$4:$B$103)*0.1*$A$2</f>
        <v>0</v>
      </c>
      <c r="C505" s="68">
        <f t="shared" si="49"/>
        <v>2219148.7781994981</v>
      </c>
      <c r="D505" s="67">
        <f t="array" ref="D505">SUM($B$7:$B500*$F$1009*EXP(-$F$1009*($A505-$A$7:$A500)))*$F$1010</f>
        <v>138806664.84854382</v>
      </c>
      <c r="E505" s="67">
        <f t="shared" si="47"/>
        <v>264.62265267292503</v>
      </c>
      <c r="F505" s="70">
        <f t="shared" si="51"/>
        <v>16.067887470300008</v>
      </c>
      <c r="G505" s="67">
        <f>E505/'Lookup Tables'!$C$48</f>
        <v>529.24530534585006</v>
      </c>
      <c r="H505" s="70">
        <f t="shared" si="48"/>
        <v>6.2675232779001083E-2</v>
      </c>
      <c r="I505" s="71">
        <f t="shared" si="52"/>
        <v>0.76211323969802403</v>
      </c>
      <c r="L505" s="74"/>
      <c r="M505" s="74"/>
      <c r="N505" s="74"/>
      <c r="O505" s="74"/>
      <c r="P505" s="74"/>
      <c r="Q505" s="74"/>
      <c r="R505" s="74"/>
      <c r="S505" s="74"/>
      <c r="T505" s="74"/>
      <c r="U505" s="74"/>
      <c r="V505" s="74"/>
      <c r="W505" s="74"/>
      <c r="X505" s="74"/>
      <c r="Y505" s="74"/>
      <c r="Z505" s="74"/>
    </row>
    <row r="506" spans="1:26" x14ac:dyDescent="0.3">
      <c r="A506" s="66">
        <f t="shared" si="50"/>
        <v>2039.8999999999546</v>
      </c>
      <c r="B506" s="67">
        <f>LOOKUP(A506+0.01,Amounts!$A$4:$A$103,Amounts!$B$4:$B$103)*0.1*$A$2</f>
        <v>0</v>
      </c>
      <c r="C506" s="68">
        <f t="shared" si="49"/>
        <v>2219148.7781994981</v>
      </c>
      <c r="D506" s="67">
        <f t="array" ref="D506">SUM($B$7:$B501*$F$1009*EXP(-$F$1009*($A506-$A$7:$A501)))*$F$1010</f>
        <v>138418549.80160248</v>
      </c>
      <c r="E506" s="67">
        <f t="shared" si="47"/>
        <v>263.88274559875134</v>
      </c>
      <c r="F506" s="70">
        <f t="shared" si="51"/>
        <v>16.022960312756183</v>
      </c>
      <c r="G506" s="67">
        <f>E506/'Lookup Tables'!$C$48</f>
        <v>527.76549119750268</v>
      </c>
      <c r="H506" s="70">
        <f t="shared" si="48"/>
        <v>6.2499987584985206E-2</v>
      </c>
      <c r="I506" s="71">
        <f t="shared" si="52"/>
        <v>0.75998230732440386</v>
      </c>
      <c r="L506" s="74"/>
      <c r="M506" s="74"/>
      <c r="N506" s="74"/>
      <c r="O506" s="74"/>
      <c r="P506" s="74"/>
      <c r="Q506" s="74"/>
      <c r="R506" s="74"/>
      <c r="S506" s="74"/>
      <c r="T506" s="74"/>
      <c r="U506" s="74"/>
      <c r="V506" s="74"/>
      <c r="W506" s="74"/>
      <c r="X506" s="74"/>
      <c r="Y506" s="74"/>
      <c r="Z506" s="74"/>
    </row>
    <row r="507" spans="1:26" x14ac:dyDescent="0.3">
      <c r="A507" s="66">
        <f t="shared" si="50"/>
        <v>2039.9999999999545</v>
      </c>
      <c r="B507" s="67">
        <f>LOOKUP(A507+0.01,Amounts!$A$4:$A$103,Amounts!$B$4:$B$103)*0.1*$A$2</f>
        <v>0</v>
      </c>
      <c r="C507" s="68">
        <f t="shared" si="49"/>
        <v>2219148.7781994981</v>
      </c>
      <c r="D507" s="67">
        <f t="array" ref="D507">SUM($B$7:$B502*$F$1009*EXP(-$F$1009*($A507-$A$7:$A502)))*$F$1010</f>
        <v>138031519.95680052</v>
      </c>
      <c r="E507" s="67">
        <f t="shared" si="47"/>
        <v>263.14490736665465</v>
      </c>
      <c r="F507" s="70">
        <f t="shared" si="51"/>
        <v>15.978158775303271</v>
      </c>
      <c r="G507" s="67">
        <f>E507/'Lookup Tables'!$C$48</f>
        <v>526.2898147333093</v>
      </c>
      <c r="H507" s="70">
        <f t="shared" si="48"/>
        <v>6.232523239119208E-2</v>
      </c>
      <c r="I507" s="71">
        <f t="shared" si="52"/>
        <v>0.75785733321596538</v>
      </c>
      <c r="L507" s="74"/>
      <c r="M507" s="74"/>
      <c r="N507" s="74"/>
      <c r="O507" s="74"/>
      <c r="P507" s="74"/>
      <c r="Q507" s="74"/>
      <c r="R507" s="74"/>
      <c r="S507" s="74"/>
      <c r="T507" s="74"/>
      <c r="U507" s="74"/>
      <c r="V507" s="74"/>
      <c r="W507" s="74"/>
      <c r="X507" s="74"/>
      <c r="Y507" s="74"/>
      <c r="Z507" s="74"/>
    </row>
    <row r="508" spans="1:26" x14ac:dyDescent="0.3">
      <c r="A508" s="66">
        <f t="shared" si="50"/>
        <v>2040.0999999999544</v>
      </c>
      <c r="B508" s="67">
        <f>LOOKUP(A508+0.01,Amounts!$A$4:$A$103,Amounts!$B$4:$B$103)*0.1*$A$2</f>
        <v>0</v>
      </c>
      <c r="C508" s="68">
        <f t="shared" si="49"/>
        <v>2219148.7781994981</v>
      </c>
      <c r="D508" s="67">
        <f t="array" ref="D508">SUM($B$7:$B503*$F$1009*EXP(-$F$1009*($A508-$A$7:$A503)))*$F$1010</f>
        <v>137645572.27982205</v>
      </c>
      <c r="E508" s="67">
        <f t="shared" si="47"/>
        <v>262.40913219197967</v>
      </c>
      <c r="F508" s="70">
        <f t="shared" si="51"/>
        <v>15.933482506697006</v>
      </c>
      <c r="G508" s="67">
        <f>E508/'Lookup Tables'!$C$48</f>
        <v>524.81826438395933</v>
      </c>
      <c r="H508" s="70">
        <f t="shared" si="48"/>
        <v>6.2150965827540164E-2</v>
      </c>
      <c r="I508" s="71">
        <f t="shared" si="52"/>
        <v>0.75573830071290138</v>
      </c>
      <c r="L508" s="74"/>
      <c r="M508" s="74"/>
      <c r="N508" s="74"/>
      <c r="O508" s="74"/>
      <c r="P508" s="74"/>
      <c r="Q508" s="74"/>
      <c r="R508" s="74"/>
      <c r="S508" s="74"/>
      <c r="T508" s="74"/>
      <c r="U508" s="74"/>
      <c r="V508" s="74"/>
      <c r="W508" s="74"/>
      <c r="X508" s="74"/>
      <c r="Y508" s="74"/>
      <c r="Z508" s="74"/>
    </row>
    <row r="509" spans="1:26" x14ac:dyDescent="0.3">
      <c r="A509" s="66">
        <f t="shared" si="50"/>
        <v>2040.1999999999543</v>
      </c>
      <c r="B509" s="67">
        <f>LOOKUP(A509+0.01,Amounts!$A$4:$A$103,Amounts!$B$4:$B$103)*0.1*$A$2</f>
        <v>0</v>
      </c>
      <c r="C509" s="68">
        <f t="shared" si="49"/>
        <v>2219148.7781994981</v>
      </c>
      <c r="D509" s="67">
        <f t="array" ref="D509">SUM($B$7:$B504*$F$1009*EXP(-$F$1009*($A509-$A$7:$A504)))*$F$1010</f>
        <v>137260703.74483526</v>
      </c>
      <c r="E509" s="67">
        <f t="shared" si="47"/>
        <v>261.67541430624505</v>
      </c>
      <c r="F509" s="70">
        <f t="shared" si="51"/>
        <v>15.888931156675199</v>
      </c>
      <c r="G509" s="67">
        <f>E509/'Lookup Tables'!$C$48</f>
        <v>523.35082861249009</v>
      </c>
      <c r="H509" s="70">
        <f t="shared" si="48"/>
        <v>6.1977186527778658E-2</v>
      </c>
      <c r="I509" s="71">
        <f t="shared" si="52"/>
        <v>0.75362519320198584</v>
      </c>
      <c r="L509" s="74"/>
      <c r="M509" s="74"/>
      <c r="N509" s="74"/>
      <c r="O509" s="74"/>
      <c r="P509" s="74"/>
      <c r="Q509" s="74"/>
      <c r="R509" s="74"/>
      <c r="S509" s="74"/>
      <c r="T509" s="74"/>
      <c r="U509" s="74"/>
      <c r="V509" s="74"/>
      <c r="W509" s="74"/>
      <c r="X509" s="74"/>
      <c r="Y509" s="74"/>
      <c r="Z509" s="74"/>
    </row>
    <row r="510" spans="1:26" x14ac:dyDescent="0.3">
      <c r="A510" s="66">
        <f t="shared" si="50"/>
        <v>2040.2999999999543</v>
      </c>
      <c r="B510" s="67">
        <f>LOOKUP(A510+0.01,Amounts!$A$4:$A$103,Amounts!$B$4:$B$103)*0.1*$A$2</f>
        <v>0</v>
      </c>
      <c r="C510" s="68">
        <f t="shared" si="49"/>
        <v>2219148.7781994981</v>
      </c>
      <c r="D510" s="67">
        <f t="array" ref="D510">SUM($B$7:$B505*$F$1009*EXP(-$F$1009*($A510-$A$7:$A505)))*$F$1010</f>
        <v>136876911.3344689</v>
      </c>
      <c r="E510" s="67">
        <f t="shared" si="47"/>
        <v>260.94374795709894</v>
      </c>
      <c r="F510" s="70">
        <f t="shared" si="51"/>
        <v>15.844504375955047</v>
      </c>
      <c r="G510" s="67">
        <f>E510/'Lookup Tables'!$C$48</f>
        <v>521.88749591419787</v>
      </c>
      <c r="H510" s="70">
        <f t="shared" si="48"/>
        <v>6.1803893129476983E-2</v>
      </c>
      <c r="I510" s="71">
        <f t="shared" si="52"/>
        <v>0.75151799411644493</v>
      </c>
      <c r="L510" s="74"/>
      <c r="M510" s="74"/>
      <c r="N510" s="74"/>
      <c r="O510" s="74"/>
      <c r="P510" s="74"/>
      <c r="Q510" s="74"/>
      <c r="R510" s="74"/>
      <c r="S510" s="74"/>
      <c r="T510" s="74"/>
      <c r="U510" s="74"/>
      <c r="V510" s="74"/>
      <c r="W510" s="74"/>
      <c r="X510" s="74"/>
      <c r="Y510" s="74"/>
      <c r="Z510" s="74"/>
    </row>
    <row r="511" spans="1:26" x14ac:dyDescent="0.3">
      <c r="A511" s="66">
        <f t="shared" si="50"/>
        <v>2040.3999999999542</v>
      </c>
      <c r="B511" s="67">
        <f>LOOKUP(A511+0.01,Amounts!$A$4:$A$103,Amounts!$B$4:$B$103)*0.1*$A$2</f>
        <v>0</v>
      </c>
      <c r="C511" s="68">
        <f t="shared" si="49"/>
        <v>2219148.7781994981</v>
      </c>
      <c r="D511" s="67">
        <f t="array" ref="D511">SUM($B$7:$B506*$F$1009*EXP(-$F$1009*($A511-$A$7:$A506)))*$F$1010</f>
        <v>136494192.03978857</v>
      </c>
      <c r="E511" s="67">
        <f t="shared" si="47"/>
        <v>260.2141274082735</v>
      </c>
      <c r="F511" s="70">
        <f t="shared" si="51"/>
        <v>15.800201816230368</v>
      </c>
      <c r="G511" s="67">
        <f>E511/'Lookup Tables'!$C$48</f>
        <v>520.428254816547</v>
      </c>
      <c r="H511" s="70">
        <f t="shared" si="48"/>
        <v>6.1631084274014036E-2</v>
      </c>
      <c r="I511" s="71">
        <f t="shared" si="52"/>
        <v>0.74941668693582775</v>
      </c>
      <c r="L511" s="74"/>
      <c r="M511" s="74"/>
      <c r="N511" s="74"/>
      <c r="O511" s="74"/>
      <c r="P511" s="74"/>
      <c r="Q511" s="74"/>
      <c r="R511" s="74"/>
      <c r="S511" s="74"/>
      <c r="T511" s="74"/>
      <c r="U511" s="74"/>
      <c r="V511" s="74"/>
      <c r="W511" s="74"/>
      <c r="X511" s="74"/>
      <c r="Y511" s="74"/>
      <c r="Z511" s="74"/>
    </row>
    <row r="512" spans="1:26" x14ac:dyDescent="0.3">
      <c r="A512" s="66">
        <f t="shared" si="50"/>
        <v>2040.4999999999541</v>
      </c>
      <c r="B512" s="67">
        <f>LOOKUP(A512+0.01,Amounts!$A$4:$A$103,Amounts!$B$4:$B$103)*0.1*$A$2</f>
        <v>0</v>
      </c>
      <c r="C512" s="68">
        <f t="shared" si="49"/>
        <v>2219148.7781994981</v>
      </c>
      <c r="D512" s="67">
        <f t="array" ref="D512">SUM($B$7:$B507*$F$1009*EXP(-$F$1009*($A512-$A$7:$A507)))*$F$1010</f>
        <v>136112542.86027291</v>
      </c>
      <c r="E512" s="67">
        <f t="shared" si="47"/>
        <v>259.48654693953966</v>
      </c>
      <c r="F512" s="70">
        <f t="shared" si="51"/>
        <v>15.756023130168849</v>
      </c>
      <c r="G512" s="67">
        <f>E512/'Lookup Tables'!$C$48</f>
        <v>518.97309387907933</v>
      </c>
      <c r="H512" s="70">
        <f t="shared" si="48"/>
        <v>6.1458758606567458E-2</v>
      </c>
      <c r="I512" s="71">
        <f t="shared" si="52"/>
        <v>0.74732125518587433</v>
      </c>
      <c r="L512" s="74"/>
      <c r="M512" s="74"/>
      <c r="N512" s="74"/>
      <c r="O512" s="74"/>
      <c r="P512" s="74"/>
      <c r="Q512" s="74"/>
      <c r="R512" s="74"/>
      <c r="S512" s="74"/>
      <c r="T512" s="74"/>
      <c r="U512" s="74"/>
      <c r="V512" s="74"/>
      <c r="W512" s="74"/>
      <c r="X512" s="74"/>
      <c r="Y512" s="74"/>
      <c r="Z512" s="74"/>
    </row>
    <row r="513" spans="1:26" x14ac:dyDescent="0.3">
      <c r="A513" s="66">
        <f t="shared" si="50"/>
        <v>2040.599999999954</v>
      </c>
      <c r="B513" s="67">
        <f>LOOKUP(A513+0.01,Amounts!$A$4:$A$103,Amounts!$B$4:$B$103)*0.1*$A$2</f>
        <v>0</v>
      </c>
      <c r="C513" s="68">
        <f t="shared" si="49"/>
        <v>2219148.7781994981</v>
      </c>
      <c r="D513" s="67">
        <f t="array" ref="D513">SUM($B$7:$B508*$F$1009*EXP(-$F$1009*($A513-$A$7:$A508)))*$F$1010</f>
        <v>135731960.80379054</v>
      </c>
      <c r="E513" s="67">
        <f t="shared" si="47"/>
        <v>258.76100084666319</v>
      </c>
      <c r="F513" s="70">
        <f t="shared" si="51"/>
        <v>15.71196797140939</v>
      </c>
      <c r="G513" s="67">
        <f>E513/'Lookup Tables'!$C$48</f>
        <v>517.52200169332639</v>
      </c>
      <c r="H513" s="70">
        <f t="shared" si="48"/>
        <v>6.12869147761032E-2</v>
      </c>
      <c r="I513" s="71">
        <f t="shared" si="52"/>
        <v>0.74523168243839</v>
      </c>
      <c r="L513" s="74"/>
      <c r="M513" s="74"/>
      <c r="N513" s="74"/>
      <c r="O513" s="74"/>
      <c r="P513" s="74"/>
      <c r="Q513" s="74"/>
      <c r="R513" s="74"/>
      <c r="S513" s="74"/>
      <c r="T513" s="74"/>
      <c r="U513" s="74"/>
      <c r="V513" s="74"/>
      <c r="W513" s="74"/>
      <c r="X513" s="74"/>
      <c r="Y513" s="74"/>
      <c r="Z513" s="74"/>
    </row>
    <row r="514" spans="1:26" x14ac:dyDescent="0.3">
      <c r="A514" s="66">
        <f t="shared" si="50"/>
        <v>2040.6999999999539</v>
      </c>
      <c r="B514" s="67">
        <f>LOOKUP(A514+0.01,Amounts!$A$4:$A$103,Amounts!$B$4:$B$103)*0.1*$A$2</f>
        <v>0</v>
      </c>
      <c r="C514" s="68">
        <f t="shared" si="49"/>
        <v>2219148.7781994981</v>
      </c>
      <c r="D514" s="67">
        <f t="array" ref="D514">SUM($B$7:$B509*$F$1009*EXP(-$F$1009*($A514-$A$7:$A509)))*$F$1010</f>
        <v>135352442.88657606</v>
      </c>
      <c r="E514" s="67">
        <f t="shared" si="47"/>
        <v>258.03748344135857</v>
      </c>
      <c r="F514" s="70">
        <f t="shared" si="51"/>
        <v>15.668035994559292</v>
      </c>
      <c r="G514" s="67">
        <f>E514/'Lookup Tables'!$C$48</f>
        <v>516.07496688271715</v>
      </c>
      <c r="H514" s="70">
        <f t="shared" si="48"/>
        <v>6.1115551435364651E-2</v>
      </c>
      <c r="I514" s="71">
        <f t="shared" si="52"/>
        <v>0.74314795231111264</v>
      </c>
      <c r="L514" s="74"/>
      <c r="M514" s="74"/>
      <c r="N514" s="74"/>
      <c r="O514" s="74"/>
      <c r="P514" s="74"/>
      <c r="Q514" s="74"/>
      <c r="R514" s="74"/>
      <c r="S514" s="74"/>
      <c r="T514" s="74"/>
      <c r="U514" s="74"/>
      <c r="V514" s="74"/>
      <c r="W514" s="74"/>
      <c r="X514" s="74"/>
      <c r="Y514" s="74"/>
      <c r="Z514" s="74"/>
    </row>
    <row r="515" spans="1:26" x14ac:dyDescent="0.3">
      <c r="A515" s="66">
        <f t="shared" si="50"/>
        <v>2040.7999999999538</v>
      </c>
      <c r="B515" s="67">
        <f>LOOKUP(A515+0.01,Amounts!$A$4:$A$103,Amounts!$B$4:$B$103)*0.1*$A$2</f>
        <v>0</v>
      </c>
      <c r="C515" s="68">
        <f t="shared" si="49"/>
        <v>2219148.7781994981</v>
      </c>
      <c r="D515" s="67">
        <f t="array" ref="D515">SUM($B$7:$B510*$F$1009*EXP(-$F$1009*($A515-$A$7:$A510)))*$F$1010</f>
        <v>134973986.13320705</v>
      </c>
      <c r="E515" s="67">
        <f t="shared" si="47"/>
        <v>257.31598905124582</v>
      </c>
      <c r="F515" s="70">
        <f t="shared" si="51"/>
        <v>15.624226855191646</v>
      </c>
      <c r="G515" s="67">
        <f>E515/'Lookup Tables'!$C$48</f>
        <v>514.63197810249164</v>
      </c>
      <c r="H515" s="70">
        <f t="shared" si="48"/>
        <v>6.0944667240862421E-2</v>
      </c>
      <c r="I515" s="71">
        <f t="shared" si="52"/>
        <v>0.74107004846758806</v>
      </c>
      <c r="L515" s="74"/>
      <c r="M515" s="74"/>
      <c r="N515" s="74"/>
      <c r="O515" s="74"/>
      <c r="P515" s="74"/>
      <c r="Q515" s="74"/>
      <c r="R515" s="74"/>
      <c r="S515" s="74"/>
      <c r="T515" s="74"/>
      <c r="U515" s="74"/>
      <c r="V515" s="74"/>
      <c r="W515" s="74"/>
      <c r="X515" s="74"/>
      <c r="Y515" s="74"/>
      <c r="Z515" s="74"/>
    </row>
    <row r="516" spans="1:26" x14ac:dyDescent="0.3">
      <c r="A516" s="66">
        <f t="shared" si="50"/>
        <v>2040.8999999999537</v>
      </c>
      <c r="B516" s="67">
        <f>LOOKUP(A516+0.01,Amounts!$A$4:$A$103,Amounts!$B$4:$B$103)*0.1*$A$2</f>
        <v>0</v>
      </c>
      <c r="C516" s="68">
        <f t="shared" si="49"/>
        <v>2219148.7781994981</v>
      </c>
      <c r="D516" s="67">
        <f t="array" ref="D516">SUM($B$7:$B511*$F$1009*EXP(-$F$1009*($A516-$A$7:$A511)))*$F$1010</f>
        <v>134596587.5765807</v>
      </c>
      <c r="E516" s="67">
        <f t="shared" si="47"/>
        <v>256.59651201980529</v>
      </c>
      <c r="F516" s="70">
        <f t="shared" si="51"/>
        <v>15.580540209842578</v>
      </c>
      <c r="G516" s="67">
        <f>E516/'Lookup Tables'!$C$48</f>
        <v>513.19302403961058</v>
      </c>
      <c r="H516" s="70">
        <f t="shared" si="48"/>
        <v>6.0774260852863519E-2</v>
      </c>
      <c r="I516" s="71">
        <f t="shared" si="52"/>
        <v>0.73899795461703932</v>
      </c>
      <c r="L516" s="74"/>
      <c r="M516" s="74"/>
      <c r="N516" s="74"/>
      <c r="O516" s="74"/>
      <c r="P516" s="74"/>
      <c r="Q516" s="74"/>
      <c r="R516" s="74"/>
      <c r="S516" s="74"/>
      <c r="T516" s="74"/>
      <c r="U516" s="74"/>
      <c r="V516" s="74"/>
      <c r="W516" s="74"/>
      <c r="X516" s="74"/>
      <c r="Y516" s="74"/>
      <c r="Z516" s="74"/>
    </row>
    <row r="517" spans="1:26" x14ac:dyDescent="0.3">
      <c r="A517" s="66">
        <f t="shared" si="50"/>
        <v>2040.9999999999536</v>
      </c>
      <c r="B517" s="67">
        <f>LOOKUP(A517+0.01,Amounts!$A$4:$A$103,Amounts!$B$4:$B$103)*0.1*$A$2</f>
        <v>0</v>
      </c>
      <c r="C517" s="68">
        <f t="shared" si="49"/>
        <v>2219148.7781994981</v>
      </c>
      <c r="D517" s="67">
        <f t="array" ref="D517">SUM($B$7:$B512*$F$1009*EXP(-$F$1009*($A517-$A$7:$A512)))*$F$1010</f>
        <v>134220244.2578904</v>
      </c>
      <c r="E517" s="67">
        <f t="shared" si="47"/>
        <v>255.87904670633327</v>
      </c>
      <c r="F517" s="70">
        <f t="shared" si="51"/>
        <v>15.536975716008557</v>
      </c>
      <c r="G517" s="67">
        <f>E517/'Lookup Tables'!$C$48</f>
        <v>511.75809341266654</v>
      </c>
      <c r="H517" s="70">
        <f t="shared" si="48"/>
        <v>6.0604330935380993E-2</v>
      </c>
      <c r="I517" s="71">
        <f t="shared" si="52"/>
        <v>0.73693165451423992</v>
      </c>
      <c r="L517" s="74"/>
      <c r="M517" s="74"/>
      <c r="N517" s="74"/>
      <c r="O517" s="74"/>
      <c r="P517" s="74"/>
      <c r="Q517" s="74"/>
      <c r="R517" s="74"/>
      <c r="S517" s="74"/>
      <c r="T517" s="74"/>
      <c r="U517" s="74"/>
      <c r="V517" s="74"/>
      <c r="W517" s="74"/>
      <c r="X517" s="74"/>
      <c r="Y517" s="74"/>
      <c r="Z517" s="74"/>
    </row>
    <row r="518" spans="1:26" x14ac:dyDescent="0.3">
      <c r="A518" s="66">
        <f t="shared" si="50"/>
        <v>2041.0999999999535</v>
      </c>
      <c r="B518" s="67">
        <f>LOOKUP(A518+0.01,Amounts!$A$4:$A$103,Amounts!$B$4:$B$103)*0.1*$A$2</f>
        <v>0</v>
      </c>
      <c r="C518" s="68">
        <f t="shared" si="49"/>
        <v>2219148.7781994981</v>
      </c>
      <c r="D518" s="67">
        <f t="array" ref="D518">SUM($B$7:$B513*$F$1009*EXP(-$F$1009*($A518-$A$7:$A513)))*$F$1010</f>
        <v>133844953.22660254</v>
      </c>
      <c r="E518" s="67">
        <f t="shared" si="47"/>
        <v>255.16358748589806</v>
      </c>
      <c r="F518" s="70">
        <f t="shared" si="51"/>
        <v>15.493533032143731</v>
      </c>
      <c r="G518" s="67">
        <f>E518/'Lookup Tables'!$C$48</f>
        <v>510.32717497179613</v>
      </c>
      <c r="H518" s="70">
        <f t="shared" si="48"/>
        <v>6.0434876156163407E-2</v>
      </c>
      <c r="I518" s="71">
        <f t="shared" si="52"/>
        <v>0.73487113195938636</v>
      </c>
      <c r="L518" s="74"/>
      <c r="M518" s="74"/>
      <c r="N518" s="74"/>
      <c r="O518" s="74"/>
      <c r="P518" s="74"/>
      <c r="Q518" s="74"/>
      <c r="R518" s="74"/>
      <c r="S518" s="74"/>
      <c r="T518" s="74"/>
      <c r="U518" s="74"/>
      <c r="V518" s="74"/>
      <c r="W518" s="74"/>
      <c r="X518" s="74"/>
      <c r="Y518" s="74"/>
      <c r="Z518" s="74"/>
    </row>
    <row r="519" spans="1:26" x14ac:dyDescent="0.3">
      <c r="A519" s="66">
        <f t="shared" si="50"/>
        <v>2041.1999999999534</v>
      </c>
      <c r="B519" s="67">
        <f>LOOKUP(A519+0.01,Amounts!$A$4:$A$103,Amounts!$B$4:$B$103)*0.1*$A$2</f>
        <v>0</v>
      </c>
      <c r="C519" s="68">
        <f t="shared" si="49"/>
        <v>2219148.7781994981</v>
      </c>
      <c r="D519" s="67">
        <f t="array" ref="D519">SUM($B$7:$B514*$F$1009*EXP(-$F$1009*($A519-$A$7:$A514)))*$F$1010</f>
        <v>133470711.54043356</v>
      </c>
      <c r="E519" s="67">
        <f t="shared" ref="E519:E582" si="53">D519/(365*24*60)*1.00201</f>
        <v>254.45012874929574</v>
      </c>
      <c r="F519" s="70">
        <f t="shared" si="51"/>
        <v>15.450211817657237</v>
      </c>
      <c r="G519" s="67">
        <f>E519/'Lookup Tables'!$C$48</f>
        <v>508.90025749859149</v>
      </c>
      <c r="H519" s="70">
        <f t="shared" ref="H519:H582" si="54">G519*60*24*365/(C519*2000)</f>
        <v>6.0265895186684466E-2</v>
      </c>
      <c r="I519" s="71">
        <f t="shared" si="52"/>
        <v>0.73281637079797168</v>
      </c>
      <c r="L519" s="74"/>
      <c r="M519" s="74"/>
      <c r="N519" s="74"/>
      <c r="O519" s="74"/>
      <c r="P519" s="74"/>
      <c r="Q519" s="74"/>
      <c r="R519" s="74"/>
      <c r="S519" s="74"/>
      <c r="T519" s="74"/>
      <c r="U519" s="74"/>
      <c r="V519" s="74"/>
      <c r="W519" s="74"/>
      <c r="X519" s="74"/>
      <c r="Y519" s="74"/>
      <c r="Z519" s="74"/>
    </row>
    <row r="520" spans="1:26" x14ac:dyDescent="0.3">
      <c r="A520" s="66">
        <f t="shared" si="50"/>
        <v>2041.2999999999533</v>
      </c>
      <c r="B520" s="67">
        <f>LOOKUP(A520+0.01,Amounts!$A$4:$A$103,Amounts!$B$4:$B$103)*0.1*$A$2</f>
        <v>0</v>
      </c>
      <c r="C520" s="68">
        <f t="shared" si="49"/>
        <v>2219148.7781994981</v>
      </c>
      <c r="D520" s="67">
        <f t="array" ref="D520">SUM($B$7:$B515*$F$1009*EXP(-$F$1009*($A520-$A$7:$A515)))*$F$1010</f>
        <v>133097516.26532668</v>
      </c>
      <c r="E520" s="67">
        <f t="shared" si="53"/>
        <v>253.73866490300608</v>
      </c>
      <c r="F520" s="70">
        <f t="shared" si="51"/>
        <v>15.407011732910531</v>
      </c>
      <c r="G520" s="67">
        <f>E520/'Lookup Tables'!$C$48</f>
        <v>507.47732980601216</v>
      </c>
      <c r="H520" s="70">
        <f t="shared" si="54"/>
        <v>6.0097386702132459E-2</v>
      </c>
      <c r="I520" s="71">
        <f t="shared" si="52"/>
        <v>0.73076735492065759</v>
      </c>
      <c r="L520" s="74"/>
      <c r="M520" s="74"/>
      <c r="N520" s="74"/>
      <c r="O520" s="74"/>
      <c r="P520" s="74"/>
      <c r="Q520" s="74"/>
      <c r="R520" s="74"/>
      <c r="S520" s="74"/>
      <c r="T520" s="74"/>
      <c r="U520" s="74"/>
      <c r="V520" s="74"/>
      <c r="W520" s="74"/>
      <c r="X520" s="74"/>
      <c r="Y520" s="74"/>
      <c r="Z520" s="74"/>
    </row>
    <row r="521" spans="1:26" x14ac:dyDescent="0.3">
      <c r="A521" s="66">
        <f t="shared" si="50"/>
        <v>2041.3999999999533</v>
      </c>
      <c r="B521" s="67">
        <f>LOOKUP(A521+0.01,Amounts!$A$4:$A$103,Amounts!$B$4:$B$103)*0.1*$A$2</f>
        <v>0</v>
      </c>
      <c r="C521" s="68">
        <f t="shared" ref="C521:C584" si="55">C520+B521</f>
        <v>2219148.7781994981</v>
      </c>
      <c r="D521" s="67">
        <f t="array" ref="D521">SUM($B$7:$B516*$F$1009*EXP(-$F$1009*($A521-$A$7:$A516)))*$F$1010</f>
        <v>132725364.47542912</v>
      </c>
      <c r="E521" s="67">
        <f t="shared" si="53"/>
        <v>253.02919036914906</v>
      </c>
      <c r="F521" s="70">
        <f t="shared" si="51"/>
        <v>15.363932439214731</v>
      </c>
      <c r="G521" s="67">
        <f>E521/'Lookup Tables'!$C$48</f>
        <v>506.05838073829813</v>
      </c>
      <c r="H521" s="70">
        <f t="shared" si="54"/>
        <v>5.9929349381400043E-2</v>
      </c>
      <c r="I521" s="71">
        <f t="shared" si="52"/>
        <v>0.72872406826314939</v>
      </c>
      <c r="L521" s="74"/>
      <c r="M521" s="74"/>
      <c r="N521" s="74"/>
      <c r="O521" s="74"/>
      <c r="P521" s="74"/>
      <c r="Q521" s="74"/>
      <c r="R521" s="74"/>
      <c r="S521" s="74"/>
      <c r="T521" s="74"/>
      <c r="U521" s="74"/>
      <c r="V521" s="74"/>
      <c r="W521" s="74"/>
      <c r="X521" s="74"/>
      <c r="Y521" s="74"/>
      <c r="Z521" s="74"/>
    </row>
    <row r="522" spans="1:26" x14ac:dyDescent="0.3">
      <c r="A522" s="66">
        <f t="shared" si="50"/>
        <v>2041.4999999999532</v>
      </c>
      <c r="B522" s="67">
        <f>LOOKUP(A522+0.01,Amounts!$A$4:$A$103,Amounts!$B$4:$B$103)*0.1*$A$2</f>
        <v>0</v>
      </c>
      <c r="C522" s="68">
        <f t="shared" si="55"/>
        <v>2219148.7781994981</v>
      </c>
      <c r="D522" s="67">
        <f t="array" ref="D522">SUM($B$7:$B517*$F$1009*EXP(-$F$1009*($A522-$A$7:$A517)))*$F$1010</f>
        <v>132354253.25306886</v>
      </c>
      <c r="E522" s="67">
        <f t="shared" si="53"/>
        <v>252.32169958544054</v>
      </c>
      <c r="F522" s="70">
        <f t="shared" si="51"/>
        <v>15.320973598827951</v>
      </c>
      <c r="G522" s="67">
        <f>E522/'Lookup Tables'!$C$48</f>
        <v>504.64339917088108</v>
      </c>
      <c r="H522" s="70">
        <f t="shared" si="54"/>
        <v>5.9761781907073729E-2</v>
      </c>
      <c r="I522" s="71">
        <f t="shared" si="52"/>
        <v>0.72668649480606873</v>
      </c>
      <c r="L522" s="74"/>
      <c r="M522" s="74"/>
      <c r="N522" s="74"/>
      <c r="O522" s="74"/>
      <c r="P522" s="74"/>
      <c r="Q522" s="74"/>
      <c r="R522" s="74"/>
      <c r="S522" s="74"/>
      <c r="T522" s="74"/>
      <c r="U522" s="74"/>
      <c r="V522" s="74"/>
      <c r="W522" s="74"/>
      <c r="X522" s="74"/>
      <c r="Y522" s="74"/>
      <c r="Z522" s="74"/>
    </row>
    <row r="523" spans="1:26" x14ac:dyDescent="0.3">
      <c r="A523" s="66">
        <f t="shared" si="50"/>
        <v>2041.5999999999531</v>
      </c>
      <c r="B523" s="67">
        <f>LOOKUP(A523+0.01,Amounts!$A$4:$A$103,Amounts!$B$4:$B$103)*0.1*$A$2</f>
        <v>0</v>
      </c>
      <c r="C523" s="68">
        <f t="shared" si="55"/>
        <v>2219148.7781994981</v>
      </c>
      <c r="D523" s="67">
        <f t="array" ref="D523">SUM($B$7:$B518*$F$1009*EXP(-$F$1009*($A523-$A$7:$A518)))*$F$1010</f>
        <v>131984179.68873198</v>
      </c>
      <c r="E523" s="67">
        <f t="shared" si="53"/>
        <v>251.61618700514907</v>
      </c>
      <c r="F523" s="70">
        <f t="shared" si="51"/>
        <v>15.278134874952652</v>
      </c>
      <c r="G523" s="67">
        <f>E523/'Lookup Tables'!$C$48</f>
        <v>503.23237401029814</v>
      </c>
      <c r="H523" s="70">
        <f t="shared" si="54"/>
        <v>5.9594682965423654E-2</v>
      </c>
      <c r="I523" s="71">
        <f t="shared" si="52"/>
        <v>0.72465461857482927</v>
      </c>
      <c r="L523" s="74"/>
      <c r="M523" s="74"/>
      <c r="N523" s="74"/>
      <c r="O523" s="74"/>
      <c r="P523" s="74"/>
      <c r="Q523" s="74"/>
      <c r="R523" s="74"/>
      <c r="S523" s="74"/>
      <c r="T523" s="74"/>
      <c r="U523" s="74"/>
      <c r="V523" s="74"/>
      <c r="W523" s="74"/>
      <c r="X523" s="74"/>
      <c r="Y523" s="74"/>
      <c r="Z523" s="74"/>
    </row>
    <row r="524" spans="1:26" x14ac:dyDescent="0.3">
      <c r="A524" s="66">
        <f t="shared" si="50"/>
        <v>2041.699999999953</v>
      </c>
      <c r="B524" s="67">
        <f>LOOKUP(A524+0.01,Amounts!$A$4:$A$103,Amounts!$B$4:$B$103)*0.1*$A$2</f>
        <v>0</v>
      </c>
      <c r="C524" s="68">
        <f t="shared" si="55"/>
        <v>2219148.7781994981</v>
      </c>
      <c r="D524" s="67">
        <f t="array" ref="D524">SUM($B$7:$B519*$F$1009*EXP(-$F$1009*($A524-$A$7:$A519)))*$F$1010</f>
        <v>131615140.88103995</v>
      </c>
      <c r="E524" s="67">
        <f t="shared" si="53"/>
        <v>250.9126470970526</v>
      </c>
      <c r="F524" s="70">
        <f t="shared" si="51"/>
        <v>15.235415931733034</v>
      </c>
      <c r="G524" s="67">
        <f>E524/'Lookup Tables'!$C$48</f>
        <v>501.8252941941052</v>
      </c>
      <c r="H524" s="70">
        <f t="shared" si="54"/>
        <v>5.9428051246393297E-2</v>
      </c>
      <c r="I524" s="71">
        <f t="shared" si="52"/>
        <v>0.72262842363951141</v>
      </c>
      <c r="L524" s="74"/>
      <c r="M524" s="74"/>
      <c r="N524" s="74"/>
      <c r="O524" s="74"/>
      <c r="P524" s="74"/>
      <c r="Q524" s="74"/>
      <c r="R524" s="74"/>
      <c r="S524" s="74"/>
      <c r="T524" s="74"/>
      <c r="U524" s="74"/>
      <c r="V524" s="74"/>
      <c r="W524" s="74"/>
      <c r="X524" s="74"/>
      <c r="Y524" s="74"/>
      <c r="Z524" s="74"/>
    </row>
    <row r="525" spans="1:26" x14ac:dyDescent="0.3">
      <c r="A525" s="66">
        <f t="shared" si="50"/>
        <v>2041.7999999999529</v>
      </c>
      <c r="B525" s="67">
        <f>LOOKUP(A525+0.01,Amounts!$A$4:$A$103,Amounts!$B$4:$B$103)*0.1*$A$2</f>
        <v>0</v>
      </c>
      <c r="C525" s="68">
        <f t="shared" si="55"/>
        <v>2219148.7781994981</v>
      </c>
      <c r="D525" s="67">
        <f t="array" ref="D525">SUM($B$7:$B520*$F$1009*EXP(-$F$1009*($A525-$A$7:$A520)))*$F$1010</f>
        <v>131247133.9367266</v>
      </c>
      <c r="E525" s="67">
        <f t="shared" si="53"/>
        <v>250.21107434539465</v>
      </c>
      <c r="F525" s="70">
        <f t="shared" si="51"/>
        <v>15.192816434252363</v>
      </c>
      <c r="G525" s="67">
        <f>E525/'Lookup Tables'!$C$48</f>
        <v>500.4221486907893</v>
      </c>
      <c r="H525" s="70">
        <f t="shared" si="54"/>
        <v>5.9261885443589124E-2</v>
      </c>
      <c r="I525" s="71">
        <f t="shared" si="52"/>
        <v>0.72060789411473658</v>
      </c>
      <c r="L525" s="74"/>
      <c r="M525" s="74"/>
      <c r="N525" s="74"/>
      <c r="O525" s="74"/>
      <c r="P525" s="74"/>
      <c r="Q525" s="74"/>
      <c r="R525" s="74"/>
      <c r="S525" s="74"/>
      <c r="T525" s="74"/>
      <c r="U525" s="74"/>
      <c r="V525" s="74"/>
      <c r="W525" s="74"/>
      <c r="X525" s="74"/>
      <c r="Y525" s="74"/>
      <c r="Z525" s="74"/>
    </row>
    <row r="526" spans="1:26" x14ac:dyDescent="0.3">
      <c r="A526" s="66">
        <f t="shared" si="50"/>
        <v>2041.8999999999528</v>
      </c>
      <c r="B526" s="67">
        <f>LOOKUP(A526+0.01,Amounts!$A$4:$A$103,Amounts!$B$4:$B$103)*0.1*$A$2</f>
        <v>0</v>
      </c>
      <c r="C526" s="68">
        <f t="shared" si="55"/>
        <v>2219148.7781994981</v>
      </c>
      <c r="D526" s="67">
        <f t="array" ref="D526">SUM($B$7:$B521*$F$1009*EXP(-$F$1009*($A526-$A$7:$A521)))*$F$1010</f>
        <v>130880155.97061557</v>
      </c>
      <c r="E526" s="67">
        <f t="shared" si="53"/>
        <v>249.51146324984114</v>
      </c>
      <c r="F526" s="70">
        <f t="shared" si="51"/>
        <v>15.150336048530352</v>
      </c>
      <c r="G526" s="67">
        <f>E526/'Lookup Tables'!$C$48</f>
        <v>499.02292649968228</v>
      </c>
      <c r="H526" s="70">
        <f t="shared" si="54"/>
        <v>5.9096184254270365E-2</v>
      </c>
      <c r="I526" s="71">
        <f t="shared" si="52"/>
        <v>0.71859301415954246</v>
      </c>
      <c r="L526" s="74"/>
      <c r="M526" s="74"/>
      <c r="N526" s="74"/>
      <c r="O526" s="74"/>
      <c r="P526" s="74"/>
      <c r="Q526" s="74"/>
      <c r="R526" s="74"/>
      <c r="S526" s="74"/>
      <c r="T526" s="74"/>
      <c r="U526" s="74"/>
      <c r="V526" s="74"/>
      <c r="W526" s="74"/>
      <c r="X526" s="74"/>
      <c r="Y526" s="74"/>
      <c r="Z526" s="74"/>
    </row>
    <row r="527" spans="1:26" x14ac:dyDescent="0.3">
      <c r="A527" s="66">
        <f t="shared" si="50"/>
        <v>2041.9999999999527</v>
      </c>
      <c r="B527" s="67">
        <f>LOOKUP(A527+0.01,Amounts!$A$4:$A$103,Amounts!$B$4:$B$103)*0.1*$A$2</f>
        <v>0</v>
      </c>
      <c r="C527" s="68">
        <f t="shared" si="55"/>
        <v>2219148.7781994981</v>
      </c>
      <c r="D527" s="67">
        <f t="array" ref="D527">SUM($B$7:$B522*$F$1009*EXP(-$F$1009*($A527-$A$7:$A522)))*$F$1010</f>
        <v>130514204.10559773</v>
      </c>
      <c r="E527" s="67">
        <f t="shared" si="53"/>
        <v>248.81380832543761</v>
      </c>
      <c r="F527" s="70">
        <f t="shared" si="51"/>
        <v>15.107974441520572</v>
      </c>
      <c r="G527" s="67">
        <f>E527/'Lookup Tables'!$C$48</f>
        <v>497.62761665087521</v>
      </c>
      <c r="H527" s="70">
        <f t="shared" si="54"/>
        <v>5.8930946379338878E-2</v>
      </c>
      <c r="I527" s="71">
        <f t="shared" si="52"/>
        <v>0.71658376797726031</v>
      </c>
      <c r="L527" s="74"/>
      <c r="M527" s="74"/>
      <c r="N527" s="74"/>
      <c r="O527" s="74"/>
      <c r="P527" s="74"/>
      <c r="Q527" s="74"/>
      <c r="R527" s="74"/>
      <c r="S527" s="74"/>
      <c r="T527" s="74"/>
      <c r="U527" s="74"/>
      <c r="V527" s="74"/>
      <c r="W527" s="74"/>
      <c r="X527" s="74"/>
      <c r="Y527" s="74"/>
      <c r="Z527" s="74"/>
    </row>
    <row r="528" spans="1:26" x14ac:dyDescent="0.3">
      <c r="A528" s="66">
        <f t="shared" si="50"/>
        <v>2042.0999999999526</v>
      </c>
      <c r="B528" s="67">
        <f>LOOKUP(A528+0.01,Amounts!$A$4:$A$103,Amounts!$B$4:$B$103)*0.1*$A$2</f>
        <v>0</v>
      </c>
      <c r="C528" s="68">
        <f t="shared" si="55"/>
        <v>2219148.7781994981</v>
      </c>
      <c r="D528" s="67">
        <f t="array" ref="D528">SUM($B$7:$B523*$F$1009*EXP(-$F$1009*($A528-$A$7:$A523)))*$F$1010</f>
        <v>130149275.47260858</v>
      </c>
      <c r="E528" s="67">
        <f t="shared" si="53"/>
        <v>248.1181041025657</v>
      </c>
      <c r="F528" s="70">
        <f t="shared" si="51"/>
        <v>15.065731281107789</v>
      </c>
      <c r="G528" s="67">
        <f>E528/'Lookup Tables'!$C$48</f>
        <v>496.23620820513139</v>
      </c>
      <c r="H528" s="70">
        <f t="shared" si="54"/>
        <v>5.8766170523328824E-2</v>
      </c>
      <c r="I528" s="71">
        <f t="shared" si="52"/>
        <v>0.71458013981538915</v>
      </c>
      <c r="L528" s="74"/>
      <c r="M528" s="74"/>
      <c r="N528" s="74"/>
      <c r="O528" s="74"/>
      <c r="P528" s="74"/>
      <c r="Q528" s="74"/>
      <c r="R528" s="74"/>
      <c r="S528" s="74"/>
      <c r="T528" s="74"/>
      <c r="U528" s="74"/>
      <c r="V528" s="74"/>
      <c r="W528" s="74"/>
      <c r="X528" s="74"/>
      <c r="Y528" s="74"/>
      <c r="Z528" s="74"/>
    </row>
    <row r="529" spans="1:26" x14ac:dyDescent="0.3">
      <c r="A529" s="66">
        <f t="shared" si="50"/>
        <v>2042.1999999999525</v>
      </c>
      <c r="B529" s="67">
        <f>LOOKUP(A529+0.01,Amounts!$A$4:$A$103,Amounts!$B$4:$B$103)*0.1*$A$2</f>
        <v>0</v>
      </c>
      <c r="C529" s="68">
        <f t="shared" si="55"/>
        <v>2219148.7781994981</v>
      </c>
      <c r="D529" s="67">
        <f t="array" ref="D529">SUM($B$7:$B524*$F$1009*EXP(-$F$1009*($A529-$A$7:$A524)))*$F$1010</f>
        <v>129785367.21060579</v>
      </c>
      <c r="E529" s="67">
        <f t="shared" si="53"/>
        <v>247.4243451269009</v>
      </c>
      <c r="F529" s="70">
        <f t="shared" si="51"/>
        <v>15.023606236105424</v>
      </c>
      <c r="G529" s="67">
        <f>E529/'Lookup Tables'!$C$48</f>
        <v>494.84869025380181</v>
      </c>
      <c r="H529" s="70">
        <f t="shared" si="54"/>
        <v>5.8601855394396711E-2</v>
      </c>
      <c r="I529" s="71">
        <f t="shared" si="52"/>
        <v>0.71258211396547466</v>
      </c>
      <c r="L529" s="74"/>
      <c r="M529" s="74"/>
      <c r="N529" s="74"/>
      <c r="O529" s="74"/>
      <c r="P529" s="74"/>
      <c r="Q529" s="74"/>
      <c r="R529" s="74"/>
      <c r="S529" s="74"/>
      <c r="T529" s="74"/>
      <c r="U529" s="74"/>
      <c r="V529" s="74"/>
      <c r="W529" s="74"/>
      <c r="X529" s="74"/>
      <c r="Y529" s="74"/>
      <c r="Z529" s="74"/>
    </row>
    <row r="530" spans="1:26" x14ac:dyDescent="0.3">
      <c r="A530" s="66">
        <f t="shared" si="50"/>
        <v>2042.2999999999524</v>
      </c>
      <c r="B530" s="67">
        <f>LOOKUP(A530+0.01,Amounts!$A$4:$A$103,Amounts!$B$4:$B$103)*0.1*$A$2</f>
        <v>0</v>
      </c>
      <c r="C530" s="68">
        <f t="shared" si="55"/>
        <v>2219148.7781994981</v>
      </c>
      <c r="D530" s="67">
        <f t="array" ref="D530">SUM($B$7:$B525*$F$1009*EXP(-$F$1009*($A530-$A$7:$A525)))*$F$1010</f>
        <v>129422476.4665467</v>
      </c>
      <c r="E530" s="67">
        <f t="shared" si="53"/>
        <v>246.73252595936921</v>
      </c>
      <c r="F530" s="70">
        <f t="shared" si="51"/>
        <v>14.981598976252899</v>
      </c>
      <c r="G530" s="67">
        <f>E530/'Lookup Tables'!$C$48</f>
        <v>493.46505191873842</v>
      </c>
      <c r="H530" s="70">
        <f t="shared" si="54"/>
        <v>5.8437999704311031E-2</v>
      </c>
      <c r="I530" s="71">
        <f t="shared" si="52"/>
        <v>0.71058967476298329</v>
      </c>
      <c r="L530" s="74"/>
      <c r="M530" s="74"/>
      <c r="N530" s="74"/>
      <c r="O530" s="74"/>
      <c r="P530" s="74"/>
      <c r="Q530" s="74"/>
      <c r="R530" s="74"/>
      <c r="S530" s="74"/>
      <c r="T530" s="74"/>
      <c r="U530" s="74"/>
      <c r="V530" s="74"/>
      <c r="W530" s="74"/>
      <c r="X530" s="74"/>
      <c r="Y530" s="74"/>
      <c r="Z530" s="74"/>
    </row>
    <row r="531" spans="1:26" x14ac:dyDescent="0.3">
      <c r="A531" s="66">
        <f t="shared" ref="A531:A594" si="56">A530+0.1</f>
        <v>2042.3999999999523</v>
      </c>
      <c r="B531" s="67">
        <f>LOOKUP(A531+0.01,Amounts!$A$4:$A$103,Amounts!$B$4:$B$103)*0.1*$A$2</f>
        <v>0</v>
      </c>
      <c r="C531" s="68">
        <f t="shared" si="55"/>
        <v>2219148.7781994981</v>
      </c>
      <c r="D531" s="67">
        <f t="array" ref="D531">SUM($B$7:$B526*$F$1009*EXP(-$F$1009*($A531-$A$7:$A526)))*$F$1010</f>
        <v>129060600.39536598</v>
      </c>
      <c r="E531" s="67">
        <f t="shared" si="53"/>
        <v>246.04264117610481</v>
      </c>
      <c r="F531" s="70">
        <f t="shared" ref="F531:F594" si="57">E531*60*1012/1000000</f>
        <v>14.939709172213083</v>
      </c>
      <c r="G531" s="67">
        <f>E531/'Lookup Tables'!$C$48</f>
        <v>492.08528235220962</v>
      </c>
      <c r="H531" s="70">
        <f t="shared" si="54"/>
        <v>5.8274602168442352E-2</v>
      </c>
      <c r="I531" s="71">
        <f t="shared" ref="I531:I594" si="58">G531*60*24/1000000</f>
        <v>0.70860280658718178</v>
      </c>
      <c r="L531" s="74"/>
      <c r="M531" s="74"/>
      <c r="N531" s="74"/>
      <c r="O531" s="74"/>
      <c r="P531" s="74"/>
      <c r="Q531" s="74"/>
      <c r="R531" s="74"/>
      <c r="S531" s="74"/>
      <c r="T531" s="74"/>
      <c r="U531" s="74"/>
      <c r="V531" s="74"/>
      <c r="W531" s="74"/>
      <c r="X531" s="74"/>
      <c r="Y531" s="74"/>
      <c r="Z531" s="74"/>
    </row>
    <row r="532" spans="1:26" x14ac:dyDescent="0.3">
      <c r="A532" s="66">
        <f t="shared" si="56"/>
        <v>2042.4999999999523</v>
      </c>
      <c r="B532" s="67">
        <f>LOOKUP(A532+0.01,Amounts!$A$4:$A$103,Amounts!$B$4:$B$103)*0.1*$A$2</f>
        <v>0</v>
      </c>
      <c r="C532" s="68">
        <f t="shared" si="55"/>
        <v>2219148.7781994981</v>
      </c>
      <c r="D532" s="67">
        <f t="array" ref="D532">SUM($B$7:$B527*$F$1009*EXP(-$F$1009*($A532-$A$7:$A527)))*$F$1010</f>
        <v>128699736.15995349</v>
      </c>
      <c r="E532" s="67">
        <f t="shared" si="53"/>
        <v>245.35468536840756</v>
      </c>
      <c r="F532" s="70">
        <f t="shared" si="57"/>
        <v>14.897936495569708</v>
      </c>
      <c r="G532" s="67">
        <f>E532/'Lookup Tables'!$C$48</f>
        <v>490.70937073681512</v>
      </c>
      <c r="H532" s="70">
        <f t="shared" si="54"/>
        <v>5.8111661505753198E-2</v>
      </c>
      <c r="I532" s="71">
        <f t="shared" si="58"/>
        <v>0.70662149386101381</v>
      </c>
      <c r="L532" s="74"/>
      <c r="M532" s="74"/>
      <c r="N532" s="74"/>
      <c r="O532" s="74"/>
      <c r="P532" s="74"/>
      <c r="Q532" s="74"/>
      <c r="R532" s="74"/>
      <c r="S532" s="74"/>
      <c r="T532" s="74"/>
      <c r="U532" s="74"/>
      <c r="V532" s="74"/>
      <c r="W532" s="74"/>
      <c r="X532" s="74"/>
      <c r="Y532" s="74"/>
      <c r="Z532" s="74"/>
    </row>
    <row r="533" spans="1:26" x14ac:dyDescent="0.3">
      <c r="A533" s="66">
        <f t="shared" si="56"/>
        <v>2042.5999999999522</v>
      </c>
      <c r="B533" s="67">
        <f>LOOKUP(A533+0.01,Amounts!$A$4:$A$103,Amounts!$B$4:$B$103)*0.1*$A$2</f>
        <v>0</v>
      </c>
      <c r="C533" s="68">
        <f t="shared" si="55"/>
        <v>2219148.7781994981</v>
      </c>
      <c r="D533" s="67">
        <f t="array" ref="D533">SUM($B$7:$B528*$F$1009*EXP(-$F$1009*($A533-$A$7:$A528)))*$F$1010</f>
        <v>128339880.93113172</v>
      </c>
      <c r="E533" s="67">
        <f t="shared" si="53"/>
        <v>244.66865314270035</v>
      </c>
      <c r="F533" s="70">
        <f t="shared" si="57"/>
        <v>14.856280618824766</v>
      </c>
      <c r="G533" s="67">
        <f>E533/'Lookup Tables'!$C$48</f>
        <v>489.3373062854007</v>
      </c>
      <c r="H533" s="70">
        <f t="shared" si="54"/>
        <v>5.7949176438787893E-2</v>
      </c>
      <c r="I533" s="71">
        <f t="shared" si="58"/>
        <v>0.704645721050977</v>
      </c>
      <c r="L533" s="74"/>
      <c r="M533" s="74"/>
      <c r="N533" s="74"/>
      <c r="O533" s="74"/>
      <c r="P533" s="74"/>
      <c r="Q533" s="74"/>
      <c r="R533" s="74"/>
      <c r="S533" s="74"/>
      <c r="T533" s="74"/>
      <c r="U533" s="74"/>
      <c r="V533" s="74"/>
      <c r="W533" s="74"/>
      <c r="X533" s="74"/>
      <c r="Y533" s="74"/>
      <c r="Z533" s="74"/>
    </row>
    <row r="534" spans="1:26" x14ac:dyDescent="0.3">
      <c r="A534" s="66">
        <f t="shared" si="56"/>
        <v>2042.6999999999521</v>
      </c>
      <c r="B534" s="67">
        <f>LOOKUP(A534+0.01,Amounts!$A$4:$A$103,Amounts!$B$4:$B$103)*0.1*$A$2</f>
        <v>0</v>
      </c>
      <c r="C534" s="68">
        <f t="shared" si="55"/>
        <v>2219148.7781994981</v>
      </c>
      <c r="D534" s="67">
        <f t="array" ref="D534">SUM($B$7:$B529*$F$1009*EXP(-$F$1009*($A534-$A$7:$A529)))*$F$1010</f>
        <v>127981031.8876338</v>
      </c>
      <c r="E534" s="67">
        <f t="shared" si="53"/>
        <v>243.98453912048697</v>
      </c>
      <c r="F534" s="70">
        <f t="shared" si="57"/>
        <v>14.814741215395969</v>
      </c>
      <c r="G534" s="67">
        <f>E534/'Lookup Tables'!$C$48</f>
        <v>487.96907824097394</v>
      </c>
      <c r="H534" s="70">
        <f t="shared" si="54"/>
        <v>5.7787145693662688E-2</v>
      </c>
      <c r="I534" s="71">
        <f t="shared" si="58"/>
        <v>0.70267547266700248</v>
      </c>
      <c r="L534" s="74"/>
      <c r="M534" s="74"/>
      <c r="N534" s="74"/>
      <c r="O534" s="74"/>
      <c r="P534" s="74"/>
      <c r="Q534" s="74"/>
      <c r="R534" s="74"/>
      <c r="S534" s="74"/>
      <c r="T534" s="74"/>
      <c r="U534" s="74"/>
      <c r="V534" s="74"/>
      <c r="W534" s="74"/>
      <c r="X534" s="74"/>
      <c r="Y534" s="74"/>
      <c r="Z534" s="74"/>
    </row>
    <row r="535" spans="1:26" x14ac:dyDescent="0.3">
      <c r="A535" s="66">
        <f t="shared" si="56"/>
        <v>2042.799999999952</v>
      </c>
      <c r="B535" s="67">
        <f>LOOKUP(A535+0.01,Amounts!$A$4:$A$103,Amounts!$B$4:$B$103)*0.1*$A$2</f>
        <v>0</v>
      </c>
      <c r="C535" s="68">
        <f t="shared" si="55"/>
        <v>2219148.7781994981</v>
      </c>
      <c r="D535" s="67">
        <f t="array" ref="D535">SUM($B$7:$B530*$F$1009*EXP(-$F$1009*($A535-$A$7:$A530)))*$F$1010</f>
        <v>127623186.21608141</v>
      </c>
      <c r="E535" s="67">
        <f t="shared" si="53"/>
        <v>243.30233793831002</v>
      </c>
      <c r="F535" s="70">
        <f t="shared" si="57"/>
        <v>14.773317959614186</v>
      </c>
      <c r="G535" s="67">
        <f>E535/'Lookup Tables'!$C$48</f>
        <v>486.60467587662004</v>
      </c>
      <c r="H535" s="70">
        <f t="shared" si="54"/>
        <v>5.7625568000055714E-2</v>
      </c>
      <c r="I535" s="71">
        <f t="shared" si="58"/>
        <v>0.70071073326233291</v>
      </c>
      <c r="L535" s="74"/>
      <c r="M535" s="74"/>
      <c r="N535" s="74"/>
      <c r="O535" s="74"/>
      <c r="P535" s="74"/>
      <c r="Q535" s="74"/>
      <c r="R535" s="74"/>
      <c r="S535" s="74"/>
      <c r="T535" s="74"/>
      <c r="U535" s="74"/>
      <c r="V535" s="74"/>
      <c r="W535" s="74"/>
      <c r="X535" s="74"/>
      <c r="Y535" s="74"/>
      <c r="Z535" s="74"/>
    </row>
    <row r="536" spans="1:26" x14ac:dyDescent="0.3">
      <c r="A536" s="66">
        <f t="shared" si="56"/>
        <v>2042.8999999999519</v>
      </c>
      <c r="B536" s="67">
        <f>LOOKUP(A536+0.01,Amounts!$A$4:$A$103,Amounts!$B$4:$B$103)*0.1*$A$2</f>
        <v>0</v>
      </c>
      <c r="C536" s="68">
        <f t="shared" si="55"/>
        <v>2219148.7781994981</v>
      </c>
      <c r="D536" s="67">
        <f t="array" ref="D536">SUM($B$7:$B531*$F$1009*EXP(-$F$1009*($A536-$A$7:$A531)))*$F$1010</f>
        <v>127266341.11096261</v>
      </c>
      <c r="E536" s="67">
        <f t="shared" si="53"/>
        <v>242.62204424770863</v>
      </c>
      <c r="F536" s="70">
        <f t="shared" si="57"/>
        <v>14.732010526720867</v>
      </c>
      <c r="G536" s="67">
        <f>E536/'Lookup Tables'!$C$48</f>
        <v>485.24408849541726</v>
      </c>
      <c r="H536" s="70">
        <f t="shared" si="54"/>
        <v>5.7464442091197006E-2</v>
      </c>
      <c r="I536" s="71">
        <f t="shared" si="58"/>
        <v>0.69875148743340088</v>
      </c>
      <c r="L536" s="74"/>
      <c r="M536" s="74"/>
      <c r="N536" s="74"/>
      <c r="O536" s="74"/>
      <c r="P536" s="74"/>
      <c r="Q536" s="74"/>
      <c r="R536" s="74"/>
      <c r="S536" s="74"/>
      <c r="T536" s="74"/>
      <c r="U536" s="74"/>
      <c r="V536" s="74"/>
      <c r="W536" s="74"/>
      <c r="X536" s="74"/>
      <c r="Y536" s="74"/>
      <c r="Z536" s="74"/>
    </row>
    <row r="537" spans="1:26" x14ac:dyDescent="0.3">
      <c r="A537" s="66">
        <f t="shared" si="56"/>
        <v>2042.9999999999518</v>
      </c>
      <c r="B537" s="67">
        <f>LOOKUP(A537+0.01,Amounts!$A$4:$A$103,Amounts!$B$4:$B$103)*0.1*$A$2</f>
        <v>0</v>
      </c>
      <c r="C537" s="68">
        <f t="shared" si="55"/>
        <v>2219148.7781994981</v>
      </c>
      <c r="D537" s="67">
        <f t="array" ref="D537">SUM($B$7:$B532*$F$1009*EXP(-$F$1009*($A537-$A$7:$A532)))*$F$1010</f>
        <v>126910493.77461004</v>
      </c>
      <c r="E537" s="67">
        <f t="shared" si="53"/>
        <v>241.94365271517697</v>
      </c>
      <c r="F537" s="70">
        <f t="shared" si="57"/>
        <v>14.690818592865545</v>
      </c>
      <c r="G537" s="67">
        <f>E537/'Lookup Tables'!$C$48</f>
        <v>483.88730543035393</v>
      </c>
      <c r="H537" s="70">
        <f t="shared" si="54"/>
        <v>5.7303766703858658E-2</v>
      </c>
      <c r="I537" s="71">
        <f t="shared" si="58"/>
        <v>0.69679771981970962</v>
      </c>
      <c r="L537" s="74"/>
      <c r="M537" s="74"/>
      <c r="N537" s="74"/>
      <c r="O537" s="74"/>
      <c r="P537" s="74"/>
      <c r="Q537" s="74"/>
      <c r="R537" s="74"/>
      <c r="S537" s="74"/>
      <c r="T537" s="74"/>
      <c r="U537" s="74"/>
      <c r="V537" s="74"/>
      <c r="W537" s="74"/>
      <c r="X537" s="74"/>
      <c r="Y537" s="74"/>
      <c r="Z537" s="74"/>
    </row>
    <row r="538" spans="1:26" x14ac:dyDescent="0.3">
      <c r="A538" s="66">
        <f t="shared" si="56"/>
        <v>2043.0999999999517</v>
      </c>
      <c r="B538" s="67">
        <f>LOOKUP(A538+0.01,Amounts!$A$4:$A$103,Amounts!$B$4:$B$103)*0.1*$A$2</f>
        <v>0</v>
      </c>
      <c r="C538" s="68">
        <f t="shared" si="55"/>
        <v>2219148.7781994981</v>
      </c>
      <c r="D538" s="67">
        <f t="array" ref="D538">SUM($B$7:$B533*$F$1009*EXP(-$F$1009*($A538-$A$7:$A533)))*$F$1010</f>
        <v>126555641.41717871</v>
      </c>
      <c r="E538" s="67">
        <f t="shared" si="53"/>
        <v>241.26715802212186</v>
      </c>
      <c r="F538" s="70">
        <f t="shared" si="57"/>
        <v>14.64974183510324</v>
      </c>
      <c r="G538" s="67">
        <f>E538/'Lookup Tables'!$C$48</f>
        <v>482.53431604424372</v>
      </c>
      <c r="H538" s="70">
        <f t="shared" si="54"/>
        <v>5.7143540578344768E-2</v>
      </c>
      <c r="I538" s="71">
        <f t="shared" si="58"/>
        <v>0.69484941510371101</v>
      </c>
      <c r="L538" s="74"/>
      <c r="M538" s="74"/>
      <c r="N538" s="74"/>
      <c r="O538" s="74"/>
      <c r="P538" s="74"/>
      <c r="Q538" s="74"/>
      <c r="R538" s="74"/>
      <c r="S538" s="74"/>
      <c r="T538" s="74"/>
      <c r="U538" s="74"/>
      <c r="V538" s="74"/>
      <c r="W538" s="74"/>
      <c r="X538" s="74"/>
      <c r="Y538" s="74"/>
      <c r="Z538" s="74"/>
    </row>
    <row r="539" spans="1:26" x14ac:dyDescent="0.3">
      <c r="A539" s="66">
        <f t="shared" si="56"/>
        <v>2043.1999999999516</v>
      </c>
      <c r="B539" s="67">
        <f>LOOKUP(A539+0.01,Amounts!$A$4:$A$103,Amounts!$B$4:$B$103)*0.1*$A$2</f>
        <v>0</v>
      </c>
      <c r="C539" s="68">
        <f t="shared" si="55"/>
        <v>2219148.7781994981</v>
      </c>
      <c r="D539" s="67">
        <f t="array" ref="D539">SUM($B$7:$B534*$F$1009*EXP(-$F$1009*($A539-$A$7:$A534)))*$F$1010</f>
        <v>126201781.25662436</v>
      </c>
      <c r="E539" s="67">
        <f t="shared" si="53"/>
        <v>240.59255486482152</v>
      </c>
      <c r="F539" s="70">
        <f t="shared" si="57"/>
        <v>14.608779931391963</v>
      </c>
      <c r="G539" s="67">
        <f>E539/'Lookup Tables'!$C$48</f>
        <v>481.18510972964305</v>
      </c>
      <c r="H539" s="70">
        <f t="shared" si="54"/>
        <v>5.6983762458481739E-2</v>
      </c>
      <c r="I539" s="71">
        <f t="shared" si="58"/>
        <v>0.6929065580106859</v>
      </c>
      <c r="L539" s="74"/>
      <c r="M539" s="74"/>
      <c r="N539" s="74"/>
      <c r="O539" s="74"/>
      <c r="P539" s="74"/>
      <c r="Q539" s="74"/>
      <c r="R539" s="74"/>
      <c r="S539" s="74"/>
      <c r="T539" s="74"/>
      <c r="U539" s="74"/>
      <c r="V539" s="74"/>
      <c r="W539" s="74"/>
      <c r="X539" s="74"/>
      <c r="Y539" s="74"/>
      <c r="Z539" s="74"/>
    </row>
    <row r="540" spans="1:26" x14ac:dyDescent="0.3">
      <c r="A540" s="66">
        <f t="shared" si="56"/>
        <v>2043.2999999999515</v>
      </c>
      <c r="B540" s="67">
        <f>LOOKUP(A540+0.01,Amounts!$A$4:$A$103,Amounts!$B$4:$B$103)*0.1*$A$2</f>
        <v>0</v>
      </c>
      <c r="C540" s="68">
        <f t="shared" si="55"/>
        <v>2219148.7781994981</v>
      </c>
      <c r="D540" s="67">
        <f t="array" ref="D540">SUM($B$7:$B535*$F$1009*EXP(-$F$1009*($A540-$A$7:$A535)))*$F$1010</f>
        <v>125848910.51868142</v>
      </c>
      <c r="E540" s="67">
        <f t="shared" si="53"/>
        <v>239.91983795438352</v>
      </c>
      <c r="F540" s="70">
        <f t="shared" si="57"/>
        <v>14.567932560590167</v>
      </c>
      <c r="G540" s="67">
        <f>E540/'Lookup Tables'!$C$48</f>
        <v>479.83967590876705</v>
      </c>
      <c r="H540" s="70">
        <f t="shared" si="54"/>
        <v>5.6824431091608223E-2</v>
      </c>
      <c r="I540" s="71">
        <f t="shared" si="58"/>
        <v>0.69096913330862453</v>
      </c>
      <c r="L540" s="74"/>
      <c r="M540" s="74"/>
      <c r="N540" s="74"/>
      <c r="O540" s="74"/>
      <c r="P540" s="74"/>
      <c r="Q540" s="74"/>
      <c r="R540" s="74"/>
      <c r="S540" s="74"/>
      <c r="T540" s="74"/>
      <c r="U540" s="74"/>
      <c r="V540" s="74"/>
      <c r="W540" s="74"/>
      <c r="X540" s="74"/>
      <c r="Y540" s="74"/>
      <c r="Z540" s="74"/>
    </row>
    <row r="541" spans="1:26" x14ac:dyDescent="0.3">
      <c r="A541" s="66">
        <f t="shared" si="56"/>
        <v>2043.3999999999514</v>
      </c>
      <c r="B541" s="67">
        <f>LOOKUP(A541+0.01,Amounts!$A$4:$A$103,Amounts!$B$4:$B$103)*0.1*$A$2</f>
        <v>0</v>
      </c>
      <c r="C541" s="68">
        <f t="shared" si="55"/>
        <v>2219148.7781994981</v>
      </c>
      <c r="D541" s="67">
        <f t="array" ref="D541">SUM($B$7:$B536*$F$1009*EXP(-$F$1009*($A541-$A$7:$A536)))*$F$1010</f>
        <v>125497026.43684158</v>
      </c>
      <c r="E541" s="67">
        <f t="shared" si="53"/>
        <v>239.24900201670403</v>
      </c>
      <c r="F541" s="70">
        <f t="shared" si="57"/>
        <v>14.527199402454269</v>
      </c>
      <c r="G541" s="67">
        <f>E541/'Lookup Tables'!$C$48</f>
        <v>478.49800403340805</v>
      </c>
      <c r="H541" s="70">
        <f t="shared" si="54"/>
        <v>5.6665545228565539E-2</v>
      </c>
      <c r="I541" s="71">
        <f t="shared" si="58"/>
        <v>0.6890371258081075</v>
      </c>
      <c r="L541" s="74"/>
      <c r="M541" s="74"/>
      <c r="N541" s="74"/>
      <c r="O541" s="74"/>
      <c r="P541" s="74"/>
      <c r="Q541" s="74"/>
      <c r="R541" s="74"/>
      <c r="S541" s="74"/>
      <c r="T541" s="74"/>
      <c r="U541" s="74"/>
      <c r="V541" s="74"/>
      <c r="W541" s="74"/>
      <c r="X541" s="74"/>
      <c r="Y541" s="74"/>
      <c r="Z541" s="74"/>
    </row>
    <row r="542" spans="1:26" x14ac:dyDescent="0.3">
      <c r="A542" s="66">
        <f t="shared" si="56"/>
        <v>2043.4999999999513</v>
      </c>
      <c r="B542" s="67">
        <f>LOOKUP(A542+0.01,Amounts!$A$4:$A$103,Amounts!$B$4:$B$103)*0.1*$A$2</f>
        <v>0</v>
      </c>
      <c r="C542" s="68">
        <f t="shared" si="55"/>
        <v>2219148.7781994981</v>
      </c>
      <c r="D542" s="67">
        <f t="array" ref="D542">SUM($B$7:$B537*$F$1009*EXP(-$F$1009*($A542-$A$7:$A537)))*$F$1010</f>
        <v>125146126.25233182</v>
      </c>
      <c r="E542" s="67">
        <f t="shared" si="53"/>
        <v>238.58004179242582</v>
      </c>
      <c r="F542" s="70">
        <f t="shared" si="57"/>
        <v>14.486580137636096</v>
      </c>
      <c r="G542" s="67">
        <f>E542/'Lookup Tables'!$C$48</f>
        <v>477.16008358485163</v>
      </c>
      <c r="H542" s="70">
        <f t="shared" si="54"/>
        <v>5.6507103623687709E-2</v>
      </c>
      <c r="I542" s="71">
        <f t="shared" si="58"/>
        <v>0.68711052036218634</v>
      </c>
      <c r="L542" s="74"/>
      <c r="M542" s="74"/>
      <c r="N542" s="74"/>
      <c r="O542" s="74"/>
      <c r="P542" s="74"/>
      <c r="Q542" s="74"/>
      <c r="R542" s="74"/>
      <c r="S542" s="74"/>
      <c r="T542" s="74"/>
      <c r="U542" s="74"/>
      <c r="V542" s="74"/>
      <c r="W542" s="74"/>
      <c r="X542" s="74"/>
      <c r="Y542" s="74"/>
      <c r="Z542" s="74"/>
    </row>
    <row r="543" spans="1:26" x14ac:dyDescent="0.3">
      <c r="A543" s="66">
        <f t="shared" si="56"/>
        <v>2043.5999999999513</v>
      </c>
      <c r="B543" s="67">
        <f>LOOKUP(A543+0.01,Amounts!$A$4:$A$103,Amounts!$B$4:$B$103)*0.1*$A$2</f>
        <v>0</v>
      </c>
      <c r="C543" s="68">
        <f t="shared" si="55"/>
        <v>2219148.7781994981</v>
      </c>
      <c r="D543" s="67">
        <f t="array" ref="D543">SUM($B$7:$B538*$F$1009*EXP(-$F$1009*($A543-$A$7:$A538)))*$F$1010</f>
        <v>124796207.21409291</v>
      </c>
      <c r="E543" s="67">
        <f t="shared" si="53"/>
        <v>237.91295203689734</v>
      </c>
      <c r="F543" s="70">
        <f t="shared" si="57"/>
        <v>14.446074447680406</v>
      </c>
      <c r="G543" s="67">
        <f>E543/'Lookup Tables'!$C$48</f>
        <v>475.82590407379467</v>
      </c>
      <c r="H543" s="70">
        <f t="shared" si="54"/>
        <v>5.6349105034791722E-2</v>
      </c>
      <c r="I543" s="71">
        <f t="shared" si="58"/>
        <v>0.68518930186626437</v>
      </c>
      <c r="L543" s="74"/>
      <c r="M543" s="74"/>
      <c r="N543" s="74"/>
      <c r="O543" s="74"/>
      <c r="P543" s="74"/>
      <c r="Q543" s="74"/>
      <c r="R543" s="74"/>
      <c r="S543" s="74"/>
      <c r="T543" s="74"/>
      <c r="U543" s="74"/>
      <c r="V543" s="74"/>
      <c r="W543" s="74"/>
      <c r="X543" s="74"/>
      <c r="Y543" s="74"/>
      <c r="Z543" s="74"/>
    </row>
    <row r="544" spans="1:26" x14ac:dyDescent="0.3">
      <c r="A544" s="66">
        <f t="shared" si="56"/>
        <v>2043.6999999999512</v>
      </c>
      <c r="B544" s="67">
        <f>LOOKUP(A544+0.01,Amounts!$A$4:$A$103,Amounts!$B$4:$B$103)*0.1*$A$2</f>
        <v>0</v>
      </c>
      <c r="C544" s="68">
        <f t="shared" si="55"/>
        <v>2219148.7781994981</v>
      </c>
      <c r="D544" s="67">
        <f t="array" ref="D544">SUM($B$7:$B539*$F$1009*EXP(-$F$1009*($A544-$A$7:$A539)))*$F$1010</f>
        <v>124447266.57875779</v>
      </c>
      <c r="E544" s="67">
        <f t="shared" si="53"/>
        <v>237.24772752013149</v>
      </c>
      <c r="F544" s="70">
        <f t="shared" si="57"/>
        <v>14.405682015022384</v>
      </c>
      <c r="G544" s="67">
        <f>E544/'Lookup Tables'!$C$48</f>
        <v>474.49545504026298</v>
      </c>
      <c r="H544" s="70">
        <f t="shared" si="54"/>
        <v>5.6191548223167853E-2</v>
      </c>
      <c r="I544" s="71">
        <f t="shared" si="58"/>
        <v>0.68327345525797878</v>
      </c>
      <c r="L544" s="74"/>
      <c r="M544" s="74"/>
      <c r="N544" s="74"/>
      <c r="O544" s="74"/>
      <c r="P544" s="74"/>
      <c r="Q544" s="74"/>
      <c r="R544" s="74"/>
      <c r="S544" s="74"/>
      <c r="T544" s="74"/>
      <c r="U544" s="74"/>
      <c r="V544" s="74"/>
      <c r="W544" s="74"/>
      <c r="X544" s="74"/>
      <c r="Y544" s="74"/>
      <c r="Z544" s="74"/>
    </row>
    <row r="545" spans="1:26" x14ac:dyDescent="0.3">
      <c r="A545" s="66">
        <f t="shared" si="56"/>
        <v>2043.7999999999511</v>
      </c>
      <c r="B545" s="67">
        <f>LOOKUP(A545+0.01,Amounts!$A$4:$A$103,Amounts!$B$4:$B$103)*0.1*$A$2</f>
        <v>0</v>
      </c>
      <c r="C545" s="68">
        <f t="shared" si="55"/>
        <v>2219148.7781994981</v>
      </c>
      <c r="D545" s="67">
        <f t="array" ref="D545">SUM($B$7:$B540*$F$1009*EXP(-$F$1009*($A545-$A$7:$A540)))*$F$1010</f>
        <v>124099301.61063005</v>
      </c>
      <c r="E545" s="67">
        <f t="shared" si="53"/>
        <v>236.58436302676452</v>
      </c>
      <c r="F545" s="70">
        <f t="shared" si="57"/>
        <v>14.365402522985141</v>
      </c>
      <c r="G545" s="67">
        <f>E545/'Lookup Tables'!$C$48</f>
        <v>473.16872605352904</v>
      </c>
      <c r="H545" s="70">
        <f t="shared" si="54"/>
        <v>5.6034431953569837E-2</v>
      </c>
      <c r="I545" s="71">
        <f t="shared" si="58"/>
        <v>0.68136296551708175</v>
      </c>
      <c r="L545" s="74"/>
      <c r="M545" s="74"/>
      <c r="N545" s="74"/>
      <c r="O545" s="74"/>
      <c r="P545" s="74"/>
      <c r="Q545" s="74"/>
      <c r="R545" s="74"/>
      <c r="S545" s="74"/>
      <c r="T545" s="74"/>
      <c r="U545" s="74"/>
      <c r="V545" s="74"/>
      <c r="W545" s="74"/>
      <c r="X545" s="74"/>
      <c r="Y545" s="74"/>
      <c r="Z545" s="74"/>
    </row>
    <row r="546" spans="1:26" x14ac:dyDescent="0.3">
      <c r="A546" s="66">
        <f t="shared" si="56"/>
        <v>2043.899999999951</v>
      </c>
      <c r="B546" s="67">
        <f>LOOKUP(A546+0.01,Amounts!$A$4:$A$103,Amounts!$B$4:$B$103)*0.1*$A$2</f>
        <v>0</v>
      </c>
      <c r="C546" s="68">
        <f t="shared" si="55"/>
        <v>2219148.7781994981</v>
      </c>
      <c r="D546" s="67">
        <f t="array" ref="D546">SUM($B$7:$B541*$F$1009*EXP(-$F$1009*($A546-$A$7:$A541)))*$F$1010</f>
        <v>123752309.5816626</v>
      </c>
      <c r="E546" s="67">
        <f t="shared" si="53"/>
        <v>235.92285335601551</v>
      </c>
      <c r="F546" s="70">
        <f t="shared" si="57"/>
        <v>14.325235655777263</v>
      </c>
      <c r="G546" s="67">
        <f>E546/'Lookup Tables'!$C$48</f>
        <v>471.84570671203102</v>
      </c>
      <c r="H546" s="70">
        <f t="shared" si="54"/>
        <v>5.5877754994205366E-2</v>
      </c>
      <c r="I546" s="71">
        <f t="shared" si="58"/>
        <v>0.67945781766532465</v>
      </c>
      <c r="L546" s="74"/>
      <c r="M546" s="74"/>
      <c r="N546" s="74"/>
      <c r="O546" s="74"/>
      <c r="P546" s="74"/>
      <c r="Q546" s="74"/>
      <c r="R546" s="74"/>
      <c r="S546" s="74"/>
      <c r="T546" s="74"/>
      <c r="U546" s="74"/>
      <c r="V546" s="74"/>
      <c r="W546" s="74"/>
      <c r="X546" s="74"/>
      <c r="Y546" s="74"/>
      <c r="Z546" s="74"/>
    </row>
    <row r="547" spans="1:26" x14ac:dyDescent="0.3">
      <c r="A547" s="66">
        <f t="shared" si="56"/>
        <v>2043.9999999999509</v>
      </c>
      <c r="B547" s="67">
        <f>LOOKUP(A547+0.01,Amounts!$A$4:$A$103,Amounts!$B$4:$B$103)*0.1*$A$2</f>
        <v>0</v>
      </c>
      <c r="C547" s="68">
        <f t="shared" si="55"/>
        <v>2219148.7781994981</v>
      </c>
      <c r="D547" s="67">
        <f t="array" ref="D547">SUM($B$7:$B542*$F$1009*EXP(-$F$1009*($A547-$A$7:$A542)))*$F$1010</f>
        <v>123406287.77143615</v>
      </c>
      <c r="E547" s="67">
        <f t="shared" si="53"/>
        <v>235.26319332164528</v>
      </c>
      <c r="F547" s="70">
        <f t="shared" si="57"/>
        <v>14.285181098490302</v>
      </c>
      <c r="G547" s="67">
        <f>E547/'Lookup Tables'!$C$48</f>
        <v>470.52638664329055</v>
      </c>
      <c r="H547" s="70">
        <f t="shared" si="54"/>
        <v>5.5721516116726273E-2</v>
      </c>
      <c r="I547" s="71">
        <f t="shared" si="58"/>
        <v>0.67755799676633832</v>
      </c>
      <c r="L547" s="74"/>
      <c r="M547" s="74"/>
      <c r="N547" s="74"/>
      <c r="O547" s="74"/>
      <c r="P547" s="74"/>
      <c r="Q547" s="74"/>
      <c r="R547" s="74"/>
      <c r="S547" s="74"/>
      <c r="T547" s="74"/>
      <c r="U547" s="74"/>
      <c r="V547" s="74"/>
      <c r="W547" s="74"/>
      <c r="X547" s="74"/>
      <c r="Y547" s="74"/>
      <c r="Z547" s="74"/>
    </row>
    <row r="548" spans="1:26" x14ac:dyDescent="0.3">
      <c r="A548" s="66">
        <f t="shared" si="56"/>
        <v>2044.0999999999508</v>
      </c>
      <c r="B548" s="67">
        <f>LOOKUP(A548+0.01,Amounts!$A$4:$A$103,Amounts!$B$4:$B$103)*0.1*$A$2</f>
        <v>0</v>
      </c>
      <c r="C548" s="68">
        <f t="shared" si="55"/>
        <v>2219148.7781994981</v>
      </c>
      <c r="D548" s="67">
        <f t="array" ref="D548">SUM($B$7:$B543*$F$1009*EXP(-$F$1009*($A548-$A$7:$A543)))*$F$1010</f>
        <v>123061233.46713786</v>
      </c>
      <c r="E548" s="67">
        <f t="shared" si="53"/>
        <v>234.60537775191554</v>
      </c>
      <c r="F548" s="70">
        <f t="shared" si="57"/>
        <v>14.245238537096313</v>
      </c>
      <c r="G548" s="67">
        <f>E548/'Lookup Tables'!$C$48</f>
        <v>469.21075550383108</v>
      </c>
      <c r="H548" s="70">
        <f t="shared" si="54"/>
        <v>5.556571409621891E-2</v>
      </c>
      <c r="I548" s="71">
        <f t="shared" si="58"/>
        <v>0.67566348792551678</v>
      </c>
      <c r="L548" s="74"/>
      <c r="M548" s="74"/>
      <c r="N548" s="74"/>
      <c r="O548" s="74"/>
      <c r="P548" s="74"/>
      <c r="Q548" s="74"/>
      <c r="R548" s="74"/>
      <c r="S548" s="74"/>
      <c r="T548" s="74"/>
      <c r="U548" s="74"/>
      <c r="V548" s="74"/>
      <c r="W548" s="74"/>
      <c r="X548" s="74"/>
      <c r="Y548" s="74"/>
      <c r="Z548" s="74"/>
    </row>
    <row r="549" spans="1:26" x14ac:dyDescent="0.3">
      <c r="A549" s="66">
        <f t="shared" si="56"/>
        <v>2044.1999999999507</v>
      </c>
      <c r="B549" s="67">
        <f>LOOKUP(A549+0.01,Amounts!$A$4:$A$103,Amounts!$B$4:$B$103)*0.1*$A$2</f>
        <v>0</v>
      </c>
      <c r="C549" s="68">
        <f t="shared" si="55"/>
        <v>2219148.7781994981</v>
      </c>
      <c r="D549" s="67">
        <f t="array" ref="D549">SUM($B$7:$B544*$F$1009*EXP(-$F$1009*($A549-$A$7:$A544)))*$F$1010</f>
        <v>122717143.96354032</v>
      </c>
      <c r="E549" s="67">
        <f t="shared" si="53"/>
        <v>233.94940148954916</v>
      </c>
      <c r="F549" s="70">
        <f t="shared" si="57"/>
        <v>14.205407658445425</v>
      </c>
      <c r="G549" s="67">
        <f>E549/'Lookup Tables'!$C$48</f>
        <v>467.89880297909832</v>
      </c>
      <c r="H549" s="70">
        <f t="shared" si="54"/>
        <v>5.5410347711194685E-2</v>
      </c>
      <c r="I549" s="71">
        <f t="shared" si="58"/>
        <v>0.67377427628990161</v>
      </c>
      <c r="L549" s="74"/>
      <c r="M549" s="74"/>
      <c r="N549" s="74"/>
      <c r="O549" s="74"/>
      <c r="P549" s="74"/>
      <c r="Q549" s="74"/>
      <c r="R549" s="74"/>
      <c r="S549" s="74"/>
      <c r="T549" s="74"/>
      <c r="U549" s="74"/>
      <c r="V549" s="74"/>
      <c r="W549" s="74"/>
      <c r="X549" s="74"/>
      <c r="Y549" s="74"/>
      <c r="Z549" s="74"/>
    </row>
    <row r="550" spans="1:26" x14ac:dyDescent="0.3">
      <c r="A550" s="66">
        <f t="shared" si="56"/>
        <v>2044.2999999999506</v>
      </c>
      <c r="B550" s="67">
        <f>LOOKUP(A550+0.01,Amounts!$A$4:$A$103,Amounts!$B$4:$B$103)*0.1*$A$2</f>
        <v>0</v>
      </c>
      <c r="C550" s="68">
        <f t="shared" si="55"/>
        <v>2219148.7781994981</v>
      </c>
      <c r="D550" s="67">
        <f t="array" ref="D550">SUM($B$7:$B545*$F$1009*EXP(-$F$1009*($A550-$A$7:$A545)))*$F$1010</f>
        <v>122374016.56298003</v>
      </c>
      <c r="E550" s="67">
        <f t="shared" si="53"/>
        <v>233.29525939168877</v>
      </c>
      <c r="F550" s="70">
        <f t="shared" si="57"/>
        <v>14.165688150263341</v>
      </c>
      <c r="G550" s="67">
        <f>E550/'Lookup Tables'!$C$48</f>
        <v>466.59051878337755</v>
      </c>
      <c r="H550" s="70">
        <f t="shared" si="54"/>
        <v>5.5255415743580331E-2</v>
      </c>
      <c r="I550" s="71">
        <f t="shared" si="58"/>
        <v>0.67189034704806361</v>
      </c>
      <c r="L550" s="74"/>
      <c r="M550" s="74"/>
      <c r="N550" s="74"/>
      <c r="O550" s="74"/>
      <c r="P550" s="74"/>
      <c r="Q550" s="74"/>
      <c r="R550" s="74"/>
      <c r="S550" s="74"/>
      <c r="T550" s="74"/>
      <c r="U550" s="74"/>
      <c r="V550" s="74"/>
      <c r="W550" s="74"/>
      <c r="X550" s="74"/>
      <c r="Y550" s="74"/>
      <c r="Z550" s="74"/>
    </row>
    <row r="551" spans="1:26" x14ac:dyDescent="0.3">
      <c r="A551" s="66">
        <f t="shared" si="56"/>
        <v>2044.3999999999505</v>
      </c>
      <c r="B551" s="67">
        <f>LOOKUP(A551+0.01,Amounts!$A$4:$A$103,Amounts!$B$4:$B$103)*0.1*$A$2</f>
        <v>0</v>
      </c>
      <c r="C551" s="68">
        <f t="shared" si="55"/>
        <v>2219148.7781994981</v>
      </c>
      <c r="D551" s="67">
        <f t="array" ref="D551">SUM($B$7:$B546*$F$1009*EXP(-$F$1009*($A551-$A$7:$A546)))*$F$1010</f>
        <v>122031848.5753364</v>
      </c>
      <c r="E551" s="67">
        <f t="shared" si="53"/>
        <v>232.64294632985698</v>
      </c>
      <c r="F551" s="70">
        <f t="shared" si="57"/>
        <v>14.126079701148916</v>
      </c>
      <c r="G551" s="67">
        <f>E551/'Lookup Tables'!$C$48</f>
        <v>465.28589265971397</v>
      </c>
      <c r="H551" s="70">
        <f t="shared" si="54"/>
        <v>5.5100916978708447E-2</v>
      </c>
      <c r="I551" s="71">
        <f t="shared" si="58"/>
        <v>0.67001168542998824</v>
      </c>
      <c r="L551" s="74"/>
      <c r="M551" s="74"/>
      <c r="N551" s="74"/>
      <c r="O551" s="74"/>
      <c r="P551" s="74"/>
      <c r="Q551" s="74"/>
      <c r="R551" s="74"/>
      <c r="S551" s="74"/>
      <c r="T551" s="74"/>
      <c r="U551" s="74"/>
      <c r="V551" s="74"/>
      <c r="W551" s="74"/>
      <c r="X551" s="74"/>
      <c r="Y551" s="74"/>
      <c r="Z551" s="74"/>
    </row>
    <row r="552" spans="1:26" x14ac:dyDescent="0.3">
      <c r="A552" s="66">
        <f t="shared" si="56"/>
        <v>2044.4999999999504</v>
      </c>
      <c r="B552" s="67">
        <f>LOOKUP(A552+0.01,Amounts!$A$4:$A$103,Amounts!$B$4:$B$103)*0.1*$A$2</f>
        <v>0</v>
      </c>
      <c r="C552" s="68">
        <f t="shared" si="55"/>
        <v>2219148.7781994981</v>
      </c>
      <c r="D552" s="67">
        <f t="array" ref="D552">SUM($B$7:$B547*$F$1009*EXP(-$F$1009*($A552-$A$7:$A547)))*$F$1010</f>
        <v>121690637.31801069</v>
      </c>
      <c r="E552" s="67">
        <f t="shared" si="53"/>
        <v>231.99245718991608</v>
      </c>
      <c r="F552" s="70">
        <f t="shared" si="57"/>
        <v>14.086582000571706</v>
      </c>
      <c r="G552" s="67">
        <f>E552/'Lookup Tables'!$C$48</f>
        <v>463.98491437983216</v>
      </c>
      <c r="H552" s="70">
        <f t="shared" si="54"/>
        <v>5.4946850205307908E-2</v>
      </c>
      <c r="I552" s="71">
        <f t="shared" si="58"/>
        <v>0.66813827670695836</v>
      </c>
      <c r="L552" s="74"/>
      <c r="M552" s="74"/>
      <c r="N552" s="74"/>
      <c r="O552" s="74"/>
      <c r="P552" s="74"/>
      <c r="Q552" s="74"/>
      <c r="R552" s="74"/>
      <c r="S552" s="74"/>
      <c r="T552" s="74"/>
      <c r="U552" s="74"/>
      <c r="V552" s="74"/>
      <c r="W552" s="74"/>
      <c r="X552" s="74"/>
      <c r="Y552" s="74"/>
      <c r="Z552" s="74"/>
    </row>
    <row r="553" spans="1:26" x14ac:dyDescent="0.3">
      <c r="A553" s="66">
        <f t="shared" si="56"/>
        <v>2044.5999999999503</v>
      </c>
      <c r="B553" s="67">
        <f>LOOKUP(A553+0.01,Amounts!$A$4:$A$103,Amounts!$B$4:$B$103)*0.1*$A$2</f>
        <v>0</v>
      </c>
      <c r="C553" s="68">
        <f t="shared" si="55"/>
        <v>2219148.7781994981</v>
      </c>
      <c r="D553" s="67">
        <f t="array" ref="D553">SUM($B$7:$B548*$F$1009*EXP(-$F$1009*($A553-$A$7:$A548)))*$F$1010</f>
        <v>121350380.11590484</v>
      </c>
      <c r="E553" s="67">
        <f t="shared" si="53"/>
        <v>231.34378687202781</v>
      </c>
      <c r="F553" s="70">
        <f t="shared" si="57"/>
        <v>14.047194738869527</v>
      </c>
      <c r="G553" s="67">
        <f>E553/'Lookup Tables'!$C$48</f>
        <v>462.68757374405561</v>
      </c>
      <c r="H553" s="70">
        <f t="shared" si="54"/>
        <v>5.4793214215494414E-2</v>
      </c>
      <c r="I553" s="71">
        <f t="shared" si="58"/>
        <v>0.66627010619144</v>
      </c>
      <c r="L553" s="74"/>
      <c r="M553" s="74"/>
      <c r="N553" s="74"/>
      <c r="O553" s="74"/>
      <c r="P553" s="74"/>
      <c r="Q553" s="74"/>
      <c r="R553" s="74"/>
      <c r="S553" s="74"/>
      <c r="T553" s="74"/>
      <c r="U553" s="74"/>
      <c r="V553" s="74"/>
      <c r="W553" s="74"/>
      <c r="X553" s="74"/>
      <c r="Y553" s="74"/>
      <c r="Z553" s="74"/>
    </row>
    <row r="554" spans="1:26" x14ac:dyDescent="0.3">
      <c r="A554" s="66">
        <f t="shared" si="56"/>
        <v>2044.6999999999503</v>
      </c>
      <c r="B554" s="67">
        <f>LOOKUP(A554+0.01,Amounts!$A$4:$A$103,Amounts!$B$4:$B$103)*0.1*$A$2</f>
        <v>0</v>
      </c>
      <c r="C554" s="68">
        <f t="shared" si="55"/>
        <v>2219148.7781994981</v>
      </c>
      <c r="D554" s="67">
        <f t="array" ref="D554">SUM($B$7:$B549*$F$1009*EXP(-$F$1009*($A554-$A$7:$A549)))*$F$1010</f>
        <v>121011074.30140069</v>
      </c>
      <c r="E554" s="67">
        <f t="shared" si="53"/>
        <v>230.69693029061361</v>
      </c>
      <c r="F554" s="70">
        <f t="shared" si="57"/>
        <v>14.007917607246059</v>
      </c>
      <c r="G554" s="67">
        <f>E554/'Lookup Tables'!$C$48</f>
        <v>461.39386058122722</v>
      </c>
      <c r="H554" s="70">
        <f t="shared" si="54"/>
        <v>5.4640007804761047E-2</v>
      </c>
      <c r="I554" s="71">
        <f t="shared" si="58"/>
        <v>0.66440715923696725</v>
      </c>
      <c r="L554" s="74"/>
      <c r="M554" s="74"/>
      <c r="N554" s="74"/>
      <c r="O554" s="74"/>
      <c r="P554" s="74"/>
      <c r="Q554" s="74"/>
      <c r="R554" s="74"/>
      <c r="S554" s="74"/>
      <c r="T554" s="74"/>
      <c r="U554" s="74"/>
      <c r="V554" s="74"/>
      <c r="W554" s="74"/>
      <c r="X554" s="74"/>
      <c r="Y554" s="74"/>
      <c r="Z554" s="74"/>
    </row>
    <row r="555" spans="1:26" x14ac:dyDescent="0.3">
      <c r="A555" s="66">
        <f t="shared" si="56"/>
        <v>2044.7999999999502</v>
      </c>
      <c r="B555" s="67">
        <f>LOOKUP(A555+0.01,Amounts!$A$4:$A$103,Amounts!$B$4:$B$103)*0.1*$A$2</f>
        <v>0</v>
      </c>
      <c r="C555" s="68">
        <f t="shared" si="55"/>
        <v>2219148.7781994981</v>
      </c>
      <c r="D555" s="67">
        <f t="array" ref="D555">SUM($B$7:$B550*$F$1009*EXP(-$F$1009*($A555-$A$7:$A550)))*$F$1010</f>
        <v>120672717.21433885</v>
      </c>
      <c r="E555" s="67">
        <f t="shared" si="53"/>
        <v>230.05188237431446</v>
      </c>
      <c r="F555" s="70">
        <f t="shared" si="57"/>
        <v>13.968750297768374</v>
      </c>
      <c r="G555" s="67">
        <f>E555/'Lookup Tables'!$C$48</f>
        <v>460.10376474862892</v>
      </c>
      <c r="H555" s="70">
        <f t="shared" si="54"/>
        <v>5.4487229771968709E-2</v>
      </c>
      <c r="I555" s="71">
        <f t="shared" si="58"/>
        <v>0.66254942123802563</v>
      </c>
      <c r="L555" s="74"/>
      <c r="M555" s="74"/>
      <c r="N555" s="74"/>
      <c r="O555" s="74"/>
      <c r="P555" s="74"/>
      <c r="Q555" s="74"/>
      <c r="R555" s="74"/>
      <c r="S555" s="74"/>
      <c r="T555" s="74"/>
      <c r="U555" s="74"/>
      <c r="V555" s="74"/>
      <c r="W555" s="74"/>
      <c r="X555" s="74"/>
      <c r="Y555" s="74"/>
      <c r="Z555" s="74"/>
    </row>
    <row r="556" spans="1:26" x14ac:dyDescent="0.3">
      <c r="A556" s="66">
        <f t="shared" si="56"/>
        <v>2044.8999999999501</v>
      </c>
      <c r="B556" s="67">
        <f>LOOKUP(A556+0.01,Amounts!$A$4:$A$103,Amounts!$B$4:$B$103)*0.1*$A$2</f>
        <v>0</v>
      </c>
      <c r="C556" s="68">
        <f t="shared" si="55"/>
        <v>2219148.7781994981</v>
      </c>
      <c r="D556" s="67">
        <f t="array" ref="D556">SUM($B$7:$B551*$F$1009*EXP(-$F$1009*($A556-$A$7:$A551)))*$F$1010</f>
        <v>120335306.20199813</v>
      </c>
      <c r="E556" s="67">
        <f t="shared" si="53"/>
        <v>229.40863806595161</v>
      </c>
      <c r="F556" s="70">
        <f t="shared" si="57"/>
        <v>13.929692503364581</v>
      </c>
      <c r="G556" s="67">
        <f>E556/'Lookup Tables'!$C$48</f>
        <v>458.81727613190321</v>
      </c>
      <c r="H556" s="70">
        <f t="shared" si="54"/>
        <v>5.4334878919336908E-2</v>
      </c>
      <c r="I556" s="71">
        <f t="shared" si="58"/>
        <v>0.66069687762994067</v>
      </c>
      <c r="L556" s="74"/>
      <c r="M556" s="74"/>
      <c r="N556" s="74"/>
      <c r="O556" s="74"/>
      <c r="P556" s="74"/>
      <c r="Q556" s="74"/>
      <c r="R556" s="74"/>
      <c r="S556" s="74"/>
      <c r="T556" s="74"/>
      <c r="U556" s="74"/>
      <c r="V556" s="74"/>
      <c r="W556" s="74"/>
      <c r="X556" s="74"/>
      <c r="Y556" s="74"/>
      <c r="Z556" s="74"/>
    </row>
    <row r="557" spans="1:26" x14ac:dyDescent="0.3">
      <c r="A557" s="66">
        <f t="shared" si="56"/>
        <v>2044.99999999995</v>
      </c>
      <c r="B557" s="67">
        <f>LOOKUP(A557+0.01,Amounts!$A$4:$A$103,Amounts!$B$4:$B$103)*0.1*$A$2</f>
        <v>0</v>
      </c>
      <c r="C557" s="68">
        <f t="shared" si="55"/>
        <v>2219148.7781994981</v>
      </c>
      <c r="D557" s="67">
        <f t="array" ref="D557">SUM($B$7:$B552*$F$1009*EXP(-$F$1009*($A557-$A$7:$A552)))*$F$1010</f>
        <v>119998838.61907433</v>
      </c>
      <c r="E557" s="67">
        <f t="shared" si="53"/>
        <v>228.76719232248607</v>
      </c>
      <c r="F557" s="70">
        <f t="shared" si="57"/>
        <v>13.890743917821354</v>
      </c>
      <c r="G557" s="67">
        <f>E557/'Lookup Tables'!$C$48</f>
        <v>457.53438464497214</v>
      </c>
      <c r="H557" s="70">
        <f t="shared" si="54"/>
        <v>5.4182954052434097E-2</v>
      </c>
      <c r="I557" s="71">
        <f t="shared" si="58"/>
        <v>0.6588495138887599</v>
      </c>
      <c r="L557" s="74"/>
      <c r="M557" s="74"/>
      <c r="N557" s="74"/>
      <c r="O557" s="74"/>
      <c r="P557" s="74"/>
      <c r="Q557" s="74"/>
      <c r="R557" s="74"/>
      <c r="S557" s="74"/>
      <c r="T557" s="74"/>
      <c r="U557" s="74"/>
      <c r="V557" s="74"/>
      <c r="W557" s="74"/>
      <c r="X557" s="74"/>
      <c r="Y557" s="74"/>
      <c r="Z557" s="74"/>
    </row>
    <row r="558" spans="1:26" x14ac:dyDescent="0.3">
      <c r="A558" s="66">
        <f t="shared" si="56"/>
        <v>2045.0999999999499</v>
      </c>
      <c r="B558" s="67">
        <f>LOOKUP(A558+0.01,Amounts!$A$4:$A$103,Amounts!$B$4:$B$103)*0.1*$A$2</f>
        <v>0</v>
      </c>
      <c r="C558" s="68">
        <f t="shared" si="55"/>
        <v>2219148.7781994981</v>
      </c>
      <c r="D558" s="67">
        <f t="array" ref="D558">SUM($B$7:$B553*$F$1009*EXP(-$F$1009*($A558-$A$7:$A553)))*$F$1010</f>
        <v>119663311.82766002</v>
      </c>
      <c r="E558" s="67">
        <f t="shared" si="53"/>
        <v>228.12754011498026</v>
      </c>
      <c r="F558" s="70">
        <f t="shared" si="57"/>
        <v>13.851904235781603</v>
      </c>
      <c r="G558" s="67">
        <f>E558/'Lookup Tables'!$C$48</f>
        <v>456.25508022996053</v>
      </c>
      <c r="H558" s="70">
        <f t="shared" si="54"/>
        <v>5.4031453980168641E-2</v>
      </c>
      <c r="I558" s="71">
        <f t="shared" si="58"/>
        <v>0.65700731553114322</v>
      </c>
      <c r="L558" s="74"/>
      <c r="M558" s="74"/>
      <c r="N558" s="74"/>
      <c r="O558" s="74"/>
      <c r="P558" s="74"/>
      <c r="Q558" s="74"/>
      <c r="R558" s="74"/>
      <c r="S558" s="74"/>
      <c r="T558" s="74"/>
      <c r="U558" s="74"/>
      <c r="V558" s="74"/>
      <c r="W558" s="74"/>
      <c r="X558" s="74"/>
      <c r="Y558" s="74"/>
      <c r="Z558" s="74"/>
    </row>
    <row r="559" spans="1:26" x14ac:dyDescent="0.3">
      <c r="A559" s="66">
        <f t="shared" si="56"/>
        <v>2045.1999999999498</v>
      </c>
      <c r="B559" s="67">
        <f>LOOKUP(A559+0.01,Amounts!$A$4:$A$103,Amounts!$B$4:$B$103)*0.1*$A$2</f>
        <v>0</v>
      </c>
      <c r="C559" s="68">
        <f t="shared" si="55"/>
        <v>2219148.7781994981</v>
      </c>
      <c r="D559" s="67">
        <f t="array" ref="D559">SUM($B$7:$B554*$F$1009*EXP(-$F$1009*($A559-$A$7:$A554)))*$F$1010</f>
        <v>119328723.19722332</v>
      </c>
      <c r="E559" s="67">
        <f t="shared" si="53"/>
        <v>227.48967642855735</v>
      </c>
      <c r="F559" s="70">
        <f t="shared" si="57"/>
        <v>13.813173152742003</v>
      </c>
      <c r="G559" s="67">
        <f>E559/'Lookup Tables'!$C$48</f>
        <v>454.97935285711469</v>
      </c>
      <c r="H559" s="70">
        <f t="shared" si="54"/>
        <v>5.3880377514779094E-2</v>
      </c>
      <c r="I559" s="71">
        <f t="shared" si="58"/>
        <v>0.65517026811424517</v>
      </c>
      <c r="L559" s="74"/>
      <c r="M559" s="74"/>
      <c r="N559" s="74"/>
      <c r="O559" s="74"/>
      <c r="P559" s="74"/>
      <c r="Q559" s="74"/>
      <c r="R559" s="74"/>
      <c r="S559" s="74"/>
      <c r="T559" s="74"/>
      <c r="U559" s="74"/>
      <c r="V559" s="74"/>
      <c r="W559" s="74"/>
      <c r="X559" s="74"/>
      <c r="Y559" s="74"/>
      <c r="Z559" s="74"/>
    </row>
    <row r="560" spans="1:26" x14ac:dyDescent="0.3">
      <c r="A560" s="66">
        <f t="shared" si="56"/>
        <v>2045.2999999999497</v>
      </c>
      <c r="B560" s="67">
        <f>LOOKUP(A560+0.01,Amounts!$A$4:$A$103,Amounts!$B$4:$B$103)*0.1*$A$2</f>
        <v>0</v>
      </c>
      <c r="C560" s="68">
        <f t="shared" si="55"/>
        <v>2219148.7781994981</v>
      </c>
      <c r="D560" s="67">
        <f t="array" ref="D560">SUM($B$7:$B555*$F$1009*EXP(-$F$1009*($A560-$A$7:$A555)))*$F$1010</f>
        <v>118995070.10458776</v>
      </c>
      <c r="E560" s="67">
        <f t="shared" si="53"/>
        <v>226.853596262363</v>
      </c>
      <c r="F560" s="70">
        <f t="shared" si="57"/>
        <v>13.774550365050683</v>
      </c>
      <c r="G560" s="67">
        <f>E560/'Lookup Tables'!$C$48</f>
        <v>453.707192524726</v>
      </c>
      <c r="H560" s="70">
        <f t="shared" si="54"/>
        <v>5.3729723471825294E-2</v>
      </c>
      <c r="I560" s="71">
        <f t="shared" si="58"/>
        <v>0.65333835723560552</v>
      </c>
      <c r="L560" s="74"/>
      <c r="M560" s="74"/>
      <c r="N560" s="74"/>
      <c r="O560" s="74"/>
      <c r="P560" s="74"/>
      <c r="Q560" s="74"/>
      <c r="R560" s="74"/>
      <c r="S560" s="74"/>
      <c r="T560" s="74"/>
      <c r="U560" s="74"/>
      <c r="V560" s="74"/>
      <c r="W560" s="74"/>
      <c r="X560" s="74"/>
      <c r="Y560" s="74"/>
      <c r="Z560" s="74"/>
    </row>
    <row r="561" spans="1:26" x14ac:dyDescent="0.3">
      <c r="A561" s="66">
        <f t="shared" si="56"/>
        <v>2045.3999999999496</v>
      </c>
      <c r="B561" s="67">
        <f>LOOKUP(A561+0.01,Amounts!$A$4:$A$103,Amounts!$B$4:$B$103)*0.1*$A$2</f>
        <v>0</v>
      </c>
      <c r="C561" s="68">
        <f t="shared" si="55"/>
        <v>2219148.7781994981</v>
      </c>
      <c r="D561" s="67">
        <f t="array" ref="D561">SUM($B$7:$B556*$F$1009*EXP(-$F$1009*($A561-$A$7:$A556)))*$F$1010</f>
        <v>118662349.93391137</v>
      </c>
      <c r="E561" s="67">
        <f t="shared" si="53"/>
        <v>226.21929462952539</v>
      </c>
      <c r="F561" s="70">
        <f t="shared" si="57"/>
        <v>13.736035569904782</v>
      </c>
      <c r="G561" s="67">
        <f>E561/'Lookup Tables'!$C$48</f>
        <v>452.43858925905079</v>
      </c>
      <c r="H561" s="70">
        <f t="shared" si="54"/>
        <v>5.3579490670178732E-2</v>
      </c>
      <c r="I561" s="71">
        <f t="shared" si="58"/>
        <v>0.65151156853303316</v>
      </c>
      <c r="L561" s="74"/>
      <c r="M561" s="74"/>
      <c r="N561" s="74"/>
      <c r="O561" s="74"/>
      <c r="P561" s="74"/>
      <c r="Q561" s="74"/>
      <c r="R561" s="74"/>
      <c r="S561" s="74"/>
      <c r="T561" s="74"/>
      <c r="U561" s="74"/>
      <c r="V561" s="74"/>
      <c r="W561" s="74"/>
      <c r="X561" s="74"/>
      <c r="Y561" s="74"/>
      <c r="Z561" s="74"/>
    </row>
    <row r="562" spans="1:26" x14ac:dyDescent="0.3">
      <c r="A562" s="66">
        <f t="shared" si="56"/>
        <v>2045.4999999999495</v>
      </c>
      <c r="B562" s="67">
        <f>LOOKUP(A562+0.01,Amounts!$A$4:$A$103,Amounts!$B$4:$B$103)*0.1*$A$2</f>
        <v>0</v>
      </c>
      <c r="C562" s="68">
        <f t="shared" si="55"/>
        <v>2219148.7781994981</v>
      </c>
      <c r="D562" s="67">
        <f t="array" ref="D562">SUM($B$7:$B557*$F$1009*EXP(-$F$1009*($A562-$A$7:$A557)))*$F$1010</f>
        <v>118330560.07666616</v>
      </c>
      <c r="E562" s="67">
        <f t="shared" si="53"/>
        <v>225.58676655711619</v>
      </c>
      <c r="F562" s="70">
        <f t="shared" si="57"/>
        <v>13.697628465348094</v>
      </c>
      <c r="G562" s="67">
        <f>E562/'Lookup Tables'!$C$48</f>
        <v>451.17353311423238</v>
      </c>
      <c r="H562" s="70">
        <f t="shared" si="54"/>
        <v>5.3429677932013413E-2</v>
      </c>
      <c r="I562" s="71">
        <f t="shared" si="58"/>
        <v>0.64968988768449465</v>
      </c>
      <c r="L562" s="74"/>
      <c r="M562" s="74"/>
      <c r="N562" s="74"/>
      <c r="O562" s="74"/>
      <c r="P562" s="74"/>
      <c r="Q562" s="74"/>
      <c r="R562" s="74"/>
      <c r="S562" s="74"/>
      <c r="T562" s="74"/>
      <c r="U562" s="74"/>
      <c r="V562" s="74"/>
      <c r="W562" s="74"/>
      <c r="X562" s="74"/>
      <c r="Y562" s="74"/>
      <c r="Z562" s="74"/>
    </row>
    <row r="563" spans="1:26" x14ac:dyDescent="0.3">
      <c r="A563" s="66">
        <f t="shared" si="56"/>
        <v>2045.5999999999494</v>
      </c>
      <c r="B563" s="67">
        <f>LOOKUP(A563+0.01,Amounts!$A$4:$A$103,Amounts!$B$4:$B$103)*0.1*$A$2</f>
        <v>0</v>
      </c>
      <c r="C563" s="68">
        <f t="shared" si="55"/>
        <v>2219148.7781994981</v>
      </c>
      <c r="D563" s="67">
        <f t="array" ref="D563">SUM($B$7:$B558*$F$1009*EXP(-$F$1009*($A563-$A$7:$A558)))*$F$1010</f>
        <v>117999697.93161811</v>
      </c>
      <c r="E563" s="67">
        <f t="shared" si="53"/>
        <v>224.95600708611238</v>
      </c>
      <c r="F563" s="70">
        <f t="shared" si="57"/>
        <v>13.659328750268742</v>
      </c>
      <c r="G563" s="67">
        <f>E563/'Lookup Tables'!$C$48</f>
        <v>449.91201417222476</v>
      </c>
      <c r="H563" s="70">
        <f t="shared" si="54"/>
        <v>5.3280284082796787E-2</v>
      </c>
      <c r="I563" s="71">
        <f t="shared" si="58"/>
        <v>0.64787330040800362</v>
      </c>
      <c r="L563" s="74"/>
      <c r="M563" s="74"/>
      <c r="N563" s="74"/>
      <c r="O563" s="74"/>
      <c r="P563" s="74"/>
      <c r="Q563" s="74"/>
      <c r="R563" s="74"/>
      <c r="S563" s="74"/>
      <c r="T563" s="74"/>
      <c r="U563" s="74"/>
      <c r="V563" s="74"/>
      <c r="W563" s="74"/>
      <c r="X563" s="74"/>
      <c r="Y563" s="74"/>
      <c r="Z563" s="74"/>
    </row>
    <row r="564" spans="1:26" x14ac:dyDescent="0.3">
      <c r="A564" s="66">
        <f t="shared" si="56"/>
        <v>2045.6999999999493</v>
      </c>
      <c r="B564" s="67">
        <f>LOOKUP(A564+0.01,Amounts!$A$4:$A$103,Amounts!$B$4:$B$103)*0.1*$A$2</f>
        <v>0</v>
      </c>
      <c r="C564" s="68">
        <f t="shared" si="55"/>
        <v>2219148.7781994981</v>
      </c>
      <c r="D564" s="67">
        <f t="array" ref="D564">SUM($B$7:$B559*$F$1009*EXP(-$F$1009*($A564-$A$7:$A559)))*$F$1010</f>
        <v>117669760.90480627</v>
      </c>
      <c r="E564" s="67">
        <f t="shared" si="53"/>
        <v>224.32701127135644</v>
      </c>
      <c r="F564" s="70">
        <f t="shared" si="57"/>
        <v>13.621136124396763</v>
      </c>
      <c r="G564" s="67">
        <f>E564/'Lookup Tables'!$C$48</f>
        <v>448.65402254271288</v>
      </c>
      <c r="H564" s="70">
        <f t="shared" si="54"/>
        <v>5.3131307951280293E-2</v>
      </c>
      <c r="I564" s="71">
        <f t="shared" si="58"/>
        <v>0.64606179246150652</v>
      </c>
      <c r="L564" s="74"/>
      <c r="M564" s="74"/>
      <c r="N564" s="74"/>
      <c r="O564" s="74"/>
      <c r="P564" s="74"/>
      <c r="Q564" s="74"/>
      <c r="R564" s="74"/>
      <c r="S564" s="74"/>
      <c r="T564" s="74"/>
      <c r="U564" s="74"/>
      <c r="V564" s="74"/>
      <c r="W564" s="74"/>
      <c r="X564" s="74"/>
      <c r="Y564" s="74"/>
      <c r="Z564" s="74"/>
    </row>
    <row r="565" spans="1:26" x14ac:dyDescent="0.3">
      <c r="A565" s="66">
        <f t="shared" si="56"/>
        <v>2045.7999999999493</v>
      </c>
      <c r="B565" s="67">
        <f>LOOKUP(A565+0.01,Amounts!$A$4:$A$103,Amounts!$B$4:$B$103)*0.1*$A$2</f>
        <v>0</v>
      </c>
      <c r="C565" s="68">
        <f t="shared" si="55"/>
        <v>2219148.7781994981</v>
      </c>
      <c r="D565" s="67">
        <f t="array" ref="D565">SUM($B$7:$B560*$F$1009*EXP(-$F$1009*($A565-$A$7:$A560)))*$F$1010</f>
        <v>117340746.40952267</v>
      </c>
      <c r="E565" s="67">
        <f t="shared" si="53"/>
        <v>223.69977418151791</v>
      </c>
      <c r="F565" s="70">
        <f t="shared" si="57"/>
        <v>13.583050288301768</v>
      </c>
      <c r="G565" s="67">
        <f>E565/'Lookup Tables'!$C$48</f>
        <v>447.39954836303582</v>
      </c>
      <c r="H565" s="70">
        <f t="shared" si="54"/>
        <v>5.2982748369490282E-2</v>
      </c>
      <c r="I565" s="71">
        <f t="shared" si="58"/>
        <v>0.64425534964277154</v>
      </c>
      <c r="L565" s="74"/>
      <c r="M565" s="74"/>
      <c r="N565" s="74"/>
      <c r="O565" s="74"/>
      <c r="P565" s="74"/>
      <c r="Q565" s="74"/>
      <c r="R565" s="74"/>
      <c r="S565" s="74"/>
      <c r="T565" s="74"/>
      <c r="U565" s="74"/>
      <c r="V565" s="74"/>
      <c r="W565" s="74"/>
      <c r="X565" s="74"/>
      <c r="Y565" s="74"/>
      <c r="Z565" s="74"/>
    </row>
    <row r="566" spans="1:26" x14ac:dyDescent="0.3">
      <c r="A566" s="66">
        <f t="shared" si="56"/>
        <v>2045.8999999999492</v>
      </c>
      <c r="B566" s="67">
        <f>LOOKUP(A566+0.01,Amounts!$A$4:$A$103,Amounts!$B$4:$B$103)*0.1*$A$2</f>
        <v>0</v>
      </c>
      <c r="C566" s="68">
        <f t="shared" si="55"/>
        <v>2219148.7781994981</v>
      </c>
      <c r="D566" s="67">
        <f t="array" ref="D566">SUM($B$7:$B561*$F$1009*EXP(-$F$1009*($A566-$A$7:$A561)))*$F$1010</f>
        <v>117012651.86629187</v>
      </c>
      <c r="E566" s="67">
        <f t="shared" si="53"/>
        <v>223.07429089905466</v>
      </c>
      <c r="F566" s="70">
        <f t="shared" si="57"/>
        <v>13.545070943390598</v>
      </c>
      <c r="G566" s="67">
        <f>E566/'Lookup Tables'!$C$48</f>
        <v>446.14858179810932</v>
      </c>
      <c r="H566" s="70">
        <f t="shared" si="54"/>
        <v>5.2834604172718846E-2</v>
      </c>
      <c r="I566" s="71">
        <f t="shared" si="58"/>
        <v>0.64245395778927739</v>
      </c>
      <c r="L566" s="74"/>
      <c r="M566" s="74"/>
      <c r="N566" s="74"/>
      <c r="O566" s="74"/>
      <c r="P566" s="74"/>
      <c r="Q566" s="74"/>
      <c r="R566" s="74"/>
      <c r="S566" s="74"/>
      <c r="T566" s="74"/>
      <c r="U566" s="74"/>
      <c r="V566" s="74"/>
      <c r="W566" s="74"/>
      <c r="X566" s="74"/>
      <c r="Y566" s="74"/>
      <c r="Z566" s="74"/>
    </row>
    <row r="567" spans="1:26" x14ac:dyDescent="0.3">
      <c r="A567" s="66">
        <f t="shared" si="56"/>
        <v>2045.9999999999491</v>
      </c>
      <c r="B567" s="67">
        <f>LOOKUP(A567+0.01,Amounts!$A$4:$A$103,Amounts!$B$4:$B$103)*0.1*$A$2</f>
        <v>0</v>
      </c>
      <c r="C567" s="68">
        <f t="shared" si="55"/>
        <v>2219148.7781994981</v>
      </c>
      <c r="D567" s="67">
        <f t="array" ref="D567">SUM($B$7:$B562*$F$1009*EXP(-$F$1009*($A567-$A$7:$A562)))*$F$1010</f>
        <v>116685474.70285113</v>
      </c>
      <c r="E567" s="67">
        <f t="shared" si="53"/>
        <v>222.45055652017481</v>
      </c>
      <c r="F567" s="70">
        <f t="shared" si="57"/>
        <v>13.507197791905014</v>
      </c>
      <c r="G567" s="67">
        <f>E567/'Lookup Tables'!$C$48</f>
        <v>444.90111304034963</v>
      </c>
      <c r="H567" s="70">
        <f t="shared" si="54"/>
        <v>5.2686874199514774E-2</v>
      </c>
      <c r="I567" s="71">
        <f t="shared" si="58"/>
        <v>0.64065760277810346</v>
      </c>
      <c r="L567" s="74"/>
      <c r="M567" s="74"/>
      <c r="N567" s="74"/>
      <c r="O567" s="74"/>
      <c r="P567" s="74"/>
      <c r="Q567" s="74"/>
      <c r="R567" s="74"/>
      <c r="S567" s="74"/>
      <c r="T567" s="74"/>
      <c r="U567" s="74"/>
      <c r="V567" s="74"/>
      <c r="W567" s="74"/>
      <c r="X567" s="74"/>
      <c r="Y567" s="74"/>
      <c r="Z567" s="74"/>
    </row>
    <row r="568" spans="1:26" x14ac:dyDescent="0.3">
      <c r="A568" s="66">
        <f t="shared" si="56"/>
        <v>2046.099999999949</v>
      </c>
      <c r="B568" s="67">
        <f>LOOKUP(A568+0.01,Amounts!$A$4:$A$103,Amounts!$B$4:$B$103)*0.1*$A$2</f>
        <v>0</v>
      </c>
      <c r="C568" s="68">
        <f t="shared" si="55"/>
        <v>2219148.7781994981</v>
      </c>
      <c r="D568" s="67">
        <f t="array" ref="D568">SUM($B$7:$B563*$F$1009*EXP(-$F$1009*($A568-$A$7:$A563)))*$F$1010</f>
        <v>116359212.35412975</v>
      </c>
      <c r="E568" s="67">
        <f t="shared" si="53"/>
        <v>221.82856615479747</v>
      </c>
      <c r="F568" s="70">
        <f t="shared" si="57"/>
        <v>13.469430536919303</v>
      </c>
      <c r="G568" s="67">
        <f>E568/'Lookup Tables'!$C$48</f>
        <v>443.65713230959494</v>
      </c>
      <c r="H568" s="70">
        <f t="shared" si="54"/>
        <v>5.2539557291674296E-2</v>
      </c>
      <c r="I568" s="71">
        <f t="shared" si="58"/>
        <v>0.63886627052581668</v>
      </c>
      <c r="L568" s="74"/>
      <c r="M568" s="74"/>
      <c r="N568" s="74"/>
      <c r="O568" s="74"/>
      <c r="P568" s="74"/>
      <c r="Q568" s="74"/>
      <c r="R568" s="74"/>
      <c r="S568" s="74"/>
      <c r="T568" s="74"/>
      <c r="U568" s="74"/>
      <c r="V568" s="74"/>
      <c r="W568" s="74"/>
      <c r="X568" s="74"/>
      <c r="Y568" s="74"/>
      <c r="Z568" s="74"/>
    </row>
    <row r="569" spans="1:26" x14ac:dyDescent="0.3">
      <c r="A569" s="66">
        <f t="shared" si="56"/>
        <v>2046.1999999999489</v>
      </c>
      <c r="B569" s="67">
        <f>LOOKUP(A569+0.01,Amounts!$A$4:$A$103,Amounts!$B$4:$B$103)*0.1*$A$2</f>
        <v>0</v>
      </c>
      <c r="C569" s="68">
        <f t="shared" si="55"/>
        <v>2219148.7781994981</v>
      </c>
      <c r="D569" s="67">
        <f t="array" ref="D569">SUM($B$7:$B564*$F$1009*EXP(-$F$1009*($A569-$A$7:$A564)))*$F$1010</f>
        <v>116033862.26222914</v>
      </c>
      <c r="E569" s="67">
        <f t="shared" si="53"/>
        <v>221.2083149265149</v>
      </c>
      <c r="F569" s="70">
        <f t="shared" si="57"/>
        <v>13.431768882337984</v>
      </c>
      <c r="G569" s="67">
        <f>E569/'Lookup Tables'!$C$48</f>
        <v>442.4166298530298</v>
      </c>
      <c r="H569" s="70">
        <f t="shared" si="54"/>
        <v>5.2392652294232074E-2</v>
      </c>
      <c r="I569" s="71">
        <f t="shared" si="58"/>
        <v>0.6370799469883629</v>
      </c>
      <c r="L569" s="74"/>
      <c r="M569" s="74"/>
      <c r="N569" s="74"/>
      <c r="O569" s="74"/>
      <c r="P569" s="74"/>
      <c r="Q569" s="74"/>
      <c r="R569" s="74"/>
      <c r="S569" s="74"/>
      <c r="T569" s="74"/>
      <c r="U569" s="74"/>
      <c r="V569" s="74"/>
      <c r="W569" s="74"/>
      <c r="X569" s="74"/>
      <c r="Y569" s="74"/>
      <c r="Z569" s="74"/>
    </row>
    <row r="570" spans="1:26" x14ac:dyDescent="0.3">
      <c r="A570" s="66">
        <f t="shared" si="56"/>
        <v>2046.2999999999488</v>
      </c>
      <c r="B570" s="67">
        <f>LOOKUP(A570+0.01,Amounts!$A$4:$A$103,Amounts!$B$4:$B$103)*0.1*$A$2</f>
        <v>0</v>
      </c>
      <c r="C570" s="68">
        <f t="shared" si="55"/>
        <v>2219148.7781994981</v>
      </c>
      <c r="D570" s="67">
        <f t="array" ref="D570">SUM($B$7:$B565*$F$1009*EXP(-$F$1009*($A570-$A$7:$A565)))*$F$1010</f>
        <v>115709421.87640306</v>
      </c>
      <c r="E570" s="67">
        <f t="shared" si="53"/>
        <v>220.58979797255449</v>
      </c>
      <c r="F570" s="70">
        <f t="shared" si="57"/>
        <v>13.394212532893508</v>
      </c>
      <c r="G570" s="67">
        <f>E570/'Lookup Tables'!$C$48</f>
        <v>441.17959594510899</v>
      </c>
      <c r="H570" s="70">
        <f t="shared" si="54"/>
        <v>5.2246158055452206E-2</v>
      </c>
      <c r="I570" s="71">
        <f t="shared" si="58"/>
        <v>0.6352986181609569</v>
      </c>
      <c r="L570" s="74"/>
      <c r="M570" s="74"/>
      <c r="N570" s="74"/>
      <c r="O570" s="74"/>
      <c r="P570" s="74"/>
      <c r="Q570" s="74"/>
      <c r="R570" s="74"/>
      <c r="S570" s="74"/>
      <c r="T570" s="74"/>
      <c r="U570" s="74"/>
      <c r="V570" s="74"/>
      <c r="W570" s="74"/>
      <c r="X570" s="74"/>
      <c r="Y570" s="74"/>
      <c r="Z570" s="74"/>
    </row>
    <row r="571" spans="1:26" x14ac:dyDescent="0.3">
      <c r="A571" s="66">
        <f t="shared" si="56"/>
        <v>2046.3999999999487</v>
      </c>
      <c r="B571" s="67">
        <f>LOOKUP(A571+0.01,Amounts!$A$4:$A$103,Amounts!$B$4:$B$103)*0.1*$A$2</f>
        <v>0</v>
      </c>
      <c r="C571" s="68">
        <f t="shared" si="55"/>
        <v>2219148.7781994981</v>
      </c>
      <c r="D571" s="67">
        <f t="array" ref="D571">SUM($B$7:$B566*$F$1009*EXP(-$F$1009*($A571-$A$7:$A566)))*$F$1010</f>
        <v>115385888.65303715</v>
      </c>
      <c r="E571" s="67">
        <f t="shared" si="53"/>
        <v>219.97301044374001</v>
      </c>
      <c r="F571" s="70">
        <f t="shared" si="57"/>
        <v>13.356761194143893</v>
      </c>
      <c r="G571" s="67">
        <f>E571/'Lookup Tables'!$C$48</f>
        <v>439.94602088748002</v>
      </c>
      <c r="H571" s="70">
        <f t="shared" si="54"/>
        <v>5.2100073426819105E-2</v>
      </c>
      <c r="I571" s="71">
        <f t="shared" si="58"/>
        <v>0.63352227007797124</v>
      </c>
      <c r="L571" s="74"/>
      <c r="M571" s="74"/>
      <c r="N571" s="74"/>
      <c r="O571" s="74"/>
      <c r="P571" s="74"/>
      <c r="Q571" s="74"/>
      <c r="R571" s="74"/>
      <c r="S571" s="74"/>
      <c r="T571" s="74"/>
      <c r="U571" s="74"/>
      <c r="V571" s="74"/>
      <c r="W571" s="74"/>
      <c r="X571" s="74"/>
      <c r="Y571" s="74"/>
      <c r="Z571" s="74"/>
    </row>
    <row r="572" spans="1:26" x14ac:dyDescent="0.3">
      <c r="A572" s="66">
        <f t="shared" si="56"/>
        <v>2046.4999999999486</v>
      </c>
      <c r="B572" s="67">
        <f>LOOKUP(A572+0.01,Amounts!$A$4:$A$103,Amounts!$B$4:$B$103)*0.1*$A$2</f>
        <v>0</v>
      </c>
      <c r="C572" s="68">
        <f t="shared" si="55"/>
        <v>2219148.7781994981</v>
      </c>
      <c r="D572" s="67">
        <f t="array" ref="D572">SUM($B$7:$B567*$F$1009*EXP(-$F$1009*($A572-$A$7:$A567)))*$F$1010</f>
        <v>115063260.05562933</v>
      </c>
      <c r="E572" s="67">
        <f t="shared" si="53"/>
        <v>219.35794750445424</v>
      </c>
      <c r="F572" s="70">
        <f t="shared" si="57"/>
        <v>13.319414572470462</v>
      </c>
      <c r="G572" s="67">
        <f>E572/'Lookup Tables'!$C$48</f>
        <v>438.71589500890849</v>
      </c>
      <c r="H572" s="70">
        <f t="shared" si="54"/>
        <v>5.195439726302855E-2</v>
      </c>
      <c r="I572" s="71">
        <f t="shared" si="58"/>
        <v>0.63175088881282826</v>
      </c>
      <c r="L572" s="74"/>
      <c r="M572" s="74"/>
      <c r="N572" s="74"/>
      <c r="O572" s="74"/>
      <c r="P572" s="74"/>
      <c r="Q572" s="74"/>
      <c r="R572" s="74"/>
      <c r="S572" s="74"/>
      <c r="T572" s="74"/>
      <c r="U572" s="74"/>
      <c r="V572" s="74"/>
      <c r="W572" s="74"/>
      <c r="X572" s="74"/>
      <c r="Y572" s="74"/>
      <c r="Z572" s="74"/>
    </row>
    <row r="573" spans="1:26" x14ac:dyDescent="0.3">
      <c r="A573" s="66">
        <f t="shared" si="56"/>
        <v>2046.5999999999485</v>
      </c>
      <c r="B573" s="67">
        <f>LOOKUP(A573+0.01,Amounts!$A$4:$A$103,Amounts!$B$4:$B$103)*0.1*$A$2</f>
        <v>0</v>
      </c>
      <c r="C573" s="68">
        <f t="shared" si="55"/>
        <v>2219148.7781994981</v>
      </c>
      <c r="D573" s="67">
        <f t="array" ref="D573">SUM($B$7:$B568*$F$1009*EXP(-$F$1009*($A573-$A$7:$A568)))*$F$1010</f>
        <v>114741533.55476972</v>
      </c>
      <c r="E573" s="67">
        <f t="shared" si="53"/>
        <v>218.74460433260049</v>
      </c>
      <c r="F573" s="70">
        <f t="shared" si="57"/>
        <v>13.282172375075502</v>
      </c>
      <c r="G573" s="67">
        <f>E573/'Lookup Tables'!$C$48</f>
        <v>437.48920866520098</v>
      </c>
      <c r="H573" s="70">
        <f t="shared" si="54"/>
        <v>5.1809128421978649E-2</v>
      </c>
      <c r="I573" s="71">
        <f t="shared" si="58"/>
        <v>0.62998446047788936</v>
      </c>
      <c r="L573" s="74"/>
      <c r="M573" s="74"/>
      <c r="N573" s="74"/>
      <c r="O573" s="74"/>
      <c r="P573" s="74"/>
      <c r="Q573" s="74"/>
      <c r="R573" s="74"/>
      <c r="S573" s="74"/>
      <c r="T573" s="74"/>
      <c r="U573" s="74"/>
      <c r="V573" s="74"/>
      <c r="W573" s="74"/>
      <c r="X573" s="74"/>
      <c r="Y573" s="74"/>
      <c r="Z573" s="74"/>
    </row>
    <row r="574" spans="1:26" x14ac:dyDescent="0.3">
      <c r="A574" s="66">
        <f t="shared" si="56"/>
        <v>2046.6999999999484</v>
      </c>
      <c r="B574" s="67">
        <f>LOOKUP(A574+0.01,Amounts!$A$4:$A$103,Amounts!$B$4:$B$103)*0.1*$A$2</f>
        <v>0</v>
      </c>
      <c r="C574" s="68">
        <f t="shared" si="55"/>
        <v>2219148.7781994981</v>
      </c>
      <c r="D574" s="67">
        <f t="array" ref="D574">SUM($B$7:$B569*$F$1009*EXP(-$F$1009*($A574-$A$7:$A569)))*$F$1010</f>
        <v>114420706.62812082</v>
      </c>
      <c r="E574" s="67">
        <f t="shared" si="53"/>
        <v>218.13297611956497</v>
      </c>
      <c r="F574" s="70">
        <f t="shared" si="57"/>
        <v>13.245034309979987</v>
      </c>
      <c r="G574" s="67">
        <f>E574/'Lookup Tables'!$C$48</f>
        <v>436.26595223912994</v>
      </c>
      <c r="H574" s="70">
        <f t="shared" si="54"/>
        <v>5.1664265764760915E-2</v>
      </c>
      <c r="I574" s="71">
        <f t="shared" si="58"/>
        <v>0.62822297122434712</v>
      </c>
      <c r="L574" s="74"/>
      <c r="M574" s="74"/>
      <c r="N574" s="74"/>
      <c r="O574" s="74"/>
      <c r="P574" s="74"/>
      <c r="Q574" s="74"/>
      <c r="R574" s="74"/>
      <c r="S574" s="74"/>
      <c r="T574" s="74"/>
      <c r="U574" s="74"/>
      <c r="V574" s="74"/>
      <c r="W574" s="74"/>
      <c r="X574" s="74"/>
      <c r="Y574" s="74"/>
      <c r="Z574" s="74"/>
    </row>
    <row r="575" spans="1:26" x14ac:dyDescent="0.3">
      <c r="A575" s="66">
        <f t="shared" si="56"/>
        <v>2046.7999999999483</v>
      </c>
      <c r="B575" s="67">
        <f>LOOKUP(A575+0.01,Amounts!$A$4:$A$103,Amounts!$B$4:$B$103)*0.1*$A$2</f>
        <v>0</v>
      </c>
      <c r="C575" s="68">
        <f t="shared" si="55"/>
        <v>2219148.7781994981</v>
      </c>
      <c r="D575" s="67">
        <f t="array" ref="D575">SUM($B$7:$B570*$F$1009*EXP(-$F$1009*($A575-$A$7:$A570)))*$F$1010</f>
        <v>114100776.76039796</v>
      </c>
      <c r="E575" s="67">
        <f t="shared" si="53"/>
        <v>217.52305807017953</v>
      </c>
      <c r="F575" s="70">
        <f t="shared" si="57"/>
        <v>13.2080000860213</v>
      </c>
      <c r="G575" s="67">
        <f>E575/'Lookup Tables'!$C$48</f>
        <v>435.04611614035906</v>
      </c>
      <c r="H575" s="70">
        <f t="shared" si="54"/>
        <v>5.1519808155651402E-2</v>
      </c>
      <c r="I575" s="71">
        <f t="shared" si="58"/>
        <v>0.626466407242117</v>
      </c>
      <c r="L575" s="74"/>
      <c r="M575" s="74"/>
      <c r="N575" s="74"/>
      <c r="O575" s="74"/>
      <c r="P575" s="74"/>
      <c r="Q575" s="74"/>
      <c r="R575" s="74"/>
      <c r="S575" s="74"/>
      <c r="T575" s="74"/>
      <c r="U575" s="74"/>
      <c r="V575" s="74"/>
      <c r="W575" s="74"/>
      <c r="X575" s="74"/>
      <c r="Y575" s="74"/>
      <c r="Z575" s="74"/>
    </row>
    <row r="576" spans="1:26" x14ac:dyDescent="0.3">
      <c r="A576" s="66">
        <f t="shared" si="56"/>
        <v>2046.8999999999482</v>
      </c>
      <c r="B576" s="67">
        <f>LOOKUP(A576+0.01,Amounts!$A$4:$A$103,Amounts!$B$4:$B$103)*0.1*$A$2</f>
        <v>0</v>
      </c>
      <c r="C576" s="68">
        <f t="shared" si="55"/>
        <v>2219148.7781994981</v>
      </c>
      <c r="D576" s="67">
        <f t="array" ref="D576">SUM($B$7:$B571*$F$1009*EXP(-$F$1009*($A576-$A$7:$A571)))*$F$1010</f>
        <v>113781741.44334936</v>
      </c>
      <c r="E576" s="67">
        <f t="shared" si="53"/>
        <v>216.9148454026836</v>
      </c>
      <c r="F576" s="70">
        <f t="shared" si="57"/>
        <v>13.171069412850947</v>
      </c>
      <c r="G576" s="67">
        <f>E576/'Lookup Tables'!$C$48</f>
        <v>433.82969080536719</v>
      </c>
      <c r="H576" s="70">
        <f t="shared" si="54"/>
        <v>5.1375754462101748E-2</v>
      </c>
      <c r="I576" s="71">
        <f t="shared" si="58"/>
        <v>0.62471475475972882</v>
      </c>
      <c r="L576" s="74"/>
      <c r="M576" s="74"/>
      <c r="N576" s="74"/>
      <c r="O576" s="74"/>
      <c r="P576" s="74"/>
      <c r="Q576" s="74"/>
      <c r="R576" s="74"/>
      <c r="S576" s="74"/>
      <c r="T576" s="74"/>
      <c r="U576" s="74"/>
      <c r="V576" s="74"/>
      <c r="W576" s="74"/>
      <c r="X576" s="74"/>
      <c r="Y576" s="74"/>
      <c r="Z576" s="74"/>
    </row>
    <row r="577" spans="1:26" x14ac:dyDescent="0.3">
      <c r="A577" s="66">
        <f t="shared" si="56"/>
        <v>2046.9999999999482</v>
      </c>
      <c r="B577" s="67">
        <f>LOOKUP(A577+0.01,Amounts!$A$4:$A$103,Amounts!$B$4:$B$103)*0.1*$A$2</f>
        <v>0</v>
      </c>
      <c r="C577" s="68">
        <f t="shared" si="55"/>
        <v>2219148.7781994981</v>
      </c>
      <c r="D577" s="67">
        <f t="array" ref="D577">SUM($B$7:$B572*$F$1009*EXP(-$F$1009*($A577-$A$7:$A572)))*$F$1010</f>
        <v>113463598.17573653</v>
      </c>
      <c r="E577" s="67">
        <f t="shared" si="53"/>
        <v>216.30833334868677</v>
      </c>
      <c r="F577" s="70">
        <f t="shared" si="57"/>
        <v>13.134242000932261</v>
      </c>
      <c r="G577" s="67">
        <f>E577/'Lookup Tables'!$C$48</f>
        <v>432.61666669737355</v>
      </c>
      <c r="H577" s="70">
        <f t="shared" si="54"/>
        <v>5.1232103554730235E-2</v>
      </c>
      <c r="I577" s="71">
        <f t="shared" si="58"/>
        <v>0.62296800004421793</v>
      </c>
      <c r="L577" s="74"/>
      <c r="M577" s="74"/>
      <c r="N577" s="74"/>
      <c r="O577" s="74"/>
      <c r="P577" s="74"/>
      <c r="Q577" s="74"/>
      <c r="R577" s="74"/>
      <c r="S577" s="74"/>
      <c r="T577" s="74"/>
      <c r="U577" s="74"/>
      <c r="V577" s="74"/>
      <c r="W577" s="74"/>
      <c r="X577" s="74"/>
      <c r="Y577" s="74"/>
      <c r="Z577" s="74"/>
    </row>
    <row r="578" spans="1:26" x14ac:dyDescent="0.3">
      <c r="A578" s="66">
        <f t="shared" si="56"/>
        <v>2047.0999999999481</v>
      </c>
      <c r="B578" s="67">
        <f>LOOKUP(A578+0.01,Amounts!$A$4:$A$103,Amounts!$B$4:$B$103)*0.1*$A$2</f>
        <v>0</v>
      </c>
      <c r="C578" s="68">
        <f t="shared" si="55"/>
        <v>2219148.7781994981</v>
      </c>
      <c r="D578" s="67">
        <f t="array" ref="D578">SUM($B$7:$B573*$F$1009*EXP(-$F$1009*($A578-$A$7:$A573)))*$F$1010</f>
        <v>113146344.46331449</v>
      </c>
      <c r="E578" s="67">
        <f t="shared" si="53"/>
        <v>215.7035171531312</v>
      </c>
      <c r="F578" s="70">
        <f t="shared" si="57"/>
        <v>13.097517561538126</v>
      </c>
      <c r="G578" s="67">
        <f>E578/'Lookup Tables'!$C$48</f>
        <v>431.4070343062624</v>
      </c>
      <c r="H578" s="70">
        <f t="shared" si="54"/>
        <v>5.1088854307312984E-2</v>
      </c>
      <c r="I578" s="71">
        <f t="shared" si="58"/>
        <v>0.62122612940101796</v>
      </c>
      <c r="L578" s="74"/>
      <c r="M578" s="74"/>
      <c r="N578" s="74"/>
      <c r="O578" s="74"/>
      <c r="P578" s="74"/>
      <c r="Q578" s="74"/>
      <c r="R578" s="74"/>
      <c r="S578" s="74"/>
      <c r="T578" s="74"/>
      <c r="U578" s="74"/>
      <c r="V578" s="74"/>
      <c r="W578" s="74"/>
      <c r="X578" s="74"/>
      <c r="Y578" s="74"/>
      <c r="Z578" s="74"/>
    </row>
    <row r="579" spans="1:26" x14ac:dyDescent="0.3">
      <c r="A579" s="66">
        <f t="shared" si="56"/>
        <v>2047.199999999948</v>
      </c>
      <c r="B579" s="67">
        <f>LOOKUP(A579+0.01,Amounts!$A$4:$A$103,Amounts!$B$4:$B$103)*0.1*$A$2</f>
        <v>0</v>
      </c>
      <c r="C579" s="68">
        <f t="shared" si="55"/>
        <v>2219148.7781994981</v>
      </c>
      <c r="D579" s="67">
        <f t="array" ref="D579">SUM($B$7:$B574*$F$1009*EXP(-$F$1009*($A579-$A$7:$A574)))*$F$1010</f>
        <v>112829977.81881264</v>
      </c>
      <c r="E579" s="67">
        <f t="shared" si="53"/>
        <v>215.10039207425507</v>
      </c>
      <c r="F579" s="70">
        <f t="shared" si="57"/>
        <v>13.060895806748768</v>
      </c>
      <c r="G579" s="67">
        <f>E579/'Lookup Tables'!$C$48</f>
        <v>430.20078414851014</v>
      </c>
      <c r="H579" s="70">
        <f t="shared" si="54"/>
        <v>5.0946005596775194E-2</v>
      </c>
      <c r="I579" s="71">
        <f t="shared" si="58"/>
        <v>0.61948912917385457</v>
      </c>
      <c r="L579" s="74"/>
      <c r="M579" s="74"/>
      <c r="N579" s="74"/>
      <c r="O579" s="74"/>
      <c r="P579" s="74"/>
      <c r="Q579" s="74"/>
      <c r="R579" s="74"/>
      <c r="S579" s="74"/>
      <c r="T579" s="74"/>
      <c r="U579" s="74"/>
      <c r="V579" s="74"/>
      <c r="W579" s="74"/>
      <c r="X579" s="74"/>
      <c r="Y579" s="74"/>
      <c r="Z579" s="74"/>
    </row>
    <row r="580" spans="1:26" x14ac:dyDescent="0.3">
      <c r="A580" s="66">
        <f t="shared" si="56"/>
        <v>2047.2999999999479</v>
      </c>
      <c r="B580" s="67">
        <f>LOOKUP(A580+0.01,Amounts!$A$4:$A$103,Amounts!$B$4:$B$103)*0.1*$A$2</f>
        <v>0</v>
      </c>
      <c r="C580" s="68">
        <f t="shared" si="55"/>
        <v>2219148.7781994981</v>
      </c>
      <c r="D580" s="67">
        <f t="array" ref="D580">SUM($B$7:$B575*$F$1009*EXP(-$F$1009*($A580-$A$7:$A575)))*$F$1010</f>
        <v>112514495.76191485</v>
      </c>
      <c r="E580" s="67">
        <f t="shared" si="53"/>
        <v>214.49895338355464</v>
      </c>
      <c r="F580" s="70">
        <f t="shared" si="57"/>
        <v>13.024376449449436</v>
      </c>
      <c r="G580" s="67">
        <f>E580/'Lookup Tables'!$C$48</f>
        <v>428.99790676710927</v>
      </c>
      <c r="H580" s="70">
        <f t="shared" si="54"/>
        <v>5.0803556303182257E-2</v>
      </c>
      <c r="I580" s="71">
        <f t="shared" si="58"/>
        <v>0.61775698574463733</v>
      </c>
      <c r="L580" s="74"/>
      <c r="M580" s="74"/>
      <c r="N580" s="74"/>
      <c r="O580" s="74"/>
      <c r="P580" s="74"/>
      <c r="Q580" s="74"/>
      <c r="R580" s="74"/>
      <c r="S580" s="74"/>
      <c r="T580" s="74"/>
      <c r="U580" s="74"/>
      <c r="V580" s="74"/>
      <c r="W580" s="74"/>
      <c r="X580" s="74"/>
      <c r="Y580" s="74"/>
      <c r="Z580" s="74"/>
    </row>
    <row r="581" spans="1:26" x14ac:dyDescent="0.3">
      <c r="A581" s="66">
        <f t="shared" si="56"/>
        <v>2047.3999999999478</v>
      </c>
      <c r="B581" s="67">
        <f>LOOKUP(A581+0.01,Amounts!$A$4:$A$103,Amounts!$B$4:$B$103)*0.1*$A$2</f>
        <v>0</v>
      </c>
      <c r="C581" s="68">
        <f t="shared" si="55"/>
        <v>2219148.7781994981</v>
      </c>
      <c r="D581" s="67">
        <f t="array" ref="D581">SUM($B$7:$B576*$F$1009*EXP(-$F$1009*($A581-$A$7:$A576)))*$F$1010</f>
        <v>112199895.81924009</v>
      </c>
      <c r="E581" s="67">
        <f t="shared" si="53"/>
        <v>213.89919636574729</v>
      </c>
      <c r="F581" s="70">
        <f t="shared" si="57"/>
        <v>12.987959203328176</v>
      </c>
      <c r="G581" s="67">
        <f>E581/'Lookup Tables'!$C$48</f>
        <v>427.79839273149457</v>
      </c>
      <c r="H581" s="70">
        <f t="shared" si="54"/>
        <v>5.0661505309730924E-2</v>
      </c>
      <c r="I581" s="71">
        <f t="shared" si="58"/>
        <v>0.61602968553335224</v>
      </c>
      <c r="L581" s="74"/>
      <c r="M581" s="74"/>
      <c r="N581" s="74"/>
      <c r="O581" s="74"/>
      <c r="P581" s="74"/>
      <c r="Q581" s="74"/>
      <c r="R581" s="74"/>
      <c r="S581" s="74"/>
      <c r="T581" s="74"/>
      <c r="U581" s="74"/>
      <c r="V581" s="74"/>
      <c r="W581" s="74"/>
      <c r="X581" s="74"/>
      <c r="Y581" s="74"/>
      <c r="Z581" s="74"/>
    </row>
    <row r="582" spans="1:26" x14ac:dyDescent="0.3">
      <c r="A582" s="66">
        <f t="shared" si="56"/>
        <v>2047.4999999999477</v>
      </c>
      <c r="B582" s="67">
        <f>LOOKUP(A582+0.01,Amounts!$A$4:$A$103,Amounts!$B$4:$B$103)*0.1*$A$2</f>
        <v>0</v>
      </c>
      <c r="C582" s="68">
        <f t="shared" si="55"/>
        <v>2219148.7781994981</v>
      </c>
      <c r="D582" s="67">
        <f t="array" ref="D582">SUM($B$7:$B577*$F$1009*EXP(-$F$1009*($A582-$A$7:$A577)))*$F$1010</f>
        <v>111886175.52432331</v>
      </c>
      <c r="E582" s="67">
        <f t="shared" si="53"/>
        <v>213.30111631873518</v>
      </c>
      <c r="F582" s="70">
        <f t="shared" si="57"/>
        <v>12.951643782873601</v>
      </c>
      <c r="G582" s="67">
        <f>E582/'Lookup Tables'!$C$48</f>
        <v>426.60223263747037</v>
      </c>
      <c r="H582" s="70">
        <f t="shared" si="54"/>
        <v>5.0519851502740749E-2</v>
      </c>
      <c r="I582" s="71">
        <f t="shared" si="58"/>
        <v>0.61430721499795737</v>
      </c>
      <c r="L582" s="74"/>
      <c r="M582" s="74"/>
      <c r="N582" s="74"/>
      <c r="O582" s="74"/>
      <c r="P582" s="74"/>
      <c r="Q582" s="74"/>
      <c r="R582" s="74"/>
      <c r="S582" s="74"/>
      <c r="T582" s="74"/>
      <c r="U582" s="74"/>
      <c r="V582" s="74"/>
      <c r="W582" s="74"/>
      <c r="X582" s="74"/>
      <c r="Y582" s="74"/>
      <c r="Z582" s="74"/>
    </row>
    <row r="583" spans="1:26" x14ac:dyDescent="0.3">
      <c r="A583" s="66">
        <f t="shared" si="56"/>
        <v>2047.5999999999476</v>
      </c>
      <c r="B583" s="67">
        <f>LOOKUP(A583+0.01,Amounts!$A$4:$A$103,Amounts!$B$4:$B$103)*0.1*$A$2</f>
        <v>0</v>
      </c>
      <c r="C583" s="68">
        <f t="shared" si="55"/>
        <v>2219148.7781994981</v>
      </c>
      <c r="D583" s="67">
        <f t="array" ref="D583">SUM($B$7:$B578*$F$1009*EXP(-$F$1009*($A583-$A$7:$A578)))*$F$1010</f>
        <v>111573332.41759568</v>
      </c>
      <c r="E583" s="67">
        <f t="shared" ref="E583:E646" si="59">D583/(365*24*60)*1.00201</f>
        <v>212.70470855356746</v>
      </c>
      <c r="F583" s="70">
        <f t="shared" si="57"/>
        <v>12.915429903372615</v>
      </c>
      <c r="G583" s="67">
        <f>E583/'Lookup Tables'!$C$48</f>
        <v>425.40941710713491</v>
      </c>
      <c r="H583" s="70">
        <f t="shared" ref="H583:H646" si="60">G583*60*24*365/(C583*2000)</f>
        <v>5.0378593771645094E-2</v>
      </c>
      <c r="I583" s="71">
        <f t="shared" si="58"/>
        <v>0.61258956063427428</v>
      </c>
      <c r="L583" s="74"/>
      <c r="M583" s="74"/>
      <c r="N583" s="74"/>
      <c r="O583" s="74"/>
      <c r="P583" s="74"/>
      <c r="Q583" s="74"/>
      <c r="R583" s="74"/>
      <c r="S583" s="74"/>
      <c r="T583" s="74"/>
      <c r="U583" s="74"/>
      <c r="V583" s="74"/>
      <c r="W583" s="74"/>
      <c r="X583" s="74"/>
      <c r="Y583" s="74"/>
      <c r="Z583" s="74"/>
    </row>
    <row r="584" spans="1:26" x14ac:dyDescent="0.3">
      <c r="A584" s="66">
        <f t="shared" si="56"/>
        <v>2047.6999999999475</v>
      </c>
      <c r="B584" s="67">
        <f>LOOKUP(A584+0.01,Amounts!$A$4:$A$103,Amounts!$B$4:$B$103)*0.1*$A$2</f>
        <v>0</v>
      </c>
      <c r="C584" s="68">
        <f t="shared" si="55"/>
        <v>2219148.7781994981</v>
      </c>
      <c r="D584" s="67">
        <f t="array" ref="D584">SUM($B$7:$B579*$F$1009*EXP(-$F$1009*($A584-$A$7:$A579)))*$F$1010</f>
        <v>111261364.04636574</v>
      </c>
      <c r="E584" s="67">
        <f t="shared" si="59"/>
        <v>212.10996839440438</v>
      </c>
      <c r="F584" s="70">
        <f t="shared" si="57"/>
        <v>12.879317280908234</v>
      </c>
      <c r="G584" s="67">
        <f>E584/'Lookup Tables'!$C$48</f>
        <v>424.21993678880875</v>
      </c>
      <c r="H584" s="70">
        <f t="shared" si="60"/>
        <v>5.023773100898267E-2</v>
      </c>
      <c r="I584" s="71">
        <f t="shared" si="58"/>
        <v>0.61087670897588464</v>
      </c>
      <c r="L584" s="74"/>
      <c r="M584" s="74"/>
      <c r="N584" s="74"/>
      <c r="O584" s="74"/>
      <c r="P584" s="74"/>
      <c r="Q584" s="74"/>
      <c r="R584" s="74"/>
      <c r="S584" s="74"/>
      <c r="T584" s="74"/>
      <c r="U584" s="74"/>
      <c r="V584" s="74"/>
      <c r="W584" s="74"/>
      <c r="X584" s="74"/>
      <c r="Y584" s="74"/>
      <c r="Z584" s="74"/>
    </row>
    <row r="585" spans="1:26" x14ac:dyDescent="0.3">
      <c r="A585" s="66">
        <f t="shared" si="56"/>
        <v>2047.7999999999474</v>
      </c>
      <c r="B585" s="67">
        <f>LOOKUP(A585+0.01,Amounts!$A$4:$A$103,Amounts!$B$4:$B$103)*0.1*$A$2</f>
        <v>0</v>
      </c>
      <c r="C585" s="68">
        <f t="shared" ref="C585:C648" si="61">C584+B585</f>
        <v>2219148.7781994981</v>
      </c>
      <c r="D585" s="67">
        <f t="array" ref="D585">SUM($B$7:$B580*$F$1009*EXP(-$F$1009*($A585-$A$7:$A580)))*$F$1010</f>
        <v>110950267.96479979</v>
      </c>
      <c r="E585" s="67">
        <f t="shared" si="59"/>
        <v>211.51689117847994</v>
      </c>
      <c r="F585" s="70">
        <f t="shared" si="57"/>
        <v>12.843305632357302</v>
      </c>
      <c r="G585" s="67">
        <f>E585/'Lookup Tables'!$C$48</f>
        <v>423.03378235695988</v>
      </c>
      <c r="H585" s="70">
        <f t="shared" si="60"/>
        <v>5.0097262110388674E-2</v>
      </c>
      <c r="I585" s="71">
        <f t="shared" si="58"/>
        <v>0.60916864659402215</v>
      </c>
      <c r="L585" s="74"/>
      <c r="M585" s="74"/>
      <c r="N585" s="74"/>
      <c r="O585" s="74"/>
      <c r="P585" s="74"/>
      <c r="Q585" s="74"/>
      <c r="R585" s="74"/>
      <c r="S585" s="74"/>
      <c r="T585" s="74"/>
      <c r="U585" s="74"/>
      <c r="V585" s="74"/>
      <c r="W585" s="74"/>
      <c r="X585" s="74"/>
      <c r="Y585" s="74"/>
      <c r="Z585" s="74"/>
    </row>
    <row r="586" spans="1:26" x14ac:dyDescent="0.3">
      <c r="A586" s="66">
        <f t="shared" si="56"/>
        <v>2047.8999999999473</v>
      </c>
      <c r="B586" s="67">
        <f>LOOKUP(A586+0.01,Amounts!$A$4:$A$103,Amounts!$B$4:$B$103)*0.1*$A$2</f>
        <v>0</v>
      </c>
      <c r="C586" s="68">
        <f t="shared" si="61"/>
        <v>2219148.7781994981</v>
      </c>
      <c r="D586" s="67">
        <f t="array" ref="D586">SUM($B$7:$B581*$F$1009*EXP(-$F$1009*($A586-$A$7:$A581)))*$F$1010</f>
        <v>110640041.73390301</v>
      </c>
      <c r="E586" s="67">
        <f t="shared" si="59"/>
        <v>210.92547225606575</v>
      </c>
      <c r="F586" s="70">
        <f t="shared" si="57"/>
        <v>12.807394675388313</v>
      </c>
      <c r="G586" s="67">
        <f>E586/'Lookup Tables'!$C$48</f>
        <v>421.85094451213149</v>
      </c>
      <c r="H586" s="70">
        <f t="shared" si="60"/>
        <v>4.9957185974586232E-2</v>
      </c>
      <c r="I586" s="71">
        <f t="shared" si="58"/>
        <v>0.60746536009746932</v>
      </c>
      <c r="L586" s="74"/>
      <c r="M586" s="74"/>
      <c r="N586" s="74"/>
      <c r="O586" s="74"/>
      <c r="P586" s="74"/>
      <c r="Q586" s="74"/>
      <c r="R586" s="74"/>
      <c r="S586" s="74"/>
      <c r="T586" s="74"/>
      <c r="U586" s="74"/>
      <c r="V586" s="74"/>
      <c r="W586" s="74"/>
      <c r="X586" s="74"/>
      <c r="Y586" s="74"/>
      <c r="Z586" s="74"/>
    </row>
    <row r="587" spans="1:26" x14ac:dyDescent="0.3">
      <c r="A587" s="66">
        <f t="shared" si="56"/>
        <v>2047.9999999999472</v>
      </c>
      <c r="B587" s="67">
        <f>LOOKUP(A587+0.01,Amounts!$A$4:$A$103,Amounts!$B$4:$B$103)*0.1*$A$2</f>
        <v>0</v>
      </c>
      <c r="C587" s="68">
        <f t="shared" si="61"/>
        <v>2219148.7781994981</v>
      </c>
      <c r="D587" s="67">
        <f t="array" ref="D587">SUM($B$7:$B582*$F$1009*EXP(-$F$1009*($A587-$A$7:$A582)))*$F$1010</f>
        <v>110330682.92150015</v>
      </c>
      <c r="E587" s="67">
        <f t="shared" si="59"/>
        <v>210.33570699043449</v>
      </c>
      <c r="F587" s="70">
        <f t="shared" si="57"/>
        <v>12.771584128459182</v>
      </c>
      <c r="G587" s="67">
        <f>E587/'Lookup Tables'!$C$48</f>
        <v>420.67141398086898</v>
      </c>
      <c r="H587" s="70">
        <f t="shared" si="60"/>
        <v>4.9817501503377735E-2</v>
      </c>
      <c r="I587" s="71">
        <f t="shared" si="58"/>
        <v>0.6057668361324513</v>
      </c>
      <c r="L587" s="74"/>
      <c r="M587" s="74"/>
      <c r="N587" s="74"/>
      <c r="O587" s="74"/>
      <c r="P587" s="74"/>
      <c r="Q587" s="74"/>
      <c r="R587" s="74"/>
      <c r="S587" s="74"/>
      <c r="T587" s="74"/>
      <c r="U587" s="74"/>
      <c r="V587" s="74"/>
      <c r="W587" s="74"/>
      <c r="X587" s="74"/>
      <c r="Y587" s="74"/>
      <c r="Z587" s="74"/>
    </row>
    <row r="588" spans="1:26" x14ac:dyDescent="0.3">
      <c r="A588" s="66">
        <f t="shared" si="56"/>
        <v>2048.0999999999472</v>
      </c>
      <c r="B588" s="67">
        <f>LOOKUP(A588+0.01,Amounts!$A$4:$A$103,Amounts!$B$4:$B$103)*0.1*$A$2</f>
        <v>0</v>
      </c>
      <c r="C588" s="68">
        <f t="shared" si="61"/>
        <v>2219148.7781994981</v>
      </c>
      <c r="D588" s="67">
        <f t="array" ref="D588">SUM($B$7:$B583*$F$1009*EXP(-$F$1009*($A588-$A$7:$A583)))*$F$1010</f>
        <v>110022189.1022165</v>
      </c>
      <c r="E588" s="67">
        <f t="shared" si="59"/>
        <v>209.74759075782336</v>
      </c>
      <c r="F588" s="70">
        <f t="shared" si="57"/>
        <v>12.735873710815035</v>
      </c>
      <c r="G588" s="67">
        <f>E588/'Lookup Tables'!$C$48</f>
        <v>419.49518151564672</v>
      </c>
      <c r="H588" s="70">
        <f t="shared" si="60"/>
        <v>4.9678207601636187E-2</v>
      </c>
      <c r="I588" s="71">
        <f t="shared" si="58"/>
        <v>0.60407306138253125</v>
      </c>
      <c r="L588" s="74"/>
      <c r="M588" s="74"/>
      <c r="N588" s="74"/>
      <c r="O588" s="74"/>
      <c r="P588" s="74"/>
      <c r="Q588" s="74"/>
      <c r="R588" s="74"/>
      <c r="S588" s="74"/>
      <c r="T588" s="74"/>
      <c r="U588" s="74"/>
      <c r="V588" s="74"/>
      <c r="W588" s="74"/>
      <c r="X588" s="74"/>
      <c r="Y588" s="74"/>
      <c r="Z588" s="74"/>
    </row>
    <row r="589" spans="1:26" x14ac:dyDescent="0.3">
      <c r="A589" s="66">
        <f t="shared" si="56"/>
        <v>2048.1999999999471</v>
      </c>
      <c r="B589" s="67">
        <f>LOOKUP(A589+0.01,Amounts!$A$4:$A$103,Amounts!$B$4:$B$103)*0.1*$A$2</f>
        <v>0</v>
      </c>
      <c r="C589" s="68">
        <f t="shared" si="61"/>
        <v>2219148.7781994981</v>
      </c>
      <c r="D589" s="67">
        <f t="array" ref="D589">SUM($B$7:$B584*$F$1009*EXP(-$F$1009*($A589-$A$7:$A584)))*$F$1010</f>
        <v>109714557.85745895</v>
      </c>
      <c r="E589" s="67">
        <f t="shared" si="59"/>
        <v>209.16111894739811</v>
      </c>
      <c r="F589" s="70">
        <f t="shared" si="57"/>
        <v>12.700263142486014</v>
      </c>
      <c r="G589" s="67">
        <f>E589/'Lookup Tables'!$C$48</f>
        <v>418.32223789479622</v>
      </c>
      <c r="H589" s="70">
        <f t="shared" si="60"/>
        <v>4.9539303177296691E-2</v>
      </c>
      <c r="I589" s="71">
        <f t="shared" si="58"/>
        <v>0.60238402256850665</v>
      </c>
      <c r="L589" s="74"/>
      <c r="M589" s="74"/>
      <c r="N589" s="74"/>
      <c r="O589" s="74"/>
      <c r="P589" s="74"/>
      <c r="Q589" s="74"/>
      <c r="R589" s="74"/>
      <c r="S589" s="74"/>
      <c r="T589" s="74"/>
      <c r="U589" s="74"/>
      <c r="V589" s="74"/>
      <c r="W589" s="74"/>
      <c r="X589" s="74"/>
      <c r="Y589" s="74"/>
      <c r="Z589" s="74"/>
    </row>
    <row r="590" spans="1:26" x14ac:dyDescent="0.3">
      <c r="A590" s="66">
        <f t="shared" si="56"/>
        <v>2048.299999999947</v>
      </c>
      <c r="B590" s="67">
        <f>LOOKUP(A590+0.01,Amounts!$A$4:$A$103,Amounts!$B$4:$B$103)*0.1*$A$2</f>
        <v>0</v>
      </c>
      <c r="C590" s="68">
        <f t="shared" si="61"/>
        <v>2219148.7781994981</v>
      </c>
      <c r="D590" s="67">
        <f t="array" ref="D590">SUM($B$7:$B585*$F$1009*EXP(-$F$1009*($A590-$A$7:$A585)))*$F$1010</f>
        <v>109407786.77539699</v>
      </c>
      <c r="E590" s="67">
        <f t="shared" si="59"/>
        <v>208.57628696121679</v>
      </c>
      <c r="F590" s="70">
        <f t="shared" si="57"/>
        <v>12.664752144285085</v>
      </c>
      <c r="G590" s="67">
        <f>E590/'Lookup Tables'!$C$48</f>
        <v>417.15257392243359</v>
      </c>
      <c r="H590" s="70">
        <f t="shared" si="60"/>
        <v>4.9400787141347838E-2</v>
      </c>
      <c r="I590" s="71">
        <f t="shared" si="58"/>
        <v>0.60069970644830439</v>
      </c>
      <c r="L590" s="74"/>
      <c r="M590" s="74"/>
      <c r="N590" s="74"/>
      <c r="O590" s="74"/>
      <c r="P590" s="74"/>
      <c r="Q590" s="74"/>
      <c r="R590" s="74"/>
      <c r="S590" s="74"/>
      <c r="T590" s="74"/>
      <c r="U590" s="74"/>
      <c r="V590" s="74"/>
      <c r="W590" s="74"/>
      <c r="X590" s="74"/>
      <c r="Y590" s="74"/>
      <c r="Z590" s="74"/>
    </row>
    <row r="591" spans="1:26" x14ac:dyDescent="0.3">
      <c r="A591" s="66">
        <f t="shared" si="56"/>
        <v>2048.3999999999469</v>
      </c>
      <c r="B591" s="67">
        <f>LOOKUP(A591+0.01,Amounts!$A$4:$A$103,Amounts!$B$4:$B$103)*0.1*$A$2</f>
        <v>0</v>
      </c>
      <c r="C591" s="68">
        <f t="shared" si="61"/>
        <v>2219148.7781994981</v>
      </c>
      <c r="D591" s="67">
        <f t="array" ref="D591">SUM($B$7:$B586*$F$1009*EXP(-$F$1009*($A591-$A$7:$A586)))*$F$1010</f>
        <v>109101873.45094374</v>
      </c>
      <c r="E591" s="67">
        <f t="shared" si="59"/>
        <v>207.99309021419359</v>
      </c>
      <c r="F591" s="70">
        <f t="shared" si="57"/>
        <v>12.629340437805833</v>
      </c>
      <c r="G591" s="67">
        <f>E591/'Lookup Tables'!$C$48</f>
        <v>415.98618042838717</v>
      </c>
      <c r="H591" s="70">
        <f t="shared" si="60"/>
        <v>4.9262658407823227E-2</v>
      </c>
      <c r="I591" s="71">
        <f t="shared" si="58"/>
        <v>0.59902009981687754</v>
      </c>
      <c r="L591" s="74"/>
      <c r="M591" s="74"/>
      <c r="N591" s="74"/>
      <c r="O591" s="74"/>
      <c r="P591" s="74"/>
      <c r="Q591" s="74"/>
      <c r="R591" s="74"/>
      <c r="S591" s="74"/>
      <c r="T591" s="74"/>
      <c r="U591" s="74"/>
      <c r="V591" s="74"/>
      <c r="W591" s="74"/>
      <c r="X591" s="74"/>
      <c r="Y591" s="74"/>
      <c r="Z591" s="74"/>
    </row>
    <row r="592" spans="1:26" x14ac:dyDescent="0.3">
      <c r="A592" s="66">
        <f t="shared" si="56"/>
        <v>2048.4999999999468</v>
      </c>
      <c r="B592" s="67">
        <f>LOOKUP(A592+0.01,Amounts!$A$4:$A$103,Amounts!$B$4:$B$103)*0.1*$A$2</f>
        <v>0</v>
      </c>
      <c r="C592" s="68">
        <f t="shared" si="61"/>
        <v>2219148.7781994981</v>
      </c>
      <c r="D592" s="67">
        <f t="array" ref="D592">SUM($B$7:$B587*$F$1009*EXP(-$F$1009*($A592-$A$7:$A587)))*$F$1010</f>
        <v>108796815.48573714</v>
      </c>
      <c r="E592" s="67">
        <f t="shared" si="59"/>
        <v>207.41152413406294</v>
      </c>
      <c r="F592" s="70">
        <f t="shared" si="57"/>
        <v>12.594027745420304</v>
      </c>
      <c r="G592" s="67">
        <f>E592/'Lookup Tables'!$C$48</f>
        <v>414.82304826812589</v>
      </c>
      <c r="H592" s="70">
        <f t="shared" si="60"/>
        <v>4.9124915893792837E-2</v>
      </c>
      <c r="I592" s="71">
        <f t="shared" si="58"/>
        <v>0.59734518950610127</v>
      </c>
      <c r="L592" s="74"/>
      <c r="M592" s="74"/>
      <c r="N592" s="74"/>
      <c r="O592" s="74"/>
      <c r="P592" s="74"/>
      <c r="Q592" s="74"/>
      <c r="R592" s="74"/>
      <c r="S592" s="74"/>
      <c r="T592" s="74"/>
      <c r="U592" s="74"/>
      <c r="V592" s="74"/>
      <c r="W592" s="74"/>
      <c r="X592" s="74"/>
      <c r="Y592" s="74"/>
      <c r="Z592" s="74"/>
    </row>
    <row r="593" spans="1:26" x14ac:dyDescent="0.3">
      <c r="A593" s="66">
        <f t="shared" si="56"/>
        <v>2048.5999999999467</v>
      </c>
      <c r="B593" s="67">
        <f>LOOKUP(A593+0.01,Amounts!$A$4:$A$103,Amounts!$B$4:$B$103)*0.1*$A$2</f>
        <v>0</v>
      </c>
      <c r="C593" s="68">
        <f t="shared" si="61"/>
        <v>2219148.7781994981</v>
      </c>
      <c r="D593" s="67">
        <f t="array" ref="D593">SUM($B$7:$B588*$F$1009*EXP(-$F$1009*($A593-$A$7:$A588)))*$F$1010</f>
        <v>108492610.48812127</v>
      </c>
      <c r="E593" s="67">
        <f t="shared" si="59"/>
        <v>206.83158416134398</v>
      </c>
      <c r="F593" s="70">
        <f t="shared" si="57"/>
        <v>12.558813790276806</v>
      </c>
      <c r="G593" s="67">
        <f>E593/'Lookup Tables'!$C$48</f>
        <v>413.66316832268797</v>
      </c>
      <c r="H593" s="70">
        <f t="shared" si="60"/>
        <v>4.8987558519354706E-2</v>
      </c>
      <c r="I593" s="71">
        <f t="shared" si="58"/>
        <v>0.59567496238467077</v>
      </c>
      <c r="L593" s="74"/>
      <c r="M593" s="74"/>
      <c r="N593" s="74"/>
      <c r="O593" s="74"/>
      <c r="P593" s="74"/>
      <c r="Q593" s="74"/>
      <c r="R593" s="74"/>
      <c r="S593" s="74"/>
      <c r="T593" s="74"/>
      <c r="U593" s="74"/>
      <c r="V593" s="74"/>
      <c r="W593" s="74"/>
      <c r="X593" s="74"/>
      <c r="Y593" s="74"/>
      <c r="Z593" s="74"/>
    </row>
    <row r="594" spans="1:26" x14ac:dyDescent="0.3">
      <c r="A594" s="66">
        <f t="shared" si="56"/>
        <v>2048.6999999999466</v>
      </c>
      <c r="B594" s="67">
        <f>LOOKUP(A594+0.01,Amounts!$A$4:$A$103,Amounts!$B$4:$B$103)*0.1*$A$2</f>
        <v>0</v>
      </c>
      <c r="C594" s="68">
        <f t="shared" si="61"/>
        <v>2219148.7781994981</v>
      </c>
      <c r="D594" s="67">
        <f t="array" ref="D594">SUM($B$7:$B589*$F$1009*EXP(-$F$1009*($A594-$A$7:$A589)))*$F$1010</f>
        <v>108189256.0731273</v>
      </c>
      <c r="E594" s="67">
        <f t="shared" si="59"/>
        <v>206.25326574930421</v>
      </c>
      <c r="F594" s="70">
        <f t="shared" si="57"/>
        <v>12.523698296297752</v>
      </c>
      <c r="G594" s="67">
        <f>E594/'Lookup Tables'!$C$48</f>
        <v>412.50653149860841</v>
      </c>
      <c r="H594" s="70">
        <f t="shared" si="60"/>
        <v>4.8850585207626258E-2</v>
      </c>
      <c r="I594" s="71">
        <f t="shared" si="58"/>
        <v>0.59400940535799607</v>
      </c>
      <c r="L594" s="74"/>
      <c r="M594" s="74"/>
      <c r="N594" s="74"/>
      <c r="O594" s="74"/>
      <c r="P594" s="74"/>
      <c r="Q594" s="74"/>
      <c r="R594" s="74"/>
      <c r="S594" s="74"/>
      <c r="T594" s="74"/>
      <c r="U594" s="74"/>
      <c r="V594" s="74"/>
      <c r="W594" s="74"/>
      <c r="X594" s="74"/>
      <c r="Y594" s="74"/>
      <c r="Z594" s="74"/>
    </row>
    <row r="595" spans="1:26" x14ac:dyDescent="0.3">
      <c r="A595" s="66">
        <f t="shared" ref="A595:A658" si="62">A594+0.1</f>
        <v>2048.7999999999465</v>
      </c>
      <c r="B595" s="67">
        <f>LOOKUP(A595+0.01,Amounts!$A$4:$A$103,Amounts!$B$4:$B$103)*0.1*$A$2</f>
        <v>0</v>
      </c>
      <c r="C595" s="68">
        <f t="shared" si="61"/>
        <v>2219148.7781994981</v>
      </c>
      <c r="D595" s="67">
        <f t="array" ref="D595">SUM($B$7:$B590*$F$1009*EXP(-$F$1009*($A595-$A$7:$A590)))*$F$1010</f>
        <v>107886749.86245511</v>
      </c>
      <c r="E595" s="67">
        <f t="shared" si="59"/>
        <v>205.67656436392437</v>
      </c>
      <c r="F595" s="70">
        <f t="shared" ref="F595:F658" si="63">E595*60*1012/1000000</f>
        <v>12.488680988177489</v>
      </c>
      <c r="G595" s="67">
        <f>E595/'Lookup Tables'!$C$48</f>
        <v>411.35312872784874</v>
      </c>
      <c r="H595" s="70">
        <f t="shared" si="60"/>
        <v>4.8713994884736073E-2</v>
      </c>
      <c r="I595" s="71">
        <f t="shared" ref="I595:I658" si="64">G595*60*24/1000000</f>
        <v>0.59234850536810224</v>
      </c>
      <c r="L595" s="74"/>
      <c r="M595" s="74"/>
      <c r="N595" s="74"/>
      <c r="O595" s="74"/>
      <c r="P595" s="74"/>
      <c r="Q595" s="74"/>
      <c r="R595" s="74"/>
      <c r="S595" s="74"/>
      <c r="T595" s="74"/>
      <c r="U595" s="74"/>
      <c r="V595" s="74"/>
      <c r="W595" s="74"/>
      <c r="X595" s="74"/>
      <c r="Y595" s="74"/>
      <c r="Z595" s="74"/>
    </row>
    <row r="596" spans="1:26" x14ac:dyDescent="0.3">
      <c r="A596" s="66">
        <f t="shared" si="62"/>
        <v>2048.8999999999464</v>
      </c>
      <c r="B596" s="67">
        <f>LOOKUP(A596+0.01,Amounts!$A$4:$A$103,Amounts!$B$4:$B$103)*0.1*$A$2</f>
        <v>0</v>
      </c>
      <c r="C596" s="68">
        <f t="shared" si="61"/>
        <v>2219148.7781994981</v>
      </c>
      <c r="D596" s="67">
        <f t="array" ref="D596">SUM($B$7:$B591*$F$1009*EXP(-$F$1009*($A596-$A$7:$A591)))*$F$1010</f>
        <v>107585089.48445451</v>
      </c>
      <c r="E596" s="67">
        <f t="shared" si="59"/>
        <v>205.10147548386277</v>
      </c>
      <c r="F596" s="70">
        <f t="shared" si="63"/>
        <v>12.453761591380147</v>
      </c>
      <c r="G596" s="67">
        <f>E596/'Lookup Tables'!$C$48</f>
        <v>410.20295096772554</v>
      </c>
      <c r="H596" s="70">
        <f t="shared" si="60"/>
        <v>4.8577786479815317E-2</v>
      </c>
      <c r="I596" s="71">
        <f t="shared" si="64"/>
        <v>0.59069224939352472</v>
      </c>
      <c r="L596" s="74"/>
      <c r="M596" s="74"/>
      <c r="N596" s="74"/>
      <c r="O596" s="74"/>
      <c r="P596" s="74"/>
      <c r="Q596" s="74"/>
      <c r="R596" s="74"/>
      <c r="S596" s="74"/>
      <c r="T596" s="74"/>
      <c r="U596" s="74"/>
      <c r="V596" s="74"/>
      <c r="W596" s="74"/>
      <c r="X596" s="74"/>
      <c r="Y596" s="74"/>
      <c r="Z596" s="74"/>
    </row>
    <row r="597" spans="1:26" x14ac:dyDescent="0.3">
      <c r="A597" s="66">
        <f t="shared" si="62"/>
        <v>2048.9999999999463</v>
      </c>
      <c r="B597" s="67">
        <f>LOOKUP(A597+0.01,Amounts!$A$4:$A$103,Amounts!$B$4:$B$103)*0.1*$A$2</f>
        <v>0</v>
      </c>
      <c r="C597" s="68">
        <f t="shared" si="61"/>
        <v>2219148.7781994981</v>
      </c>
      <c r="D597" s="67">
        <f t="array" ref="D597">SUM($B$7:$B592*$F$1009*EXP(-$F$1009*($A597-$A$7:$A592)))*$F$1010</f>
        <v>107284272.57410651</v>
      </c>
      <c r="E597" s="67">
        <f t="shared" si="59"/>
        <v>204.52799460041948</v>
      </c>
      <c r="F597" s="70">
        <f t="shared" si="63"/>
        <v>12.418939832137472</v>
      </c>
      <c r="G597" s="67">
        <f>E597/'Lookup Tables'!$C$48</f>
        <v>409.05598920083895</v>
      </c>
      <c r="H597" s="70">
        <f t="shared" si="60"/>
        <v>4.8441958924989398E-2</v>
      </c>
      <c r="I597" s="71">
        <f t="shared" si="64"/>
        <v>0.58904062444920813</v>
      </c>
      <c r="L597" s="74"/>
      <c r="M597" s="74"/>
      <c r="N597" s="74"/>
      <c r="O597" s="74"/>
      <c r="P597" s="74"/>
      <c r="Q597" s="74"/>
      <c r="R597" s="74"/>
      <c r="S597" s="74"/>
      <c r="T597" s="74"/>
      <c r="U597" s="74"/>
      <c r="V597" s="74"/>
      <c r="W597" s="74"/>
      <c r="X597" s="74"/>
      <c r="Y597" s="74"/>
      <c r="Z597" s="74"/>
    </row>
    <row r="598" spans="1:26" x14ac:dyDescent="0.3">
      <c r="A598" s="66">
        <f t="shared" si="62"/>
        <v>2049.0999999999462</v>
      </c>
      <c r="B598" s="67">
        <f>LOOKUP(A598+0.01,Amounts!$A$4:$A$103,Amounts!$B$4:$B$103)*0.1*$A$2</f>
        <v>0</v>
      </c>
      <c r="C598" s="68">
        <f t="shared" si="61"/>
        <v>2219148.7781994981</v>
      </c>
      <c r="D598" s="67">
        <f t="array" ref="D598">SUM($B$7:$B593*$F$1009*EXP(-$F$1009*($A598-$A$7:$A593)))*$F$1010</f>
        <v>106984296.77300496</v>
      </c>
      <c r="E598" s="67">
        <f t="shared" si="59"/>
        <v>203.95611721750134</v>
      </c>
      <c r="F598" s="70">
        <f t="shared" si="63"/>
        <v>12.384215437446683</v>
      </c>
      <c r="G598" s="67">
        <f>E598/'Lookup Tables'!$C$48</f>
        <v>407.91223443500269</v>
      </c>
      <c r="H598" s="70">
        <f t="shared" si="60"/>
        <v>4.8306511155369519E-2</v>
      </c>
      <c r="I598" s="71">
        <f t="shared" si="64"/>
        <v>0.58739361758640385</v>
      </c>
      <c r="L598" s="74"/>
      <c r="M598" s="74"/>
      <c r="N598" s="74"/>
      <c r="O598" s="74"/>
      <c r="P598" s="74"/>
      <c r="Q598" s="74"/>
      <c r="R598" s="74"/>
      <c r="S598" s="74"/>
      <c r="T598" s="74"/>
      <c r="U598" s="74"/>
      <c r="V598" s="74"/>
      <c r="W598" s="74"/>
      <c r="X598" s="74"/>
      <c r="Y598" s="74"/>
      <c r="Z598" s="74"/>
    </row>
    <row r="599" spans="1:26" x14ac:dyDescent="0.3">
      <c r="A599" s="66">
        <f t="shared" si="62"/>
        <v>2049.1999999999462</v>
      </c>
      <c r="B599" s="67">
        <f>LOOKUP(A599+0.01,Amounts!$A$4:$A$103,Amounts!$B$4:$B$103)*0.1*$A$2</f>
        <v>0</v>
      </c>
      <c r="C599" s="68">
        <f t="shared" si="61"/>
        <v>2219148.7781994981</v>
      </c>
      <c r="D599" s="67">
        <f t="array" ref="D599">SUM($B$7:$B594*$F$1009*EXP(-$F$1009*($A599-$A$7:$A594)))*$F$1010</f>
        <v>106685159.72933812</v>
      </c>
      <c r="E599" s="67">
        <f t="shared" si="59"/>
        <v>203.38583885158695</v>
      </c>
      <c r="F599" s="70">
        <f t="shared" si="63"/>
        <v>12.349588135068361</v>
      </c>
      <c r="G599" s="67">
        <f>E599/'Lookup Tables'!$C$48</f>
        <v>406.77167770317391</v>
      </c>
      <c r="H599" s="70">
        <f t="shared" si="60"/>
        <v>4.8171442109044567E-2</v>
      </c>
      <c r="I599" s="71">
        <f t="shared" si="64"/>
        <v>0.5857512158925704</v>
      </c>
      <c r="L599" s="74"/>
      <c r="M599" s="74"/>
      <c r="N599" s="74"/>
      <c r="O599" s="74"/>
      <c r="P599" s="74"/>
      <c r="Q599" s="74"/>
      <c r="R599" s="74"/>
      <c r="S599" s="74"/>
      <c r="T599" s="74"/>
      <c r="U599" s="74"/>
      <c r="V599" s="74"/>
      <c r="W599" s="74"/>
      <c r="X599" s="74"/>
      <c r="Y599" s="74"/>
      <c r="Z599" s="74"/>
    </row>
    <row r="600" spans="1:26" x14ac:dyDescent="0.3">
      <c r="A600" s="66">
        <f t="shared" si="62"/>
        <v>2049.2999999999461</v>
      </c>
      <c r="B600" s="67">
        <f>LOOKUP(A600+0.01,Amounts!$A$4:$A$103,Amounts!$B$4:$B$103)*0.1*$A$2</f>
        <v>0</v>
      </c>
      <c r="C600" s="68">
        <f t="shared" si="61"/>
        <v>2219148.7781994981</v>
      </c>
      <c r="D600" s="67">
        <f t="array" ref="D600">SUM($B$7:$B595*$F$1009*EXP(-$F$1009*($A600-$A$7:$A595)))*$F$1010</f>
        <v>106386859.09787004</v>
      </c>
      <c r="E600" s="67">
        <f t="shared" si="59"/>
        <v>202.81715503169096</v>
      </c>
      <c r="F600" s="70">
        <f t="shared" si="63"/>
        <v>12.315057653524274</v>
      </c>
      <c r="G600" s="67">
        <f>E600/'Lookup Tables'!$C$48</f>
        <v>405.63431006338192</v>
      </c>
      <c r="H600" s="70">
        <f t="shared" si="60"/>
        <v>4.8036750727072489E-2</v>
      </c>
      <c r="I600" s="71">
        <f t="shared" si="64"/>
        <v>0.58411340649126997</v>
      </c>
      <c r="L600" s="74"/>
      <c r="M600" s="74"/>
      <c r="N600" s="74"/>
      <c r="O600" s="74"/>
      <c r="P600" s="74"/>
      <c r="Q600" s="74"/>
      <c r="R600" s="74"/>
      <c r="S600" s="74"/>
      <c r="T600" s="74"/>
      <c r="U600" s="74"/>
      <c r="V600" s="74"/>
      <c r="W600" s="74"/>
      <c r="X600" s="74"/>
      <c r="Y600" s="74"/>
      <c r="Z600" s="74"/>
    </row>
    <row r="601" spans="1:26" x14ac:dyDescent="0.3">
      <c r="A601" s="66">
        <f t="shared" si="62"/>
        <v>2049.399999999946</v>
      </c>
      <c r="B601" s="67">
        <f>LOOKUP(A601+0.01,Amounts!$A$4:$A$103,Amounts!$B$4:$B$103)*0.1*$A$2</f>
        <v>0</v>
      </c>
      <c r="C601" s="68">
        <f t="shared" si="61"/>
        <v>2219148.7781994981</v>
      </c>
      <c r="D601" s="67">
        <f t="array" ref="D601">SUM($B$7:$B596*$F$1009*EXP(-$F$1009*($A601-$A$7:$A596)))*$F$1010</f>
        <v>106089392.53992218</v>
      </c>
      <c r="E601" s="67">
        <f t="shared" si="59"/>
        <v>202.25006129932922</v>
      </c>
      <c r="F601" s="70">
        <f t="shared" si="63"/>
        <v>12.280623722095271</v>
      </c>
      <c r="G601" s="67">
        <f>E601/'Lookup Tables'!$C$48</f>
        <v>404.50012259865844</v>
      </c>
      <c r="H601" s="70">
        <f t="shared" si="60"/>
        <v>4.7902435953472149E-2</v>
      </c>
      <c r="I601" s="71">
        <f t="shared" si="64"/>
        <v>0.58248017654206818</v>
      </c>
      <c r="L601" s="74"/>
      <c r="M601" s="74"/>
      <c r="N601" s="74"/>
      <c r="O601" s="74"/>
      <c r="P601" s="74"/>
      <c r="Q601" s="74"/>
      <c r="R601" s="74"/>
      <c r="S601" s="74"/>
      <c r="T601" s="74"/>
      <c r="U601" s="74"/>
      <c r="V601" s="74"/>
      <c r="W601" s="74"/>
      <c r="X601" s="74"/>
      <c r="Y601" s="74"/>
      <c r="Z601" s="74"/>
    </row>
    <row r="602" spans="1:26" x14ac:dyDescent="0.3">
      <c r="A602" s="66">
        <f t="shared" si="62"/>
        <v>2049.4999999999459</v>
      </c>
      <c r="B602" s="67">
        <f>LOOKUP(A602+0.01,Amounts!$A$4:$A$103,Amounts!$B$4:$B$103)*0.1*$A$2</f>
        <v>0</v>
      </c>
      <c r="C602" s="68">
        <f t="shared" si="61"/>
        <v>2219148.7781994981</v>
      </c>
      <c r="D602" s="67">
        <f t="array" ref="D602">SUM($B$7:$B597*$F$1009*EXP(-$F$1009*($A602-$A$7:$A597)))*$F$1010</f>
        <v>105792757.72335526</v>
      </c>
      <c r="E602" s="67">
        <f t="shared" si="59"/>
        <v>201.68455320848406</v>
      </c>
      <c r="F602" s="70">
        <f t="shared" si="63"/>
        <v>12.246286070819153</v>
      </c>
      <c r="G602" s="67">
        <f>E602/'Lookup Tables'!$C$48</f>
        <v>403.36910641696812</v>
      </c>
      <c r="H602" s="70">
        <f t="shared" si="60"/>
        <v>4.7768496735215063E-2</v>
      </c>
      <c r="I602" s="71">
        <f t="shared" si="64"/>
        <v>0.58085151324043416</v>
      </c>
      <c r="L602" s="74"/>
      <c r="M602" s="74"/>
      <c r="N602" s="74"/>
      <c r="O602" s="74"/>
      <c r="P602" s="74"/>
      <c r="Q602" s="74"/>
      <c r="R602" s="74"/>
      <c r="S602" s="74"/>
      <c r="T602" s="74"/>
      <c r="U602" s="74"/>
      <c r="V602" s="74"/>
      <c r="W602" s="74"/>
      <c r="X602" s="74"/>
      <c r="Y602" s="74"/>
      <c r="Z602" s="74"/>
    </row>
    <row r="603" spans="1:26" x14ac:dyDescent="0.3">
      <c r="A603" s="66">
        <f t="shared" si="62"/>
        <v>2049.5999999999458</v>
      </c>
      <c r="B603" s="67">
        <f>LOOKUP(A603+0.01,Amounts!$A$4:$A$103,Amounts!$B$4:$B$103)*0.1*$A$2</f>
        <v>0</v>
      </c>
      <c r="C603" s="68">
        <f t="shared" si="61"/>
        <v>2219148.7781994981</v>
      </c>
      <c r="D603" s="67">
        <f t="array" ref="D603">SUM($B$7:$B598*$F$1009*EXP(-$F$1009*($A603-$A$7:$A598)))*$F$1010</f>
        <v>105496952.32255073</v>
      </c>
      <c r="E603" s="67">
        <f t="shared" si="59"/>
        <v>201.12062632556899</v>
      </c>
      <c r="F603" s="70">
        <f t="shared" si="63"/>
        <v>12.212044430488548</v>
      </c>
      <c r="G603" s="67">
        <f>E603/'Lookup Tables'!$C$48</f>
        <v>402.24125265113798</v>
      </c>
      <c r="H603" s="70">
        <f t="shared" si="60"/>
        <v>4.7634932022217032E-2</v>
      </c>
      <c r="I603" s="71">
        <f t="shared" si="64"/>
        <v>0.57922740381763871</v>
      </c>
      <c r="L603" s="74"/>
      <c r="M603" s="74"/>
      <c r="N603" s="74"/>
      <c r="O603" s="74"/>
      <c r="P603" s="74"/>
      <c r="Q603" s="74"/>
      <c r="R603" s="74"/>
      <c r="S603" s="74"/>
      <c r="T603" s="74"/>
      <c r="U603" s="74"/>
      <c r="V603" s="74"/>
      <c r="W603" s="74"/>
      <c r="X603" s="74"/>
      <c r="Y603" s="74"/>
      <c r="Z603" s="74"/>
    </row>
    <row r="604" spans="1:26" x14ac:dyDescent="0.3">
      <c r="A604" s="66">
        <f t="shared" si="62"/>
        <v>2049.6999999999457</v>
      </c>
      <c r="B604" s="67">
        <f>LOOKUP(A604+0.01,Amounts!$A$4:$A$103,Amounts!$B$4:$B$103)*0.1*$A$2</f>
        <v>0</v>
      </c>
      <c r="C604" s="68">
        <f t="shared" si="61"/>
        <v>2219148.7781994981</v>
      </c>
      <c r="D604" s="67">
        <f t="array" ref="D604">SUM($B$7:$B599*$F$1009*EXP(-$F$1009*($A604-$A$7:$A599)))*$F$1010</f>
        <v>105201974.01839285</v>
      </c>
      <c r="E604" s="67">
        <f t="shared" si="59"/>
        <v>200.55827622939466</v>
      </c>
      <c r="F604" s="70">
        <f t="shared" si="63"/>
        <v>12.177898532648843</v>
      </c>
      <c r="G604" s="67">
        <f>E604/'Lookup Tables'!$C$48</f>
        <v>401.11655245878933</v>
      </c>
      <c r="H604" s="70">
        <f t="shared" si="60"/>
        <v>4.7501740767330075E-2</v>
      </c>
      <c r="I604" s="71">
        <f t="shared" si="64"/>
        <v>0.57760783554065653</v>
      </c>
      <c r="L604" s="74"/>
      <c r="M604" s="74"/>
      <c r="N604" s="74"/>
      <c r="O604" s="74"/>
      <c r="P604" s="74"/>
      <c r="Q604" s="74"/>
      <c r="R604" s="74"/>
      <c r="S604" s="74"/>
      <c r="T604" s="74"/>
      <c r="U604" s="74"/>
      <c r="V604" s="74"/>
      <c r="W604" s="74"/>
      <c r="X604" s="74"/>
      <c r="Y604" s="74"/>
      <c r="Z604" s="74"/>
    </row>
    <row r="605" spans="1:26" x14ac:dyDescent="0.3">
      <c r="A605" s="66">
        <f t="shared" si="62"/>
        <v>2049.7999999999456</v>
      </c>
      <c r="B605" s="67">
        <f>LOOKUP(A605+0.01,Amounts!$A$4:$A$103,Amounts!$B$4:$B$103)*0.1*$A$2</f>
        <v>0</v>
      </c>
      <c r="C605" s="68">
        <f t="shared" si="61"/>
        <v>2219148.7781994981</v>
      </c>
      <c r="D605" s="67">
        <f t="array" ref="D605">SUM($B$7:$B600*$F$1009*EXP(-$F$1009*($A605-$A$7:$A600)))*$F$1010</f>
        <v>104907820.49825013</v>
      </c>
      <c r="E605" s="67">
        <f t="shared" si="59"/>
        <v>199.99749851113322</v>
      </c>
      <c r="F605" s="70">
        <f t="shared" si="63"/>
        <v>12.143848109596011</v>
      </c>
      <c r="G605" s="67">
        <f>E605/'Lookup Tables'!$C$48</f>
        <v>399.99499702226643</v>
      </c>
      <c r="H605" s="70">
        <f t="shared" si="60"/>
        <v>4.7368921926334046E-2</v>
      </c>
      <c r="I605" s="71">
        <f t="shared" si="64"/>
        <v>0.57599279571206363</v>
      </c>
      <c r="L605" s="74"/>
      <c r="M605" s="74"/>
      <c r="N605" s="74"/>
      <c r="O605" s="74"/>
      <c r="P605" s="74"/>
      <c r="Q605" s="74"/>
      <c r="R605" s="74"/>
      <c r="S605" s="74"/>
      <c r="T605" s="74"/>
      <c r="U605" s="74"/>
      <c r="V605" s="74"/>
      <c r="W605" s="74"/>
      <c r="X605" s="74"/>
      <c r="Y605" s="74"/>
      <c r="Z605" s="74"/>
    </row>
    <row r="606" spans="1:26" x14ac:dyDescent="0.3">
      <c r="A606" s="66">
        <f t="shared" si="62"/>
        <v>2049.8999999999455</v>
      </c>
      <c r="B606" s="67">
        <f>LOOKUP(A606+0.01,Amounts!$A$4:$A$103,Amounts!$B$4:$B$103)*0.1*$A$2</f>
        <v>0</v>
      </c>
      <c r="C606" s="68">
        <f t="shared" si="61"/>
        <v>2219148.7781994981</v>
      </c>
      <c r="D606" s="67">
        <f t="array" ref="D606">SUM($B$7:$B601*$F$1009*EXP(-$F$1009*($A606-$A$7:$A601)))*$F$1010</f>
        <v>104614489.45595741</v>
      </c>
      <c r="E606" s="67">
        <f t="shared" si="59"/>
        <v>199.43828877428442</v>
      </c>
      <c r="F606" s="70">
        <f t="shared" si="63"/>
        <v>12.10989289437455</v>
      </c>
      <c r="G606" s="67">
        <f>E606/'Lookup Tables'!$C$48</f>
        <v>398.87657754856883</v>
      </c>
      <c r="H606" s="70">
        <f t="shared" si="60"/>
        <v>4.7236474457928522E-2</v>
      </c>
      <c r="I606" s="71">
        <f t="shared" si="64"/>
        <v>0.57438227166993916</v>
      </c>
      <c r="L606" s="74"/>
      <c r="M606" s="74"/>
      <c r="N606" s="74"/>
      <c r="O606" s="74"/>
      <c r="P606" s="74"/>
      <c r="Q606" s="74"/>
      <c r="R606" s="74"/>
      <c r="S606" s="74"/>
      <c r="T606" s="74"/>
      <c r="U606" s="74"/>
      <c r="V606" s="74"/>
      <c r="W606" s="74"/>
      <c r="X606" s="74"/>
      <c r="Y606" s="74"/>
      <c r="Z606" s="74"/>
    </row>
    <row r="607" spans="1:26" x14ac:dyDescent="0.3">
      <c r="A607" s="66">
        <f t="shared" si="62"/>
        <v>2049.9999999999454</v>
      </c>
      <c r="B607" s="67">
        <f>LOOKUP(A607+0.01,Amounts!$A$4:$A$103,Amounts!$B$4:$B$103)*0.1*$A$2</f>
        <v>0</v>
      </c>
      <c r="C607" s="68">
        <f t="shared" si="61"/>
        <v>2219148.7781994981</v>
      </c>
      <c r="D607" s="67">
        <f t="array" ref="D607">SUM($B$7:$B602*$F$1009*EXP(-$F$1009*($A607-$A$7:$A602)))*$F$1010</f>
        <v>104321978.59179784</v>
      </c>
      <c r="E607" s="67">
        <f t="shared" si="59"/>
        <v>198.88064263464111</v>
      </c>
      <c r="F607" s="70">
        <f t="shared" si="63"/>
        <v>12.076032620775409</v>
      </c>
      <c r="G607" s="67">
        <f>E607/'Lookup Tables'!$C$48</f>
        <v>397.76128526928221</v>
      </c>
      <c r="H607" s="70">
        <f t="shared" si="60"/>
        <v>4.7104397323724699E-2</v>
      </c>
      <c r="I607" s="71">
        <f t="shared" si="64"/>
        <v>0.57277625078776639</v>
      </c>
      <c r="L607" s="74"/>
      <c r="M607" s="74"/>
      <c r="N607" s="74"/>
      <c r="O607" s="74"/>
      <c r="P607" s="74"/>
      <c r="Q607" s="74"/>
      <c r="R607" s="74"/>
      <c r="S607" s="74"/>
      <c r="T607" s="74"/>
      <c r="U607" s="74"/>
      <c r="V607" s="74"/>
      <c r="W607" s="74"/>
      <c r="X607" s="74"/>
      <c r="Y607" s="74"/>
      <c r="Z607" s="74"/>
    </row>
    <row r="608" spans="1:26" x14ac:dyDescent="0.3">
      <c r="A608" s="66">
        <f t="shared" si="62"/>
        <v>2050.0999999999453</v>
      </c>
      <c r="B608" s="67">
        <f>LOOKUP(A608+0.01,Amounts!$A$4:$A$103,Amounts!$B$4:$B$103)*0.1*$A$2</f>
        <v>0</v>
      </c>
      <c r="C608" s="68">
        <f t="shared" si="61"/>
        <v>2219148.7781994981</v>
      </c>
      <c r="D608" s="67">
        <f t="array" ref="D608">SUM($B$7:$B603*$F$1009*EXP(-$F$1009*($A608-$A$7:$A603)))*$F$1010</f>
        <v>104030285.61248484</v>
      </c>
      <c r="E608" s="67">
        <f t="shared" si="59"/>
        <v>198.32455572025484</v>
      </c>
      <c r="F608" s="70">
        <f t="shared" si="63"/>
        <v>12.042267023333874</v>
      </c>
      <c r="G608" s="67">
        <f>E608/'Lookup Tables'!$C$48</f>
        <v>396.64911144050967</v>
      </c>
      <c r="H608" s="70">
        <f t="shared" si="60"/>
        <v>4.6972689488237178E-2</v>
      </c>
      <c r="I608" s="71">
        <f t="shared" si="64"/>
        <v>0.57117472047433393</v>
      </c>
      <c r="L608" s="74"/>
      <c r="M608" s="74"/>
      <c r="N608" s="74"/>
      <c r="O608" s="74"/>
      <c r="P608" s="74"/>
      <c r="Q608" s="74"/>
      <c r="R608" s="74"/>
      <c r="S608" s="74"/>
      <c r="T608" s="74"/>
      <c r="U608" s="74"/>
      <c r="V608" s="74"/>
      <c r="W608" s="74"/>
      <c r="X608" s="74"/>
      <c r="Y608" s="74"/>
      <c r="Z608" s="74"/>
    </row>
    <row r="609" spans="1:26" x14ac:dyDescent="0.3">
      <c r="A609" s="66">
        <f t="shared" si="62"/>
        <v>2050.1999999999452</v>
      </c>
      <c r="B609" s="67">
        <f>LOOKUP(A609+0.01,Amounts!$A$4:$A$103,Amounts!$B$4:$B$103)*0.1*$A$2</f>
        <v>0</v>
      </c>
      <c r="C609" s="68">
        <f t="shared" si="61"/>
        <v>2219148.7781994981</v>
      </c>
      <c r="D609" s="67">
        <f t="array" ref="D609">SUM($B$7:$B604*$F$1009*EXP(-$F$1009*($A609-$A$7:$A604)))*$F$1010</f>
        <v>103739408.23114392</v>
      </c>
      <c r="E609" s="67">
        <f t="shared" si="59"/>
        <v>197.7700236714013</v>
      </c>
      <c r="F609" s="70">
        <f t="shared" si="63"/>
        <v>12.008595837327487</v>
      </c>
      <c r="G609" s="67">
        <f>E609/'Lookup Tables'!$C$48</f>
        <v>395.54004734280261</v>
      </c>
      <c r="H609" s="70">
        <f t="shared" si="60"/>
        <v>4.6841349918875855E-2</v>
      </c>
      <c r="I609" s="71">
        <f t="shared" si="64"/>
        <v>0.56957766817363575</v>
      </c>
      <c r="L609" s="74"/>
      <c r="M609" s="74"/>
      <c r="N609" s="74"/>
      <c r="O609" s="74"/>
      <c r="P609" s="74"/>
      <c r="Q609" s="74"/>
      <c r="R609" s="74"/>
      <c r="S609" s="74"/>
      <c r="T609" s="74"/>
      <c r="U609" s="74"/>
      <c r="V609" s="74"/>
      <c r="W609" s="74"/>
      <c r="X609" s="74"/>
      <c r="Y609" s="74"/>
      <c r="Z609" s="74"/>
    </row>
    <row r="610" spans="1:26" x14ac:dyDescent="0.3">
      <c r="A610" s="66">
        <f t="shared" si="62"/>
        <v>2050.2999999999452</v>
      </c>
      <c r="B610" s="67">
        <f>LOOKUP(A610+0.01,Amounts!$A$4:$A$103,Amounts!$B$4:$B$103)*0.1*$A$2</f>
        <v>0</v>
      </c>
      <c r="C610" s="68">
        <f t="shared" si="61"/>
        <v>2219148.7781994981</v>
      </c>
      <c r="D610" s="67">
        <f t="array" ref="D610">SUM($B$7:$B605*$F$1009*EXP(-$F$1009*($A610-$A$7:$A605)))*$F$1010</f>
        <v>103449344.16729484</v>
      </c>
      <c r="E610" s="67">
        <f t="shared" si="59"/>
        <v>197.21704214054628</v>
      </c>
      <c r="F610" s="70">
        <f t="shared" si="63"/>
        <v>11.97501879877397</v>
      </c>
      <c r="G610" s="67">
        <f>E610/'Lookup Tables'!$C$48</f>
        <v>394.43408428109257</v>
      </c>
      <c r="H610" s="70">
        <f t="shared" si="60"/>
        <v>4.6710377585937816E-2</v>
      </c>
      <c r="I610" s="71">
        <f t="shared" si="64"/>
        <v>0.56798508136477333</v>
      </c>
      <c r="L610" s="74"/>
      <c r="M610" s="74"/>
      <c r="N610" s="74"/>
      <c r="O610" s="74"/>
      <c r="P610" s="74"/>
      <c r="Q610" s="74"/>
      <c r="R610" s="74"/>
      <c r="S610" s="74"/>
      <c r="T610" s="74"/>
      <c r="U610" s="74"/>
      <c r="V610" s="74"/>
      <c r="W610" s="74"/>
      <c r="X610" s="74"/>
      <c r="Y610" s="74"/>
      <c r="Z610" s="74"/>
    </row>
    <row r="611" spans="1:26" x14ac:dyDescent="0.3">
      <c r="A611" s="66">
        <f t="shared" si="62"/>
        <v>2050.3999999999451</v>
      </c>
      <c r="B611" s="67">
        <f>LOOKUP(A611+0.01,Amounts!$A$4:$A$103,Amounts!$B$4:$B$103)*0.1*$A$2</f>
        <v>0</v>
      </c>
      <c r="C611" s="68">
        <f t="shared" si="61"/>
        <v>2219148.7781994981</v>
      </c>
      <c r="D611" s="67">
        <f t="array" ref="D611">SUM($B$7:$B606*$F$1009*EXP(-$F$1009*($A611-$A$7:$A606)))*$F$1010</f>
        <v>103160091.14683399</v>
      </c>
      <c r="E611" s="67">
        <f t="shared" si="59"/>
        <v>196.66560679231191</v>
      </c>
      <c r="F611" s="70">
        <f t="shared" si="63"/>
        <v>11.941535644429178</v>
      </c>
      <c r="G611" s="67">
        <f>E611/'Lookup Tables'!$C$48</f>
        <v>393.33121358462381</v>
      </c>
      <c r="H611" s="70">
        <f t="shared" si="60"/>
        <v>4.6579771462599326E-2</v>
      </c>
      <c r="I611" s="71">
        <f t="shared" si="64"/>
        <v>0.56639694756185832</v>
      </c>
      <c r="L611" s="74"/>
      <c r="M611" s="74"/>
      <c r="N611" s="74"/>
      <c r="O611" s="74"/>
      <c r="P611" s="74"/>
      <c r="Q611" s="74"/>
      <c r="R611" s="74"/>
      <c r="S611" s="74"/>
      <c r="T611" s="74"/>
      <c r="U611" s="74"/>
      <c r="V611" s="74"/>
      <c r="W611" s="74"/>
      <c r="X611" s="74"/>
      <c r="Y611" s="74"/>
      <c r="Z611" s="74"/>
    </row>
    <row r="612" spans="1:26" x14ac:dyDescent="0.3">
      <c r="A612" s="66">
        <f t="shared" si="62"/>
        <v>2050.499999999945</v>
      </c>
      <c r="B612" s="67">
        <f>LOOKUP(A612+0.01,Amounts!$A$4:$A$103,Amounts!$B$4:$B$103)*0.1*$A$2</f>
        <v>0</v>
      </c>
      <c r="C612" s="68">
        <f t="shared" si="61"/>
        <v>2219148.7781994981</v>
      </c>
      <c r="D612" s="67">
        <f t="array" ref="D612">SUM($B$7:$B607*$F$1009*EXP(-$F$1009*($A612-$A$7:$A607)))*$F$1010</f>
        <v>102871646.90201606</v>
      </c>
      <c r="E612" s="67">
        <f t="shared" si="59"/>
        <v>196.11571330344199</v>
      </c>
      <c r="F612" s="70">
        <f t="shared" si="63"/>
        <v>11.908146111784996</v>
      </c>
      <c r="G612" s="67">
        <f>E612/'Lookup Tables'!$C$48</f>
        <v>392.23142660688399</v>
      </c>
      <c r="H612" s="70">
        <f t="shared" si="60"/>
        <v>4.6449530524907655E-2</v>
      </c>
      <c r="I612" s="71">
        <f t="shared" si="64"/>
        <v>0.56481325431391294</v>
      </c>
      <c r="L612" s="74"/>
      <c r="M612" s="74"/>
      <c r="N612" s="74"/>
      <c r="O612" s="74"/>
      <c r="P612" s="74"/>
      <c r="Q612" s="74"/>
      <c r="R612" s="74"/>
      <c r="S612" s="74"/>
      <c r="T612" s="74"/>
      <c r="U612" s="74"/>
      <c r="V612" s="74"/>
      <c r="W612" s="74"/>
      <c r="X612" s="74"/>
      <c r="Y612" s="74"/>
      <c r="Z612" s="74"/>
    </row>
    <row r="613" spans="1:26" x14ac:dyDescent="0.3">
      <c r="A613" s="66">
        <f t="shared" si="62"/>
        <v>2050.5999999999449</v>
      </c>
      <c r="B613" s="67">
        <f>LOOKUP(A613+0.01,Amounts!$A$4:$A$103,Amounts!$B$4:$B$103)*0.1*$A$2</f>
        <v>0</v>
      </c>
      <c r="C613" s="68">
        <f t="shared" si="61"/>
        <v>2219148.7781994981</v>
      </c>
      <c r="D613" s="67">
        <f t="array" ref="D613">SUM($B$7:$B608*$F$1009*EXP(-$F$1009*($A613-$A$7:$A608)))*$F$1010</f>
        <v>102584009.17143679</v>
      </c>
      <c r="E613" s="67">
        <f t="shared" si="59"/>
        <v>195.567357362769</v>
      </c>
      <c r="F613" s="70">
        <f t="shared" si="63"/>
        <v>11.874849939067333</v>
      </c>
      <c r="G613" s="67">
        <f>E613/'Lookup Tables'!$C$48</f>
        <v>391.134714725538</v>
      </c>
      <c r="H613" s="70">
        <f t="shared" si="60"/>
        <v>4.6319653751773243E-2</v>
      </c>
      <c r="I613" s="71">
        <f t="shared" si="64"/>
        <v>0.56323398920477474</v>
      </c>
      <c r="L613" s="74"/>
      <c r="M613" s="74"/>
      <c r="N613" s="74"/>
      <c r="O613" s="74"/>
      <c r="P613" s="74"/>
      <c r="Q613" s="74"/>
      <c r="R613" s="74"/>
      <c r="S613" s="74"/>
      <c r="T613" s="74"/>
      <c r="U613" s="74"/>
      <c r="V613" s="74"/>
      <c r="W613" s="74"/>
      <c r="X613" s="74"/>
      <c r="Y613" s="74"/>
      <c r="Z613" s="74"/>
    </row>
    <row r="614" spans="1:26" x14ac:dyDescent="0.3">
      <c r="A614" s="66">
        <f t="shared" si="62"/>
        <v>2050.6999999999448</v>
      </c>
      <c r="B614" s="67">
        <f>LOOKUP(A614+0.01,Amounts!$A$4:$A$103,Amounts!$B$4:$B$103)*0.1*$A$2</f>
        <v>0</v>
      </c>
      <c r="C614" s="68">
        <f t="shared" si="61"/>
        <v>2219148.7781994981</v>
      </c>
      <c r="D614" s="67">
        <f t="array" ref="D614">SUM($B$7:$B609*$F$1009*EXP(-$F$1009*($A614-$A$7:$A609)))*$F$1010</f>
        <v>102297175.70001483</v>
      </c>
      <c r="E614" s="67">
        <f t="shared" si="59"/>
        <v>195.02053467117935</v>
      </c>
      <c r="F614" s="70">
        <f t="shared" si="63"/>
        <v>11.841646865234011</v>
      </c>
      <c r="G614" s="67">
        <f>E614/'Lookup Tables'!$C$48</f>
        <v>390.0410693423587</v>
      </c>
      <c r="H614" s="70">
        <f t="shared" si="60"/>
        <v>4.6190140124961476E-2</v>
      </c>
      <c r="I614" s="71">
        <f t="shared" si="64"/>
        <v>0.56165913985299654</v>
      </c>
      <c r="L614" s="74"/>
      <c r="M614" s="74"/>
      <c r="N614" s="74"/>
      <c r="O614" s="74"/>
      <c r="P614" s="74"/>
      <c r="Q614" s="74"/>
      <c r="R614" s="74"/>
      <c r="S614" s="74"/>
      <c r="T614" s="74"/>
      <c r="U614" s="74"/>
      <c r="V614" s="74"/>
      <c r="W614" s="74"/>
      <c r="X614" s="74"/>
      <c r="Y614" s="74"/>
      <c r="Z614" s="74"/>
    </row>
    <row r="615" spans="1:26" x14ac:dyDescent="0.3">
      <c r="A615" s="66">
        <f t="shared" si="62"/>
        <v>2050.7999999999447</v>
      </c>
      <c r="B615" s="67">
        <f>LOOKUP(A615+0.01,Amounts!$A$4:$A$103,Amounts!$B$4:$B$103)*0.1*$A$2</f>
        <v>0</v>
      </c>
      <c r="C615" s="68">
        <f t="shared" si="61"/>
        <v>2219148.7781994981</v>
      </c>
      <c r="D615" s="67">
        <f t="array" ref="D615">SUM($B$7:$B610*$F$1009*EXP(-$F$1009*($A615-$A$7:$A610)))*$F$1010</f>
        <v>102011144.23897435</v>
      </c>
      <c r="E615" s="67">
        <f t="shared" si="59"/>
        <v>194.47524094158047</v>
      </c>
      <c r="F615" s="70">
        <f t="shared" si="63"/>
        <v>11.808536629972766</v>
      </c>
      <c r="G615" s="67">
        <f>E615/'Lookup Tables'!$C$48</f>
        <v>388.95048188316093</v>
      </c>
      <c r="H615" s="70">
        <f t="shared" si="60"/>
        <v>4.6060988629084879E-2</v>
      </c>
      <c r="I615" s="71">
        <f t="shared" si="64"/>
        <v>0.56008869391175176</v>
      </c>
      <c r="L615" s="74"/>
      <c r="M615" s="74"/>
      <c r="N615" s="74"/>
      <c r="O615" s="74"/>
      <c r="P615" s="74"/>
      <c r="Q615" s="74"/>
      <c r="R615" s="74"/>
      <c r="S615" s="74"/>
      <c r="T615" s="74"/>
      <c r="U615" s="74"/>
      <c r="V615" s="74"/>
      <c r="W615" s="74"/>
      <c r="X615" s="74"/>
      <c r="Y615" s="74"/>
      <c r="Z615" s="74"/>
    </row>
    <row r="616" spans="1:26" x14ac:dyDescent="0.3">
      <c r="A616" s="66">
        <f t="shared" si="62"/>
        <v>2050.8999999999446</v>
      </c>
      <c r="B616" s="67">
        <f>LOOKUP(A616+0.01,Amounts!$A$4:$A$103,Amounts!$B$4:$B$103)*0.1*$A$2</f>
        <v>0</v>
      </c>
      <c r="C616" s="68">
        <f t="shared" si="61"/>
        <v>2219148.7781994981</v>
      </c>
      <c r="D616" s="67">
        <f t="array" ref="D616">SUM($B$7:$B611*$F$1009*EXP(-$F$1009*($A616-$A$7:$A611)))*$F$1010</f>
        <v>101725912.54582724</v>
      </c>
      <c r="E616" s="67">
        <f t="shared" si="59"/>
        <v>193.93147189886673</v>
      </c>
      <c r="F616" s="70">
        <f t="shared" si="63"/>
        <v>11.775518973699187</v>
      </c>
      <c r="G616" s="67">
        <f>E616/'Lookup Tables'!$C$48</f>
        <v>387.86294379773346</v>
      </c>
      <c r="H616" s="70">
        <f t="shared" si="60"/>
        <v>4.5932198251595086E-2</v>
      </c>
      <c r="I616" s="71">
        <f t="shared" si="64"/>
        <v>0.55852263906873623</v>
      </c>
      <c r="L616" s="74"/>
      <c r="M616" s="74"/>
      <c r="N616" s="74"/>
      <c r="O616" s="74"/>
      <c r="P616" s="74"/>
      <c r="Q616" s="74"/>
      <c r="R616" s="74"/>
      <c r="S616" s="74"/>
      <c r="T616" s="74"/>
      <c r="U616" s="74"/>
      <c r="V616" s="74"/>
      <c r="W616" s="74"/>
      <c r="X616" s="74"/>
      <c r="Y616" s="74"/>
      <c r="Z616" s="74"/>
    </row>
    <row r="617" spans="1:26" x14ac:dyDescent="0.3">
      <c r="A617" s="66">
        <f t="shared" si="62"/>
        <v>2050.9999999999445</v>
      </c>
      <c r="B617" s="67">
        <f>LOOKUP(A617+0.01,Amounts!$A$4:$A$103,Amounts!$B$4:$B$103)*0.1*$A$2</f>
        <v>0</v>
      </c>
      <c r="C617" s="68">
        <f t="shared" si="61"/>
        <v>2219148.7781994981</v>
      </c>
      <c r="D617" s="67">
        <f t="array" ref="D617">SUM($B$7:$B612*$F$1009*EXP(-$F$1009*($A617-$A$7:$A612)))*$F$1010</f>
        <v>101441478.38435553</v>
      </c>
      <c r="E617" s="67">
        <f t="shared" si="59"/>
        <v>193.38922327988601</v>
      </c>
      <c r="F617" s="70">
        <f t="shared" si="63"/>
        <v>11.742593637554677</v>
      </c>
      <c r="G617" s="67">
        <f>E617/'Lookup Tables'!$C$48</f>
        <v>386.77844655977202</v>
      </c>
      <c r="H617" s="70">
        <f t="shared" si="60"/>
        <v>4.5803767982774843E-2</v>
      </c>
      <c r="I617" s="71">
        <f t="shared" si="64"/>
        <v>0.55696096304607168</v>
      </c>
      <c r="L617" s="74"/>
      <c r="M617" s="74"/>
      <c r="N617" s="74"/>
      <c r="O617" s="74"/>
      <c r="P617" s="74"/>
      <c r="Q617" s="74"/>
      <c r="R617" s="74"/>
      <c r="S617" s="74"/>
      <c r="T617" s="74"/>
      <c r="U617" s="74"/>
      <c r="V617" s="74"/>
      <c r="W617" s="74"/>
      <c r="X617" s="74"/>
      <c r="Y617" s="74"/>
      <c r="Z617" s="74"/>
    </row>
    <row r="618" spans="1:26" x14ac:dyDescent="0.3">
      <c r="A618" s="66">
        <f t="shared" si="62"/>
        <v>2051.0999999999444</v>
      </c>
      <c r="B618" s="67">
        <f>LOOKUP(A618+0.01,Amounts!$A$4:$A$103,Amounts!$B$4:$B$103)*0.1*$A$2</f>
        <v>0</v>
      </c>
      <c r="C618" s="68">
        <f t="shared" si="61"/>
        <v>2219148.7781994981</v>
      </c>
      <c r="D618" s="67">
        <f t="array" ref="D618">SUM($B$7:$B613*$F$1009*EXP(-$F$1009*($A618-$A$7:$A613)))*$F$1010</f>
        <v>101157839.52459399</v>
      </c>
      <c r="E618" s="67">
        <f t="shared" si="59"/>
        <v>192.84849083340646</v>
      </c>
      <c r="F618" s="70">
        <f t="shared" si="63"/>
        <v>11.70976036340444</v>
      </c>
      <c r="G618" s="67">
        <f>E618/'Lookup Tables'!$C$48</f>
        <v>385.69698166681292</v>
      </c>
      <c r="H618" s="70">
        <f t="shared" si="60"/>
        <v>4.5675696815730214E-2</v>
      </c>
      <c r="I618" s="71">
        <f t="shared" si="64"/>
        <v>0.5554036536002106</v>
      </c>
      <c r="L618" s="74"/>
      <c r="M618" s="74"/>
      <c r="N618" s="74"/>
      <c r="O618" s="74"/>
      <c r="P618" s="74"/>
      <c r="Q618" s="74"/>
      <c r="R618" s="74"/>
      <c r="S618" s="74"/>
      <c r="T618" s="74"/>
      <c r="U618" s="74"/>
      <c r="V618" s="74"/>
      <c r="W618" s="74"/>
      <c r="X618" s="74"/>
      <c r="Y618" s="74"/>
      <c r="Z618" s="74"/>
    </row>
    <row r="619" spans="1:26" x14ac:dyDescent="0.3">
      <c r="A619" s="66">
        <f t="shared" si="62"/>
        <v>2051.1999999999443</v>
      </c>
      <c r="B619" s="67">
        <f>LOOKUP(A619+0.01,Amounts!$A$4:$A$103,Amounts!$B$4:$B$103)*0.1*$A$2</f>
        <v>0</v>
      </c>
      <c r="C619" s="68">
        <f t="shared" si="61"/>
        <v>2219148.7781994981</v>
      </c>
      <c r="D619" s="67">
        <f t="array" ref="D619">SUM($B$7:$B614*$F$1009*EXP(-$F$1009*($A619-$A$7:$A614)))*$F$1010</f>
        <v>100874993.74281245</v>
      </c>
      <c r="E619" s="67">
        <f t="shared" si="59"/>
        <v>192.30927032008279</v>
      </c>
      <c r="F619" s="70">
        <f t="shared" si="63"/>
        <v>11.677018893835427</v>
      </c>
      <c r="G619" s="67">
        <f>E619/'Lookup Tables'!$C$48</f>
        <v>384.61854064016558</v>
      </c>
      <c r="H619" s="70">
        <f t="shared" si="60"/>
        <v>4.5547983746382581E-2</v>
      </c>
      <c r="I619" s="71">
        <f t="shared" si="64"/>
        <v>0.55385069852183844</v>
      </c>
      <c r="L619" s="74"/>
      <c r="M619" s="74"/>
      <c r="N619" s="74"/>
      <c r="O619" s="74"/>
      <c r="P619" s="74"/>
      <c r="Q619" s="74"/>
      <c r="R619" s="74"/>
      <c r="S619" s="74"/>
      <c r="T619" s="74"/>
      <c r="U619" s="74"/>
      <c r="V619" s="74"/>
      <c r="W619" s="74"/>
      <c r="X619" s="74"/>
      <c r="Y619" s="74"/>
      <c r="Z619" s="74"/>
    </row>
    <row r="620" spans="1:26" x14ac:dyDescent="0.3">
      <c r="A620" s="66">
        <f t="shared" si="62"/>
        <v>2051.2999999999442</v>
      </c>
      <c r="B620" s="67">
        <f>LOOKUP(A620+0.01,Amounts!$A$4:$A$103,Amounts!$B$4:$B$103)*0.1*$A$2</f>
        <v>0</v>
      </c>
      <c r="C620" s="68">
        <f t="shared" si="61"/>
        <v>2219148.7781994981</v>
      </c>
      <c r="D620" s="67">
        <f t="array" ref="D620">SUM($B$7:$B615*$F$1009*EXP(-$F$1009*($A620-$A$7:$A615)))*$F$1010</f>
        <v>100592938.82149851</v>
      </c>
      <c r="E620" s="67">
        <f t="shared" si="59"/>
        <v>191.77155751242339</v>
      </c>
      <c r="F620" s="70">
        <f t="shared" si="63"/>
        <v>11.644368972154346</v>
      </c>
      <c r="G620" s="67">
        <f>E620/'Lookup Tables'!$C$48</f>
        <v>383.54311502484677</v>
      </c>
      <c r="H620" s="70">
        <f t="shared" si="60"/>
        <v>4.54206277734608E-2</v>
      </c>
      <c r="I620" s="71">
        <f t="shared" si="64"/>
        <v>0.55230208563577932</v>
      </c>
      <c r="L620" s="74"/>
      <c r="M620" s="74"/>
      <c r="N620" s="74"/>
      <c r="O620" s="74"/>
      <c r="P620" s="74"/>
      <c r="Q620" s="74"/>
      <c r="R620" s="74"/>
      <c r="S620" s="74"/>
      <c r="T620" s="74"/>
      <c r="U620" s="74"/>
      <c r="V620" s="74"/>
      <c r="W620" s="74"/>
      <c r="X620" s="74"/>
      <c r="Y620" s="74"/>
      <c r="Z620" s="74"/>
    </row>
    <row r="621" spans="1:26" x14ac:dyDescent="0.3">
      <c r="A621" s="66">
        <f t="shared" si="62"/>
        <v>2051.3999999999442</v>
      </c>
      <c r="B621" s="67">
        <f>LOOKUP(A621+0.01,Amounts!$A$4:$A$103,Amounts!$B$4:$B$103)*0.1*$A$2</f>
        <v>0</v>
      </c>
      <c r="C621" s="68">
        <f t="shared" si="61"/>
        <v>2219148.7781994981</v>
      </c>
      <c r="D621" s="67">
        <f t="array" ref="D621">SUM($B$7:$B616*$F$1009*EXP(-$F$1009*($A621-$A$7:$A616)))*$F$1010</f>
        <v>100311672.5493402</v>
      </c>
      <c r="E621" s="67">
        <f t="shared" si="59"/>
        <v>191.23534819475719</v>
      </c>
      <c r="F621" s="70">
        <f t="shared" si="63"/>
        <v>11.611810342385658</v>
      </c>
      <c r="G621" s="67">
        <f>E621/'Lookup Tables'!$C$48</f>
        <v>382.47069638951439</v>
      </c>
      <c r="H621" s="70">
        <f t="shared" si="60"/>
        <v>4.5293627898493428E-2</v>
      </c>
      <c r="I621" s="71">
        <f t="shared" si="64"/>
        <v>0.55075780280090081</v>
      </c>
      <c r="L621" s="74"/>
      <c r="M621" s="74"/>
      <c r="N621" s="74"/>
      <c r="O621" s="74"/>
      <c r="P621" s="74"/>
      <c r="Q621" s="74"/>
      <c r="R621" s="74"/>
      <c r="S621" s="74"/>
      <c r="T621" s="74"/>
      <c r="U621" s="74"/>
      <c r="V621" s="74"/>
      <c r="W621" s="74"/>
      <c r="X621" s="74"/>
      <c r="Y621" s="74"/>
      <c r="Z621" s="74"/>
    </row>
    <row r="622" spans="1:26" x14ac:dyDescent="0.3">
      <c r="A622" s="66">
        <f t="shared" si="62"/>
        <v>2051.4999999999441</v>
      </c>
      <c r="B622" s="67">
        <f>LOOKUP(A622+0.01,Amounts!$A$4:$A$103,Amounts!$B$4:$B$103)*0.1*$A$2</f>
        <v>0</v>
      </c>
      <c r="C622" s="68">
        <f t="shared" si="61"/>
        <v>2219148.7781994981</v>
      </c>
      <c r="D622" s="67">
        <f t="array" ref="D622">SUM($B$7:$B617*$F$1009*EXP(-$F$1009*($A622-$A$7:$A617)))*$F$1010</f>
        <v>100031192.72120851</v>
      </c>
      <c r="E622" s="67">
        <f t="shared" si="59"/>
        <v>190.70063816320044</v>
      </c>
      <c r="F622" s="70">
        <f t="shared" si="63"/>
        <v>11.57934274926953</v>
      </c>
      <c r="G622" s="67">
        <f>E622/'Lookup Tables'!$C$48</f>
        <v>381.40127632640088</v>
      </c>
      <c r="H622" s="70">
        <f t="shared" si="60"/>
        <v>4.516698312580078E-2</v>
      </c>
      <c r="I622" s="71">
        <f t="shared" si="64"/>
        <v>0.54921783791001721</v>
      </c>
      <c r="L622" s="74"/>
      <c r="M622" s="74"/>
      <c r="N622" s="74"/>
      <c r="O622" s="74"/>
      <c r="P622" s="74"/>
      <c r="Q622" s="74"/>
      <c r="R622" s="74"/>
      <c r="S622" s="74"/>
      <c r="T622" s="74"/>
      <c r="U622" s="74"/>
      <c r="V622" s="74"/>
      <c r="W622" s="74"/>
      <c r="X622" s="74"/>
      <c r="Y622" s="74"/>
      <c r="Z622" s="74"/>
    </row>
    <row r="623" spans="1:26" x14ac:dyDescent="0.3">
      <c r="A623" s="66">
        <f t="shared" si="62"/>
        <v>2051.599999999944</v>
      </c>
      <c r="B623" s="67">
        <f>LOOKUP(A623+0.01,Amounts!$A$4:$A$103,Amounts!$B$4:$B$103)*0.1*$A$2</f>
        <v>0</v>
      </c>
      <c r="C623" s="68">
        <f t="shared" si="61"/>
        <v>2219148.7781994981</v>
      </c>
      <c r="D623" s="67">
        <f t="array" ref="D623">SUM($B$7:$B618*$F$1009*EXP(-$F$1009*($A623-$A$7:$A618)))*$F$1010</f>
        <v>99751497.138140082</v>
      </c>
      <c r="E623" s="67">
        <f t="shared" si="59"/>
        <v>190.16742322562357</v>
      </c>
      <c r="F623" s="70">
        <f t="shared" si="63"/>
        <v>11.546965938259863</v>
      </c>
      <c r="G623" s="67">
        <f>E623/'Lookup Tables'!$C$48</f>
        <v>380.33484645124713</v>
      </c>
      <c r="H623" s="70">
        <f t="shared" si="60"/>
        <v>4.5040692462487174E-2</v>
      </c>
      <c r="I623" s="71">
        <f t="shared" si="64"/>
        <v>0.54768217888979587</v>
      </c>
      <c r="L623" s="74"/>
      <c r="M623" s="74"/>
      <c r="N623" s="74"/>
      <c r="O623" s="74"/>
      <c r="P623" s="74"/>
      <c r="Q623" s="74"/>
      <c r="R623" s="74"/>
      <c r="S623" s="74"/>
      <c r="T623" s="74"/>
      <c r="U623" s="74"/>
      <c r="V623" s="74"/>
      <c r="W623" s="74"/>
      <c r="X623" s="74"/>
      <c r="Y623" s="74"/>
      <c r="Z623" s="74"/>
    </row>
    <row r="624" spans="1:26" x14ac:dyDescent="0.3">
      <c r="A624" s="66">
        <f t="shared" si="62"/>
        <v>2051.6999999999439</v>
      </c>
      <c r="B624" s="67">
        <f>LOOKUP(A624+0.01,Amounts!$A$4:$A$103,Amounts!$B$4:$B$103)*0.1*$A$2</f>
        <v>0</v>
      </c>
      <c r="C624" s="68">
        <f t="shared" si="61"/>
        <v>2219148.7781994981</v>
      </c>
      <c r="D624" s="67">
        <f t="array" ref="D624">SUM($B$7:$B619*$F$1009*EXP(-$F$1009*($A624-$A$7:$A619)))*$F$1010</f>
        <v>99472583.607320219</v>
      </c>
      <c r="E624" s="67">
        <f t="shared" si="59"/>
        <v>189.63569920161899</v>
      </c>
      <c r="F624" s="70">
        <f t="shared" si="63"/>
        <v>11.514679655522306</v>
      </c>
      <c r="G624" s="67">
        <f>E624/'Lookup Tables'!$C$48</f>
        <v>379.27139840323798</v>
      </c>
      <c r="H624" s="70">
        <f t="shared" si="60"/>
        <v>4.4914754918433199E-2</v>
      </c>
      <c r="I624" s="71">
        <f t="shared" si="64"/>
        <v>0.54615081370066265</v>
      </c>
      <c r="L624" s="74"/>
      <c r="M624" s="74"/>
      <c r="N624" s="74"/>
      <c r="O624" s="74"/>
      <c r="P624" s="74"/>
      <c r="Q624" s="74"/>
      <c r="R624" s="74"/>
      <c r="S624" s="74"/>
      <c r="T624" s="74"/>
      <c r="U624" s="74"/>
      <c r="V624" s="74"/>
      <c r="W624" s="74"/>
      <c r="X624" s="74"/>
      <c r="Y624" s="74"/>
      <c r="Z624" s="74"/>
    </row>
    <row r="625" spans="1:26" x14ac:dyDescent="0.3">
      <c r="A625" s="66">
        <f t="shared" si="62"/>
        <v>2051.7999999999438</v>
      </c>
      <c r="B625" s="67">
        <f>LOOKUP(A625+0.01,Amounts!$A$4:$A$103,Amounts!$B$4:$B$103)*0.1*$A$2</f>
        <v>0</v>
      </c>
      <c r="C625" s="68">
        <f t="shared" si="61"/>
        <v>2219148.7781994981</v>
      </c>
      <c r="D625" s="67">
        <f t="array" ref="D625">SUM($B$7:$B620*$F$1009*EXP(-$F$1009*($A625-$A$7:$A620)))*$F$1010</f>
        <v>99194449.942065299</v>
      </c>
      <c r="E625" s="67">
        <f t="shared" si="59"/>
        <v>189.10546192246738</v>
      </c>
      <c r="F625" s="70">
        <f t="shared" si="63"/>
        <v>11.48248364793222</v>
      </c>
      <c r="G625" s="67">
        <f>E625/'Lookup Tables'!$C$48</f>
        <v>378.21092384493477</v>
      </c>
      <c r="H625" s="70">
        <f t="shared" si="60"/>
        <v>4.4789169506287828E-2</v>
      </c>
      <c r="I625" s="71">
        <f t="shared" si="64"/>
        <v>0.54462373033670608</v>
      </c>
      <c r="L625" s="74"/>
      <c r="M625" s="74"/>
      <c r="N625" s="74"/>
      <c r="O625" s="74"/>
      <c r="P625" s="74"/>
      <c r="Q625" s="74"/>
      <c r="R625" s="74"/>
      <c r="S625" s="74"/>
      <c r="T625" s="74"/>
      <c r="U625" s="74"/>
      <c r="V625" s="74"/>
      <c r="W625" s="74"/>
      <c r="X625" s="74"/>
      <c r="Y625" s="74"/>
      <c r="Z625" s="74"/>
    </row>
    <row r="626" spans="1:26" x14ac:dyDescent="0.3">
      <c r="A626" s="66">
        <f t="shared" si="62"/>
        <v>2051.8999999999437</v>
      </c>
      <c r="B626" s="67">
        <f>LOOKUP(A626+0.01,Amounts!$A$4:$A$103,Amounts!$B$4:$B$103)*0.1*$A$2</f>
        <v>0</v>
      </c>
      <c r="C626" s="68">
        <f t="shared" si="61"/>
        <v>2219148.7781994981</v>
      </c>
      <c r="D626" s="67">
        <f t="array" ref="D626">SUM($B$7:$B621*$F$1009*EXP(-$F$1009*($A626-$A$7:$A621)))*$F$1010</f>
        <v>98917093.961806029</v>
      </c>
      <c r="E626" s="67">
        <f t="shared" si="59"/>
        <v>188.57670723110593</v>
      </c>
      <c r="F626" s="70">
        <f t="shared" si="63"/>
        <v>11.450377663072752</v>
      </c>
      <c r="G626" s="67">
        <f>E626/'Lookup Tables'!$C$48</f>
        <v>377.15341446221186</v>
      </c>
      <c r="H626" s="70">
        <f t="shared" si="60"/>
        <v>4.4663935241460818E-2</v>
      </c>
      <c r="I626" s="71">
        <f t="shared" si="64"/>
        <v>0.54310091682558503</v>
      </c>
      <c r="L626" s="74"/>
      <c r="M626" s="74"/>
      <c r="N626" s="74"/>
      <c r="O626" s="74"/>
      <c r="P626" s="74"/>
      <c r="Q626" s="74"/>
      <c r="R626" s="74"/>
      <c r="S626" s="74"/>
      <c r="T626" s="74"/>
      <c r="U626" s="74"/>
      <c r="V626" s="74"/>
      <c r="W626" s="74"/>
      <c r="X626" s="74"/>
      <c r="Y626" s="74"/>
      <c r="Z626" s="74"/>
    </row>
    <row r="627" spans="1:26" x14ac:dyDescent="0.3">
      <c r="A627" s="66">
        <f t="shared" si="62"/>
        <v>2051.9999999999436</v>
      </c>
      <c r="B627" s="67">
        <f>LOOKUP(A627+0.01,Amounts!$A$4:$A$103,Amounts!$B$4:$B$103)*0.1*$A$2</f>
        <v>0</v>
      </c>
      <c r="C627" s="68">
        <f t="shared" si="61"/>
        <v>2219148.7781994981</v>
      </c>
      <c r="D627" s="67">
        <f t="array" ref="D627">SUM($B$7:$B622*$F$1009*EXP(-$F$1009*($A627-$A$7:$A622)))*$F$1010</f>
        <v>98640513.492070049</v>
      </c>
      <c r="E627" s="67">
        <f t="shared" si="59"/>
        <v>188.04943098209498</v>
      </c>
      <c r="F627" s="70">
        <f t="shared" si="63"/>
        <v>11.418361449232805</v>
      </c>
      <c r="G627" s="67">
        <f>E627/'Lookup Tables'!$C$48</f>
        <v>376.09886196418995</v>
      </c>
      <c r="H627" s="70">
        <f t="shared" si="60"/>
        <v>4.4539051142114837E-2</v>
      </c>
      <c r="I627" s="71">
        <f t="shared" si="64"/>
        <v>0.5415823612284334</v>
      </c>
      <c r="L627" s="74"/>
      <c r="M627" s="74"/>
      <c r="N627" s="74"/>
      <c r="O627" s="74"/>
      <c r="P627" s="74"/>
      <c r="Q627" s="74"/>
      <c r="R627" s="74"/>
      <c r="S627" s="74"/>
      <c r="T627" s="74"/>
      <c r="U627" s="74"/>
      <c r="V627" s="74"/>
      <c r="W627" s="74"/>
      <c r="X627" s="74"/>
      <c r="Y627" s="74"/>
      <c r="Z627" s="74"/>
    </row>
    <row r="628" spans="1:26" x14ac:dyDescent="0.3">
      <c r="A628" s="66">
        <f t="shared" si="62"/>
        <v>2052.0999999999435</v>
      </c>
      <c r="B628" s="67">
        <f>LOOKUP(A628+0.01,Amounts!$A$4:$A$103,Amounts!$B$4:$B$103)*0.1*$A$2</f>
        <v>0</v>
      </c>
      <c r="C628" s="68">
        <f t="shared" si="61"/>
        <v>2219148.7781994981</v>
      </c>
      <c r="D628" s="67">
        <f t="array" ref="D628">SUM($B$7:$B623*$F$1009*EXP(-$F$1009*($A628-$A$7:$A623)))*$F$1010</f>
        <v>98364706.364465132</v>
      </c>
      <c r="E628" s="67">
        <f t="shared" si="59"/>
        <v>187.52362904158622</v>
      </c>
      <c r="F628" s="70">
        <f t="shared" si="63"/>
        <v>11.386434755405118</v>
      </c>
      <c r="G628" s="67">
        <f>E628/'Lookup Tables'!$C$48</f>
        <v>375.04725808317244</v>
      </c>
      <c r="H628" s="70">
        <f t="shared" si="60"/>
        <v>4.4414516229157978E-2</v>
      </c>
      <c r="I628" s="71">
        <f t="shared" si="64"/>
        <v>0.54006805163976834</v>
      </c>
      <c r="L628" s="74"/>
      <c r="M628" s="74"/>
      <c r="N628" s="74"/>
      <c r="O628" s="74"/>
      <c r="P628" s="74"/>
      <c r="Q628" s="74"/>
      <c r="R628" s="74"/>
      <c r="S628" s="74"/>
      <c r="T628" s="74"/>
      <c r="U628" s="74"/>
      <c r="V628" s="74"/>
      <c r="W628" s="74"/>
      <c r="X628" s="74"/>
      <c r="Y628" s="74"/>
      <c r="Z628" s="74"/>
    </row>
    <row r="629" spans="1:26" x14ac:dyDescent="0.3">
      <c r="A629" s="66">
        <f t="shared" si="62"/>
        <v>2052.1999999999434</v>
      </c>
      <c r="B629" s="67">
        <f>LOOKUP(A629+0.01,Amounts!$A$4:$A$103,Amounts!$B$4:$B$103)*0.1*$A$2</f>
        <v>0</v>
      </c>
      <c r="C629" s="68">
        <f t="shared" si="61"/>
        <v>2219148.7781994981</v>
      </c>
      <c r="D629" s="67">
        <f t="array" ref="D629">SUM($B$7:$B624*$F$1009*EXP(-$F$1009*($A629-$A$7:$A624)))*$F$1010</f>
        <v>98089670.416661948</v>
      </c>
      <c r="E629" s="67">
        <f t="shared" si="59"/>
        <v>186.99929728728966</v>
      </c>
      <c r="F629" s="70">
        <f t="shared" si="63"/>
        <v>11.354597331284229</v>
      </c>
      <c r="G629" s="67">
        <f>E629/'Lookup Tables'!$C$48</f>
        <v>373.99859457457933</v>
      </c>
      <c r="H629" s="70">
        <f t="shared" si="60"/>
        <v>4.429032952623585E-2</v>
      </c>
      <c r="I629" s="71">
        <f t="shared" si="64"/>
        <v>0.53855797618739421</v>
      </c>
      <c r="L629" s="74"/>
      <c r="M629" s="74"/>
      <c r="N629" s="74"/>
      <c r="O629" s="74"/>
      <c r="P629" s="74"/>
      <c r="Q629" s="74"/>
      <c r="R629" s="74"/>
      <c r="S629" s="74"/>
      <c r="T629" s="74"/>
      <c r="U629" s="74"/>
      <c r="V629" s="74"/>
      <c r="W629" s="74"/>
      <c r="X629" s="74"/>
      <c r="Y629" s="74"/>
      <c r="Z629" s="74"/>
    </row>
    <row r="630" spans="1:26" x14ac:dyDescent="0.3">
      <c r="A630" s="66">
        <f t="shared" si="62"/>
        <v>2052.2999999999433</v>
      </c>
      <c r="B630" s="67">
        <f>LOOKUP(A630+0.01,Amounts!$A$4:$A$103,Amounts!$B$4:$B$103)*0.1*$A$2</f>
        <v>0</v>
      </c>
      <c r="C630" s="68">
        <f t="shared" si="61"/>
        <v>2219148.7781994981</v>
      </c>
      <c r="D630" s="67">
        <f t="array" ref="D630">SUM($B$7:$B625*$F$1009*EXP(-$F$1009*($A630-$A$7:$A625)))*$F$1010</f>
        <v>97815403.492377207</v>
      </c>
      <c r="E630" s="67">
        <f t="shared" si="59"/>
        <v>186.4764316084416</v>
      </c>
      <c r="F630" s="70">
        <f t="shared" si="63"/>
        <v>11.322848927264575</v>
      </c>
      <c r="G630" s="67">
        <f>E630/'Lookup Tables'!$C$48</f>
        <v>372.9528632168832</v>
      </c>
      <c r="H630" s="70">
        <f t="shared" si="60"/>
        <v>4.4166490059724048E-2</v>
      </c>
      <c r="I630" s="71">
        <f t="shared" si="64"/>
        <v>0.53705212303231176</v>
      </c>
      <c r="L630" s="74"/>
      <c r="M630" s="74"/>
      <c r="N630" s="74"/>
      <c r="O630" s="74"/>
      <c r="P630" s="74"/>
      <c r="Q630" s="74"/>
      <c r="R630" s="74"/>
      <c r="S630" s="74"/>
      <c r="T630" s="74"/>
      <c r="U630" s="74"/>
      <c r="V630" s="74"/>
      <c r="W630" s="74"/>
      <c r="X630" s="74"/>
      <c r="Y630" s="74"/>
      <c r="Z630" s="74"/>
    </row>
    <row r="631" spans="1:26" x14ac:dyDescent="0.3">
      <c r="A631" s="66">
        <f t="shared" si="62"/>
        <v>2052.3999999999432</v>
      </c>
      <c r="B631" s="67">
        <f>LOOKUP(A631+0.01,Amounts!$A$4:$A$103,Amounts!$B$4:$B$103)*0.1*$A$2</f>
        <v>0</v>
      </c>
      <c r="C631" s="68">
        <f t="shared" si="61"/>
        <v>2219148.7781994981</v>
      </c>
      <c r="D631" s="67">
        <f t="array" ref="D631">SUM($B$7:$B626*$F$1009*EXP(-$F$1009*($A631-$A$7:$A626)))*$F$1010</f>
        <v>97541903.441356912</v>
      </c>
      <c r="E631" s="67">
        <f t="shared" si="59"/>
        <v>185.95502790577254</v>
      </c>
      <c r="F631" s="70">
        <f t="shared" si="63"/>
        <v>11.291189294438508</v>
      </c>
      <c r="G631" s="67">
        <f>E631/'Lookup Tables'!$C$48</f>
        <v>371.91005581154508</v>
      </c>
      <c r="H631" s="70">
        <f t="shared" si="60"/>
        <v>4.4042996858720547E-2</v>
      </c>
      <c r="I631" s="71">
        <f t="shared" si="64"/>
        <v>0.53555048036862496</v>
      </c>
      <c r="L631" s="74"/>
      <c r="M631" s="74"/>
      <c r="N631" s="74"/>
      <c r="O631" s="74"/>
      <c r="P631" s="74"/>
      <c r="Q631" s="74"/>
      <c r="R631" s="74"/>
      <c r="S631" s="74"/>
      <c r="T631" s="74"/>
      <c r="U631" s="74"/>
      <c r="V631" s="74"/>
      <c r="W631" s="74"/>
      <c r="X631" s="74"/>
      <c r="Y631" s="74"/>
      <c r="Z631" s="74"/>
    </row>
    <row r="632" spans="1:26" x14ac:dyDescent="0.3">
      <c r="A632" s="66">
        <f t="shared" si="62"/>
        <v>2052.4999999999432</v>
      </c>
      <c r="B632" s="67">
        <f>LOOKUP(A632+0.01,Amounts!$A$4:$A$103,Amounts!$B$4:$B$103)*0.1*$A$2</f>
        <v>0</v>
      </c>
      <c r="C632" s="68">
        <f t="shared" si="61"/>
        <v>2219148.7781994981</v>
      </c>
      <c r="D632" s="67">
        <f t="array" ref="D632">SUM($B$7:$B627*$F$1009*EXP(-$F$1009*($A632-$A$7:$A627)))*$F$1010</f>
        <v>97269168.119359165</v>
      </c>
      <c r="E632" s="67">
        <f t="shared" si="59"/>
        <v>185.43508209147467</v>
      </c>
      <c r="F632" s="70">
        <f t="shared" si="63"/>
        <v>11.259618184594343</v>
      </c>
      <c r="G632" s="67">
        <f>E632/'Lookup Tables'!$C$48</f>
        <v>370.87016418294934</v>
      </c>
      <c r="H632" s="70">
        <f t="shared" si="60"/>
        <v>4.3919848955038004E-2</v>
      </c>
      <c r="I632" s="71">
        <f t="shared" si="64"/>
        <v>0.53405303642344704</v>
      </c>
      <c r="L632" s="74"/>
      <c r="M632" s="74"/>
      <c r="N632" s="74"/>
      <c r="O632" s="74"/>
      <c r="P632" s="74"/>
      <c r="Q632" s="74"/>
      <c r="R632" s="74"/>
      <c r="S632" s="74"/>
      <c r="T632" s="74"/>
      <c r="U632" s="74"/>
      <c r="V632" s="74"/>
      <c r="W632" s="74"/>
      <c r="X632" s="74"/>
      <c r="Y632" s="74"/>
      <c r="Z632" s="74"/>
    </row>
    <row r="633" spans="1:26" x14ac:dyDescent="0.3">
      <c r="A633" s="66">
        <f t="shared" si="62"/>
        <v>2052.5999999999431</v>
      </c>
      <c r="B633" s="67">
        <f>LOOKUP(A633+0.01,Amounts!$A$4:$A$103,Amounts!$B$4:$B$103)*0.1*$A$2</f>
        <v>0</v>
      </c>
      <c r="C633" s="68">
        <f t="shared" si="61"/>
        <v>2219148.7781994981</v>
      </c>
      <c r="D633" s="67">
        <f t="array" ref="D633">SUM($B$7:$B628*$F$1009*EXP(-$F$1009*($A633-$A$7:$A628)))*$F$1010</f>
        <v>96997195.388137743</v>
      </c>
      <c r="E633" s="67">
        <f t="shared" si="59"/>
        <v>184.91659008917031</v>
      </c>
      <c r="F633" s="70">
        <f t="shared" si="63"/>
        <v>11.228135350214421</v>
      </c>
      <c r="G633" s="67">
        <f>E633/'Lookup Tables'!$C$48</f>
        <v>369.83318017834063</v>
      </c>
      <c r="H633" s="70">
        <f t="shared" si="60"/>
        <v>4.3797045383196252E-2</v>
      </c>
      <c r="I633" s="71">
        <f t="shared" si="64"/>
        <v>0.53255977945681054</v>
      </c>
      <c r="L633" s="74"/>
      <c r="M633" s="74"/>
      <c r="N633" s="74"/>
      <c r="O633" s="74"/>
      <c r="P633" s="74"/>
      <c r="Q633" s="74"/>
      <c r="R633" s="74"/>
      <c r="S633" s="74"/>
      <c r="T633" s="74"/>
      <c r="U633" s="74"/>
      <c r="V633" s="74"/>
      <c r="W633" s="74"/>
      <c r="X633" s="74"/>
      <c r="Y633" s="74"/>
      <c r="Z633" s="74"/>
    </row>
    <row r="634" spans="1:26" x14ac:dyDescent="0.3">
      <c r="A634" s="66">
        <f t="shared" si="62"/>
        <v>2052.699999999943</v>
      </c>
      <c r="B634" s="67">
        <f>LOOKUP(A634+0.01,Amounts!$A$4:$A$103,Amounts!$B$4:$B$103)*0.1*$A$2</f>
        <v>0</v>
      </c>
      <c r="C634" s="68">
        <f t="shared" si="61"/>
        <v>2219148.7781994981</v>
      </c>
      <c r="D634" s="67">
        <f t="array" ref="D634">SUM($B$7:$B629*$F$1009*EXP(-$F$1009*($A634-$A$7:$A629)))*$F$1010</f>
        <v>96725983.115424991</v>
      </c>
      <c r="E634" s="67">
        <f t="shared" si="59"/>
        <v>184.39954783387938</v>
      </c>
      <c r="F634" s="70">
        <f t="shared" si="63"/>
        <v>11.196740544473156</v>
      </c>
      <c r="G634" s="67">
        <f>E634/'Lookup Tables'!$C$48</f>
        <v>368.79909566775876</v>
      </c>
      <c r="H634" s="70">
        <f t="shared" si="60"/>
        <v>4.3674585180414616E-2</v>
      </c>
      <c r="I634" s="71">
        <f t="shared" si="64"/>
        <v>0.53107069776157267</v>
      </c>
      <c r="L634" s="74"/>
      <c r="M634" s="74"/>
      <c r="N634" s="74"/>
      <c r="O634" s="74"/>
      <c r="P634" s="74"/>
      <c r="Q634" s="74"/>
      <c r="R634" s="74"/>
      <c r="S634" s="74"/>
      <c r="T634" s="74"/>
      <c r="U634" s="74"/>
      <c r="V634" s="74"/>
      <c r="W634" s="74"/>
      <c r="X634" s="74"/>
      <c r="Y634" s="74"/>
      <c r="Z634" s="74"/>
    </row>
    <row r="635" spans="1:26" x14ac:dyDescent="0.3">
      <c r="A635" s="66">
        <f t="shared" si="62"/>
        <v>2052.7999999999429</v>
      </c>
      <c r="B635" s="67">
        <f>LOOKUP(A635+0.01,Amounts!$A$4:$A$103,Amounts!$B$4:$B$103)*0.1*$A$2</f>
        <v>0</v>
      </c>
      <c r="C635" s="68">
        <f t="shared" si="61"/>
        <v>2219148.7781994981</v>
      </c>
      <c r="D635" s="67">
        <f t="array" ref="D635">SUM($B$7:$B630*$F$1009*EXP(-$F$1009*($A635-$A$7:$A630)))*$F$1010</f>
        <v>96455529.174915299</v>
      </c>
      <c r="E635" s="67">
        <f t="shared" si="59"/>
        <v>183.88395127198797</v>
      </c>
      <c r="F635" s="70">
        <f t="shared" si="63"/>
        <v>11.16543352123511</v>
      </c>
      <c r="G635" s="67">
        <f>E635/'Lookup Tables'!$C$48</f>
        <v>367.76790254397594</v>
      </c>
      <c r="H635" s="70">
        <f t="shared" si="60"/>
        <v>4.355246738660451E-2</v>
      </c>
      <c r="I635" s="71">
        <f t="shared" si="64"/>
        <v>0.52958577966332543</v>
      </c>
      <c r="L635" s="74"/>
      <c r="M635" s="74"/>
      <c r="N635" s="74"/>
      <c r="O635" s="74"/>
      <c r="P635" s="74"/>
      <c r="Q635" s="74"/>
      <c r="R635" s="74"/>
      <c r="S635" s="74"/>
      <c r="T635" s="74"/>
      <c r="U635" s="74"/>
      <c r="V635" s="74"/>
      <c r="W635" s="74"/>
      <c r="X635" s="74"/>
      <c r="Y635" s="74"/>
      <c r="Z635" s="74"/>
    </row>
    <row r="636" spans="1:26" x14ac:dyDescent="0.3">
      <c r="A636" s="66">
        <f t="shared" si="62"/>
        <v>2052.8999999999428</v>
      </c>
      <c r="B636" s="67">
        <f>LOOKUP(A636+0.01,Amounts!$A$4:$A$103,Amounts!$B$4:$B$103)*0.1*$A$2</f>
        <v>0</v>
      </c>
      <c r="C636" s="68">
        <f t="shared" si="61"/>
        <v>2219148.7781994981</v>
      </c>
      <c r="D636" s="67">
        <f t="array" ref="D636">SUM($B$7:$B631*$F$1009*EXP(-$F$1009*($A636-$A$7:$A631)))*$F$1010</f>
        <v>96185831.446248412</v>
      </c>
      <c r="E636" s="67">
        <f t="shared" si="59"/>
        <v>183.36979636121646</v>
      </c>
      <c r="F636" s="70">
        <f t="shared" si="63"/>
        <v>11.134214035053063</v>
      </c>
      <c r="G636" s="67">
        <f>E636/'Lookup Tables'!$C$48</f>
        <v>366.73959272243292</v>
      </c>
      <c r="H636" s="70">
        <f t="shared" si="60"/>
        <v>4.3430691044361799E-2</v>
      </c>
      <c r="I636" s="71">
        <f t="shared" si="64"/>
        <v>0.52810501352030337</v>
      </c>
      <c r="L636" s="74"/>
      <c r="M636" s="74"/>
      <c r="N636" s="74"/>
      <c r="O636" s="74"/>
      <c r="P636" s="74"/>
      <c r="Q636" s="74"/>
      <c r="R636" s="74"/>
      <c r="S636" s="74"/>
      <c r="T636" s="74"/>
      <c r="U636" s="74"/>
      <c r="V636" s="74"/>
      <c r="W636" s="74"/>
      <c r="X636" s="74"/>
      <c r="Y636" s="74"/>
      <c r="Z636" s="74"/>
    </row>
    <row r="637" spans="1:26" x14ac:dyDescent="0.3">
      <c r="A637" s="66">
        <f t="shared" si="62"/>
        <v>2052.9999999999427</v>
      </c>
      <c r="B637" s="67">
        <f>LOOKUP(A637+0.01,Amounts!$A$4:$A$103,Amounts!$B$4:$B$103)*0.1*$A$2</f>
        <v>0</v>
      </c>
      <c r="C637" s="68">
        <f t="shared" si="61"/>
        <v>2219148.7781994981</v>
      </c>
      <c r="D637" s="67">
        <f t="array" ref="D637">SUM($B$7:$B632*$F$1009*EXP(-$F$1009*($A637-$A$7:$A632)))*$F$1010</f>
        <v>95916887.814992756</v>
      </c>
      <c r="E637" s="67">
        <f t="shared" si="59"/>
        <v>182.8570790705877</v>
      </c>
      <c r="F637" s="70">
        <f t="shared" si="63"/>
        <v>11.103081841166086</v>
      </c>
      <c r="G637" s="67">
        <f>E637/'Lookup Tables'!$C$48</f>
        <v>365.7141581411754</v>
      </c>
      <c r="H637" s="70">
        <f t="shared" si="60"/>
        <v>4.330925519895934E-2</v>
      </c>
      <c r="I637" s="71">
        <f t="shared" si="64"/>
        <v>0.52662838772329257</v>
      </c>
      <c r="L637" s="74"/>
      <c r="M637" s="74"/>
      <c r="N637" s="74"/>
      <c r="O637" s="74"/>
      <c r="P637" s="74"/>
      <c r="Q637" s="74"/>
      <c r="R637" s="74"/>
      <c r="S637" s="74"/>
      <c r="T637" s="74"/>
      <c r="U637" s="74"/>
      <c r="V637" s="74"/>
      <c r="W637" s="74"/>
      <c r="X637" s="74"/>
      <c r="Y637" s="74"/>
      <c r="Z637" s="74"/>
    </row>
    <row r="638" spans="1:26" x14ac:dyDescent="0.3">
      <c r="A638" s="66">
        <f t="shared" si="62"/>
        <v>2053.0999999999426</v>
      </c>
      <c r="B638" s="67">
        <f>LOOKUP(A638+0.01,Amounts!$A$4:$A$103,Amounts!$B$4:$B$103)*0.1*$A$2</f>
        <v>0</v>
      </c>
      <c r="C638" s="68">
        <f t="shared" si="61"/>
        <v>2219148.7781994981</v>
      </c>
      <c r="D638" s="67">
        <f t="array" ref="D638">SUM($B$7:$B633*$F$1009*EXP(-$F$1009*($A638-$A$7:$A633)))*$F$1010</f>
        <v>95648696.17262885</v>
      </c>
      <c r="E638" s="67">
        <f t="shared" si="59"/>
        <v>182.34579538039543</v>
      </c>
      <c r="F638" s="70">
        <f t="shared" si="63"/>
        <v>11.07203669549761</v>
      </c>
      <c r="G638" s="67">
        <f>E638/'Lookup Tables'!$C$48</f>
        <v>364.69159076079086</v>
      </c>
      <c r="H638" s="70">
        <f t="shared" si="60"/>
        <v>4.3188158898339477E-2</v>
      </c>
      <c r="I638" s="71">
        <f t="shared" si="64"/>
        <v>0.52515589069553881</v>
      </c>
      <c r="L638" s="74"/>
      <c r="M638" s="74"/>
      <c r="N638" s="74"/>
      <c r="O638" s="74"/>
      <c r="P638" s="74"/>
      <c r="Q638" s="74"/>
      <c r="R638" s="74"/>
      <c r="S638" s="74"/>
      <c r="T638" s="74"/>
      <c r="U638" s="74"/>
      <c r="V638" s="74"/>
      <c r="W638" s="74"/>
      <c r="X638" s="74"/>
      <c r="Y638" s="74"/>
      <c r="Z638" s="74"/>
    </row>
    <row r="639" spans="1:26" x14ac:dyDescent="0.3">
      <c r="A639" s="66">
        <f t="shared" si="62"/>
        <v>2053.1999999999425</v>
      </c>
      <c r="B639" s="67">
        <f>LOOKUP(A639+0.01,Amounts!$A$4:$A$103,Amounts!$B$4:$B$103)*0.1*$A$2</f>
        <v>0</v>
      </c>
      <c r="C639" s="68">
        <f t="shared" si="61"/>
        <v>2219148.7781994981</v>
      </c>
      <c r="D639" s="67">
        <f t="array" ref="D639">SUM($B$7:$B634*$F$1009*EXP(-$F$1009*($A639-$A$7:$A634)))*$F$1010</f>
        <v>95381254.416532844</v>
      </c>
      <c r="E639" s="67">
        <f t="shared" si="59"/>
        <v>181.83594128217291</v>
      </c>
      <c r="F639" s="70">
        <f t="shared" si="63"/>
        <v>11.041078354653539</v>
      </c>
      <c r="G639" s="67">
        <f>E639/'Lookup Tables'!$C$48</f>
        <v>363.67188256434582</v>
      </c>
      <c r="H639" s="70">
        <f t="shared" si="60"/>
        <v>4.3067401193106584E-2</v>
      </c>
      <c r="I639" s="71">
        <f t="shared" si="64"/>
        <v>0.52368751089265808</v>
      </c>
      <c r="L639" s="74"/>
      <c r="M639" s="74"/>
      <c r="N639" s="74"/>
      <c r="O639" s="74"/>
      <c r="P639" s="74"/>
      <c r="Q639" s="74"/>
      <c r="R639" s="74"/>
      <c r="S639" s="74"/>
      <c r="T639" s="74"/>
      <c r="U639" s="74"/>
      <c r="V639" s="74"/>
      <c r="W639" s="74"/>
      <c r="X639" s="74"/>
      <c r="Y639" s="74"/>
      <c r="Z639" s="74"/>
    </row>
    <row r="640" spans="1:26" x14ac:dyDescent="0.3">
      <c r="A640" s="66">
        <f t="shared" si="62"/>
        <v>2053.2999999999424</v>
      </c>
      <c r="B640" s="67">
        <f>LOOKUP(A640+0.01,Amounts!$A$4:$A$103,Amounts!$B$4:$B$103)*0.1*$A$2</f>
        <v>0</v>
      </c>
      <c r="C640" s="68">
        <f t="shared" si="61"/>
        <v>2219148.7781994981</v>
      </c>
      <c r="D640" s="67">
        <f t="array" ref="D640">SUM($B$7:$B635*$F$1009*EXP(-$F$1009*($A640-$A$7:$A635)))*$F$1010</f>
        <v>95114560.449960038</v>
      </c>
      <c r="E640" s="67">
        <f t="shared" si="59"/>
        <v>181.32751277866149</v>
      </c>
      <c r="F640" s="70">
        <f t="shared" si="63"/>
        <v>11.010206575920325</v>
      </c>
      <c r="G640" s="67">
        <f>E640/'Lookup Tables'!$C$48</f>
        <v>362.65502555732297</v>
      </c>
      <c r="H640" s="70">
        <f t="shared" si="60"/>
        <v>4.2946981136519652E-2</v>
      </c>
      <c r="I640" s="71">
        <f t="shared" si="64"/>
        <v>0.52222323680254512</v>
      </c>
      <c r="L640" s="74"/>
      <c r="M640" s="74"/>
      <c r="N640" s="74"/>
      <c r="O640" s="74"/>
      <c r="P640" s="74"/>
      <c r="Q640" s="74"/>
      <c r="R640" s="74"/>
      <c r="S640" s="74"/>
      <c r="T640" s="74"/>
      <c r="U640" s="74"/>
      <c r="V640" s="74"/>
      <c r="W640" s="74"/>
      <c r="X640" s="74"/>
      <c r="Y640" s="74"/>
      <c r="Z640" s="74"/>
    </row>
    <row r="641" spans="1:26" x14ac:dyDescent="0.3">
      <c r="A641" s="66">
        <f t="shared" si="62"/>
        <v>2053.3999999999423</v>
      </c>
      <c r="B641" s="67">
        <f>LOOKUP(A641+0.01,Amounts!$A$4:$A$103,Amounts!$B$4:$B$103)*0.1*$A$2</f>
        <v>0</v>
      </c>
      <c r="C641" s="68">
        <f t="shared" si="61"/>
        <v>2219148.7781994981</v>
      </c>
      <c r="D641" s="67">
        <f t="array" ref="D641">SUM($B$7:$B636*$F$1009*EXP(-$F$1009*($A641-$A$7:$A636)))*$F$1010</f>
        <v>94848612.182028353</v>
      </c>
      <c r="E641" s="67">
        <f t="shared" si="59"/>
        <v>180.82050588377899</v>
      </c>
      <c r="F641" s="70">
        <f t="shared" si="63"/>
        <v>10.97942111726306</v>
      </c>
      <c r="G641" s="67">
        <f>E641/'Lookup Tables'!$C$48</f>
        <v>361.64101176755798</v>
      </c>
      <c r="H641" s="70">
        <f t="shared" si="60"/>
        <v>4.2826897784484799E-2</v>
      </c>
      <c r="I641" s="71">
        <f t="shared" si="64"/>
        <v>0.52076305694528358</v>
      </c>
      <c r="L641" s="74"/>
      <c r="M641" s="74"/>
      <c r="N641" s="74"/>
      <c r="O641" s="74"/>
      <c r="P641" s="74"/>
      <c r="Q641" s="74"/>
      <c r="R641" s="74"/>
      <c r="S641" s="74"/>
      <c r="T641" s="74"/>
      <c r="U641" s="74"/>
      <c r="V641" s="74"/>
      <c r="W641" s="74"/>
      <c r="X641" s="74"/>
      <c r="Y641" s="74"/>
      <c r="Z641" s="74"/>
    </row>
    <row r="642" spans="1:26" x14ac:dyDescent="0.3">
      <c r="A642" s="66">
        <f t="shared" si="62"/>
        <v>2053.4999999999422</v>
      </c>
      <c r="B642" s="67">
        <f>LOOKUP(A642+0.01,Amounts!$A$4:$A$103,Amounts!$B$4:$B$103)*0.1*$A$2</f>
        <v>0</v>
      </c>
      <c r="C642" s="68">
        <f t="shared" si="61"/>
        <v>2219148.7781994981</v>
      </c>
      <c r="D642" s="67">
        <f t="array" ref="D642">SUM($B$7:$B637*$F$1009*EXP(-$F$1009*($A642-$A$7:$A637)))*$F$1010</f>
        <v>94583407.527702004</v>
      </c>
      <c r="E642" s="67">
        <f t="shared" si="59"/>
        <v>180.31491662258881</v>
      </c>
      <c r="F642" s="70">
        <f t="shared" si="63"/>
        <v>10.948721737323591</v>
      </c>
      <c r="G642" s="67">
        <f>E642/'Lookup Tables'!$C$48</f>
        <v>360.62983324517762</v>
      </c>
      <c r="H642" s="70">
        <f t="shared" si="60"/>
        <v>4.2707150195547945E-2</v>
      </c>
      <c r="I642" s="71">
        <f t="shared" si="64"/>
        <v>0.51930695987305575</v>
      </c>
      <c r="L642" s="74"/>
      <c r="M642" s="74"/>
      <c r="N642" s="74"/>
      <c r="O642" s="74"/>
      <c r="P642" s="74"/>
      <c r="Q642" s="74"/>
      <c r="R642" s="74"/>
      <c r="S642" s="74"/>
      <c r="T642" s="74"/>
      <c r="U642" s="74"/>
      <c r="V642" s="74"/>
      <c r="W642" s="74"/>
      <c r="X642" s="74"/>
      <c r="Y642" s="74"/>
      <c r="Z642" s="74"/>
    </row>
    <row r="643" spans="1:26" x14ac:dyDescent="0.3">
      <c r="A643" s="66">
        <f t="shared" si="62"/>
        <v>2053.5999999999422</v>
      </c>
      <c r="B643" s="67">
        <f>LOOKUP(A643+0.01,Amounts!$A$4:$A$103,Amounts!$B$4:$B$103)*0.1*$A$2</f>
        <v>0</v>
      </c>
      <c r="C643" s="68">
        <f t="shared" si="61"/>
        <v>2219148.7781994981</v>
      </c>
      <c r="D643" s="67">
        <f t="array" ref="D643">SUM($B$7:$B638*$F$1009*EXP(-$F$1009*($A643-$A$7:$A638)))*$F$1010</f>
        <v>94318944.407775104</v>
      </c>
      <c r="E643" s="67">
        <f t="shared" si="59"/>
        <v>179.81074103126852</v>
      </c>
      <c r="F643" s="70">
        <f t="shared" si="63"/>
        <v>10.918108195418624</v>
      </c>
      <c r="G643" s="67">
        <f>E643/'Lookup Tables'!$C$48</f>
        <v>359.62148206253704</v>
      </c>
      <c r="H643" s="70">
        <f t="shared" si="60"/>
        <v>4.2587737430887368E-2</v>
      </c>
      <c r="I643" s="71">
        <f t="shared" si="64"/>
        <v>0.51785493417005335</v>
      </c>
      <c r="L643" s="74"/>
      <c r="M643" s="74"/>
      <c r="N643" s="74"/>
      <c r="O643" s="74"/>
      <c r="P643" s="74"/>
      <c r="Q643" s="74"/>
      <c r="R643" s="74"/>
      <c r="S643" s="74"/>
      <c r="T643" s="74"/>
      <c r="U643" s="74"/>
      <c r="V643" s="74"/>
      <c r="W643" s="74"/>
      <c r="X643" s="74"/>
      <c r="Y643" s="74"/>
      <c r="Z643" s="74"/>
    </row>
    <row r="644" spans="1:26" x14ac:dyDescent="0.3">
      <c r="A644" s="66">
        <f t="shared" si="62"/>
        <v>2053.6999999999421</v>
      </c>
      <c r="B644" s="67">
        <f>LOOKUP(A644+0.01,Amounts!$A$4:$A$103,Amounts!$B$4:$B$103)*0.1*$A$2</f>
        <v>0</v>
      </c>
      <c r="C644" s="68">
        <f t="shared" si="61"/>
        <v>2219148.7781994981</v>
      </c>
      <c r="D644" s="67">
        <f t="array" ref="D644">SUM($B$7:$B639*$F$1009*EXP(-$F$1009*($A644-$A$7:$A639)))*$F$1010</f>
        <v>94055220.748855501</v>
      </c>
      <c r="E644" s="67">
        <f t="shared" si="59"/>
        <v>179.30797515707897</v>
      </c>
      <c r="F644" s="70">
        <f t="shared" si="63"/>
        <v>10.887580251537836</v>
      </c>
      <c r="G644" s="67">
        <f>E644/'Lookup Tables'!$C$48</f>
        <v>358.61595031415794</v>
      </c>
      <c r="H644" s="70">
        <f t="shared" si="60"/>
        <v>4.2468658554306392E-2</v>
      </c>
      <c r="I644" s="71">
        <f t="shared" si="64"/>
        <v>0.51640696845238743</v>
      </c>
      <c r="L644" s="74"/>
      <c r="M644" s="74"/>
      <c r="N644" s="74"/>
      <c r="O644" s="74"/>
      <c r="P644" s="74"/>
      <c r="Q644" s="74"/>
      <c r="R644" s="74"/>
      <c r="S644" s="74"/>
      <c r="T644" s="74"/>
      <c r="U644" s="74"/>
      <c r="V644" s="74"/>
      <c r="W644" s="74"/>
      <c r="X644" s="74"/>
      <c r="Y644" s="74"/>
      <c r="Z644" s="74"/>
    </row>
    <row r="645" spans="1:26" x14ac:dyDescent="0.3">
      <c r="A645" s="66">
        <f t="shared" si="62"/>
        <v>2053.799999999942</v>
      </c>
      <c r="B645" s="67">
        <f>LOOKUP(A645+0.01,Amounts!$A$4:$A$103,Amounts!$B$4:$B$103)*0.1*$A$2</f>
        <v>0</v>
      </c>
      <c r="C645" s="68">
        <f t="shared" si="61"/>
        <v>2219148.7781994981</v>
      </c>
      <c r="D645" s="67">
        <f t="array" ref="D645">SUM($B$7:$B640*$F$1009*EXP(-$F$1009*($A645-$A$7:$A640)))*$F$1010</f>
        <v>93792234.48334834</v>
      </c>
      <c r="E645" s="67">
        <f t="shared" si="59"/>
        <v>178.80661505833308</v>
      </c>
      <c r="F645" s="70">
        <f t="shared" si="63"/>
        <v>10.857137666341984</v>
      </c>
      <c r="G645" s="67">
        <f>E645/'Lookup Tables'!$C$48</f>
        <v>357.61323011666616</v>
      </c>
      <c r="H645" s="70">
        <f t="shared" si="60"/>
        <v>4.2349912632226018E-2</v>
      </c>
      <c r="I645" s="71">
        <f t="shared" si="64"/>
        <v>0.51496305136799925</v>
      </c>
      <c r="L645" s="74"/>
      <c r="M645" s="74"/>
      <c r="N645" s="74"/>
      <c r="O645" s="74"/>
      <c r="P645" s="74"/>
      <c r="Q645" s="74"/>
      <c r="R645" s="74"/>
      <c r="S645" s="74"/>
      <c r="T645" s="74"/>
      <c r="U645" s="74"/>
      <c r="V645" s="74"/>
      <c r="W645" s="74"/>
      <c r="X645" s="74"/>
      <c r="Y645" s="74"/>
      <c r="Z645" s="74"/>
    </row>
    <row r="646" spans="1:26" x14ac:dyDescent="0.3">
      <c r="A646" s="66">
        <f t="shared" si="62"/>
        <v>2053.8999999999419</v>
      </c>
      <c r="B646" s="67">
        <f>LOOKUP(A646+0.01,Amounts!$A$4:$A$103,Amounts!$B$4:$B$103)*0.1*$A$2</f>
        <v>0</v>
      </c>
      <c r="C646" s="68">
        <f t="shared" si="61"/>
        <v>2219148.7781994981</v>
      </c>
      <c r="D646" s="67">
        <f t="array" ref="D646">SUM($B$7:$B641*$F$1009*EXP(-$F$1009*($A646-$A$7:$A641)))*$F$1010</f>
        <v>93529983.549439907</v>
      </c>
      <c r="E646" s="67">
        <f t="shared" si="59"/>
        <v>178.30665680436508</v>
      </c>
      <c r="F646" s="70">
        <f t="shared" si="63"/>
        <v>10.826780201161048</v>
      </c>
      <c r="G646" s="67">
        <f>E646/'Lookup Tables'!$C$48</f>
        <v>356.61331360873015</v>
      </c>
      <c r="H646" s="70">
        <f t="shared" si="60"/>
        <v>4.2231498733677597E-2</v>
      </c>
      <c r="I646" s="71">
        <f t="shared" si="64"/>
        <v>0.51352317159657146</v>
      </c>
      <c r="L646" s="74"/>
      <c r="M646" s="74"/>
      <c r="N646" s="74"/>
      <c r="O646" s="74"/>
      <c r="P646" s="74"/>
      <c r="Q646" s="74"/>
      <c r="R646" s="74"/>
      <c r="S646" s="74"/>
      <c r="T646" s="74"/>
      <c r="U646" s="74"/>
      <c r="V646" s="74"/>
      <c r="W646" s="74"/>
      <c r="X646" s="74"/>
      <c r="Y646" s="74"/>
      <c r="Z646" s="74"/>
    </row>
    <row r="647" spans="1:26" x14ac:dyDescent="0.3">
      <c r="A647" s="66">
        <f t="shared" si="62"/>
        <v>2053.9999999999418</v>
      </c>
      <c r="B647" s="67">
        <f>LOOKUP(A647+0.01,Amounts!$A$4:$A$103,Amounts!$B$4:$B$103)*0.1*$A$2</f>
        <v>0</v>
      </c>
      <c r="C647" s="68">
        <f t="shared" si="61"/>
        <v>2219148.7781994981</v>
      </c>
      <c r="D647" s="67">
        <f t="array" ref="D647">SUM($B$7:$B642*$F$1009*EXP(-$F$1009*($A647-$A$7:$A642)))*$F$1010</f>
        <v>93268465.891081601</v>
      </c>
      <c r="E647" s="67">
        <f t="shared" ref="E647:E710" si="65">D647/(365*24*60)*1.00201</f>
        <v>177.80809647549978</v>
      </c>
      <c r="F647" s="70">
        <f t="shared" si="63"/>
        <v>10.796507617992345</v>
      </c>
      <c r="G647" s="67">
        <f>E647/'Lookup Tables'!$C$48</f>
        <v>355.61619295099956</v>
      </c>
      <c r="H647" s="70">
        <f t="shared" ref="H647:H710" si="66">G647*60*24*365/(C647*2000)</f>
        <v>4.2113415930295557E-2</v>
      </c>
      <c r="I647" s="71">
        <f t="shared" si="64"/>
        <v>0.51208731784943928</v>
      </c>
      <c r="L647" s="74"/>
      <c r="M647" s="74"/>
      <c r="N647" s="74"/>
      <c r="O647" s="74"/>
      <c r="P647" s="74"/>
      <c r="Q647" s="74"/>
      <c r="R647" s="74"/>
      <c r="S647" s="74"/>
      <c r="T647" s="74"/>
      <c r="U647" s="74"/>
      <c r="V647" s="74"/>
      <c r="W647" s="74"/>
      <c r="X647" s="74"/>
      <c r="Y647" s="74"/>
      <c r="Z647" s="74"/>
    </row>
    <row r="648" spans="1:26" x14ac:dyDescent="0.3">
      <c r="A648" s="66">
        <f t="shared" si="62"/>
        <v>2054.0999999999417</v>
      </c>
      <c r="B648" s="67">
        <f>LOOKUP(A648+0.01,Amounts!$A$4:$A$103,Amounts!$B$4:$B$103)*0.1*$A$2</f>
        <v>0</v>
      </c>
      <c r="C648" s="68">
        <f t="shared" si="61"/>
        <v>2219148.7781994981</v>
      </c>
      <c r="D648" s="67">
        <f t="array" ref="D648">SUM($B$7:$B643*$F$1009*EXP(-$F$1009*($A648-$A$7:$A643)))*$F$1010</f>
        <v>93007679.457973614</v>
      </c>
      <c r="E648" s="67">
        <f t="shared" si="65"/>
        <v>177.3109301630216</v>
      </c>
      <c r="F648" s="70">
        <f t="shared" si="63"/>
        <v>10.76631967949867</v>
      </c>
      <c r="G648" s="67">
        <f>E648/'Lookup Tables'!$C$48</f>
        <v>354.62186032604319</v>
      </c>
      <c r="H648" s="70">
        <f t="shared" si="66"/>
        <v>4.1995663296310139E-2</v>
      </c>
      <c r="I648" s="71">
        <f t="shared" si="64"/>
        <v>0.51065547886950224</v>
      </c>
      <c r="L648" s="74"/>
      <c r="M648" s="74"/>
      <c r="N648" s="74"/>
      <c r="O648" s="74"/>
      <c r="P648" s="74"/>
      <c r="Q648" s="74"/>
      <c r="R648" s="74"/>
      <c r="S648" s="74"/>
      <c r="T648" s="74"/>
      <c r="U648" s="74"/>
      <c r="V648" s="74"/>
      <c r="W648" s="74"/>
      <c r="X648" s="74"/>
      <c r="Y648" s="74"/>
      <c r="Z648" s="74"/>
    </row>
    <row r="649" spans="1:26" x14ac:dyDescent="0.3">
      <c r="A649" s="66">
        <f t="shared" si="62"/>
        <v>2054.1999999999416</v>
      </c>
      <c r="B649" s="67">
        <f>LOOKUP(A649+0.01,Amounts!$A$4:$A$103,Amounts!$B$4:$B$103)*0.1*$A$2</f>
        <v>0</v>
      </c>
      <c r="C649" s="68">
        <f t="shared" ref="C649:C712" si="67">C648+B649</f>
        <v>2219148.7781994981</v>
      </c>
      <c r="D649" s="67">
        <f t="array" ref="D649">SUM($B$7:$B644*$F$1009*EXP(-$F$1009*($A649-$A$7:$A644)))*$F$1010</f>
        <v>92747622.205548987</v>
      </c>
      <c r="E649" s="67">
        <f t="shared" si="65"/>
        <v>176.81515396914412</v>
      </c>
      <c r="F649" s="70">
        <f t="shared" si="63"/>
        <v>10.736216149006433</v>
      </c>
      <c r="G649" s="67">
        <f>E649/'Lookup Tables'!$C$48</f>
        <v>353.63030793828824</v>
      </c>
      <c r="H649" s="70">
        <f t="shared" si="66"/>
        <v>4.1878239908540067E-2</v>
      </c>
      <c r="I649" s="71">
        <f t="shared" si="64"/>
        <v>0.50922764343113514</v>
      </c>
      <c r="L649" s="74"/>
      <c r="M649" s="74"/>
      <c r="N649" s="74"/>
      <c r="O649" s="74"/>
      <c r="P649" s="74"/>
      <c r="Q649" s="74"/>
      <c r="R649" s="74"/>
      <c r="S649" s="74"/>
      <c r="T649" s="74"/>
      <c r="U649" s="74"/>
      <c r="V649" s="74"/>
      <c r="W649" s="74"/>
      <c r="X649" s="74"/>
      <c r="Y649" s="74"/>
      <c r="Z649" s="74"/>
    </row>
    <row r="650" spans="1:26" x14ac:dyDescent="0.3">
      <c r="A650" s="66">
        <f t="shared" si="62"/>
        <v>2054.2999999999415</v>
      </c>
      <c r="B650" s="67">
        <f>LOOKUP(A650+0.01,Amounts!$A$4:$A$103,Amounts!$B$4:$B$103)*0.1*$A$2</f>
        <v>0</v>
      </c>
      <c r="C650" s="68">
        <f t="shared" si="67"/>
        <v>2219148.7781994981</v>
      </c>
      <c r="D650" s="67">
        <f t="array" ref="D650">SUM($B$7:$B645*$F$1009*EXP(-$F$1009*($A650-$A$7:$A645)))*$F$1010</f>
        <v>92488292.094957501</v>
      </c>
      <c r="E650" s="67">
        <f t="shared" si="65"/>
        <v>176.3207640069794</v>
      </c>
      <c r="F650" s="70">
        <f t="shared" si="63"/>
        <v>10.706196790503789</v>
      </c>
      <c r="G650" s="67">
        <f>E650/'Lookup Tables'!$C$48</f>
        <v>352.6415280139588</v>
      </c>
      <c r="H650" s="70">
        <f t="shared" si="66"/>
        <v>4.1761144846385372E-2</v>
      </c>
      <c r="I650" s="71">
        <f t="shared" si="64"/>
        <v>0.50780380034010064</v>
      </c>
      <c r="L650" s="74"/>
      <c r="M650" s="74"/>
      <c r="N650" s="74"/>
      <c r="O650" s="74"/>
      <c r="P650" s="74"/>
      <c r="Q650" s="74"/>
      <c r="R650" s="74"/>
      <c r="S650" s="74"/>
      <c r="T650" s="74"/>
      <c r="U650" s="74"/>
      <c r="V650" s="74"/>
      <c r="W650" s="74"/>
      <c r="X650" s="74"/>
      <c r="Y650" s="74"/>
      <c r="Z650" s="74"/>
    </row>
    <row r="651" spans="1:26" x14ac:dyDescent="0.3">
      <c r="A651" s="66">
        <f t="shared" si="62"/>
        <v>2054.3999999999414</v>
      </c>
      <c r="B651" s="67">
        <f>LOOKUP(A651+0.01,Amounts!$A$4:$A$103,Amounts!$B$4:$B$103)*0.1*$A$2</f>
        <v>0</v>
      </c>
      <c r="C651" s="68">
        <f t="shared" si="67"/>
        <v>2219148.7781994981</v>
      </c>
      <c r="D651" s="67">
        <f t="array" ref="D651">SUM($B$7:$B646*$F$1009*EXP(-$F$1009*($A651-$A$7:$A646)))*$F$1010</f>
        <v>92229687.093049735</v>
      </c>
      <c r="E651" s="67">
        <f t="shared" si="65"/>
        <v>175.82775640050755</v>
      </c>
      <c r="F651" s="70">
        <f t="shared" si="63"/>
        <v>10.676261368638819</v>
      </c>
      <c r="G651" s="67">
        <f>E651/'Lookup Tables'!$C$48</f>
        <v>351.65551280101511</v>
      </c>
      <c r="H651" s="70">
        <f t="shared" si="66"/>
        <v>4.1644377191820167E-2</v>
      </c>
      <c r="I651" s="71">
        <f t="shared" si="64"/>
        <v>0.50638393843346174</v>
      </c>
      <c r="L651" s="74"/>
      <c r="M651" s="74"/>
      <c r="N651" s="74"/>
      <c r="O651" s="74"/>
      <c r="P651" s="74"/>
      <c r="Q651" s="74"/>
      <c r="R651" s="74"/>
      <c r="S651" s="74"/>
      <c r="T651" s="74"/>
      <c r="U651" s="74"/>
      <c r="V651" s="74"/>
      <c r="W651" s="74"/>
      <c r="X651" s="74"/>
      <c r="Y651" s="74"/>
      <c r="Z651" s="74"/>
    </row>
    <row r="652" spans="1:26" x14ac:dyDescent="0.3">
      <c r="A652" s="66">
        <f t="shared" si="62"/>
        <v>2054.4999999999413</v>
      </c>
      <c r="B652" s="67">
        <f>LOOKUP(A652+0.01,Amounts!$A$4:$A$103,Amounts!$B$4:$B$103)*0.1*$A$2</f>
        <v>0</v>
      </c>
      <c r="C652" s="68">
        <f t="shared" si="67"/>
        <v>2219148.7781994981</v>
      </c>
      <c r="D652" s="67">
        <f t="array" ref="D652">SUM($B$7:$B647*$F$1009*EXP(-$F$1009*($A652-$A$7:$A647)))*$F$1010</f>
        <v>91971805.17236124</v>
      </c>
      <c r="E652" s="67">
        <f t="shared" si="65"/>
        <v>175.33612728454662</v>
      </c>
      <c r="F652" s="70">
        <f t="shared" si="63"/>
        <v>10.64640964871767</v>
      </c>
      <c r="G652" s="67">
        <f>E652/'Lookup Tables'!$C$48</f>
        <v>350.67225456909324</v>
      </c>
      <c r="H652" s="70">
        <f t="shared" si="66"/>
        <v>4.1527936029385482E-2</v>
      </c>
      <c r="I652" s="71">
        <f t="shared" si="64"/>
        <v>0.50496804657949423</v>
      </c>
      <c r="L652" s="74"/>
      <c r="M652" s="74"/>
      <c r="N652" s="74"/>
      <c r="O652" s="74"/>
      <c r="P652" s="74"/>
      <c r="Q652" s="74"/>
      <c r="R652" s="74"/>
      <c r="S652" s="74"/>
      <c r="T652" s="74"/>
      <c r="U652" s="74"/>
      <c r="V652" s="74"/>
      <c r="W652" s="74"/>
      <c r="X652" s="74"/>
      <c r="Y652" s="74"/>
      <c r="Z652" s="74"/>
    </row>
    <row r="653" spans="1:26" x14ac:dyDescent="0.3">
      <c r="A653" s="66">
        <f t="shared" si="62"/>
        <v>2054.5999999999412</v>
      </c>
      <c r="B653" s="67">
        <f>LOOKUP(A653+0.01,Amounts!$A$4:$A$103,Amounts!$B$4:$B$103)*0.1*$A$2</f>
        <v>0</v>
      </c>
      <c r="C653" s="68">
        <f t="shared" si="67"/>
        <v>2219148.7781994981</v>
      </c>
      <c r="D653" s="67">
        <f t="array" ref="D653">SUM($B$7:$B648*$F$1009*EXP(-$F$1009*($A653-$A$7:$A648)))*$F$1010</f>
        <v>91714644.311096385</v>
      </c>
      <c r="E653" s="67">
        <f t="shared" si="65"/>
        <v>174.84587280472164</v>
      </c>
      <c r="F653" s="70">
        <f t="shared" si="63"/>
        <v>10.616641396702697</v>
      </c>
      <c r="G653" s="67">
        <f>E653/'Lookup Tables'!$C$48</f>
        <v>349.69174560944327</v>
      </c>
      <c r="H653" s="70">
        <f t="shared" si="66"/>
        <v>4.1411820446181954E-2</v>
      </c>
      <c r="I653" s="71">
        <f t="shared" si="64"/>
        <v>0.50355611367759834</v>
      </c>
      <c r="L653" s="74"/>
      <c r="M653" s="74"/>
      <c r="N653" s="74"/>
      <c r="O653" s="74"/>
      <c r="P653" s="74"/>
      <c r="Q653" s="74"/>
      <c r="R653" s="74"/>
      <c r="S653" s="74"/>
      <c r="T653" s="74"/>
      <c r="U653" s="74"/>
      <c r="V653" s="74"/>
      <c r="W653" s="74"/>
      <c r="X653" s="74"/>
      <c r="Y653" s="74"/>
      <c r="Z653" s="74"/>
    </row>
    <row r="654" spans="1:26" x14ac:dyDescent="0.3">
      <c r="A654" s="66">
        <f t="shared" si="62"/>
        <v>2054.6999999999412</v>
      </c>
      <c r="B654" s="67">
        <f>LOOKUP(A654+0.01,Amounts!$A$4:$A$103,Amounts!$B$4:$B$103)*0.1*$A$2</f>
        <v>0</v>
      </c>
      <c r="C654" s="68">
        <f t="shared" si="67"/>
        <v>2219148.7781994981</v>
      </c>
      <c r="D654" s="67">
        <f t="array" ref="D654">SUM($B$7:$B649*$F$1009*EXP(-$F$1009*($A654-$A$7:$A649)))*$F$1010</f>
        <v>91458202.493112683</v>
      </c>
      <c r="E654" s="67">
        <f t="shared" si="65"/>
        <v>174.35698911743501</v>
      </c>
      <c r="F654" s="70">
        <f t="shared" si="63"/>
        <v>10.586956379210653</v>
      </c>
      <c r="G654" s="67">
        <f>E654/'Lookup Tables'!$C$48</f>
        <v>348.71397823487001</v>
      </c>
      <c r="H654" s="70">
        <f t="shared" si="66"/>
        <v>4.129602953186285E-2</v>
      </c>
      <c r="I654" s="71">
        <f t="shared" si="64"/>
        <v>0.50214812865821279</v>
      </c>
      <c r="L654" s="74"/>
      <c r="M654" s="74"/>
      <c r="N654" s="74"/>
      <c r="O654" s="74"/>
      <c r="P654" s="74"/>
      <c r="Q654" s="74"/>
      <c r="R654" s="74"/>
      <c r="S654" s="74"/>
      <c r="T654" s="74"/>
      <c r="U654" s="74"/>
      <c r="V654" s="74"/>
      <c r="W654" s="74"/>
      <c r="X654" s="74"/>
      <c r="Y654" s="74"/>
      <c r="Z654" s="74"/>
    </row>
    <row r="655" spans="1:26" x14ac:dyDescent="0.3">
      <c r="A655" s="66">
        <f t="shared" si="62"/>
        <v>2054.7999999999411</v>
      </c>
      <c r="B655" s="67">
        <f>LOOKUP(A655+0.01,Amounts!$A$4:$A$103,Amounts!$B$4:$B$103)*0.1*$A$2</f>
        <v>0</v>
      </c>
      <c r="C655" s="68">
        <f t="shared" si="67"/>
        <v>2219148.7781994981</v>
      </c>
      <c r="D655" s="67">
        <f t="array" ref="D655">SUM($B$7:$B650*$F$1009*EXP(-$F$1009*($A655-$A$7:$A650)))*$F$1010</f>
        <v>91202477.707904994</v>
      </c>
      <c r="E655" s="67">
        <f t="shared" si="65"/>
        <v>173.86947238983618</v>
      </c>
      <c r="F655" s="70">
        <f t="shared" si="63"/>
        <v>10.557354363510854</v>
      </c>
      <c r="G655" s="67">
        <f>E655/'Lookup Tables'!$C$48</f>
        <v>347.73894477967235</v>
      </c>
      <c r="H655" s="70">
        <f t="shared" si="66"/>
        <v>4.1180562378626807E-2</v>
      </c>
      <c r="I655" s="71">
        <f t="shared" si="64"/>
        <v>0.50074408048272823</v>
      </c>
      <c r="L655" s="74"/>
      <c r="M655" s="74"/>
      <c r="N655" s="74"/>
      <c r="O655" s="74"/>
      <c r="P655" s="74"/>
      <c r="Q655" s="74"/>
      <c r="R655" s="74"/>
      <c r="S655" s="74"/>
      <c r="T655" s="74"/>
      <c r="U655" s="74"/>
      <c r="V655" s="74"/>
      <c r="W655" s="74"/>
      <c r="X655" s="74"/>
      <c r="Y655" s="74"/>
      <c r="Z655" s="74"/>
    </row>
    <row r="656" spans="1:26" x14ac:dyDescent="0.3">
      <c r="A656" s="66">
        <f t="shared" si="62"/>
        <v>2054.899999999941</v>
      </c>
      <c r="B656" s="67">
        <f>LOOKUP(A656+0.01,Amounts!$A$4:$A$103,Amounts!$B$4:$B$103)*0.1*$A$2</f>
        <v>0</v>
      </c>
      <c r="C656" s="68">
        <f t="shared" si="67"/>
        <v>2219148.7781994981</v>
      </c>
      <c r="D656" s="67">
        <f t="array" ref="D656">SUM($B$7:$B651*$F$1009*EXP(-$F$1009*($A656-$A$7:$A651)))*$F$1010</f>
        <v>90947467.950589702</v>
      </c>
      <c r="E656" s="67">
        <f t="shared" si="65"/>
        <v>173.38331879979145</v>
      </c>
      <c r="F656" s="70">
        <f t="shared" si="63"/>
        <v>10.527835117523336</v>
      </c>
      <c r="G656" s="67">
        <f>E656/'Lookup Tables'!$C$48</f>
        <v>346.76663759958291</v>
      </c>
      <c r="H656" s="70">
        <f t="shared" si="66"/>
        <v>4.1065418081210732E-2</v>
      </c>
      <c r="I656" s="71">
        <f t="shared" si="64"/>
        <v>0.49934395814339932</v>
      </c>
      <c r="L656" s="74"/>
      <c r="M656" s="74"/>
      <c r="N656" s="74"/>
      <c r="O656" s="74"/>
      <c r="P656" s="74"/>
      <c r="Q656" s="74"/>
      <c r="R656" s="74"/>
      <c r="S656" s="74"/>
      <c r="T656" s="74"/>
      <c r="U656" s="74"/>
      <c r="V656" s="74"/>
      <c r="W656" s="74"/>
      <c r="X656" s="74"/>
      <c r="Y656" s="74"/>
      <c r="Z656" s="74"/>
    </row>
    <row r="657" spans="1:26" x14ac:dyDescent="0.3">
      <c r="A657" s="66">
        <f t="shared" si="62"/>
        <v>2054.9999999999409</v>
      </c>
      <c r="B657" s="67">
        <f>LOOKUP(A657+0.01,Amounts!$A$4:$A$103,Amounts!$B$4:$B$103)*0.1*$A$2</f>
        <v>0</v>
      </c>
      <c r="C657" s="68">
        <f t="shared" si="67"/>
        <v>2219148.7781994981</v>
      </c>
      <c r="D657" s="67">
        <f t="array" ref="D657">SUM($B$7:$B652*$F$1009*EXP(-$F$1009*($A657-$A$7:$A652)))*$F$1010</f>
        <v>90693171.221888959</v>
      </c>
      <c r="E657" s="67">
        <f t="shared" si="65"/>
        <v>172.89852453585419</v>
      </c>
      <c r="F657" s="70">
        <f t="shared" si="63"/>
        <v>10.498398409817067</v>
      </c>
      <c r="G657" s="67">
        <f>E657/'Lookup Tables'!$C$48</f>
        <v>345.79704907170839</v>
      </c>
      <c r="H657" s="70">
        <f t="shared" si="66"/>
        <v>4.0950595736882762E-2</v>
      </c>
      <c r="I657" s="71">
        <f t="shared" si="64"/>
        <v>0.49794775066326014</v>
      </c>
      <c r="L657" s="74"/>
      <c r="M657" s="74"/>
      <c r="N657" s="74"/>
      <c r="O657" s="74"/>
      <c r="P657" s="74"/>
      <c r="Q657" s="74"/>
      <c r="R657" s="74"/>
      <c r="S657" s="74"/>
      <c r="T657" s="74"/>
      <c r="U657" s="74"/>
      <c r="V657" s="74"/>
      <c r="W657" s="74"/>
      <c r="X657" s="74"/>
      <c r="Y657" s="74"/>
      <c r="Z657" s="74"/>
    </row>
    <row r="658" spans="1:26" x14ac:dyDescent="0.3">
      <c r="A658" s="66">
        <f t="shared" si="62"/>
        <v>2055.0999999999408</v>
      </c>
      <c r="B658" s="67">
        <f>LOOKUP(A658+0.01,Amounts!$A$4:$A$103,Amounts!$B$4:$B$103)*0.1*$A$2</f>
        <v>0</v>
      </c>
      <c r="C658" s="68">
        <f t="shared" si="67"/>
        <v>2219148.7781994981</v>
      </c>
      <c r="D658" s="67">
        <f t="array" ref="D658">SUM($B$7:$B653*$F$1009*EXP(-$F$1009*($A658-$A$7:$A653)))*$F$1010</f>
        <v>90439585.528115138</v>
      </c>
      <c r="E658" s="67">
        <f t="shared" si="65"/>
        <v>172.41508579723487</v>
      </c>
      <c r="F658" s="70">
        <f t="shared" si="63"/>
        <v>10.469044009608101</v>
      </c>
      <c r="G658" s="67">
        <f>E658/'Lookup Tables'!$C$48</f>
        <v>344.83017159446973</v>
      </c>
      <c r="H658" s="70">
        <f t="shared" si="66"/>
        <v>4.0836094445435109E-2</v>
      </c>
      <c r="I658" s="71">
        <f t="shared" si="64"/>
        <v>0.49655544709603638</v>
      </c>
      <c r="L658" s="74"/>
      <c r="M658" s="74"/>
      <c r="N658" s="74"/>
      <c r="O658" s="74"/>
      <c r="P658" s="74"/>
      <c r="Q658" s="74"/>
      <c r="R658" s="74"/>
      <c r="S658" s="74"/>
      <c r="T658" s="74"/>
      <c r="U658" s="74"/>
      <c r="V658" s="74"/>
      <c r="W658" s="74"/>
      <c r="X658" s="74"/>
      <c r="Y658" s="74"/>
      <c r="Z658" s="74"/>
    </row>
    <row r="659" spans="1:26" x14ac:dyDescent="0.3">
      <c r="A659" s="66">
        <f t="shared" ref="A659:A722" si="68">A658+0.1</f>
        <v>2055.1999999999407</v>
      </c>
      <c r="B659" s="67">
        <f>LOOKUP(A659+0.01,Amounts!$A$4:$A$103,Amounts!$B$4:$B$103)*0.1*$A$2</f>
        <v>0</v>
      </c>
      <c r="C659" s="68">
        <f t="shared" si="67"/>
        <v>2219148.7781994981</v>
      </c>
      <c r="D659" s="67">
        <f t="array" ref="D659">SUM($B$7:$B654*$F$1009*EXP(-$F$1009*($A659-$A$7:$A654)))*$F$1010</f>
        <v>90186708.881155133</v>
      </c>
      <c r="E659" s="67">
        <f t="shared" si="65"/>
        <v>171.93299879377142</v>
      </c>
      <c r="F659" s="70">
        <f t="shared" ref="F659:F722" si="69">E659*60*1012/1000000</f>
        <v>10.439771686757801</v>
      </c>
      <c r="G659" s="67">
        <f>E659/'Lookup Tables'!$C$48</f>
        <v>343.86599758754284</v>
      </c>
      <c r="H659" s="70">
        <f t="shared" si="66"/>
        <v>4.0721913309177113E-2</v>
      </c>
      <c r="I659" s="71">
        <f t="shared" ref="I659:I722" si="70">G659*60*24/1000000</f>
        <v>0.4951670365260617</v>
      </c>
      <c r="L659" s="74"/>
      <c r="M659" s="74"/>
      <c r="N659" s="74"/>
      <c r="O659" s="74"/>
      <c r="P659" s="74"/>
      <c r="Q659" s="74"/>
      <c r="R659" s="74"/>
      <c r="S659" s="74"/>
      <c r="T659" s="74"/>
      <c r="U659" s="74"/>
      <c r="V659" s="74"/>
      <c r="W659" s="74"/>
      <c r="X659" s="74"/>
      <c r="Y659" s="74"/>
      <c r="Z659" s="74"/>
    </row>
    <row r="660" spans="1:26" x14ac:dyDescent="0.3">
      <c r="A660" s="66">
        <f t="shared" si="68"/>
        <v>2055.2999999999406</v>
      </c>
      <c r="B660" s="67">
        <f>LOOKUP(A660+0.01,Amounts!$A$4:$A$103,Amounts!$B$4:$B$103)*0.1*$A$2</f>
        <v>0</v>
      </c>
      <c r="C660" s="68">
        <f t="shared" si="67"/>
        <v>2219148.7781994981</v>
      </c>
      <c r="D660" s="67">
        <f t="array" ref="D660">SUM($B$7:$B655*$F$1009*EXP(-$F$1009*($A660-$A$7:$A655)))*$F$1010</f>
        <v>89934539.298454687</v>
      </c>
      <c r="E660" s="67">
        <f t="shared" si="65"/>
        <v>171.45225974589914</v>
      </c>
      <c r="F660" s="70">
        <f t="shared" si="69"/>
        <v>10.410581211770996</v>
      </c>
      <c r="G660" s="67">
        <f>E660/'Lookup Tables'!$C$48</f>
        <v>342.90451949179828</v>
      </c>
      <c r="H660" s="70">
        <f t="shared" si="66"/>
        <v>4.0608051432928019E-2</v>
      </c>
      <c r="I660" s="71">
        <f t="shared" si="70"/>
        <v>0.49378250806818957</v>
      </c>
      <c r="L660" s="74"/>
      <c r="M660" s="74"/>
      <c r="N660" s="74"/>
      <c r="O660" s="74"/>
      <c r="P660" s="74"/>
      <c r="Q660" s="74"/>
      <c r="R660" s="74"/>
      <c r="S660" s="74"/>
      <c r="T660" s="74"/>
      <c r="U660" s="74"/>
      <c r="V660" s="74"/>
      <c r="W660" s="74"/>
      <c r="X660" s="74"/>
      <c r="Y660" s="74"/>
      <c r="Z660" s="74"/>
    </row>
    <row r="661" spans="1:26" x14ac:dyDescent="0.3">
      <c r="A661" s="66">
        <f t="shared" si="68"/>
        <v>2055.3999999999405</v>
      </c>
      <c r="B661" s="67">
        <f>LOOKUP(A661+0.01,Amounts!$A$4:$A$103,Amounts!$B$4:$B$103)*0.1*$A$2</f>
        <v>0</v>
      </c>
      <c r="C661" s="68">
        <f t="shared" si="67"/>
        <v>2219148.7781994981</v>
      </c>
      <c r="D661" s="67">
        <f t="array" ref="D661">SUM($B$7:$B656*$F$1009*EXP(-$F$1009*($A661-$A$7:$A656)))*$F$1010</f>
        <v>89683074.803002983</v>
      </c>
      <c r="E661" s="67">
        <f t="shared" si="65"/>
        <v>170.97286488462143</v>
      </c>
      <c r="F661" s="70">
        <f t="shared" si="69"/>
        <v>10.381472355794214</v>
      </c>
      <c r="G661" s="67">
        <f>E661/'Lookup Tables'!$C$48</f>
        <v>341.94572976924286</v>
      </c>
      <c r="H661" s="70">
        <f t="shared" si="66"/>
        <v>4.0494507924010152E-2</v>
      </c>
      <c r="I661" s="71">
        <f t="shared" si="70"/>
        <v>0.49240185086770971</v>
      </c>
      <c r="L661" s="74"/>
      <c r="M661" s="74"/>
      <c r="N661" s="74"/>
      <c r="O661" s="74"/>
      <c r="P661" s="74"/>
      <c r="Q661" s="74"/>
      <c r="R661" s="74"/>
      <c r="S661" s="74"/>
      <c r="T661" s="74"/>
      <c r="U661" s="74"/>
      <c r="V661" s="74"/>
      <c r="W661" s="74"/>
      <c r="X661" s="74"/>
      <c r="Y661" s="74"/>
      <c r="Z661" s="74"/>
    </row>
    <row r="662" spans="1:26" x14ac:dyDescent="0.3">
      <c r="A662" s="66">
        <f t="shared" si="68"/>
        <v>2055.4999999999404</v>
      </c>
      <c r="B662" s="67">
        <f>LOOKUP(A662+0.01,Amounts!$A$4:$A$103,Amounts!$B$4:$B$103)*0.1*$A$2</f>
        <v>0</v>
      </c>
      <c r="C662" s="68">
        <f t="shared" si="67"/>
        <v>2219148.7781994981</v>
      </c>
      <c r="D662" s="67">
        <f t="array" ref="D662">SUM($B$7:$B657*$F$1009*EXP(-$F$1009*($A662-$A$7:$A657)))*$F$1010</f>
        <v>89432313.423317119</v>
      </c>
      <c r="E662" s="67">
        <f t="shared" si="65"/>
        <v>170.49481045148019</v>
      </c>
      <c r="F662" s="70">
        <f t="shared" si="69"/>
        <v>10.352444890613878</v>
      </c>
      <c r="G662" s="67">
        <f>E662/'Lookup Tables'!$C$48</f>
        <v>340.98962090296038</v>
      </c>
      <c r="H662" s="70">
        <f t="shared" si="66"/>
        <v>4.0381281892241834E-2</v>
      </c>
      <c r="I662" s="71">
        <f t="shared" si="70"/>
        <v>0.49102505410026293</v>
      </c>
      <c r="L662" s="74"/>
      <c r="M662" s="74"/>
      <c r="N662" s="74"/>
      <c r="O662" s="74"/>
      <c r="P662" s="74"/>
      <c r="Q662" s="74"/>
      <c r="R662" s="74"/>
      <c r="S662" s="74"/>
      <c r="T662" s="74"/>
      <c r="U662" s="74"/>
      <c r="V662" s="74"/>
      <c r="W662" s="74"/>
      <c r="X662" s="74"/>
      <c r="Y662" s="74"/>
      <c r="Z662" s="74"/>
    </row>
    <row r="663" spans="1:26" x14ac:dyDescent="0.3">
      <c r="A663" s="66">
        <f t="shared" si="68"/>
        <v>2055.5999999999403</v>
      </c>
      <c r="B663" s="67">
        <f>LOOKUP(A663+0.01,Amounts!$A$4:$A$103,Amounts!$B$4:$B$103)*0.1*$A$2</f>
        <v>0</v>
      </c>
      <c r="C663" s="68">
        <f t="shared" si="67"/>
        <v>2219148.7781994981</v>
      </c>
      <c r="D663" s="67">
        <f t="array" ref="D663">SUM($B$7:$B658*$F$1009*EXP(-$F$1009*($A663-$A$7:$A658)))*$F$1010</f>
        <v>89182253.193426579</v>
      </c>
      <c r="E663" s="67">
        <f t="shared" si="65"/>
        <v>170.0180926985262</v>
      </c>
      <c r="F663" s="70">
        <f t="shared" si="69"/>
        <v>10.323498588654511</v>
      </c>
      <c r="G663" s="67">
        <f>E663/'Lookup Tables'!$C$48</f>
        <v>340.03618539705241</v>
      </c>
      <c r="H663" s="70">
        <f t="shared" si="66"/>
        <v>4.0268372449930395E-2</v>
      </c>
      <c r="I663" s="71">
        <f t="shared" si="70"/>
        <v>0.48965210697175543</v>
      </c>
      <c r="L663" s="74"/>
      <c r="M663" s="74"/>
      <c r="N663" s="74"/>
      <c r="O663" s="74"/>
      <c r="P663" s="74"/>
      <c r="Q663" s="74"/>
      <c r="R663" s="74"/>
      <c r="S663" s="74"/>
      <c r="T663" s="74"/>
      <c r="U663" s="74"/>
      <c r="V663" s="74"/>
      <c r="W663" s="74"/>
      <c r="X663" s="74"/>
      <c r="Y663" s="74"/>
      <c r="Z663" s="74"/>
    </row>
    <row r="664" spans="1:26" x14ac:dyDescent="0.3">
      <c r="A664" s="66">
        <f t="shared" si="68"/>
        <v>2055.6999999999402</v>
      </c>
      <c r="B664" s="67">
        <f>LOOKUP(A664+0.01,Amounts!$A$4:$A$103,Amounts!$B$4:$B$103)*0.1*$A$2</f>
        <v>0</v>
      </c>
      <c r="C664" s="68">
        <f t="shared" si="67"/>
        <v>2219148.7781994981</v>
      </c>
      <c r="D664" s="67">
        <f t="array" ref="D664">SUM($B$7:$B659*$F$1009*EXP(-$F$1009*($A664-$A$7:$A659)))*$F$1010</f>
        <v>88932892.15285784</v>
      </c>
      <c r="E664" s="67">
        <f t="shared" si="65"/>
        <v>169.54270788828975</v>
      </c>
      <c r="F664" s="70">
        <f t="shared" si="69"/>
        <v>10.294633222976953</v>
      </c>
      <c r="G664" s="67">
        <f>E664/'Lookup Tables'!$C$48</f>
        <v>339.08541577657951</v>
      </c>
      <c r="H664" s="70">
        <f t="shared" si="66"/>
        <v>4.0155778711865202E-2</v>
      </c>
      <c r="I664" s="71">
        <f t="shared" si="70"/>
        <v>0.48828299871827446</v>
      </c>
      <c r="L664" s="74"/>
      <c r="M664" s="74"/>
      <c r="N664" s="74"/>
      <c r="O664" s="74"/>
      <c r="P664" s="74"/>
      <c r="Q664" s="74"/>
      <c r="R664" s="74"/>
      <c r="S664" s="74"/>
      <c r="T664" s="74"/>
      <c r="U664" s="74"/>
      <c r="V664" s="74"/>
      <c r="W664" s="74"/>
      <c r="X664" s="74"/>
      <c r="Y664" s="74"/>
      <c r="Z664" s="74"/>
    </row>
    <row r="665" spans="1:26" x14ac:dyDescent="0.3">
      <c r="A665" s="66">
        <f t="shared" si="68"/>
        <v>2055.7999999999402</v>
      </c>
      <c r="B665" s="67">
        <f>LOOKUP(A665+0.01,Amounts!$A$4:$A$103,Amounts!$B$4:$B$103)*0.1*$A$2</f>
        <v>0</v>
      </c>
      <c r="C665" s="68">
        <f t="shared" si="67"/>
        <v>2219148.7781994981</v>
      </c>
      <c r="D665" s="67">
        <f t="array" ref="D665">SUM($B$7:$B660*$F$1009*EXP(-$F$1009*($A665-$A$7:$A660)))*$F$1010</f>
        <v>88684228.346619129</v>
      </c>
      <c r="E665" s="67">
        <f t="shared" si="65"/>
        <v>169.0686522937516</v>
      </c>
      <c r="F665" s="70">
        <f t="shared" si="69"/>
        <v>10.265848567276597</v>
      </c>
      <c r="G665" s="67">
        <f>E665/'Lookup Tables'!$C$48</f>
        <v>338.13730458750319</v>
      </c>
      <c r="H665" s="70">
        <f t="shared" si="66"/>
        <v>4.0043499795310807E-2</v>
      </c>
      <c r="I665" s="71">
        <f t="shared" si="70"/>
        <v>0.48691771860600463</v>
      </c>
      <c r="L665" s="74"/>
      <c r="M665" s="74"/>
      <c r="N665" s="74"/>
      <c r="O665" s="74"/>
      <c r="P665" s="74"/>
      <c r="Q665" s="74"/>
      <c r="R665" s="74"/>
      <c r="S665" s="74"/>
      <c r="T665" s="74"/>
      <c r="U665" s="74"/>
      <c r="V665" s="74"/>
      <c r="W665" s="74"/>
      <c r="X665" s="74"/>
      <c r="Y665" s="74"/>
      <c r="Z665" s="74"/>
    </row>
    <row r="666" spans="1:26" x14ac:dyDescent="0.3">
      <c r="A666" s="66">
        <f t="shared" si="68"/>
        <v>2055.8999999999401</v>
      </c>
      <c r="B666" s="67">
        <f>LOOKUP(A666+0.01,Amounts!$A$4:$A$103,Amounts!$B$4:$B$103)*0.1*$A$2</f>
        <v>0</v>
      </c>
      <c r="C666" s="68">
        <f t="shared" si="67"/>
        <v>2219148.7781994981</v>
      </c>
      <c r="D666" s="67">
        <f t="array" ref="D666">SUM($B$7:$B661*$F$1009*EXP(-$F$1009*($A666-$A$7:$A661)))*$F$1010</f>
        <v>88436259.825184911</v>
      </c>
      <c r="E666" s="67">
        <f t="shared" si="65"/>
        <v>168.59592219831342</v>
      </c>
      <c r="F666" s="70">
        <f t="shared" si="69"/>
        <v>10.237144395881591</v>
      </c>
      <c r="G666" s="67">
        <f>E666/'Lookup Tables'!$C$48</f>
        <v>337.19184439662683</v>
      </c>
      <c r="H666" s="70">
        <f t="shared" si="66"/>
        <v>3.9931534819999913E-2</v>
      </c>
      <c r="I666" s="71">
        <f t="shared" si="70"/>
        <v>0.4855562559311426</v>
      </c>
      <c r="L666" s="74"/>
      <c r="M666" s="74"/>
      <c r="N666" s="74"/>
      <c r="O666" s="74"/>
      <c r="P666" s="74"/>
      <c r="Q666" s="74"/>
      <c r="R666" s="74"/>
      <c r="S666" s="74"/>
      <c r="T666" s="74"/>
      <c r="U666" s="74"/>
      <c r="V666" s="74"/>
      <c r="W666" s="74"/>
      <c r="X666" s="74"/>
      <c r="Y666" s="74"/>
      <c r="Z666" s="74"/>
    </row>
    <row r="667" spans="1:26" x14ac:dyDescent="0.3">
      <c r="A667" s="66">
        <f t="shared" si="68"/>
        <v>2055.99999999994</v>
      </c>
      <c r="B667" s="67">
        <f>LOOKUP(A667+0.01,Amounts!$A$4:$A$103,Amounts!$B$4:$B$103)*0.1*$A$2</f>
        <v>0</v>
      </c>
      <c r="C667" s="68">
        <f t="shared" si="67"/>
        <v>2219148.7781994981</v>
      </c>
      <c r="D667" s="67">
        <f t="array" ref="D667">SUM($B$7:$B662*$F$1009*EXP(-$F$1009*($A667-$A$7:$A662)))*$F$1010</f>
        <v>88188984.644480705</v>
      </c>
      <c r="E667" s="67">
        <f t="shared" si="65"/>
        <v>168.12451389576887</v>
      </c>
      <c r="F667" s="70">
        <f t="shared" si="69"/>
        <v>10.208520483751087</v>
      </c>
      <c r="G667" s="67">
        <f>E667/'Lookup Tables'!$C$48</f>
        <v>336.24902779153774</v>
      </c>
      <c r="H667" s="70">
        <f t="shared" si="66"/>
        <v>3.9819882908126547E-2</v>
      </c>
      <c r="I667" s="71">
        <f t="shared" si="70"/>
        <v>0.48419860001981435</v>
      </c>
      <c r="L667" s="74"/>
      <c r="M667" s="74"/>
      <c r="N667" s="74"/>
      <c r="O667" s="74"/>
      <c r="P667" s="74"/>
      <c r="Q667" s="74"/>
      <c r="R667" s="74"/>
      <c r="S667" s="74"/>
      <c r="T667" s="74"/>
      <c r="U667" s="74"/>
      <c r="V667" s="74"/>
      <c r="W667" s="74"/>
      <c r="X667" s="74"/>
      <c r="Y667" s="74"/>
      <c r="Z667" s="74"/>
    </row>
    <row r="668" spans="1:26" x14ac:dyDescent="0.3">
      <c r="A668" s="66">
        <f t="shared" si="68"/>
        <v>2056.0999999999399</v>
      </c>
      <c r="B668" s="67">
        <f>LOOKUP(A668+0.01,Amounts!$A$4:$A$103,Amounts!$B$4:$B$103)*0.1*$A$2</f>
        <v>0</v>
      </c>
      <c r="C668" s="68">
        <f t="shared" si="67"/>
        <v>2219148.7781994981</v>
      </c>
      <c r="D668" s="67">
        <f t="array" ref="D668">SUM($B$7:$B663*$F$1009*EXP(-$F$1009*($A668-$A$7:$A663)))*$F$1010</f>
        <v>87942400.865867823</v>
      </c>
      <c r="E668" s="67">
        <f t="shared" si="65"/>
        <v>167.65442369027437</v>
      </c>
      <c r="F668" s="70">
        <f t="shared" si="69"/>
        <v>10.17997660647346</v>
      </c>
      <c r="G668" s="67">
        <f>E668/'Lookup Tables'!$C$48</f>
        <v>335.30884738054874</v>
      </c>
      <c r="H668" s="70">
        <f t="shared" si="66"/>
        <v>3.9708543184339133E-2</v>
      </c>
      <c r="I668" s="71">
        <f t="shared" si="70"/>
        <v>0.48284474022799012</v>
      </c>
      <c r="L668" s="74"/>
      <c r="M668" s="74"/>
      <c r="N668" s="74"/>
      <c r="O668" s="74"/>
      <c r="P668" s="74"/>
      <c r="Q668" s="74"/>
      <c r="R668" s="74"/>
      <c r="S668" s="74"/>
      <c r="T668" s="74"/>
      <c r="U668" s="74"/>
      <c r="V668" s="74"/>
      <c r="W668" s="74"/>
      <c r="X668" s="74"/>
      <c r="Y668" s="74"/>
      <c r="Z668" s="74"/>
    </row>
    <row r="669" spans="1:26" x14ac:dyDescent="0.3">
      <c r="A669" s="66">
        <f t="shared" si="68"/>
        <v>2056.1999999999398</v>
      </c>
      <c r="B669" s="67">
        <f>LOOKUP(A669+0.01,Amounts!$A$4:$A$103,Amounts!$B$4:$B$103)*0.1*$A$2</f>
        <v>0</v>
      </c>
      <c r="C669" s="68">
        <f t="shared" si="67"/>
        <v>2219148.7781994981</v>
      </c>
      <c r="D669" s="67">
        <f t="array" ref="D669">SUM($B$7:$B664*$F$1009*EXP(-$F$1009*($A669-$A$7:$A664)))*$F$1010</f>
        <v>87696506.556128129</v>
      </c>
      <c r="E669" s="67">
        <f t="shared" si="65"/>
        <v>167.18564789632032</v>
      </c>
      <c r="F669" s="70">
        <f t="shared" si="69"/>
        <v>10.151512540264569</v>
      </c>
      <c r="G669" s="67">
        <f>E669/'Lookup Tables'!$C$48</f>
        <v>334.37129579264064</v>
      </c>
      <c r="H669" s="70">
        <f t="shared" si="66"/>
        <v>3.9597514775733672E-2</v>
      </c>
      <c r="I669" s="71">
        <f t="shared" si="70"/>
        <v>0.4814946659414025</v>
      </c>
      <c r="L669" s="74"/>
      <c r="M669" s="74"/>
      <c r="N669" s="74"/>
      <c r="O669" s="74"/>
      <c r="P669" s="74"/>
      <c r="Q669" s="74"/>
      <c r="R669" s="74"/>
      <c r="S669" s="74"/>
      <c r="T669" s="74"/>
      <c r="U669" s="74"/>
      <c r="V669" s="74"/>
      <c r="W669" s="74"/>
      <c r="X669" s="74"/>
      <c r="Y669" s="74"/>
      <c r="Z669" s="74"/>
    </row>
    <row r="670" spans="1:26" x14ac:dyDescent="0.3">
      <c r="A670" s="66">
        <f t="shared" si="68"/>
        <v>2056.2999999999397</v>
      </c>
      <c r="B670" s="67">
        <f>LOOKUP(A670+0.01,Amounts!$A$4:$A$103,Amounts!$B$4:$B$103)*0.1*$A$2</f>
        <v>0</v>
      </c>
      <c r="C670" s="68">
        <f t="shared" si="67"/>
        <v>2219148.7781994981</v>
      </c>
      <c r="D670" s="67">
        <f t="array" ref="D670">SUM($B$7:$B665*$F$1009*EXP(-$F$1009*($A670-$A$7:$A665)))*$F$1010</f>
        <v>87451299.787449107</v>
      </c>
      <c r="E670" s="67">
        <f t="shared" si="65"/>
        <v>166.71818283870221</v>
      </c>
      <c r="F670" s="70">
        <f t="shared" si="69"/>
        <v>10.123128061965998</v>
      </c>
      <c r="G670" s="67">
        <f>E670/'Lookup Tables'!$C$48</f>
        <v>333.43636567740441</v>
      </c>
      <c r="H670" s="70">
        <f t="shared" si="66"/>
        <v>3.94867968118469E-2</v>
      </c>
      <c r="I670" s="71">
        <f t="shared" si="70"/>
        <v>0.48014836657546239</v>
      </c>
      <c r="L670" s="74"/>
      <c r="M670" s="74"/>
      <c r="N670" s="74"/>
      <c r="O670" s="74"/>
      <c r="P670" s="74"/>
      <c r="Q670" s="74"/>
      <c r="R670" s="74"/>
      <c r="S670" s="74"/>
      <c r="T670" s="74"/>
      <c r="U670" s="74"/>
      <c r="V670" s="74"/>
      <c r="W670" s="74"/>
      <c r="X670" s="74"/>
      <c r="Y670" s="74"/>
      <c r="Z670" s="74"/>
    </row>
    <row r="671" spans="1:26" x14ac:dyDescent="0.3">
      <c r="A671" s="66">
        <f t="shared" si="68"/>
        <v>2056.3999999999396</v>
      </c>
      <c r="B671" s="67">
        <f>LOOKUP(A671+0.01,Amounts!$A$4:$A$103,Amounts!$B$4:$B$103)*0.1*$A$2</f>
        <v>0</v>
      </c>
      <c r="C671" s="68">
        <f t="shared" si="67"/>
        <v>2219148.7781994981</v>
      </c>
      <c r="D671" s="67">
        <f t="array" ref="D671">SUM($B$7:$B666*$F$1009*EXP(-$F$1009*($A671-$A$7:$A666)))*$F$1010</f>
        <v>87206778.637408331</v>
      </c>
      <c r="E671" s="67">
        <f t="shared" si="65"/>
        <v>166.25202485249147</v>
      </c>
      <c r="F671" s="70">
        <f t="shared" si="69"/>
        <v>10.094822949043282</v>
      </c>
      <c r="G671" s="67">
        <f>E671/'Lookup Tables'!$C$48</f>
        <v>332.50404970498295</v>
      </c>
      <c r="H671" s="70">
        <f t="shared" si="66"/>
        <v>3.937638842464937E-2</v>
      </c>
      <c r="I671" s="71">
        <f t="shared" si="70"/>
        <v>0.47880583157517542</v>
      </c>
      <c r="L671" s="74"/>
      <c r="M671" s="74"/>
      <c r="N671" s="74"/>
      <c r="O671" s="74"/>
      <c r="P671" s="74"/>
      <c r="Q671" s="74"/>
      <c r="R671" s="74"/>
      <c r="S671" s="74"/>
      <c r="T671" s="74"/>
      <c r="U671" s="74"/>
      <c r="V671" s="74"/>
      <c r="W671" s="74"/>
      <c r="X671" s="74"/>
      <c r="Y671" s="74"/>
      <c r="Z671" s="74"/>
    </row>
    <row r="672" spans="1:26" x14ac:dyDescent="0.3">
      <c r="A672" s="66">
        <f t="shared" si="68"/>
        <v>2056.4999999999395</v>
      </c>
      <c r="B672" s="67">
        <f>LOOKUP(A672+0.01,Amounts!$A$4:$A$103,Amounts!$B$4:$B$103)*0.1*$A$2</f>
        <v>0</v>
      </c>
      <c r="C672" s="68">
        <f t="shared" si="67"/>
        <v>2219148.7781994981</v>
      </c>
      <c r="D672" s="67">
        <f t="array" ref="D672">SUM($B$7:$B667*$F$1009*EXP(-$F$1009*($A672-$A$7:$A667)))*$F$1010</f>
        <v>86962941.188958749</v>
      </c>
      <c r="E672" s="67">
        <f t="shared" si="65"/>
        <v>165.78717028300716</v>
      </c>
      <c r="F672" s="70">
        <f t="shared" si="69"/>
        <v>10.066596979584194</v>
      </c>
      <c r="G672" s="67">
        <f>E672/'Lookup Tables'!$C$48</f>
        <v>331.57434056601431</v>
      </c>
      <c r="H672" s="70">
        <f t="shared" si="66"/>
        <v>3.926628874853879E-2</v>
      </c>
      <c r="I672" s="71">
        <f t="shared" si="70"/>
        <v>0.4774670504150606</v>
      </c>
      <c r="L672" s="74"/>
      <c r="M672" s="74"/>
      <c r="N672" s="74"/>
      <c r="O672" s="74"/>
      <c r="P672" s="74"/>
      <c r="Q672" s="74"/>
      <c r="R672" s="74"/>
      <c r="S672" s="74"/>
      <c r="T672" s="74"/>
      <c r="U672" s="74"/>
      <c r="V672" s="74"/>
      <c r="W672" s="74"/>
      <c r="X672" s="74"/>
      <c r="Y672" s="74"/>
      <c r="Z672" s="74"/>
    </row>
    <row r="673" spans="1:26" x14ac:dyDescent="0.3">
      <c r="A673" s="66">
        <f t="shared" si="68"/>
        <v>2056.5999999999394</v>
      </c>
      <c r="B673" s="67">
        <f>LOOKUP(A673+0.01,Amounts!$A$4:$A$103,Amounts!$B$4:$B$103)*0.1*$A$2</f>
        <v>0</v>
      </c>
      <c r="C673" s="68">
        <f t="shared" si="67"/>
        <v>2219148.7781994981</v>
      </c>
      <c r="D673" s="67">
        <f t="array" ref="D673">SUM($B$7:$B668*$F$1009*EXP(-$F$1009*($A673-$A$7:$A668)))*$F$1010</f>
        <v>86719785.530413523</v>
      </c>
      <c r="E673" s="67">
        <f t="shared" si="65"/>
        <v>165.32361548578703</v>
      </c>
      <c r="F673" s="70">
        <f t="shared" si="69"/>
        <v>10.03844993229699</v>
      </c>
      <c r="G673" s="67">
        <f>E673/'Lookup Tables'!$C$48</f>
        <v>330.64723097157406</v>
      </c>
      <c r="H673" s="70">
        <f t="shared" si="66"/>
        <v>3.9156496920333128E-2</v>
      </c>
      <c r="I673" s="71">
        <f t="shared" si="70"/>
        <v>0.47613201259906673</v>
      </c>
      <c r="L673" s="74"/>
      <c r="M673" s="74"/>
      <c r="N673" s="74"/>
      <c r="O673" s="74"/>
      <c r="P673" s="74"/>
      <c r="Q673" s="74"/>
      <c r="R673" s="74"/>
      <c r="S673" s="74"/>
      <c r="T673" s="74"/>
      <c r="U673" s="74"/>
      <c r="V673" s="74"/>
      <c r="W673" s="74"/>
      <c r="X673" s="74"/>
      <c r="Y673" s="74"/>
      <c r="Z673" s="74"/>
    </row>
    <row r="674" spans="1:26" x14ac:dyDescent="0.3">
      <c r="A674" s="66">
        <f t="shared" si="68"/>
        <v>2056.6999999999393</v>
      </c>
      <c r="B674" s="67">
        <f>LOOKUP(A674+0.01,Amounts!$A$4:$A$103,Amounts!$B$4:$B$103)*0.1*$A$2</f>
        <v>0</v>
      </c>
      <c r="C674" s="68">
        <f t="shared" si="67"/>
        <v>2219148.7781994981</v>
      </c>
      <c r="D674" s="67">
        <f t="array" ref="D674">SUM($B$7:$B669*$F$1009*EXP(-$F$1009*($A674-$A$7:$A669)))*$F$1010</f>
        <v>86477309.755431056</v>
      </c>
      <c r="E674" s="67">
        <f t="shared" si="65"/>
        <v>164.86135682655913</v>
      </c>
      <c r="F674" s="70">
        <f t="shared" si="69"/>
        <v>10.010381586508672</v>
      </c>
      <c r="G674" s="67">
        <f>E674/'Lookup Tables'!$C$48</f>
        <v>329.72271365311826</v>
      </c>
      <c r="H674" s="70">
        <f t="shared" si="66"/>
        <v>3.9047012079263872E-2</v>
      </c>
      <c r="I674" s="71">
        <f t="shared" si="70"/>
        <v>0.47480070766049032</v>
      </c>
      <c r="L674" s="74"/>
      <c r="M674" s="74"/>
      <c r="N674" s="74"/>
      <c r="O674" s="74"/>
      <c r="P674" s="74"/>
      <c r="Q674" s="74"/>
      <c r="R674" s="74"/>
      <c r="S674" s="74"/>
      <c r="T674" s="74"/>
      <c r="U674" s="74"/>
      <c r="V674" s="74"/>
      <c r="W674" s="74"/>
      <c r="X674" s="74"/>
      <c r="Y674" s="74"/>
      <c r="Z674" s="74"/>
    </row>
    <row r="675" spans="1:26" x14ac:dyDescent="0.3">
      <c r="A675" s="66">
        <f t="shared" si="68"/>
        <v>2056.7999999999392</v>
      </c>
      <c r="B675" s="67">
        <f>LOOKUP(A675+0.01,Amounts!$A$4:$A$103,Amounts!$B$4:$B$103)*0.1*$A$2</f>
        <v>0</v>
      </c>
      <c r="C675" s="68">
        <f t="shared" si="67"/>
        <v>2219148.7781994981</v>
      </c>
      <c r="D675" s="67">
        <f t="array" ref="D675">SUM($B$7:$B670*$F$1009*EXP(-$F$1009*($A675-$A$7:$A670)))*$F$1010</f>
        <v>86235511.963000014</v>
      </c>
      <c r="E675" s="67">
        <f t="shared" si="65"/>
        <v>164.4003906812132</v>
      </c>
      <c r="F675" s="70">
        <f t="shared" si="69"/>
        <v>9.9823917221632659</v>
      </c>
      <c r="G675" s="67">
        <f>E675/'Lookup Tables'!$C$48</f>
        <v>328.80078136242639</v>
      </c>
      <c r="H675" s="70">
        <f t="shared" si="66"/>
        <v>3.8937833366969342E-2</v>
      </c>
      <c r="I675" s="71">
        <f t="shared" si="70"/>
        <v>0.47347312516189399</v>
      </c>
      <c r="L675" s="74"/>
      <c r="M675" s="74"/>
      <c r="N675" s="74"/>
      <c r="O675" s="74"/>
      <c r="P675" s="74"/>
      <c r="Q675" s="74"/>
      <c r="R675" s="74"/>
      <c r="S675" s="74"/>
      <c r="T675" s="74"/>
      <c r="U675" s="74"/>
      <c r="V675" s="74"/>
      <c r="W675" s="74"/>
      <c r="X675" s="74"/>
      <c r="Y675" s="74"/>
      <c r="Z675" s="74"/>
    </row>
    <row r="676" spans="1:26" x14ac:dyDescent="0.3">
      <c r="A676" s="66">
        <f t="shared" si="68"/>
        <v>2056.8999999999392</v>
      </c>
      <c r="B676" s="67">
        <f>LOOKUP(A676+0.01,Amounts!$A$4:$A$103,Amounts!$B$4:$B$103)*0.1*$A$2</f>
        <v>0</v>
      </c>
      <c r="C676" s="68">
        <f t="shared" si="67"/>
        <v>2219148.7781994981</v>
      </c>
      <c r="D676" s="67">
        <f t="array" ref="D676">SUM($B$7:$B671*$F$1009*EXP(-$F$1009*($A676-$A$7:$A671)))*$F$1010</f>
        <v>85994390.257424474</v>
      </c>
      <c r="E676" s="67">
        <f t="shared" si="65"/>
        <v>163.94071343577227</v>
      </c>
      <c r="F676" s="70">
        <f t="shared" si="69"/>
        <v>9.9544801198200936</v>
      </c>
      <c r="G676" s="67">
        <f>E676/'Lookup Tables'!$C$48</f>
        <v>327.88142687154453</v>
      </c>
      <c r="H676" s="70">
        <f t="shared" si="66"/>
        <v>3.8828959927487833E-2</v>
      </c>
      <c r="I676" s="71">
        <f t="shared" si="70"/>
        <v>0.47214925469502417</v>
      </c>
      <c r="L676" s="74"/>
      <c r="M676" s="74"/>
      <c r="N676" s="74"/>
      <c r="O676" s="74"/>
      <c r="P676" s="74"/>
      <c r="Q676" s="74"/>
      <c r="R676" s="74"/>
      <c r="S676" s="74"/>
      <c r="T676" s="74"/>
      <c r="U676" s="74"/>
      <c r="V676" s="74"/>
      <c r="W676" s="74"/>
      <c r="X676" s="74"/>
      <c r="Y676" s="74"/>
      <c r="Z676" s="74"/>
    </row>
    <row r="677" spans="1:26" x14ac:dyDescent="0.3">
      <c r="A677" s="66">
        <f t="shared" si="68"/>
        <v>2056.9999999999391</v>
      </c>
      <c r="B677" s="67">
        <f>LOOKUP(A677+0.01,Amounts!$A$4:$A$103,Amounts!$B$4:$B$103)*0.1*$A$2</f>
        <v>0</v>
      </c>
      <c r="C677" s="68">
        <f t="shared" si="67"/>
        <v>2219148.7781994981</v>
      </c>
      <c r="D677" s="67">
        <f t="array" ref="D677">SUM($B$7:$B672*$F$1009*EXP(-$F$1009*($A677-$A$7:$A672)))*$F$1010</f>
        <v>85753942.748309031</v>
      </c>
      <c r="E677" s="67">
        <f t="shared" si="65"/>
        <v>163.48232148636441</v>
      </c>
      <c r="F677" s="70">
        <f t="shared" si="69"/>
        <v>9.9266465606520473</v>
      </c>
      <c r="G677" s="67">
        <f>E677/'Lookup Tables'!$C$48</f>
        <v>326.96464297272883</v>
      </c>
      <c r="H677" s="70">
        <f t="shared" si="66"/>
        <v>3.8720390907251052E-2</v>
      </c>
      <c r="I677" s="71">
        <f t="shared" si="70"/>
        <v>0.47082908588072947</v>
      </c>
      <c r="L677" s="74"/>
      <c r="M677" s="74"/>
      <c r="N677" s="74"/>
      <c r="O677" s="74"/>
      <c r="P677" s="74"/>
      <c r="Q677" s="74"/>
      <c r="R677" s="74"/>
      <c r="S677" s="74"/>
      <c r="T677" s="74"/>
      <c r="U677" s="74"/>
      <c r="V677" s="74"/>
      <c r="W677" s="74"/>
      <c r="X677" s="74"/>
      <c r="Y677" s="74"/>
      <c r="Z677" s="74"/>
    </row>
    <row r="678" spans="1:26" x14ac:dyDescent="0.3">
      <c r="A678" s="66">
        <f t="shared" si="68"/>
        <v>2057.099999999939</v>
      </c>
      <c r="B678" s="67">
        <f>LOOKUP(A678+0.01,Amounts!$A$4:$A$103,Amounts!$B$4:$B$103)*0.1*$A$2</f>
        <v>0</v>
      </c>
      <c r="C678" s="68">
        <f t="shared" si="67"/>
        <v>2219148.7781994981</v>
      </c>
      <c r="D678" s="67">
        <f t="array" ref="D678">SUM($B$7:$B673*$F$1009*EXP(-$F$1009*($A678-$A$7:$A673)))*$F$1010</f>
        <v>85514167.550543949</v>
      </c>
      <c r="E678" s="67">
        <f t="shared" si="65"/>
        <v>163.02521123919436</v>
      </c>
      <c r="F678" s="70">
        <f t="shared" si="69"/>
        <v>9.8988908264438802</v>
      </c>
      <c r="G678" s="67">
        <f>E678/'Lookup Tables'!$C$48</f>
        <v>326.05042247838873</v>
      </c>
      <c r="H678" s="70">
        <f t="shared" si="66"/>
        <v>3.8612125455077313E-2</v>
      </c>
      <c r="I678" s="71">
        <f t="shared" si="70"/>
        <v>0.46951260836887976</v>
      </c>
      <c r="L678" s="74"/>
      <c r="M678" s="74"/>
      <c r="N678" s="74"/>
      <c r="O678" s="74"/>
      <c r="P678" s="74"/>
      <c r="Q678" s="74"/>
      <c r="R678" s="74"/>
      <c r="S678" s="74"/>
      <c r="T678" s="74"/>
      <c r="U678" s="74"/>
      <c r="V678" s="74"/>
      <c r="W678" s="74"/>
      <c r="X678" s="74"/>
      <c r="Y678" s="74"/>
      <c r="Z678" s="74"/>
    </row>
    <row r="679" spans="1:26" x14ac:dyDescent="0.3">
      <c r="A679" s="66">
        <f t="shared" si="68"/>
        <v>2057.1999999999389</v>
      </c>
      <c r="B679" s="67">
        <f>LOOKUP(A679+0.01,Amounts!$A$4:$A$103,Amounts!$B$4:$B$103)*0.1*$A$2</f>
        <v>0</v>
      </c>
      <c r="C679" s="68">
        <f t="shared" si="67"/>
        <v>2219148.7781994981</v>
      </c>
      <c r="D679" s="67">
        <f t="array" ref="D679">SUM($B$7:$B674*$F$1009*EXP(-$F$1009*($A679-$A$7:$A674)))*$F$1010</f>
        <v>85275062.784290507</v>
      </c>
      <c r="E679" s="67">
        <f t="shared" si="65"/>
        <v>162.56937911051548</v>
      </c>
      <c r="F679" s="70">
        <f t="shared" si="69"/>
        <v>9.871212699590501</v>
      </c>
      <c r="G679" s="67">
        <f>E679/'Lookup Tables'!$C$48</f>
        <v>325.13875822103097</v>
      </c>
      <c r="H679" s="70">
        <f t="shared" si="66"/>
        <v>3.8504162722164913E-2</v>
      </c>
      <c r="I679" s="71">
        <f t="shared" si="70"/>
        <v>0.46819981183828457</v>
      </c>
      <c r="L679" s="74"/>
      <c r="M679" s="74"/>
      <c r="N679" s="74"/>
      <c r="O679" s="74"/>
      <c r="P679" s="74"/>
      <c r="Q679" s="74"/>
      <c r="R679" s="74"/>
      <c r="S679" s="74"/>
      <c r="T679" s="74"/>
      <c r="U679" s="74"/>
      <c r="V679" s="74"/>
      <c r="W679" s="74"/>
      <c r="X679" s="74"/>
      <c r="Y679" s="74"/>
      <c r="Z679" s="74"/>
    </row>
    <row r="680" spans="1:26" x14ac:dyDescent="0.3">
      <c r="A680" s="66">
        <f t="shared" si="68"/>
        <v>2057.2999999999388</v>
      </c>
      <c r="B680" s="67">
        <f>LOOKUP(A680+0.01,Amounts!$A$4:$A$103,Amounts!$B$4:$B$103)*0.1*$A$2</f>
        <v>0</v>
      </c>
      <c r="C680" s="68">
        <f t="shared" si="67"/>
        <v>2219148.7781994981</v>
      </c>
      <c r="D680" s="67">
        <f t="array" ref="D680">SUM($B$7:$B675*$F$1009*EXP(-$F$1009*($A680-$A$7:$A675)))*$F$1010</f>
        <v>85036626.574966043</v>
      </c>
      <c r="E680" s="67">
        <f t="shared" si="65"/>
        <v>162.11482152660147</v>
      </c>
      <c r="F680" s="70">
        <f t="shared" si="69"/>
        <v>9.8436119630952401</v>
      </c>
      <c r="G680" s="67">
        <f>E680/'Lookup Tables'!$C$48</f>
        <v>324.22964305320295</v>
      </c>
      <c r="H680" s="70">
        <f t="shared" si="66"/>
        <v>3.8396501862085472E-2</v>
      </c>
      <c r="I680" s="71">
        <f t="shared" si="70"/>
        <v>0.46689068599661221</v>
      </c>
      <c r="L680" s="74"/>
      <c r="M680" s="74"/>
      <c r="N680" s="74"/>
      <c r="O680" s="74"/>
      <c r="P680" s="74"/>
      <c r="Q680" s="74"/>
      <c r="R680" s="74"/>
      <c r="S680" s="74"/>
      <c r="T680" s="74"/>
      <c r="U680" s="74"/>
      <c r="V680" s="74"/>
      <c r="W680" s="74"/>
      <c r="X680" s="74"/>
      <c r="Y680" s="74"/>
      <c r="Z680" s="74"/>
    </row>
    <row r="681" spans="1:26" x14ac:dyDescent="0.3">
      <c r="A681" s="66">
        <f t="shared" si="68"/>
        <v>2057.3999999999387</v>
      </c>
      <c r="B681" s="67">
        <f>LOOKUP(A681+0.01,Amounts!$A$4:$A$103,Amounts!$B$4:$B$103)*0.1*$A$2</f>
        <v>0</v>
      </c>
      <c r="C681" s="68">
        <f t="shared" si="67"/>
        <v>2219148.7781994981</v>
      </c>
      <c r="D681" s="67">
        <f t="array" ref="D681">SUM($B$7:$B676*$F$1009*EXP(-$F$1009*($A681-$A$7:$A676)))*$F$1010</f>
        <v>84798857.053229526</v>
      </c>
      <c r="E681" s="67">
        <f t="shared" si="65"/>
        <v>161.66153492371865</v>
      </c>
      <c r="F681" s="70">
        <f t="shared" si="69"/>
        <v>9.8160884005681961</v>
      </c>
      <c r="G681" s="67">
        <f>E681/'Lookup Tables'!$C$48</f>
        <v>323.3230698474373</v>
      </c>
      <c r="H681" s="70">
        <f t="shared" si="66"/>
        <v>3.8289142030777309E-2</v>
      </c>
      <c r="I681" s="71">
        <f t="shared" si="70"/>
        <v>0.46558522058030977</v>
      </c>
      <c r="L681" s="74"/>
      <c r="M681" s="74"/>
      <c r="N681" s="74"/>
      <c r="O681" s="74"/>
      <c r="P681" s="74"/>
      <c r="Q681" s="74"/>
      <c r="R681" s="74"/>
      <c r="S681" s="74"/>
      <c r="T681" s="74"/>
      <c r="U681" s="74"/>
      <c r="V681" s="74"/>
      <c r="W681" s="74"/>
      <c r="X681" s="74"/>
      <c r="Y681" s="74"/>
      <c r="Z681" s="74"/>
    </row>
    <row r="682" spans="1:26" x14ac:dyDescent="0.3">
      <c r="A682" s="66">
        <f t="shared" si="68"/>
        <v>2057.4999999999386</v>
      </c>
      <c r="B682" s="67">
        <f>LOOKUP(A682+0.01,Amounts!$A$4:$A$103,Amounts!$B$4:$B$103)*0.1*$A$2</f>
        <v>0</v>
      </c>
      <c r="C682" s="68">
        <f t="shared" si="67"/>
        <v>2219148.7781994981</v>
      </c>
      <c r="D682" s="67">
        <f t="array" ref="D682">SUM($B$7:$B677*$F$1009*EXP(-$F$1009*($A682-$A$7:$A677)))*$F$1010</f>
        <v>84561752.354966655</v>
      </c>
      <c r="E682" s="67">
        <f t="shared" si="65"/>
        <v>161.20951574809769</v>
      </c>
      <c r="F682" s="70">
        <f t="shared" si="69"/>
        <v>9.7886417962244909</v>
      </c>
      <c r="G682" s="67">
        <f>E682/'Lookup Tables'!$C$48</f>
        <v>322.41903149619537</v>
      </c>
      <c r="H682" s="70">
        <f t="shared" si="66"/>
        <v>3.81820823865388E-2</v>
      </c>
      <c r="I682" s="71">
        <f t="shared" si="70"/>
        <v>0.46428340535452134</v>
      </c>
      <c r="L682" s="74"/>
      <c r="M682" s="74"/>
      <c r="N682" s="74"/>
      <c r="O682" s="74"/>
      <c r="P682" s="74"/>
      <c r="Q682" s="74"/>
      <c r="R682" s="74"/>
      <c r="S682" s="74"/>
      <c r="T682" s="74"/>
      <c r="U682" s="74"/>
      <c r="V682" s="74"/>
      <c r="W682" s="74"/>
      <c r="X682" s="74"/>
      <c r="Y682" s="74"/>
      <c r="Z682" s="74"/>
    </row>
    <row r="683" spans="1:26" x14ac:dyDescent="0.3">
      <c r="A683" s="66">
        <f t="shared" si="68"/>
        <v>2057.5999999999385</v>
      </c>
      <c r="B683" s="67">
        <f>LOOKUP(A683+0.01,Amounts!$A$4:$A$103,Amounts!$B$4:$B$103)*0.1*$A$2</f>
        <v>0</v>
      </c>
      <c r="C683" s="68">
        <f t="shared" si="67"/>
        <v>2219148.7781994981</v>
      </c>
      <c r="D683" s="67">
        <f t="array" ref="D683">SUM($B$7:$B678*$F$1009*EXP(-$F$1009*($A683-$A$7:$A678)))*$F$1010</f>
        <v>84325310.621275365</v>
      </c>
      <c r="E683" s="67">
        <f t="shared" si="65"/>
        <v>160.75876045590587</v>
      </c>
      <c r="F683" s="70">
        <f t="shared" si="69"/>
        <v>9.7612719348826058</v>
      </c>
      <c r="G683" s="67">
        <f>E683/'Lookup Tables'!$C$48</f>
        <v>321.51752091181174</v>
      </c>
      <c r="H683" s="70">
        <f t="shared" si="66"/>
        <v>3.8075322090021749E-2</v>
      </c>
      <c r="I683" s="71">
        <f t="shared" si="70"/>
        <v>0.46298523011300891</v>
      </c>
      <c r="L683" s="74"/>
      <c r="M683" s="74"/>
      <c r="N683" s="74"/>
      <c r="O683" s="74"/>
      <c r="P683" s="74"/>
      <c r="Q683" s="74"/>
      <c r="R683" s="74"/>
      <c r="S683" s="74"/>
      <c r="T683" s="74"/>
      <c r="U683" s="74"/>
      <c r="V683" s="74"/>
      <c r="W683" s="74"/>
      <c r="X683" s="74"/>
      <c r="Y683" s="74"/>
      <c r="Z683" s="74"/>
    </row>
    <row r="684" spans="1:26" x14ac:dyDescent="0.3">
      <c r="A684" s="66">
        <f t="shared" si="68"/>
        <v>2057.6999999999384</v>
      </c>
      <c r="B684" s="67">
        <f>LOOKUP(A684+0.01,Amounts!$A$4:$A$103,Amounts!$B$4:$B$103)*0.1*$A$2</f>
        <v>0</v>
      </c>
      <c r="C684" s="68">
        <f t="shared" si="67"/>
        <v>2219148.7781994981</v>
      </c>
      <c r="D684" s="67">
        <f t="array" ref="D684">SUM($B$7:$B679*$F$1009*EXP(-$F$1009*($A684-$A$7:$A679)))*$F$1010</f>
        <v>84089529.998451307</v>
      </c>
      <c r="E684" s="67">
        <f t="shared" si="65"/>
        <v>160.30926551321954</v>
      </c>
      <c r="F684" s="70">
        <f t="shared" si="69"/>
        <v>9.7339786019626917</v>
      </c>
      <c r="G684" s="67">
        <f>E684/'Lookup Tables'!$C$48</f>
        <v>320.61853102643909</v>
      </c>
      <c r="H684" s="70">
        <f t="shared" si="66"/>
        <v>3.7968860304224937E-2</v>
      </c>
      <c r="I684" s="71">
        <f t="shared" si="70"/>
        <v>0.46169068467807228</v>
      </c>
      <c r="L684" s="74"/>
      <c r="M684" s="74"/>
      <c r="N684" s="74"/>
      <c r="O684" s="74"/>
      <c r="P684" s="74"/>
      <c r="Q684" s="74"/>
      <c r="R684" s="74"/>
      <c r="S684" s="74"/>
      <c r="T684" s="74"/>
      <c r="U684" s="74"/>
      <c r="V684" s="74"/>
      <c r="W684" s="74"/>
      <c r="X684" s="74"/>
      <c r="Y684" s="74"/>
      <c r="Z684" s="74"/>
    </row>
    <row r="685" spans="1:26" x14ac:dyDescent="0.3">
      <c r="A685" s="66">
        <f t="shared" si="68"/>
        <v>2057.7999999999383</v>
      </c>
      <c r="B685" s="67">
        <f>LOOKUP(A685+0.01,Amounts!$A$4:$A$103,Amounts!$B$4:$B$103)*0.1*$A$2</f>
        <v>0</v>
      </c>
      <c r="C685" s="68">
        <f t="shared" si="67"/>
        <v>2219148.7781994981</v>
      </c>
      <c r="D685" s="67">
        <f t="array" ref="D685">SUM($B$7:$B680*$F$1009*EXP(-$F$1009*($A685-$A$7:$A680)))*$F$1010</f>
        <v>83854408.637973085</v>
      </c>
      <c r="E685" s="67">
        <f t="shared" si="65"/>
        <v>159.86102739599585</v>
      </c>
      <c r="F685" s="70">
        <f t="shared" si="69"/>
        <v>9.7067615834848677</v>
      </c>
      <c r="G685" s="67">
        <f>E685/'Lookup Tables'!$C$48</f>
        <v>319.7220547919917</v>
      </c>
      <c r="H685" s="70">
        <f t="shared" si="66"/>
        <v>3.7862696194487365E-2</v>
      </c>
      <c r="I685" s="71">
        <f t="shared" si="70"/>
        <v>0.46039975890046808</v>
      </c>
      <c r="L685" s="74"/>
      <c r="M685" s="74"/>
      <c r="N685" s="74"/>
      <c r="O685" s="74"/>
      <c r="P685" s="74"/>
      <c r="Q685" s="74"/>
      <c r="R685" s="74"/>
      <c r="S685" s="74"/>
      <c r="T685" s="74"/>
      <c r="U685" s="74"/>
      <c r="V685" s="74"/>
      <c r="W685" s="74"/>
      <c r="X685" s="74"/>
      <c r="Y685" s="74"/>
      <c r="Z685" s="74"/>
    </row>
    <row r="686" spans="1:26" x14ac:dyDescent="0.3">
      <c r="A686" s="66">
        <f t="shared" si="68"/>
        <v>2057.8999999999382</v>
      </c>
      <c r="B686" s="67">
        <f>LOOKUP(A686+0.01,Amounts!$A$4:$A$103,Amounts!$B$4:$B$103)*0.1*$A$2</f>
        <v>0</v>
      </c>
      <c r="C686" s="68">
        <f t="shared" si="67"/>
        <v>2219148.7781994981</v>
      </c>
      <c r="D686" s="67">
        <f t="array" ref="D686">SUM($B$7:$B681*$F$1009*EXP(-$F$1009*($A686-$A$7:$A681)))*$F$1010</f>
        <v>83619944.696488142</v>
      </c>
      <c r="E686" s="67">
        <f t="shared" si="65"/>
        <v>159.41404259004585</v>
      </c>
      <c r="F686" s="70">
        <f t="shared" si="69"/>
        <v>9.6796206660675832</v>
      </c>
      <c r="G686" s="67">
        <f>E686/'Lookup Tables'!$C$48</f>
        <v>318.8280851800917</v>
      </c>
      <c r="H686" s="70">
        <f t="shared" si="66"/>
        <v>3.7756828928481916E-2</v>
      </c>
      <c r="I686" s="71">
        <f t="shared" si="70"/>
        <v>0.45911244265933204</v>
      </c>
      <c r="L686" s="74"/>
      <c r="M686" s="74"/>
      <c r="N686" s="74"/>
      <c r="O686" s="74"/>
      <c r="P686" s="74"/>
      <c r="Q686" s="74"/>
      <c r="R686" s="74"/>
      <c r="S686" s="74"/>
      <c r="T686" s="74"/>
      <c r="U686" s="74"/>
      <c r="V686" s="74"/>
      <c r="W686" s="74"/>
      <c r="X686" s="74"/>
      <c r="Y686" s="74"/>
      <c r="Z686" s="74"/>
    </row>
    <row r="687" spans="1:26" x14ac:dyDescent="0.3">
      <c r="A687" s="66">
        <f t="shared" si="68"/>
        <v>2057.9999999999382</v>
      </c>
      <c r="B687" s="67">
        <f>LOOKUP(A687+0.01,Amounts!$A$4:$A$103,Amounts!$B$4:$B$103)*0.1*$A$2</f>
        <v>0</v>
      </c>
      <c r="C687" s="68">
        <f t="shared" si="67"/>
        <v>2219148.7781994981</v>
      </c>
      <c r="D687" s="67">
        <f t="array" ref="D687">SUM($B$7:$B682*$F$1009*EXP(-$F$1009*($A687-$A$7:$A682)))*$F$1010</f>
        <v>83386136.335797936</v>
      </c>
      <c r="E687" s="67">
        <f t="shared" si="65"/>
        <v>158.96830759100627</v>
      </c>
      <c r="F687" s="70">
        <f t="shared" si="69"/>
        <v>9.6525556369259</v>
      </c>
      <c r="G687" s="67">
        <f>E687/'Lookup Tables'!$C$48</f>
        <v>317.93661518201253</v>
      </c>
      <c r="H687" s="70">
        <f t="shared" si="66"/>
        <v>3.7651257676208645E-2</v>
      </c>
      <c r="I687" s="71">
        <f t="shared" si="70"/>
        <v>0.45782872586209805</v>
      </c>
      <c r="L687" s="74"/>
      <c r="M687" s="74"/>
      <c r="N687" s="74"/>
      <c r="O687" s="74"/>
      <c r="P687" s="74"/>
      <c r="Q687" s="74"/>
      <c r="R687" s="74"/>
      <c r="S687" s="74"/>
      <c r="T687" s="74"/>
      <c r="U687" s="74"/>
      <c r="V687" s="74"/>
      <c r="W687" s="74"/>
      <c r="X687" s="74"/>
      <c r="Y687" s="74"/>
      <c r="Z687" s="74"/>
    </row>
    <row r="688" spans="1:26" x14ac:dyDescent="0.3">
      <c r="A688" s="66">
        <f t="shared" si="68"/>
        <v>2058.0999999999381</v>
      </c>
      <c r="B688" s="67">
        <f>LOOKUP(A688+0.01,Amounts!$A$4:$A$103,Amounts!$B$4:$B$103)*0.1*$A$2</f>
        <v>0</v>
      </c>
      <c r="C688" s="68">
        <f t="shared" si="67"/>
        <v>2219148.7781994981</v>
      </c>
      <c r="D688" s="67">
        <f t="array" ref="D688">SUM($B$7:$B683*$F$1009*EXP(-$F$1009*($A688-$A$7:$A683)))*$F$1010</f>
        <v>83152981.722843722</v>
      </c>
      <c r="E688" s="67">
        <f t="shared" si="65"/>
        <v>158.52381890431249</v>
      </c>
      <c r="F688" s="70">
        <f t="shared" si="69"/>
        <v>9.6255662838698548</v>
      </c>
      <c r="G688" s="67">
        <f>E688/'Lookup Tables'!$C$48</f>
        <v>317.04763780862498</v>
      </c>
      <c r="H688" s="70">
        <f t="shared" si="66"/>
        <v>3.7545981609988427E-2</v>
      </c>
      <c r="I688" s="71">
        <f t="shared" si="70"/>
        <v>0.45654859844441997</v>
      </c>
      <c r="L688" s="74"/>
      <c r="M688" s="74"/>
      <c r="N688" s="74"/>
      <c r="O688" s="74"/>
      <c r="P688" s="74"/>
      <c r="Q688" s="74"/>
      <c r="R688" s="74"/>
      <c r="S688" s="74"/>
      <c r="T688" s="74"/>
      <c r="U688" s="74"/>
      <c r="V688" s="74"/>
      <c r="W688" s="74"/>
      <c r="X688" s="74"/>
      <c r="Y688" s="74"/>
      <c r="Z688" s="74"/>
    </row>
    <row r="689" spans="1:26" x14ac:dyDescent="0.3">
      <c r="A689" s="66">
        <f t="shared" si="68"/>
        <v>2058.199999999938</v>
      </c>
      <c r="B689" s="67">
        <f>LOOKUP(A689+0.01,Amounts!$A$4:$A$103,Amounts!$B$4:$B$103)*0.1*$A$2</f>
        <v>0</v>
      </c>
      <c r="C689" s="68">
        <f t="shared" si="67"/>
        <v>2219148.7781994981</v>
      </c>
      <c r="D689" s="67">
        <f t="array" ref="D689">SUM($B$7:$B684*$F$1009*EXP(-$F$1009*($A689-$A$7:$A684)))*$F$1010</f>
        <v>82920479.029692113</v>
      </c>
      <c r="E689" s="67">
        <f t="shared" si="65"/>
        <v>158.08057304517087</v>
      </c>
      <c r="F689" s="70">
        <f t="shared" si="69"/>
        <v>9.5986523953027767</v>
      </c>
      <c r="G689" s="67">
        <f>E689/'Lookup Tables'!$C$48</f>
        <v>316.16114609034173</v>
      </c>
      <c r="H689" s="70">
        <f t="shared" si="66"/>
        <v>3.7440999904456346E-2</v>
      </c>
      <c r="I689" s="71">
        <f t="shared" si="70"/>
        <v>0.45527205037009216</v>
      </c>
      <c r="L689" s="74"/>
      <c r="M689" s="74"/>
      <c r="N689" s="74"/>
      <c r="O689" s="74"/>
      <c r="P689" s="74"/>
      <c r="Q689" s="74"/>
      <c r="R689" s="74"/>
      <c r="S689" s="74"/>
      <c r="T689" s="74"/>
      <c r="U689" s="74"/>
      <c r="V689" s="74"/>
      <c r="W689" s="74"/>
      <c r="X689" s="74"/>
      <c r="Y689" s="74"/>
      <c r="Z689" s="74"/>
    </row>
    <row r="690" spans="1:26" x14ac:dyDescent="0.3">
      <c r="A690" s="66">
        <f t="shared" si="68"/>
        <v>2058.2999999999379</v>
      </c>
      <c r="B690" s="67">
        <f>LOOKUP(A690+0.01,Amounts!$A$4:$A$103,Amounts!$B$4:$B$103)*0.1*$A$2</f>
        <v>0</v>
      </c>
      <c r="C690" s="68">
        <f t="shared" si="67"/>
        <v>2219148.7781994981</v>
      </c>
      <c r="D690" s="67">
        <f t="array" ref="D690">SUM($B$7:$B685*$F$1009*EXP(-$F$1009*($A690-$A$7:$A685)))*$F$1010</f>
        <v>82688626.433520868</v>
      </c>
      <c r="E690" s="67">
        <f t="shared" si="65"/>
        <v>157.63856653853168</v>
      </c>
      <c r="F690" s="70">
        <f t="shared" si="69"/>
        <v>9.5718137602196443</v>
      </c>
      <c r="G690" s="67">
        <f>E690/'Lookup Tables'!$C$48</f>
        <v>315.27713307706335</v>
      </c>
      <c r="H690" s="70">
        <f t="shared" si="66"/>
        <v>3.7336311736555286E-2</v>
      </c>
      <c r="I690" s="71">
        <f t="shared" si="70"/>
        <v>0.45399907163097125</v>
      </c>
      <c r="L690" s="74"/>
      <c r="M690" s="74"/>
      <c r="N690" s="74"/>
      <c r="O690" s="74"/>
      <c r="P690" s="74"/>
      <c r="Q690" s="74"/>
      <c r="R690" s="74"/>
      <c r="S690" s="74"/>
      <c r="T690" s="74"/>
      <c r="U690" s="74"/>
      <c r="V690" s="74"/>
      <c r="W690" s="74"/>
      <c r="X690" s="74"/>
      <c r="Y690" s="74"/>
      <c r="Z690" s="74"/>
    </row>
    <row r="691" spans="1:26" x14ac:dyDescent="0.3">
      <c r="A691" s="66">
        <f t="shared" si="68"/>
        <v>2058.3999999999378</v>
      </c>
      <c r="B691" s="67">
        <f>LOOKUP(A691+0.01,Amounts!$A$4:$A$103,Amounts!$B$4:$B$103)*0.1*$A$2</f>
        <v>0</v>
      </c>
      <c r="C691" s="68">
        <f t="shared" si="67"/>
        <v>2219148.7781994981</v>
      </c>
      <c r="D691" s="67">
        <f t="array" ref="D691">SUM($B$7:$B686*$F$1009*EXP(-$F$1009*($A691-$A$7:$A686)))*$F$1010</f>
        <v>82457422.116604373</v>
      </c>
      <c r="E691" s="67">
        <f t="shared" si="65"/>
        <v>157.19779591906155</v>
      </c>
      <c r="F691" s="70">
        <f t="shared" si="69"/>
        <v>9.5450501682054156</v>
      </c>
      <c r="G691" s="67">
        <f>E691/'Lookup Tables'!$C$48</f>
        <v>314.3955918381231</v>
      </c>
      <c r="H691" s="70">
        <f t="shared" si="66"/>
        <v>3.7231916285529479E-2</v>
      </c>
      <c r="I691" s="71">
        <f t="shared" si="70"/>
        <v>0.45272965224689721</v>
      </c>
      <c r="L691" s="74"/>
      <c r="M691" s="74"/>
      <c r="N691" s="74"/>
      <c r="O691" s="74"/>
      <c r="P691" s="74"/>
      <c r="Q691" s="74"/>
      <c r="R691" s="74"/>
      <c r="S691" s="74"/>
      <c r="T691" s="74"/>
      <c r="U691" s="74"/>
      <c r="V691" s="74"/>
      <c r="W691" s="74"/>
      <c r="X691" s="74"/>
      <c r="Y691" s="74"/>
      <c r="Z691" s="74"/>
    </row>
    <row r="692" spans="1:26" x14ac:dyDescent="0.3">
      <c r="A692" s="66">
        <f t="shared" si="68"/>
        <v>2058.4999999999377</v>
      </c>
      <c r="B692" s="67">
        <f>LOOKUP(A692+0.01,Amounts!$A$4:$A$103,Amounts!$B$4:$B$103)*0.1*$A$2</f>
        <v>0</v>
      </c>
      <c r="C692" s="68">
        <f t="shared" si="67"/>
        <v>2219148.7781994981</v>
      </c>
      <c r="D692" s="67">
        <f t="array" ref="D692">SUM($B$7:$B687*$F$1009*EXP(-$F$1009*($A692-$A$7:$A687)))*$F$1010</f>
        <v>82226864.26629962</v>
      </c>
      <c r="E692" s="67">
        <f t="shared" si="65"/>
        <v>156.7582577311166</v>
      </c>
      <c r="F692" s="70">
        <f t="shared" si="69"/>
        <v>9.5183614094333979</v>
      </c>
      <c r="G692" s="67">
        <f>E692/'Lookup Tables'!$C$48</f>
        <v>313.5165154622332</v>
      </c>
      <c r="H692" s="70">
        <f t="shared" si="66"/>
        <v>3.7127812732918056E-2</v>
      </c>
      <c r="I692" s="71">
        <f t="shared" si="70"/>
        <v>0.45146378226561579</v>
      </c>
      <c r="L692" s="74"/>
      <c r="M692" s="74"/>
      <c r="N692" s="74"/>
      <c r="O692" s="74"/>
      <c r="P692" s="74"/>
      <c r="Q692" s="74"/>
      <c r="R692" s="74"/>
      <c r="S692" s="74"/>
      <c r="T692" s="74"/>
      <c r="U692" s="74"/>
      <c r="V692" s="74"/>
      <c r="W692" s="74"/>
      <c r="X692" s="74"/>
      <c r="Y692" s="74"/>
      <c r="Z692" s="74"/>
    </row>
    <row r="693" spans="1:26" x14ac:dyDescent="0.3">
      <c r="A693" s="66">
        <f t="shared" si="68"/>
        <v>2058.5999999999376</v>
      </c>
      <c r="B693" s="67">
        <f>LOOKUP(A693+0.01,Amounts!$A$4:$A$103,Amounts!$B$4:$B$103)*0.1*$A$2</f>
        <v>0</v>
      </c>
      <c r="C693" s="68">
        <f t="shared" si="67"/>
        <v>2219148.7781994981</v>
      </c>
      <c r="D693" s="67">
        <f t="array" ref="D693">SUM($B$7:$B688*$F$1009*EXP(-$F$1009*($A693-$A$7:$A688)))*$F$1010</f>
        <v>81996951.075031877</v>
      </c>
      <c r="E693" s="67">
        <f t="shared" si="65"/>
        <v>156.31994852871517</v>
      </c>
      <c r="F693" s="70">
        <f t="shared" si="69"/>
        <v>9.4917472746635863</v>
      </c>
      <c r="G693" s="67">
        <f>E693/'Lookup Tables'!$C$48</f>
        <v>312.63989705743035</v>
      </c>
      <c r="H693" s="70">
        <f t="shared" si="66"/>
        <v>3.7024000262548637E-2</v>
      </c>
      <c r="I693" s="71">
        <f t="shared" si="70"/>
        <v>0.45020145176269977</v>
      </c>
      <c r="L693" s="74"/>
      <c r="M693" s="74"/>
      <c r="N693" s="74"/>
      <c r="O693" s="74"/>
      <c r="P693" s="74"/>
      <c r="Q693" s="74"/>
      <c r="R693" s="74"/>
      <c r="S693" s="74"/>
      <c r="T693" s="74"/>
      <c r="U693" s="74"/>
      <c r="V693" s="74"/>
      <c r="W693" s="74"/>
      <c r="X693" s="74"/>
      <c r="Y693" s="74"/>
      <c r="Z693" s="74"/>
    </row>
    <row r="694" spans="1:26" x14ac:dyDescent="0.3">
      <c r="A694" s="66">
        <f t="shared" si="68"/>
        <v>2058.6999999999375</v>
      </c>
      <c r="B694" s="67">
        <f>LOOKUP(A694+0.01,Amounts!$A$4:$A$103,Amounts!$B$4:$B$103)*0.1*$A$2</f>
        <v>0</v>
      </c>
      <c r="C694" s="68">
        <f t="shared" si="67"/>
        <v>2219148.7781994981</v>
      </c>
      <c r="D694" s="67">
        <f t="array" ref="D694">SUM($B$7:$B689*$F$1009*EXP(-$F$1009*($A694-$A$7:$A689)))*$F$1010</f>
        <v>81767680.740280554</v>
      </c>
      <c r="E694" s="67">
        <f t="shared" si="65"/>
        <v>155.88286487551088</v>
      </c>
      <c r="F694" s="70">
        <f t="shared" si="69"/>
        <v>9.4652075552410206</v>
      </c>
      <c r="G694" s="67">
        <f>E694/'Lookup Tables'!$C$48</f>
        <v>311.76572975102175</v>
      </c>
      <c r="H694" s="70">
        <f t="shared" si="66"/>
        <v>3.6920478060530906E-2</v>
      </c>
      <c r="I694" s="71">
        <f t="shared" si="70"/>
        <v>0.44894265084147139</v>
      </c>
      <c r="L694" s="74"/>
      <c r="M694" s="74"/>
      <c r="N694" s="74"/>
      <c r="O694" s="74"/>
      <c r="P694" s="74"/>
      <c r="Q694" s="74"/>
      <c r="R694" s="74"/>
      <c r="S694" s="74"/>
      <c r="T694" s="74"/>
      <c r="U694" s="74"/>
      <c r="V694" s="74"/>
      <c r="W694" s="74"/>
      <c r="X694" s="74"/>
      <c r="Y694" s="74"/>
      <c r="Z694" s="74"/>
    </row>
    <row r="695" spans="1:26" x14ac:dyDescent="0.3">
      <c r="A695" s="66">
        <f t="shared" si="68"/>
        <v>2058.7999999999374</v>
      </c>
      <c r="B695" s="67">
        <f>LOOKUP(A695+0.01,Amounts!$A$4:$A$103,Amounts!$B$4:$B$103)*0.1*$A$2</f>
        <v>0</v>
      </c>
      <c r="C695" s="68">
        <f t="shared" si="67"/>
        <v>2219148.7781994981</v>
      </c>
      <c r="D695" s="67">
        <f t="array" ref="D695">SUM($B$7:$B690*$F$1009*EXP(-$F$1009*($A695-$A$7:$A690)))*$F$1010</f>
        <v>81539051.464565083</v>
      </c>
      <c r="E695" s="67">
        <f t="shared" si="65"/>
        <v>155.44700334476573</v>
      </c>
      <c r="F695" s="70">
        <f t="shared" si="69"/>
        <v>9.4387420430941766</v>
      </c>
      <c r="G695" s="67">
        <f>E695/'Lookup Tables'!$C$48</f>
        <v>310.89400668953147</v>
      </c>
      <c r="H695" s="70">
        <f t="shared" si="66"/>
        <v>3.681724531525029E-2</v>
      </c>
      <c r="I695" s="71">
        <f t="shared" si="70"/>
        <v>0.44768736963292538</v>
      </c>
      <c r="L695" s="74"/>
      <c r="M695" s="74"/>
      <c r="N695" s="74"/>
      <c r="O695" s="74"/>
      <c r="P695" s="74"/>
      <c r="Q695" s="74"/>
      <c r="R695" s="74"/>
      <c r="S695" s="74"/>
      <c r="T695" s="74"/>
      <c r="U695" s="74"/>
      <c r="V695" s="74"/>
      <c r="W695" s="74"/>
      <c r="X695" s="74"/>
      <c r="Y695" s="74"/>
      <c r="Z695" s="74"/>
    </row>
    <row r="696" spans="1:26" x14ac:dyDescent="0.3">
      <c r="A696" s="66">
        <f t="shared" si="68"/>
        <v>2058.8999999999373</v>
      </c>
      <c r="B696" s="67">
        <f>LOOKUP(A696+0.01,Amounts!$A$4:$A$103,Amounts!$B$4:$B$103)*0.1*$A$2</f>
        <v>0</v>
      </c>
      <c r="C696" s="68">
        <f t="shared" si="67"/>
        <v>2219148.7781994981</v>
      </c>
      <c r="D696" s="67">
        <f t="array" ref="D696">SUM($B$7:$B691*$F$1009*EXP(-$F$1009*($A696-$A$7:$A691)))*$F$1010</f>
        <v>81311061.455430731</v>
      </c>
      <c r="E696" s="67">
        <f t="shared" si="65"/>
        <v>155.01236051932298</v>
      </c>
      <c r="F696" s="70">
        <f t="shared" si="69"/>
        <v>9.4123505307332902</v>
      </c>
      <c r="G696" s="67">
        <f>E696/'Lookup Tables'!$C$48</f>
        <v>310.02472103864596</v>
      </c>
      <c r="H696" s="70">
        <f t="shared" si="66"/>
        <v>3.6714301217361515E-2</v>
      </c>
      <c r="I696" s="71">
        <f t="shared" si="70"/>
        <v>0.44643559829565022</v>
      </c>
      <c r="L696" s="74"/>
      <c r="M696" s="74"/>
      <c r="N696" s="74"/>
      <c r="O696" s="74"/>
      <c r="P696" s="74"/>
      <c r="Q696" s="74"/>
      <c r="R696" s="74"/>
      <c r="S696" s="74"/>
      <c r="T696" s="74"/>
      <c r="U696" s="74"/>
      <c r="V696" s="74"/>
      <c r="W696" s="74"/>
      <c r="X696" s="74"/>
      <c r="Y696" s="74"/>
      <c r="Z696" s="74"/>
    </row>
    <row r="697" spans="1:26" x14ac:dyDescent="0.3">
      <c r="A697" s="66">
        <f t="shared" si="68"/>
        <v>2058.9999999999372</v>
      </c>
      <c r="B697" s="67">
        <f>LOOKUP(A697+0.01,Amounts!$A$4:$A$103,Amounts!$B$4:$B$103)*0.1*$A$2</f>
        <v>0</v>
      </c>
      <c r="C697" s="68">
        <f t="shared" si="67"/>
        <v>2219148.7781994981</v>
      </c>
      <c r="D697" s="67">
        <f t="array" ref="D697">SUM($B$7:$B692*$F$1009*EXP(-$F$1009*($A697-$A$7:$A692)))*$F$1010</f>
        <v>81083708.925434694</v>
      </c>
      <c r="E697" s="67">
        <f t="shared" si="65"/>
        <v>154.5789329915807</v>
      </c>
      <c r="F697" s="70">
        <f t="shared" si="69"/>
        <v>9.3860328112487803</v>
      </c>
      <c r="G697" s="67">
        <f>E697/'Lookup Tables'!$C$48</f>
        <v>309.1578659831614</v>
      </c>
      <c r="H697" s="70">
        <f t="shared" si="66"/>
        <v>3.661164495978235E-2</v>
      </c>
      <c r="I697" s="71">
        <f t="shared" si="70"/>
        <v>0.44518732701575242</v>
      </c>
      <c r="L697" s="74"/>
      <c r="M697" s="74"/>
      <c r="N697" s="74"/>
      <c r="O697" s="74"/>
      <c r="P697" s="74"/>
      <c r="Q697" s="74"/>
      <c r="R697" s="74"/>
      <c r="S697" s="74"/>
      <c r="T697" s="74"/>
      <c r="U697" s="74"/>
      <c r="V697" s="74"/>
      <c r="W697" s="74"/>
      <c r="X697" s="74"/>
      <c r="Y697" s="74"/>
      <c r="Z697" s="74"/>
    </row>
    <row r="698" spans="1:26" x14ac:dyDescent="0.3">
      <c r="A698" s="66">
        <f t="shared" si="68"/>
        <v>2059.0999999999372</v>
      </c>
      <c r="B698" s="67">
        <f>LOOKUP(A698+0.01,Amounts!$A$4:$A$103,Amounts!$B$4:$B$103)*0.1*$A$2</f>
        <v>0</v>
      </c>
      <c r="C698" s="68">
        <f t="shared" si="67"/>
        <v>2219148.7781994981</v>
      </c>
      <c r="D698" s="67">
        <f t="array" ref="D698">SUM($B$7:$B693*$F$1009*EXP(-$F$1009*($A698-$A$7:$A693)))*$F$1010</f>
        <v>80856992.092131943</v>
      </c>
      <c r="E698" s="67">
        <f t="shared" si="65"/>
        <v>154.14671736346489</v>
      </c>
      <c r="F698" s="70">
        <f t="shared" si="69"/>
        <v>9.3597886783095881</v>
      </c>
      <c r="G698" s="67">
        <f>E698/'Lookup Tables'!$C$48</f>
        <v>308.29343472692977</v>
      </c>
      <c r="H698" s="70">
        <f t="shared" si="66"/>
        <v>3.6509275737687204E-2</v>
      </c>
      <c r="I698" s="71">
        <f t="shared" si="70"/>
        <v>0.44394254600677885</v>
      </c>
      <c r="L698" s="74"/>
      <c r="M698" s="74"/>
      <c r="N698" s="74"/>
      <c r="O698" s="74"/>
      <c r="P698" s="74"/>
      <c r="Q698" s="74"/>
      <c r="R698" s="74"/>
      <c r="S698" s="74"/>
      <c r="T698" s="74"/>
      <c r="U698" s="74"/>
      <c r="V698" s="74"/>
      <c r="W698" s="74"/>
      <c r="X698" s="74"/>
      <c r="Y698" s="74"/>
      <c r="Z698" s="74"/>
    </row>
    <row r="699" spans="1:26" x14ac:dyDescent="0.3">
      <c r="A699" s="66">
        <f t="shared" si="68"/>
        <v>2059.1999999999371</v>
      </c>
      <c r="B699" s="67">
        <f>LOOKUP(A699+0.01,Amounts!$A$4:$A$103,Amounts!$B$4:$B$103)*0.1*$A$2</f>
        <v>0</v>
      </c>
      <c r="C699" s="68">
        <f t="shared" si="67"/>
        <v>2219148.7781994981</v>
      </c>
      <c r="D699" s="67">
        <f t="array" ref="D699">SUM($B$7:$B694*$F$1009*EXP(-$F$1009*($A699-$A$7:$A694)))*$F$1010</f>
        <v>80630909.178061381</v>
      </c>
      <c r="E699" s="67">
        <f t="shared" si="65"/>
        <v>153.71571024640275</v>
      </c>
      <c r="F699" s="70">
        <f t="shared" si="69"/>
        <v>9.3336179261615762</v>
      </c>
      <c r="G699" s="67">
        <f>E699/'Lookup Tables'!$C$48</f>
        <v>307.4314204928055</v>
      </c>
      <c r="H699" s="70">
        <f t="shared" si="66"/>
        <v>3.6407192748500856E-2</v>
      </c>
      <c r="I699" s="71">
        <f t="shared" si="70"/>
        <v>0.44270124550963996</v>
      </c>
      <c r="L699" s="74"/>
      <c r="M699" s="74"/>
      <c r="N699" s="74"/>
      <c r="O699" s="74"/>
      <c r="P699" s="74"/>
      <c r="Q699" s="74"/>
      <c r="R699" s="74"/>
      <c r="S699" s="74"/>
      <c r="T699" s="74"/>
      <c r="U699" s="74"/>
      <c r="V699" s="74"/>
      <c r="W699" s="74"/>
      <c r="X699" s="74"/>
      <c r="Y699" s="74"/>
      <c r="Z699" s="74"/>
    </row>
    <row r="700" spans="1:26" x14ac:dyDescent="0.3">
      <c r="A700" s="66">
        <f t="shared" si="68"/>
        <v>2059.299999999937</v>
      </c>
      <c r="B700" s="67">
        <f>LOOKUP(A700+0.01,Amounts!$A$4:$A$103,Amounts!$B$4:$B$103)*0.1*$A$2</f>
        <v>0</v>
      </c>
      <c r="C700" s="68">
        <f t="shared" si="67"/>
        <v>2219148.7781994981</v>
      </c>
      <c r="D700" s="67">
        <f t="array" ref="D700">SUM($B$7:$B695*$F$1009*EXP(-$F$1009*($A700-$A$7:$A695)))*$F$1010</f>
        <v>80405458.410731733</v>
      </c>
      <c r="E700" s="67">
        <f t="shared" si="65"/>
        <v>153.28590826129624</v>
      </c>
      <c r="F700" s="70">
        <f t="shared" si="69"/>
        <v>9.3075203496259071</v>
      </c>
      <c r="G700" s="67">
        <f>E700/'Lookup Tables'!$C$48</f>
        <v>306.57181652259248</v>
      </c>
      <c r="H700" s="70">
        <f t="shared" si="66"/>
        <v>3.6305395191892111E-2</v>
      </c>
      <c r="I700" s="71">
        <f t="shared" si="70"/>
        <v>0.44146341579253318</v>
      </c>
      <c r="L700" s="74"/>
      <c r="M700" s="74"/>
      <c r="N700" s="74"/>
      <c r="O700" s="74"/>
      <c r="P700" s="74"/>
      <c r="Q700" s="74"/>
      <c r="R700" s="74"/>
      <c r="S700" s="74"/>
      <c r="T700" s="74"/>
      <c r="U700" s="74"/>
      <c r="V700" s="74"/>
      <c r="W700" s="74"/>
      <c r="X700" s="74"/>
      <c r="Y700" s="74"/>
      <c r="Z700" s="74"/>
    </row>
    <row r="701" spans="1:26" x14ac:dyDescent="0.3">
      <c r="A701" s="66">
        <f t="shared" si="68"/>
        <v>2059.3999999999369</v>
      </c>
      <c r="B701" s="67">
        <f>LOOKUP(A701+0.01,Amounts!$A$4:$A$103,Amounts!$B$4:$B$103)*0.1*$A$2</f>
        <v>0</v>
      </c>
      <c r="C701" s="68">
        <f t="shared" si="67"/>
        <v>2219148.7781994981</v>
      </c>
      <c r="D701" s="67">
        <f t="array" ref="D701">SUM($B$7:$B696*$F$1009*EXP(-$F$1009*($A701-$A$7:$A696)))*$F$1010</f>
        <v>80180638.022607893</v>
      </c>
      <c r="E701" s="67">
        <f t="shared" si="65"/>
        <v>152.85730803849569</v>
      </c>
      <c r="F701" s="70">
        <f t="shared" si="69"/>
        <v>9.2814957440974588</v>
      </c>
      <c r="G701" s="67">
        <f>E701/'Lookup Tables'!$C$48</f>
        <v>305.71461607699138</v>
      </c>
      <c r="H701" s="70">
        <f t="shared" si="66"/>
        <v>3.6203882269767639E-2</v>
      </c>
      <c r="I701" s="71">
        <f t="shared" si="70"/>
        <v>0.44022904715086753</v>
      </c>
      <c r="L701" s="74"/>
      <c r="M701" s="74"/>
      <c r="N701" s="74"/>
      <c r="O701" s="74"/>
      <c r="P701" s="74"/>
      <c r="Q701" s="74"/>
      <c r="R701" s="74"/>
      <c r="S701" s="74"/>
      <c r="T701" s="74"/>
      <c r="U701" s="74"/>
      <c r="V701" s="74"/>
      <c r="W701" s="74"/>
      <c r="X701" s="74"/>
      <c r="Y701" s="74"/>
      <c r="Z701" s="74"/>
    </row>
    <row r="702" spans="1:26" x14ac:dyDescent="0.3">
      <c r="A702" s="66">
        <f t="shared" si="68"/>
        <v>2059.4999999999368</v>
      </c>
      <c r="B702" s="67">
        <f>LOOKUP(A702+0.01,Amounts!$A$4:$A$103,Amounts!$B$4:$B$103)*0.1*$A$2</f>
        <v>0</v>
      </c>
      <c r="C702" s="68">
        <f t="shared" si="67"/>
        <v>2219148.7781994981</v>
      </c>
      <c r="D702" s="67">
        <f t="array" ref="D702">SUM($B$7:$B697*$F$1009*EXP(-$F$1009*($A702-$A$7:$A697)))*$F$1010</f>
        <v>79956446.25109683</v>
      </c>
      <c r="E702" s="67">
        <f t="shared" si="65"/>
        <v>152.42990621777309</v>
      </c>
      <c r="F702" s="70">
        <f t="shared" si="69"/>
        <v>9.2555439055431847</v>
      </c>
      <c r="G702" s="67">
        <f>E702/'Lookup Tables'!$C$48</f>
        <v>304.85981243554619</v>
      </c>
      <c r="H702" s="70">
        <f t="shared" si="66"/>
        <v>3.6102653186265606E-2</v>
      </c>
      <c r="I702" s="71">
        <f t="shared" si="70"/>
        <v>0.43899812990718656</v>
      </c>
      <c r="L702" s="74"/>
      <c r="M702" s="74"/>
      <c r="N702" s="74"/>
      <c r="O702" s="74"/>
      <c r="P702" s="74"/>
      <c r="Q702" s="74"/>
      <c r="R702" s="74"/>
      <c r="S702" s="74"/>
      <c r="T702" s="74"/>
      <c r="U702" s="74"/>
      <c r="V702" s="74"/>
      <c r="W702" s="74"/>
      <c r="X702" s="74"/>
      <c r="Y702" s="74"/>
      <c r="Z702" s="74"/>
    </row>
    <row r="703" spans="1:26" x14ac:dyDescent="0.3">
      <c r="A703" s="66">
        <f t="shared" si="68"/>
        <v>2059.5999999999367</v>
      </c>
      <c r="B703" s="67">
        <f>LOOKUP(A703+0.01,Amounts!$A$4:$A$103,Amounts!$B$4:$B$103)*0.1*$A$2</f>
        <v>0</v>
      </c>
      <c r="C703" s="68">
        <f t="shared" si="67"/>
        <v>2219148.7781994981</v>
      </c>
      <c r="D703" s="67">
        <f t="array" ref="D703">SUM($B$7:$B698*$F$1009*EXP(-$F$1009*($A703-$A$7:$A698)))*$F$1010</f>
        <v>79732881.338533968</v>
      </c>
      <c r="E703" s="67">
        <f t="shared" si="65"/>
        <v>152.00369944829609</v>
      </c>
      <c r="F703" s="70">
        <f t="shared" si="69"/>
        <v>9.2296646305005385</v>
      </c>
      <c r="G703" s="67">
        <f>E703/'Lookup Tables'!$C$48</f>
        <v>304.00739889659218</v>
      </c>
      <c r="H703" s="70">
        <f t="shared" si="66"/>
        <v>3.6001707147749494E-2</v>
      </c>
      <c r="I703" s="71">
        <f t="shared" si="70"/>
        <v>0.43777065441109275</v>
      </c>
      <c r="L703" s="74"/>
      <c r="M703" s="74"/>
      <c r="N703" s="74"/>
      <c r="O703" s="74"/>
      <c r="P703" s="74"/>
      <c r="Q703" s="74"/>
      <c r="R703" s="74"/>
      <c r="S703" s="74"/>
      <c r="T703" s="74"/>
      <c r="U703" s="74"/>
      <c r="V703" s="74"/>
      <c r="W703" s="74"/>
      <c r="X703" s="74"/>
      <c r="Y703" s="74"/>
      <c r="Z703" s="74"/>
    </row>
    <row r="704" spans="1:26" x14ac:dyDescent="0.3">
      <c r="A704" s="66">
        <f t="shared" si="68"/>
        <v>2059.6999999999366</v>
      </c>
      <c r="B704" s="67">
        <f>LOOKUP(A704+0.01,Amounts!$A$4:$A$103,Amounts!$B$4:$B$103)*0.1*$A$2</f>
        <v>0</v>
      </c>
      <c r="C704" s="68">
        <f t="shared" si="67"/>
        <v>2219148.7781994981</v>
      </c>
      <c r="D704" s="67">
        <f t="array" ref="D704">SUM($B$7:$B699*$F$1009*EXP(-$F$1009*($A704-$A$7:$A699)))*$F$1010</f>
        <v>79509941.532169163</v>
      </c>
      <c r="E704" s="67">
        <f t="shared" si="65"/>
        <v>151.57868438860129</v>
      </c>
      <c r="F704" s="70">
        <f t="shared" si="69"/>
        <v>9.2038577160758717</v>
      </c>
      <c r="G704" s="67">
        <f>E704/'Lookup Tables'!$C$48</f>
        <v>303.15736877720258</v>
      </c>
      <c r="H704" s="70">
        <f t="shared" si="66"/>
        <v>3.590104336280181E-2</v>
      </c>
      <c r="I704" s="71">
        <f t="shared" si="70"/>
        <v>0.43654661103917169</v>
      </c>
      <c r="L704" s="74"/>
      <c r="M704" s="74"/>
      <c r="N704" s="74"/>
      <c r="O704" s="74"/>
      <c r="P704" s="74"/>
      <c r="Q704" s="74"/>
      <c r="R704" s="74"/>
      <c r="S704" s="74"/>
      <c r="T704" s="74"/>
      <c r="U704" s="74"/>
      <c r="V704" s="74"/>
      <c r="W704" s="74"/>
      <c r="X704" s="74"/>
      <c r="Y704" s="74"/>
      <c r="Z704" s="74"/>
    </row>
    <row r="705" spans="1:26" x14ac:dyDescent="0.3">
      <c r="A705" s="66">
        <f t="shared" si="68"/>
        <v>2059.7999999999365</v>
      </c>
      <c r="B705" s="67">
        <f>LOOKUP(A705+0.01,Amounts!$A$4:$A$103,Amounts!$B$4:$B$103)*0.1*$A$2</f>
        <v>0</v>
      </c>
      <c r="C705" s="68">
        <f t="shared" si="67"/>
        <v>2219148.7781994981</v>
      </c>
      <c r="D705" s="67">
        <f t="array" ref="D705">SUM($B$7:$B700*$F$1009*EXP(-$F$1009*($A705-$A$7:$A700)))*$F$1010</f>
        <v>79287625.084153265</v>
      </c>
      <c r="E705" s="67">
        <f t="shared" si="65"/>
        <v>151.15485770656852</v>
      </c>
      <c r="F705" s="70">
        <f t="shared" si="69"/>
        <v>9.17812295994284</v>
      </c>
      <c r="G705" s="67">
        <f>E705/'Lookup Tables'!$C$48</f>
        <v>302.30971541313704</v>
      </c>
      <c r="H705" s="70">
        <f t="shared" si="66"/>
        <v>3.5800661042217984E-2</v>
      </c>
      <c r="I705" s="71">
        <f t="shared" si="70"/>
        <v>0.4353259901949173</v>
      </c>
      <c r="L705" s="74"/>
      <c r="M705" s="74"/>
      <c r="N705" s="74"/>
      <c r="O705" s="74"/>
      <c r="P705" s="74"/>
      <c r="Q705" s="74"/>
      <c r="R705" s="74"/>
      <c r="S705" s="74"/>
      <c r="T705" s="74"/>
      <c r="U705" s="74"/>
      <c r="V705" s="74"/>
      <c r="W705" s="74"/>
      <c r="X705" s="74"/>
      <c r="Y705" s="74"/>
      <c r="Z705" s="74"/>
    </row>
    <row r="706" spans="1:26" x14ac:dyDescent="0.3">
      <c r="A706" s="66">
        <f t="shared" si="68"/>
        <v>2059.8999999999364</v>
      </c>
      <c r="B706" s="67">
        <f>LOOKUP(A706+0.01,Amounts!$A$4:$A$103,Amounts!$B$4:$B$103)*0.1*$A$2</f>
        <v>0</v>
      </c>
      <c r="C706" s="68">
        <f t="shared" si="67"/>
        <v>2219148.7781994981</v>
      </c>
      <c r="D706" s="67">
        <f t="array" ref="D706">SUM($B$7:$B701*$F$1009*EXP(-$F$1009*($A706-$A$7:$A701)))*$F$1010</f>
        <v>79065930.251524135</v>
      </c>
      <c r="E706" s="67">
        <f t="shared" si="65"/>
        <v>150.73221607939442</v>
      </c>
      <c r="F706" s="70">
        <f t="shared" si="69"/>
        <v>9.15246016034083</v>
      </c>
      <c r="G706" s="67">
        <f>E706/'Lookup Tables'!$C$48</f>
        <v>301.46443215878884</v>
      </c>
      <c r="H706" s="70">
        <f t="shared" si="66"/>
        <v>3.5700559399000117E-2</v>
      </c>
      <c r="I706" s="71">
        <f t="shared" si="70"/>
        <v>0.43410878230865596</v>
      </c>
      <c r="L706" s="74"/>
      <c r="M706" s="74"/>
      <c r="N706" s="74"/>
      <c r="O706" s="74"/>
      <c r="P706" s="74"/>
      <c r="Q706" s="74"/>
      <c r="R706" s="74"/>
      <c r="S706" s="74"/>
      <c r="T706" s="74"/>
      <c r="U706" s="74"/>
      <c r="V706" s="74"/>
      <c r="W706" s="74"/>
      <c r="X706" s="74"/>
      <c r="Y706" s="74"/>
      <c r="Z706" s="74"/>
    </row>
    <row r="707" spans="1:26" x14ac:dyDescent="0.3">
      <c r="A707" s="66">
        <f t="shared" si="68"/>
        <v>2059.9999999999363</v>
      </c>
      <c r="B707" s="67">
        <f>LOOKUP(A707+0.01,Amounts!$A$4:$A$103,Amounts!$B$4:$B$103)*0.1*$A$2</f>
        <v>0</v>
      </c>
      <c r="C707" s="68">
        <f t="shared" si="67"/>
        <v>2219148.7781994981</v>
      </c>
      <c r="D707" s="67">
        <f t="array" ref="D707">SUM($B$7:$B702*$F$1009*EXP(-$F$1009*($A707-$A$7:$A702)))*$F$1010</f>
        <v>78844855.296193182</v>
      </c>
      <c r="E707" s="67">
        <f t="shared" si="65"/>
        <v>150.31075619356645</v>
      </c>
      <c r="F707" s="70">
        <f t="shared" si="69"/>
        <v>9.1268691160733546</v>
      </c>
      <c r="G707" s="67">
        <f>E707/'Lookup Tables'!$C$48</f>
        <v>300.6215123871329</v>
      </c>
      <c r="H707" s="70">
        <f t="shared" si="66"/>
        <v>3.560073764835079E-2</v>
      </c>
      <c r="I707" s="71">
        <f t="shared" si="70"/>
        <v>0.43289497783747138</v>
      </c>
      <c r="L707" s="74"/>
      <c r="M707" s="74"/>
      <c r="N707" s="74"/>
      <c r="O707" s="74"/>
      <c r="P707" s="74"/>
      <c r="Q707" s="74"/>
      <c r="R707" s="74"/>
      <c r="S707" s="74"/>
      <c r="T707" s="74"/>
      <c r="U707" s="74"/>
      <c r="V707" s="74"/>
      <c r="W707" s="74"/>
      <c r="X707" s="74"/>
      <c r="Y707" s="74"/>
      <c r="Z707" s="74"/>
    </row>
    <row r="708" spans="1:26" x14ac:dyDescent="0.3">
      <c r="A708" s="66">
        <f t="shared" si="68"/>
        <v>2060.0999999999362</v>
      </c>
      <c r="B708" s="67">
        <f>LOOKUP(A708+0.01,Amounts!$A$4:$A$103,Amounts!$B$4:$B$103)*0.1*$A$2</f>
        <v>0</v>
      </c>
      <c r="C708" s="68">
        <f t="shared" si="67"/>
        <v>2219148.7781994981</v>
      </c>
      <c r="D708" s="67">
        <f t="array" ref="D708">SUM($B$7:$B703*$F$1009*EXP(-$F$1009*($A708-$A$7:$A703)))*$F$1010</f>
        <v>78624398.484931558</v>
      </c>
      <c r="E708" s="67">
        <f t="shared" si="65"/>
        <v>149.89047474483689</v>
      </c>
      <c r="F708" s="70">
        <f t="shared" si="69"/>
        <v>9.1013496265064955</v>
      </c>
      <c r="G708" s="67">
        <f>E708/'Lookup Tables'!$C$48</f>
        <v>299.78094948967379</v>
      </c>
      <c r="H708" s="70">
        <f t="shared" si="66"/>
        <v>3.5501195007666964E-2</v>
      </c>
      <c r="I708" s="71">
        <f t="shared" si="70"/>
        <v>0.43168456726513021</v>
      </c>
      <c r="L708" s="74"/>
      <c r="M708" s="74"/>
      <c r="N708" s="74"/>
      <c r="O708" s="74"/>
      <c r="P708" s="74"/>
      <c r="Q708" s="74"/>
      <c r="R708" s="74"/>
      <c r="S708" s="74"/>
      <c r="T708" s="74"/>
      <c r="U708" s="74"/>
      <c r="V708" s="74"/>
      <c r="W708" s="74"/>
      <c r="X708" s="74"/>
      <c r="Y708" s="74"/>
      <c r="Z708" s="74"/>
    </row>
    <row r="709" spans="1:26" x14ac:dyDescent="0.3">
      <c r="A709" s="66">
        <f t="shared" si="68"/>
        <v>2060.1999999999362</v>
      </c>
      <c r="B709" s="67">
        <f>LOOKUP(A709+0.01,Amounts!$A$4:$A$103,Amounts!$B$4:$B$103)*0.1*$A$2</f>
        <v>0</v>
      </c>
      <c r="C709" s="68">
        <f t="shared" si="67"/>
        <v>2219148.7781994981</v>
      </c>
      <c r="D709" s="67">
        <f t="array" ref="D709">SUM($B$7:$B704*$F$1009*EXP(-$F$1009*($A709-$A$7:$A704)))*$F$1010</f>
        <v>78404558.089356795</v>
      </c>
      <c r="E709" s="67">
        <f t="shared" si="65"/>
        <v>149.47136843819712</v>
      </c>
      <c r="F709" s="70">
        <f t="shared" si="69"/>
        <v>9.0759014915673291</v>
      </c>
      <c r="G709" s="67">
        <f>E709/'Lookup Tables'!$C$48</f>
        <v>298.94273687639424</v>
      </c>
      <c r="H709" s="70">
        <f t="shared" si="66"/>
        <v>3.540193069653385E-2</v>
      </c>
      <c r="I709" s="71">
        <f t="shared" si="70"/>
        <v>0.4304775411020077</v>
      </c>
      <c r="L709" s="74"/>
      <c r="M709" s="74"/>
      <c r="N709" s="74"/>
      <c r="O709" s="74"/>
      <c r="P709" s="74"/>
      <c r="Q709" s="74"/>
      <c r="R709" s="74"/>
      <c r="S709" s="74"/>
      <c r="T709" s="74"/>
      <c r="U709" s="74"/>
      <c r="V709" s="74"/>
      <c r="W709" s="74"/>
      <c r="X709" s="74"/>
      <c r="Y709" s="74"/>
      <c r="Z709" s="74"/>
    </row>
    <row r="710" spans="1:26" x14ac:dyDescent="0.3">
      <c r="A710" s="66">
        <f t="shared" si="68"/>
        <v>2060.2999999999361</v>
      </c>
      <c r="B710" s="67">
        <f>LOOKUP(A710+0.01,Amounts!$A$4:$A$103,Amounts!$B$4:$B$103)*0.1*$A$2</f>
        <v>0</v>
      </c>
      <c r="C710" s="68">
        <f t="shared" si="67"/>
        <v>2219148.7781994981</v>
      </c>
      <c r="D710" s="67">
        <f t="array" ref="D710">SUM($B$7:$B705*$F$1009*EXP(-$F$1009*($A710-$A$7:$A705)))*$F$1010</f>
        <v>78185332.385919049</v>
      </c>
      <c r="E710" s="67">
        <f t="shared" si="65"/>
        <v>149.05343398785152</v>
      </c>
      <c r="F710" s="70">
        <f t="shared" si="69"/>
        <v>9.0505245117423438</v>
      </c>
      <c r="G710" s="67">
        <f>E710/'Lookup Tables'!$C$48</f>
        <v>298.10686797570304</v>
      </c>
      <c r="H710" s="70">
        <f t="shared" si="66"/>
        <v>3.5302943936718734E-2</v>
      </c>
      <c r="I710" s="71">
        <f t="shared" si="70"/>
        <v>0.42927388988501242</v>
      </c>
      <c r="L710" s="74"/>
      <c r="M710" s="74"/>
      <c r="N710" s="74"/>
      <c r="O710" s="74"/>
      <c r="P710" s="74"/>
      <c r="Q710" s="74"/>
      <c r="R710" s="74"/>
      <c r="S710" s="74"/>
      <c r="T710" s="74"/>
      <c r="U710" s="74"/>
      <c r="V710" s="74"/>
      <c r="W710" s="74"/>
      <c r="X710" s="74"/>
      <c r="Y710" s="74"/>
      <c r="Z710" s="74"/>
    </row>
    <row r="711" spans="1:26" x14ac:dyDescent="0.3">
      <c r="A711" s="66">
        <f t="shared" si="68"/>
        <v>2060.399999999936</v>
      </c>
      <c r="B711" s="67">
        <f>LOOKUP(A711+0.01,Amounts!$A$4:$A$103,Amounts!$B$4:$B$103)*0.1*$A$2</f>
        <v>0</v>
      </c>
      <c r="C711" s="68">
        <f t="shared" si="67"/>
        <v>2219148.7781994981</v>
      </c>
      <c r="D711" s="67">
        <f t="array" ref="D711">SUM($B$7:$B706*$F$1009*EXP(-$F$1009*($A711-$A$7:$A706)))*$F$1010</f>
        <v>77966719.655887678</v>
      </c>
      <c r="E711" s="67">
        <f t="shared" ref="E711:E774" si="71">D711/(365*24*60)*1.00201</f>
        <v>148.63666811719182</v>
      </c>
      <c r="F711" s="70">
        <f t="shared" si="69"/>
        <v>9.0252184880758879</v>
      </c>
      <c r="G711" s="67">
        <f>E711/'Lookup Tables'!$C$48</f>
        <v>297.27333623438363</v>
      </c>
      <c r="H711" s="70">
        <f t="shared" ref="H711:H774" si="72">G711*60*24*365/(C711*2000)</f>
        <v>3.5204233952164897E-2</v>
      </c>
      <c r="I711" s="71">
        <f t="shared" si="70"/>
        <v>0.42807360417751245</v>
      </c>
      <c r="L711" s="74"/>
      <c r="M711" s="74"/>
      <c r="N711" s="74"/>
      <c r="O711" s="74"/>
      <c r="P711" s="74"/>
      <c r="Q711" s="74"/>
      <c r="R711" s="74"/>
      <c r="S711" s="74"/>
      <c r="T711" s="74"/>
      <c r="U711" s="74"/>
      <c r="V711" s="74"/>
      <c r="W711" s="74"/>
      <c r="X711" s="74"/>
      <c r="Y711" s="74"/>
      <c r="Z711" s="74"/>
    </row>
    <row r="712" spans="1:26" x14ac:dyDescent="0.3">
      <c r="A712" s="66">
        <f t="shared" si="68"/>
        <v>2060.4999999999359</v>
      </c>
      <c r="B712" s="67">
        <f>LOOKUP(A712+0.01,Amounts!$A$4:$A$103,Amounts!$B$4:$B$103)*0.1*$A$2</f>
        <v>0</v>
      </c>
      <c r="C712" s="68">
        <f t="shared" si="67"/>
        <v>2219148.7781994981</v>
      </c>
      <c r="D712" s="67">
        <f t="array" ref="D712">SUM($B$7:$B707*$F$1009*EXP(-$F$1009*($A712-$A$7:$A707)))*$F$1010</f>
        <v>77748718.185337767</v>
      </c>
      <c r="E712" s="67">
        <f t="shared" si="71"/>
        <v>148.22106755877149</v>
      </c>
      <c r="F712" s="70">
        <f t="shared" si="69"/>
        <v>8.9999832221686038</v>
      </c>
      <c r="G712" s="67">
        <f>E712/'Lookup Tables'!$C$48</f>
        <v>296.44213511754299</v>
      </c>
      <c r="H712" s="70">
        <f t="shared" si="72"/>
        <v>3.5105799968985558E-2</v>
      </c>
      <c r="I712" s="71">
        <f t="shared" si="70"/>
        <v>0.42687667456926182</v>
      </c>
      <c r="L712" s="74"/>
      <c r="M712" s="74"/>
      <c r="N712" s="74"/>
      <c r="O712" s="74"/>
      <c r="P712" s="74"/>
      <c r="Q712" s="74"/>
      <c r="R712" s="74"/>
      <c r="S712" s="74"/>
      <c r="T712" s="74"/>
      <c r="U712" s="74"/>
      <c r="V712" s="74"/>
      <c r="W712" s="74"/>
      <c r="X712" s="74"/>
      <c r="Y712" s="74"/>
      <c r="Z712" s="74"/>
    </row>
    <row r="713" spans="1:26" x14ac:dyDescent="0.3">
      <c r="A713" s="66">
        <f t="shared" si="68"/>
        <v>2060.5999999999358</v>
      </c>
      <c r="B713" s="67">
        <f>LOOKUP(A713+0.01,Amounts!$A$4:$A$103,Amounts!$B$4:$B$103)*0.1*$A$2</f>
        <v>0</v>
      </c>
      <c r="C713" s="68">
        <f t="shared" ref="C713:C776" si="73">C712+B713</f>
        <v>2219148.7781994981</v>
      </c>
      <c r="D713" s="67">
        <f t="array" ref="D713">SUM($B$7:$B708*$F$1009*EXP(-$F$1009*($A713-$A$7:$A708)))*$F$1010</f>
        <v>77531326.265136659</v>
      </c>
      <c r="E713" s="67">
        <f t="shared" si="71"/>
        <v>147.80662905428005</v>
      </c>
      <c r="F713" s="70">
        <f t="shared" si="69"/>
        <v>8.9748185161758851</v>
      </c>
      <c r="G713" s="67">
        <f>E713/'Lookup Tables'!$C$48</f>
        <v>295.6132581085601</v>
      </c>
      <c r="H713" s="70">
        <f t="shared" si="72"/>
        <v>3.500764121545781E-2</v>
      </c>
      <c r="I713" s="71">
        <f t="shared" si="70"/>
        <v>0.42568309167632651</v>
      </c>
      <c r="L713" s="74"/>
      <c r="M713" s="74"/>
      <c r="N713" s="74"/>
      <c r="O713" s="74"/>
      <c r="P713" s="74"/>
      <c r="Q713" s="74"/>
      <c r="R713" s="74"/>
      <c r="S713" s="74"/>
      <c r="T713" s="74"/>
      <c r="U713" s="74"/>
      <c r="V713" s="74"/>
      <c r="W713" s="74"/>
      <c r="X713" s="74"/>
      <c r="Y713" s="74"/>
      <c r="Z713" s="74"/>
    </row>
    <row r="714" spans="1:26" x14ac:dyDescent="0.3">
      <c r="A714" s="66">
        <f t="shared" si="68"/>
        <v>2060.6999999999357</v>
      </c>
      <c r="B714" s="67">
        <f>LOOKUP(A714+0.01,Amounts!$A$4:$A$103,Amounts!$B$4:$B$103)*0.1*$A$2</f>
        <v>0</v>
      </c>
      <c r="C714" s="68">
        <f t="shared" si="73"/>
        <v>2219148.7781994981</v>
      </c>
      <c r="D714" s="67">
        <f t="array" ref="D714">SUM($B$7:$B709*$F$1009*EXP(-$F$1009*($A714-$A$7:$A709)))*$F$1010</f>
        <v>77314542.19093062</v>
      </c>
      <c r="E714" s="67">
        <f t="shared" si="71"/>
        <v>147.39334935451748</v>
      </c>
      <c r="F714" s="70">
        <f t="shared" si="69"/>
        <v>8.9497241728063024</v>
      </c>
      <c r="G714" s="67">
        <f>E714/'Lookup Tables'!$C$48</f>
        <v>294.78669870903497</v>
      </c>
      <c r="H714" s="70">
        <f t="shared" si="72"/>
        <v>3.4909756922016505E-2</v>
      </c>
      <c r="I714" s="71">
        <f t="shared" si="70"/>
        <v>0.4244928461410104</v>
      </c>
      <c r="L714" s="74"/>
      <c r="M714" s="74"/>
      <c r="N714" s="74"/>
      <c r="O714" s="74"/>
      <c r="P714" s="74"/>
      <c r="Q714" s="74"/>
      <c r="R714" s="74"/>
      <c r="S714" s="74"/>
      <c r="T714" s="74"/>
      <c r="U714" s="74"/>
      <c r="V714" s="74"/>
      <c r="W714" s="74"/>
      <c r="X714" s="74"/>
      <c r="Y714" s="74"/>
      <c r="Z714" s="74"/>
    </row>
    <row r="715" spans="1:26" x14ac:dyDescent="0.3">
      <c r="A715" s="66">
        <f t="shared" si="68"/>
        <v>2060.7999999999356</v>
      </c>
      <c r="B715" s="67">
        <f>LOOKUP(A715+0.01,Amounts!$A$4:$A$103,Amounts!$B$4:$B$103)*0.1*$A$2</f>
        <v>0</v>
      </c>
      <c r="C715" s="68">
        <f t="shared" si="73"/>
        <v>2219148.7781994981</v>
      </c>
      <c r="D715" s="67">
        <f t="array" ref="D715">SUM($B$7:$B710*$F$1009*EXP(-$F$1009*($A715-$A$7:$A710)))*$F$1010</f>
        <v>77098364.263131335</v>
      </c>
      <c r="E715" s="67">
        <f t="shared" si="71"/>
        <v>146.98122521936878</v>
      </c>
      <c r="F715" s="70">
        <f t="shared" si="69"/>
        <v>8.9246999953200721</v>
      </c>
      <c r="G715" s="67">
        <f>E715/'Lookup Tables'!$C$48</f>
        <v>293.96245043873756</v>
      </c>
      <c r="H715" s="70">
        <f t="shared" si="72"/>
        <v>3.4812146321248259E-2</v>
      </c>
      <c r="I715" s="71">
        <f t="shared" si="70"/>
        <v>0.42330592863178207</v>
      </c>
      <c r="L715" s="74"/>
      <c r="M715" s="74"/>
      <c r="N715" s="74"/>
      <c r="O715" s="74"/>
      <c r="P715" s="74"/>
      <c r="Q715" s="74"/>
      <c r="R715" s="74"/>
      <c r="S715" s="74"/>
      <c r="T715" s="74"/>
      <c r="U715" s="74"/>
      <c r="V715" s="74"/>
      <c r="W715" s="74"/>
      <c r="X715" s="74"/>
      <c r="Y715" s="74"/>
      <c r="Z715" s="74"/>
    </row>
    <row r="716" spans="1:26" x14ac:dyDescent="0.3">
      <c r="A716" s="66">
        <f t="shared" si="68"/>
        <v>2060.8999999999355</v>
      </c>
      <c r="B716" s="67">
        <f>LOOKUP(A716+0.01,Amounts!$A$4:$A$103,Amounts!$B$4:$B$103)*0.1*$A$2</f>
        <v>0</v>
      </c>
      <c r="C716" s="68">
        <f t="shared" si="73"/>
        <v>2219148.7781994981</v>
      </c>
      <c r="D716" s="67">
        <f t="array" ref="D716">SUM($B$7:$B711*$F$1009*EXP(-$F$1009*($A716-$A$7:$A711)))*$F$1010</f>
        <v>76882790.786902815</v>
      </c>
      <c r="E716" s="67">
        <f t="shared" si="71"/>
        <v>146.57025341777873</v>
      </c>
      <c r="F716" s="70">
        <f t="shared" si="69"/>
        <v>8.8997457875275252</v>
      </c>
      <c r="G716" s="67">
        <f>E716/'Lookup Tables'!$C$48</f>
        <v>293.14050683555746</v>
      </c>
      <c r="H716" s="70">
        <f t="shared" si="72"/>
        <v>3.4714808647885509E-2</v>
      </c>
      <c r="I716" s="71">
        <f t="shared" si="70"/>
        <v>0.4221223298432028</v>
      </c>
      <c r="L716" s="74"/>
      <c r="M716" s="74"/>
      <c r="N716" s="74"/>
      <c r="O716" s="74"/>
      <c r="P716" s="74"/>
      <c r="Q716" s="74"/>
      <c r="R716" s="74"/>
      <c r="S716" s="74"/>
      <c r="T716" s="74"/>
      <c r="U716" s="74"/>
      <c r="V716" s="74"/>
      <c r="W716" s="74"/>
      <c r="X716" s="74"/>
      <c r="Y716" s="74"/>
      <c r="Z716" s="74"/>
    </row>
    <row r="717" spans="1:26" x14ac:dyDescent="0.3">
      <c r="A717" s="66">
        <f t="shared" si="68"/>
        <v>2060.9999999999354</v>
      </c>
      <c r="B717" s="67">
        <f>LOOKUP(A717+0.01,Amounts!$A$4:$A$103,Amounts!$B$4:$B$103)*0.1*$A$2</f>
        <v>0</v>
      </c>
      <c r="C717" s="68">
        <f t="shared" si="73"/>
        <v>2219148.7781994981</v>
      </c>
      <c r="D717" s="67">
        <f t="array" ref="D717">SUM($B$7:$B712*$F$1009*EXP(-$F$1009*($A717-$A$7:$A712)))*$F$1010</f>
        <v>76667820.072147846</v>
      </c>
      <c r="E717" s="67">
        <f t="shared" si="71"/>
        <v>146.16043072772615</v>
      </c>
      <c r="F717" s="70">
        <f t="shared" si="69"/>
        <v>8.8748613537875318</v>
      </c>
      <c r="G717" s="67">
        <f>E717/'Lookup Tables'!$C$48</f>
        <v>292.3208614554523</v>
      </c>
      <c r="H717" s="70">
        <f t="shared" si="72"/>
        <v>3.461774313880036E-2</v>
      </c>
      <c r="I717" s="71">
        <f t="shared" si="70"/>
        <v>0.42094204049585132</v>
      </c>
      <c r="L717" s="74"/>
      <c r="M717" s="74"/>
      <c r="N717" s="74"/>
      <c r="O717" s="74"/>
      <c r="P717" s="74"/>
      <c r="Q717" s="74"/>
      <c r="R717" s="74"/>
      <c r="S717" s="74"/>
      <c r="T717" s="74"/>
      <c r="U717" s="74"/>
      <c r="V717" s="74"/>
      <c r="W717" s="74"/>
      <c r="X717" s="74"/>
      <c r="Y717" s="74"/>
      <c r="Z717" s="74"/>
    </row>
    <row r="718" spans="1:26" x14ac:dyDescent="0.3">
      <c r="A718" s="66">
        <f t="shared" si="68"/>
        <v>2061.0999999999353</v>
      </c>
      <c r="B718" s="67">
        <f>LOOKUP(A718+0.01,Amounts!$A$4:$A$103,Amounts!$B$4:$B$103)*0.1*$A$2</f>
        <v>0</v>
      </c>
      <c r="C718" s="68">
        <f t="shared" si="73"/>
        <v>2219148.7781994981</v>
      </c>
      <c r="D718" s="67">
        <f t="array" ref="D718">SUM($B$7:$B713*$F$1009*EXP(-$F$1009*($A718-$A$7:$A713)))*$F$1010</f>
        <v>76453450.43349494</v>
      </c>
      <c r="E718" s="67">
        <f t="shared" si="71"/>
        <v>145.75175393619915</v>
      </c>
      <c r="F718" s="70">
        <f t="shared" si="69"/>
        <v>8.8500464990060124</v>
      </c>
      <c r="G718" s="67">
        <f>E718/'Lookup Tables'!$C$48</f>
        <v>291.5035078723983</v>
      </c>
      <c r="H718" s="70">
        <f t="shared" si="72"/>
        <v>3.4520949032998724E-2</v>
      </c>
      <c r="I718" s="71">
        <f t="shared" si="70"/>
        <v>0.41976505133625353</v>
      </c>
      <c r="L718" s="74"/>
      <c r="M718" s="74"/>
      <c r="N718" s="74"/>
      <c r="O718" s="74"/>
      <c r="P718" s="74"/>
      <c r="Q718" s="74"/>
      <c r="R718" s="74"/>
      <c r="S718" s="74"/>
      <c r="T718" s="74"/>
      <c r="U718" s="74"/>
      <c r="V718" s="74"/>
      <c r="W718" s="74"/>
      <c r="X718" s="74"/>
      <c r="Y718" s="74"/>
      <c r="Z718" s="74"/>
    </row>
    <row r="719" spans="1:26" x14ac:dyDescent="0.3">
      <c r="A719" s="66">
        <f t="shared" si="68"/>
        <v>2061.1999999999352</v>
      </c>
      <c r="B719" s="67">
        <f>LOOKUP(A719+0.01,Amounts!$A$4:$A$103,Amounts!$B$4:$B$103)*0.1*$A$2</f>
        <v>0</v>
      </c>
      <c r="C719" s="68">
        <f t="shared" si="73"/>
        <v>2219148.7781994981</v>
      </c>
      <c r="D719" s="67">
        <f t="array" ref="D719">SUM($B$7:$B714*$F$1009*EXP(-$F$1009*($A719-$A$7:$A714)))*$F$1010</f>
        <v>76239680.190285072</v>
      </c>
      <c r="E719" s="67">
        <f t="shared" si="71"/>
        <v>145.34421983916963</v>
      </c>
      <c r="F719" s="70">
        <f t="shared" si="69"/>
        <v>8.8253010286343798</v>
      </c>
      <c r="G719" s="67">
        <f>E719/'Lookup Tables'!$C$48</f>
        <v>290.68843967833925</v>
      </c>
      <c r="H719" s="70">
        <f t="shared" si="72"/>
        <v>3.4424425571614362E-2</v>
      </c>
      <c r="I719" s="71">
        <f t="shared" si="70"/>
        <v>0.41859135313680856</v>
      </c>
      <c r="L719" s="74"/>
      <c r="M719" s="74"/>
      <c r="N719" s="74"/>
      <c r="O719" s="74"/>
      <c r="P719" s="74"/>
      <c r="Q719" s="74"/>
      <c r="R719" s="74"/>
      <c r="S719" s="74"/>
      <c r="T719" s="74"/>
      <c r="U719" s="74"/>
      <c r="V719" s="74"/>
      <c r="W719" s="74"/>
      <c r="X719" s="74"/>
      <c r="Y719" s="74"/>
      <c r="Z719" s="74"/>
    </row>
    <row r="720" spans="1:26" x14ac:dyDescent="0.3">
      <c r="A720" s="66">
        <f t="shared" si="68"/>
        <v>2061.2999999999352</v>
      </c>
      <c r="B720" s="67">
        <f>LOOKUP(A720+0.01,Amounts!$A$4:$A$103,Amounts!$B$4:$B$103)*0.1*$A$2</f>
        <v>0</v>
      </c>
      <c r="C720" s="68">
        <f t="shared" si="73"/>
        <v>2219148.7781994981</v>
      </c>
      <c r="D720" s="67">
        <f t="array" ref="D720">SUM($B$7:$B715*$F$1009*EXP(-$F$1009*($A720-$A$7:$A715)))*$F$1010</f>
        <v>76026507.6665584</v>
      </c>
      <c r="E720" s="67">
        <f t="shared" si="71"/>
        <v>144.93782524156808</v>
      </c>
      <c r="F720" s="70">
        <f t="shared" si="69"/>
        <v>8.8006247486680138</v>
      </c>
      <c r="G720" s="67">
        <f>E720/'Lookup Tables'!$C$48</f>
        <v>289.87565048313616</v>
      </c>
      <c r="H720" s="70">
        <f t="shared" si="72"/>
        <v>3.4328171997902779E-2</v>
      </c>
      <c r="I720" s="71">
        <f t="shared" si="70"/>
        <v>0.41742093669571606</v>
      </c>
      <c r="L720" s="74"/>
      <c r="M720" s="74"/>
      <c r="N720" s="74"/>
      <c r="O720" s="74"/>
      <c r="P720" s="74"/>
      <c r="Q720" s="74"/>
      <c r="R720" s="74"/>
      <c r="S720" s="74"/>
      <c r="T720" s="74"/>
      <c r="U720" s="74"/>
      <c r="V720" s="74"/>
      <c r="W720" s="74"/>
      <c r="X720" s="74"/>
      <c r="Y720" s="74"/>
      <c r="Z720" s="74"/>
    </row>
    <row r="721" spans="1:26" x14ac:dyDescent="0.3">
      <c r="A721" s="66">
        <f t="shared" si="68"/>
        <v>2061.3999999999351</v>
      </c>
      <c r="B721" s="67">
        <f>LOOKUP(A721+0.01,Amounts!$A$4:$A$103,Amounts!$B$4:$B$103)*0.1*$A$2</f>
        <v>0</v>
      </c>
      <c r="C721" s="68">
        <f t="shared" si="73"/>
        <v>2219148.7781994981</v>
      </c>
      <c r="D721" s="67">
        <f t="array" ref="D721">SUM($B$7:$B716*$F$1009*EXP(-$F$1009*($A721-$A$7:$A716)))*$F$1010</f>
        <v>75813931.191041246</v>
      </c>
      <c r="E721" s="67">
        <f t="shared" si="71"/>
        <v>144.53256695725884</v>
      </c>
      <c r="F721" s="70">
        <f t="shared" si="69"/>
        <v>8.776017465644756</v>
      </c>
      <c r="G721" s="67">
        <f>E721/'Lookup Tables'!$C$48</f>
        <v>289.06513391451767</v>
      </c>
      <c r="H721" s="70">
        <f t="shared" si="72"/>
        <v>3.4232187557235505E-2</v>
      </c>
      <c r="I721" s="71">
        <f t="shared" si="70"/>
        <v>0.41625379283690545</v>
      </c>
      <c r="L721" s="74"/>
      <c r="M721" s="74"/>
      <c r="N721" s="74"/>
      <c r="O721" s="74"/>
      <c r="P721" s="74"/>
      <c r="Q721" s="74"/>
      <c r="R721" s="74"/>
      <c r="S721" s="74"/>
      <c r="T721" s="74"/>
      <c r="U721" s="74"/>
      <c r="V721" s="74"/>
      <c r="W721" s="74"/>
      <c r="X721" s="74"/>
      <c r="Y721" s="74"/>
      <c r="Z721" s="74"/>
    </row>
    <row r="722" spans="1:26" x14ac:dyDescent="0.3">
      <c r="A722" s="66">
        <f t="shared" si="68"/>
        <v>2061.499999999935</v>
      </c>
      <c r="B722" s="67">
        <f>LOOKUP(A722+0.01,Amounts!$A$4:$A$103,Amounts!$B$4:$B$103)*0.1*$A$2</f>
        <v>0</v>
      </c>
      <c r="C722" s="68">
        <f t="shared" si="73"/>
        <v>2219148.7781994981</v>
      </c>
      <c r="D722" s="67">
        <f t="array" ref="D722">SUM($B$7:$B717*$F$1009*EXP(-$F$1009*($A722-$A$7:$A717)))*$F$1010</f>
        <v>75601949.097132936</v>
      </c>
      <c r="E722" s="67">
        <f t="shared" si="71"/>
        <v>144.12844180901479</v>
      </c>
      <c r="F722" s="70">
        <f t="shared" si="69"/>
        <v>8.7514789866433773</v>
      </c>
      <c r="G722" s="67">
        <f>E722/'Lookup Tables'!$C$48</f>
        <v>288.25688361802958</v>
      </c>
      <c r="H722" s="70">
        <f t="shared" si="72"/>
        <v>3.4136471497094006E-2</v>
      </c>
      <c r="I722" s="71">
        <f t="shared" si="70"/>
        <v>0.41508991240996257</v>
      </c>
      <c r="L722" s="74"/>
      <c r="M722" s="74"/>
      <c r="N722" s="74"/>
      <c r="O722" s="74"/>
      <c r="P722" s="74"/>
      <c r="Q722" s="74"/>
      <c r="R722" s="74"/>
      <c r="S722" s="74"/>
      <c r="T722" s="74"/>
      <c r="U722" s="74"/>
      <c r="V722" s="74"/>
      <c r="W722" s="74"/>
      <c r="X722" s="74"/>
      <c r="Y722" s="74"/>
      <c r="Z722" s="74"/>
    </row>
    <row r="723" spans="1:26" x14ac:dyDescent="0.3">
      <c r="A723" s="66">
        <f t="shared" ref="A723:A786" si="74">A722+0.1</f>
        <v>2061.5999999999349</v>
      </c>
      <c r="B723" s="67">
        <f>LOOKUP(A723+0.01,Amounts!$A$4:$A$103,Amounts!$B$4:$B$103)*0.1*$A$2</f>
        <v>0</v>
      </c>
      <c r="C723" s="68">
        <f t="shared" si="73"/>
        <v>2219148.7781994981</v>
      </c>
      <c r="D723" s="67">
        <f t="array" ref="D723">SUM($B$7:$B718*$F$1009*EXP(-$F$1009*($A723-$A$7:$A718)))*$F$1010</f>
        <v>75390559.722892806</v>
      </c>
      <c r="E723" s="67">
        <f t="shared" si="71"/>
        <v>143.72544662849282</v>
      </c>
      <c r="F723" s="70">
        <f t="shared" ref="F723:F786" si="75">E723*60*1012/1000000</f>
        <v>8.7270091192820836</v>
      </c>
      <c r="G723" s="67">
        <f>E723/'Lookup Tables'!$C$48</f>
        <v>287.45089325698564</v>
      </c>
      <c r="H723" s="70">
        <f t="shared" si="72"/>
        <v>3.4041023067063914E-2</v>
      </c>
      <c r="I723" s="71">
        <f t="shared" ref="I723:I786" si="76">G723*60*24/1000000</f>
        <v>0.41392928629005926</v>
      </c>
      <c r="L723" s="74"/>
      <c r="M723" s="74"/>
      <c r="N723" s="74"/>
      <c r="O723" s="74"/>
      <c r="P723" s="74"/>
      <c r="Q723" s="74"/>
      <c r="R723" s="74"/>
      <c r="S723" s="74"/>
      <c r="T723" s="74"/>
      <c r="U723" s="74"/>
      <c r="V723" s="74"/>
      <c r="W723" s="74"/>
      <c r="X723" s="74"/>
      <c r="Y723" s="74"/>
      <c r="Z723" s="74"/>
    </row>
    <row r="724" spans="1:26" x14ac:dyDescent="0.3">
      <c r="A724" s="66">
        <f t="shared" si="74"/>
        <v>2061.6999999999348</v>
      </c>
      <c r="B724" s="67">
        <f>LOOKUP(A724+0.01,Amounts!$A$4:$A$103,Amounts!$B$4:$B$103)*0.1*$A$2</f>
        <v>0</v>
      </c>
      <c r="C724" s="68">
        <f t="shared" si="73"/>
        <v>2219148.7781994981</v>
      </c>
      <c r="D724" s="67">
        <f t="array" ref="D724">SUM($B$7:$B719*$F$1009*EXP(-$F$1009*($A724-$A$7:$A719)))*$F$1010</f>
        <v>75179761.411027029</v>
      </c>
      <c r="E724" s="67">
        <f t="shared" si="71"/>
        <v>143.32357825620852</v>
      </c>
      <c r="F724" s="70">
        <f t="shared" si="75"/>
        <v>8.7026076717169811</v>
      </c>
      <c r="G724" s="67">
        <f>E724/'Lookup Tables'!$C$48</f>
        <v>286.64715651241704</v>
      </c>
      <c r="H724" s="70">
        <f t="shared" si="72"/>
        <v>3.3945841518829012E-2</v>
      </c>
      <c r="I724" s="71">
        <f t="shared" si="76"/>
        <v>0.4127719053778805</v>
      </c>
      <c r="L724" s="74"/>
      <c r="M724" s="74"/>
      <c r="N724" s="74"/>
      <c r="O724" s="74"/>
      <c r="P724" s="74"/>
      <c r="Q724" s="74"/>
      <c r="R724" s="74"/>
      <c r="S724" s="74"/>
      <c r="T724" s="74"/>
      <c r="U724" s="74"/>
      <c r="V724" s="74"/>
      <c r="W724" s="74"/>
      <c r="X724" s="74"/>
      <c r="Y724" s="74"/>
      <c r="Z724" s="74"/>
    </row>
    <row r="725" spans="1:26" x14ac:dyDescent="0.3">
      <c r="A725" s="66">
        <f t="shared" si="74"/>
        <v>2061.7999999999347</v>
      </c>
      <c r="B725" s="67">
        <f>LOOKUP(A725+0.01,Amounts!$A$4:$A$103,Amounts!$B$4:$B$103)*0.1*$A$2</f>
        <v>0</v>
      </c>
      <c r="C725" s="68">
        <f t="shared" si="73"/>
        <v>2219148.7781994981</v>
      </c>
      <c r="D725" s="67">
        <f t="array" ref="D725">SUM($B$7:$B720*$F$1009*EXP(-$F$1009*($A725-$A$7:$A720)))*$F$1010</f>
        <v>74969552.508875832</v>
      </c>
      <c r="E725" s="67">
        <f t="shared" si="71"/>
        <v>142.92283354151195</v>
      </c>
      <c r="F725" s="70">
        <f t="shared" si="75"/>
        <v>8.6782744526406059</v>
      </c>
      <c r="G725" s="67">
        <f>E725/'Lookup Tables'!$C$48</f>
        <v>285.8456670830239</v>
      </c>
      <c r="H725" s="70">
        <f t="shared" si="72"/>
        <v>3.3850926106165503E-2</v>
      </c>
      <c r="I725" s="71">
        <f t="shared" si="76"/>
        <v>0.41161776059955441</v>
      </c>
      <c r="L725" s="74"/>
      <c r="M725" s="74"/>
      <c r="N725" s="74"/>
      <c r="O725" s="74"/>
      <c r="P725" s="74"/>
      <c r="Q725" s="74"/>
      <c r="R725" s="74"/>
      <c r="S725" s="74"/>
      <c r="T725" s="74"/>
      <c r="U725" s="74"/>
      <c r="V725" s="74"/>
      <c r="W725" s="74"/>
      <c r="X725" s="74"/>
      <c r="Y725" s="74"/>
      <c r="Z725" s="74"/>
    </row>
    <row r="726" spans="1:26" x14ac:dyDescent="0.3">
      <c r="A726" s="66">
        <f t="shared" si="74"/>
        <v>2061.8999999999346</v>
      </c>
      <c r="B726" s="67">
        <f>LOOKUP(A726+0.01,Amounts!$A$4:$A$103,Amounts!$B$4:$B$103)*0.1*$A$2</f>
        <v>0</v>
      </c>
      <c r="C726" s="68">
        <f t="shared" si="73"/>
        <v>2219148.7781994981</v>
      </c>
      <c r="D726" s="67">
        <f t="array" ref="D726">SUM($B$7:$B721*$F$1009*EXP(-$F$1009*($A726-$A$7:$A721)))*$F$1010</f>
        <v>74759931.368400306</v>
      </c>
      <c r="E726" s="67">
        <f t="shared" si="71"/>
        <v>142.52320934256238</v>
      </c>
      <c r="F726" s="70">
        <f t="shared" si="75"/>
        <v>8.6540092712803869</v>
      </c>
      <c r="G726" s="67">
        <f>E726/'Lookup Tables'!$C$48</f>
        <v>285.04641868512476</v>
      </c>
      <c r="H726" s="70">
        <f t="shared" si="72"/>
        <v>3.3756276084936046E-2</v>
      </c>
      <c r="I726" s="71">
        <f t="shared" si="76"/>
        <v>0.41046684290657959</v>
      </c>
      <c r="L726" s="74"/>
      <c r="M726" s="74"/>
      <c r="N726" s="74"/>
      <c r="O726" s="74"/>
      <c r="P726" s="74"/>
      <c r="Q726" s="74"/>
      <c r="R726" s="74"/>
      <c r="S726" s="74"/>
      <c r="T726" s="74"/>
      <c r="U726" s="74"/>
      <c r="V726" s="74"/>
      <c r="W726" s="74"/>
      <c r="X726" s="74"/>
      <c r="Y726" s="74"/>
      <c r="Z726" s="74"/>
    </row>
    <row r="727" spans="1:26" x14ac:dyDescent="0.3">
      <c r="A727" s="66">
        <f t="shared" si="74"/>
        <v>2061.9999999999345</v>
      </c>
      <c r="B727" s="67">
        <f>LOOKUP(A727+0.01,Amounts!$A$4:$A$103,Amounts!$B$4:$B$103)*0.1*$A$2</f>
        <v>0</v>
      </c>
      <c r="C727" s="68">
        <f t="shared" si="73"/>
        <v>2219148.7781994981</v>
      </c>
      <c r="D727" s="67">
        <f t="array" ref="D727">SUM($B$7:$B722*$F$1009*EXP(-$F$1009*($A727-$A$7:$A722)))*$F$1010</f>
        <v>74550896.346169651</v>
      </c>
      <c r="E727" s="67">
        <f t="shared" si="71"/>
        <v>142.12470252630413</v>
      </c>
      <c r="F727" s="70">
        <f t="shared" si="75"/>
        <v>8.6298119373971875</v>
      </c>
      <c r="G727" s="67">
        <f>E727/'Lookup Tables'!$C$48</f>
        <v>284.24940505260827</v>
      </c>
      <c r="H727" s="70">
        <f t="shared" si="72"/>
        <v>3.3661890713084022E-2</v>
      </c>
      <c r="I727" s="71">
        <f t="shared" si="76"/>
        <v>0.40931914327575591</v>
      </c>
      <c r="L727" s="74"/>
      <c r="M727" s="74"/>
      <c r="N727" s="74"/>
      <c r="O727" s="74"/>
      <c r="P727" s="74"/>
      <c r="Q727" s="74"/>
      <c r="R727" s="74"/>
      <c r="S727" s="74"/>
      <c r="T727" s="74"/>
      <c r="U727" s="74"/>
      <c r="V727" s="74"/>
      <c r="W727" s="74"/>
      <c r="X727" s="74"/>
      <c r="Y727" s="74"/>
      <c r="Z727" s="74"/>
    </row>
    <row r="728" spans="1:26" x14ac:dyDescent="0.3">
      <c r="A728" s="66">
        <f t="shared" si="74"/>
        <v>2062.0999999999344</v>
      </c>
      <c r="B728" s="67">
        <f>LOOKUP(A728+0.01,Amounts!$A$4:$A$103,Amounts!$B$4:$B$103)*0.1*$A$2</f>
        <v>0</v>
      </c>
      <c r="C728" s="68">
        <f t="shared" si="73"/>
        <v>2219148.7781994981</v>
      </c>
      <c r="D728" s="67">
        <f t="array" ref="D728">SUM($B$7:$B723*$F$1009*EXP(-$F$1009*($A728-$A$7:$A723)))*$F$1010</f>
        <v>74342445.803348169</v>
      </c>
      <c r="E728" s="67">
        <f t="shared" si="71"/>
        <v>141.7273099684416</v>
      </c>
      <c r="F728" s="70">
        <f t="shared" si="75"/>
        <v>8.6056822612837731</v>
      </c>
      <c r="G728" s="67">
        <f>E728/'Lookup Tables'!$C$48</f>
        <v>283.4546199368832</v>
      </c>
      <c r="H728" s="70">
        <f t="shared" si="72"/>
        <v>3.3567769250627592E-2</v>
      </c>
      <c r="I728" s="71">
        <f t="shared" si="76"/>
        <v>0.4081746527091118</v>
      </c>
      <c r="L728" s="74"/>
      <c r="M728" s="74"/>
      <c r="N728" s="74"/>
      <c r="O728" s="74"/>
      <c r="P728" s="74"/>
      <c r="Q728" s="74"/>
      <c r="R728" s="74"/>
      <c r="S728" s="74"/>
      <c r="T728" s="74"/>
      <c r="U728" s="74"/>
      <c r="V728" s="74"/>
      <c r="W728" s="74"/>
      <c r="X728" s="74"/>
      <c r="Y728" s="74"/>
      <c r="Z728" s="74"/>
    </row>
    <row r="729" spans="1:26" x14ac:dyDescent="0.3">
      <c r="A729" s="66">
        <f t="shared" si="74"/>
        <v>2062.1999999999343</v>
      </c>
      <c r="B729" s="67">
        <f>LOOKUP(A729+0.01,Amounts!$A$4:$A$103,Amounts!$B$4:$B$103)*0.1*$A$2</f>
        <v>0</v>
      </c>
      <c r="C729" s="68">
        <f t="shared" si="73"/>
        <v>2219148.7781994981</v>
      </c>
      <c r="D729" s="67">
        <f t="array" ref="D729">SUM($B$7:$B724*$F$1009*EXP(-$F$1009*($A729-$A$7:$A724)))*$F$1010</f>
        <v>74134578.105682597</v>
      </c>
      <c r="E729" s="67">
        <f t="shared" si="71"/>
        <v>141.33102855341519</v>
      </c>
      <c r="F729" s="70">
        <f t="shared" si="75"/>
        <v>8.5816200537633716</v>
      </c>
      <c r="G729" s="67">
        <f>E729/'Lookup Tables'!$C$48</f>
        <v>282.66205710683039</v>
      </c>
      <c r="H729" s="70">
        <f t="shared" si="72"/>
        <v>3.3473910959654025E-2</v>
      </c>
      <c r="I729" s="71">
        <f t="shared" si="76"/>
        <v>0.40703336223383574</v>
      </c>
      <c r="L729" s="74"/>
      <c r="M729" s="74"/>
      <c r="N729" s="74"/>
      <c r="O729" s="74"/>
      <c r="P729" s="74"/>
      <c r="Q729" s="74"/>
      <c r="R729" s="74"/>
      <c r="S729" s="74"/>
      <c r="T729" s="74"/>
      <c r="U729" s="74"/>
      <c r="V729" s="74"/>
      <c r="W729" s="74"/>
      <c r="X729" s="74"/>
      <c r="Y729" s="74"/>
      <c r="Z729" s="74"/>
    </row>
    <row r="730" spans="1:26" x14ac:dyDescent="0.3">
      <c r="A730" s="66">
        <f t="shared" si="74"/>
        <v>2062.2999999999342</v>
      </c>
      <c r="B730" s="67">
        <f>LOOKUP(A730+0.01,Amounts!$A$4:$A$103,Amounts!$B$4:$B$103)*0.1*$A$2</f>
        <v>0</v>
      </c>
      <c r="C730" s="68">
        <f t="shared" si="73"/>
        <v>2219148.7781994981</v>
      </c>
      <c r="D730" s="67">
        <f t="array" ref="D730">SUM($B$7:$B725*$F$1009*EXP(-$F$1009*($A730-$A$7:$A725)))*$F$1010</f>
        <v>73927291.623489112</v>
      </c>
      <c r="E730" s="67">
        <f t="shared" si="71"/>
        <v>140.9358551743766</v>
      </c>
      <c r="F730" s="70">
        <f t="shared" si="75"/>
        <v>8.557625126188146</v>
      </c>
      <c r="G730" s="67">
        <f>E730/'Lookup Tables'!$C$48</f>
        <v>281.8717103487532</v>
      </c>
      <c r="H730" s="70">
        <f t="shared" si="72"/>
        <v>3.338031510431385E-2</v>
      </c>
      <c r="I730" s="71">
        <f t="shared" si="76"/>
        <v>0.40589526290220457</v>
      </c>
      <c r="L730" s="74"/>
      <c r="M730" s="74"/>
      <c r="N730" s="74"/>
      <c r="O730" s="74"/>
      <c r="P730" s="74"/>
      <c r="Q730" s="74"/>
      <c r="R730" s="74"/>
      <c r="S730" s="74"/>
      <c r="T730" s="74"/>
      <c r="U730" s="74"/>
      <c r="V730" s="74"/>
      <c r="W730" s="74"/>
      <c r="X730" s="74"/>
      <c r="Y730" s="74"/>
      <c r="Z730" s="74"/>
    </row>
    <row r="731" spans="1:26" x14ac:dyDescent="0.3">
      <c r="A731" s="66">
        <f t="shared" si="74"/>
        <v>2062.3999999999342</v>
      </c>
      <c r="B731" s="67">
        <f>LOOKUP(A731+0.01,Amounts!$A$4:$A$103,Amounts!$B$4:$B$103)*0.1*$A$2</f>
        <v>0</v>
      </c>
      <c r="C731" s="68">
        <f t="shared" si="73"/>
        <v>2219148.7781994981</v>
      </c>
      <c r="D731" s="67">
        <f t="array" ref="D731">SUM($B$7:$B726*$F$1009*EXP(-$F$1009*($A731-$A$7:$A726)))*$F$1010</f>
        <v>73720584.731640577</v>
      </c>
      <c r="E731" s="67">
        <f t="shared" si="71"/>
        <v>140.54178673316434</v>
      </c>
      <c r="F731" s="70">
        <f t="shared" si="75"/>
        <v>8.5336972904377397</v>
      </c>
      <c r="G731" s="67">
        <f>E731/'Lookup Tables'!$C$48</f>
        <v>281.08357346632869</v>
      </c>
      <c r="H731" s="70">
        <f t="shared" si="72"/>
        <v>3.3286980950815045E-2</v>
      </c>
      <c r="I731" s="71">
        <f t="shared" si="76"/>
        <v>0.40476034579151332</v>
      </c>
      <c r="L731" s="74"/>
      <c r="M731" s="74"/>
      <c r="N731" s="74"/>
      <c r="O731" s="74"/>
      <c r="P731" s="74"/>
      <c r="Q731" s="74"/>
      <c r="R731" s="74"/>
      <c r="S731" s="74"/>
      <c r="T731" s="74"/>
      <c r="U731" s="74"/>
      <c r="V731" s="74"/>
      <c r="W731" s="74"/>
      <c r="X731" s="74"/>
      <c r="Y731" s="74"/>
      <c r="Z731" s="74"/>
    </row>
    <row r="732" spans="1:26" x14ac:dyDescent="0.3">
      <c r="A732" s="66">
        <f t="shared" si="74"/>
        <v>2062.4999999999341</v>
      </c>
      <c r="B732" s="67">
        <f>LOOKUP(A732+0.01,Amounts!$A$4:$A$103,Amounts!$B$4:$B$103)*0.1*$A$2</f>
        <v>0</v>
      </c>
      <c r="C732" s="68">
        <f t="shared" si="73"/>
        <v>2219148.7781994981</v>
      </c>
      <c r="D732" s="67">
        <f t="array" ref="D732">SUM($B$7:$B727*$F$1009*EXP(-$F$1009*($A732-$A$7:$A727)))*$F$1010</f>
        <v>73514455.809553981</v>
      </c>
      <c r="E732" s="67">
        <f t="shared" si="71"/>
        <v>140.14882014028004</v>
      </c>
      <c r="F732" s="70">
        <f t="shared" si="75"/>
        <v>8.5098363589178039</v>
      </c>
      <c r="G732" s="67">
        <f>E732/'Lookup Tables'!$C$48</f>
        <v>280.29764028056007</v>
      </c>
      <c r="H732" s="70">
        <f t="shared" si="72"/>
        <v>3.3193907767417409E-2</v>
      </c>
      <c r="I732" s="71">
        <f t="shared" si="76"/>
        <v>0.40362860200400652</v>
      </c>
      <c r="L732" s="74"/>
      <c r="M732" s="74"/>
      <c r="N732" s="74"/>
      <c r="O732" s="74"/>
      <c r="P732" s="74"/>
      <c r="Q732" s="74"/>
      <c r="R732" s="74"/>
      <c r="S732" s="74"/>
      <c r="T732" s="74"/>
      <c r="U732" s="74"/>
      <c r="V732" s="74"/>
      <c r="W732" s="74"/>
      <c r="X732" s="74"/>
      <c r="Y732" s="74"/>
      <c r="Z732" s="74"/>
    </row>
    <row r="733" spans="1:26" x14ac:dyDescent="0.3">
      <c r="A733" s="66">
        <f t="shared" si="74"/>
        <v>2062.599999999934</v>
      </c>
      <c r="B733" s="67">
        <f>LOOKUP(A733+0.01,Amounts!$A$4:$A$103,Amounts!$B$4:$B$103)*0.1*$A$2</f>
        <v>0</v>
      </c>
      <c r="C733" s="68">
        <f t="shared" si="73"/>
        <v>2219148.7781994981</v>
      </c>
      <c r="D733" s="67">
        <f t="array" ref="D733">SUM($B$7:$B728*$F$1009*EXP(-$F$1009*($A733-$A$7:$A728)))*$F$1010</f>
        <v>73308903.241177469</v>
      </c>
      <c r="E733" s="67">
        <f t="shared" si="71"/>
        <v>139.75695231486347</v>
      </c>
      <c r="F733" s="70">
        <f t="shared" si="75"/>
        <v>8.4860421445585104</v>
      </c>
      <c r="G733" s="67">
        <f>E733/'Lookup Tables'!$C$48</f>
        <v>279.51390462972694</v>
      </c>
      <c r="H733" s="70">
        <f t="shared" si="72"/>
        <v>3.3101094824426698E-2</v>
      </c>
      <c r="I733" s="71">
        <f t="shared" si="76"/>
        <v>0.40250002266680679</v>
      </c>
      <c r="L733" s="74"/>
      <c r="M733" s="74"/>
      <c r="N733" s="74"/>
      <c r="O733" s="74"/>
      <c r="P733" s="74"/>
      <c r="Q733" s="74"/>
      <c r="R733" s="74"/>
      <c r="S733" s="74"/>
      <c r="T733" s="74"/>
      <c r="U733" s="74"/>
      <c r="V733" s="74"/>
      <c r="W733" s="74"/>
      <c r="X733" s="74"/>
      <c r="Y733" s="74"/>
      <c r="Z733" s="74"/>
    </row>
    <row r="734" spans="1:26" x14ac:dyDescent="0.3">
      <c r="A734" s="66">
        <f t="shared" si="74"/>
        <v>2062.6999999999339</v>
      </c>
      <c r="B734" s="67">
        <f>LOOKUP(A734+0.01,Amounts!$A$4:$A$103,Amounts!$B$4:$B$103)*0.1*$A$2</f>
        <v>0</v>
      </c>
      <c r="C734" s="68">
        <f t="shared" si="73"/>
        <v>2219148.7781994981</v>
      </c>
      <c r="D734" s="67">
        <f t="array" ref="D734">SUM($B$7:$B729*$F$1009*EXP(-$F$1009*($A734-$A$7:$A729)))*$F$1010</f>
        <v>73103925.414977863</v>
      </c>
      <c r="E734" s="67">
        <f t="shared" si="71"/>
        <v>139.36618018466891</v>
      </c>
      <c r="F734" s="70">
        <f t="shared" si="75"/>
        <v>8.4623144608130954</v>
      </c>
      <c r="G734" s="67">
        <f>E734/'Lookup Tables'!$C$48</f>
        <v>278.73236036933781</v>
      </c>
      <c r="H734" s="70">
        <f t="shared" si="72"/>
        <v>3.3008541394188955E-2</v>
      </c>
      <c r="I734" s="71">
        <f t="shared" si="76"/>
        <v>0.40137459893184646</v>
      </c>
      <c r="L734" s="74"/>
      <c r="M734" s="74"/>
      <c r="N734" s="74"/>
      <c r="O734" s="74"/>
      <c r="P734" s="74"/>
      <c r="Q734" s="74"/>
      <c r="R734" s="74"/>
      <c r="S734" s="74"/>
      <c r="T734" s="74"/>
      <c r="U734" s="74"/>
      <c r="V734" s="74"/>
      <c r="W734" s="74"/>
      <c r="X734" s="74"/>
      <c r="Y734" s="74"/>
      <c r="Z734" s="74"/>
    </row>
    <row r="735" spans="1:26" x14ac:dyDescent="0.3">
      <c r="A735" s="66">
        <f t="shared" si="74"/>
        <v>2062.7999999999338</v>
      </c>
      <c r="B735" s="67">
        <f>LOOKUP(A735+0.01,Amounts!$A$4:$A$103,Amounts!$B$4:$B$103)*0.1*$A$2</f>
        <v>0</v>
      </c>
      <c r="C735" s="68">
        <f t="shared" si="73"/>
        <v>2219148.7781994981</v>
      </c>
      <c r="D735" s="67">
        <f t="array" ref="D735">SUM($B$7:$B730*$F$1009*EXP(-$F$1009*($A735-$A$7:$A730)))*$F$1010</f>
        <v>72899520.72392796</v>
      </c>
      <c r="E735" s="67">
        <f t="shared" si="71"/>
        <v>138.97650068604082</v>
      </c>
      <c r="F735" s="70">
        <f t="shared" si="75"/>
        <v>8.4386531216563991</v>
      </c>
      <c r="G735" s="67">
        <f>E735/'Lookup Tables'!$C$48</f>
        <v>277.95300137208164</v>
      </c>
      <c r="H735" s="70">
        <f t="shared" si="72"/>
        <v>3.2916246751084809E-2</v>
      </c>
      <c r="I735" s="71">
        <f t="shared" si="76"/>
        <v>0.40025232197579758</v>
      </c>
      <c r="L735" s="74"/>
      <c r="M735" s="74"/>
      <c r="N735" s="74"/>
      <c r="O735" s="74"/>
      <c r="P735" s="74"/>
      <c r="Q735" s="74"/>
      <c r="R735" s="74"/>
      <c r="S735" s="74"/>
      <c r="T735" s="74"/>
      <c r="U735" s="74"/>
      <c r="V735" s="74"/>
      <c r="W735" s="74"/>
      <c r="X735" s="74"/>
      <c r="Y735" s="74"/>
      <c r="Z735" s="74"/>
    </row>
    <row r="736" spans="1:26" x14ac:dyDescent="0.3">
      <c r="A736" s="66">
        <f t="shared" si="74"/>
        <v>2062.8999999999337</v>
      </c>
      <c r="B736" s="67">
        <f>LOOKUP(A736+0.01,Amounts!$A$4:$A$103,Amounts!$B$4:$B$103)*0.1*$A$2</f>
        <v>0</v>
      </c>
      <c r="C736" s="68">
        <f t="shared" si="73"/>
        <v>2219148.7781994981</v>
      </c>
      <c r="D736" s="67">
        <f t="array" ref="D736">SUM($B$7:$B731*$F$1009*EXP(-$F$1009*($A736-$A$7:$A731)))*$F$1010</f>
        <v>72695687.565493941</v>
      </c>
      <c r="E736" s="67">
        <f t="shared" si="71"/>
        <v>138.58791076388999</v>
      </c>
      <c r="F736" s="70">
        <f t="shared" si="75"/>
        <v>8.4150579415834006</v>
      </c>
      <c r="G736" s="67">
        <f>E736/'Lookup Tables'!$C$48</f>
        <v>277.17582152777999</v>
      </c>
      <c r="H736" s="70">
        <f t="shared" si="72"/>
        <v>3.2824210171523802E-2</v>
      </c>
      <c r="I736" s="71">
        <f t="shared" si="76"/>
        <v>0.39913318300000322</v>
      </c>
      <c r="L736" s="74"/>
      <c r="M736" s="74"/>
      <c r="N736" s="74"/>
      <c r="O736" s="74"/>
      <c r="P736" s="74"/>
      <c r="Q736" s="74"/>
      <c r="R736" s="74"/>
      <c r="S736" s="74"/>
      <c r="T736" s="74"/>
      <c r="U736" s="74"/>
      <c r="V736" s="74"/>
      <c r="W736" s="74"/>
      <c r="X736" s="74"/>
      <c r="Y736" s="74"/>
      <c r="Z736" s="74"/>
    </row>
    <row r="737" spans="1:26" x14ac:dyDescent="0.3">
      <c r="A737" s="66">
        <f t="shared" si="74"/>
        <v>2062.9999999999336</v>
      </c>
      <c r="B737" s="67">
        <f>LOOKUP(A737+0.01,Amounts!$A$4:$A$103,Amounts!$B$4:$B$103)*0.1*$A$2</f>
        <v>0</v>
      </c>
      <c r="C737" s="68">
        <f t="shared" si="73"/>
        <v>2219148.7781994981</v>
      </c>
      <c r="D737" s="67">
        <f t="array" ref="D737">SUM($B$7:$B732*$F$1009*EXP(-$F$1009*($A737-$A$7:$A732)))*$F$1010</f>
        <v>72492424.34162277</v>
      </c>
      <c r="E737" s="67">
        <f t="shared" si="71"/>
        <v>138.2004073716694</v>
      </c>
      <c r="F737" s="70">
        <f t="shared" si="75"/>
        <v>8.3915287356077659</v>
      </c>
      <c r="G737" s="67">
        <f>E737/'Lookup Tables'!$C$48</f>
        <v>276.4008147433388</v>
      </c>
      <c r="H737" s="70">
        <f t="shared" si="72"/>
        <v>3.2732430933938662E-2</v>
      </c>
      <c r="I737" s="71">
        <f t="shared" si="76"/>
        <v>0.39801717323040786</v>
      </c>
      <c r="L737" s="74"/>
      <c r="M737" s="74"/>
      <c r="N737" s="74"/>
      <c r="O737" s="74"/>
      <c r="P737" s="74"/>
      <c r="Q737" s="74"/>
      <c r="R737" s="74"/>
      <c r="S737" s="74"/>
      <c r="T737" s="74"/>
      <c r="U737" s="74"/>
      <c r="V737" s="74"/>
      <c r="W737" s="74"/>
      <c r="X737" s="74"/>
      <c r="Y737" s="74"/>
      <c r="Z737" s="74"/>
    </row>
    <row r="738" spans="1:26" x14ac:dyDescent="0.3">
      <c r="A738" s="66">
        <f t="shared" si="74"/>
        <v>2063.0999999999335</v>
      </c>
      <c r="B738" s="67">
        <f>LOOKUP(A738+0.01,Amounts!$A$4:$A$103,Amounts!$B$4:$B$103)*0.1*$A$2</f>
        <v>0</v>
      </c>
      <c r="C738" s="68">
        <f t="shared" si="73"/>
        <v>2219148.7781994981</v>
      </c>
      <c r="D738" s="67">
        <f t="array" ref="D738">SUM($B$7:$B733*$F$1009*EXP(-$F$1009*($A738-$A$7:$A733)))*$F$1010</f>
        <v>72289729.458729759</v>
      </c>
      <c r="E738" s="67">
        <f t="shared" si="71"/>
        <v>137.81398747135049</v>
      </c>
      <c r="F738" s="70">
        <f t="shared" si="75"/>
        <v>8.3680653192604009</v>
      </c>
      <c r="G738" s="67">
        <f>E738/'Lookup Tables'!$C$48</f>
        <v>275.62797494270097</v>
      </c>
      <c r="H738" s="70">
        <f t="shared" si="72"/>
        <v>3.26409083187797E-2</v>
      </c>
      <c r="I738" s="71">
        <f t="shared" si="76"/>
        <v>0.39690428391748933</v>
      </c>
      <c r="L738" s="74"/>
      <c r="M738" s="74"/>
      <c r="N738" s="74"/>
      <c r="O738" s="74"/>
      <c r="P738" s="74"/>
      <c r="Q738" s="74"/>
      <c r="R738" s="74"/>
      <c r="S738" s="74"/>
      <c r="T738" s="74"/>
      <c r="U738" s="74"/>
      <c r="V738" s="74"/>
      <c r="W738" s="74"/>
      <c r="X738" s="74"/>
      <c r="Y738" s="74"/>
      <c r="Z738" s="74"/>
    </row>
    <row r="739" spans="1:26" x14ac:dyDescent="0.3">
      <c r="A739" s="66">
        <f t="shared" si="74"/>
        <v>2063.1999999999334</v>
      </c>
      <c r="B739" s="67">
        <f>LOOKUP(A739+0.01,Amounts!$A$4:$A$103,Amounts!$B$4:$B$103)*0.1*$A$2</f>
        <v>0</v>
      </c>
      <c r="C739" s="68">
        <f t="shared" si="73"/>
        <v>2219148.7781994981</v>
      </c>
      <c r="D739" s="67">
        <f t="array" ref="D739">SUM($B$7:$B734*$F$1009*EXP(-$F$1009*($A739-$A$7:$A734)))*$F$1010</f>
        <v>72087601.327685997</v>
      </c>
      <c r="E739" s="67">
        <f t="shared" si="71"/>
        <v>137.42864803339927</v>
      </c>
      <c r="F739" s="70">
        <f t="shared" si="75"/>
        <v>8.3446675085880031</v>
      </c>
      <c r="G739" s="67">
        <f>E739/'Lookup Tables'!$C$48</f>
        <v>274.85729606679854</v>
      </c>
      <c r="H739" s="70">
        <f t="shared" si="72"/>
        <v>3.2549641608509157E-2</v>
      </c>
      <c r="I739" s="71">
        <f t="shared" si="76"/>
        <v>0.39579450633618984</v>
      </c>
      <c r="L739" s="74"/>
      <c r="M739" s="74"/>
      <c r="N739" s="74"/>
      <c r="O739" s="74"/>
      <c r="P739" s="74"/>
      <c r="Q739" s="74"/>
      <c r="R739" s="74"/>
      <c r="S739" s="74"/>
      <c r="T739" s="74"/>
      <c r="U739" s="74"/>
      <c r="V739" s="74"/>
      <c r="W739" s="74"/>
      <c r="X739" s="74"/>
      <c r="Y739" s="74"/>
      <c r="Z739" s="74"/>
    </row>
    <row r="740" spans="1:26" x14ac:dyDescent="0.3">
      <c r="A740" s="66">
        <f t="shared" si="74"/>
        <v>2063.2999999999333</v>
      </c>
      <c r="B740" s="67">
        <f>LOOKUP(A740+0.01,Amounts!$A$4:$A$103,Amounts!$B$4:$B$103)*0.1*$A$2</f>
        <v>0</v>
      </c>
      <c r="C740" s="68">
        <f t="shared" si="73"/>
        <v>2219148.7781994981</v>
      </c>
      <c r="D740" s="67">
        <f t="array" ref="D740">SUM($B$7:$B735*$F$1009*EXP(-$F$1009*($A740-$A$7:$A735)))*$F$1010</f>
        <v>71886038.363805845</v>
      </c>
      <c r="E740" s="67">
        <f t="shared" si="71"/>
        <v>137.04438603675248</v>
      </c>
      <c r="F740" s="70">
        <f t="shared" si="75"/>
        <v>8.3213351201516126</v>
      </c>
      <c r="G740" s="67">
        <f>E740/'Lookup Tables'!$C$48</f>
        <v>274.08877207350497</v>
      </c>
      <c r="H740" s="70">
        <f t="shared" si="72"/>
        <v>3.2458630087595544E-2</v>
      </c>
      <c r="I740" s="71">
        <f t="shared" si="76"/>
        <v>0.39468783178584721</v>
      </c>
      <c r="L740" s="74"/>
      <c r="M740" s="74"/>
      <c r="N740" s="74"/>
      <c r="O740" s="74"/>
      <c r="P740" s="74"/>
      <c r="Q740" s="74"/>
      <c r="R740" s="74"/>
      <c r="S740" s="74"/>
      <c r="T740" s="74"/>
      <c r="U740" s="74"/>
      <c r="V740" s="74"/>
      <c r="W740" s="74"/>
      <c r="X740" s="74"/>
      <c r="Y740" s="74"/>
      <c r="Z740" s="74"/>
    </row>
    <row r="741" spans="1:26" x14ac:dyDescent="0.3">
      <c r="A741" s="66">
        <f t="shared" si="74"/>
        <v>2063.3999999999332</v>
      </c>
      <c r="B741" s="67">
        <f>LOOKUP(A741+0.01,Amounts!$A$4:$A$103,Amounts!$B$4:$B$103)*0.1*$A$2</f>
        <v>0</v>
      </c>
      <c r="C741" s="68">
        <f t="shared" si="73"/>
        <v>2219148.7781994981</v>
      </c>
      <c r="D741" s="67">
        <f t="array" ref="D741">SUM($B$7:$B736*$F$1009*EXP(-$F$1009*($A741-$A$7:$A736)))*$F$1010</f>
        <v>71685038.986834735</v>
      </c>
      <c r="E741" s="67">
        <f t="shared" si="71"/>
        <v>136.66119846879428</v>
      </c>
      <c r="F741" s="70">
        <f t="shared" si="75"/>
        <v>8.2980679710251888</v>
      </c>
      <c r="G741" s="67">
        <f>E741/'Lookup Tables'!$C$48</f>
        <v>273.32239693758856</v>
      </c>
      <c r="H741" s="70">
        <f t="shared" si="72"/>
        <v>3.2367873042508079E-2</v>
      </c>
      <c r="I741" s="71">
        <f t="shared" si="76"/>
        <v>0.39358425159012755</v>
      </c>
      <c r="L741" s="74"/>
      <c r="M741" s="74"/>
      <c r="N741" s="74"/>
      <c r="O741" s="74"/>
      <c r="P741" s="74"/>
      <c r="Q741" s="74"/>
      <c r="R741" s="74"/>
      <c r="S741" s="74"/>
      <c r="T741" s="74"/>
      <c r="U741" s="74"/>
      <c r="V741" s="74"/>
      <c r="W741" s="74"/>
      <c r="X741" s="74"/>
      <c r="Y741" s="74"/>
      <c r="Z741" s="74"/>
    </row>
    <row r="742" spans="1:26" x14ac:dyDescent="0.3">
      <c r="A742" s="66">
        <f t="shared" si="74"/>
        <v>2063.4999999999332</v>
      </c>
      <c r="B742" s="67">
        <f>LOOKUP(A742+0.01,Amounts!$A$4:$A$103,Amounts!$B$4:$B$103)*0.1*$A$2</f>
        <v>0</v>
      </c>
      <c r="C742" s="68">
        <f t="shared" si="73"/>
        <v>2219148.7781994981</v>
      </c>
      <c r="D742" s="67">
        <f t="array" ref="D742">SUM($B$7:$B737*$F$1009*EXP(-$F$1009*($A742-$A$7:$A737)))*$F$1010</f>
        <v>71484601.620936424</v>
      </c>
      <c r="E742" s="67">
        <f t="shared" si="71"/>
        <v>136.27908232533201</v>
      </c>
      <c r="F742" s="70">
        <f t="shared" si="75"/>
        <v>8.2748658787941594</v>
      </c>
      <c r="G742" s="67">
        <f>E742/'Lookup Tables'!$C$48</f>
        <v>272.55816465066403</v>
      </c>
      <c r="H742" s="70">
        <f t="shared" si="72"/>
        <v>3.2277369761711049E-2</v>
      </c>
      <c r="I742" s="71">
        <f t="shared" si="76"/>
        <v>0.39248375709695621</v>
      </c>
      <c r="L742" s="74"/>
      <c r="M742" s="74"/>
      <c r="N742" s="74"/>
      <c r="O742" s="74"/>
      <c r="P742" s="74"/>
      <c r="Q742" s="74"/>
      <c r="R742" s="74"/>
      <c r="S742" s="74"/>
      <c r="T742" s="74"/>
      <c r="U742" s="74"/>
      <c r="V742" s="74"/>
      <c r="W742" s="74"/>
      <c r="X742" s="74"/>
      <c r="Y742" s="74"/>
      <c r="Z742" s="74"/>
    </row>
    <row r="743" spans="1:26" x14ac:dyDescent="0.3">
      <c r="A743" s="66">
        <f t="shared" si="74"/>
        <v>2063.5999999999331</v>
      </c>
      <c r="B743" s="67">
        <f>LOOKUP(A743+0.01,Amounts!$A$4:$A$103,Amounts!$B$4:$B$103)*0.1*$A$2</f>
        <v>0</v>
      </c>
      <c r="C743" s="68">
        <f t="shared" si="73"/>
        <v>2219148.7781994981</v>
      </c>
      <c r="D743" s="67">
        <f t="array" ref="D743">SUM($B$7:$B738*$F$1009*EXP(-$F$1009*($A743-$A$7:$A738)))*$F$1010</f>
        <v>71284724.694681004</v>
      </c>
      <c r="E743" s="67">
        <f t="shared" si="71"/>
        <v>135.89803461057326</v>
      </c>
      <c r="F743" s="70">
        <f t="shared" si="75"/>
        <v>8.251728661554008</v>
      </c>
      <c r="G743" s="67">
        <f>E743/'Lookup Tables'!$C$48</f>
        <v>271.79606922114652</v>
      </c>
      <c r="H743" s="70">
        <f t="shared" si="72"/>
        <v>3.2187119535658303E-2</v>
      </c>
      <c r="I743" s="71">
        <f t="shared" si="76"/>
        <v>0.39138633967845099</v>
      </c>
      <c r="L743" s="74"/>
      <c r="M743" s="74"/>
      <c r="N743" s="74"/>
      <c r="O743" s="74"/>
      <c r="P743" s="74"/>
      <c r="Q743" s="74"/>
      <c r="R743" s="74"/>
      <c r="S743" s="74"/>
      <c r="T743" s="74"/>
      <c r="U743" s="74"/>
      <c r="V743" s="74"/>
      <c r="W743" s="74"/>
      <c r="X743" s="74"/>
      <c r="Y743" s="74"/>
      <c r="Z743" s="74"/>
    </row>
    <row r="744" spans="1:26" x14ac:dyDescent="0.3">
      <c r="A744" s="66">
        <f t="shared" si="74"/>
        <v>2063.699999999933</v>
      </c>
      <c r="B744" s="67">
        <f>LOOKUP(A744+0.01,Amounts!$A$4:$A$103,Amounts!$B$4:$B$103)*0.1*$A$2</f>
        <v>0</v>
      </c>
      <c r="C744" s="68">
        <f t="shared" si="73"/>
        <v>2219148.7781994981</v>
      </c>
      <c r="D744" s="67">
        <f t="array" ref="D744">SUM($B$7:$B739*$F$1009*EXP(-$F$1009*($A744-$A$7:$A739)))*$F$1010</f>
        <v>71085406.641032308</v>
      </c>
      <c r="E744" s="67">
        <f t="shared" si="71"/>
        <v>135.51805233710198</v>
      </c>
      <c r="F744" s="70">
        <f t="shared" si="75"/>
        <v>8.2286561379088319</v>
      </c>
      <c r="G744" s="67">
        <f>E744/'Lookup Tables'!$C$48</f>
        <v>271.03610467420395</v>
      </c>
      <c r="H744" s="70">
        <f t="shared" si="72"/>
        <v>3.2097121656787575E-2</v>
      </c>
      <c r="I744" s="71">
        <f t="shared" si="76"/>
        <v>0.39029199073085369</v>
      </c>
      <c r="L744" s="74"/>
      <c r="M744" s="74"/>
      <c r="N744" s="74"/>
      <c r="O744" s="74"/>
      <c r="P744" s="74"/>
      <c r="Q744" s="74"/>
      <c r="R744" s="74"/>
      <c r="S744" s="74"/>
      <c r="T744" s="74"/>
      <c r="U744" s="74"/>
      <c r="V744" s="74"/>
      <c r="W744" s="74"/>
      <c r="X744" s="74"/>
      <c r="Y744" s="74"/>
      <c r="Z744" s="74"/>
    </row>
    <row r="745" spans="1:26" x14ac:dyDescent="0.3">
      <c r="A745" s="66">
        <f t="shared" si="74"/>
        <v>2063.7999999999329</v>
      </c>
      <c r="B745" s="67">
        <f>LOOKUP(A745+0.01,Amounts!$A$4:$A$103,Amounts!$B$4:$B$103)*0.1*$A$2</f>
        <v>0</v>
      </c>
      <c r="C745" s="68">
        <f t="shared" si="73"/>
        <v>2219148.7781994981</v>
      </c>
      <c r="D745" s="67">
        <f t="array" ref="D745">SUM($B$7:$B740*$F$1009*EXP(-$F$1009*($A745-$A$7:$A740)))*$F$1010</f>
        <v>70886645.897335783</v>
      </c>
      <c r="E745" s="67">
        <f t="shared" si="71"/>
        <v>135.1391325258551</v>
      </c>
      <c r="F745" s="70">
        <f t="shared" si="75"/>
        <v>8.2056481269699226</v>
      </c>
      <c r="G745" s="67">
        <f>E745/'Lookup Tables'!$C$48</f>
        <v>270.27826505171021</v>
      </c>
      <c r="H745" s="70">
        <f t="shared" si="72"/>
        <v>3.2007375419515031E-2</v>
      </c>
      <c r="I745" s="71">
        <f t="shared" si="76"/>
        <v>0.38920070167446269</v>
      </c>
      <c r="L745" s="74"/>
      <c r="M745" s="74"/>
      <c r="N745" s="74"/>
      <c r="O745" s="74"/>
      <c r="P745" s="74"/>
      <c r="Q745" s="74"/>
      <c r="R745" s="74"/>
      <c r="S745" s="74"/>
      <c r="T745" s="74"/>
      <c r="U745" s="74"/>
      <c r="V745" s="74"/>
      <c r="W745" s="74"/>
      <c r="X745" s="74"/>
      <c r="Y745" s="74"/>
      <c r="Z745" s="74"/>
    </row>
    <row r="746" spans="1:26" x14ac:dyDescent="0.3">
      <c r="A746" s="66">
        <f t="shared" si="74"/>
        <v>2063.8999999999328</v>
      </c>
      <c r="B746" s="67">
        <f>LOOKUP(A746+0.01,Amounts!$A$4:$A$103,Amounts!$B$4:$B$103)*0.1*$A$2</f>
        <v>0</v>
      </c>
      <c r="C746" s="68">
        <f t="shared" si="73"/>
        <v>2219148.7781994981</v>
      </c>
      <c r="D746" s="67">
        <f t="array" ref="D746">SUM($B$7:$B741*$F$1009*EXP(-$F$1009*($A746-$A$7:$A741)))*$F$1010</f>
        <v>70688440.905306146</v>
      </c>
      <c r="E746" s="67">
        <f t="shared" si="71"/>
        <v>134.76127220609933</v>
      </c>
      <c r="F746" s="70">
        <f t="shared" si="75"/>
        <v>8.1827044483543521</v>
      </c>
      <c r="G746" s="67">
        <f>E746/'Lookup Tables'!$C$48</f>
        <v>269.52254441219867</v>
      </c>
      <c r="H746" s="70">
        <f t="shared" si="72"/>
        <v>3.1917880120229704E-2</v>
      </c>
      <c r="I746" s="71">
        <f t="shared" si="76"/>
        <v>0.38811246395356602</v>
      </c>
      <c r="L746" s="74"/>
      <c r="M746" s="74"/>
      <c r="N746" s="74"/>
      <c r="O746" s="74"/>
      <c r="P746" s="74"/>
      <c r="Q746" s="74"/>
      <c r="R746" s="74"/>
      <c r="S746" s="74"/>
      <c r="T746" s="74"/>
      <c r="U746" s="74"/>
      <c r="V746" s="74"/>
      <c r="W746" s="74"/>
      <c r="X746" s="74"/>
      <c r="Y746" s="74"/>
      <c r="Z746" s="74"/>
    </row>
    <row r="747" spans="1:26" x14ac:dyDescent="0.3">
      <c r="A747" s="66">
        <f t="shared" si="74"/>
        <v>2063.9999999999327</v>
      </c>
      <c r="B747" s="67">
        <f>LOOKUP(A747+0.01,Amounts!$A$4:$A$103,Amounts!$B$4:$B$103)*0.1*$A$2</f>
        <v>0</v>
      </c>
      <c r="C747" s="68">
        <f t="shared" si="73"/>
        <v>2219148.7781994981</v>
      </c>
      <c r="D747" s="67">
        <f t="array" ref="D747">SUM($B$7:$B742*$F$1009*EXP(-$F$1009*($A747-$A$7:$A742)))*$F$1010</f>
        <v>70490790.11101532</v>
      </c>
      <c r="E747" s="67">
        <f t="shared" si="71"/>
        <v>134.38446841540804</v>
      </c>
      <c r="F747" s="70">
        <f t="shared" si="75"/>
        <v>8.1598249221835761</v>
      </c>
      <c r="G747" s="67">
        <f>E747/'Lookup Tables'!$C$48</f>
        <v>268.76893683081607</v>
      </c>
      <c r="H747" s="70">
        <f t="shared" si="72"/>
        <v>3.1828635057288043E-2</v>
      </c>
      <c r="I747" s="71">
        <f t="shared" si="76"/>
        <v>0.38702726903637519</v>
      </c>
      <c r="L747" s="74"/>
      <c r="M747" s="74"/>
      <c r="N747" s="74"/>
      <c r="O747" s="74"/>
      <c r="P747" s="74"/>
      <c r="Q747" s="74"/>
      <c r="R747" s="74"/>
      <c r="S747" s="74"/>
      <c r="T747" s="74"/>
      <c r="U747" s="74"/>
      <c r="V747" s="74"/>
      <c r="W747" s="74"/>
      <c r="X747" s="74"/>
      <c r="Y747" s="74"/>
      <c r="Z747" s="74"/>
    </row>
    <row r="748" spans="1:26" x14ac:dyDescent="0.3">
      <c r="A748" s="66">
        <f t="shared" si="74"/>
        <v>2064.0999999999326</v>
      </c>
      <c r="B748" s="67">
        <f>LOOKUP(A748+0.01,Amounts!$A$4:$A$103,Amounts!$B$4:$B$103)*0.1*$A$2</f>
        <v>0</v>
      </c>
      <c r="C748" s="68">
        <f t="shared" si="73"/>
        <v>2219148.7781994981</v>
      </c>
      <c r="D748" s="67">
        <f t="array" ref="D748">SUM($B$7:$B743*$F$1009*EXP(-$F$1009*($A748-$A$7:$A743)))*$F$1010</f>
        <v>70293691.964880019</v>
      </c>
      <c r="E748" s="67">
        <f t="shared" si="71"/>
        <v>134.00871819963743</v>
      </c>
      <c r="F748" s="70">
        <f t="shared" si="75"/>
        <v>8.1370093690819854</v>
      </c>
      <c r="G748" s="67">
        <f>E748/'Lookup Tables'!$C$48</f>
        <v>268.01743639927486</v>
      </c>
      <c r="H748" s="70">
        <f t="shared" si="72"/>
        <v>3.1739639531008244E-2</v>
      </c>
      <c r="I748" s="71">
        <f t="shared" si="76"/>
        <v>0.38594510841495577</v>
      </c>
      <c r="L748" s="74"/>
      <c r="M748" s="74"/>
      <c r="N748" s="74"/>
      <c r="O748" s="74"/>
      <c r="P748" s="74"/>
      <c r="Q748" s="74"/>
      <c r="R748" s="74"/>
      <c r="S748" s="74"/>
      <c r="T748" s="74"/>
      <c r="U748" s="74"/>
      <c r="V748" s="74"/>
      <c r="W748" s="74"/>
      <c r="X748" s="74"/>
      <c r="Y748" s="74"/>
      <c r="Z748" s="74"/>
    </row>
    <row r="749" spans="1:26" x14ac:dyDescent="0.3">
      <c r="A749" s="66">
        <f t="shared" si="74"/>
        <v>2064.1999999999325</v>
      </c>
      <c r="B749" s="67">
        <f>LOOKUP(A749+0.01,Amounts!$A$4:$A$103,Amounts!$B$4:$B$103)*0.1*$A$2</f>
        <v>0</v>
      </c>
      <c r="C749" s="68">
        <f t="shared" si="73"/>
        <v>2219148.7781994981</v>
      </c>
      <c r="D749" s="67">
        <f t="array" ref="D749">SUM($B$7:$B744*$F$1009*EXP(-$F$1009*($A749-$A$7:$A744)))*$F$1010</f>
        <v>70097144.921649754</v>
      </c>
      <c r="E749" s="67">
        <f t="shared" si="71"/>
        <v>133.63401861290387</v>
      </c>
      <c r="F749" s="70">
        <f t="shared" si="75"/>
        <v>8.1142576101755228</v>
      </c>
      <c r="G749" s="67">
        <f>E749/'Lookup Tables'!$C$48</f>
        <v>267.26803722580775</v>
      </c>
      <c r="H749" s="70">
        <f t="shared" si="72"/>
        <v>3.1650892843664929E-2</v>
      </c>
      <c r="I749" s="71">
        <f t="shared" si="76"/>
        <v>0.38486597360516317</v>
      </c>
      <c r="L749" s="74"/>
      <c r="M749" s="74"/>
      <c r="N749" s="74"/>
      <c r="O749" s="74"/>
      <c r="P749" s="74"/>
      <c r="Q749" s="74"/>
      <c r="R749" s="74"/>
      <c r="S749" s="74"/>
      <c r="T749" s="74"/>
      <c r="U749" s="74"/>
      <c r="V749" s="74"/>
      <c r="W749" s="74"/>
      <c r="X749" s="74"/>
      <c r="Y749" s="74"/>
      <c r="Z749" s="74"/>
    </row>
    <row r="750" spans="1:26" x14ac:dyDescent="0.3">
      <c r="A750" s="66">
        <f t="shared" si="74"/>
        <v>2064.2999999999324</v>
      </c>
      <c r="B750" s="67">
        <f>LOOKUP(A750+0.01,Amounts!$A$4:$A$103,Amounts!$B$4:$B$103)*0.1*$A$2</f>
        <v>0</v>
      </c>
      <c r="C750" s="68">
        <f t="shared" si="73"/>
        <v>2219148.7781994981</v>
      </c>
      <c r="D750" s="67">
        <f t="array" ref="D750">SUM($B$7:$B745*$F$1009*EXP(-$F$1009*($A750-$A$7:$A745)))*$F$1010</f>
        <v>69901147.440394744</v>
      </c>
      <c r="E750" s="67">
        <f t="shared" si="71"/>
        <v>133.26036671756077</v>
      </c>
      <c r="F750" s="70">
        <f t="shared" si="75"/>
        <v>8.0915694670902898</v>
      </c>
      <c r="G750" s="67">
        <f>E750/'Lookup Tables'!$C$48</f>
        <v>266.52073343512154</v>
      </c>
      <c r="H750" s="70">
        <f t="shared" si="72"/>
        <v>3.1562394299483647E-2</v>
      </c>
      <c r="I750" s="71">
        <f t="shared" si="76"/>
        <v>0.38378985614657501</v>
      </c>
      <c r="L750" s="74"/>
      <c r="M750" s="74"/>
      <c r="N750" s="74"/>
      <c r="O750" s="74"/>
      <c r="P750" s="74"/>
      <c r="Q750" s="74"/>
      <c r="R750" s="74"/>
      <c r="S750" s="74"/>
      <c r="T750" s="74"/>
      <c r="U750" s="74"/>
      <c r="V750" s="74"/>
      <c r="W750" s="74"/>
      <c r="X750" s="74"/>
      <c r="Y750" s="74"/>
      <c r="Z750" s="74"/>
    </row>
    <row r="751" spans="1:26" x14ac:dyDescent="0.3">
      <c r="A751" s="66">
        <f t="shared" si="74"/>
        <v>2064.3999999999323</v>
      </c>
      <c r="B751" s="67">
        <f>LOOKUP(A751+0.01,Amounts!$A$4:$A$103,Amounts!$B$4:$B$103)*0.1*$A$2</f>
        <v>0</v>
      </c>
      <c r="C751" s="68">
        <f t="shared" si="73"/>
        <v>2219148.7781994981</v>
      </c>
      <c r="D751" s="67">
        <f t="array" ref="D751">SUM($B$7:$B746*$F$1009*EXP(-$F$1009*($A751-$A$7:$A746)))*$F$1010</f>
        <v>69705697.984493718</v>
      </c>
      <c r="E751" s="67">
        <f t="shared" si="71"/>
        <v>132.88775958417531</v>
      </c>
      <c r="F751" s="70">
        <f t="shared" si="75"/>
        <v>8.0689447619511245</v>
      </c>
      <c r="G751" s="67">
        <f>E751/'Lookup Tables'!$C$48</f>
        <v>265.77551916835063</v>
      </c>
      <c r="H751" s="70">
        <f t="shared" si="72"/>
        <v>3.1474143204635339E-2</v>
      </c>
      <c r="I751" s="71">
        <f t="shared" si="76"/>
        <v>0.38271674760242491</v>
      </c>
      <c r="L751" s="74"/>
      <c r="M751" s="74"/>
      <c r="N751" s="74"/>
      <c r="O751" s="74"/>
      <c r="P751" s="74"/>
      <c r="Q751" s="74"/>
      <c r="R751" s="74"/>
      <c r="S751" s="74"/>
      <c r="T751" s="74"/>
      <c r="U751" s="74"/>
      <c r="V751" s="74"/>
      <c r="W751" s="74"/>
      <c r="X751" s="74"/>
      <c r="Y751" s="74"/>
      <c r="Z751" s="74"/>
    </row>
    <row r="752" spans="1:26" x14ac:dyDescent="0.3">
      <c r="A752" s="66">
        <f t="shared" si="74"/>
        <v>2064.4999999999322</v>
      </c>
      <c r="B752" s="67">
        <f>LOOKUP(A752+0.01,Amounts!$A$4:$A$103,Amounts!$B$4:$B$103)*0.1*$A$2</f>
        <v>0</v>
      </c>
      <c r="C752" s="68">
        <f t="shared" si="73"/>
        <v>2219148.7781994981</v>
      </c>
      <c r="D752" s="67">
        <f t="array" ref="D752">SUM($B$7:$B747*$F$1009*EXP(-$F$1009*($A752-$A$7:$A747)))*$F$1010</f>
        <v>69510795.021621898</v>
      </c>
      <c r="E752" s="67">
        <f t="shared" si="71"/>
        <v>132.51619429150563</v>
      </c>
      <c r="F752" s="70">
        <f t="shared" si="75"/>
        <v>8.0463833173802222</v>
      </c>
      <c r="G752" s="67">
        <f>E752/'Lookup Tables'!$C$48</f>
        <v>265.03238858301125</v>
      </c>
      <c r="H752" s="70">
        <f t="shared" si="72"/>
        <v>3.1386138867230962E-2</v>
      </c>
      <c r="I752" s="71">
        <f t="shared" si="76"/>
        <v>0.38164663955953626</v>
      </c>
      <c r="L752" s="74"/>
      <c r="M752" s="74"/>
      <c r="N752" s="74"/>
      <c r="O752" s="74"/>
      <c r="P752" s="74"/>
      <c r="Q752" s="74"/>
      <c r="R752" s="74"/>
      <c r="S752" s="74"/>
      <c r="T752" s="74"/>
      <c r="U752" s="74"/>
      <c r="V752" s="74"/>
      <c r="W752" s="74"/>
      <c r="X752" s="74"/>
      <c r="Y752" s="74"/>
      <c r="Z752" s="74"/>
    </row>
    <row r="753" spans="1:26" x14ac:dyDescent="0.3">
      <c r="A753" s="66">
        <f t="shared" si="74"/>
        <v>2064.5999999999322</v>
      </c>
      <c r="B753" s="67">
        <f>LOOKUP(A753+0.01,Amounts!$A$4:$A$103,Amounts!$B$4:$B$103)*0.1*$A$2</f>
        <v>0</v>
      </c>
      <c r="C753" s="68">
        <f t="shared" si="73"/>
        <v>2219148.7781994981</v>
      </c>
      <c r="D753" s="67">
        <f t="array" ref="D753">SUM($B$7:$B748*$F$1009*EXP(-$F$1009*($A753-$A$7:$A748)))*$F$1010</f>
        <v>69316437.023739114</v>
      </c>
      <c r="E753" s="67">
        <f t="shared" si="71"/>
        <v>132.14566792647801</v>
      </c>
      <c r="F753" s="70">
        <f t="shared" si="75"/>
        <v>8.0238849564957455</v>
      </c>
      <c r="G753" s="67">
        <f>E753/'Lookup Tables'!$C$48</f>
        <v>264.29133585295602</v>
      </c>
      <c r="H753" s="70">
        <f t="shared" si="72"/>
        <v>3.1298380597316072E-2</v>
      </c>
      <c r="I753" s="71">
        <f t="shared" si="76"/>
        <v>0.3805795236282567</v>
      </c>
      <c r="L753" s="74"/>
      <c r="M753" s="74"/>
      <c r="N753" s="74"/>
      <c r="O753" s="74"/>
      <c r="P753" s="74"/>
      <c r="Q753" s="74"/>
      <c r="R753" s="74"/>
      <c r="S753" s="74"/>
      <c r="T753" s="74"/>
      <c r="U753" s="74"/>
      <c r="V753" s="74"/>
      <c r="W753" s="74"/>
      <c r="X753" s="74"/>
      <c r="Y753" s="74"/>
      <c r="Z753" s="74"/>
    </row>
    <row r="754" spans="1:26" x14ac:dyDescent="0.3">
      <c r="A754" s="66">
        <f t="shared" si="74"/>
        <v>2064.6999999999321</v>
      </c>
      <c r="B754" s="67">
        <f>LOOKUP(A754+0.01,Amounts!$A$4:$A$103,Amounts!$B$4:$B$103)*0.1*$A$2</f>
        <v>0</v>
      </c>
      <c r="C754" s="68">
        <f t="shared" si="73"/>
        <v>2219148.7781994981</v>
      </c>
      <c r="D754" s="67">
        <f t="array" ref="D754">SUM($B$7:$B749*$F$1009*EXP(-$F$1009*($A754-$A$7:$A749)))*$F$1010</f>
        <v>69122622.467077628</v>
      </c>
      <c r="E754" s="67">
        <f t="shared" si="71"/>
        <v>131.77617758416372</v>
      </c>
      <c r="F754" s="70">
        <f t="shared" si="75"/>
        <v>8.0014495029104218</v>
      </c>
      <c r="G754" s="67">
        <f>E754/'Lookup Tables'!$C$48</f>
        <v>263.55235516832744</v>
      </c>
      <c r="H754" s="70">
        <f t="shared" si="72"/>
        <v>3.1210867706865372E-2</v>
      </c>
      <c r="I754" s="71">
        <f t="shared" si="76"/>
        <v>0.37951539144239155</v>
      </c>
      <c r="L754" s="74"/>
      <c r="M754" s="74"/>
      <c r="N754" s="74"/>
      <c r="O754" s="74"/>
      <c r="P754" s="74"/>
      <c r="Q754" s="74"/>
      <c r="R754" s="74"/>
      <c r="S754" s="74"/>
      <c r="T754" s="74"/>
      <c r="U754" s="74"/>
      <c r="V754" s="74"/>
      <c r="W754" s="74"/>
      <c r="X754" s="74"/>
      <c r="Y754" s="74"/>
      <c r="Z754" s="74"/>
    </row>
    <row r="755" spans="1:26" x14ac:dyDescent="0.3">
      <c r="A755" s="66">
        <f t="shared" si="74"/>
        <v>2064.799999999932</v>
      </c>
      <c r="B755" s="67">
        <f>LOOKUP(A755+0.01,Amounts!$A$4:$A$103,Amounts!$B$4:$B$103)*0.1*$A$2</f>
        <v>0</v>
      </c>
      <c r="C755" s="68">
        <f t="shared" si="73"/>
        <v>2219148.7781994981</v>
      </c>
      <c r="D755" s="67">
        <f t="array" ref="D755">SUM($B$7:$B750*$F$1009*EXP(-$F$1009*($A755-$A$7:$A750)))*$F$1010</f>
        <v>68929349.832130373</v>
      </c>
      <c r="E755" s="67">
        <f t="shared" si="71"/>
        <v>131.40772036775678</v>
      </c>
      <c r="F755" s="70">
        <f t="shared" si="75"/>
        <v>7.9790767807301917</v>
      </c>
      <c r="G755" s="67">
        <f>E755/'Lookup Tables'!$C$48</f>
        <v>262.81544073551356</v>
      </c>
      <c r="H755" s="70">
        <f t="shared" si="72"/>
        <v>3.1123599509777375E-2</v>
      </c>
      <c r="I755" s="71">
        <f t="shared" si="76"/>
        <v>0.37845423465913952</v>
      </c>
      <c r="L755" s="74"/>
      <c r="M755" s="74"/>
      <c r="N755" s="74"/>
      <c r="O755" s="74"/>
      <c r="P755" s="74"/>
      <c r="Q755" s="74"/>
      <c r="R755" s="74"/>
      <c r="S755" s="74"/>
      <c r="T755" s="74"/>
      <c r="U755" s="74"/>
      <c r="V755" s="74"/>
      <c r="W755" s="74"/>
      <c r="X755" s="74"/>
      <c r="Y755" s="74"/>
      <c r="Z755" s="74"/>
    </row>
    <row r="756" spans="1:26" x14ac:dyDescent="0.3">
      <c r="A756" s="66">
        <f t="shared" si="74"/>
        <v>2064.8999999999319</v>
      </c>
      <c r="B756" s="67">
        <f>LOOKUP(A756+0.01,Amounts!$A$4:$A$103,Amounts!$B$4:$B$103)*0.1*$A$2</f>
        <v>0</v>
      </c>
      <c r="C756" s="68">
        <f t="shared" si="73"/>
        <v>2219148.7781994981</v>
      </c>
      <c r="D756" s="67">
        <f t="array" ref="D756">SUM($B$7:$B751*$F$1009*EXP(-$F$1009*($A756-$A$7:$A751)))*$F$1010</f>
        <v>68736617.603638828</v>
      </c>
      <c r="E756" s="67">
        <f t="shared" si="71"/>
        <v>131.04029338855051</v>
      </c>
      <c r="F756" s="70">
        <f t="shared" si="75"/>
        <v>7.9567666145527864</v>
      </c>
      <c r="G756" s="67">
        <f>E756/'Lookup Tables'!$C$48</f>
        <v>262.08058677710102</v>
      </c>
      <c r="H756" s="70">
        <f t="shared" si="72"/>
        <v>3.1036575321868935E-2</v>
      </c>
      <c r="I756" s="71">
        <f t="shared" si="76"/>
        <v>0.37739604495902546</v>
      </c>
      <c r="L756" s="74"/>
      <c r="M756" s="74"/>
      <c r="N756" s="74"/>
      <c r="O756" s="74"/>
      <c r="P756" s="74"/>
      <c r="Q756" s="74"/>
      <c r="R756" s="74"/>
      <c r="S756" s="74"/>
      <c r="T756" s="74"/>
      <c r="U756" s="74"/>
      <c r="V756" s="74"/>
      <c r="W756" s="74"/>
      <c r="X756" s="74"/>
      <c r="Y756" s="74"/>
      <c r="Z756" s="74"/>
    </row>
    <row r="757" spans="1:26" x14ac:dyDescent="0.3">
      <c r="A757" s="66">
        <f t="shared" si="74"/>
        <v>2064.9999999999318</v>
      </c>
      <c r="B757" s="67">
        <f>LOOKUP(A757+0.01,Amounts!$A$4:$A$103,Amounts!$B$4:$B$103)*0.1*$A$2</f>
        <v>0</v>
      </c>
      <c r="C757" s="68">
        <f t="shared" si="73"/>
        <v>2219148.7781994981</v>
      </c>
      <c r="D757" s="67">
        <f t="array" ref="D757">SUM($B$7:$B752*$F$1009*EXP(-$F$1009*($A757-$A$7:$A752)))*$F$1010</f>
        <v>68544424.270581439</v>
      </c>
      <c r="E757" s="67">
        <f t="shared" si="71"/>
        <v>130.67389376591575</v>
      </c>
      <c r="F757" s="70">
        <f t="shared" si="75"/>
        <v>7.9345188294664046</v>
      </c>
      <c r="G757" s="67">
        <f>E757/'Lookup Tables'!$C$48</f>
        <v>261.3477875318315</v>
      </c>
      <c r="H757" s="70">
        <f t="shared" si="72"/>
        <v>3.0949794460870032E-2</v>
      </c>
      <c r="I757" s="71">
        <f t="shared" si="76"/>
        <v>0.37634081404583736</v>
      </c>
      <c r="L757" s="74"/>
      <c r="M757" s="74"/>
      <c r="N757" s="74"/>
      <c r="O757" s="74"/>
      <c r="P757" s="74"/>
      <c r="Q757" s="74"/>
      <c r="R757" s="74"/>
      <c r="S757" s="74"/>
      <c r="T757" s="74"/>
      <c r="U757" s="74"/>
      <c r="V757" s="74"/>
      <c r="W757" s="74"/>
      <c r="X757" s="74"/>
      <c r="Y757" s="74"/>
      <c r="Z757" s="74"/>
    </row>
    <row r="758" spans="1:26" x14ac:dyDescent="0.3">
      <c r="A758" s="66">
        <f t="shared" si="74"/>
        <v>2065.0999999999317</v>
      </c>
      <c r="B758" s="67">
        <f>LOOKUP(A758+0.01,Amounts!$A$4:$A$103,Amounts!$B$4:$B$103)*0.1*$A$2</f>
        <v>0</v>
      </c>
      <c r="C758" s="68">
        <f t="shared" si="73"/>
        <v>2219148.7781994981</v>
      </c>
      <c r="D758" s="67">
        <f t="array" ref="D758">SUM($B$7:$B753*$F$1009*EXP(-$F$1009*($A758-$A$7:$A753)))*$F$1010</f>
        <v>68352768.32616137</v>
      </c>
      <c r="E758" s="67">
        <f t="shared" si="71"/>
        <v>130.30851862727732</v>
      </c>
      <c r="F758" s="70">
        <f t="shared" si="75"/>
        <v>7.9123332510482793</v>
      </c>
      <c r="G758" s="67">
        <f>E758/'Lookup Tables'!$C$48</f>
        <v>260.61703725455465</v>
      </c>
      <c r="H758" s="70">
        <f t="shared" si="72"/>
        <v>3.086325624641819E-2</v>
      </c>
      <c r="I758" s="71">
        <f t="shared" si="76"/>
        <v>0.37528853364655862</v>
      </c>
      <c r="L758" s="74"/>
      <c r="M758" s="74"/>
      <c r="N758" s="74"/>
      <c r="O758" s="74"/>
      <c r="P758" s="74"/>
      <c r="Q758" s="74"/>
      <c r="R758" s="74"/>
      <c r="S758" s="74"/>
      <c r="T758" s="74"/>
      <c r="U758" s="74"/>
      <c r="V758" s="74"/>
      <c r="W758" s="74"/>
      <c r="X758" s="74"/>
      <c r="Y758" s="74"/>
      <c r="Z758" s="74"/>
    </row>
    <row r="759" spans="1:26" x14ac:dyDescent="0.3">
      <c r="A759" s="66">
        <f t="shared" si="74"/>
        <v>2065.1999999999316</v>
      </c>
      <c r="B759" s="67">
        <f>LOOKUP(A759+0.01,Amounts!$A$4:$A$103,Amounts!$B$4:$B$103)*0.1*$A$2</f>
        <v>0</v>
      </c>
      <c r="C759" s="68">
        <f t="shared" si="73"/>
        <v>2219148.7781994981</v>
      </c>
      <c r="D759" s="67">
        <f t="array" ref="D759">SUM($B$7:$B754*$F$1009*EXP(-$F$1009*($A759-$A$7:$A754)))*$F$1010</f>
        <v>68161648.267795101</v>
      </c>
      <c r="E759" s="67">
        <f t="shared" si="71"/>
        <v>129.94416510809239</v>
      </c>
      <c r="F759" s="70">
        <f t="shared" si="75"/>
        <v>7.89020970536337</v>
      </c>
      <c r="G759" s="67">
        <f>E759/'Lookup Tables'!$C$48</f>
        <v>259.88833021618478</v>
      </c>
      <c r="H759" s="70">
        <f t="shared" si="72"/>
        <v>3.0776960000053411E-2</v>
      </c>
      <c r="I759" s="71">
        <f t="shared" si="76"/>
        <v>0.37423919551130608</v>
      </c>
      <c r="L759" s="74"/>
      <c r="M759" s="74"/>
      <c r="N759" s="74"/>
      <c r="O759" s="74"/>
      <c r="P759" s="74"/>
      <c r="Q759" s="74"/>
      <c r="R759" s="74"/>
      <c r="S759" s="74"/>
      <c r="T759" s="74"/>
      <c r="U759" s="74"/>
      <c r="V759" s="74"/>
      <c r="W759" s="74"/>
      <c r="X759" s="74"/>
      <c r="Y759" s="74"/>
      <c r="Z759" s="74"/>
    </row>
    <row r="760" spans="1:26" x14ac:dyDescent="0.3">
      <c r="A760" s="66">
        <f t="shared" si="74"/>
        <v>2065.2999999999315</v>
      </c>
      <c r="B760" s="67">
        <f>LOOKUP(A760+0.01,Amounts!$A$4:$A$103,Amounts!$B$4:$B$103)*0.1*$A$2</f>
        <v>0</v>
      </c>
      <c r="C760" s="68">
        <f t="shared" si="73"/>
        <v>2219148.7781994981</v>
      </c>
      <c r="D760" s="67">
        <f t="array" ref="D760">SUM($B$7:$B755*$F$1009*EXP(-$F$1009*($A760-$A$7:$A755)))*$F$1010</f>
        <v>67971062.597100392</v>
      </c>
      <c r="E760" s="67">
        <f t="shared" si="71"/>
        <v>129.58083035182756</v>
      </c>
      <c r="F760" s="70">
        <f t="shared" si="75"/>
        <v>7.8681480189629704</v>
      </c>
      <c r="G760" s="67">
        <f>E760/'Lookup Tables'!$C$48</f>
        <v>259.16166070365512</v>
      </c>
      <c r="H760" s="70">
        <f t="shared" si="72"/>
        <v>3.0690905045212699E-2</v>
      </c>
      <c r="I760" s="71">
        <f t="shared" si="76"/>
        <v>0.37319279141326339</v>
      </c>
      <c r="L760" s="74"/>
      <c r="M760" s="74"/>
      <c r="N760" s="74"/>
      <c r="O760" s="74"/>
      <c r="P760" s="74"/>
      <c r="Q760" s="74"/>
      <c r="R760" s="74"/>
      <c r="S760" s="74"/>
      <c r="T760" s="74"/>
      <c r="U760" s="74"/>
      <c r="V760" s="74"/>
      <c r="W760" s="74"/>
      <c r="X760" s="74"/>
      <c r="Y760" s="74"/>
      <c r="Z760" s="74"/>
    </row>
    <row r="761" spans="1:26" x14ac:dyDescent="0.3">
      <c r="A761" s="66">
        <f t="shared" si="74"/>
        <v>2065.3999999999314</v>
      </c>
      <c r="B761" s="67">
        <f>LOOKUP(A761+0.01,Amounts!$A$4:$A$103,Amounts!$B$4:$B$103)*0.1*$A$2</f>
        <v>0</v>
      </c>
      <c r="C761" s="68">
        <f t="shared" si="73"/>
        <v>2219148.7781994981</v>
      </c>
      <c r="D761" s="67">
        <f t="array" ref="D761">SUM($B$7:$B756*$F$1009*EXP(-$F$1009*($A761-$A$7:$A756)))*$F$1010</f>
        <v>67781009.819884568</v>
      </c>
      <c r="E761" s="67">
        <f t="shared" si="71"/>
        <v>129.21851150993635</v>
      </c>
      <c r="F761" s="70">
        <f t="shared" si="75"/>
        <v>7.8461480188833344</v>
      </c>
      <c r="G761" s="67">
        <f>E761/'Lookup Tables'!$C$48</f>
        <v>258.4370230198727</v>
      </c>
      <c r="H761" s="70">
        <f t="shared" si="72"/>
        <v>3.0605090707224718E-2</v>
      </c>
      <c r="I761" s="71">
        <f t="shared" si="76"/>
        <v>0.37214931314861671</v>
      </c>
      <c r="L761" s="74"/>
      <c r="M761" s="74"/>
      <c r="N761" s="74"/>
      <c r="O761" s="74"/>
      <c r="P761" s="74"/>
      <c r="Q761" s="74"/>
      <c r="R761" s="74"/>
      <c r="S761" s="74"/>
      <c r="T761" s="74"/>
      <c r="U761" s="74"/>
      <c r="V761" s="74"/>
      <c r="W761" s="74"/>
      <c r="X761" s="74"/>
      <c r="Y761" s="74"/>
      <c r="Z761" s="74"/>
    </row>
    <row r="762" spans="1:26" x14ac:dyDescent="0.3">
      <c r="A762" s="66">
        <f t="shared" si="74"/>
        <v>2065.4999999999313</v>
      </c>
      <c r="B762" s="67">
        <f>LOOKUP(A762+0.01,Amounts!$A$4:$A$103,Amounts!$B$4:$B$103)*0.1*$A$2</f>
        <v>0</v>
      </c>
      <c r="C762" s="68">
        <f t="shared" si="73"/>
        <v>2219148.7781994981</v>
      </c>
      <c r="D762" s="67">
        <f t="array" ref="D762">SUM($B$7:$B757*$F$1009*EXP(-$F$1009*($A762-$A$7:$A757)))*$F$1010</f>
        <v>67591488.446132913</v>
      </c>
      <c r="E762" s="67">
        <f t="shared" si="71"/>
        <v>128.85720574183722</v>
      </c>
      <c r="F762" s="70">
        <f t="shared" si="75"/>
        <v>7.8242095326443559</v>
      </c>
      <c r="G762" s="67">
        <f>E762/'Lookup Tables'!$C$48</f>
        <v>257.71441148367444</v>
      </c>
      <c r="H762" s="70">
        <f t="shared" si="72"/>
        <v>3.0519516313304636E-2</v>
      </c>
      <c r="I762" s="71">
        <f t="shared" si="76"/>
        <v>0.37110875253649112</v>
      </c>
      <c r="L762" s="74"/>
      <c r="M762" s="74"/>
      <c r="N762" s="74"/>
      <c r="O762" s="74"/>
      <c r="P762" s="74"/>
      <c r="Q762" s="74"/>
      <c r="R762" s="74"/>
      <c r="S762" s="74"/>
      <c r="T762" s="74"/>
      <c r="U762" s="74"/>
      <c r="V762" s="74"/>
      <c r="W762" s="74"/>
      <c r="X762" s="74"/>
      <c r="Y762" s="74"/>
      <c r="Z762" s="74"/>
    </row>
    <row r="763" spans="1:26" x14ac:dyDescent="0.3">
      <c r="A763" s="66">
        <f t="shared" si="74"/>
        <v>2065.5999999999312</v>
      </c>
      <c r="B763" s="67">
        <f>LOOKUP(A763+0.01,Amounts!$A$4:$A$103,Amounts!$B$4:$B$103)*0.1*$A$2</f>
        <v>0</v>
      </c>
      <c r="C763" s="68">
        <f t="shared" si="73"/>
        <v>2219148.7781994981</v>
      </c>
      <c r="D763" s="67">
        <f t="array" ref="D763">SUM($B$7:$B758*$F$1009*EXP(-$F$1009*($A763-$A$7:$A758)))*$F$1010</f>
        <v>67402496.98999691</v>
      </c>
      <c r="E763" s="67">
        <f t="shared" si="71"/>
        <v>128.49691021489119</v>
      </c>
      <c r="F763" s="70">
        <f t="shared" si="75"/>
        <v>7.8023323882481934</v>
      </c>
      <c r="G763" s="67">
        <f>E763/'Lookup Tables'!$C$48</f>
        <v>256.99382042978237</v>
      </c>
      <c r="H763" s="70">
        <f t="shared" si="72"/>
        <v>3.0434181192548794E-2</v>
      </c>
      <c r="I763" s="71">
        <f t="shared" si="76"/>
        <v>0.37007110141888661</v>
      </c>
      <c r="L763" s="74"/>
      <c r="M763" s="74"/>
      <c r="N763" s="74"/>
      <c r="O763" s="74"/>
      <c r="P763" s="74"/>
      <c r="Q763" s="74"/>
      <c r="R763" s="74"/>
      <c r="S763" s="74"/>
      <c r="T763" s="74"/>
      <c r="U763" s="74"/>
      <c r="V763" s="74"/>
      <c r="W763" s="74"/>
      <c r="X763" s="74"/>
      <c r="Y763" s="74"/>
      <c r="Z763" s="74"/>
    </row>
    <row r="764" spans="1:26" x14ac:dyDescent="0.3">
      <c r="A764" s="66">
        <f t="shared" si="74"/>
        <v>2065.6999999999312</v>
      </c>
      <c r="B764" s="67">
        <f>LOOKUP(A764+0.01,Amounts!$A$4:$A$103,Amounts!$B$4:$B$103)*0.1*$A$2</f>
        <v>0</v>
      </c>
      <c r="C764" s="68">
        <f t="shared" si="73"/>
        <v>2219148.7781994981</v>
      </c>
      <c r="D764" s="67">
        <f t="array" ref="D764">SUM($B$7:$B759*$F$1009*EXP(-$F$1009*($A764-$A$7:$A759)))*$F$1010</f>
        <v>67214033.969782546</v>
      </c>
      <c r="E764" s="67">
        <f t="shared" si="71"/>
        <v>128.1376221043794</v>
      </c>
      <c r="F764" s="70">
        <f t="shared" si="75"/>
        <v>7.7805164141779173</v>
      </c>
      <c r="G764" s="67">
        <f>E764/'Lookup Tables'!$C$48</f>
        <v>256.27524420875881</v>
      </c>
      <c r="H764" s="70">
        <f t="shared" si="72"/>
        <v>3.0349084675929387E-2</v>
      </c>
      <c r="I764" s="71">
        <f t="shared" si="76"/>
        <v>0.36903635166061266</v>
      </c>
      <c r="L764" s="74"/>
      <c r="M764" s="74"/>
      <c r="N764" s="74"/>
      <c r="O764" s="74"/>
      <c r="P764" s="74"/>
      <c r="Q764" s="74"/>
      <c r="R764" s="74"/>
      <c r="S764" s="74"/>
      <c r="T764" s="74"/>
      <c r="U764" s="74"/>
      <c r="V764" s="74"/>
      <c r="W764" s="74"/>
      <c r="X764" s="74"/>
      <c r="Y764" s="74"/>
      <c r="Z764" s="74"/>
    </row>
    <row r="765" spans="1:26" x14ac:dyDescent="0.3">
      <c r="A765" s="66">
        <f t="shared" si="74"/>
        <v>2065.7999999999311</v>
      </c>
      <c r="B765" s="67">
        <f>LOOKUP(A765+0.01,Amounts!$A$4:$A$103,Amounts!$B$4:$B$103)*0.1*$A$2</f>
        <v>0</v>
      </c>
      <c r="C765" s="68">
        <f t="shared" si="73"/>
        <v>2219148.7781994981</v>
      </c>
      <c r="D765" s="67">
        <f t="array" ref="D765">SUM($B$7:$B760*$F$1009*EXP(-$F$1009*($A765-$A$7:$A760)))*$F$1010</f>
        <v>67026097.907938778</v>
      </c>
      <c r="E765" s="67">
        <f t="shared" si="71"/>
        <v>127.77933859348124</v>
      </c>
      <c r="F765" s="70">
        <f t="shared" si="75"/>
        <v>7.7587614393961815</v>
      </c>
      <c r="G765" s="67">
        <f>E765/'Lookup Tables'!$C$48</f>
        <v>255.55867718696248</v>
      </c>
      <c r="H765" s="70">
        <f t="shared" si="72"/>
        <v>3.0264226096289287E-2</v>
      </c>
      <c r="I765" s="71">
        <f t="shared" si="76"/>
        <v>0.36800449514922601</v>
      </c>
      <c r="L765" s="74"/>
      <c r="M765" s="74"/>
      <c r="N765" s="74"/>
      <c r="O765" s="74"/>
      <c r="P765" s="74"/>
      <c r="Q765" s="74"/>
      <c r="R765" s="74"/>
      <c r="S765" s="74"/>
      <c r="T765" s="74"/>
      <c r="U765" s="74"/>
      <c r="V765" s="74"/>
      <c r="W765" s="74"/>
      <c r="X765" s="74"/>
      <c r="Y765" s="74"/>
      <c r="Z765" s="74"/>
    </row>
    <row r="766" spans="1:26" x14ac:dyDescent="0.3">
      <c r="A766" s="66">
        <f t="shared" si="74"/>
        <v>2065.899999999931</v>
      </c>
      <c r="B766" s="67">
        <f>LOOKUP(A766+0.01,Amounts!$A$4:$A$103,Amounts!$B$4:$B$103)*0.1*$A$2</f>
        <v>0</v>
      </c>
      <c r="C766" s="68">
        <f t="shared" si="73"/>
        <v>2219148.7781994981</v>
      </c>
      <c r="D766" s="67">
        <f t="array" ref="D766">SUM($B$7:$B761*$F$1009*EXP(-$F$1009*($A766-$A$7:$A761)))*$F$1010</f>
        <v>66838687.331045948</v>
      </c>
      <c r="E766" s="67">
        <f t="shared" si="71"/>
        <v>127.4220568732522</v>
      </c>
      <c r="F766" s="70">
        <f t="shared" si="75"/>
        <v>7.7370672933438733</v>
      </c>
      <c r="G766" s="67">
        <f>E766/'Lookup Tables'!$C$48</f>
        <v>254.84411374650441</v>
      </c>
      <c r="H766" s="70">
        <f t="shared" si="72"/>
        <v>3.0179604788336808E-2</v>
      </c>
      <c r="I766" s="71">
        <f t="shared" si="76"/>
        <v>0.36697552379496634</v>
      </c>
      <c r="L766" s="74"/>
      <c r="M766" s="74"/>
      <c r="N766" s="74"/>
      <c r="O766" s="74"/>
      <c r="P766" s="74"/>
      <c r="Q766" s="74"/>
      <c r="R766" s="74"/>
      <c r="S766" s="74"/>
      <c r="T766" s="74"/>
      <c r="U766" s="74"/>
      <c r="V766" s="74"/>
      <c r="W766" s="74"/>
      <c r="X766" s="74"/>
      <c r="Y766" s="74"/>
      <c r="Z766" s="74"/>
    </row>
    <row r="767" spans="1:26" x14ac:dyDescent="0.3">
      <c r="A767" s="66">
        <f t="shared" si="74"/>
        <v>2065.9999999999309</v>
      </c>
      <c r="B767" s="67">
        <f>LOOKUP(A767+0.01,Amounts!$A$4:$A$103,Amounts!$B$4:$B$103)*0.1*$A$2</f>
        <v>0</v>
      </c>
      <c r="C767" s="68">
        <f t="shared" si="73"/>
        <v>2219148.7781994981</v>
      </c>
      <c r="D767" s="67">
        <f t="array" ref="D767">SUM($B$7:$B762*$F$1009*EXP(-$F$1009*($A767-$A$7:$A762)))*$F$1010</f>
        <v>66651800.769804113</v>
      </c>
      <c r="E767" s="67">
        <f t="shared" si="71"/>
        <v>127.06577414260164</v>
      </c>
      <c r="F767" s="70">
        <f t="shared" si="75"/>
        <v>7.7154338059387717</v>
      </c>
      <c r="G767" s="67">
        <f>E767/'Lookup Tables'!$C$48</f>
        <v>254.13154828520328</v>
      </c>
      <c r="H767" s="70">
        <f t="shared" si="72"/>
        <v>3.0095220088640441E-2</v>
      </c>
      <c r="I767" s="71">
        <f t="shared" si="76"/>
        <v>0.36594942953069276</v>
      </c>
      <c r="L767" s="74"/>
      <c r="M767" s="74"/>
      <c r="N767" s="74"/>
      <c r="O767" s="74"/>
      <c r="P767" s="74"/>
      <c r="Q767" s="74"/>
      <c r="R767" s="74"/>
      <c r="S767" s="74"/>
      <c r="T767" s="74"/>
      <c r="U767" s="74"/>
      <c r="V767" s="74"/>
      <c r="W767" s="74"/>
      <c r="X767" s="74"/>
      <c r="Y767" s="74"/>
      <c r="Z767" s="74"/>
    </row>
    <row r="768" spans="1:26" x14ac:dyDescent="0.3">
      <c r="A768" s="66">
        <f t="shared" si="74"/>
        <v>2066.0999999999308</v>
      </c>
      <c r="B768" s="67">
        <f>LOOKUP(A768+0.01,Amounts!$A$4:$A$103,Amounts!$B$4:$B$103)*0.1*$A$2</f>
        <v>0</v>
      </c>
      <c r="C768" s="68">
        <f t="shared" si="73"/>
        <v>2219148.7781994981</v>
      </c>
      <c r="D768" s="67">
        <f t="array" ref="D768">SUM($B$7:$B763*$F$1009*EXP(-$F$1009*($A768-$A$7:$A763)))*$F$1010</f>
        <v>66465436.759021737</v>
      </c>
      <c r="E768" s="67">
        <f t="shared" si="71"/>
        <v>126.71048760827127</v>
      </c>
      <c r="F768" s="70">
        <f t="shared" si="75"/>
        <v>7.6938608075742314</v>
      </c>
      <c r="G768" s="67">
        <f>E768/'Lookup Tables'!$C$48</f>
        <v>253.42097521654253</v>
      </c>
      <c r="H768" s="70">
        <f t="shared" si="72"/>
        <v>3.001107133562373E-2</v>
      </c>
      <c r="I768" s="71">
        <f t="shared" si="76"/>
        <v>0.36492620431182127</v>
      </c>
      <c r="L768" s="74"/>
      <c r="M768" s="74"/>
      <c r="N768" s="74"/>
      <c r="O768" s="74"/>
      <c r="P768" s="74"/>
      <c r="Q768" s="74"/>
      <c r="R768" s="74"/>
      <c r="S768" s="74"/>
      <c r="T768" s="74"/>
      <c r="U768" s="74"/>
      <c r="V768" s="74"/>
      <c r="W768" s="74"/>
      <c r="X768" s="74"/>
      <c r="Y768" s="74"/>
      <c r="Z768" s="74"/>
    </row>
    <row r="769" spans="1:26" x14ac:dyDescent="0.3">
      <c r="A769" s="66">
        <f t="shared" si="74"/>
        <v>2066.1999999999307</v>
      </c>
      <c r="B769" s="67">
        <f>LOOKUP(A769+0.01,Amounts!$A$4:$A$103,Amounts!$B$4:$B$103)*0.1*$A$2</f>
        <v>0</v>
      </c>
      <c r="C769" s="68">
        <f t="shared" si="73"/>
        <v>2219148.7781994981</v>
      </c>
      <c r="D769" s="67">
        <f t="array" ref="D769">SUM($B$7:$B764*$F$1009*EXP(-$F$1009*($A769-$A$7:$A764)))*$F$1010</f>
        <v>66279593.837603956</v>
      </c>
      <c r="E769" s="67">
        <f t="shared" si="71"/>
        <v>126.35619448481268</v>
      </c>
      <c r="F769" s="70">
        <f t="shared" si="75"/>
        <v>7.6723481291178262</v>
      </c>
      <c r="G769" s="67">
        <f>E769/'Lookup Tables'!$C$48</f>
        <v>252.71238896962535</v>
      </c>
      <c r="H769" s="70">
        <f t="shared" si="72"/>
        <v>2.9927157869559989E-2</v>
      </c>
      <c r="I769" s="71">
        <f t="shared" si="76"/>
        <v>0.36390584011626054</v>
      </c>
      <c r="L769" s="74"/>
      <c r="M769" s="74"/>
      <c r="N769" s="74"/>
      <c r="O769" s="74"/>
      <c r="P769" s="74"/>
      <c r="Q769" s="74"/>
      <c r="R769" s="74"/>
      <c r="S769" s="74"/>
      <c r="T769" s="74"/>
      <c r="U769" s="74"/>
      <c r="V769" s="74"/>
      <c r="W769" s="74"/>
      <c r="X769" s="74"/>
      <c r="Y769" s="74"/>
      <c r="Z769" s="74"/>
    </row>
    <row r="770" spans="1:26" x14ac:dyDescent="0.3">
      <c r="A770" s="66">
        <f t="shared" si="74"/>
        <v>2066.2999999999306</v>
      </c>
      <c r="B770" s="67">
        <f>LOOKUP(A770+0.01,Amounts!$A$4:$A$103,Amounts!$B$4:$B$103)*0.1*$A$2</f>
        <v>0</v>
      </c>
      <c r="C770" s="68">
        <f t="shared" si="73"/>
        <v>2219148.7781994981</v>
      </c>
      <c r="D770" s="67">
        <f t="array" ref="D770">SUM($B$7:$B765*$F$1009*EXP(-$F$1009*($A770-$A$7:$A765)))*$F$1010</f>
        <v>66094270.548541397</v>
      </c>
      <c r="E770" s="67">
        <f t="shared" si="71"/>
        <v>126.00289199456614</v>
      </c>
      <c r="F770" s="70">
        <f t="shared" si="75"/>
        <v>7.6508956019100554</v>
      </c>
      <c r="G770" s="67">
        <f>E770/'Lookup Tables'!$C$48</f>
        <v>252.00578398913228</v>
      </c>
      <c r="H770" s="70">
        <f t="shared" si="72"/>
        <v>2.9843479032567254E-2</v>
      </c>
      <c r="I770" s="71">
        <f t="shared" si="76"/>
        <v>0.36288832894435047</v>
      </c>
      <c r="L770" s="74"/>
      <c r="M770" s="74"/>
      <c r="N770" s="74"/>
      <c r="O770" s="74"/>
      <c r="P770" s="74"/>
      <c r="Q770" s="74"/>
      <c r="R770" s="74"/>
      <c r="S770" s="74"/>
      <c r="T770" s="74"/>
      <c r="U770" s="74"/>
      <c r="V770" s="74"/>
      <c r="W770" s="74"/>
      <c r="X770" s="74"/>
      <c r="Y770" s="74"/>
      <c r="Z770" s="74"/>
    </row>
    <row r="771" spans="1:26" x14ac:dyDescent="0.3">
      <c r="A771" s="66">
        <f t="shared" si="74"/>
        <v>2066.3999999999305</v>
      </c>
      <c r="B771" s="67">
        <f>LOOKUP(A771+0.01,Amounts!$A$4:$A$103,Amounts!$B$4:$B$103)*0.1*$A$2</f>
        <v>0</v>
      </c>
      <c r="C771" s="68">
        <f t="shared" si="73"/>
        <v>2219148.7781994981</v>
      </c>
      <c r="D771" s="67">
        <f t="array" ref="D771">SUM($B$7:$B766*$F$1009*EXP(-$F$1009*($A771-$A$7:$A766)))*$F$1010</f>
        <v>65909465.438898474</v>
      </c>
      <c r="E771" s="67">
        <f t="shared" si="71"/>
        <v>125.65057736763825</v>
      </c>
      <c r="F771" s="70">
        <f t="shared" si="75"/>
        <v>7.6295030577629941</v>
      </c>
      <c r="G771" s="67">
        <f>E771/'Lookup Tables'!$C$48</f>
        <v>251.3011547352765</v>
      </c>
      <c r="H771" s="70">
        <f t="shared" si="72"/>
        <v>2.9760034168602997E-2</v>
      </c>
      <c r="I771" s="71">
        <f t="shared" si="76"/>
        <v>0.36187366281879818</v>
      </c>
      <c r="L771" s="74"/>
      <c r="M771" s="74"/>
      <c r="N771" s="74"/>
      <c r="O771" s="74"/>
      <c r="P771" s="74"/>
      <c r="Q771" s="74"/>
      <c r="R771" s="74"/>
      <c r="S771" s="74"/>
      <c r="T771" s="74"/>
      <c r="U771" s="74"/>
      <c r="V771" s="74"/>
      <c r="W771" s="74"/>
      <c r="X771" s="74"/>
      <c r="Y771" s="74"/>
      <c r="Z771" s="74"/>
    </row>
    <row r="772" spans="1:26" x14ac:dyDescent="0.3">
      <c r="A772" s="66">
        <f t="shared" si="74"/>
        <v>2066.4999999999304</v>
      </c>
      <c r="B772" s="67">
        <f>LOOKUP(A772+0.01,Amounts!$A$4:$A$103,Amounts!$B$4:$B$103)*0.1*$A$2</f>
        <v>0</v>
      </c>
      <c r="C772" s="68">
        <f t="shared" si="73"/>
        <v>2219148.7781994981</v>
      </c>
      <c r="D772" s="67">
        <f t="array" ref="D772">SUM($B$7:$B767*$F$1009*EXP(-$F$1009*($A772-$A$7:$A767)))*$F$1010</f>
        <v>65725177.059802182</v>
      </c>
      <c r="E772" s="67">
        <f t="shared" si="71"/>
        <v>125.2992478418805</v>
      </c>
      <c r="F772" s="70">
        <f t="shared" si="75"/>
        <v>7.6081703289589839</v>
      </c>
      <c r="G772" s="67">
        <f>E772/'Lookup Tables'!$C$48</f>
        <v>250.598495683761</v>
      </c>
      <c r="H772" s="70">
        <f t="shared" si="72"/>
        <v>2.9676822623459057E-2</v>
      </c>
      <c r="I772" s="71">
        <f t="shared" si="76"/>
        <v>0.36086183378461584</v>
      </c>
      <c r="L772" s="74"/>
      <c r="M772" s="74"/>
      <c r="N772" s="74"/>
      <c r="O772" s="74"/>
      <c r="P772" s="74"/>
      <c r="Q772" s="74"/>
      <c r="R772" s="74"/>
      <c r="S772" s="74"/>
      <c r="T772" s="74"/>
      <c r="U772" s="74"/>
      <c r="V772" s="74"/>
      <c r="W772" s="74"/>
      <c r="X772" s="74"/>
      <c r="Y772" s="74"/>
      <c r="Z772" s="74"/>
    </row>
    <row r="773" spans="1:26" x14ac:dyDescent="0.3">
      <c r="A773" s="66">
        <f t="shared" si="74"/>
        <v>2066.5999999999303</v>
      </c>
      <c r="B773" s="67">
        <f>LOOKUP(A773+0.01,Amounts!$A$4:$A$103,Amounts!$B$4:$B$103)*0.1*$A$2</f>
        <v>0</v>
      </c>
      <c r="C773" s="68">
        <f t="shared" si="73"/>
        <v>2219148.7781994981</v>
      </c>
      <c r="D773" s="67">
        <f t="array" ref="D773">SUM($B$7:$B768*$F$1009*EXP(-$F$1009*($A773-$A$7:$A768)))*$F$1010</f>
        <v>65541403.966430694</v>
      </c>
      <c r="E773" s="67">
        <f t="shared" si="71"/>
        <v>124.94890066286762</v>
      </c>
      <c r="F773" s="70">
        <f t="shared" si="75"/>
        <v>7.586897248249322</v>
      </c>
      <c r="G773" s="67">
        <f>E773/'Lookup Tables'!$C$48</f>
        <v>249.89780132573523</v>
      </c>
      <c r="H773" s="70">
        <f t="shared" si="72"/>
        <v>2.9593843744756484E-2</v>
      </c>
      <c r="I773" s="71">
        <f t="shared" si="76"/>
        <v>0.3598528339090587</v>
      </c>
      <c r="L773" s="74"/>
      <c r="M773" s="74"/>
      <c r="N773" s="74"/>
      <c r="O773" s="74"/>
      <c r="P773" s="74"/>
      <c r="Q773" s="74"/>
      <c r="R773" s="74"/>
      <c r="S773" s="74"/>
      <c r="T773" s="74"/>
      <c r="U773" s="74"/>
      <c r="V773" s="74"/>
      <c r="W773" s="74"/>
      <c r="X773" s="74"/>
      <c r="Y773" s="74"/>
      <c r="Z773" s="74"/>
    </row>
    <row r="774" spans="1:26" x14ac:dyDescent="0.3">
      <c r="A774" s="66">
        <f t="shared" si="74"/>
        <v>2066.6999999999302</v>
      </c>
      <c r="B774" s="67">
        <f>LOOKUP(A774+0.01,Amounts!$A$4:$A$103,Amounts!$B$4:$B$103)*0.1*$A$2</f>
        <v>0</v>
      </c>
      <c r="C774" s="68">
        <f t="shared" si="73"/>
        <v>2219148.7781994981</v>
      </c>
      <c r="D774" s="67">
        <f t="array" ref="D774">SUM($B$7:$B769*$F$1009*EXP(-$F$1009*($A774-$A$7:$A769)))*$F$1010</f>
        <v>65358144.718002021</v>
      </c>
      <c r="E774" s="67">
        <f t="shared" si="71"/>
        <v>124.59953308387597</v>
      </c>
      <c r="F774" s="70">
        <f t="shared" si="75"/>
        <v>7.5656836488529491</v>
      </c>
      <c r="G774" s="67">
        <f>E774/'Lookup Tables'!$C$48</f>
        <v>249.19906616775194</v>
      </c>
      <c r="H774" s="70">
        <f t="shared" si="72"/>
        <v>2.9511096881940473E-2</v>
      </c>
      <c r="I774" s="71">
        <f t="shared" si="76"/>
        <v>0.35884665528156284</v>
      </c>
      <c r="L774" s="74"/>
      <c r="M774" s="74"/>
      <c r="N774" s="74"/>
      <c r="O774" s="74"/>
      <c r="P774" s="74"/>
      <c r="Q774" s="74"/>
      <c r="R774" s="74"/>
      <c r="S774" s="74"/>
      <c r="T774" s="74"/>
      <c r="U774" s="74"/>
      <c r="V774" s="74"/>
      <c r="W774" s="74"/>
      <c r="X774" s="74"/>
      <c r="Y774" s="74"/>
      <c r="Z774" s="74"/>
    </row>
    <row r="775" spans="1:26" x14ac:dyDescent="0.3">
      <c r="A775" s="66">
        <f t="shared" si="74"/>
        <v>2066.7999999999302</v>
      </c>
      <c r="B775" s="67">
        <f>LOOKUP(A775+0.01,Amounts!$A$4:$A$103,Amounts!$B$4:$B$103)*0.1*$A$2</f>
        <v>0</v>
      </c>
      <c r="C775" s="68">
        <f t="shared" si="73"/>
        <v>2219148.7781994981</v>
      </c>
      <c r="D775" s="67">
        <f t="array" ref="D775">SUM($B$7:$B770*$F$1009*EXP(-$F$1009*($A775-$A$7:$A770)))*$F$1010</f>
        <v>65175397.87776272</v>
      </c>
      <c r="E775" s="67">
        <f t="shared" ref="E775:E838" si="77">D775/(365*24*60)*1.00201</f>
        <v>124.25114236586192</v>
      </c>
      <c r="F775" s="70">
        <f t="shared" si="75"/>
        <v>7.5445293644551361</v>
      </c>
      <c r="G775" s="67">
        <f>E775/'Lookup Tables'!$C$48</f>
        <v>248.50228473172385</v>
      </c>
      <c r="H775" s="70">
        <f t="shared" ref="H775:H838" si="78">G775*60*24*365/(C775*2000)</f>
        <v>2.9428581386275163E-2</v>
      </c>
      <c r="I775" s="71">
        <f t="shared" si="76"/>
        <v>0.35784329001368231</v>
      </c>
      <c r="L775" s="74"/>
      <c r="M775" s="74"/>
      <c r="N775" s="74"/>
      <c r="O775" s="74"/>
      <c r="P775" s="74"/>
      <c r="Q775" s="74"/>
      <c r="R775" s="74"/>
      <c r="S775" s="74"/>
      <c r="T775" s="74"/>
      <c r="U775" s="74"/>
      <c r="V775" s="74"/>
      <c r="W775" s="74"/>
      <c r="X775" s="74"/>
      <c r="Y775" s="74"/>
      <c r="Z775" s="74"/>
    </row>
    <row r="776" spans="1:26" x14ac:dyDescent="0.3">
      <c r="A776" s="66">
        <f t="shared" si="74"/>
        <v>2066.8999999999301</v>
      </c>
      <c r="B776" s="67">
        <f>LOOKUP(A776+0.01,Amounts!$A$4:$A$103,Amounts!$B$4:$B$103)*0.1*$A$2</f>
        <v>0</v>
      </c>
      <c r="C776" s="68">
        <f t="shared" si="73"/>
        <v>2219148.7781994981</v>
      </c>
      <c r="D776" s="67">
        <f t="array" ref="D776">SUM($B$7:$B771*$F$1009*EXP(-$F$1009*($A776-$A$7:$A771)))*$F$1010</f>
        <v>64993162.012976572</v>
      </c>
      <c r="E776" s="67">
        <f t="shared" si="77"/>
        <v>123.90372577744037</v>
      </c>
      <c r="F776" s="70">
        <f t="shared" si="75"/>
        <v>7.5234342292061793</v>
      </c>
      <c r="G776" s="67">
        <f>E776/'Lookup Tables'!$C$48</f>
        <v>247.80745155488074</v>
      </c>
      <c r="H776" s="70">
        <f t="shared" si="78"/>
        <v>2.9346296610838648E-2</v>
      </c>
      <c r="I776" s="71">
        <f t="shared" si="76"/>
        <v>0.35684273023902829</v>
      </c>
      <c r="L776" s="74"/>
      <c r="M776" s="74"/>
      <c r="N776" s="74"/>
      <c r="O776" s="74"/>
      <c r="P776" s="74"/>
      <c r="Q776" s="74"/>
      <c r="R776" s="74"/>
      <c r="S776" s="74"/>
      <c r="T776" s="74"/>
      <c r="U776" s="74"/>
      <c r="V776" s="74"/>
      <c r="W776" s="74"/>
      <c r="X776" s="74"/>
      <c r="Y776" s="74"/>
      <c r="Z776" s="74"/>
    </row>
    <row r="777" spans="1:26" x14ac:dyDescent="0.3">
      <c r="A777" s="66">
        <f t="shared" si="74"/>
        <v>2066.99999999993</v>
      </c>
      <c r="B777" s="67">
        <f>LOOKUP(A777+0.01,Amounts!$A$4:$A$103,Amounts!$B$4:$B$103)*0.1*$A$2</f>
        <v>0</v>
      </c>
      <c r="C777" s="68">
        <f t="shared" ref="C777:C840" si="79">C776+B777</f>
        <v>2219148.7781994981</v>
      </c>
      <c r="D777" s="67">
        <f t="array" ref="D777">SUM($B$7:$B772*$F$1009*EXP(-$F$1009*($A777-$A$7:$A772)))*$F$1010</f>
        <v>64811435.694913529</v>
      </c>
      <c r="E777" s="67">
        <f t="shared" si="77"/>
        <v>123.5572805948636</v>
      </c>
      <c r="F777" s="70">
        <f t="shared" si="75"/>
        <v>7.5023980777201178</v>
      </c>
      <c r="G777" s="67">
        <f>E777/'Lookup Tables'!$C$48</f>
        <v>247.1145611897272</v>
      </c>
      <c r="H777" s="70">
        <f t="shared" si="78"/>
        <v>2.926424191051788E-2</v>
      </c>
      <c r="I777" s="71">
        <f t="shared" si="76"/>
        <v>0.35584496811320715</v>
      </c>
      <c r="L777" s="74"/>
      <c r="M777" s="74"/>
      <c r="N777" s="74"/>
      <c r="O777" s="74"/>
      <c r="P777" s="74"/>
      <c r="Q777" s="74"/>
      <c r="R777" s="74"/>
      <c r="S777" s="74"/>
      <c r="T777" s="74"/>
      <c r="U777" s="74"/>
      <c r="V777" s="74"/>
      <c r="W777" s="74"/>
      <c r="X777" s="74"/>
      <c r="Y777" s="74"/>
      <c r="Z777" s="74"/>
    </row>
    <row r="778" spans="1:26" x14ac:dyDescent="0.3">
      <c r="A778" s="66">
        <f t="shared" si="74"/>
        <v>2067.0999999999299</v>
      </c>
      <c r="B778" s="67">
        <f>LOOKUP(A778+0.01,Amounts!$A$4:$A$103,Amounts!$B$4:$B$103)*0.1*$A$2</f>
        <v>0</v>
      </c>
      <c r="C778" s="68">
        <f t="shared" si="79"/>
        <v>2219148.7781994981</v>
      </c>
      <c r="D778" s="67">
        <f t="array" ref="D778">SUM($B$7:$B773*$F$1009*EXP(-$F$1009*($A778-$A$7:$A773)))*$F$1010</f>
        <v>64630217.498838283</v>
      </c>
      <c r="E778" s="67">
        <f t="shared" si="77"/>
        <v>123.21180410199953</v>
      </c>
      <c r="F778" s="70">
        <f t="shared" si="75"/>
        <v>7.4814207450734118</v>
      </c>
      <c r="G778" s="67">
        <f>E778/'Lookup Tables'!$C$48</f>
        <v>246.42360820399907</v>
      </c>
      <c r="H778" s="70">
        <f t="shared" si="78"/>
        <v>2.9182416642003581E-2</v>
      </c>
      <c r="I778" s="71">
        <f t="shared" si="76"/>
        <v>0.35484999581375865</v>
      </c>
      <c r="L778" s="74"/>
      <c r="M778" s="74"/>
      <c r="N778" s="74"/>
      <c r="O778" s="74"/>
      <c r="P778" s="74"/>
      <c r="Q778" s="74"/>
      <c r="R778" s="74"/>
      <c r="S778" s="74"/>
      <c r="T778" s="74"/>
      <c r="U778" s="74"/>
      <c r="V778" s="74"/>
      <c r="W778" s="74"/>
      <c r="X778" s="74"/>
      <c r="Y778" s="74"/>
      <c r="Z778" s="74"/>
    </row>
    <row r="779" spans="1:26" x14ac:dyDescent="0.3">
      <c r="A779" s="66">
        <f t="shared" si="74"/>
        <v>2067.1999999999298</v>
      </c>
      <c r="B779" s="67">
        <f>LOOKUP(A779+0.01,Amounts!$A$4:$A$103,Amounts!$B$4:$B$103)*0.1*$A$2</f>
        <v>0</v>
      </c>
      <c r="C779" s="68">
        <f t="shared" si="79"/>
        <v>2219148.7781994981</v>
      </c>
      <c r="D779" s="67">
        <f t="array" ref="D779">SUM($B$7:$B774*$F$1009*EXP(-$F$1009*($A779-$A$7:$A774)))*$F$1010</f>
        <v>64449506.003999323</v>
      </c>
      <c r="E779" s="67">
        <f t="shared" si="77"/>
        <v>122.86729359031081</v>
      </c>
      <c r="F779" s="70">
        <f t="shared" si="75"/>
        <v>7.4605020668036728</v>
      </c>
      <c r="G779" s="67">
        <f>E779/'Lookup Tables'!$C$48</f>
        <v>245.73458718062162</v>
      </c>
      <c r="H779" s="70">
        <f t="shared" si="78"/>
        <v>2.9100820163785252E-2</v>
      </c>
      <c r="I779" s="71">
        <f t="shared" si="76"/>
        <v>0.35385780554009516</v>
      </c>
      <c r="L779" s="74"/>
      <c r="M779" s="74"/>
      <c r="N779" s="74"/>
      <c r="O779" s="74"/>
      <c r="P779" s="74"/>
      <c r="Q779" s="74"/>
      <c r="R779" s="74"/>
      <c r="S779" s="74"/>
      <c r="T779" s="74"/>
      <c r="U779" s="74"/>
      <c r="V779" s="74"/>
      <c r="W779" s="74"/>
      <c r="X779" s="74"/>
      <c r="Y779" s="74"/>
      <c r="Z779" s="74"/>
    </row>
    <row r="780" spans="1:26" x14ac:dyDescent="0.3">
      <c r="A780" s="66">
        <f t="shared" si="74"/>
        <v>2067.2999999999297</v>
      </c>
      <c r="B780" s="67">
        <f>LOOKUP(A780+0.01,Amounts!$A$4:$A$103,Amounts!$B$4:$B$103)*0.1*$A$2</f>
        <v>0</v>
      </c>
      <c r="C780" s="68">
        <f t="shared" si="79"/>
        <v>2219148.7781994981</v>
      </c>
      <c r="D780" s="67">
        <f t="array" ref="D780">SUM($B$7:$B775*$F$1009*EXP(-$F$1009*($A780-$A$7:$A775)))*$F$1010</f>
        <v>64269299.793617547</v>
      </c>
      <c r="E780" s="67">
        <f t="shared" si="77"/>
        <v>122.52374635883319</v>
      </c>
      <c r="F780" s="70">
        <f t="shared" si="75"/>
        <v>7.4396418789083514</v>
      </c>
      <c r="G780" s="67">
        <f>E780/'Lookup Tables'!$C$48</f>
        <v>245.04749271766639</v>
      </c>
      <c r="H780" s="70">
        <f t="shared" si="78"/>
        <v>2.9019451836146071E-2</v>
      </c>
      <c r="I780" s="71">
        <f t="shared" si="76"/>
        <v>0.35286838951343963</v>
      </c>
      <c r="L780" s="74"/>
      <c r="M780" s="74"/>
      <c r="N780" s="74"/>
      <c r="O780" s="74"/>
      <c r="P780" s="74"/>
      <c r="Q780" s="74"/>
      <c r="R780" s="74"/>
      <c r="S780" s="74"/>
      <c r="T780" s="74"/>
      <c r="U780" s="74"/>
      <c r="V780" s="74"/>
      <c r="W780" s="74"/>
      <c r="X780" s="74"/>
      <c r="Y780" s="74"/>
      <c r="Z780" s="74"/>
    </row>
    <row r="781" spans="1:26" x14ac:dyDescent="0.3">
      <c r="A781" s="66">
        <f t="shared" si="74"/>
        <v>2067.3999999999296</v>
      </c>
      <c r="B781" s="67">
        <f>LOOKUP(A781+0.01,Amounts!$A$4:$A$103,Amounts!$B$4:$B$103)*0.1*$A$2</f>
        <v>0</v>
      </c>
      <c r="C781" s="68">
        <f t="shared" si="79"/>
        <v>2219148.7781994981</v>
      </c>
      <c r="D781" s="67">
        <f t="array" ref="D781">SUM($B$7:$B776*$F$1009*EXP(-$F$1009*($A781-$A$7:$A776)))*$F$1010</f>
        <v>64089597.454875328</v>
      </c>
      <c r="E781" s="67">
        <f t="shared" si="77"/>
        <v>122.18115971415455</v>
      </c>
      <c r="F781" s="70">
        <f t="shared" si="75"/>
        <v>7.4188400178434648</v>
      </c>
      <c r="G781" s="67">
        <f>E781/'Lookup Tables'!$C$48</f>
        <v>244.36231942830909</v>
      </c>
      <c r="H781" s="70">
        <f t="shared" si="78"/>
        <v>2.8938311021157903E-2</v>
      </c>
      <c r="I781" s="71">
        <f t="shared" si="76"/>
        <v>0.35188173997676514</v>
      </c>
      <c r="L781" s="74"/>
      <c r="M781" s="74"/>
      <c r="N781" s="74"/>
      <c r="O781" s="74"/>
      <c r="P781" s="74"/>
      <c r="Q781" s="74"/>
      <c r="R781" s="74"/>
      <c r="S781" s="74"/>
      <c r="T781" s="74"/>
      <c r="U781" s="74"/>
      <c r="V781" s="74"/>
      <c r="W781" s="74"/>
      <c r="X781" s="74"/>
      <c r="Y781" s="74"/>
      <c r="Z781" s="74"/>
    </row>
    <row r="782" spans="1:26" x14ac:dyDescent="0.3">
      <c r="A782" s="66">
        <f t="shared" si="74"/>
        <v>2067.4999999999295</v>
      </c>
      <c r="B782" s="67">
        <f>LOOKUP(A782+0.01,Amounts!$A$4:$A$103,Amounts!$B$4:$B$103)*0.1*$A$2</f>
        <v>0</v>
      </c>
      <c r="C782" s="68">
        <f t="shared" si="79"/>
        <v>2219148.7781994981</v>
      </c>
      <c r="D782" s="67">
        <f t="array" ref="D782">SUM($B$7:$B777*$F$1009*EXP(-$F$1009*($A782-$A$7:$A777)))*$F$1010</f>
        <v>63910397.578905433</v>
      </c>
      <c r="E782" s="67">
        <f t="shared" si="77"/>
        <v>121.83953097039389</v>
      </c>
      <c r="F782" s="70">
        <f t="shared" si="75"/>
        <v>7.3980963205223169</v>
      </c>
      <c r="G782" s="67">
        <f>E782/'Lookup Tables'!$C$48</f>
        <v>243.67906194078779</v>
      </c>
      <c r="H782" s="70">
        <f t="shared" si="78"/>
        <v>2.8857397082676373E-2</v>
      </c>
      <c r="I782" s="71">
        <f t="shared" si="76"/>
        <v>0.35089784919473443</v>
      </c>
      <c r="L782" s="74"/>
      <c r="M782" s="74"/>
      <c r="N782" s="74"/>
      <c r="O782" s="74"/>
      <c r="P782" s="74"/>
      <c r="Q782" s="74"/>
      <c r="R782" s="74"/>
      <c r="S782" s="74"/>
      <c r="T782" s="74"/>
      <c r="U782" s="74"/>
      <c r="V782" s="74"/>
      <c r="W782" s="74"/>
      <c r="X782" s="74"/>
      <c r="Y782" s="74"/>
      <c r="Z782" s="74"/>
    </row>
    <row r="783" spans="1:26" x14ac:dyDescent="0.3">
      <c r="A783" s="66">
        <f t="shared" si="74"/>
        <v>2067.5999999999294</v>
      </c>
      <c r="B783" s="67">
        <f>LOOKUP(A783+0.01,Amounts!$A$4:$A$103,Amounts!$B$4:$B$103)*0.1*$A$2</f>
        <v>0</v>
      </c>
      <c r="C783" s="68">
        <f t="shared" si="79"/>
        <v>2219148.7781994981</v>
      </c>
      <c r="D783" s="67">
        <f t="array" ref="D783">SUM($B$7:$B778*$F$1009*EXP(-$F$1009*($A783-$A$7:$A778)))*$F$1010</f>
        <v>63731698.760779932</v>
      </c>
      <c r="E783" s="67">
        <f t="shared" si="77"/>
        <v>121.49885744918019</v>
      </c>
      <c r="F783" s="70">
        <f t="shared" si="75"/>
        <v>7.3774106243142219</v>
      </c>
      <c r="G783" s="67">
        <f>E783/'Lookup Tables'!$C$48</f>
        <v>242.99771489836039</v>
      </c>
      <c r="H783" s="70">
        <f t="shared" si="78"/>
        <v>2.8776709386335798E-2</v>
      </c>
      <c r="I783" s="71">
        <f t="shared" si="76"/>
        <v>0.34991670945363901</v>
      </c>
      <c r="L783" s="74"/>
      <c r="M783" s="74"/>
      <c r="N783" s="74"/>
      <c r="O783" s="74"/>
      <c r="P783" s="74"/>
      <c r="Q783" s="74"/>
      <c r="R783" s="74"/>
      <c r="S783" s="74"/>
      <c r="T783" s="74"/>
      <c r="U783" s="74"/>
      <c r="V783" s="74"/>
      <c r="W783" s="74"/>
      <c r="X783" s="74"/>
      <c r="Y783" s="74"/>
      <c r="Z783" s="74"/>
    </row>
    <row r="784" spans="1:26" x14ac:dyDescent="0.3">
      <c r="A784" s="66">
        <f t="shared" si="74"/>
        <v>2067.6999999999293</v>
      </c>
      <c r="B784" s="67">
        <f>LOOKUP(A784+0.01,Amounts!$A$4:$A$103,Amounts!$B$4:$B$103)*0.1*$A$2</f>
        <v>0</v>
      </c>
      <c r="C784" s="68">
        <f t="shared" si="79"/>
        <v>2219148.7781994981</v>
      </c>
      <c r="D784" s="67">
        <f t="array" ref="D784">SUM($B$7:$B779*$F$1009*EXP(-$F$1009*($A784-$A$7:$A779)))*$F$1010</f>
        <v>63553499.599499129</v>
      </c>
      <c r="E784" s="67">
        <f t="shared" si="77"/>
        <v>121.15913647963113</v>
      </c>
      <c r="F784" s="70">
        <f t="shared" si="75"/>
        <v>7.3567827670432022</v>
      </c>
      <c r="G784" s="67">
        <f>E784/'Lookup Tables'!$C$48</f>
        <v>242.31827295926226</v>
      </c>
      <c r="H784" s="70">
        <f t="shared" si="78"/>
        <v>2.8696247299544186E-2</v>
      </c>
      <c r="I784" s="71">
        <f t="shared" si="76"/>
        <v>0.34893831306133771</v>
      </c>
      <c r="L784" s="74"/>
      <c r="M784" s="74"/>
      <c r="N784" s="74"/>
      <c r="O784" s="74"/>
      <c r="P784" s="74"/>
      <c r="Q784" s="74"/>
      <c r="R784" s="74"/>
      <c r="S784" s="74"/>
      <c r="T784" s="74"/>
      <c r="U784" s="74"/>
      <c r="V784" s="74"/>
      <c r="W784" s="74"/>
      <c r="X784" s="74"/>
      <c r="Y784" s="74"/>
      <c r="Z784" s="74"/>
    </row>
    <row r="785" spans="1:26" x14ac:dyDescent="0.3">
      <c r="A785" s="66">
        <f t="shared" si="74"/>
        <v>2067.7999999999292</v>
      </c>
      <c r="B785" s="67">
        <f>LOOKUP(A785+0.01,Amounts!$A$4:$A$103,Amounts!$B$4:$B$103)*0.1*$A$2</f>
        <v>0</v>
      </c>
      <c r="C785" s="68">
        <f t="shared" si="79"/>
        <v>2219148.7781994981</v>
      </c>
      <c r="D785" s="67">
        <f t="array" ref="D785">SUM($B$7:$B780*$F$1009*EXP(-$F$1009*($A785-$A$7:$A780)))*$F$1010</f>
        <v>63375798.697980739</v>
      </c>
      <c r="E785" s="67">
        <f t="shared" si="77"/>
        <v>120.82036539833273</v>
      </c>
      <c r="F785" s="70">
        <f t="shared" si="75"/>
        <v>7.336212586986762</v>
      </c>
      <c r="G785" s="67">
        <f>E785/'Lookup Tables'!$C$48</f>
        <v>241.64073079666545</v>
      </c>
      <c r="H785" s="70">
        <f t="shared" si="78"/>
        <v>2.8616010191478396E-2</v>
      </c>
      <c r="I785" s="71">
        <f t="shared" si="76"/>
        <v>0.3479626523471982</v>
      </c>
      <c r="L785" s="74"/>
      <c r="M785" s="74"/>
      <c r="N785" s="74"/>
      <c r="O785" s="74"/>
      <c r="P785" s="74"/>
      <c r="Q785" s="74"/>
      <c r="R785" s="74"/>
      <c r="S785" s="74"/>
      <c r="T785" s="74"/>
      <c r="U785" s="74"/>
      <c r="V785" s="74"/>
      <c r="W785" s="74"/>
      <c r="X785" s="74"/>
      <c r="Y785" s="74"/>
      <c r="Z785" s="74"/>
    </row>
    <row r="786" spans="1:26" x14ac:dyDescent="0.3">
      <c r="A786" s="66">
        <f t="shared" si="74"/>
        <v>2067.8999999999292</v>
      </c>
      <c r="B786" s="67">
        <f>LOOKUP(A786+0.01,Amounts!$A$4:$A$103,Amounts!$B$4:$B$103)*0.1*$A$2</f>
        <v>0</v>
      </c>
      <c r="C786" s="68">
        <f t="shared" si="79"/>
        <v>2219148.7781994981</v>
      </c>
      <c r="D786" s="67">
        <f t="array" ref="D786">SUM($B$7:$B781*$F$1009*EXP(-$F$1009*($A786-$A$7:$A781)))*$F$1010</f>
        <v>63198594.663048752</v>
      </c>
      <c r="E786" s="67">
        <f t="shared" si="77"/>
        <v>120.4825415493179</v>
      </c>
      <c r="F786" s="70">
        <f t="shared" si="75"/>
        <v>7.3156999228745834</v>
      </c>
      <c r="G786" s="67">
        <f>E786/'Lookup Tables'!$C$48</f>
        <v>240.9650830986358</v>
      </c>
      <c r="H786" s="70">
        <f t="shared" si="78"/>
        <v>2.8535997433079097E-2</v>
      </c>
      <c r="I786" s="71">
        <f t="shared" si="76"/>
        <v>0.34698971966203557</v>
      </c>
      <c r="L786" s="74"/>
      <c r="M786" s="74"/>
      <c r="N786" s="74"/>
      <c r="O786" s="74"/>
      <c r="P786" s="74"/>
      <c r="Q786" s="74"/>
      <c r="R786" s="74"/>
      <c r="S786" s="74"/>
      <c r="T786" s="74"/>
      <c r="U786" s="74"/>
      <c r="V786" s="74"/>
      <c r="W786" s="74"/>
      <c r="X786" s="74"/>
      <c r="Y786" s="74"/>
      <c r="Z786" s="74"/>
    </row>
    <row r="787" spans="1:26" x14ac:dyDescent="0.3">
      <c r="A787" s="66">
        <f t="shared" ref="A787:A850" si="80">A786+0.1</f>
        <v>2067.9999999999291</v>
      </c>
      <c r="B787" s="67">
        <f>LOOKUP(A787+0.01,Amounts!$A$4:$A$103,Amounts!$B$4:$B$103)*0.1*$A$2</f>
        <v>0</v>
      </c>
      <c r="C787" s="68">
        <f t="shared" si="79"/>
        <v>2219148.7781994981</v>
      </c>
      <c r="D787" s="67">
        <f t="array" ref="D787">SUM($B$7:$B782*$F$1009*EXP(-$F$1009*($A787-$A$7:$A782)))*$F$1010</f>
        <v>63021886.105422623</v>
      </c>
      <c r="E787" s="67">
        <f t="shared" si="77"/>
        <v>120.14566228404591</v>
      </c>
      <c r="F787" s="70">
        <f t="shared" ref="F787:F850" si="81">E787*60*1012/1000000</f>
        <v>7.2952446138872675</v>
      </c>
      <c r="G787" s="67">
        <f>E787/'Lookup Tables'!$C$48</f>
        <v>240.29132456809182</v>
      </c>
      <c r="H787" s="70">
        <f t="shared" si="78"/>
        <v>2.845620839704582E-2</v>
      </c>
      <c r="I787" s="71">
        <f t="shared" ref="I787:I850" si="82">G787*60*24/1000000</f>
        <v>0.3460195073780522</v>
      </c>
      <c r="L787" s="74"/>
      <c r="M787" s="74"/>
      <c r="N787" s="74"/>
      <c r="O787" s="74"/>
      <c r="P787" s="74"/>
      <c r="Q787" s="74"/>
      <c r="R787" s="74"/>
      <c r="S787" s="74"/>
      <c r="T787" s="74"/>
      <c r="U787" s="74"/>
      <c r="V787" s="74"/>
      <c r="W787" s="74"/>
      <c r="X787" s="74"/>
      <c r="Y787" s="74"/>
      <c r="Z787" s="74"/>
    </row>
    <row r="788" spans="1:26" x14ac:dyDescent="0.3">
      <c r="A788" s="66">
        <f t="shared" si="80"/>
        <v>2068.099999999929</v>
      </c>
      <c r="B788" s="67">
        <f>LOOKUP(A788+0.01,Amounts!$A$4:$A$103,Amounts!$B$4:$B$103)*0.1*$A$2</f>
        <v>0</v>
      </c>
      <c r="C788" s="68">
        <f t="shared" si="79"/>
        <v>2219148.7781994981</v>
      </c>
      <c r="D788" s="67">
        <f t="array" ref="D788">SUM($B$7:$B783*$F$1009*EXP(-$F$1009*($A788-$A$7:$A783)))*$F$1010</f>
        <v>62845671.639706381</v>
      </c>
      <c r="E788" s="67">
        <f t="shared" si="77"/>
        <v>119.80972496138165</v>
      </c>
      <c r="F788" s="70">
        <f t="shared" si="81"/>
        <v>7.2748464996550943</v>
      </c>
      <c r="G788" s="67">
        <f>E788/'Lookup Tables'!$C$48</f>
        <v>239.61944992276329</v>
      </c>
      <c r="H788" s="70">
        <f t="shared" si="78"/>
        <v>2.8376642457832141E-2</v>
      </c>
      <c r="I788" s="71">
        <f t="shared" si="82"/>
        <v>0.34505200788877916</v>
      </c>
      <c r="L788" s="74"/>
      <c r="M788" s="74"/>
      <c r="N788" s="74"/>
      <c r="O788" s="74"/>
      <c r="P788" s="74"/>
      <c r="Q788" s="74"/>
      <c r="R788" s="74"/>
      <c r="S788" s="74"/>
      <c r="T788" s="74"/>
      <c r="U788" s="74"/>
      <c r="V788" s="74"/>
      <c r="W788" s="74"/>
      <c r="X788" s="74"/>
      <c r="Y788" s="74"/>
      <c r="Z788" s="74"/>
    </row>
    <row r="789" spans="1:26" x14ac:dyDescent="0.3">
      <c r="A789" s="66">
        <f t="shared" si="80"/>
        <v>2068.1999999999289</v>
      </c>
      <c r="B789" s="67">
        <f>LOOKUP(A789+0.01,Amounts!$A$4:$A$103,Amounts!$B$4:$B$103)*0.1*$A$2</f>
        <v>0</v>
      </c>
      <c r="C789" s="68">
        <f t="shared" si="79"/>
        <v>2219148.7781994981</v>
      </c>
      <c r="D789" s="67">
        <f t="array" ref="D789">SUM($B$7:$B784*$F$1009*EXP(-$F$1009*($A789-$A$7:$A784)))*$F$1010</f>
        <v>62669949.884377703</v>
      </c>
      <c r="E789" s="67">
        <f t="shared" si="77"/>
        <v>119.47472694757478</v>
      </c>
      <c r="F789" s="70">
        <f t="shared" si="81"/>
        <v>7.2545054202567414</v>
      </c>
      <c r="G789" s="67">
        <f>E789/'Lookup Tables'!$C$48</f>
        <v>238.94945389514956</v>
      </c>
      <c r="H789" s="70">
        <f t="shared" si="78"/>
        <v>2.8297298991640681E-2</v>
      </c>
      <c r="I789" s="71">
        <f t="shared" si="82"/>
        <v>0.3440872136090154</v>
      </c>
      <c r="L789" s="74"/>
      <c r="M789" s="74"/>
      <c r="N789" s="74"/>
      <c r="O789" s="74"/>
      <c r="P789" s="74"/>
      <c r="Q789" s="74"/>
      <c r="R789" s="74"/>
      <c r="S789" s="74"/>
      <c r="T789" s="74"/>
      <c r="U789" s="74"/>
      <c r="V789" s="74"/>
      <c r="W789" s="74"/>
      <c r="X789" s="74"/>
      <c r="Y789" s="74"/>
      <c r="Z789" s="74"/>
    </row>
    <row r="790" spans="1:26" x14ac:dyDescent="0.3">
      <c r="A790" s="66">
        <f t="shared" si="80"/>
        <v>2068.2999999999288</v>
      </c>
      <c r="B790" s="67">
        <f>LOOKUP(A790+0.01,Amounts!$A$4:$A$103,Amounts!$B$4:$B$103)*0.1*$A$2</f>
        <v>0</v>
      </c>
      <c r="C790" s="68">
        <f t="shared" si="79"/>
        <v>2219148.7781994981</v>
      </c>
      <c r="D790" s="67">
        <f t="array" ref="D790">SUM($B$7:$B785*$F$1009*EXP(-$F$1009*($A790-$A$7:$A785)))*$F$1010</f>
        <v>62494719.461777106</v>
      </c>
      <c r="E790" s="67">
        <f t="shared" si="77"/>
        <v>119.14066561623912</v>
      </c>
      <c r="F790" s="70">
        <f t="shared" si="81"/>
        <v>7.2342212162180397</v>
      </c>
      <c r="G790" s="67">
        <f>E790/'Lookup Tables'!$C$48</f>
        <v>238.28133123247824</v>
      </c>
      <c r="H790" s="70">
        <f t="shared" si="78"/>
        <v>2.8218177376418251E-2</v>
      </c>
      <c r="I790" s="71">
        <f t="shared" si="82"/>
        <v>0.34312511697476866</v>
      </c>
      <c r="L790" s="74"/>
      <c r="M790" s="74"/>
      <c r="N790" s="74"/>
      <c r="O790" s="74"/>
      <c r="P790" s="74"/>
      <c r="Q790" s="74"/>
      <c r="R790" s="74"/>
      <c r="S790" s="74"/>
      <c r="T790" s="74"/>
      <c r="U790" s="74"/>
      <c r="V790" s="74"/>
      <c r="W790" s="74"/>
      <c r="X790" s="74"/>
      <c r="Y790" s="74"/>
      <c r="Z790" s="74"/>
    </row>
    <row r="791" spans="1:26" x14ac:dyDescent="0.3">
      <c r="A791" s="66">
        <f t="shared" si="80"/>
        <v>2068.3999999999287</v>
      </c>
      <c r="B791" s="67">
        <f>LOOKUP(A791+0.01,Amounts!$A$4:$A$103,Amounts!$B$4:$B$103)*0.1*$A$2</f>
        <v>0</v>
      </c>
      <c r="C791" s="68">
        <f t="shared" si="79"/>
        <v>2219148.7781994981</v>
      </c>
      <c r="D791" s="67">
        <f t="array" ref="D791">SUM($B$7:$B786*$F$1009*EXP(-$F$1009*($A791-$A$7:$A786)))*$F$1010</f>
        <v>62319978.998097196</v>
      </c>
      <c r="E791" s="67">
        <f t="shared" si="77"/>
        <v>118.80753834833214</v>
      </c>
      <c r="F791" s="70">
        <f t="shared" si="81"/>
        <v>7.2139937285107285</v>
      </c>
      <c r="G791" s="67">
        <f>E791/'Lookup Tables'!$C$48</f>
        <v>237.61507669666429</v>
      </c>
      <c r="H791" s="70">
        <f t="shared" si="78"/>
        <v>2.8139276991850991E-2</v>
      </c>
      <c r="I791" s="71">
        <f t="shared" si="82"/>
        <v>0.3421657104431966</v>
      </c>
      <c r="L791" s="74"/>
      <c r="M791" s="74"/>
      <c r="N791" s="74"/>
      <c r="O791" s="74"/>
      <c r="P791" s="74"/>
      <c r="Q791" s="74"/>
      <c r="R791" s="74"/>
      <c r="S791" s="74"/>
      <c r="T791" s="74"/>
      <c r="U791" s="74"/>
      <c r="V791" s="74"/>
      <c r="W791" s="74"/>
      <c r="X791" s="74"/>
      <c r="Y791" s="74"/>
      <c r="Z791" s="74"/>
    </row>
    <row r="792" spans="1:26" x14ac:dyDescent="0.3">
      <c r="A792" s="66">
        <f t="shared" si="80"/>
        <v>2068.4999999999286</v>
      </c>
      <c r="B792" s="67">
        <f>LOOKUP(A792+0.01,Amounts!$A$4:$A$103,Amounts!$B$4:$B$103)*0.1*$A$2</f>
        <v>0</v>
      </c>
      <c r="C792" s="68">
        <f t="shared" si="79"/>
        <v>2219148.7781994981</v>
      </c>
      <c r="D792" s="67">
        <f t="array" ref="D792">SUM($B$7:$B787*$F$1009*EXP(-$F$1009*($A792-$A$7:$A787)))*$F$1010</f>
        <v>62145727.123371832</v>
      </c>
      <c r="E792" s="67">
        <f t="shared" si="77"/>
        <v>118.47534253213435</v>
      </c>
      <c r="F792" s="70">
        <f t="shared" si="81"/>
        <v>7.1938227985511976</v>
      </c>
      <c r="G792" s="67">
        <f>E792/'Lookup Tables'!$C$48</f>
        <v>236.9506850642687</v>
      </c>
      <c r="H792" s="70">
        <f t="shared" si="78"/>
        <v>2.8060597219359471E-2</v>
      </c>
      <c r="I792" s="71">
        <f t="shared" si="82"/>
        <v>0.34120898649254694</v>
      </c>
      <c r="L792" s="74"/>
      <c r="M792" s="74"/>
      <c r="N792" s="74"/>
      <c r="O792" s="74"/>
      <c r="P792" s="74"/>
      <c r="Q792" s="74"/>
      <c r="R792" s="74"/>
      <c r="S792" s="74"/>
      <c r="T792" s="74"/>
      <c r="U792" s="74"/>
      <c r="V792" s="74"/>
      <c r="W792" s="74"/>
      <c r="X792" s="74"/>
      <c r="Y792" s="74"/>
      <c r="Z792" s="74"/>
    </row>
    <row r="793" spans="1:26" x14ac:dyDescent="0.3">
      <c r="A793" s="66">
        <f t="shared" si="80"/>
        <v>2068.5999999999285</v>
      </c>
      <c r="B793" s="67">
        <f>LOOKUP(A793+0.01,Amounts!$A$4:$A$103,Amounts!$B$4:$B$103)*0.1*$A$2</f>
        <v>0</v>
      </c>
      <c r="C793" s="68">
        <f t="shared" si="79"/>
        <v>2219148.7781994981</v>
      </c>
      <c r="D793" s="67">
        <f t="array" ref="D793">SUM($B$7:$B788*$F$1009*EXP(-$F$1009*($A793-$A$7:$A788)))*$F$1010</f>
        <v>61971962.471465439</v>
      </c>
      <c r="E793" s="67">
        <f t="shared" si="77"/>
        <v>118.14407556322887</v>
      </c>
      <c r="F793" s="70">
        <f t="shared" si="81"/>
        <v>7.173708268199257</v>
      </c>
      <c r="G793" s="67">
        <f>E793/'Lookup Tables'!$C$48</f>
        <v>236.28815112645773</v>
      </c>
      <c r="H793" s="70">
        <f t="shared" si="78"/>
        <v>2.7982137442093893E-2</v>
      </c>
      <c r="I793" s="71">
        <f t="shared" si="82"/>
        <v>0.34025493762209913</v>
      </c>
      <c r="L793" s="74"/>
      <c r="M793" s="74"/>
      <c r="N793" s="74"/>
      <c r="O793" s="74"/>
      <c r="P793" s="74"/>
      <c r="Q793" s="74"/>
      <c r="R793" s="74"/>
      <c r="S793" s="74"/>
      <c r="T793" s="74"/>
      <c r="U793" s="74"/>
      <c r="V793" s="74"/>
      <c r="W793" s="74"/>
      <c r="X793" s="74"/>
      <c r="Y793" s="74"/>
      <c r="Z793" s="74"/>
    </row>
    <row r="794" spans="1:26" x14ac:dyDescent="0.3">
      <c r="A794" s="66">
        <f t="shared" si="80"/>
        <v>2068.6999999999284</v>
      </c>
      <c r="B794" s="67">
        <f>LOOKUP(A794+0.01,Amounts!$A$4:$A$103,Amounts!$B$4:$B$103)*0.1*$A$2</f>
        <v>0</v>
      </c>
      <c r="C794" s="68">
        <f t="shared" si="79"/>
        <v>2219148.7781994981</v>
      </c>
      <c r="D794" s="67">
        <f t="array" ref="D794">SUM($B$7:$B789*$F$1009*EXP(-$F$1009*($A794-$A$7:$A789)))*$F$1010</f>
        <v>61798683.680062249</v>
      </c>
      <c r="E794" s="67">
        <f t="shared" si="77"/>
        <v>117.81373484448093</v>
      </c>
      <c r="F794" s="70">
        <f t="shared" si="81"/>
        <v>7.1536499797568824</v>
      </c>
      <c r="G794" s="67">
        <f>E794/'Lookup Tables'!$C$48</f>
        <v>235.62746968896187</v>
      </c>
      <c r="H794" s="70">
        <f t="shared" si="78"/>
        <v>2.7903897044929182E-2</v>
      </c>
      <c r="I794" s="71">
        <f t="shared" si="82"/>
        <v>0.33930355635210513</v>
      </c>
      <c r="L794" s="74"/>
      <c r="M794" s="74"/>
      <c r="N794" s="74"/>
      <c r="O794" s="74"/>
      <c r="P794" s="74"/>
      <c r="Q794" s="74"/>
      <c r="R794" s="74"/>
      <c r="S794" s="74"/>
      <c r="T794" s="74"/>
      <c r="U794" s="74"/>
      <c r="V794" s="74"/>
      <c r="W794" s="74"/>
      <c r="X794" s="74"/>
      <c r="Y794" s="74"/>
      <c r="Z794" s="74"/>
    </row>
    <row r="795" spans="1:26" x14ac:dyDescent="0.3">
      <c r="A795" s="66">
        <f t="shared" si="80"/>
        <v>2068.7999999999283</v>
      </c>
      <c r="B795" s="67">
        <f>LOOKUP(A795+0.01,Amounts!$A$4:$A$103,Amounts!$B$4:$B$103)*0.1*$A$2</f>
        <v>0</v>
      </c>
      <c r="C795" s="68">
        <f t="shared" si="79"/>
        <v>2219148.7781994981</v>
      </c>
      <c r="D795" s="67">
        <f t="array" ref="D795">SUM($B$7:$B790*$F$1009*EXP(-$F$1009*($A795-$A$7:$A790)))*$F$1010</f>
        <v>61625889.390655659</v>
      </c>
      <c r="E795" s="67">
        <f t="shared" si="77"/>
        <v>117.48431778601766</v>
      </c>
      <c r="F795" s="70">
        <f t="shared" si="81"/>
        <v>7.1336477759669918</v>
      </c>
      <c r="G795" s="67">
        <f>E795/'Lookup Tables'!$C$48</f>
        <v>234.96863557203531</v>
      </c>
      <c r="H795" s="70">
        <f t="shared" si="78"/>
        <v>2.782587541446023E-2</v>
      </c>
      <c r="I795" s="71">
        <f t="shared" si="82"/>
        <v>0.33835483522373083</v>
      </c>
      <c r="L795" s="74"/>
      <c r="M795" s="74"/>
      <c r="N795" s="74"/>
      <c r="O795" s="74"/>
      <c r="P795" s="74"/>
      <c r="Q795" s="74"/>
      <c r="R795" s="74"/>
      <c r="S795" s="74"/>
      <c r="T795" s="74"/>
      <c r="U795" s="74"/>
      <c r="V795" s="74"/>
      <c r="W795" s="74"/>
      <c r="X795" s="74"/>
      <c r="Y795" s="74"/>
      <c r="Z795" s="74"/>
    </row>
    <row r="796" spans="1:26" x14ac:dyDescent="0.3">
      <c r="A796" s="66">
        <f t="shared" si="80"/>
        <v>2068.8999999999282</v>
      </c>
      <c r="B796" s="67">
        <f>LOOKUP(A796+0.01,Amounts!$A$4:$A$103,Amounts!$B$4:$B$103)*0.1*$A$2</f>
        <v>0</v>
      </c>
      <c r="C796" s="68">
        <f t="shared" si="79"/>
        <v>2219148.7781994981</v>
      </c>
      <c r="D796" s="67">
        <f t="array" ref="D796">SUM($B$7:$B791*$F$1009*EXP(-$F$1009*($A796-$A$7:$A791)))*$F$1010</f>
        <v>61453578.248537555</v>
      </c>
      <c r="E796" s="67">
        <f t="shared" si="77"/>
        <v>117.15582180520761</v>
      </c>
      <c r="F796" s="70">
        <f t="shared" si="81"/>
        <v>7.1137015000122057</v>
      </c>
      <c r="G796" s="67">
        <f>E796/'Lookup Tables'!$C$48</f>
        <v>234.31164361041522</v>
      </c>
      <c r="H796" s="70">
        <f t="shared" si="78"/>
        <v>2.774807193899707E-2</v>
      </c>
      <c r="I796" s="71">
        <f t="shared" si="82"/>
        <v>0.33740876679899795</v>
      </c>
      <c r="L796" s="74"/>
      <c r="M796" s="74"/>
      <c r="N796" s="74"/>
      <c r="O796" s="74"/>
      <c r="P796" s="74"/>
      <c r="Q796" s="74"/>
      <c r="R796" s="74"/>
      <c r="S796" s="74"/>
      <c r="T796" s="74"/>
      <c r="U796" s="74"/>
      <c r="V796" s="74"/>
      <c r="W796" s="74"/>
      <c r="X796" s="74"/>
      <c r="Y796" s="74"/>
      <c r="Z796" s="74"/>
    </row>
    <row r="797" spans="1:26" x14ac:dyDescent="0.3">
      <c r="A797" s="66">
        <f t="shared" si="80"/>
        <v>2068.9999999999281</v>
      </c>
      <c r="B797" s="67">
        <f>LOOKUP(A797+0.01,Amounts!$A$4:$A$103,Amounts!$B$4:$B$103)*0.1*$A$2</f>
        <v>0</v>
      </c>
      <c r="C797" s="68">
        <f t="shared" si="79"/>
        <v>2219148.7781994981</v>
      </c>
      <c r="D797" s="67">
        <f t="array" ref="D797">SUM($B$7:$B792*$F$1009*EXP(-$F$1009*($A797-$A$7:$A792)))*$F$1010</f>
        <v>61281748.902787693</v>
      </c>
      <c r="E797" s="67">
        <f t="shared" si="77"/>
        <v>116.8282443266406</v>
      </c>
      <c r="F797" s="70">
        <f t="shared" si="81"/>
        <v>7.0938109955136177</v>
      </c>
      <c r="G797" s="67">
        <f>E797/'Lookup Tables'!$C$48</f>
        <v>233.6564886532812</v>
      </c>
      <c r="H797" s="70">
        <f t="shared" si="78"/>
        <v>2.7670486008560032E-2</v>
      </c>
      <c r="I797" s="71">
        <f t="shared" si="82"/>
        <v>0.33646534366072495</v>
      </c>
      <c r="L797" s="74"/>
      <c r="M797" s="74"/>
      <c r="N797" s="74"/>
      <c r="O797" s="74"/>
      <c r="P797" s="74"/>
      <c r="Q797" s="74"/>
      <c r="R797" s="74"/>
      <c r="S797" s="74"/>
      <c r="T797" s="74"/>
      <c r="U797" s="74"/>
      <c r="V797" s="74"/>
      <c r="W797" s="74"/>
      <c r="X797" s="74"/>
      <c r="Y797" s="74"/>
      <c r="Z797" s="74"/>
    </row>
    <row r="798" spans="1:26" x14ac:dyDescent="0.3">
      <c r="A798" s="66">
        <f t="shared" si="80"/>
        <v>2069.0999999999281</v>
      </c>
      <c r="B798" s="67">
        <f>LOOKUP(A798+0.01,Amounts!$A$4:$A$103,Amounts!$B$4:$B$103)*0.1*$A$2</f>
        <v>0</v>
      </c>
      <c r="C798" s="68">
        <f t="shared" si="79"/>
        <v>2219148.7781994981</v>
      </c>
      <c r="D798" s="67">
        <f t="array" ref="D798">SUM($B$7:$B793*$F$1009*EXP(-$F$1009*($A798-$A$7:$A793)))*$F$1010</f>
        <v>61110400.0062631</v>
      </c>
      <c r="E798" s="67">
        <f t="shared" si="77"/>
        <v>116.50158278210748</v>
      </c>
      <c r="F798" s="70">
        <f t="shared" si="81"/>
        <v>7.0739761065295657</v>
      </c>
      <c r="G798" s="67">
        <f>E798/'Lookup Tables'!$C$48</f>
        <v>233.00316556421495</v>
      </c>
      <c r="H798" s="70">
        <f t="shared" si="78"/>
        <v>2.7593117014875022E-2</v>
      </c>
      <c r="I798" s="71">
        <f t="shared" si="82"/>
        <v>0.33552455841246953</v>
      </c>
      <c r="L798" s="74"/>
      <c r="M798" s="74"/>
      <c r="N798" s="74"/>
      <c r="O798" s="74"/>
      <c r="P798" s="74"/>
      <c r="Q798" s="74"/>
      <c r="R798" s="74"/>
      <c r="S798" s="74"/>
      <c r="T798" s="74"/>
      <c r="U798" s="74"/>
      <c r="V798" s="74"/>
      <c r="W798" s="74"/>
      <c r="X798" s="74"/>
      <c r="Y798" s="74"/>
      <c r="Z798" s="74"/>
    </row>
    <row r="799" spans="1:26" x14ac:dyDescent="0.3">
      <c r="A799" s="66">
        <f t="shared" si="80"/>
        <v>2069.199999999928</v>
      </c>
      <c r="B799" s="67">
        <f>LOOKUP(A799+0.01,Amounts!$A$4:$A$103,Amounts!$B$4:$B$103)*0.1*$A$2</f>
        <v>0</v>
      </c>
      <c r="C799" s="68">
        <f t="shared" si="79"/>
        <v>2219148.7781994981</v>
      </c>
      <c r="D799" s="67">
        <f t="array" ref="D799">SUM($B$7:$B794*$F$1009*EXP(-$F$1009*($A799-$A$7:$A794)))*$F$1010</f>
        <v>60939530.215587586</v>
      </c>
      <c r="E799" s="67">
        <f t="shared" si="77"/>
        <v>116.17583461058014</v>
      </c>
      <c r="F799" s="70">
        <f t="shared" si="81"/>
        <v>7.0541966775544269</v>
      </c>
      <c r="G799" s="67">
        <f>E799/'Lookup Tables'!$C$48</f>
        <v>232.35166922116028</v>
      </c>
      <c r="H799" s="70">
        <f t="shared" si="78"/>
        <v>2.7515964351368757E-2</v>
      </c>
      <c r="I799" s="71">
        <f t="shared" si="82"/>
        <v>0.33458640367847081</v>
      </c>
      <c r="L799" s="74"/>
      <c r="M799" s="74"/>
      <c r="N799" s="74"/>
      <c r="O799" s="74"/>
      <c r="P799" s="74"/>
      <c r="Q799" s="74"/>
      <c r="R799" s="74"/>
      <c r="S799" s="74"/>
      <c r="T799" s="74"/>
      <c r="U799" s="74"/>
      <c r="V799" s="74"/>
      <c r="W799" s="74"/>
      <c r="X799" s="74"/>
      <c r="Y799" s="74"/>
      <c r="Z799" s="74"/>
    </row>
    <row r="800" spans="1:26" x14ac:dyDescent="0.3">
      <c r="A800" s="66">
        <f t="shared" si="80"/>
        <v>2069.2999999999279</v>
      </c>
      <c r="B800" s="67">
        <f>LOOKUP(A800+0.01,Amounts!$A$4:$A$103,Amounts!$B$4:$B$103)*0.1*$A$2</f>
        <v>0</v>
      </c>
      <c r="C800" s="68">
        <f t="shared" si="79"/>
        <v>2219148.7781994981</v>
      </c>
      <c r="D800" s="67">
        <f t="array" ref="D800">SUM($B$7:$B795*$F$1009*EXP(-$F$1009*($A800-$A$7:$A795)))*$F$1010</f>
        <v>60769138.191141114</v>
      </c>
      <c r="E800" s="67">
        <f t="shared" si="77"/>
        <v>115.85099725819123</v>
      </c>
      <c r="F800" s="70">
        <f t="shared" si="81"/>
        <v>7.0344725535173716</v>
      </c>
      <c r="G800" s="67">
        <f>E800/'Lookup Tables'!$C$48</f>
        <v>231.70199451638246</v>
      </c>
      <c r="H800" s="70">
        <f t="shared" si="78"/>
        <v>2.7439027413163949E-2</v>
      </c>
      <c r="I800" s="71">
        <f t="shared" si="82"/>
        <v>0.33365087210359073</v>
      </c>
      <c r="L800" s="74"/>
      <c r="M800" s="74"/>
      <c r="N800" s="74"/>
      <c r="O800" s="74"/>
      <c r="P800" s="74"/>
      <c r="Q800" s="74"/>
      <c r="R800" s="74"/>
      <c r="S800" s="74"/>
      <c r="T800" s="74"/>
      <c r="U800" s="74"/>
      <c r="V800" s="74"/>
      <c r="W800" s="74"/>
      <c r="X800" s="74"/>
      <c r="Y800" s="74"/>
      <c r="Z800" s="74"/>
    </row>
    <row r="801" spans="1:26" x14ac:dyDescent="0.3">
      <c r="A801" s="66">
        <f t="shared" si="80"/>
        <v>2069.3999999999278</v>
      </c>
      <c r="B801" s="67">
        <f>LOOKUP(A801+0.01,Amounts!$A$4:$A$103,Amounts!$B$4:$B$103)*0.1*$A$2</f>
        <v>0</v>
      </c>
      <c r="C801" s="68">
        <f t="shared" si="79"/>
        <v>2219148.7781994981</v>
      </c>
      <c r="D801" s="67">
        <f t="array" ref="D801">SUM($B$7:$B796*$F$1009*EXP(-$F$1009*($A801-$A$7:$A796)))*$F$1010</f>
        <v>60599222.597049311</v>
      </c>
      <c r="E801" s="67">
        <f t="shared" si="77"/>
        <v>115.52706817821421</v>
      </c>
      <c r="F801" s="70">
        <f t="shared" si="81"/>
        <v>7.0148035797811659</v>
      </c>
      <c r="G801" s="67">
        <f>E801/'Lookup Tables'!$C$48</f>
        <v>231.05413635642842</v>
      </c>
      <c r="H801" s="70">
        <f t="shared" si="78"/>
        <v>2.7362305597074602E-2</v>
      </c>
      <c r="I801" s="71">
        <f t="shared" si="82"/>
        <v>0.33271795635325696</v>
      </c>
      <c r="L801" s="74"/>
      <c r="M801" s="74"/>
      <c r="N801" s="74"/>
      <c r="O801" s="74"/>
      <c r="P801" s="74"/>
      <c r="Q801" s="74"/>
      <c r="R801" s="74"/>
      <c r="S801" s="74"/>
      <c r="T801" s="74"/>
      <c r="U801" s="74"/>
      <c r="V801" s="74"/>
      <c r="W801" s="74"/>
      <c r="X801" s="74"/>
      <c r="Y801" s="74"/>
      <c r="Z801" s="74"/>
    </row>
    <row r="802" spans="1:26" x14ac:dyDescent="0.3">
      <c r="A802" s="66">
        <f t="shared" si="80"/>
        <v>2069.4999999999277</v>
      </c>
      <c r="B802" s="67">
        <f>LOOKUP(A802+0.01,Amounts!$A$4:$A$103,Amounts!$B$4:$B$103)*0.1*$A$2</f>
        <v>0</v>
      </c>
      <c r="C802" s="68">
        <f t="shared" si="79"/>
        <v>2219148.7781994981</v>
      </c>
      <c r="D802" s="67">
        <f t="array" ref="D802">SUM($B$7:$B797*$F$1009*EXP(-$F$1009*($A802-$A$7:$A797)))*$F$1010</f>
        <v>60429782.101173036</v>
      </c>
      <c r="E802" s="67">
        <f t="shared" si="77"/>
        <v>115.20404483104338</v>
      </c>
      <c r="F802" s="70">
        <f t="shared" si="81"/>
        <v>6.9951896021409539</v>
      </c>
      <c r="G802" s="67">
        <f>E802/'Lookup Tables'!$C$48</f>
        <v>230.40808966208675</v>
      </c>
      <c r="H802" s="70">
        <f t="shared" si="78"/>
        <v>2.7285798301601268E-2</v>
      </c>
      <c r="I802" s="71">
        <f t="shared" si="82"/>
        <v>0.33178764911340491</v>
      </c>
      <c r="L802" s="74"/>
      <c r="M802" s="74"/>
      <c r="N802" s="74"/>
      <c r="O802" s="74"/>
      <c r="P802" s="74"/>
      <c r="Q802" s="74"/>
      <c r="R802" s="74"/>
      <c r="S802" s="74"/>
      <c r="T802" s="74"/>
      <c r="U802" s="74"/>
      <c r="V802" s="74"/>
      <c r="W802" s="74"/>
      <c r="X802" s="74"/>
      <c r="Y802" s="74"/>
      <c r="Z802" s="74"/>
    </row>
    <row r="803" spans="1:26" x14ac:dyDescent="0.3">
      <c r="A803" s="66">
        <f t="shared" si="80"/>
        <v>2069.5999999999276</v>
      </c>
      <c r="B803" s="67">
        <f>LOOKUP(A803+0.01,Amounts!$A$4:$A$103,Amounts!$B$4:$B$103)*0.1*$A$2</f>
        <v>0</v>
      </c>
      <c r="C803" s="68">
        <f t="shared" si="79"/>
        <v>2219148.7781994981</v>
      </c>
      <c r="D803" s="67">
        <f t="array" ref="D803">SUM($B$7:$B798*$F$1009*EXP(-$F$1009*($A803-$A$7:$A798)))*$F$1010</f>
        <v>60260815.375097997</v>
      </c>
      <c r="E803" s="67">
        <f t="shared" si="77"/>
        <v>114.88192468417418</v>
      </c>
      <c r="F803" s="70">
        <f t="shared" si="81"/>
        <v>6.9756304668230564</v>
      </c>
      <c r="G803" s="67">
        <f>E803/'Lookup Tables'!$C$48</f>
        <v>229.76384936834836</v>
      </c>
      <c r="H803" s="70">
        <f t="shared" si="78"/>
        <v>2.7209504926926399E-2</v>
      </c>
      <c r="I803" s="71">
        <f t="shared" si="82"/>
        <v>0.3308599430904216</v>
      </c>
      <c r="L803" s="74"/>
      <c r="M803" s="74"/>
      <c r="N803" s="74"/>
      <c r="O803" s="74"/>
      <c r="P803" s="74"/>
      <c r="Q803" s="74"/>
      <c r="R803" s="74"/>
      <c r="S803" s="74"/>
      <c r="T803" s="74"/>
      <c r="U803" s="74"/>
      <c r="V803" s="74"/>
      <c r="W803" s="74"/>
      <c r="X803" s="74"/>
      <c r="Y803" s="74"/>
      <c r="Z803" s="74"/>
    </row>
    <row r="804" spans="1:26" x14ac:dyDescent="0.3">
      <c r="A804" s="66">
        <f t="shared" si="80"/>
        <v>2069.6999999999275</v>
      </c>
      <c r="B804" s="67">
        <f>LOOKUP(A804+0.01,Amounts!$A$4:$A$103,Amounts!$B$4:$B$103)*0.1*$A$2</f>
        <v>0</v>
      </c>
      <c r="C804" s="68">
        <f t="shared" si="79"/>
        <v>2219148.7781994981</v>
      </c>
      <c r="D804" s="67">
        <f t="array" ref="D804">SUM($B$7:$B799*$F$1009*EXP(-$F$1009*($A804-$A$7:$A799)))*$F$1010</f>
        <v>60092321.094124176</v>
      </c>
      <c r="E804" s="67">
        <f t="shared" si="77"/>
        <v>114.56070521218297</v>
      </c>
      <c r="F804" s="70">
        <f t="shared" si="81"/>
        <v>6.9561260204837501</v>
      </c>
      <c r="G804" s="67">
        <f>E804/'Lookup Tables'!$C$48</f>
        <v>229.12141042436593</v>
      </c>
      <c r="H804" s="70">
        <f t="shared" si="78"/>
        <v>2.7133424874909537E-2</v>
      </c>
      <c r="I804" s="71">
        <f t="shared" si="82"/>
        <v>0.32993483101108695</v>
      </c>
      <c r="L804" s="74"/>
      <c r="M804" s="74"/>
      <c r="N804" s="74"/>
      <c r="O804" s="74"/>
      <c r="P804" s="74"/>
      <c r="Q804" s="74"/>
      <c r="R804" s="74"/>
      <c r="S804" s="74"/>
      <c r="T804" s="74"/>
      <c r="U804" s="74"/>
      <c r="V804" s="74"/>
      <c r="W804" s="74"/>
      <c r="X804" s="74"/>
      <c r="Y804" s="74"/>
      <c r="Z804" s="74"/>
    </row>
    <row r="805" spans="1:26" x14ac:dyDescent="0.3">
      <c r="A805" s="66">
        <f t="shared" si="80"/>
        <v>2069.7999999999274</v>
      </c>
      <c r="B805" s="67">
        <f>LOOKUP(A805+0.01,Amounts!$A$4:$A$103,Amounts!$B$4:$B$103)*0.1*$A$2</f>
        <v>0</v>
      </c>
      <c r="C805" s="68">
        <f t="shared" si="79"/>
        <v>2219148.7781994981</v>
      </c>
      <c r="D805" s="67">
        <f t="array" ref="D805">SUM($B$7:$B800*$F$1009*EXP(-$F$1009*($A805-$A$7:$A800)))*$F$1010</f>
        <v>59924297.937255502</v>
      </c>
      <c r="E805" s="67">
        <f t="shared" si="77"/>
        <v>114.24038389670736</v>
      </c>
      <c r="F805" s="70">
        <f t="shared" si="81"/>
        <v>6.9366761102080705</v>
      </c>
      <c r="G805" s="67">
        <f>E805/'Lookup Tables'!$C$48</f>
        <v>228.48076779341471</v>
      </c>
      <c r="H805" s="70">
        <f t="shared" si="78"/>
        <v>2.7057557549082657E-2</v>
      </c>
      <c r="I805" s="71">
        <f t="shared" si="82"/>
        <v>0.32901230562251721</v>
      </c>
      <c r="L805" s="74"/>
      <c r="M805" s="74"/>
      <c r="N805" s="74"/>
      <c r="O805" s="74"/>
      <c r="P805" s="74"/>
      <c r="Q805" s="74"/>
      <c r="R805" s="74"/>
      <c r="S805" s="74"/>
      <c r="T805" s="74"/>
      <c r="U805" s="74"/>
      <c r="V805" s="74"/>
      <c r="W805" s="74"/>
      <c r="X805" s="74"/>
      <c r="Y805" s="74"/>
      <c r="Z805" s="74"/>
    </row>
    <row r="806" spans="1:26" x14ac:dyDescent="0.3">
      <c r="A806" s="66">
        <f t="shared" si="80"/>
        <v>2069.8999999999273</v>
      </c>
      <c r="B806" s="67">
        <f>LOOKUP(A806+0.01,Amounts!$A$4:$A$103,Amounts!$B$4:$B$103)*0.1*$A$2</f>
        <v>0</v>
      </c>
      <c r="C806" s="68">
        <f t="shared" si="79"/>
        <v>2219148.7781994981</v>
      </c>
      <c r="D806" s="67">
        <f t="array" ref="D806">SUM($B$7:$B801*$F$1009*EXP(-$F$1009*($A806-$A$7:$A801)))*$F$1010</f>
        <v>59756744.5871896</v>
      </c>
      <c r="E806" s="67">
        <f t="shared" si="77"/>
        <v>113.92095822642666</v>
      </c>
      <c r="F806" s="70">
        <f t="shared" si="81"/>
        <v>6.9172805835086271</v>
      </c>
      <c r="G806" s="67">
        <f>E806/'Lookup Tables'!$C$48</f>
        <v>227.84191645285333</v>
      </c>
      <c r="H806" s="70">
        <f t="shared" si="78"/>
        <v>2.6981902354645561E-2</v>
      </c>
      <c r="I806" s="71">
        <f t="shared" si="82"/>
        <v>0.32809235969210881</v>
      </c>
      <c r="L806" s="74"/>
      <c r="M806" s="74"/>
      <c r="N806" s="74"/>
      <c r="O806" s="74"/>
      <c r="P806" s="74"/>
      <c r="Q806" s="74"/>
      <c r="R806" s="74"/>
      <c r="S806" s="74"/>
      <c r="T806" s="74"/>
      <c r="U806" s="74"/>
      <c r="V806" s="74"/>
      <c r="W806" s="74"/>
      <c r="X806" s="74"/>
      <c r="Y806" s="74"/>
      <c r="Z806" s="74"/>
    </row>
    <row r="807" spans="1:26" x14ac:dyDescent="0.3">
      <c r="A807" s="66">
        <f t="shared" si="80"/>
        <v>2069.9999999999272</v>
      </c>
      <c r="B807" s="67">
        <f>LOOKUP(A807+0.01,Amounts!$A$4:$A$103,Amounts!$B$4:$B$103)*0.1*$A$2</f>
        <v>0</v>
      </c>
      <c r="C807" s="68">
        <f t="shared" si="79"/>
        <v>2219148.7781994981</v>
      </c>
      <c r="D807" s="67">
        <f t="array" ref="D807">SUM($B$7:$B802*$F$1009*EXP(-$F$1009*($A807-$A$7:$A802)))*$F$1010</f>
        <v>59589659.730307341</v>
      </c>
      <c r="E807" s="67">
        <f t="shared" si="77"/>
        <v>113.60242569704198</v>
      </c>
      <c r="F807" s="70">
        <f t="shared" si="81"/>
        <v>6.8979392883243884</v>
      </c>
      <c r="G807" s="67">
        <f>E807/'Lookup Tables'!$C$48</f>
        <v>227.20485139408396</v>
      </c>
      <c r="H807" s="70">
        <f t="shared" si="78"/>
        <v>2.6906458698461123E-2</v>
      </c>
      <c r="I807" s="71">
        <f t="shared" si="82"/>
        <v>0.32717498600748091</v>
      </c>
      <c r="L807" s="74"/>
      <c r="M807" s="74"/>
      <c r="N807" s="74"/>
      <c r="O807" s="74"/>
      <c r="P807" s="74"/>
      <c r="Q807" s="74"/>
      <c r="R807" s="74"/>
      <c r="S807" s="74"/>
      <c r="T807" s="74"/>
      <c r="U807" s="74"/>
      <c r="V807" s="74"/>
      <c r="W807" s="74"/>
      <c r="X807" s="74"/>
      <c r="Y807" s="74"/>
      <c r="Z807" s="74"/>
    </row>
    <row r="808" spans="1:26" x14ac:dyDescent="0.3">
      <c r="A808" s="66">
        <f t="shared" si="80"/>
        <v>2070.0999999999271</v>
      </c>
      <c r="B808" s="67">
        <f>LOOKUP(A808+0.01,Amounts!$A$4:$A$103,Amounts!$B$4:$B$103)*0.1*$A$2</f>
        <v>0</v>
      </c>
      <c r="C808" s="68">
        <f t="shared" si="79"/>
        <v>2219148.7781994981</v>
      </c>
      <c r="D808" s="67">
        <f t="array" ref="D808">SUM($B$7:$B803*$F$1009*EXP(-$F$1009*($A808-$A$7:$A803)))*$F$1010</f>
        <v>59423042.056662589</v>
      </c>
      <c r="E808" s="67">
        <f t="shared" si="77"/>
        <v>113.28478381125663</v>
      </c>
      <c r="F808" s="70">
        <f t="shared" si="81"/>
        <v>6.8786520730195031</v>
      </c>
      <c r="G808" s="67">
        <f>E808/'Lookup Tables'!$C$48</f>
        <v>226.56956762251326</v>
      </c>
      <c r="H808" s="70">
        <f t="shared" si="78"/>
        <v>2.6831225989050699E-2</v>
      </c>
      <c r="I808" s="71">
        <f t="shared" si="82"/>
        <v>0.32626017737641905</v>
      </c>
      <c r="L808" s="74"/>
      <c r="M808" s="74"/>
      <c r="N808" s="74"/>
      <c r="O808" s="74"/>
      <c r="P808" s="74"/>
      <c r="Q808" s="74"/>
      <c r="R808" s="74"/>
      <c r="S808" s="74"/>
      <c r="T808" s="74"/>
      <c r="U808" s="74"/>
      <c r="V808" s="74"/>
      <c r="W808" s="74"/>
      <c r="X808" s="74"/>
      <c r="Y808" s="74"/>
      <c r="Z808" s="74"/>
    </row>
    <row r="809" spans="1:26" x14ac:dyDescent="0.3">
      <c r="A809" s="66">
        <f t="shared" si="80"/>
        <v>2070.1999999999271</v>
      </c>
      <c r="B809" s="67">
        <f>LOOKUP(A809+0.01,Amounts!$A$4:$A$103,Amounts!$B$4:$B$103)*0.1*$A$2</f>
        <v>0</v>
      </c>
      <c r="C809" s="68">
        <f t="shared" si="79"/>
        <v>2219148.7781994981</v>
      </c>
      <c r="D809" s="67">
        <f t="array" ref="D809">SUM($B$7:$B804*$F$1009*EXP(-$F$1009*($A809-$A$7:$A804)))*$F$1010</f>
        <v>59256890.259971961</v>
      </c>
      <c r="E809" s="67">
        <f t="shared" si="77"/>
        <v>112.96803007875668</v>
      </c>
      <c r="F809" s="70">
        <f t="shared" si="81"/>
        <v>6.859418786382105</v>
      </c>
      <c r="G809" s="67">
        <f>E809/'Lookup Tables'!$C$48</f>
        <v>225.93606015751337</v>
      </c>
      <c r="H809" s="70">
        <f t="shared" si="78"/>
        <v>2.6756203636589478E-2</v>
      </c>
      <c r="I809" s="71">
        <f t="shared" si="82"/>
        <v>0.32534792662681922</v>
      </c>
      <c r="L809" s="74"/>
      <c r="M809" s="74"/>
      <c r="N809" s="74"/>
      <c r="O809" s="74"/>
      <c r="P809" s="74"/>
      <c r="Q809" s="74"/>
      <c r="R809" s="74"/>
      <c r="S809" s="74"/>
      <c r="T809" s="74"/>
      <c r="U809" s="74"/>
      <c r="V809" s="74"/>
      <c r="W809" s="74"/>
      <c r="X809" s="74"/>
      <c r="Y809" s="74"/>
      <c r="Z809" s="74"/>
    </row>
    <row r="810" spans="1:26" x14ac:dyDescent="0.3">
      <c r="A810" s="66">
        <f t="shared" si="80"/>
        <v>2070.299999999927</v>
      </c>
      <c r="B810" s="67">
        <f>LOOKUP(A810+0.01,Amounts!$A$4:$A$103,Amounts!$B$4:$B$103)*0.1*$A$2</f>
        <v>0</v>
      </c>
      <c r="C810" s="68">
        <f t="shared" si="79"/>
        <v>2219148.7781994981</v>
      </c>
      <c r="D810" s="67">
        <f t="array" ref="D810">SUM($B$7:$B805*$F$1009*EXP(-$F$1009*($A810-$A$7:$A805)))*$F$1010</f>
        <v>59091203.037604459</v>
      </c>
      <c r="E810" s="67">
        <f t="shared" si="77"/>
        <v>112.65216201619111</v>
      </c>
      <c r="F810" s="70">
        <f t="shared" si="81"/>
        <v>6.840239277623124</v>
      </c>
      <c r="G810" s="67">
        <f>E810/'Lookup Tables'!$C$48</f>
        <v>225.30432403238223</v>
      </c>
      <c r="H810" s="70">
        <f t="shared" si="78"/>
        <v>2.6681391052901796E-2</v>
      </c>
      <c r="I810" s="71">
        <f t="shared" si="82"/>
        <v>0.32443822660663035</v>
      </c>
      <c r="L810" s="74"/>
      <c r="M810" s="74"/>
      <c r="N810" s="74"/>
      <c r="O810" s="74"/>
      <c r="P810" s="74"/>
      <c r="Q810" s="74"/>
      <c r="R810" s="74"/>
      <c r="S810" s="74"/>
      <c r="T810" s="74"/>
      <c r="U810" s="74"/>
      <c r="V810" s="74"/>
      <c r="W810" s="74"/>
      <c r="X810" s="74"/>
      <c r="Y810" s="74"/>
      <c r="Z810" s="74"/>
    </row>
    <row r="811" spans="1:26" x14ac:dyDescent="0.3">
      <c r="A811" s="66">
        <f t="shared" si="80"/>
        <v>2070.3999999999269</v>
      </c>
      <c r="B811" s="67">
        <f>LOOKUP(A811+0.01,Amounts!$A$4:$A$103,Amounts!$B$4:$B$103)*0.1*$A$2</f>
        <v>0</v>
      </c>
      <c r="C811" s="68">
        <f t="shared" si="79"/>
        <v>2219148.7781994981</v>
      </c>
      <c r="D811" s="67">
        <f t="array" ref="D811">SUM($B$7:$B806*$F$1009*EXP(-$F$1009*($A811-$A$7:$A806)))*$F$1010</f>
        <v>58925979.090571471</v>
      </c>
      <c r="E811" s="67">
        <f t="shared" si="77"/>
        <v>112.33717714715283</v>
      </c>
      <c r="F811" s="70">
        <f t="shared" si="81"/>
        <v>6.8211133963751198</v>
      </c>
      <c r="G811" s="67">
        <f>E811/'Lookup Tables'!$C$48</f>
        <v>224.67435429430566</v>
      </c>
      <c r="H811" s="70">
        <f t="shared" si="78"/>
        <v>2.6606787651456652E-2</v>
      </c>
      <c r="I811" s="71">
        <f t="shared" si="82"/>
        <v>0.32353107018380012</v>
      </c>
      <c r="L811" s="74"/>
      <c r="M811" s="74"/>
      <c r="N811" s="74"/>
      <c r="O811" s="74"/>
      <c r="P811" s="74"/>
      <c r="Q811" s="74"/>
      <c r="R811" s="74"/>
      <c r="S811" s="74"/>
      <c r="T811" s="74"/>
      <c r="U811" s="74"/>
      <c r="V811" s="74"/>
      <c r="W811" s="74"/>
      <c r="X811" s="74"/>
      <c r="Y811" s="74"/>
      <c r="Z811" s="74"/>
    </row>
    <row r="812" spans="1:26" x14ac:dyDescent="0.3">
      <c r="A812" s="66">
        <f t="shared" si="80"/>
        <v>2070.4999999999268</v>
      </c>
      <c r="B812" s="67">
        <f>LOOKUP(A812+0.01,Amounts!$A$4:$A$103,Amounts!$B$4:$B$103)*0.1*$A$2</f>
        <v>0</v>
      </c>
      <c r="C812" s="68">
        <f t="shared" si="79"/>
        <v>2219148.7781994981</v>
      </c>
      <c r="D812" s="67">
        <f t="array" ref="D812">SUM($B$7:$B807*$F$1009*EXP(-$F$1009*($A812-$A$7:$A807)))*$F$1010</f>
        <v>58761217.123516373</v>
      </c>
      <c r="E812" s="67">
        <f t="shared" si="77"/>
        <v>112.02307300215875</v>
      </c>
      <c r="F812" s="70">
        <f t="shared" si="81"/>
        <v>6.8020409926910794</v>
      </c>
      <c r="G812" s="67">
        <f>E812/'Lookup Tables'!$C$48</f>
        <v>224.04614600431751</v>
      </c>
      <c r="H812" s="70">
        <f t="shared" si="78"/>
        <v>2.653239284736297E-2</v>
      </c>
      <c r="I812" s="71">
        <f t="shared" si="82"/>
        <v>0.32262645024621722</v>
      </c>
      <c r="L812" s="74"/>
      <c r="M812" s="74"/>
      <c r="N812" s="74"/>
      <c r="O812" s="74"/>
      <c r="P812" s="74"/>
      <c r="Q812" s="74"/>
      <c r="R812" s="74"/>
      <c r="S812" s="74"/>
      <c r="T812" s="74"/>
      <c r="U812" s="74"/>
      <c r="V812" s="74"/>
      <c r="W812" s="74"/>
      <c r="X812" s="74"/>
      <c r="Y812" s="74"/>
      <c r="Z812" s="74"/>
    </row>
    <row r="813" spans="1:26" x14ac:dyDescent="0.3">
      <c r="A813" s="66">
        <f t="shared" si="80"/>
        <v>2070.5999999999267</v>
      </c>
      <c r="B813" s="67">
        <f>LOOKUP(A813+0.01,Amounts!$A$4:$A$103,Amounts!$B$4:$B$103)*0.1*$A$2</f>
        <v>0</v>
      </c>
      <c r="C813" s="68">
        <f t="shared" si="79"/>
        <v>2219148.7781994981</v>
      </c>
      <c r="D813" s="67">
        <f t="array" ref="D813">SUM($B$7:$B808*$F$1009*EXP(-$F$1009*($A813-$A$7:$A808)))*$F$1010</f>
        <v>58596915.844704494</v>
      </c>
      <c r="E813" s="67">
        <f t="shared" si="77"/>
        <v>111.7098471186308</v>
      </c>
      <c r="F813" s="70">
        <f t="shared" si="81"/>
        <v>6.7830219170432633</v>
      </c>
      <c r="G813" s="67">
        <f>E813/'Lookup Tables'!$C$48</f>
        <v>223.41969423726161</v>
      </c>
      <c r="H813" s="70">
        <f t="shared" si="78"/>
        <v>2.6458206057365114E-2</v>
      </c>
      <c r="I813" s="71">
        <f t="shared" si="82"/>
        <v>0.32172435970165675</v>
      </c>
      <c r="L813" s="74"/>
      <c r="M813" s="74"/>
      <c r="N813" s="74"/>
      <c r="O813" s="74"/>
      <c r="P813" s="74"/>
      <c r="Q813" s="74"/>
      <c r="R813" s="74"/>
      <c r="S813" s="74"/>
      <c r="T813" s="74"/>
      <c r="U813" s="74"/>
      <c r="V813" s="74"/>
      <c r="W813" s="74"/>
      <c r="X813" s="74"/>
      <c r="Y813" s="74"/>
      <c r="Z813" s="74"/>
    </row>
    <row r="814" spans="1:26" x14ac:dyDescent="0.3">
      <c r="A814" s="66">
        <f t="shared" si="80"/>
        <v>2070.6999999999266</v>
      </c>
      <c r="B814" s="67">
        <f>LOOKUP(A814+0.01,Amounts!$A$4:$A$103,Amounts!$B$4:$B$103)*0.1*$A$2</f>
        <v>0</v>
      </c>
      <c r="C814" s="68">
        <f t="shared" si="79"/>
        <v>2219148.7781994981</v>
      </c>
      <c r="D814" s="67">
        <f t="array" ref="D814">SUM($B$7:$B809*$F$1009*EXP(-$F$1009*($A814-$A$7:$A809)))*$F$1010</f>
        <v>58433073.966012977</v>
      </c>
      <c r="E814" s="67">
        <f t="shared" si="77"/>
        <v>111.39749704087646</v>
      </c>
      <c r="F814" s="70">
        <f t="shared" si="81"/>
        <v>6.7640560203220179</v>
      </c>
      <c r="G814" s="67">
        <f>E814/'Lookup Tables'!$C$48</f>
        <v>222.79499408175292</v>
      </c>
      <c r="H814" s="70">
        <f t="shared" si="78"/>
        <v>2.6384226699838267E-2</v>
      </c>
      <c r="I814" s="71">
        <f t="shared" si="82"/>
        <v>0.32082479147772419</v>
      </c>
      <c r="L814" s="74"/>
      <c r="M814" s="74"/>
      <c r="N814" s="74"/>
      <c r="O814" s="74"/>
      <c r="P814" s="74"/>
      <c r="Q814" s="74"/>
      <c r="R814" s="74"/>
      <c r="S814" s="74"/>
      <c r="T814" s="74"/>
      <c r="U814" s="74"/>
      <c r="V814" s="74"/>
      <c r="W814" s="74"/>
      <c r="X814" s="74"/>
      <c r="Y814" s="74"/>
      <c r="Z814" s="74"/>
    </row>
    <row r="815" spans="1:26" x14ac:dyDescent="0.3">
      <c r="A815" s="66">
        <f t="shared" si="80"/>
        <v>2070.7999999999265</v>
      </c>
      <c r="B815" s="67">
        <f>LOOKUP(A815+0.01,Amounts!$A$4:$A$103,Amounts!$B$4:$B$103)*0.1*$A$2</f>
        <v>0</v>
      </c>
      <c r="C815" s="68">
        <f t="shared" si="79"/>
        <v>2219148.7781994981</v>
      </c>
      <c r="D815" s="67">
        <f t="array" ref="D815">SUM($B$7:$B810*$F$1009*EXP(-$F$1009*($A815-$A$7:$A810)))*$F$1010</f>
        <v>58269690.202920668</v>
      </c>
      <c r="E815" s="67">
        <f t="shared" si="77"/>
        <v>111.08602032006954</v>
      </c>
      <c r="F815" s="70">
        <f t="shared" si="81"/>
        <v>6.745143153834622</v>
      </c>
      <c r="G815" s="67">
        <f>E815/'Lookup Tables'!$C$48</f>
        <v>222.17204064013907</v>
      </c>
      <c r="H815" s="70">
        <f t="shared" si="78"/>
        <v>2.6310454194783898E-2</v>
      </c>
      <c r="I815" s="71">
        <f t="shared" si="82"/>
        <v>0.31992773852180029</v>
      </c>
      <c r="L815" s="74"/>
      <c r="M815" s="74"/>
      <c r="N815" s="74"/>
      <c r="O815" s="74"/>
      <c r="P815" s="74"/>
      <c r="Q815" s="74"/>
      <c r="R815" s="74"/>
      <c r="S815" s="74"/>
      <c r="T815" s="74"/>
      <c r="U815" s="74"/>
      <c r="V815" s="74"/>
      <c r="W815" s="74"/>
      <c r="X815" s="74"/>
      <c r="Y815" s="74"/>
      <c r="Z815" s="74"/>
    </row>
    <row r="816" spans="1:26" x14ac:dyDescent="0.3">
      <c r="A816" s="66">
        <f t="shared" si="80"/>
        <v>2070.8999999999264</v>
      </c>
      <c r="B816" s="67">
        <f>LOOKUP(A816+0.01,Amounts!$A$4:$A$103,Amounts!$B$4:$B$103)*0.1*$A$2</f>
        <v>0</v>
      </c>
      <c r="C816" s="68">
        <f t="shared" si="79"/>
        <v>2219148.7781994981</v>
      </c>
      <c r="D816" s="67">
        <f t="array" ref="D816">SUM($B$7:$B811*$F$1009*EXP(-$F$1009*($A816-$A$7:$A811)))*$F$1010</f>
        <v>58106763.274498023</v>
      </c>
      <c r="E816" s="67">
        <f t="shared" si="77"/>
        <v>110.77541451423092</v>
      </c>
      <c r="F816" s="70">
        <f t="shared" si="81"/>
        <v>6.726283169304101</v>
      </c>
      <c r="G816" s="67">
        <f>E816/'Lookup Tables'!$C$48</f>
        <v>221.55082902846183</v>
      </c>
      <c r="H816" s="70">
        <f t="shared" si="78"/>
        <v>2.6236887963825176E-2</v>
      </c>
      <c r="I816" s="71">
        <f t="shared" si="82"/>
        <v>0.31903319380098499</v>
      </c>
      <c r="L816" s="74"/>
      <c r="M816" s="74"/>
      <c r="N816" s="74"/>
      <c r="O816" s="74"/>
      <c r="P816" s="74"/>
      <c r="Q816" s="74"/>
      <c r="R816" s="74"/>
      <c r="S816" s="74"/>
      <c r="T816" s="74"/>
      <c r="U816" s="74"/>
      <c r="V816" s="74"/>
      <c r="W816" s="74"/>
      <c r="X816" s="74"/>
      <c r="Y816" s="74"/>
      <c r="Z816" s="74"/>
    </row>
    <row r="817" spans="1:26" x14ac:dyDescent="0.3">
      <c r="A817" s="66">
        <f t="shared" si="80"/>
        <v>2070.9999999999263</v>
      </c>
      <c r="B817" s="67">
        <f>LOOKUP(A817+0.01,Amounts!$A$4:$A$103,Amounts!$B$4:$B$103)*0.1*$A$2</f>
        <v>0</v>
      </c>
      <c r="C817" s="68">
        <f t="shared" si="79"/>
        <v>2219148.7781994981</v>
      </c>
      <c r="D817" s="67">
        <f t="array" ref="D817">SUM($B$7:$B812*$F$1009*EXP(-$F$1009*($A817-$A$7:$A812)))*$F$1010</f>
        <v>57944291.903397061</v>
      </c>
      <c r="E817" s="67">
        <f t="shared" si="77"/>
        <v>110.46567718820947</v>
      </c>
      <c r="F817" s="70">
        <f t="shared" si="81"/>
        <v>6.707475918868079</v>
      </c>
      <c r="G817" s="67">
        <f>E817/'Lookup Tables'!$C$48</f>
        <v>220.93135437641894</v>
      </c>
      <c r="H817" s="70">
        <f t="shared" si="78"/>
        <v>2.6163527430202487E-2</v>
      </c>
      <c r="I817" s="71">
        <f t="shared" si="82"/>
        <v>0.31814115030204332</v>
      </c>
      <c r="L817" s="74"/>
      <c r="M817" s="74"/>
      <c r="N817" s="74"/>
      <c r="O817" s="74"/>
      <c r="P817" s="74"/>
      <c r="Q817" s="74"/>
      <c r="R817" s="74"/>
      <c r="S817" s="74"/>
      <c r="T817" s="74"/>
      <c r="U817" s="74"/>
      <c r="V817" s="74"/>
      <c r="W817" s="74"/>
      <c r="X817" s="74"/>
      <c r="Y817" s="74"/>
      <c r="Z817" s="74"/>
    </row>
    <row r="818" spans="1:26" x14ac:dyDescent="0.3">
      <c r="A818" s="66">
        <f t="shared" si="80"/>
        <v>2071.0999999999262</v>
      </c>
      <c r="B818" s="67">
        <f>LOOKUP(A818+0.01,Amounts!$A$4:$A$103,Amounts!$B$4:$B$103)*0.1*$A$2</f>
        <v>0</v>
      </c>
      <c r="C818" s="68">
        <f t="shared" si="79"/>
        <v>2219148.7781994981</v>
      </c>
      <c r="D818" s="67">
        <f t="array" ref="D818">SUM($B$7:$B813*$F$1009*EXP(-$F$1009*($A818-$A$7:$A813)))*$F$1010</f>
        <v>57782274.815841429</v>
      </c>
      <c r="E818" s="67">
        <f t="shared" si="77"/>
        <v>110.15680591366301</v>
      </c>
      <c r="F818" s="70">
        <f t="shared" si="81"/>
        <v>6.6887212550776178</v>
      </c>
      <c r="G818" s="67">
        <f>E818/'Lookup Tables'!$C$48</f>
        <v>220.31361182732601</v>
      </c>
      <c r="H818" s="70">
        <f t="shared" si="78"/>
        <v>2.6090372018768855E-2</v>
      </c>
      <c r="I818" s="71">
        <f t="shared" si="82"/>
        <v>0.31725160103134947</v>
      </c>
      <c r="L818" s="74"/>
      <c r="M818" s="74"/>
      <c r="N818" s="74"/>
      <c r="O818" s="74"/>
      <c r="P818" s="74"/>
      <c r="Q818" s="74"/>
      <c r="R818" s="74"/>
      <c r="S818" s="74"/>
      <c r="T818" s="74"/>
      <c r="U818" s="74"/>
      <c r="V818" s="74"/>
      <c r="W818" s="74"/>
      <c r="X818" s="74"/>
      <c r="Y818" s="74"/>
      <c r="Z818" s="74"/>
    </row>
    <row r="819" spans="1:26" x14ac:dyDescent="0.3">
      <c r="A819" s="66">
        <f t="shared" si="80"/>
        <v>2071.1999999999261</v>
      </c>
      <c r="B819" s="67">
        <f>LOOKUP(A819+0.01,Amounts!$A$4:$A$103,Amounts!$B$4:$B$103)*0.1*$A$2</f>
        <v>0</v>
      </c>
      <c r="C819" s="68">
        <f t="shared" si="79"/>
        <v>2219148.7781994981</v>
      </c>
      <c r="D819" s="67">
        <f t="array" ref="D819">SUM($B$7:$B814*$F$1009*EXP(-$F$1009*($A819-$A$7:$A814)))*$F$1010</f>
        <v>57620710.741616301</v>
      </c>
      <c r="E819" s="67">
        <f t="shared" si="77"/>
        <v>109.84879826903911</v>
      </c>
      <c r="F819" s="70">
        <f t="shared" si="81"/>
        <v>6.6700190308960545</v>
      </c>
      <c r="G819" s="67">
        <f>E819/'Lookup Tables'!$C$48</f>
        <v>219.69759653807822</v>
      </c>
      <c r="H819" s="70">
        <f t="shared" si="78"/>
        <v>2.6017421155985477E-2</v>
      </c>
      <c r="I819" s="71">
        <f t="shared" si="82"/>
        <v>0.31636453901483258</v>
      </c>
      <c r="L819" s="74"/>
      <c r="M819" s="74"/>
      <c r="N819" s="74"/>
      <c r="O819" s="74"/>
      <c r="P819" s="74"/>
      <c r="Q819" s="74"/>
      <c r="R819" s="74"/>
      <c r="S819" s="74"/>
      <c r="T819" s="74"/>
      <c r="U819" s="74"/>
      <c r="V819" s="74"/>
      <c r="W819" s="74"/>
      <c r="X819" s="74"/>
      <c r="Y819" s="74"/>
      <c r="Z819" s="74"/>
    </row>
    <row r="820" spans="1:26" x14ac:dyDescent="0.3">
      <c r="A820" s="66">
        <f t="shared" si="80"/>
        <v>2071.2999999999261</v>
      </c>
      <c r="B820" s="67">
        <f>LOOKUP(A820+0.01,Amounts!$A$4:$A$103,Amounts!$B$4:$B$103)*0.1*$A$2</f>
        <v>0</v>
      </c>
      <c r="C820" s="68">
        <f t="shared" si="79"/>
        <v>2219148.7781994981</v>
      </c>
      <c r="D820" s="67">
        <f t="array" ref="D820">SUM($B$7:$B815*$F$1009*EXP(-$F$1009*($A820-$A$7:$A815)))*$F$1010</f>
        <v>57459598.414058544</v>
      </c>
      <c r="E820" s="67">
        <f t="shared" si="77"/>
        <v>109.54165183955632</v>
      </c>
      <c r="F820" s="70">
        <f t="shared" si="81"/>
        <v>6.6513690996978596</v>
      </c>
      <c r="G820" s="67">
        <f>E820/'Lookup Tables'!$C$48</f>
        <v>219.08330367911265</v>
      </c>
      <c r="H820" s="70">
        <f t="shared" si="78"/>
        <v>2.5944674269917242E-2</v>
      </c>
      <c r="I820" s="71">
        <f t="shared" si="82"/>
        <v>0.31547995729792222</v>
      </c>
      <c r="L820" s="74"/>
      <c r="M820" s="74"/>
      <c r="N820" s="74"/>
      <c r="O820" s="74"/>
      <c r="P820" s="74"/>
      <c r="Q820" s="74"/>
      <c r="R820" s="74"/>
      <c r="S820" s="74"/>
      <c r="T820" s="74"/>
      <c r="U820" s="74"/>
      <c r="V820" s="74"/>
      <c r="W820" s="74"/>
      <c r="X820" s="74"/>
      <c r="Y820" s="74"/>
      <c r="Z820" s="74"/>
    </row>
    <row r="821" spans="1:26" x14ac:dyDescent="0.3">
      <c r="A821" s="66">
        <f t="shared" si="80"/>
        <v>2071.399999999926</v>
      </c>
      <c r="B821" s="67">
        <f>LOOKUP(A821+0.01,Amounts!$A$4:$A$103,Amounts!$B$4:$B$103)*0.1*$A$2</f>
        <v>0</v>
      </c>
      <c r="C821" s="68">
        <f t="shared" si="79"/>
        <v>2219148.7781994981</v>
      </c>
      <c r="D821" s="67">
        <f t="array" ref="D821">SUM($B$7:$B816*$F$1009*EXP(-$F$1009*($A821-$A$7:$A816)))*$F$1010</f>
        <v>57298936.570046686</v>
      </c>
      <c r="E821" s="67">
        <f t="shared" si="77"/>
        <v>109.23536421718509</v>
      </c>
      <c r="F821" s="70">
        <f t="shared" si="81"/>
        <v>6.6327713152674779</v>
      </c>
      <c r="G821" s="67">
        <f>E821/'Lookup Tables'!$C$48</f>
        <v>218.47072843437019</v>
      </c>
      <c r="H821" s="70">
        <f t="shared" si="78"/>
        <v>2.5872130790228178E-2</v>
      </c>
      <c r="I821" s="71">
        <f t="shared" si="82"/>
        <v>0.31459784894549303</v>
      </c>
      <c r="L821" s="74"/>
      <c r="M821" s="74"/>
      <c r="N821" s="74"/>
      <c r="O821" s="74"/>
      <c r="P821" s="74"/>
      <c r="Q821" s="74"/>
      <c r="R821" s="74"/>
      <c r="S821" s="74"/>
      <c r="T821" s="74"/>
      <c r="U821" s="74"/>
      <c r="V821" s="74"/>
      <c r="W821" s="74"/>
      <c r="X821" s="74"/>
      <c r="Y821" s="74"/>
      <c r="Z821" s="74"/>
    </row>
    <row r="822" spans="1:26" x14ac:dyDescent="0.3">
      <c r="A822" s="66">
        <f t="shared" si="80"/>
        <v>2071.4999999999259</v>
      </c>
      <c r="B822" s="67">
        <f>LOOKUP(A822+0.01,Amounts!$A$4:$A$103,Amounts!$B$4:$B$103)*0.1*$A$2</f>
        <v>0</v>
      </c>
      <c r="C822" s="68">
        <f t="shared" si="79"/>
        <v>2219148.7781994981</v>
      </c>
      <c r="D822" s="67">
        <f t="array" ref="D822">SUM($B$7:$B817*$F$1009*EXP(-$F$1009*($A822-$A$7:$A817)))*$F$1010</f>
        <v>57138723.949990995</v>
      </c>
      <c r="E822" s="67">
        <f t="shared" si="77"/>
        <v>108.92993300062878</v>
      </c>
      <c r="F822" s="70">
        <f t="shared" si="81"/>
        <v>6.6142255317981791</v>
      </c>
      <c r="G822" s="67">
        <f>E822/'Lookup Tables'!$C$48</f>
        <v>217.85986600125756</v>
      </c>
      <c r="H822" s="70">
        <f t="shared" si="78"/>
        <v>2.5799790148177019E-2</v>
      </c>
      <c r="I822" s="71">
        <f t="shared" si="82"/>
        <v>0.31371820704181086</v>
      </c>
      <c r="L822" s="74"/>
      <c r="M822" s="74"/>
      <c r="N822" s="74"/>
      <c r="O822" s="74"/>
      <c r="P822" s="74"/>
      <c r="Q822" s="74"/>
      <c r="R822" s="74"/>
      <c r="S822" s="74"/>
      <c r="T822" s="74"/>
      <c r="U822" s="74"/>
      <c r="V822" s="74"/>
      <c r="W822" s="74"/>
      <c r="X822" s="74"/>
      <c r="Y822" s="74"/>
      <c r="Z822" s="74"/>
    </row>
    <row r="823" spans="1:26" x14ac:dyDescent="0.3">
      <c r="A823" s="66">
        <f t="shared" si="80"/>
        <v>2071.5999999999258</v>
      </c>
      <c r="B823" s="67">
        <f>LOOKUP(A823+0.01,Amounts!$A$4:$A$103,Amounts!$B$4:$B$103)*0.1*$A$2</f>
        <v>0</v>
      </c>
      <c r="C823" s="68">
        <f t="shared" si="79"/>
        <v>2219148.7781994981</v>
      </c>
      <c r="D823" s="67">
        <f t="array" ref="D823">SUM($B$7:$B818*$F$1009*EXP(-$F$1009*($A823-$A$7:$A818)))*$F$1010</f>
        <v>56978959.297823764</v>
      </c>
      <c r="E823" s="67">
        <f t="shared" si="77"/>
        <v>108.62535579530517</v>
      </c>
      <c r="F823" s="70">
        <f t="shared" si="81"/>
        <v>6.5957316038909291</v>
      </c>
      <c r="G823" s="67">
        <f>E823/'Lookup Tables'!$C$48</f>
        <v>217.25071159061034</v>
      </c>
      <c r="H823" s="70">
        <f t="shared" si="78"/>
        <v>2.5727651776612778E-2</v>
      </c>
      <c r="I823" s="71">
        <f t="shared" si="82"/>
        <v>0.31284102469047886</v>
      </c>
      <c r="L823" s="74"/>
      <c r="M823" s="74"/>
      <c r="N823" s="74"/>
      <c r="O823" s="74"/>
      <c r="P823" s="74"/>
      <c r="Q823" s="74"/>
      <c r="R823" s="74"/>
      <c r="S823" s="74"/>
      <c r="T823" s="74"/>
      <c r="U823" s="74"/>
      <c r="V823" s="74"/>
      <c r="W823" s="74"/>
      <c r="X823" s="74"/>
      <c r="Y823" s="74"/>
      <c r="Z823" s="74"/>
    </row>
    <row r="824" spans="1:26" x14ac:dyDescent="0.3">
      <c r="A824" s="66">
        <f t="shared" si="80"/>
        <v>2071.6999999999257</v>
      </c>
      <c r="B824" s="67">
        <f>LOOKUP(A824+0.01,Amounts!$A$4:$A$103,Amounts!$B$4:$B$103)*0.1*$A$2</f>
        <v>0</v>
      </c>
      <c r="C824" s="68">
        <f t="shared" si="79"/>
        <v>2219148.7781994981</v>
      </c>
      <c r="D824" s="67">
        <f t="array" ref="D824">SUM($B$7:$B819*$F$1009*EXP(-$F$1009*($A824-$A$7:$A819)))*$F$1010</f>
        <v>56819641.360989273</v>
      </c>
      <c r="E824" s="67">
        <f t="shared" si="77"/>
        <v>108.32163021332737</v>
      </c>
      <c r="F824" s="70">
        <f t="shared" si="81"/>
        <v>6.5772893865532378</v>
      </c>
      <c r="G824" s="67">
        <f>E824/'Lookup Tables'!$C$48</f>
        <v>216.64326042665473</v>
      </c>
      <c r="H824" s="70">
        <f t="shared" si="78"/>
        <v>2.565571510997024E-2</v>
      </c>
      <c r="I824" s="71">
        <f t="shared" si="82"/>
        <v>0.31196629501438283</v>
      </c>
      <c r="L824" s="74"/>
      <c r="M824" s="74"/>
      <c r="N824" s="74"/>
      <c r="O824" s="74"/>
      <c r="P824" s="74"/>
      <c r="Q824" s="74"/>
      <c r="R824" s="74"/>
      <c r="S824" s="74"/>
      <c r="T824" s="74"/>
      <c r="U824" s="74"/>
      <c r="V824" s="74"/>
      <c r="W824" s="74"/>
      <c r="X824" s="74"/>
      <c r="Y824" s="74"/>
      <c r="Z824" s="74"/>
    </row>
    <row r="825" spans="1:26" x14ac:dyDescent="0.3">
      <c r="A825" s="66">
        <f t="shared" si="80"/>
        <v>2071.7999999999256</v>
      </c>
      <c r="B825" s="67">
        <f>LOOKUP(A825+0.01,Amounts!$A$4:$A$103,Amounts!$B$4:$B$103)*0.1*$A$2</f>
        <v>0</v>
      </c>
      <c r="C825" s="68">
        <f t="shared" si="79"/>
        <v>2219148.7781994981</v>
      </c>
      <c r="D825" s="67">
        <f t="array" ref="D825">SUM($B$7:$B820*$F$1009*EXP(-$F$1009*($A825-$A$7:$A820)))*$F$1010</f>
        <v>56660768.890434071</v>
      </c>
      <c r="E825" s="67">
        <f t="shared" si="77"/>
        <v>108.01875387348525</v>
      </c>
      <c r="F825" s="70">
        <f t="shared" si="81"/>
        <v>6.5588987351980235</v>
      </c>
      <c r="G825" s="67">
        <f>E825/'Lookup Tables'!$C$48</f>
        <v>216.0375077469705</v>
      </c>
      <c r="H825" s="70">
        <f t="shared" si="78"/>
        <v>2.558397958426557E-2</v>
      </c>
      <c r="I825" s="71">
        <f t="shared" si="82"/>
        <v>0.31109401115563751</v>
      </c>
      <c r="L825" s="74"/>
      <c r="M825" s="74"/>
      <c r="N825" s="74"/>
      <c r="O825" s="74"/>
      <c r="P825" s="74"/>
      <c r="Q825" s="74"/>
      <c r="R825" s="74"/>
      <c r="S825" s="74"/>
      <c r="T825" s="74"/>
      <c r="U825" s="74"/>
      <c r="V825" s="74"/>
      <c r="W825" s="74"/>
      <c r="X825" s="74"/>
      <c r="Y825" s="74"/>
      <c r="Z825" s="74"/>
    </row>
    <row r="826" spans="1:26" x14ac:dyDescent="0.3">
      <c r="A826" s="66">
        <f t="shared" si="80"/>
        <v>2071.8999999999255</v>
      </c>
      <c r="B826" s="67">
        <f>LOOKUP(A826+0.01,Amounts!$A$4:$A$103,Amounts!$B$4:$B$103)*0.1*$A$2</f>
        <v>0</v>
      </c>
      <c r="C826" s="68">
        <f t="shared" si="79"/>
        <v>2219148.7781994981</v>
      </c>
      <c r="D826" s="67">
        <f t="array" ref="D826">SUM($B$7:$B821*$F$1009*EXP(-$F$1009*($A826-$A$7:$A821)))*$F$1010</f>
        <v>56502340.640597209</v>
      </c>
      <c r="E826" s="67">
        <f t="shared" si="77"/>
        <v>107.71672440122681</v>
      </c>
      <c r="F826" s="70">
        <f t="shared" si="81"/>
        <v>6.5405595056424914</v>
      </c>
      <c r="G826" s="67">
        <f>E826/'Lookup Tables'!$C$48</f>
        <v>215.43344880245363</v>
      </c>
      <c r="H826" s="70">
        <f t="shared" si="78"/>
        <v>2.5512444637091892E-2</v>
      </c>
      <c r="I826" s="71">
        <f t="shared" si="82"/>
        <v>0.31022416627553323</v>
      </c>
      <c r="L826" s="74"/>
      <c r="M826" s="74"/>
      <c r="N826" s="74"/>
      <c r="O826" s="74"/>
      <c r="P826" s="74"/>
      <c r="Q826" s="74"/>
      <c r="R826" s="74"/>
      <c r="S826" s="74"/>
      <c r="T826" s="74"/>
      <c r="U826" s="74"/>
      <c r="V826" s="74"/>
      <c r="W826" s="74"/>
      <c r="X826" s="74"/>
      <c r="Y826" s="74"/>
      <c r="Z826" s="74"/>
    </row>
    <row r="827" spans="1:26" x14ac:dyDescent="0.3">
      <c r="A827" s="66">
        <f t="shared" si="80"/>
        <v>2071.9999999999254</v>
      </c>
      <c r="B827" s="67">
        <f>LOOKUP(A827+0.01,Amounts!$A$4:$A$103,Amounts!$B$4:$B$103)*0.1*$A$2</f>
        <v>0</v>
      </c>
      <c r="C827" s="68">
        <f t="shared" si="79"/>
        <v>2219148.7781994981</v>
      </c>
      <c r="D827" s="67">
        <f t="array" ref="D827">SUM($B$7:$B822*$F$1009*EXP(-$F$1009*($A827-$A$7:$A822)))*$F$1010</f>
        <v>56344355.369400389</v>
      </c>
      <c r="E827" s="67">
        <f t="shared" si="77"/>
        <v>107.41553942863943</v>
      </c>
      <c r="F827" s="70">
        <f t="shared" si="81"/>
        <v>6.522271554106986</v>
      </c>
      <c r="G827" s="67">
        <f>E827/'Lookup Tables'!$C$48</f>
        <v>214.83107885727887</v>
      </c>
      <c r="H827" s="70">
        <f t="shared" si="78"/>
        <v>2.5441109707614849E-2</v>
      </c>
      <c r="I827" s="71">
        <f t="shared" si="82"/>
        <v>0.30935675355448156</v>
      </c>
      <c r="L827" s="74"/>
      <c r="M827" s="74"/>
      <c r="N827" s="74"/>
      <c r="O827" s="74"/>
      <c r="P827" s="74"/>
      <c r="Q827" s="74"/>
      <c r="R827" s="74"/>
      <c r="S827" s="74"/>
      <c r="T827" s="74"/>
      <c r="U827" s="74"/>
      <c r="V827" s="74"/>
      <c r="W827" s="74"/>
      <c r="X827" s="74"/>
      <c r="Y827" s="74"/>
      <c r="Z827" s="74"/>
    </row>
    <row r="828" spans="1:26" x14ac:dyDescent="0.3">
      <c r="A828" s="66">
        <f t="shared" si="80"/>
        <v>2072.0999999999253</v>
      </c>
      <c r="B828" s="67">
        <f>LOOKUP(A828+0.01,Amounts!$A$4:$A$103,Amounts!$B$4:$B$103)*0.1*$A$2</f>
        <v>0</v>
      </c>
      <c r="C828" s="68">
        <f t="shared" si="79"/>
        <v>2219148.7781994981</v>
      </c>
      <c r="D828" s="67">
        <f t="array" ref="D828">SUM($B$7:$B823*$F$1009*EXP(-$F$1009*($A828-$A$7:$A823)))*$F$1010</f>
        <v>56186811.838238284</v>
      </c>
      <c r="E828" s="67">
        <f t="shared" si="77"/>
        <v>107.1151965944314</v>
      </c>
      <c r="F828" s="70">
        <f t="shared" si="81"/>
        <v>6.5040347372138738</v>
      </c>
      <c r="G828" s="67">
        <f>E828/'Lookup Tables'!$C$48</f>
        <v>214.23039318886279</v>
      </c>
      <c r="H828" s="70">
        <f t="shared" si="78"/>
        <v>2.536997423656823E-2</v>
      </c>
      <c r="I828" s="71">
        <f t="shared" si="82"/>
        <v>0.30849176619196239</v>
      </c>
      <c r="L828" s="74"/>
      <c r="M828" s="74"/>
      <c r="N828" s="74"/>
      <c r="O828" s="74"/>
      <c r="P828" s="74"/>
      <c r="Q828" s="74"/>
      <c r="R828" s="74"/>
      <c r="S828" s="74"/>
      <c r="T828" s="74"/>
      <c r="U828" s="74"/>
      <c r="V828" s="74"/>
      <c r="W828" s="74"/>
      <c r="X828" s="74"/>
      <c r="Y828" s="74"/>
      <c r="Z828" s="74"/>
    </row>
    <row r="829" spans="1:26" x14ac:dyDescent="0.3">
      <c r="A829" s="66">
        <f t="shared" si="80"/>
        <v>2072.1999999999252</v>
      </c>
      <c r="B829" s="67">
        <f>LOOKUP(A829+0.01,Amounts!$A$4:$A$103,Amounts!$B$4:$B$103)*0.1*$A$2</f>
        <v>0</v>
      </c>
      <c r="C829" s="68">
        <f t="shared" si="79"/>
        <v>2219148.7781994981</v>
      </c>
      <c r="D829" s="67">
        <f t="array" ref="D829">SUM($B$7:$B824*$F$1009*EXP(-$F$1009*($A829-$A$7:$A824)))*$F$1010</f>
        <v>56029708.811968751</v>
      </c>
      <c r="E829" s="67">
        <f t="shared" si="77"/>
        <v>106.81569354391326</v>
      </c>
      <c r="F829" s="70">
        <f t="shared" si="81"/>
        <v>6.4858489119864124</v>
      </c>
      <c r="G829" s="67">
        <f>E829/'Lookup Tables'!$C$48</f>
        <v>213.63138708782651</v>
      </c>
      <c r="H829" s="70">
        <f t="shared" si="78"/>
        <v>2.5299037666249569E-2</v>
      </c>
      <c r="I829" s="71">
        <f t="shared" si="82"/>
        <v>0.30762919740647021</v>
      </c>
      <c r="L829" s="74"/>
      <c r="M829" s="74"/>
      <c r="N829" s="74"/>
      <c r="O829" s="74"/>
      <c r="P829" s="74"/>
      <c r="Q829" s="74"/>
      <c r="R829" s="74"/>
      <c r="S829" s="74"/>
      <c r="T829" s="74"/>
      <c r="U829" s="74"/>
      <c r="V829" s="74"/>
      <c r="W829" s="74"/>
      <c r="X829" s="74"/>
      <c r="Y829" s="74"/>
      <c r="Z829" s="74"/>
    </row>
    <row r="830" spans="1:26" x14ac:dyDescent="0.3">
      <c r="A830" s="66">
        <f t="shared" si="80"/>
        <v>2072.2999999999251</v>
      </c>
      <c r="B830" s="67">
        <f>LOOKUP(A830+0.01,Amounts!$A$4:$A$103,Amounts!$B$4:$B$103)*0.1*$A$2</f>
        <v>0</v>
      </c>
      <c r="C830" s="68">
        <f t="shared" si="79"/>
        <v>2219148.7781994981</v>
      </c>
      <c r="D830" s="67">
        <f t="array" ref="D830">SUM($B$7:$B825*$F$1009*EXP(-$F$1009*($A830-$A$7:$A825)))*$F$1010</f>
        <v>55873045.058903299</v>
      </c>
      <c r="E830" s="67">
        <f t="shared" si="77"/>
        <v>106.51702792897964</v>
      </c>
      <c r="F830" s="70">
        <f t="shared" si="81"/>
        <v>6.4677139358476436</v>
      </c>
      <c r="G830" s="67">
        <f>E830/'Lookup Tables'!$C$48</f>
        <v>213.03405585795929</v>
      </c>
      <c r="H830" s="70">
        <f t="shared" si="78"/>
        <v>2.5228299440515793E-2</v>
      </c>
      <c r="I830" s="71">
        <f t="shared" si="82"/>
        <v>0.30676904043546138</v>
      </c>
      <c r="L830" s="74"/>
      <c r="M830" s="74"/>
      <c r="N830" s="74"/>
      <c r="O830" s="74"/>
      <c r="P830" s="74"/>
      <c r="Q830" s="74"/>
      <c r="R830" s="74"/>
      <c r="S830" s="74"/>
      <c r="T830" s="74"/>
      <c r="U830" s="74"/>
      <c r="V830" s="74"/>
      <c r="W830" s="74"/>
      <c r="X830" s="74"/>
      <c r="Y830" s="74"/>
      <c r="Z830" s="74"/>
    </row>
    <row r="831" spans="1:26" x14ac:dyDescent="0.3">
      <c r="A831" s="66">
        <f t="shared" si="80"/>
        <v>2072.3999999999251</v>
      </c>
      <c r="B831" s="67">
        <f>LOOKUP(A831+0.01,Amounts!$A$4:$A$103,Amounts!$B$4:$B$103)*0.1*$A$2</f>
        <v>0</v>
      </c>
      <c r="C831" s="68">
        <f t="shared" si="79"/>
        <v>2219148.7781994981</v>
      </c>
      <c r="D831" s="67">
        <f t="array" ref="D831">SUM($B$7:$B826*$F$1009*EXP(-$F$1009*($A831-$A$7:$A826)))*$F$1010</f>
        <v>55716819.35079731</v>
      </c>
      <c r="E831" s="67">
        <f t="shared" si="77"/>
        <v>106.21919740809059</v>
      </c>
      <c r="F831" s="70">
        <f t="shared" si="81"/>
        <v>6.449629666619261</v>
      </c>
      <c r="G831" s="67">
        <f>E831/'Lookup Tables'!$C$48</f>
        <v>212.43839481618119</v>
      </c>
      <c r="H831" s="70">
        <f t="shared" si="78"/>
        <v>2.5157759004778849E-2</v>
      </c>
      <c r="I831" s="71">
        <f t="shared" si="82"/>
        <v>0.30591128853530086</v>
      </c>
      <c r="L831" s="74"/>
      <c r="M831" s="74"/>
      <c r="N831" s="74"/>
      <c r="O831" s="74"/>
      <c r="P831" s="74"/>
      <c r="Q831" s="74"/>
      <c r="R831" s="74"/>
      <c r="S831" s="74"/>
      <c r="T831" s="74"/>
      <c r="U831" s="74"/>
      <c r="V831" s="74"/>
      <c r="W831" s="74"/>
      <c r="X831" s="74"/>
      <c r="Y831" s="74"/>
      <c r="Z831" s="74"/>
    </row>
    <row r="832" spans="1:26" x14ac:dyDescent="0.3">
      <c r="A832" s="66">
        <f t="shared" si="80"/>
        <v>2072.499999999925</v>
      </c>
      <c r="B832" s="67">
        <f>LOOKUP(A832+0.01,Amounts!$A$4:$A$103,Amounts!$B$4:$B$103)*0.1*$A$2</f>
        <v>0</v>
      </c>
      <c r="C832" s="68">
        <f t="shared" si="79"/>
        <v>2219148.7781994981</v>
      </c>
      <c r="D832" s="67">
        <f t="array" ref="D832">SUM($B$7:$B827*$F$1009*EXP(-$F$1009*($A832-$A$7:$A827)))*$F$1010</f>
        <v>55561030.462840438</v>
      </c>
      <c r="E832" s="67">
        <f t="shared" si="77"/>
        <v>105.92219964625333</v>
      </c>
      <c r="F832" s="70">
        <f t="shared" si="81"/>
        <v>6.4315959625205021</v>
      </c>
      <c r="G832" s="67">
        <f>E832/'Lookup Tables'!$C$48</f>
        <v>211.84439929250667</v>
      </c>
      <c r="H832" s="70">
        <f t="shared" si="78"/>
        <v>2.5087415806001382E-2</v>
      </c>
      <c r="I832" s="71">
        <f t="shared" si="82"/>
        <v>0.30505593498120959</v>
      </c>
      <c r="L832" s="74"/>
      <c r="M832" s="74"/>
      <c r="N832" s="74"/>
      <c r="O832" s="74"/>
      <c r="P832" s="74"/>
      <c r="Q832" s="74"/>
      <c r="R832" s="74"/>
      <c r="S832" s="74"/>
      <c r="T832" s="74"/>
      <c r="U832" s="74"/>
      <c r="V832" s="74"/>
      <c r="W832" s="74"/>
      <c r="X832" s="74"/>
      <c r="Y832" s="74"/>
      <c r="Z832" s="74"/>
    </row>
    <row r="833" spans="1:26" x14ac:dyDescent="0.3">
      <c r="A833" s="66">
        <f t="shared" si="80"/>
        <v>2072.5999999999249</v>
      </c>
      <c r="B833" s="67">
        <f>LOOKUP(A833+0.01,Amounts!$A$4:$A$103,Amounts!$B$4:$B$103)*0.1*$A$2</f>
        <v>0</v>
      </c>
      <c r="C833" s="68">
        <f t="shared" si="79"/>
        <v>2219148.7781994981</v>
      </c>
      <c r="D833" s="67">
        <f t="array" ref="D833">SUM($B$7:$B828*$F$1009*EXP(-$F$1009*($A833-$A$7:$A828)))*$F$1010</f>
        <v>55405677.173646972</v>
      </c>
      <c r="E833" s="67">
        <f t="shared" si="77"/>
        <v>105.62603231500381</v>
      </c>
      <c r="F833" s="70">
        <f t="shared" si="81"/>
        <v>6.4136126821670318</v>
      </c>
      <c r="G833" s="67">
        <f>E833/'Lookup Tables'!$C$48</f>
        <v>211.25206463000762</v>
      </c>
      <c r="H833" s="70">
        <f t="shared" si="78"/>
        <v>2.501726929269233E-2</v>
      </c>
      <c r="I833" s="71">
        <f t="shared" si="82"/>
        <v>0.304202973067211</v>
      </c>
      <c r="L833" s="74"/>
      <c r="M833" s="74"/>
      <c r="N833" s="74"/>
      <c r="O833" s="74"/>
      <c r="P833" s="74"/>
      <c r="Q833" s="74"/>
      <c r="R833" s="74"/>
      <c r="S833" s="74"/>
      <c r="T833" s="74"/>
      <c r="U833" s="74"/>
      <c r="V833" s="74"/>
      <c r="W833" s="74"/>
      <c r="X833" s="74"/>
      <c r="Y833" s="74"/>
      <c r="Z833" s="74"/>
    </row>
    <row r="834" spans="1:26" x14ac:dyDescent="0.3">
      <c r="A834" s="66">
        <f t="shared" si="80"/>
        <v>2072.6999999999248</v>
      </c>
      <c r="B834" s="67">
        <f>LOOKUP(A834+0.01,Amounts!$A$4:$A$103,Amounts!$B$4:$B$103)*0.1*$A$2</f>
        <v>0</v>
      </c>
      <c r="C834" s="68">
        <f t="shared" si="79"/>
        <v>2219148.7781994981</v>
      </c>
      <c r="D834" s="67">
        <f t="array" ref="D834">SUM($B$7:$B829*$F$1009*EXP(-$F$1009*($A834-$A$7:$A829)))*$F$1010</f>
        <v>55250758.265246332</v>
      </c>
      <c r="E834" s="67">
        <f t="shared" si="77"/>
        <v>105.33069309238866</v>
      </c>
      <c r="F834" s="70">
        <f t="shared" si="81"/>
        <v>6.3956796845698394</v>
      </c>
      <c r="G834" s="67">
        <f>E834/'Lookup Tables'!$C$48</f>
        <v>210.66138618477731</v>
      </c>
      <c r="H834" s="70">
        <f t="shared" si="78"/>
        <v>2.4947318914902664E-2</v>
      </c>
      <c r="I834" s="71">
        <f t="shared" si="82"/>
        <v>0.30335239610607934</v>
      </c>
      <c r="L834" s="74"/>
      <c r="M834" s="74"/>
      <c r="N834" s="74"/>
      <c r="O834" s="74"/>
      <c r="P834" s="74"/>
      <c r="Q834" s="74"/>
      <c r="R834" s="74"/>
      <c r="S834" s="74"/>
      <c r="T834" s="74"/>
      <c r="U834" s="74"/>
      <c r="V834" s="74"/>
      <c r="W834" s="74"/>
      <c r="X834" s="74"/>
      <c r="Y834" s="74"/>
      <c r="Z834" s="74"/>
    </row>
    <row r="835" spans="1:26" x14ac:dyDescent="0.3">
      <c r="A835" s="66">
        <f t="shared" si="80"/>
        <v>2072.7999999999247</v>
      </c>
      <c r="B835" s="67">
        <f>LOOKUP(A835+0.01,Amounts!$A$4:$A$103,Amounts!$B$4:$B$103)*0.1*$A$2</f>
        <v>0</v>
      </c>
      <c r="C835" s="68">
        <f t="shared" si="79"/>
        <v>2219148.7781994981</v>
      </c>
      <c r="D835" s="67">
        <f t="array" ref="D835">SUM($B$7:$B830*$F$1009*EXP(-$F$1009*($A835-$A$7:$A830)))*$F$1010</f>
        <v>55096272.523073502</v>
      </c>
      <c r="E835" s="67">
        <f t="shared" si="77"/>
        <v>105.03617966294689</v>
      </c>
      <c r="F835" s="70">
        <f t="shared" si="81"/>
        <v>6.3777968291341356</v>
      </c>
      <c r="G835" s="67">
        <f>E835/'Lookup Tables'!$C$48</f>
        <v>210.07235932589379</v>
      </c>
      <c r="H835" s="70">
        <f t="shared" si="78"/>
        <v>2.4877564124221086E-2</v>
      </c>
      <c r="I835" s="71">
        <f t="shared" si="82"/>
        <v>0.30250419742928708</v>
      </c>
      <c r="L835" s="74"/>
      <c r="M835" s="74"/>
      <c r="N835" s="74"/>
      <c r="O835" s="74"/>
      <c r="P835" s="74"/>
      <c r="Q835" s="74"/>
      <c r="R835" s="74"/>
      <c r="S835" s="74"/>
      <c r="T835" s="74"/>
      <c r="U835" s="74"/>
      <c r="V835" s="74"/>
      <c r="W835" s="74"/>
      <c r="X835" s="74"/>
      <c r="Y835" s="74"/>
      <c r="Z835" s="74"/>
    </row>
    <row r="836" spans="1:26" x14ac:dyDescent="0.3">
      <c r="A836" s="66">
        <f t="shared" si="80"/>
        <v>2072.8999999999246</v>
      </c>
      <c r="B836" s="67">
        <f>LOOKUP(A836+0.01,Amounts!$A$4:$A$103,Amounts!$B$4:$B$103)*0.1*$A$2</f>
        <v>0</v>
      </c>
      <c r="C836" s="68">
        <f t="shared" si="79"/>
        <v>2219148.7781994981</v>
      </c>
      <c r="D836" s="67">
        <f t="array" ref="D836">SUM($B$7:$B831*$F$1009*EXP(-$F$1009*($A836-$A$7:$A831)))*$F$1010</f>
        <v>54942218.73595947</v>
      </c>
      <c r="E836" s="67">
        <f t="shared" si="77"/>
        <v>104.74248971769168</v>
      </c>
      <c r="F836" s="70">
        <f t="shared" si="81"/>
        <v>6.35996397565824</v>
      </c>
      <c r="G836" s="67">
        <f>E836/'Lookup Tables'!$C$48</f>
        <v>209.48497943538337</v>
      </c>
      <c r="H836" s="70">
        <f t="shared" si="78"/>
        <v>2.4808004373769663E-2</v>
      </c>
      <c r="I836" s="71">
        <f t="shared" si="82"/>
        <v>0.30165837038695209</v>
      </c>
      <c r="L836" s="74"/>
      <c r="M836" s="74"/>
      <c r="N836" s="74"/>
      <c r="O836" s="74"/>
      <c r="P836" s="74"/>
      <c r="Q836" s="74"/>
      <c r="R836" s="74"/>
      <c r="S836" s="74"/>
      <c r="T836" s="74"/>
      <c r="U836" s="74"/>
      <c r="V836" s="74"/>
      <c r="W836" s="74"/>
      <c r="X836" s="74"/>
      <c r="Y836" s="74"/>
      <c r="Z836" s="74"/>
    </row>
    <row r="837" spans="1:26" x14ac:dyDescent="0.3">
      <c r="A837" s="66">
        <f t="shared" si="80"/>
        <v>2072.9999999999245</v>
      </c>
      <c r="B837" s="67">
        <f>LOOKUP(A837+0.01,Amounts!$A$4:$A$103,Amounts!$B$4:$B$103)*0.1*$A$2</f>
        <v>0</v>
      </c>
      <c r="C837" s="68">
        <f t="shared" si="79"/>
        <v>2219148.7781994981</v>
      </c>
      <c r="D837" s="67">
        <f t="array" ref="D837">SUM($B$7:$B832*$F$1009*EXP(-$F$1009*($A837-$A$7:$A832)))*$F$1010</f>
        <v>54788595.696121715</v>
      </c>
      <c r="E837" s="67">
        <f t="shared" si="77"/>
        <v>104.44962095409232</v>
      </c>
      <c r="F837" s="70">
        <f t="shared" si="81"/>
        <v>6.3421809843324857</v>
      </c>
      <c r="G837" s="67">
        <f>E837/'Lookup Tables'!$C$48</f>
        <v>208.89924190818465</v>
      </c>
      <c r="H837" s="70">
        <f t="shared" si="78"/>
        <v>2.4738639118199585E-2</v>
      </c>
      <c r="I837" s="71">
        <f t="shared" si="82"/>
        <v>0.3008149083477859</v>
      </c>
      <c r="L837" s="74"/>
      <c r="M837" s="74"/>
      <c r="N837" s="74"/>
      <c r="O837" s="74"/>
      <c r="P837" s="74"/>
      <c r="Q837" s="74"/>
      <c r="R837" s="74"/>
      <c r="S837" s="74"/>
      <c r="T837" s="74"/>
      <c r="U837" s="74"/>
      <c r="V837" s="74"/>
      <c r="W837" s="74"/>
      <c r="X837" s="74"/>
      <c r="Y837" s="74"/>
      <c r="Z837" s="74"/>
    </row>
    <row r="838" spans="1:26" x14ac:dyDescent="0.3">
      <c r="A838" s="66">
        <f t="shared" si="80"/>
        <v>2073.0999999999244</v>
      </c>
      <c r="B838" s="67">
        <f>LOOKUP(A838+0.01,Amounts!$A$4:$A$103,Amounts!$B$4:$B$103)*0.1*$A$2</f>
        <v>0</v>
      </c>
      <c r="C838" s="68">
        <f t="shared" si="79"/>
        <v>2219148.7781994981</v>
      </c>
      <c r="D838" s="67">
        <f t="array" ref="D838">SUM($B$7:$B833*$F$1009*EXP(-$F$1009*($A838-$A$7:$A833)))*$F$1010</f>
        <v>54635402.199154884</v>
      </c>
      <c r="E838" s="67">
        <f t="shared" si="77"/>
        <v>104.1575710760563</v>
      </c>
      <c r="F838" s="70">
        <f t="shared" si="81"/>
        <v>6.3244477157381391</v>
      </c>
      <c r="G838" s="67">
        <f>E838/'Lookup Tables'!$C$48</f>
        <v>208.3151421521126</v>
      </c>
      <c r="H838" s="70">
        <f t="shared" si="78"/>
        <v>2.4669467813686927E-2</v>
      </c>
      <c r="I838" s="71">
        <f t="shared" si="82"/>
        <v>0.29997380469904217</v>
      </c>
      <c r="L838" s="74"/>
      <c r="M838" s="74"/>
      <c r="N838" s="74"/>
      <c r="O838" s="74"/>
      <c r="P838" s="74"/>
      <c r="Q838" s="74"/>
      <c r="R838" s="74"/>
      <c r="S838" s="74"/>
      <c r="T838" s="74"/>
      <c r="U838" s="74"/>
      <c r="V838" s="74"/>
      <c r="W838" s="74"/>
      <c r="X838" s="74"/>
      <c r="Y838" s="74"/>
      <c r="Z838" s="74"/>
    </row>
    <row r="839" spans="1:26" x14ac:dyDescent="0.3">
      <c r="A839" s="66">
        <f t="shared" si="80"/>
        <v>2073.1999999999243</v>
      </c>
      <c r="B839" s="67">
        <f>LOOKUP(A839+0.01,Amounts!$A$4:$A$103,Amounts!$B$4:$B$103)*0.1*$A$2</f>
        <v>0</v>
      </c>
      <c r="C839" s="68">
        <f t="shared" si="79"/>
        <v>2219148.7781994981</v>
      </c>
      <c r="D839" s="67">
        <f t="array" ref="D839">SUM($B$7:$B834*$F$1009*EXP(-$F$1009*($A839-$A$7:$A834)))*$F$1010</f>
        <v>54482637.04402113</v>
      </c>
      <c r="E839" s="67">
        <f t="shared" ref="E839:E902" si="83">D839/(365*24*60)*1.00201</f>
        <v>103.86633779391099</v>
      </c>
      <c r="F839" s="70">
        <f t="shared" si="81"/>
        <v>6.3067640308462742</v>
      </c>
      <c r="G839" s="67">
        <f>E839/'Lookup Tables'!$C$48</f>
        <v>207.73267558782197</v>
      </c>
      <c r="H839" s="70">
        <f t="shared" ref="H839:H902" si="84">G839*60*24*365/(C839*2000)</f>
        <v>2.4600489917928278E-2</v>
      </c>
      <c r="I839" s="71">
        <f t="shared" si="82"/>
        <v>0.29913505284646363</v>
      </c>
      <c r="L839" s="74"/>
      <c r="M839" s="74"/>
      <c r="N839" s="74"/>
      <c r="O839" s="74"/>
      <c r="P839" s="74"/>
      <c r="Q839" s="74"/>
      <c r="R839" s="74"/>
      <c r="S839" s="74"/>
      <c r="T839" s="74"/>
      <c r="U839" s="74"/>
      <c r="V839" s="74"/>
      <c r="W839" s="74"/>
      <c r="X839" s="74"/>
      <c r="Y839" s="74"/>
      <c r="Z839" s="74"/>
    </row>
    <row r="840" spans="1:26" x14ac:dyDescent="0.3">
      <c r="A840" s="66">
        <f t="shared" si="80"/>
        <v>2073.2999999999242</v>
      </c>
      <c r="B840" s="67">
        <f>LOOKUP(A840+0.01,Amounts!$A$4:$A$103,Amounts!$B$4:$B$103)*0.1*$A$2</f>
        <v>0</v>
      </c>
      <c r="C840" s="68">
        <f t="shared" si="79"/>
        <v>2219148.7781994981</v>
      </c>
      <c r="D840" s="67">
        <f t="array" ref="D840">SUM($B$7:$B835*$F$1009*EXP(-$F$1009*($A840-$A$7:$A835)))*$F$1010</f>
        <v>54330299.033040896</v>
      </c>
      <c r="E840" s="67">
        <f t="shared" si="83"/>
        <v>103.57591882438606</v>
      </c>
      <c r="F840" s="70">
        <f t="shared" si="81"/>
        <v>6.2891297910167223</v>
      </c>
      <c r="G840" s="67">
        <f>E840/'Lookup Tables'!$C$48</f>
        <v>207.15183764877213</v>
      </c>
      <c r="H840" s="70">
        <f t="shared" si="84"/>
        <v>2.4531704890136608E-2</v>
      </c>
      <c r="I840" s="71">
        <f t="shared" si="82"/>
        <v>0.29829864621423186</v>
      </c>
      <c r="L840" s="74"/>
      <c r="M840" s="74"/>
      <c r="N840" s="74"/>
      <c r="O840" s="74"/>
      <c r="P840" s="74"/>
      <c r="Q840" s="74"/>
      <c r="R840" s="74"/>
      <c r="S840" s="74"/>
      <c r="T840" s="74"/>
      <c r="U840" s="74"/>
      <c r="V840" s="74"/>
      <c r="W840" s="74"/>
      <c r="X840" s="74"/>
      <c r="Y840" s="74"/>
      <c r="Z840" s="74"/>
    </row>
    <row r="841" spans="1:26" x14ac:dyDescent="0.3">
      <c r="A841" s="66">
        <f t="shared" si="80"/>
        <v>2073.3999999999241</v>
      </c>
      <c r="B841" s="67">
        <f>LOOKUP(A841+0.01,Amounts!$A$4:$A$103,Amounts!$B$4:$B$103)*0.1*$A$2</f>
        <v>0</v>
      </c>
      <c r="C841" s="68">
        <f t="shared" ref="C841:C904" si="85">C840+B841</f>
        <v>2219148.7781994981</v>
      </c>
      <c r="D841" s="67">
        <f t="array" ref="D841">SUM($B$7:$B836*$F$1009*EXP(-$F$1009*($A841-$A$7:$A836)))*$F$1010</f>
        <v>54178386.971883334</v>
      </c>
      <c r="E841" s="67">
        <f t="shared" si="83"/>
        <v>103.28631189059517</v>
      </c>
      <c r="F841" s="70">
        <f t="shared" si="81"/>
        <v>6.2715448579969388</v>
      </c>
      <c r="G841" s="67">
        <f>E841/'Lookup Tables'!$C$48</f>
        <v>206.57262378119034</v>
      </c>
      <c r="H841" s="70">
        <f t="shared" si="84"/>
        <v>2.4463112191036914E-2</v>
      </c>
      <c r="I841" s="71">
        <f t="shared" si="82"/>
        <v>0.29746457824491407</v>
      </c>
      <c r="L841" s="74"/>
      <c r="M841" s="74"/>
      <c r="N841" s="74"/>
      <c r="O841" s="74"/>
      <c r="P841" s="74"/>
      <c r="Q841" s="74"/>
      <c r="R841" s="74"/>
      <c r="S841" s="74"/>
      <c r="T841" s="74"/>
      <c r="U841" s="74"/>
      <c r="V841" s="74"/>
      <c r="W841" s="74"/>
      <c r="X841" s="74"/>
      <c r="Y841" s="74"/>
      <c r="Z841" s="74"/>
    </row>
    <row r="842" spans="1:26" x14ac:dyDescent="0.3">
      <c r="A842" s="66">
        <f t="shared" si="80"/>
        <v>2073.4999999999241</v>
      </c>
      <c r="B842" s="67">
        <f>LOOKUP(A842+0.01,Amounts!$A$4:$A$103,Amounts!$B$4:$B$103)*0.1*$A$2</f>
        <v>0</v>
      </c>
      <c r="C842" s="68">
        <f t="shared" si="85"/>
        <v>2219148.7781994981</v>
      </c>
      <c r="D842" s="67">
        <f t="array" ref="D842">SUM($B$7:$B837*$F$1009*EXP(-$F$1009*($A842-$A$7:$A837)))*$F$1010</f>
        <v>54026899.669557139</v>
      </c>
      <c r="E842" s="67">
        <f t="shared" si="83"/>
        <v>102.99751472201855</v>
      </c>
      <c r="F842" s="70">
        <f t="shared" si="81"/>
        <v>6.254009093920966</v>
      </c>
      <c r="G842" s="67">
        <f>E842/'Lookup Tables'!$C$48</f>
        <v>205.9950294440371</v>
      </c>
      <c r="H842" s="70">
        <f t="shared" si="84"/>
        <v>2.4394711282862101E-2</v>
      </c>
      <c r="I842" s="71">
        <f t="shared" si="82"/>
        <v>0.2966328423994134</v>
      </c>
      <c r="L842" s="74"/>
      <c r="M842" s="74"/>
      <c r="N842" s="74"/>
      <c r="O842" s="74"/>
      <c r="P842" s="74"/>
      <c r="Q842" s="74"/>
      <c r="R842" s="74"/>
      <c r="S842" s="74"/>
      <c r="T842" s="74"/>
      <c r="U842" s="74"/>
      <c r="V842" s="74"/>
      <c r="W842" s="74"/>
      <c r="X842" s="74"/>
      <c r="Y842" s="74"/>
      <c r="Z842" s="74"/>
    </row>
    <row r="843" spans="1:26" x14ac:dyDescent="0.3">
      <c r="A843" s="66">
        <f t="shared" si="80"/>
        <v>2073.599999999924</v>
      </c>
      <c r="B843" s="67">
        <f>LOOKUP(A843+0.01,Amounts!$A$4:$A$103,Amounts!$B$4:$B$103)*0.1*$A$2</f>
        <v>0</v>
      </c>
      <c r="C843" s="68">
        <f t="shared" si="85"/>
        <v>2219148.7781994981</v>
      </c>
      <c r="D843" s="67">
        <f t="array" ref="D843">SUM($B$7:$B838*$F$1009*EXP(-$F$1009*($A843-$A$7:$A838)))*$F$1010</f>
        <v>53875835.938401096</v>
      </c>
      <c r="E843" s="67">
        <f t="shared" si="83"/>
        <v>102.70952505448494</v>
      </c>
      <c r="F843" s="70">
        <f t="shared" si="81"/>
        <v>6.2365223613083263</v>
      </c>
      <c r="G843" s="67">
        <f>E843/'Lookup Tables'!$C$48</f>
        <v>205.41905010896988</v>
      </c>
      <c r="H843" s="70">
        <f t="shared" si="84"/>
        <v>2.4326501629348709E-2</v>
      </c>
      <c r="I843" s="71">
        <f t="shared" si="82"/>
        <v>0.29580343215691662</v>
      </c>
      <c r="L843" s="74"/>
      <c r="M843" s="74"/>
      <c r="N843" s="74"/>
      <c r="O843" s="74"/>
      <c r="P843" s="74"/>
      <c r="Q843" s="74"/>
      <c r="R843" s="74"/>
      <c r="S843" s="74"/>
      <c r="T843" s="74"/>
      <c r="U843" s="74"/>
      <c r="V843" s="74"/>
      <c r="W843" s="74"/>
      <c r="X843" s="74"/>
      <c r="Y843" s="74"/>
      <c r="Z843" s="74"/>
    </row>
    <row r="844" spans="1:26" x14ac:dyDescent="0.3">
      <c r="A844" s="66">
        <f t="shared" si="80"/>
        <v>2073.6999999999239</v>
      </c>
      <c r="B844" s="67">
        <f>LOOKUP(A844+0.01,Amounts!$A$4:$A$103,Amounts!$B$4:$B$103)*0.1*$A$2</f>
        <v>0</v>
      </c>
      <c r="C844" s="68">
        <f t="shared" si="85"/>
        <v>2219148.7781994981</v>
      </c>
      <c r="D844" s="67">
        <f t="array" ref="D844">SUM($B$7:$B839*$F$1009*EXP(-$F$1009*($A844-$A$7:$A839)))*$F$1010</f>
        <v>53725194.594074778</v>
      </c>
      <c r="E844" s="67">
        <f t="shared" si="83"/>
        <v>102.42234063015387</v>
      </c>
      <c r="F844" s="70">
        <f t="shared" si="81"/>
        <v>6.2190845230629428</v>
      </c>
      <c r="G844" s="67">
        <f>E844/'Lookup Tables'!$C$48</f>
        <v>204.84468126030774</v>
      </c>
      <c r="H844" s="70">
        <f t="shared" si="84"/>
        <v>2.4258482695732695E-2</v>
      </c>
      <c r="I844" s="71">
        <f t="shared" si="82"/>
        <v>0.29497634101484316</v>
      </c>
      <c r="L844" s="74"/>
      <c r="M844" s="74"/>
      <c r="N844" s="74"/>
      <c r="O844" s="74"/>
      <c r="P844" s="74"/>
      <c r="Q844" s="74"/>
      <c r="R844" s="74"/>
      <c r="S844" s="74"/>
      <c r="T844" s="74"/>
      <c r="U844" s="74"/>
      <c r="V844" s="74"/>
      <c r="W844" s="74"/>
      <c r="X844" s="74"/>
      <c r="Y844" s="74"/>
      <c r="Z844" s="74"/>
    </row>
    <row r="845" spans="1:26" x14ac:dyDescent="0.3">
      <c r="A845" s="66">
        <f t="shared" si="80"/>
        <v>2073.7999999999238</v>
      </c>
      <c r="B845" s="67">
        <f>LOOKUP(A845+0.01,Amounts!$A$4:$A$103,Amounts!$B$4:$B$103)*0.1*$A$2</f>
        <v>0</v>
      </c>
      <c r="C845" s="68">
        <f t="shared" si="85"/>
        <v>2219148.7781994981</v>
      </c>
      <c r="D845" s="67">
        <f t="array" ref="D845">SUM($B$7:$B840*$F$1009*EXP(-$F$1009*($A845-$A$7:$A840)))*$F$1010</f>
        <v>53574974.45554924</v>
      </c>
      <c r="E845" s="67">
        <f t="shared" si="83"/>
        <v>102.13595919749791</v>
      </c>
      <c r="F845" s="70">
        <f t="shared" si="81"/>
        <v>6.2016954424720732</v>
      </c>
      <c r="G845" s="67">
        <f>E845/'Lookup Tables'!$C$48</f>
        <v>204.27191839499582</v>
      </c>
      <c r="H845" s="70">
        <f t="shared" si="84"/>
        <v>2.4190653948745255E-2</v>
      </c>
      <c r="I845" s="71">
        <f t="shared" si="82"/>
        <v>0.29415156248879398</v>
      </c>
      <c r="L845" s="74"/>
      <c r="M845" s="74"/>
      <c r="N845" s="74"/>
      <c r="O845" s="74"/>
      <c r="P845" s="74"/>
      <c r="Q845" s="74"/>
      <c r="R845" s="74"/>
      <c r="S845" s="74"/>
      <c r="T845" s="74"/>
      <c r="U845" s="74"/>
      <c r="V845" s="74"/>
      <c r="W845" s="74"/>
      <c r="X845" s="74"/>
      <c r="Y845" s="74"/>
      <c r="Z845" s="74"/>
    </row>
    <row r="846" spans="1:26" x14ac:dyDescent="0.3">
      <c r="A846" s="66">
        <f t="shared" si="80"/>
        <v>2073.8999999999237</v>
      </c>
      <c r="B846" s="67">
        <f>LOOKUP(A846+0.01,Amounts!$A$4:$A$103,Amounts!$B$4:$B$103)*0.1*$A$2</f>
        <v>0</v>
      </c>
      <c r="C846" s="68">
        <f t="shared" si="85"/>
        <v>2219148.7781994981</v>
      </c>
      <c r="D846" s="67">
        <f t="array" ref="D846">SUM($B$7:$B841*$F$1009*EXP(-$F$1009*($A846-$A$7:$A841)))*$F$1010</f>
        <v>53425174.34509787</v>
      </c>
      <c r="E846" s="67">
        <f t="shared" si="83"/>
        <v>101.85037851128524</v>
      </c>
      <c r="F846" s="70">
        <f t="shared" si="81"/>
        <v>6.1843549832052398</v>
      </c>
      <c r="G846" s="67">
        <f>E846/'Lookup Tables'!$C$48</f>
        <v>203.70075702257049</v>
      </c>
      <c r="H846" s="70">
        <f t="shared" si="84"/>
        <v>2.4123014856608692E-2</v>
      </c>
      <c r="I846" s="71">
        <f t="shared" si="82"/>
        <v>0.29332909011250152</v>
      </c>
      <c r="L846" s="74"/>
      <c r="M846" s="74"/>
      <c r="N846" s="74"/>
      <c r="O846" s="74"/>
      <c r="P846" s="74"/>
      <c r="Q846" s="74"/>
      <c r="R846" s="74"/>
      <c r="S846" s="74"/>
      <c r="T846" s="74"/>
      <c r="U846" s="74"/>
      <c r="V846" s="74"/>
      <c r="W846" s="74"/>
      <c r="X846" s="74"/>
      <c r="Y846" s="74"/>
      <c r="Z846" s="74"/>
    </row>
    <row r="847" spans="1:26" x14ac:dyDescent="0.3">
      <c r="A847" s="66">
        <f t="shared" si="80"/>
        <v>2073.9999999999236</v>
      </c>
      <c r="B847" s="67">
        <f>LOOKUP(A847+0.01,Amounts!$A$4:$A$103,Amounts!$B$4:$B$103)*0.1*$A$2</f>
        <v>0</v>
      </c>
      <c r="C847" s="68">
        <f t="shared" si="85"/>
        <v>2219148.7781994981</v>
      </c>
      <c r="D847" s="67">
        <f t="array" ref="D847">SUM($B$7:$B842*$F$1009*EXP(-$F$1009*($A847-$A$7:$A842)))*$F$1010</f>
        <v>53275793.088287011</v>
      </c>
      <c r="E847" s="67">
        <f t="shared" si="83"/>
        <v>101.56559633256178</v>
      </c>
      <c r="F847" s="70">
        <f t="shared" si="81"/>
        <v>6.1670630093131509</v>
      </c>
      <c r="G847" s="67">
        <f>E847/'Lookup Tables'!$C$48</f>
        <v>203.13119266512356</v>
      </c>
      <c r="H847" s="70">
        <f t="shared" si="84"/>
        <v>2.4055564889032162E-2</v>
      </c>
      <c r="I847" s="71">
        <f t="shared" si="82"/>
        <v>0.2925089174377779</v>
      </c>
      <c r="L847" s="74"/>
      <c r="M847" s="74"/>
      <c r="N847" s="74"/>
      <c r="O847" s="74"/>
      <c r="P847" s="74"/>
      <c r="Q847" s="74"/>
      <c r="R847" s="74"/>
      <c r="S847" s="74"/>
      <c r="T847" s="74"/>
      <c r="U847" s="74"/>
      <c r="V847" s="74"/>
      <c r="W847" s="74"/>
      <c r="X847" s="74"/>
      <c r="Y847" s="74"/>
      <c r="Z847" s="74"/>
    </row>
    <row r="848" spans="1:26" x14ac:dyDescent="0.3">
      <c r="A848" s="66">
        <f t="shared" si="80"/>
        <v>2074.0999999999235</v>
      </c>
      <c r="B848" s="67">
        <f>LOOKUP(A848+0.01,Amounts!$A$4:$A$103,Amounts!$B$4:$B$103)*0.1*$A$2</f>
        <v>0</v>
      </c>
      <c r="C848" s="68">
        <f t="shared" si="85"/>
        <v>2219148.7781994981</v>
      </c>
      <c r="D848" s="67">
        <f t="array" ref="D848">SUM($B$7:$B843*$F$1009*EXP(-$F$1009*($A848-$A$7:$A843)))*$F$1010</f>
        <v>53126829.513966851</v>
      </c>
      <c r="E848" s="67">
        <f t="shared" si="83"/>
        <v>101.28161042863381</v>
      </c>
      <c r="F848" s="70">
        <f t="shared" si="81"/>
        <v>6.1498193852266452</v>
      </c>
      <c r="G848" s="67">
        <f>E848/'Lookup Tables'!$C$48</f>
        <v>202.56322085726762</v>
      </c>
      <c r="H848" s="70">
        <f t="shared" si="84"/>
        <v>2.3988303517207581E-2</v>
      </c>
      <c r="I848" s="71">
        <f t="shared" si="82"/>
        <v>0.29169103803446539</v>
      </c>
      <c r="L848" s="74"/>
      <c r="M848" s="74"/>
      <c r="N848" s="74"/>
      <c r="O848" s="74"/>
      <c r="P848" s="74"/>
      <c r="Q848" s="74"/>
      <c r="R848" s="74"/>
      <c r="S848" s="74"/>
      <c r="T848" s="74"/>
      <c r="U848" s="74"/>
      <c r="V848" s="74"/>
      <c r="W848" s="74"/>
      <c r="X848" s="74"/>
      <c r="Y848" s="74"/>
      <c r="Z848" s="74"/>
    </row>
    <row r="849" spans="1:26" x14ac:dyDescent="0.3">
      <c r="A849" s="66">
        <f t="shared" si="80"/>
        <v>2074.1999999999234</v>
      </c>
      <c r="B849" s="67">
        <f>LOOKUP(A849+0.01,Amounts!$A$4:$A$103,Amounts!$B$4:$B$103)*0.1*$A$2</f>
        <v>0</v>
      </c>
      <c r="C849" s="68">
        <f t="shared" si="85"/>
        <v>2219148.7781994981</v>
      </c>
      <c r="D849" s="67">
        <f t="array" ref="D849">SUM($B$7:$B844*$F$1009*EXP(-$F$1009*($A849-$A$7:$A844)))*$F$1010</f>
        <v>52978282.45426219</v>
      </c>
      <c r="E849" s="67">
        <f t="shared" si="83"/>
        <v>100.99841857305034</v>
      </c>
      <c r="F849" s="70">
        <f t="shared" si="81"/>
        <v>6.1326239757556165</v>
      </c>
      <c r="G849" s="67">
        <f>E849/'Lookup Tables'!$C$48</f>
        <v>201.99683714610069</v>
      </c>
      <c r="H849" s="70">
        <f t="shared" si="84"/>
        <v>2.3921230213805437E-2</v>
      </c>
      <c r="I849" s="71">
        <f t="shared" si="82"/>
        <v>0.29087544549038497</v>
      </c>
      <c r="L849" s="74"/>
      <c r="M849" s="74"/>
      <c r="N849" s="74"/>
      <c r="O849" s="74"/>
      <c r="P849" s="74"/>
      <c r="Q849" s="74"/>
      <c r="R849" s="74"/>
      <c r="S849" s="74"/>
      <c r="T849" s="74"/>
      <c r="U849" s="74"/>
      <c r="V849" s="74"/>
      <c r="W849" s="74"/>
      <c r="X849" s="74"/>
      <c r="Y849" s="74"/>
      <c r="Z849" s="74"/>
    </row>
    <row r="850" spans="1:26" x14ac:dyDescent="0.3">
      <c r="A850" s="66">
        <f t="shared" si="80"/>
        <v>2074.2999999999233</v>
      </c>
      <c r="B850" s="67">
        <f>LOOKUP(A850+0.01,Amounts!$A$4:$A$103,Amounts!$B$4:$B$103)*0.1*$A$2</f>
        <v>0</v>
      </c>
      <c r="C850" s="68">
        <f t="shared" si="85"/>
        <v>2219148.7781994981</v>
      </c>
      <c r="D850" s="67">
        <f t="array" ref="D850">SUM($B$7:$B845*$F$1009*EXP(-$F$1009*($A850-$A$7:$A845)))*$F$1010</f>
        <v>52830150.744563326</v>
      </c>
      <c r="E850" s="67">
        <f t="shared" si="83"/>
        <v>100.71601854558581</v>
      </c>
      <c r="F850" s="70">
        <f t="shared" si="81"/>
        <v>6.1154766460879708</v>
      </c>
      <c r="G850" s="67">
        <f>E850/'Lookup Tables'!$C$48</f>
        <v>201.43203709117162</v>
      </c>
      <c r="H850" s="70">
        <f t="shared" si="84"/>
        <v>2.3854344452970699E-2</v>
      </c>
      <c r="I850" s="71">
        <f t="shared" si="82"/>
        <v>0.29006213341128717</v>
      </c>
      <c r="L850" s="74"/>
      <c r="M850" s="74"/>
      <c r="N850" s="74"/>
      <c r="O850" s="74"/>
      <c r="P850" s="74"/>
      <c r="Q850" s="74"/>
      <c r="R850" s="74"/>
      <c r="S850" s="74"/>
      <c r="T850" s="74"/>
      <c r="U850" s="74"/>
      <c r="V850" s="74"/>
      <c r="W850" s="74"/>
      <c r="X850" s="74"/>
      <c r="Y850" s="74"/>
      <c r="Z850" s="74"/>
    </row>
    <row r="851" spans="1:26" x14ac:dyDescent="0.3">
      <c r="A851" s="66">
        <f t="shared" ref="A851:A914" si="86">A850+0.1</f>
        <v>2074.3999999999232</v>
      </c>
      <c r="B851" s="67">
        <f>LOOKUP(A851+0.01,Amounts!$A$4:$A$103,Amounts!$B$4:$B$103)*0.1*$A$2</f>
        <v>0</v>
      </c>
      <c r="C851" s="68">
        <f t="shared" si="85"/>
        <v>2219148.7781994981</v>
      </c>
      <c r="D851" s="67">
        <f t="array" ref="D851">SUM($B$7:$B846*$F$1009*EXP(-$F$1009*($A851-$A$7:$A846)))*$F$1010</f>
        <v>52682433.223516919</v>
      </c>
      <c r="E851" s="67">
        <f t="shared" si="83"/>
        <v>100.43440813222259</v>
      </c>
      <c r="F851" s="70">
        <f t="shared" ref="F851:F914" si="87">E851*60*1012/1000000</f>
        <v>6.0983772617885554</v>
      </c>
      <c r="G851" s="67">
        <f>E851/'Lookup Tables'!$C$48</f>
        <v>200.86881626444517</v>
      </c>
      <c r="H851" s="70">
        <f t="shared" si="84"/>
        <v>2.3787645710318661E-2</v>
      </c>
      <c r="I851" s="71">
        <f t="shared" ref="I851:I914" si="88">G851*60*24/1000000</f>
        <v>0.28925109542080102</v>
      </c>
      <c r="L851" s="74"/>
      <c r="M851" s="74"/>
      <c r="N851" s="74"/>
      <c r="O851" s="74"/>
      <c r="P851" s="74"/>
      <c r="Q851" s="74"/>
      <c r="R851" s="74"/>
      <c r="S851" s="74"/>
      <c r="T851" s="74"/>
      <c r="U851" s="74"/>
      <c r="V851" s="74"/>
      <c r="W851" s="74"/>
      <c r="X851" s="74"/>
      <c r="Y851" s="74"/>
      <c r="Z851" s="74"/>
    </row>
    <row r="852" spans="1:26" x14ac:dyDescent="0.3">
      <c r="A852" s="66">
        <f t="shared" si="86"/>
        <v>2074.4999999999231</v>
      </c>
      <c r="B852" s="67">
        <f>LOOKUP(A852+0.01,Amounts!$A$4:$A$103,Amounts!$B$4:$B$103)*0.1*$A$2</f>
        <v>0</v>
      </c>
      <c r="C852" s="68">
        <f t="shared" si="85"/>
        <v>2219148.7781994981</v>
      </c>
      <c r="D852" s="67">
        <f t="array" ref="D852">SUM($B$7:$B847*$F$1009*EXP(-$F$1009*($A852-$A$7:$A847)))*$F$1010</f>
        <v>52535128.733016819</v>
      </c>
      <c r="E852" s="67">
        <f t="shared" si="83"/>
        <v>100.15358512513353</v>
      </c>
      <c r="F852" s="70">
        <f t="shared" si="87"/>
        <v>6.081325688798108</v>
      </c>
      <c r="G852" s="67">
        <f>E852/'Lookup Tables'!$C$48</f>
        <v>200.30717025026706</v>
      </c>
      <c r="H852" s="70">
        <f t="shared" si="84"/>
        <v>2.3721133462930831E-2</v>
      </c>
      <c r="I852" s="71">
        <f t="shared" si="88"/>
        <v>0.28844232516038459</v>
      </c>
      <c r="L852" s="74"/>
      <c r="M852" s="74"/>
      <c r="N852" s="74"/>
      <c r="O852" s="74"/>
      <c r="P852" s="74"/>
      <c r="Q852" s="74"/>
      <c r="R852" s="74"/>
      <c r="S852" s="74"/>
      <c r="T852" s="74"/>
      <c r="U852" s="74"/>
      <c r="V852" s="74"/>
      <c r="W852" s="74"/>
      <c r="X852" s="74"/>
      <c r="Y852" s="74"/>
      <c r="Z852" s="74"/>
    </row>
    <row r="853" spans="1:26" x14ac:dyDescent="0.3">
      <c r="A853" s="66">
        <f t="shared" si="86"/>
        <v>2074.5999999999231</v>
      </c>
      <c r="B853" s="67">
        <f>LOOKUP(A853+0.01,Amounts!$A$4:$A$103,Amounts!$B$4:$B$103)*0.1*$A$2</f>
        <v>0</v>
      </c>
      <c r="C853" s="68">
        <f t="shared" si="85"/>
        <v>2219148.7781994981</v>
      </c>
      <c r="D853" s="67">
        <f t="array" ref="D853">SUM($B$7:$B848*$F$1009*EXP(-$F$1009*($A853-$A$7:$A848)))*$F$1010</f>
        <v>52388236.118195094</v>
      </c>
      <c r="E853" s="67">
        <f t="shared" si="83"/>
        <v>99.873547322664891</v>
      </c>
      <c r="F853" s="70">
        <f t="shared" si="87"/>
        <v>6.0643217934322111</v>
      </c>
      <c r="G853" s="67">
        <f>E853/'Lookup Tables'!$C$48</f>
        <v>199.74709464532978</v>
      </c>
      <c r="H853" s="70">
        <f t="shared" si="84"/>
        <v>2.3654807189350854E-2</v>
      </c>
      <c r="I853" s="71">
        <f t="shared" si="88"/>
        <v>0.28763581628927481</v>
      </c>
      <c r="L853" s="74"/>
      <c r="M853" s="74"/>
      <c r="N853" s="74"/>
      <c r="O853" s="74"/>
      <c r="P853" s="74"/>
      <c r="Q853" s="74"/>
      <c r="R853" s="74"/>
      <c r="S853" s="74"/>
      <c r="T853" s="74"/>
      <c r="U853" s="74"/>
      <c r="V853" s="74"/>
      <c r="W853" s="74"/>
      <c r="X853" s="74"/>
      <c r="Y853" s="74"/>
      <c r="Z853" s="74"/>
    </row>
    <row r="854" spans="1:26" x14ac:dyDescent="0.3">
      <c r="A854" s="66">
        <f t="shared" si="86"/>
        <v>2074.699999999923</v>
      </c>
      <c r="B854" s="67">
        <f>LOOKUP(A854+0.01,Amounts!$A$4:$A$103,Amounts!$B$4:$B$103)*0.1*$A$2</f>
        <v>0</v>
      </c>
      <c r="C854" s="68">
        <f t="shared" si="85"/>
        <v>2219148.7781994981</v>
      </c>
      <c r="D854" s="67">
        <f t="array" ref="D854">SUM($B$7:$B849*$F$1009*EXP(-$F$1009*($A854-$A$7:$A849)))*$F$1010</f>
        <v>52241754.227412857</v>
      </c>
      <c r="E854" s="67">
        <f t="shared" si="83"/>
        <v>99.594292529318807</v>
      </c>
      <c r="F854" s="70">
        <f t="shared" si="87"/>
        <v>6.0473654423802374</v>
      </c>
      <c r="G854" s="67">
        <f>E854/'Lookup Tables'!$C$48</f>
        <v>199.18858505863761</v>
      </c>
      <c r="H854" s="70">
        <f t="shared" si="84"/>
        <v>2.3588666369580413E-2</v>
      </c>
      <c r="I854" s="71">
        <f t="shared" si="88"/>
        <v>0.2868315624844382</v>
      </c>
      <c r="L854" s="74"/>
      <c r="M854" s="74"/>
      <c r="N854" s="74"/>
      <c r="O854" s="74"/>
      <c r="P854" s="74"/>
      <c r="Q854" s="74"/>
      <c r="R854" s="74"/>
      <c r="S854" s="74"/>
      <c r="T854" s="74"/>
      <c r="U854" s="74"/>
      <c r="V854" s="74"/>
      <c r="W854" s="74"/>
      <c r="X854" s="74"/>
      <c r="Y854" s="74"/>
      <c r="Z854" s="74"/>
    </row>
    <row r="855" spans="1:26" x14ac:dyDescent="0.3">
      <c r="A855" s="66">
        <f t="shared" si="86"/>
        <v>2074.7999999999229</v>
      </c>
      <c r="B855" s="67">
        <f>LOOKUP(A855+0.01,Amounts!$A$4:$A$103,Amounts!$B$4:$B$103)*0.1*$A$2</f>
        <v>0</v>
      </c>
      <c r="C855" s="68">
        <f t="shared" si="85"/>
        <v>2219148.7781994981</v>
      </c>
      <c r="D855" s="67">
        <f t="array" ref="D855">SUM($B$7:$B850*$F$1009*EXP(-$F$1009*($A855-$A$7:$A850)))*$F$1010</f>
        <v>52095681.912251376</v>
      </c>
      <c r="E855" s="67">
        <f t="shared" si="83"/>
        <v>99.315818555736314</v>
      </c>
      <c r="F855" s="70">
        <f t="shared" si="87"/>
        <v>6.0304565027043093</v>
      </c>
      <c r="G855" s="67">
        <f>E855/'Lookup Tables'!$C$48</f>
        <v>198.63163711147263</v>
      </c>
      <c r="H855" s="70">
        <f t="shared" si="84"/>
        <v>2.3522710485075135E-2</v>
      </c>
      <c r="I855" s="71">
        <f t="shared" si="88"/>
        <v>0.28602955744052061</v>
      </c>
      <c r="L855" s="74"/>
      <c r="M855" s="74"/>
      <c r="N855" s="74"/>
      <c r="O855" s="74"/>
      <c r="P855" s="74"/>
      <c r="Q855" s="74"/>
      <c r="R855" s="74"/>
      <c r="S855" s="74"/>
      <c r="T855" s="74"/>
      <c r="U855" s="74"/>
      <c r="V855" s="74"/>
      <c r="W855" s="74"/>
      <c r="X855" s="74"/>
      <c r="Y855" s="74"/>
      <c r="Z855" s="74"/>
    </row>
    <row r="856" spans="1:26" x14ac:dyDescent="0.3">
      <c r="A856" s="66">
        <f t="shared" si="86"/>
        <v>2074.8999999999228</v>
      </c>
      <c r="B856" s="67">
        <f>LOOKUP(A856+0.01,Amounts!$A$4:$A$103,Amounts!$B$4:$B$103)*0.1*$A$2</f>
        <v>0</v>
      </c>
      <c r="C856" s="68">
        <f t="shared" si="85"/>
        <v>2219148.7781994981</v>
      </c>
      <c r="D856" s="67">
        <f t="array" ref="D856">SUM($B$7:$B851*$F$1009*EXP(-$F$1009*($A856-$A$7:$A851)))*$F$1010</f>
        <v>51950018.027502909</v>
      </c>
      <c r="E856" s="67">
        <f t="shared" si="83"/>
        <v>99.038123218679971</v>
      </c>
      <c r="F856" s="70">
        <f t="shared" si="87"/>
        <v>6.0135948418382474</v>
      </c>
      <c r="G856" s="67">
        <f>E856/'Lookup Tables'!$C$48</f>
        <v>198.07624643735994</v>
      </c>
      <c r="H856" s="70">
        <f t="shared" si="84"/>
        <v>2.3456939018740533E-2</v>
      </c>
      <c r="I856" s="71">
        <f t="shared" si="88"/>
        <v>0.28522979486979827</v>
      </c>
      <c r="L856" s="74"/>
      <c r="M856" s="74"/>
      <c r="N856" s="74"/>
      <c r="O856" s="74"/>
      <c r="P856" s="74"/>
      <c r="Q856" s="74"/>
      <c r="R856" s="74"/>
      <c r="S856" s="74"/>
      <c r="T856" s="74"/>
      <c r="U856" s="74"/>
      <c r="V856" s="74"/>
      <c r="W856" s="74"/>
      <c r="X856" s="74"/>
      <c r="Y856" s="74"/>
      <c r="Z856" s="74"/>
    </row>
    <row r="857" spans="1:26" x14ac:dyDescent="0.3">
      <c r="A857" s="66">
        <f t="shared" si="86"/>
        <v>2074.9999999999227</v>
      </c>
      <c r="B857" s="67">
        <f>LOOKUP(A857+0.01,Amounts!$A$4:$A$103,Amounts!$B$4:$B$103)*0.1*$A$2</f>
        <v>0</v>
      </c>
      <c r="C857" s="68">
        <f t="shared" si="85"/>
        <v>2219148.7781994981</v>
      </c>
      <c r="D857" s="67">
        <f t="array" ref="D857">SUM($B$7:$B852*$F$1009*EXP(-$F$1009*($A857-$A$7:$A852)))*$F$1010</f>
        <v>51804761.431161858</v>
      </c>
      <c r="E857" s="67">
        <f t="shared" si="83"/>
        <v>98.761204341016921</v>
      </c>
      <c r="F857" s="70">
        <f t="shared" si="87"/>
        <v>5.9967803275865474</v>
      </c>
      <c r="G857" s="67">
        <f>E857/'Lookup Tables'!$C$48</f>
        <v>197.52240868203384</v>
      </c>
      <c r="H857" s="70">
        <f t="shared" si="84"/>
        <v>2.3391351454927985E-2</v>
      </c>
      <c r="I857" s="71">
        <f t="shared" si="88"/>
        <v>0.28443226850212872</v>
      </c>
      <c r="L857" s="74"/>
      <c r="M857" s="74"/>
      <c r="N857" s="74"/>
      <c r="O857" s="74"/>
      <c r="P857" s="74"/>
      <c r="Q857" s="74"/>
      <c r="R857" s="74"/>
      <c r="S857" s="74"/>
      <c r="T857" s="74"/>
      <c r="U857" s="74"/>
      <c r="V857" s="74"/>
      <c r="W857" s="74"/>
      <c r="X857" s="74"/>
      <c r="Y857" s="74"/>
      <c r="Z857" s="74"/>
    </row>
    <row r="858" spans="1:26" x14ac:dyDescent="0.3">
      <c r="A858" s="66">
        <f t="shared" si="86"/>
        <v>2075.0999999999226</v>
      </c>
      <c r="B858" s="67">
        <f>LOOKUP(A858+0.01,Amounts!$A$4:$A$103,Amounts!$B$4:$B$103)*0.1*$A$2</f>
        <v>0</v>
      </c>
      <c r="C858" s="68">
        <f t="shared" si="85"/>
        <v>2219148.7781994981</v>
      </c>
      <c r="D858" s="67">
        <f t="array" ref="D858">SUM($B$7:$B853*$F$1009*EXP(-$F$1009*($A858-$A$7:$A853)))*$F$1010</f>
        <v>51659910.984415807</v>
      </c>
      <c r="E858" s="67">
        <f t="shared" si="83"/>
        <v>98.48505975170184</v>
      </c>
      <c r="F858" s="70">
        <f t="shared" si="87"/>
        <v>5.9800128281233356</v>
      </c>
      <c r="G858" s="67">
        <f>E858/'Lookup Tables'!$C$48</f>
        <v>196.97011950340368</v>
      </c>
      <c r="H858" s="70">
        <f t="shared" si="84"/>
        <v>2.3325947279430673E-2</v>
      </c>
      <c r="I858" s="71">
        <f t="shared" si="88"/>
        <v>0.2836369720849013</v>
      </c>
      <c r="L858" s="74"/>
      <c r="M858" s="74"/>
      <c r="N858" s="74"/>
      <c r="O858" s="74"/>
      <c r="P858" s="74"/>
      <c r="Q858" s="74"/>
      <c r="R858" s="74"/>
      <c r="S858" s="74"/>
      <c r="T858" s="74"/>
      <c r="U858" s="74"/>
      <c r="V858" s="74"/>
      <c r="W858" s="74"/>
      <c r="X858" s="74"/>
      <c r="Y858" s="74"/>
      <c r="Z858" s="74"/>
    </row>
    <row r="859" spans="1:26" x14ac:dyDescent="0.3">
      <c r="A859" s="66">
        <f t="shared" si="86"/>
        <v>2075.1999999999225</v>
      </c>
      <c r="B859" s="67">
        <f>LOOKUP(A859+0.01,Amounts!$A$4:$A$103,Amounts!$B$4:$B$103)*0.1*$A$2</f>
        <v>0</v>
      </c>
      <c r="C859" s="68">
        <f t="shared" si="85"/>
        <v>2219148.7781994981</v>
      </c>
      <c r="D859" s="67">
        <f t="array" ref="D859">SUM($B$7:$B854*$F$1009*EXP(-$F$1009*($A859-$A$7:$A854)))*$F$1010</f>
        <v>51515465.551636465</v>
      </c>
      <c r="E859" s="67">
        <f t="shared" si="83"/>
        <v>98.209687285759614</v>
      </c>
      <c r="F859" s="70">
        <f t="shared" si="87"/>
        <v>5.9632922119913241</v>
      </c>
      <c r="G859" s="67">
        <f>E859/'Lookup Tables'!$C$48</f>
        <v>196.41937457151923</v>
      </c>
      <c r="H859" s="70">
        <f t="shared" si="84"/>
        <v>2.32607259794795E-2</v>
      </c>
      <c r="I859" s="71">
        <f t="shared" si="88"/>
        <v>0.28284389938298771</v>
      </c>
      <c r="L859" s="74"/>
      <c r="M859" s="74"/>
      <c r="N859" s="74"/>
      <c r="O859" s="74"/>
      <c r="P859" s="74"/>
      <c r="Q859" s="74"/>
      <c r="R859" s="74"/>
      <c r="S859" s="74"/>
      <c r="T859" s="74"/>
      <c r="U859" s="74"/>
      <c r="V859" s="74"/>
      <c r="W859" s="74"/>
      <c r="X859" s="74"/>
      <c r="Y859" s="74"/>
      <c r="Z859" s="74"/>
    </row>
    <row r="860" spans="1:26" x14ac:dyDescent="0.3">
      <c r="A860" s="66">
        <f t="shared" si="86"/>
        <v>2075.2999999999224</v>
      </c>
      <c r="B860" s="67">
        <f>LOOKUP(A860+0.01,Amounts!$A$4:$A$103,Amounts!$B$4:$B$103)*0.1*$A$2</f>
        <v>0</v>
      </c>
      <c r="C860" s="68">
        <f t="shared" si="85"/>
        <v>2219148.7781994981</v>
      </c>
      <c r="D860" s="67">
        <f t="array" ref="D860">SUM($B$7:$B855*$F$1009*EXP(-$F$1009*($A860-$A$7:$A855)))*$F$1010</f>
        <v>51371424.000370935</v>
      </c>
      <c r="E860" s="67">
        <f t="shared" si="83"/>
        <v>97.93508478426881</v>
      </c>
      <c r="F860" s="70">
        <f t="shared" si="87"/>
        <v>5.9466183481008024</v>
      </c>
      <c r="G860" s="67">
        <f>E860/'Lookup Tables'!$C$48</f>
        <v>195.87016956853762</v>
      </c>
      <c r="H860" s="70">
        <f t="shared" si="84"/>
        <v>2.3195687043739154E-2</v>
      </c>
      <c r="I860" s="71">
        <f t="shared" si="88"/>
        <v>0.28205304417869415</v>
      </c>
      <c r="L860" s="74"/>
      <c r="M860" s="74"/>
      <c r="N860" s="74"/>
      <c r="O860" s="74"/>
      <c r="P860" s="74"/>
      <c r="Q860" s="74"/>
      <c r="R860" s="74"/>
      <c r="S860" s="74"/>
      <c r="T860" s="74"/>
      <c r="U860" s="74"/>
      <c r="V860" s="74"/>
      <c r="W860" s="74"/>
      <c r="X860" s="74"/>
      <c r="Y860" s="74"/>
      <c r="Z860" s="74"/>
    </row>
    <row r="861" spans="1:26" x14ac:dyDescent="0.3">
      <c r="A861" s="66">
        <f t="shared" si="86"/>
        <v>2075.3999999999223</v>
      </c>
      <c r="B861" s="67">
        <f>LOOKUP(A861+0.01,Amounts!$A$4:$A$103,Amounts!$B$4:$B$103)*0.1*$A$2</f>
        <v>0</v>
      </c>
      <c r="C861" s="68">
        <f t="shared" si="85"/>
        <v>2219148.7781994981</v>
      </c>
      <c r="D861" s="67">
        <f t="array" ref="D861">SUM($B$7:$B856*$F$1009*EXP(-$F$1009*($A861-$A$7:$A856)))*$F$1010</f>
        <v>51227785.201332666</v>
      </c>
      <c r="E861" s="67">
        <f t="shared" si="83"/>
        <v>97.661250094344268</v>
      </c>
      <c r="F861" s="70">
        <f t="shared" si="87"/>
        <v>5.9299911057285843</v>
      </c>
      <c r="G861" s="67">
        <f>E861/'Lookup Tables'!$C$48</f>
        <v>195.32250018868854</v>
      </c>
      <c r="H861" s="70">
        <f t="shared" si="84"/>
        <v>2.3130829962304041E-2</v>
      </c>
      <c r="I861" s="71">
        <f t="shared" si="88"/>
        <v>0.28126440027171151</v>
      </c>
      <c r="L861" s="74"/>
      <c r="M861" s="74"/>
      <c r="N861" s="74"/>
      <c r="O861" s="74"/>
      <c r="P861" s="74"/>
      <c r="Q861" s="74"/>
      <c r="R861" s="74"/>
      <c r="S861" s="74"/>
      <c r="T861" s="74"/>
      <c r="U861" s="74"/>
      <c r="V861" s="74"/>
      <c r="W861" s="74"/>
      <c r="X861" s="74"/>
      <c r="Y861" s="74"/>
      <c r="Z861" s="74"/>
    </row>
    <row r="862" spans="1:26" x14ac:dyDescent="0.3">
      <c r="A862" s="66">
        <f t="shared" si="86"/>
        <v>2075.4999999999222</v>
      </c>
      <c r="B862" s="67">
        <f>LOOKUP(A862+0.01,Amounts!$A$4:$A$103,Amounts!$B$4:$B$103)*0.1*$A$2</f>
        <v>0</v>
      </c>
      <c r="C862" s="68">
        <f t="shared" si="85"/>
        <v>2219148.7781994981</v>
      </c>
      <c r="D862" s="67">
        <f t="array" ref="D862">SUM($B$7:$B857*$F$1009*EXP(-$F$1009*($A862-$A$7:$A857)))*$F$1010</f>
        <v>51084548.028392784</v>
      </c>
      <c r="E862" s="67">
        <f t="shared" si="83"/>
        <v>97.388181069120733</v>
      </c>
      <c r="F862" s="70">
        <f t="shared" si="87"/>
        <v>5.9134103545170111</v>
      </c>
      <c r="G862" s="67">
        <f>E862/'Lookup Tables'!$C$48</f>
        <v>194.77636213824147</v>
      </c>
      <c r="H862" s="70">
        <f t="shared" si="84"/>
        <v>2.3066154226694301E-2</v>
      </c>
      <c r="I862" s="71">
        <f t="shared" si="88"/>
        <v>0.28047796147906767</v>
      </c>
      <c r="L862" s="74"/>
      <c r="M862" s="74"/>
      <c r="N862" s="74"/>
      <c r="O862" s="74"/>
      <c r="P862" s="74"/>
      <c r="Q862" s="74"/>
      <c r="R862" s="74"/>
      <c r="S862" s="74"/>
      <c r="T862" s="74"/>
      <c r="U862" s="74"/>
      <c r="V862" s="74"/>
      <c r="W862" s="74"/>
      <c r="X862" s="74"/>
      <c r="Y862" s="74"/>
      <c r="Z862" s="74"/>
    </row>
    <row r="863" spans="1:26" x14ac:dyDescent="0.3">
      <c r="A863" s="66">
        <f t="shared" si="86"/>
        <v>2075.5999999999221</v>
      </c>
      <c r="B863" s="67">
        <f>LOOKUP(A863+0.01,Amounts!$A$4:$A$103,Amounts!$B$4:$B$103)*0.1*$A$2</f>
        <v>0</v>
      </c>
      <c r="C863" s="68">
        <f t="shared" si="85"/>
        <v>2219148.7781994981</v>
      </c>
      <c r="D863" s="67">
        <f t="array" ref="D863">SUM($B$7:$B858*$F$1009*EXP(-$F$1009*($A863-$A$7:$A858)))*$F$1010</f>
        <v>50941711.358571112</v>
      </c>
      <c r="E863" s="67">
        <f t="shared" si="83"/>
        <v>97.115875567735614</v>
      </c>
      <c r="F863" s="70">
        <f t="shared" si="87"/>
        <v>5.8968759644729065</v>
      </c>
      <c r="G863" s="67">
        <f>E863/'Lookup Tables'!$C$48</f>
        <v>194.23175113547123</v>
      </c>
      <c r="H863" s="70">
        <f t="shared" si="84"/>
        <v>2.3001659329851855E-2</v>
      </c>
      <c r="I863" s="71">
        <f t="shared" si="88"/>
        <v>0.27969372163507855</v>
      </c>
      <c r="L863" s="74"/>
      <c r="M863" s="74"/>
      <c r="N863" s="74"/>
      <c r="O863" s="74"/>
      <c r="P863" s="74"/>
      <c r="Q863" s="74"/>
      <c r="R863" s="74"/>
      <c r="S863" s="74"/>
      <c r="T863" s="74"/>
      <c r="U863" s="74"/>
      <c r="V863" s="74"/>
      <c r="W863" s="74"/>
      <c r="X863" s="74"/>
      <c r="Y863" s="74"/>
      <c r="Z863" s="74"/>
    </row>
    <row r="864" spans="1:26" x14ac:dyDescent="0.3">
      <c r="A864" s="66">
        <f t="shared" si="86"/>
        <v>2075.6999999999221</v>
      </c>
      <c r="B864" s="67">
        <f>LOOKUP(A864+0.01,Amounts!$A$4:$A$103,Amounts!$B$4:$B$103)*0.1*$A$2</f>
        <v>0</v>
      </c>
      <c r="C864" s="68">
        <f t="shared" si="85"/>
        <v>2219148.7781994981</v>
      </c>
      <c r="D864" s="67">
        <f t="array" ref="D864">SUM($B$7:$B859*$F$1009*EXP(-$F$1009*($A864-$A$7:$A859)))*$F$1010</f>
        <v>50799274.072027437</v>
      </c>
      <c r="E864" s="67">
        <f t="shared" si="83"/>
        <v>96.844331455312442</v>
      </c>
      <c r="F864" s="70">
        <f t="shared" si="87"/>
        <v>5.8803878059665715</v>
      </c>
      <c r="G864" s="67">
        <f>E864/'Lookup Tables'!$C$48</f>
        <v>193.68866291062488</v>
      </c>
      <c r="H864" s="70">
        <f t="shared" si="84"/>
        <v>2.2937344766136389E-2</v>
      </c>
      <c r="I864" s="71">
        <f t="shared" si="88"/>
        <v>0.27891167459129984</v>
      </c>
      <c r="L864" s="74"/>
      <c r="M864" s="74"/>
      <c r="N864" s="74"/>
      <c r="O864" s="74"/>
      <c r="P864" s="74"/>
      <c r="Q864" s="74"/>
      <c r="R864" s="74"/>
      <c r="S864" s="74"/>
      <c r="T864" s="74"/>
      <c r="U864" s="74"/>
      <c r="V864" s="74"/>
      <c r="W864" s="74"/>
      <c r="X864" s="74"/>
      <c r="Y864" s="74"/>
      <c r="Z864" s="74"/>
    </row>
    <row r="865" spans="1:26" x14ac:dyDescent="0.3">
      <c r="A865" s="66">
        <f t="shared" si="86"/>
        <v>2075.799999999922</v>
      </c>
      <c r="B865" s="67">
        <f>LOOKUP(A865+0.01,Amounts!$A$4:$A$103,Amounts!$B$4:$B$103)*0.1*$A$2</f>
        <v>0</v>
      </c>
      <c r="C865" s="68">
        <f t="shared" si="85"/>
        <v>2219148.7781994981</v>
      </c>
      <c r="D865" s="67">
        <f t="array" ref="D865">SUM($B$7:$B860*$F$1009*EXP(-$F$1009*($A865-$A$7:$A860)))*$F$1010</f>
        <v>50657235.052052654</v>
      </c>
      <c r="E865" s="67">
        <f t="shared" si="83"/>
        <v>96.57354660294385</v>
      </c>
      <c r="F865" s="70">
        <f t="shared" si="87"/>
        <v>5.8639457497307497</v>
      </c>
      <c r="G865" s="67">
        <f>E865/'Lookup Tables'!$C$48</f>
        <v>193.1470932058877</v>
      </c>
      <c r="H865" s="70">
        <f t="shared" si="84"/>
        <v>2.2873210031321353E-2</v>
      </c>
      <c r="I865" s="71">
        <f t="shared" si="88"/>
        <v>0.27813181421647826</v>
      </c>
      <c r="L865" s="74"/>
      <c r="M865" s="74"/>
      <c r="N865" s="74"/>
      <c r="O865" s="74"/>
      <c r="P865" s="74"/>
      <c r="Q865" s="74"/>
      <c r="R865" s="74"/>
      <c r="S865" s="74"/>
      <c r="T865" s="74"/>
      <c r="U865" s="74"/>
      <c r="V865" s="74"/>
      <c r="W865" s="74"/>
      <c r="X865" s="74"/>
      <c r="Y865" s="74"/>
      <c r="Z865" s="74"/>
    </row>
    <row r="866" spans="1:26" x14ac:dyDescent="0.3">
      <c r="A866" s="66">
        <f t="shared" si="86"/>
        <v>2075.8999999999219</v>
      </c>
      <c r="B866" s="67">
        <f>LOOKUP(A866+0.01,Amounts!$A$4:$A$103,Amounts!$B$4:$B$103)*0.1*$A$2</f>
        <v>0</v>
      </c>
      <c r="C866" s="68">
        <f t="shared" si="85"/>
        <v>2219148.7781994981</v>
      </c>
      <c r="D866" s="67">
        <f t="array" ref="D866">SUM($B$7:$B861*$F$1009*EXP(-$F$1009*($A866-$A$7:$A861)))*$F$1010</f>
        <v>50515593.185060166</v>
      </c>
      <c r="E866" s="67">
        <f t="shared" si="83"/>
        <v>96.30351888767531</v>
      </c>
      <c r="F866" s="70">
        <f t="shared" si="87"/>
        <v>5.8475496668596447</v>
      </c>
      <c r="G866" s="67">
        <f>E866/'Lookup Tables'!$C$48</f>
        <v>192.60703777535062</v>
      </c>
      <c r="H866" s="70">
        <f t="shared" si="84"/>
        <v>2.2809254622590123E-2</v>
      </c>
      <c r="I866" s="71">
        <f t="shared" si="88"/>
        <v>0.27735413439650486</v>
      </c>
      <c r="L866" s="74"/>
      <c r="M866" s="74"/>
      <c r="N866" s="74"/>
      <c r="O866" s="74"/>
      <c r="P866" s="74"/>
      <c r="Q866" s="74"/>
      <c r="R866" s="74"/>
      <c r="S866" s="74"/>
      <c r="T866" s="74"/>
      <c r="U866" s="74"/>
      <c r="V866" s="74"/>
      <c r="W866" s="74"/>
      <c r="X866" s="74"/>
      <c r="Y866" s="74"/>
      <c r="Z866" s="74"/>
    </row>
    <row r="867" spans="1:26" x14ac:dyDescent="0.3">
      <c r="A867" s="66">
        <f t="shared" si="86"/>
        <v>2075.9999999999218</v>
      </c>
      <c r="B867" s="67">
        <f>LOOKUP(A867+0.01,Amounts!$A$4:$A$103,Amounts!$B$4:$B$103)*0.1*$A$2</f>
        <v>0</v>
      </c>
      <c r="C867" s="68">
        <f t="shared" si="85"/>
        <v>2219148.7781994981</v>
      </c>
      <c r="D867" s="67">
        <f t="array" ref="D867">SUM($B$7:$B862*$F$1009*EXP(-$F$1009*($A867-$A$7:$A862)))*$F$1010</f>
        <v>50374347.36057698</v>
      </c>
      <c r="E867" s="67">
        <f t="shared" si="83"/>
        <v>96.034246192488098</v>
      </c>
      <c r="F867" s="70">
        <f t="shared" si="87"/>
        <v>5.831199428807877</v>
      </c>
      <c r="G867" s="67">
        <f>E867/'Lookup Tables'!$C$48</f>
        <v>192.0684923849762</v>
      </c>
      <c r="H867" s="70">
        <f t="shared" si="84"/>
        <v>2.2745478038531969E-2</v>
      </c>
      <c r="I867" s="71">
        <f t="shared" si="88"/>
        <v>0.2765786290343657</v>
      </c>
      <c r="L867" s="74"/>
      <c r="M867" s="74"/>
      <c r="N867" s="74"/>
      <c r="O867" s="74"/>
      <c r="P867" s="74"/>
      <c r="Q867" s="74"/>
      <c r="R867" s="74"/>
      <c r="S867" s="74"/>
      <c r="T867" s="74"/>
      <c r="U867" s="74"/>
      <c r="V867" s="74"/>
      <c r="W867" s="74"/>
      <c r="X867" s="74"/>
      <c r="Y867" s="74"/>
      <c r="Z867" s="74"/>
    </row>
    <row r="868" spans="1:26" x14ac:dyDescent="0.3">
      <c r="A868" s="66">
        <f t="shared" si="86"/>
        <v>2076.0999999999217</v>
      </c>
      <c r="B868" s="67">
        <f>LOOKUP(A868+0.01,Amounts!$A$4:$A$103,Amounts!$B$4:$B$103)*0.1*$A$2</f>
        <v>0</v>
      </c>
      <c r="C868" s="68">
        <f t="shared" si="85"/>
        <v>2219148.7781994981</v>
      </c>
      <c r="D868" s="67">
        <f t="array" ref="D868">SUM($B$7:$B863*$F$1009*EXP(-$F$1009*($A868-$A$7:$A863)))*$F$1010</f>
        <v>50233496.471235149</v>
      </c>
      <c r="E868" s="67">
        <f t="shared" si="83"/>
        <v>95.76572640628298</v>
      </c>
      <c r="F868" s="70">
        <f t="shared" si="87"/>
        <v>5.8148949073895029</v>
      </c>
      <c r="G868" s="67">
        <f>E868/'Lookup Tables'!$C$48</f>
        <v>191.53145281256596</v>
      </c>
      <c r="H868" s="70">
        <f t="shared" si="84"/>
        <v>2.2681879779138152E-2</v>
      </c>
      <c r="I868" s="71">
        <f t="shared" si="88"/>
        <v>0.27580529205009496</v>
      </c>
      <c r="L868" s="74"/>
      <c r="M868" s="74"/>
      <c r="N868" s="74"/>
      <c r="O868" s="74"/>
      <c r="P868" s="74"/>
      <c r="Q868" s="74"/>
      <c r="R868" s="74"/>
      <c r="S868" s="74"/>
      <c r="T868" s="74"/>
      <c r="U868" s="74"/>
      <c r="V868" s="74"/>
      <c r="W868" s="74"/>
      <c r="X868" s="74"/>
      <c r="Y868" s="74"/>
      <c r="Z868" s="74"/>
    </row>
    <row r="869" spans="1:26" x14ac:dyDescent="0.3">
      <c r="A869" s="66">
        <f t="shared" si="86"/>
        <v>2076.1999999999216</v>
      </c>
      <c r="B869" s="67">
        <f>LOOKUP(A869+0.01,Amounts!$A$4:$A$103,Amounts!$B$4:$B$103)*0.1*$A$2</f>
        <v>0</v>
      </c>
      <c r="C869" s="68">
        <f t="shared" si="85"/>
        <v>2219148.7781994981</v>
      </c>
      <c r="D869" s="67">
        <f t="array" ref="D869">SUM($B$7:$B864*$F$1009*EXP(-$F$1009*($A869-$A$7:$A864)))*$F$1010</f>
        <v>50093039.412762955</v>
      </c>
      <c r="E869" s="67">
        <f t="shared" si="83"/>
        <v>95.497957423863411</v>
      </c>
      <c r="F869" s="70">
        <f t="shared" si="87"/>
        <v>5.7986359747769862</v>
      </c>
      <c r="G869" s="67">
        <f>E869/'Lookup Tables'!$C$48</f>
        <v>190.99591484772682</v>
      </c>
      <c r="H869" s="70">
        <f t="shared" si="84"/>
        <v>2.2618459345797981E-2</v>
      </c>
      <c r="I869" s="71">
        <f t="shared" si="88"/>
        <v>0.27503411738072664</v>
      </c>
      <c r="L869" s="74"/>
      <c r="M869" s="74"/>
      <c r="N869" s="74"/>
      <c r="O869" s="74"/>
      <c r="P869" s="74"/>
      <c r="Q869" s="74"/>
      <c r="R869" s="74"/>
      <c r="S869" s="74"/>
      <c r="T869" s="74"/>
      <c r="U869" s="74"/>
      <c r="V869" s="74"/>
      <c r="W869" s="74"/>
      <c r="X869" s="74"/>
      <c r="Y869" s="74"/>
      <c r="Z869" s="74"/>
    </row>
    <row r="870" spans="1:26" x14ac:dyDescent="0.3">
      <c r="A870" s="66">
        <f t="shared" si="86"/>
        <v>2076.2999999999215</v>
      </c>
      <c r="B870" s="67">
        <f>LOOKUP(A870+0.01,Amounts!$A$4:$A$103,Amounts!$B$4:$B$103)*0.1*$A$2</f>
        <v>0</v>
      </c>
      <c r="C870" s="68">
        <f t="shared" si="85"/>
        <v>2219148.7781994981</v>
      </c>
      <c r="D870" s="67">
        <f t="array" ref="D870">SUM($B$7:$B865*$F$1009*EXP(-$F$1009*($A870-$A$7:$A865)))*$F$1010</f>
        <v>49952975.083976328</v>
      </c>
      <c r="E870" s="67">
        <f t="shared" si="83"/>
        <v>95.230937145919185</v>
      </c>
      <c r="F870" s="70">
        <f t="shared" si="87"/>
        <v>5.7824225035002126</v>
      </c>
      <c r="G870" s="67">
        <f>E870/'Lookup Tables'!$C$48</f>
        <v>190.46187429183837</v>
      </c>
      <c r="H870" s="70">
        <f t="shared" si="84"/>
        <v>2.2555216241294935E-2</v>
      </c>
      <c r="I870" s="71">
        <f t="shared" si="88"/>
        <v>0.27426509898024726</v>
      </c>
      <c r="L870" s="74"/>
      <c r="M870" s="74"/>
      <c r="N870" s="74"/>
      <c r="O870" s="74"/>
      <c r="P870" s="74"/>
      <c r="Q870" s="74"/>
      <c r="R870" s="74"/>
      <c r="S870" s="74"/>
      <c r="T870" s="74"/>
      <c r="U870" s="74"/>
      <c r="V870" s="74"/>
      <c r="W870" s="74"/>
      <c r="X870" s="74"/>
      <c r="Y870" s="74"/>
      <c r="Z870" s="74"/>
    </row>
    <row r="871" spans="1:26" x14ac:dyDescent="0.3">
      <c r="A871" s="66">
        <f t="shared" si="86"/>
        <v>2076.3999999999214</v>
      </c>
      <c r="B871" s="67">
        <f>LOOKUP(A871+0.01,Amounts!$A$4:$A$103,Amounts!$B$4:$B$103)*0.1*$A$2</f>
        <v>0</v>
      </c>
      <c r="C871" s="68">
        <f t="shared" si="85"/>
        <v>2219148.7781994981</v>
      </c>
      <c r="D871" s="67">
        <f t="array" ref="D871">SUM($B$7:$B866*$F$1009*EXP(-$F$1009*($A871-$A$7:$A866)))*$F$1010</f>
        <v>49813302.386770241</v>
      </c>
      <c r="E871" s="67">
        <f t="shared" si="83"/>
        <v>94.964663479009999</v>
      </c>
      <c r="F871" s="70">
        <f t="shared" si="87"/>
        <v>5.7662543664454873</v>
      </c>
      <c r="G871" s="67">
        <f>E871/'Lookup Tables'!$C$48</f>
        <v>189.92932695802</v>
      </c>
      <c r="H871" s="70">
        <f t="shared" si="84"/>
        <v>2.2492149969802751E-2</v>
      </c>
      <c r="I871" s="71">
        <f t="shared" si="88"/>
        <v>0.27349823081954883</v>
      </c>
      <c r="L871" s="74"/>
      <c r="M871" s="74"/>
      <c r="N871" s="74"/>
      <c r="O871" s="74"/>
      <c r="P871" s="74"/>
      <c r="Q871" s="74"/>
      <c r="R871" s="74"/>
      <c r="S871" s="74"/>
      <c r="T871" s="74"/>
      <c r="U871" s="74"/>
      <c r="V871" s="74"/>
      <c r="W871" s="74"/>
      <c r="X871" s="74"/>
      <c r="Y871" s="74"/>
      <c r="Z871" s="74"/>
    </row>
    <row r="872" spans="1:26" x14ac:dyDescent="0.3">
      <c r="A872" s="66">
        <f t="shared" si="86"/>
        <v>2076.4999999999213</v>
      </c>
      <c r="B872" s="67">
        <f>LOOKUP(A872+0.01,Amounts!$A$4:$A$103,Amounts!$B$4:$B$103)*0.1*$A$2</f>
        <v>0</v>
      </c>
      <c r="C872" s="68">
        <f t="shared" si="85"/>
        <v>2219148.7781994981</v>
      </c>
      <c r="D872" s="67">
        <f t="array" ref="D872">SUM($B$7:$B867*$F$1009*EXP(-$F$1009*($A872-$A$7:$A867)))*$F$1010</f>
        <v>49674020.226109989</v>
      </c>
      <c r="E872" s="67">
        <f t="shared" si="83"/>
        <v>94.699134335548848</v>
      </c>
      <c r="F872" s="70">
        <f t="shared" si="87"/>
        <v>5.7501314368545255</v>
      </c>
      <c r="G872" s="67">
        <f>E872/'Lookup Tables'!$C$48</f>
        <v>189.3982686710977</v>
      </c>
      <c r="H872" s="70">
        <f t="shared" si="84"/>
        <v>2.2429260036881525E-2</v>
      </c>
      <c r="I872" s="71">
        <f t="shared" si="88"/>
        <v>0.27273350688638065</v>
      </c>
      <c r="L872" s="74"/>
      <c r="M872" s="74"/>
      <c r="N872" s="74"/>
      <c r="O872" s="74"/>
      <c r="P872" s="74"/>
      <c r="Q872" s="74"/>
      <c r="R872" s="74"/>
      <c r="S872" s="74"/>
      <c r="T872" s="74"/>
      <c r="U872" s="74"/>
      <c r="V872" s="74"/>
      <c r="W872" s="74"/>
      <c r="X872" s="74"/>
      <c r="Y872" s="74"/>
      <c r="Z872" s="74"/>
    </row>
    <row r="873" spans="1:26" x14ac:dyDescent="0.3">
      <c r="A873" s="66">
        <f t="shared" si="86"/>
        <v>2076.5999999999212</v>
      </c>
      <c r="B873" s="67">
        <f>LOOKUP(A873+0.01,Amounts!$A$4:$A$103,Amounts!$B$4:$B$103)*0.1*$A$2</f>
        <v>0</v>
      </c>
      <c r="C873" s="68">
        <f t="shared" si="85"/>
        <v>2219148.7781994981</v>
      </c>
      <c r="D873" s="67">
        <f t="array" ref="D873">SUM($B$7:$B868*$F$1009*EXP(-$F$1009*($A873-$A$7:$A868)))*$F$1010</f>
        <v>49535127.510022752</v>
      </c>
      <c r="E873" s="67">
        <f t="shared" si="83"/>
        <v>94.434347633785961</v>
      </c>
      <c r="F873" s="70">
        <f t="shared" si="87"/>
        <v>5.7340535883234836</v>
      </c>
      <c r="G873" s="67">
        <f>E873/'Lookup Tables'!$C$48</f>
        <v>188.86869526757192</v>
      </c>
      <c r="H873" s="70">
        <f t="shared" si="84"/>
        <v>2.236654594947388E-2</v>
      </c>
      <c r="I873" s="71">
        <f t="shared" si="88"/>
        <v>0.27197092118530353</v>
      </c>
      <c r="L873" s="74"/>
      <c r="M873" s="74"/>
      <c r="N873" s="74"/>
      <c r="O873" s="74"/>
      <c r="P873" s="74"/>
      <c r="Q873" s="74"/>
      <c r="R873" s="74"/>
      <c r="S873" s="74"/>
      <c r="T873" s="74"/>
      <c r="U873" s="74"/>
      <c r="V873" s="74"/>
      <c r="W873" s="74"/>
      <c r="X873" s="74"/>
      <c r="Y873" s="74"/>
      <c r="Z873" s="74"/>
    </row>
    <row r="874" spans="1:26" x14ac:dyDescent="0.3">
      <c r="A874" s="66">
        <f t="shared" si="86"/>
        <v>2076.6999999999211</v>
      </c>
      <c r="B874" s="67">
        <f>LOOKUP(A874+0.01,Amounts!$A$4:$A$103,Amounts!$B$4:$B$103)*0.1*$A$2</f>
        <v>0</v>
      </c>
      <c r="C874" s="68">
        <f t="shared" si="85"/>
        <v>2219148.7781994981</v>
      </c>
      <c r="D874" s="67">
        <f t="array" ref="D874">SUM($B$7:$B869*$F$1009*EXP(-$F$1009*($A874-$A$7:$A869)))*$F$1010</f>
        <v>49396623.149588928</v>
      </c>
      <c r="E874" s="67">
        <f t="shared" si="83"/>
        <v>94.17030129779225</v>
      </c>
      <c r="F874" s="70">
        <f t="shared" si="87"/>
        <v>5.718020694801945</v>
      </c>
      <c r="G874" s="67">
        <f>E874/'Lookup Tables'!$C$48</f>
        <v>188.3406025955845</v>
      </c>
      <c r="H874" s="70">
        <f t="shared" si="84"/>
        <v>2.2304007215901048E-2</v>
      </c>
      <c r="I874" s="71">
        <f t="shared" si="88"/>
        <v>0.27121046773764163</v>
      </c>
      <c r="L874" s="74"/>
      <c r="M874" s="74"/>
      <c r="N874" s="74"/>
      <c r="O874" s="74"/>
      <c r="P874" s="74"/>
      <c r="Q874" s="74"/>
      <c r="R874" s="74"/>
      <c r="S874" s="74"/>
      <c r="T874" s="74"/>
      <c r="U874" s="74"/>
      <c r="V874" s="74"/>
      <c r="W874" s="74"/>
      <c r="X874" s="74"/>
      <c r="Y874" s="74"/>
      <c r="Z874" s="74"/>
    </row>
    <row r="875" spans="1:26" x14ac:dyDescent="0.3">
      <c r="A875" s="66">
        <f t="shared" si="86"/>
        <v>2076.7999999999211</v>
      </c>
      <c r="B875" s="67">
        <f>LOOKUP(A875+0.01,Amounts!$A$4:$A$103,Amounts!$B$4:$B$103)*0.1*$A$2</f>
        <v>0</v>
      </c>
      <c r="C875" s="68">
        <f t="shared" si="85"/>
        <v>2219148.7781994981</v>
      </c>
      <c r="D875" s="67">
        <f t="array" ref="D875">SUM($B$7:$B870*$F$1009*EXP(-$F$1009*($A875-$A$7:$A870)))*$F$1010</f>
        <v>49258506.058933616</v>
      </c>
      <c r="E875" s="67">
        <f t="shared" si="83"/>
        <v>93.906993257443077</v>
      </c>
      <c r="F875" s="70">
        <f t="shared" si="87"/>
        <v>5.702032630591944</v>
      </c>
      <c r="G875" s="67">
        <f>E875/'Lookup Tables'!$C$48</f>
        <v>187.81398651488615</v>
      </c>
      <c r="H875" s="70">
        <f t="shared" si="84"/>
        <v>2.2241643345859041E-2</v>
      </c>
      <c r="I875" s="71">
        <f t="shared" si="88"/>
        <v>0.27045214058143613</v>
      </c>
      <c r="L875" s="74"/>
      <c r="M875" s="74"/>
      <c r="N875" s="74"/>
      <c r="O875" s="74"/>
      <c r="P875" s="74"/>
      <c r="Q875" s="74"/>
      <c r="R875" s="74"/>
      <c r="S875" s="74"/>
      <c r="T875" s="74"/>
      <c r="U875" s="74"/>
      <c r="V875" s="74"/>
      <c r="W875" s="74"/>
      <c r="X875" s="74"/>
      <c r="Y875" s="74"/>
      <c r="Z875" s="74"/>
    </row>
    <row r="876" spans="1:26" x14ac:dyDescent="0.3">
      <c r="A876" s="66">
        <f t="shared" si="86"/>
        <v>2076.899999999921</v>
      </c>
      <c r="B876" s="67">
        <f>LOOKUP(A876+0.01,Amounts!$A$4:$A$103,Amounts!$B$4:$B$103)*0.1*$A$2</f>
        <v>0</v>
      </c>
      <c r="C876" s="68">
        <f t="shared" si="85"/>
        <v>2219148.7781994981</v>
      </c>
      <c r="D876" s="67">
        <f t="array" ref="D876">SUM($B$7:$B871*$F$1009*EXP(-$F$1009*($A876-$A$7:$A871)))*$F$1010</f>
        <v>49120775.155218102</v>
      </c>
      <c r="E876" s="67">
        <f t="shared" si="83"/>
        <v>93.644421448401999</v>
      </c>
      <c r="F876" s="70">
        <f t="shared" si="87"/>
        <v>5.6860892703469696</v>
      </c>
      <c r="G876" s="67">
        <f>E876/'Lookup Tables'!$C$48</f>
        <v>187.288842896804</v>
      </c>
      <c r="H876" s="70">
        <f t="shared" si="84"/>
        <v>2.2179453850414768E-2</v>
      </c>
      <c r="I876" s="71">
        <f t="shared" si="88"/>
        <v>0.26969593377139772</v>
      </c>
      <c r="L876" s="74"/>
      <c r="M876" s="74"/>
      <c r="N876" s="74"/>
      <c r="O876" s="74"/>
      <c r="P876" s="74"/>
      <c r="Q876" s="74"/>
      <c r="R876" s="74"/>
      <c r="S876" s="74"/>
      <c r="T876" s="74"/>
      <c r="U876" s="74"/>
      <c r="V876" s="74"/>
      <c r="W876" s="74"/>
      <c r="X876" s="74"/>
      <c r="Y876" s="74"/>
      <c r="Z876" s="74"/>
    </row>
    <row r="877" spans="1:26" x14ac:dyDescent="0.3">
      <c r="A877" s="66">
        <f t="shared" si="86"/>
        <v>2076.9999999999209</v>
      </c>
      <c r="B877" s="67">
        <f>LOOKUP(A877+0.01,Amounts!$A$4:$A$103,Amounts!$B$4:$B$103)*0.1*$A$2</f>
        <v>0</v>
      </c>
      <c r="C877" s="68">
        <f t="shared" si="85"/>
        <v>2219148.7781994981</v>
      </c>
      <c r="D877" s="67">
        <f t="array" ref="D877">SUM($B$7:$B872*$F$1009*EXP(-$F$1009*($A877-$A$7:$A872)))*$F$1010</f>
        <v>48983429.358631425</v>
      </c>
      <c r="E877" s="67">
        <f t="shared" si="83"/>
        <v>93.382583812104784</v>
      </c>
      <c r="F877" s="70">
        <f t="shared" si="87"/>
        <v>5.6701904890710031</v>
      </c>
      <c r="G877" s="67">
        <f>E877/'Lookup Tables'!$C$48</f>
        <v>186.76516762420957</v>
      </c>
      <c r="H877" s="70">
        <f t="shared" si="84"/>
        <v>2.2117438242002307E-2</v>
      </c>
      <c r="I877" s="71">
        <f t="shared" si="88"/>
        <v>0.26894184137886179</v>
      </c>
      <c r="L877" s="74"/>
      <c r="M877" s="74"/>
      <c r="N877" s="74"/>
      <c r="O877" s="74"/>
      <c r="P877" s="74"/>
      <c r="Q877" s="74"/>
      <c r="R877" s="74"/>
      <c r="S877" s="74"/>
      <c r="T877" s="74"/>
      <c r="U877" s="74"/>
      <c r="V877" s="74"/>
      <c r="W877" s="74"/>
      <c r="X877" s="74"/>
      <c r="Y877" s="74"/>
      <c r="Z877" s="74"/>
    </row>
    <row r="878" spans="1:26" x14ac:dyDescent="0.3">
      <c r="A878" s="66">
        <f t="shared" si="86"/>
        <v>2077.0999999999208</v>
      </c>
      <c r="B878" s="67">
        <f>LOOKUP(A878+0.01,Amounts!$A$4:$A$103,Amounts!$B$4:$B$103)*0.1*$A$2</f>
        <v>0</v>
      </c>
      <c r="C878" s="68">
        <f t="shared" si="85"/>
        <v>2219148.7781994981</v>
      </c>
      <c r="D878" s="67">
        <f t="array" ref="D878">SUM($B$7:$B873*$F$1009*EXP(-$F$1009*($A878-$A$7:$A873)))*$F$1010</f>
        <v>48846467.59238179</v>
      </c>
      <c r="E878" s="67">
        <f t="shared" si="83"/>
        <v>93.121478295742918</v>
      </c>
      <c r="F878" s="70">
        <f t="shared" si="87"/>
        <v>5.6543361621175103</v>
      </c>
      <c r="G878" s="67">
        <f>E878/'Lookup Tables'!$C$48</f>
        <v>186.24295659148584</v>
      </c>
      <c r="H878" s="70">
        <f t="shared" si="84"/>
        <v>2.2055596034418937E-2</v>
      </c>
      <c r="I878" s="71">
        <f t="shared" si="88"/>
        <v>0.26818985749173962</v>
      </c>
      <c r="L878" s="74"/>
      <c r="M878" s="74"/>
      <c r="N878" s="74"/>
      <c r="O878" s="74"/>
      <c r="P878" s="74"/>
      <c r="Q878" s="74"/>
      <c r="R878" s="74"/>
      <c r="S878" s="74"/>
      <c r="T878" s="74"/>
      <c r="U878" s="74"/>
      <c r="V878" s="74"/>
      <c r="W878" s="74"/>
      <c r="X878" s="74"/>
      <c r="Y878" s="74"/>
      <c r="Z878" s="74"/>
    </row>
    <row r="879" spans="1:26" x14ac:dyDescent="0.3">
      <c r="A879" s="66">
        <f t="shared" si="86"/>
        <v>2077.1999999999207</v>
      </c>
      <c r="B879" s="67">
        <f>LOOKUP(A879+0.01,Amounts!$A$4:$A$103,Amounts!$B$4:$B$103)*0.1*$A$2</f>
        <v>0</v>
      </c>
      <c r="C879" s="68">
        <f t="shared" si="85"/>
        <v>2219148.7781994981</v>
      </c>
      <c r="D879" s="67">
        <f t="array" ref="D879">SUM($B$7:$B874*$F$1009*EXP(-$F$1009*($A879-$A$7:$A874)))*$F$1010</f>
        <v>48709888.782688297</v>
      </c>
      <c r="E879" s="67">
        <f t="shared" si="83"/>
        <v>92.86110285224791</v>
      </c>
      <c r="F879" s="70">
        <f t="shared" si="87"/>
        <v>5.6385261651884928</v>
      </c>
      <c r="G879" s="67">
        <f>E879/'Lookup Tables'!$C$48</f>
        <v>185.72220570449582</v>
      </c>
      <c r="H879" s="70">
        <f t="shared" si="84"/>
        <v>2.1993926742821454E-2</v>
      </c>
      <c r="I879" s="71">
        <f t="shared" si="88"/>
        <v>0.26743997621447396</v>
      </c>
      <c r="L879" s="74"/>
      <c r="M879" s="74"/>
      <c r="N879" s="74"/>
      <c r="O879" s="74"/>
      <c r="P879" s="74"/>
      <c r="Q879" s="74"/>
      <c r="R879" s="74"/>
      <c r="S879" s="74"/>
      <c r="T879" s="74"/>
      <c r="U879" s="74"/>
      <c r="V879" s="74"/>
      <c r="W879" s="74"/>
      <c r="X879" s="74"/>
      <c r="Y879" s="74"/>
      <c r="Z879" s="74"/>
    </row>
    <row r="880" spans="1:26" x14ac:dyDescent="0.3">
      <c r="A880" s="66">
        <f t="shared" si="86"/>
        <v>2077.2999999999206</v>
      </c>
      <c r="B880" s="67">
        <f>LOOKUP(A880+0.01,Amounts!$A$4:$A$103,Amounts!$B$4:$B$103)*0.1*$A$2</f>
        <v>0</v>
      </c>
      <c r="C880" s="68">
        <f t="shared" si="85"/>
        <v>2219148.7781994981</v>
      </c>
      <c r="D880" s="67">
        <f t="array" ref="D880">SUM($B$7:$B875*$F$1009*EXP(-$F$1009*($A880-$A$7:$A875)))*$F$1010</f>
        <v>48573691.858772352</v>
      </c>
      <c r="E880" s="67">
        <f t="shared" si="83"/>
        <v>92.60145544027489</v>
      </c>
      <c r="F880" s="70">
        <f t="shared" si="87"/>
        <v>5.6227603743334909</v>
      </c>
      <c r="G880" s="67">
        <f>E880/'Lookup Tables'!$C$48</f>
        <v>185.20291088054978</v>
      </c>
      <c r="H880" s="70">
        <f t="shared" si="84"/>
        <v>2.193242988372229E-2</v>
      </c>
      <c r="I880" s="71">
        <f t="shared" si="88"/>
        <v>0.26669219166799168</v>
      </c>
      <c r="L880" s="74"/>
      <c r="M880" s="74"/>
      <c r="N880" s="74"/>
      <c r="O880" s="74"/>
      <c r="P880" s="74"/>
      <c r="Q880" s="74"/>
      <c r="R880" s="74"/>
      <c r="S880" s="74"/>
      <c r="T880" s="74"/>
      <c r="U880" s="74"/>
      <c r="V880" s="74"/>
      <c r="W880" s="74"/>
      <c r="X880" s="74"/>
      <c r="Y880" s="74"/>
      <c r="Z880" s="74"/>
    </row>
    <row r="881" spans="1:26" x14ac:dyDescent="0.3">
      <c r="A881" s="66">
        <f t="shared" si="86"/>
        <v>2077.3999999999205</v>
      </c>
      <c r="B881" s="67">
        <f>LOOKUP(A881+0.01,Amounts!$A$4:$A$103,Amounts!$B$4:$B$103)*0.1*$A$2</f>
        <v>0</v>
      </c>
      <c r="C881" s="68">
        <f t="shared" si="85"/>
        <v>2219148.7781994981</v>
      </c>
      <c r="D881" s="67">
        <f t="array" ref="D881">SUM($B$7:$B876*$F$1009*EXP(-$F$1009*($A881-$A$7:$A876)))*$F$1010</f>
        <v>48437875.75284937</v>
      </c>
      <c r="E881" s="67">
        <f t="shared" si="83"/>
        <v>92.342534024186833</v>
      </c>
      <c r="F881" s="70">
        <f t="shared" si="87"/>
        <v>5.6070386659486244</v>
      </c>
      <c r="G881" s="67">
        <f>E881/'Lookup Tables'!$C$48</f>
        <v>184.68506804837367</v>
      </c>
      <c r="H881" s="70">
        <f t="shared" si="84"/>
        <v>2.1871104974985754E-2</v>
      </c>
      <c r="I881" s="71">
        <f t="shared" si="88"/>
        <v>0.26594649798965808</v>
      </c>
      <c r="L881" s="74"/>
      <c r="M881" s="74"/>
      <c r="N881" s="74"/>
      <c r="O881" s="74"/>
      <c r="P881" s="74"/>
      <c r="Q881" s="74"/>
      <c r="R881" s="74"/>
      <c r="S881" s="74"/>
      <c r="T881" s="74"/>
      <c r="U881" s="74"/>
      <c r="V881" s="74"/>
      <c r="W881" s="74"/>
      <c r="X881" s="74"/>
      <c r="Y881" s="74"/>
      <c r="Z881" s="74"/>
    </row>
    <row r="882" spans="1:26" x14ac:dyDescent="0.3">
      <c r="A882" s="66">
        <f t="shared" si="86"/>
        <v>2077.4999999999204</v>
      </c>
      <c r="B882" s="67">
        <f>LOOKUP(A882+0.01,Amounts!$A$4:$A$103,Amounts!$B$4:$B$103)*0.1*$A$2</f>
        <v>0</v>
      </c>
      <c r="C882" s="68">
        <f t="shared" si="85"/>
        <v>2219148.7781994981</v>
      </c>
      <c r="D882" s="67">
        <f t="array" ref="D882">SUM($B$7:$B877*$F$1009*EXP(-$F$1009*($A882-$A$7:$A877)))*$F$1010</f>
        <v>48302439.400120415</v>
      </c>
      <c r="E882" s="67">
        <f t="shared" si="83"/>
        <v>92.084336574038545</v>
      </c>
      <c r="F882" s="70">
        <f t="shared" si="87"/>
        <v>5.5913609167756206</v>
      </c>
      <c r="G882" s="67">
        <f>E882/'Lookup Tables'!$C$48</f>
        <v>184.16867314807709</v>
      </c>
      <c r="H882" s="70">
        <f t="shared" si="84"/>
        <v>2.1809951535824254E-2</v>
      </c>
      <c r="I882" s="71">
        <f t="shared" si="88"/>
        <v>0.26520288933323105</v>
      </c>
      <c r="L882" s="74"/>
      <c r="M882" s="74"/>
      <c r="N882" s="74"/>
      <c r="O882" s="74"/>
      <c r="P882" s="74"/>
      <c r="Q882" s="74"/>
      <c r="R882" s="74"/>
      <c r="S882" s="74"/>
      <c r="T882" s="74"/>
      <c r="U882" s="74"/>
      <c r="V882" s="74"/>
      <c r="W882" s="74"/>
      <c r="X882" s="74"/>
      <c r="Y882" s="74"/>
      <c r="Z882" s="74"/>
    </row>
    <row r="883" spans="1:26" x14ac:dyDescent="0.3">
      <c r="A883" s="66">
        <f t="shared" si="86"/>
        <v>2077.5999999999203</v>
      </c>
      <c r="B883" s="67">
        <f>LOOKUP(A883+0.01,Amounts!$A$4:$A$103,Amounts!$B$4:$B$103)*0.1*$A$2</f>
        <v>0</v>
      </c>
      <c r="C883" s="68">
        <f t="shared" si="85"/>
        <v>2219148.7781994981</v>
      </c>
      <c r="D883" s="67">
        <f t="array" ref="D883">SUM($B$7:$B878*$F$1009*EXP(-$F$1009*($A883-$A$7:$A878)))*$F$1010</f>
        <v>48167381.738763765</v>
      </c>
      <c r="E883" s="67">
        <f t="shared" si="83"/>
        <v>91.826861065560664</v>
      </c>
      <c r="F883" s="70">
        <f t="shared" si="87"/>
        <v>5.5757270039008437</v>
      </c>
      <c r="G883" s="67">
        <f>E883/'Lookup Tables'!$C$48</f>
        <v>183.65372213112133</v>
      </c>
      <c r="H883" s="70">
        <f t="shared" si="84"/>
        <v>2.1748969086794506E-2</v>
      </c>
      <c r="I883" s="71">
        <f t="shared" si="88"/>
        <v>0.26446135986881469</v>
      </c>
      <c r="L883" s="74"/>
      <c r="M883" s="74"/>
      <c r="N883" s="74"/>
      <c r="O883" s="74"/>
      <c r="P883" s="74"/>
      <c r="Q883" s="74"/>
      <c r="R883" s="74"/>
      <c r="S883" s="74"/>
      <c r="T883" s="74"/>
      <c r="U883" s="74"/>
      <c r="V883" s="74"/>
      <c r="W883" s="74"/>
      <c r="X883" s="74"/>
      <c r="Y883" s="74"/>
      <c r="Z883" s="74"/>
    </row>
    <row r="884" spans="1:26" x14ac:dyDescent="0.3">
      <c r="A884" s="66">
        <f t="shared" si="86"/>
        <v>2077.6999999999202</v>
      </c>
      <c r="B884" s="67">
        <f>LOOKUP(A884+0.01,Amounts!$A$4:$A$103,Amounts!$B$4:$B$103)*0.1*$A$2</f>
        <v>0</v>
      </c>
      <c r="C884" s="68">
        <f t="shared" si="85"/>
        <v>2219148.7781994981</v>
      </c>
      <c r="D884" s="67">
        <f t="array" ref="D884">SUM($B$7:$B879*$F$1009*EXP(-$F$1009*($A884-$A$7:$A879)))*$F$1010</f>
        <v>48032701.709926657</v>
      </c>
      <c r="E884" s="67">
        <f t="shared" si="83"/>
        <v>91.570105480143866</v>
      </c>
      <c r="F884" s="70">
        <f t="shared" si="87"/>
        <v>5.5601368047543351</v>
      </c>
      <c r="G884" s="67">
        <f>E884/'Lookup Tables'!$C$48</f>
        <v>183.14021096028773</v>
      </c>
      <c r="H884" s="70">
        <f t="shared" si="84"/>
        <v>2.1688157149793798E-2</v>
      </c>
      <c r="I884" s="71">
        <f t="shared" si="88"/>
        <v>0.26372190378281435</v>
      </c>
      <c r="L884" s="74"/>
      <c r="M884" s="74"/>
      <c r="N884" s="74"/>
      <c r="O884" s="74"/>
      <c r="P884" s="74"/>
      <c r="Q884" s="74"/>
      <c r="R884" s="74"/>
      <c r="S884" s="74"/>
      <c r="T884" s="74"/>
      <c r="U884" s="74"/>
      <c r="V884" s="74"/>
      <c r="W884" s="74"/>
      <c r="X884" s="74"/>
      <c r="Y884" s="74"/>
      <c r="Z884" s="74"/>
    </row>
    <row r="885" spans="1:26" x14ac:dyDescent="0.3">
      <c r="A885" s="66">
        <f t="shared" si="86"/>
        <v>2077.7999999999201</v>
      </c>
      <c r="B885" s="67">
        <f>LOOKUP(A885+0.01,Amounts!$A$4:$A$103,Amounts!$B$4:$B$103)*0.1*$A$2</f>
        <v>0</v>
      </c>
      <c r="C885" s="68">
        <f t="shared" si="85"/>
        <v>2219148.7781994981</v>
      </c>
      <c r="D885" s="67">
        <f t="array" ref="D885">SUM($B$7:$B880*$F$1009*EXP(-$F$1009*($A885-$A$7:$A880)))*$F$1010</f>
        <v>47898398.257716991</v>
      </c>
      <c r="E885" s="67">
        <f t="shared" si="83"/>
        <v>91.314067804823068</v>
      </c>
      <c r="F885" s="70">
        <f t="shared" si="87"/>
        <v>5.5445901971088576</v>
      </c>
      <c r="G885" s="67">
        <f>E885/'Lookup Tables'!$C$48</f>
        <v>182.62813560964614</v>
      </c>
      <c r="H885" s="70">
        <f t="shared" si="84"/>
        <v>2.1627515248056232E-2</v>
      </c>
      <c r="I885" s="71">
        <f t="shared" si="88"/>
        <v>0.26298451527789041</v>
      </c>
      <c r="L885" s="74"/>
      <c r="M885" s="74"/>
      <c r="N885" s="74"/>
      <c r="O885" s="74"/>
      <c r="P885" s="74"/>
      <c r="Q885" s="74"/>
      <c r="R885" s="74"/>
      <c r="S885" s="74"/>
      <c r="T885" s="74"/>
      <c r="U885" s="74"/>
      <c r="V885" s="74"/>
      <c r="W885" s="74"/>
      <c r="X885" s="74"/>
      <c r="Y885" s="74"/>
      <c r="Z885" s="74"/>
    </row>
    <row r="886" spans="1:26" x14ac:dyDescent="0.3">
      <c r="A886" s="66">
        <f t="shared" si="86"/>
        <v>2077.8999999999201</v>
      </c>
      <c r="B886" s="67">
        <f>LOOKUP(A886+0.01,Amounts!$A$4:$A$103,Amounts!$B$4:$B$103)*0.1*$A$2</f>
        <v>0</v>
      </c>
      <c r="C886" s="68">
        <f t="shared" si="85"/>
        <v>2219148.7781994981</v>
      </c>
      <c r="D886" s="67">
        <f t="array" ref="D886">SUM($B$7:$B881*$F$1009*EXP(-$F$1009*($A886-$A$7:$A881)))*$F$1010</f>
        <v>47764470.329195008</v>
      </c>
      <c r="E886" s="67">
        <f t="shared" si="83"/>
        <v>91.058746032261595</v>
      </c>
      <c r="F886" s="70">
        <f t="shared" si="87"/>
        <v>5.5290870590789245</v>
      </c>
      <c r="G886" s="67">
        <f>E886/'Lookup Tables'!$C$48</f>
        <v>182.11749206452319</v>
      </c>
      <c r="H886" s="70">
        <f t="shared" si="84"/>
        <v>2.1567042906148994E-2</v>
      </c>
      <c r="I886" s="71">
        <f t="shared" si="88"/>
        <v>0.26224918857291341</v>
      </c>
      <c r="L886" s="74"/>
      <c r="M886" s="74"/>
      <c r="N886" s="74"/>
      <c r="O886" s="74"/>
      <c r="P886" s="74"/>
      <c r="Q886" s="74"/>
      <c r="R886" s="74"/>
      <c r="S886" s="74"/>
      <c r="T886" s="74"/>
      <c r="U886" s="74"/>
      <c r="V886" s="74"/>
      <c r="W886" s="74"/>
      <c r="X886" s="74"/>
      <c r="Y886" s="74"/>
      <c r="Z886" s="74"/>
    </row>
    <row r="887" spans="1:26" x14ac:dyDescent="0.3">
      <c r="A887" s="66">
        <f t="shared" si="86"/>
        <v>2077.99999999992</v>
      </c>
      <c r="B887" s="67">
        <f>LOOKUP(A887+0.01,Amounts!$A$4:$A$103,Amounts!$B$4:$B$103)*0.1*$A$2</f>
        <v>0</v>
      </c>
      <c r="C887" s="68">
        <f t="shared" si="85"/>
        <v>2219148.7781994981</v>
      </c>
      <c r="D887" s="67">
        <f t="array" ref="D887">SUM($B$7:$B882*$F$1009*EXP(-$F$1009*($A887-$A$7:$A882)))*$F$1010</f>
        <v>47630916.874365069</v>
      </c>
      <c r="E887" s="67">
        <f t="shared" si="83"/>
        <v>90.804138160735448</v>
      </c>
      <c r="F887" s="70">
        <f t="shared" si="87"/>
        <v>5.5136272691198567</v>
      </c>
      <c r="G887" s="67">
        <f>E887/'Lookup Tables'!$C$48</f>
        <v>181.6082763214709</v>
      </c>
      <c r="H887" s="70">
        <f t="shared" si="84"/>
        <v>2.1506739649968614E-2</v>
      </c>
      <c r="I887" s="71">
        <f t="shared" si="88"/>
        <v>0.26151591790291812</v>
      </c>
      <c r="L887" s="74"/>
      <c r="M887" s="74"/>
      <c r="N887" s="74"/>
      <c r="O887" s="74"/>
      <c r="P887" s="74"/>
      <c r="Q887" s="74"/>
      <c r="R887" s="74"/>
      <c r="S887" s="74"/>
      <c r="T887" s="74"/>
      <c r="U887" s="74"/>
      <c r="V887" s="74"/>
      <c r="W887" s="74"/>
      <c r="X887" s="74"/>
      <c r="Y887" s="74"/>
      <c r="Z887" s="74"/>
    </row>
    <row r="888" spans="1:26" x14ac:dyDescent="0.3">
      <c r="A888" s="66">
        <f t="shared" si="86"/>
        <v>2078.0999999999199</v>
      </c>
      <c r="B888" s="67">
        <f>LOOKUP(A888+0.01,Amounts!$A$4:$A$103,Amounts!$B$4:$B$103)*0.1*$A$2</f>
        <v>0</v>
      </c>
      <c r="C888" s="68">
        <f t="shared" si="85"/>
        <v>2219148.7781994981</v>
      </c>
      <c r="D888" s="67">
        <f t="array" ref="D888">SUM($B$7:$B883*$F$1009*EXP(-$F$1009*($A888-$A$7:$A883)))*$F$1010</f>
        <v>47497736.846167386</v>
      </c>
      <c r="E888" s="67">
        <f t="shared" si="83"/>
        <v>90.550242194117544</v>
      </c>
      <c r="F888" s="70">
        <f t="shared" si="87"/>
        <v>5.4982107060268168</v>
      </c>
      <c r="G888" s="67">
        <f>E888/'Lookup Tables'!$C$48</f>
        <v>181.10048438823509</v>
      </c>
      <c r="H888" s="70">
        <f t="shared" si="84"/>
        <v>2.1446605006737236E-2</v>
      </c>
      <c r="I888" s="71">
        <f t="shared" si="88"/>
        <v>0.26078469751905853</v>
      </c>
      <c r="L888" s="74"/>
      <c r="M888" s="74"/>
      <c r="N888" s="74"/>
      <c r="O888" s="74"/>
      <c r="P888" s="74"/>
      <c r="Q888" s="74"/>
      <c r="R888" s="74"/>
      <c r="S888" s="74"/>
      <c r="T888" s="74"/>
      <c r="U888" s="74"/>
      <c r="V888" s="74"/>
      <c r="W888" s="74"/>
      <c r="X888" s="74"/>
      <c r="Y888" s="74"/>
      <c r="Z888" s="74"/>
    </row>
    <row r="889" spans="1:26" x14ac:dyDescent="0.3">
      <c r="A889" s="66">
        <f t="shared" si="86"/>
        <v>2078.1999999999198</v>
      </c>
      <c r="B889" s="67">
        <f>LOOKUP(A889+0.01,Amounts!$A$4:$A$103,Amounts!$B$4:$B$103)*0.1*$A$2</f>
        <v>0</v>
      </c>
      <c r="C889" s="68">
        <f t="shared" si="85"/>
        <v>2219148.7781994981</v>
      </c>
      <c r="D889" s="67">
        <f t="array" ref="D889">SUM($B$7:$B884*$F$1009*EXP(-$F$1009*($A889-$A$7:$A884)))*$F$1010</f>
        <v>47364929.200469851</v>
      </c>
      <c r="E889" s="67">
        <f t="shared" si="83"/>
        <v>90.297056141862242</v>
      </c>
      <c r="F889" s="70">
        <f t="shared" si="87"/>
        <v>5.4828372489338761</v>
      </c>
      <c r="G889" s="67">
        <f>E889/'Lookup Tables'!$C$48</f>
        <v>180.59411228372448</v>
      </c>
      <c r="H889" s="70">
        <f t="shared" si="84"/>
        <v>2.1386638504998966E-2</v>
      </c>
      <c r="I889" s="71">
        <f t="shared" si="88"/>
        <v>0.26005552168856327</v>
      </c>
      <c r="L889" s="74"/>
      <c r="M889" s="74"/>
      <c r="N889" s="74"/>
      <c r="O889" s="74"/>
      <c r="P889" s="74"/>
      <c r="Q889" s="74"/>
      <c r="R889" s="74"/>
      <c r="S889" s="74"/>
      <c r="T889" s="74"/>
      <c r="U889" s="74"/>
      <c r="V889" s="74"/>
      <c r="W889" s="74"/>
      <c r="X889" s="74"/>
      <c r="Y889" s="74"/>
      <c r="Z889" s="74"/>
    </row>
    <row r="890" spans="1:26" x14ac:dyDescent="0.3">
      <c r="A890" s="66">
        <f t="shared" si="86"/>
        <v>2078.2999999999197</v>
      </c>
      <c r="B890" s="67">
        <f>LOOKUP(A890+0.01,Amounts!$A$4:$A$103,Amounts!$B$4:$B$103)*0.1*$A$2</f>
        <v>0</v>
      </c>
      <c r="C890" s="68">
        <f t="shared" si="85"/>
        <v>2219148.7781994981</v>
      </c>
      <c r="D890" s="67">
        <f t="array" ref="D890">SUM($B$7:$B885*$F$1009*EXP(-$F$1009*($A890-$A$7:$A885)))*$F$1010</f>
        <v>47232492.896059878</v>
      </c>
      <c r="E890" s="67">
        <f t="shared" si="83"/>
        <v>90.044578018989654</v>
      </c>
      <c r="F890" s="70">
        <f t="shared" si="87"/>
        <v>5.4675067773130515</v>
      </c>
      <c r="G890" s="67">
        <f>E890/'Lookup Tables'!$C$48</f>
        <v>180.08915603797931</v>
      </c>
      <c r="H890" s="70">
        <f t="shared" si="84"/>
        <v>2.1326839674616131E-2</v>
      </c>
      <c r="I890" s="71">
        <f t="shared" si="88"/>
        <v>0.25932838469469022</v>
      </c>
      <c r="L890" s="74"/>
      <c r="M890" s="74"/>
      <c r="N890" s="74"/>
      <c r="O890" s="74"/>
      <c r="P890" s="74"/>
      <c r="Q890" s="74"/>
      <c r="R890" s="74"/>
      <c r="S890" s="74"/>
      <c r="T890" s="74"/>
      <c r="U890" s="74"/>
      <c r="V890" s="74"/>
      <c r="W890" s="74"/>
      <c r="X890" s="74"/>
      <c r="Y890" s="74"/>
      <c r="Z890" s="74"/>
    </row>
    <row r="891" spans="1:26" x14ac:dyDescent="0.3">
      <c r="A891" s="66">
        <f t="shared" si="86"/>
        <v>2078.3999999999196</v>
      </c>
      <c r="B891" s="67">
        <f>LOOKUP(A891+0.01,Amounts!$A$4:$A$103,Amounts!$B$4:$B$103)*0.1*$A$2</f>
        <v>0</v>
      </c>
      <c r="C891" s="68">
        <f t="shared" si="85"/>
        <v>2219148.7781994981</v>
      </c>
      <c r="D891" s="67">
        <f t="array" ref="D891">SUM($B$7:$B886*$F$1009*EXP(-$F$1009*($A891-$A$7:$A886)))*$F$1010</f>
        <v>47100426.894636139</v>
      </c>
      <c r="E891" s="67">
        <f t="shared" si="83"/>
        <v>89.792805846069953</v>
      </c>
      <c r="F891" s="70">
        <f t="shared" si="87"/>
        <v>5.4522191709733674</v>
      </c>
      <c r="G891" s="67">
        <f>E891/'Lookup Tables'!$C$48</f>
        <v>179.58561169213991</v>
      </c>
      <c r="H891" s="70">
        <f t="shared" si="84"/>
        <v>2.1267208046765577E-2</v>
      </c>
      <c r="I891" s="71">
        <f t="shared" si="88"/>
        <v>0.25860328083668144</v>
      </c>
      <c r="L891" s="74"/>
      <c r="M891" s="74"/>
      <c r="N891" s="74"/>
      <c r="O891" s="74"/>
      <c r="P891" s="74"/>
      <c r="Q891" s="74"/>
      <c r="R891" s="74"/>
      <c r="S891" s="74"/>
      <c r="T891" s="74"/>
      <c r="U891" s="74"/>
      <c r="V891" s="74"/>
      <c r="W891" s="74"/>
      <c r="X891" s="74"/>
      <c r="Y891" s="74"/>
      <c r="Z891" s="74"/>
    </row>
    <row r="892" spans="1:26" x14ac:dyDescent="0.3">
      <c r="A892" s="66">
        <f t="shared" si="86"/>
        <v>2078.4999999999195</v>
      </c>
      <c r="B892" s="67">
        <f>LOOKUP(A892+0.01,Amounts!$A$4:$A$103,Amounts!$B$4:$B$103)*0.1*$A$2</f>
        <v>0</v>
      </c>
      <c r="C892" s="68">
        <f t="shared" si="85"/>
        <v>2219148.7781994981</v>
      </c>
      <c r="D892" s="67">
        <f t="array" ref="D892">SUM($B$7:$B887*$F$1009*EXP(-$F$1009*($A892-$A$7:$A887)))*$F$1010</f>
        <v>46968730.160800502</v>
      </c>
      <c r="E892" s="67">
        <f t="shared" si="83"/>
        <v>89.541737649207974</v>
      </c>
      <c r="F892" s="70">
        <f t="shared" si="87"/>
        <v>5.4369743100599077</v>
      </c>
      <c r="G892" s="67">
        <f>E892/'Lookup Tables'!$C$48</f>
        <v>179.08347529841595</v>
      </c>
      <c r="H892" s="70">
        <f t="shared" si="84"/>
        <v>2.1207743153935039E-2</v>
      </c>
      <c r="I892" s="71">
        <f t="shared" si="88"/>
        <v>0.25788020442971898</v>
      </c>
      <c r="L892" s="74"/>
      <c r="M892" s="74"/>
      <c r="N892" s="74"/>
      <c r="O892" s="74"/>
      <c r="P892" s="74"/>
      <c r="Q892" s="74"/>
      <c r="R892" s="74"/>
      <c r="S892" s="74"/>
      <c r="T892" s="74"/>
      <c r="U892" s="74"/>
      <c r="V892" s="74"/>
      <c r="W892" s="74"/>
      <c r="X892" s="74"/>
      <c r="Y892" s="74"/>
      <c r="Z892" s="74"/>
    </row>
    <row r="893" spans="1:26" x14ac:dyDescent="0.3">
      <c r="A893" s="66">
        <f t="shared" si="86"/>
        <v>2078.5999999999194</v>
      </c>
      <c r="B893" s="67">
        <f>LOOKUP(A893+0.01,Amounts!$A$4:$A$103,Amounts!$B$4:$B$103)*0.1*$A$2</f>
        <v>0</v>
      </c>
      <c r="C893" s="68">
        <f t="shared" si="85"/>
        <v>2219148.7781994981</v>
      </c>
      <c r="D893" s="67">
        <f t="array" ref="D893">SUM($B$7:$B888*$F$1009*EXP(-$F$1009*($A893-$A$7:$A888)))*$F$1010</f>
        <v>46837401.662049897</v>
      </c>
      <c r="E893" s="67">
        <f t="shared" si="83"/>
        <v>89.291371460027804</v>
      </c>
      <c r="F893" s="70">
        <f t="shared" si="87"/>
        <v>5.4217720750528882</v>
      </c>
      <c r="G893" s="67">
        <f>E893/'Lookup Tables'!$C$48</f>
        <v>178.58274292005561</v>
      </c>
      <c r="H893" s="70">
        <f t="shared" si="84"/>
        <v>2.1148444529919451E-2</v>
      </c>
      <c r="I893" s="71">
        <f t="shared" si="88"/>
        <v>0.25715914980488008</v>
      </c>
      <c r="L893" s="74"/>
      <c r="M893" s="74"/>
      <c r="N893" s="74"/>
      <c r="O893" s="74"/>
      <c r="P893" s="74"/>
      <c r="Q893" s="74"/>
      <c r="R893" s="74"/>
      <c r="S893" s="74"/>
      <c r="T893" s="74"/>
      <c r="U893" s="74"/>
      <c r="V893" s="74"/>
      <c r="W893" s="74"/>
      <c r="X893" s="74"/>
      <c r="Y893" s="74"/>
      <c r="Z893" s="74"/>
    </row>
    <row r="894" spans="1:26" x14ac:dyDescent="0.3">
      <c r="A894" s="66">
        <f t="shared" si="86"/>
        <v>2078.6999999999193</v>
      </c>
      <c r="B894" s="67">
        <f>LOOKUP(A894+0.01,Amounts!$A$4:$A$103,Amounts!$B$4:$B$103)*0.1*$A$2</f>
        <v>0</v>
      </c>
      <c r="C894" s="68">
        <f t="shared" si="85"/>
        <v>2219148.7781994981</v>
      </c>
      <c r="D894" s="67">
        <f t="array" ref="D894">SUM($B$7:$B889*$F$1009*EXP(-$F$1009*($A894-$A$7:$A889)))*$F$1010</f>
        <v>46706440.36876823</v>
      </c>
      <c r="E894" s="67">
        <f t="shared" si="83"/>
        <v>89.041705315657268</v>
      </c>
      <c r="F894" s="70">
        <f t="shared" si="87"/>
        <v>5.4066123467667095</v>
      </c>
      <c r="G894" s="67">
        <f>E894/'Lookup Tables'!$C$48</f>
        <v>178.08341063131454</v>
      </c>
      <c r="H894" s="70">
        <f t="shared" si="84"/>
        <v>2.1089311709817312E-2</v>
      </c>
      <c r="I894" s="71">
        <f t="shared" si="88"/>
        <v>0.25644011130909294</v>
      </c>
      <c r="L894" s="74"/>
      <c r="M894" s="74"/>
      <c r="N894" s="74"/>
      <c r="O894" s="74"/>
      <c r="P894" s="74"/>
      <c r="Q894" s="74"/>
      <c r="R894" s="74"/>
      <c r="S894" s="74"/>
      <c r="T894" s="74"/>
      <c r="U894" s="74"/>
      <c r="V894" s="74"/>
      <c r="W894" s="74"/>
      <c r="X894" s="74"/>
      <c r="Y894" s="74"/>
      <c r="Z894" s="74"/>
    </row>
    <row r="895" spans="1:26" x14ac:dyDescent="0.3">
      <c r="A895" s="66">
        <f t="shared" si="86"/>
        <v>2078.7999999999192</v>
      </c>
      <c r="B895" s="67">
        <f>LOOKUP(A895+0.01,Amounts!$A$4:$A$103,Amounts!$B$4:$B$103)*0.1*$A$2</f>
        <v>0</v>
      </c>
      <c r="C895" s="68">
        <f t="shared" si="85"/>
        <v>2219148.7781994981</v>
      </c>
      <c r="D895" s="67">
        <f t="array" ref="D895">SUM($B$7:$B890*$F$1009*EXP(-$F$1009*($A895-$A$7:$A890)))*$F$1010</f>
        <v>46575845.25421828</v>
      </c>
      <c r="E895" s="67">
        <f t="shared" si="83"/>
        <v>88.792737258712449</v>
      </c>
      <c r="F895" s="70">
        <f t="shared" si="87"/>
        <v>5.3914950063490208</v>
      </c>
      <c r="G895" s="67">
        <f>E895/'Lookup Tables'!$C$48</f>
        <v>177.5854745174249</v>
      </c>
      <c r="H895" s="70">
        <f t="shared" si="84"/>
        <v>2.1030344230026993E-2</v>
      </c>
      <c r="I895" s="71">
        <f t="shared" si="88"/>
        <v>0.25572308330509191</v>
      </c>
      <c r="L895" s="74"/>
      <c r="M895" s="74"/>
      <c r="N895" s="74"/>
      <c r="O895" s="74"/>
      <c r="P895" s="74"/>
      <c r="Q895" s="74"/>
      <c r="R895" s="74"/>
      <c r="S895" s="74"/>
      <c r="T895" s="74"/>
      <c r="U895" s="74"/>
      <c r="V895" s="74"/>
      <c r="W895" s="74"/>
      <c r="X895" s="74"/>
      <c r="Y895" s="74"/>
      <c r="Z895" s="74"/>
    </row>
    <row r="896" spans="1:26" x14ac:dyDescent="0.3">
      <c r="A896" s="66">
        <f t="shared" si="86"/>
        <v>2078.8999999999191</v>
      </c>
      <c r="B896" s="67">
        <f>LOOKUP(A896+0.01,Amounts!$A$4:$A$103,Amounts!$B$4:$B$103)*0.1*$A$2</f>
        <v>0</v>
      </c>
      <c r="C896" s="68">
        <f t="shared" si="85"/>
        <v>2219148.7781994981</v>
      </c>
      <c r="D896" s="67">
        <f t="array" ref="D896">SUM($B$7:$B891*$F$1009*EXP(-$F$1009*($A896-$A$7:$A891)))*$F$1010</f>
        <v>46445615.2945337</v>
      </c>
      <c r="E896" s="67">
        <f t="shared" si="83"/>
        <v>88.54446533728256</v>
      </c>
      <c r="F896" s="70">
        <f t="shared" si="87"/>
        <v>5.376419935279797</v>
      </c>
      <c r="G896" s="67">
        <f>E896/'Lookup Tables'!$C$48</f>
        <v>177.08893067456512</v>
      </c>
      <c r="H896" s="70">
        <f t="shared" si="84"/>
        <v>2.0971541628243155E-2</v>
      </c>
      <c r="I896" s="71">
        <f t="shared" si="88"/>
        <v>0.25500806017137378</v>
      </c>
      <c r="L896" s="74"/>
      <c r="M896" s="74"/>
      <c r="N896" s="74"/>
      <c r="O896" s="74"/>
      <c r="P896" s="74"/>
      <c r="Q896" s="74"/>
      <c r="R896" s="74"/>
      <c r="S896" s="74"/>
      <c r="T896" s="74"/>
      <c r="U896" s="74"/>
      <c r="V896" s="74"/>
      <c r="W896" s="74"/>
      <c r="X896" s="74"/>
      <c r="Y896" s="74"/>
      <c r="Z896" s="74"/>
    </row>
    <row r="897" spans="1:26" x14ac:dyDescent="0.3">
      <c r="A897" s="66">
        <f t="shared" si="86"/>
        <v>2078.9999999999191</v>
      </c>
      <c r="B897" s="67">
        <f>LOOKUP(A897+0.01,Amounts!$A$4:$A$103,Amounts!$B$4:$B$103)*0.1*$A$2</f>
        <v>0</v>
      </c>
      <c r="C897" s="68">
        <f t="shared" si="85"/>
        <v>2219148.7781994981</v>
      </c>
      <c r="D897" s="67">
        <f t="array" ref="D897">SUM($B$7:$B892*$F$1009*EXP(-$F$1009*($A897-$A$7:$A892)))*$F$1010</f>
        <v>46315749.468710937</v>
      </c>
      <c r="E897" s="67">
        <f t="shared" si="83"/>
        <v>88.296887604914474</v>
      </c>
      <c r="F897" s="70">
        <f t="shared" si="87"/>
        <v>5.3613870153704068</v>
      </c>
      <c r="G897" s="67">
        <f>E897/'Lookup Tables'!$C$48</f>
        <v>176.59377520982895</v>
      </c>
      <c r="H897" s="70">
        <f t="shared" si="84"/>
        <v>2.0912903443453111E-2</v>
      </c>
      <c r="I897" s="71">
        <f t="shared" si="88"/>
        <v>0.25429503630215367</v>
      </c>
      <c r="L897" s="74"/>
      <c r="M897" s="74"/>
      <c r="N897" s="74"/>
      <c r="O897" s="74"/>
      <c r="P897" s="74"/>
      <c r="Q897" s="74"/>
      <c r="R897" s="74"/>
      <c r="S897" s="74"/>
      <c r="T897" s="74"/>
      <c r="U897" s="74"/>
      <c r="V897" s="74"/>
      <c r="W897" s="74"/>
      <c r="X897" s="74"/>
      <c r="Y897" s="74"/>
      <c r="Z897" s="74"/>
    </row>
    <row r="898" spans="1:26" x14ac:dyDescent="0.3">
      <c r="A898" s="66">
        <f t="shared" si="86"/>
        <v>2079.099999999919</v>
      </c>
      <c r="B898" s="67">
        <f>LOOKUP(A898+0.01,Amounts!$A$4:$A$103,Amounts!$B$4:$B$103)*0.1*$A$2</f>
        <v>0</v>
      </c>
      <c r="C898" s="68">
        <f t="shared" si="85"/>
        <v>2219148.7781994981</v>
      </c>
      <c r="D898" s="67">
        <f t="array" ref="D898">SUM($B$7:$B893*$F$1009*EXP(-$F$1009*($A898-$A$7:$A893)))*$F$1010</f>
        <v>46186246.758601241</v>
      </c>
      <c r="E898" s="67">
        <f t="shared" si="83"/>
        <v>88.050002120597483</v>
      </c>
      <c r="F898" s="70">
        <f t="shared" si="87"/>
        <v>5.3463961287626791</v>
      </c>
      <c r="G898" s="67">
        <f>E898/'Lookup Tables'!$C$48</f>
        <v>176.10000424119497</v>
      </c>
      <c r="H898" s="70">
        <f t="shared" si="84"/>
        <v>2.0854429215933178E-2</v>
      </c>
      <c r="I898" s="71">
        <f t="shared" si="88"/>
        <v>0.25358400610732074</v>
      </c>
      <c r="L898" s="74"/>
      <c r="M898" s="74"/>
      <c r="N898" s="74"/>
      <c r="O898" s="74"/>
      <c r="P898" s="74"/>
      <c r="Q898" s="74"/>
      <c r="R898" s="74"/>
      <c r="S898" s="74"/>
      <c r="T898" s="74"/>
      <c r="U898" s="74"/>
      <c r="V898" s="74"/>
      <c r="W898" s="74"/>
      <c r="X898" s="74"/>
      <c r="Y898" s="74"/>
      <c r="Z898" s="74"/>
    </row>
    <row r="899" spans="1:26" x14ac:dyDescent="0.3">
      <c r="A899" s="66">
        <f t="shared" si="86"/>
        <v>2079.1999999999189</v>
      </c>
      <c r="B899" s="67">
        <f>LOOKUP(A899+0.01,Amounts!$A$4:$A$103,Amounts!$B$4:$B$103)*0.1*$A$2</f>
        <v>0</v>
      </c>
      <c r="C899" s="68">
        <f t="shared" si="85"/>
        <v>2219148.7781994981</v>
      </c>
      <c r="D899" s="67">
        <f t="array" ref="D899">SUM($B$7:$B894*$F$1009*EXP(-$F$1009*($A899-$A$7:$A894)))*$F$1010</f>
        <v>46057106.148902699</v>
      </c>
      <c r="E899" s="67">
        <f t="shared" si="83"/>
        <v>87.80380694874809</v>
      </c>
      <c r="F899" s="70">
        <f t="shared" si="87"/>
        <v>5.3314471579279834</v>
      </c>
      <c r="G899" s="67">
        <f>E899/'Lookup Tables'!$C$48</f>
        <v>175.60761389749618</v>
      </c>
      <c r="H899" s="70">
        <f t="shared" si="84"/>
        <v>2.0796118487245115E-2</v>
      </c>
      <c r="I899" s="71">
        <f t="shared" si="88"/>
        <v>0.25287496401239451</v>
      </c>
      <c r="L899" s="74"/>
      <c r="M899" s="74"/>
      <c r="N899" s="74"/>
      <c r="O899" s="74"/>
      <c r="P899" s="74"/>
      <c r="Q899" s="74"/>
      <c r="R899" s="74"/>
      <c r="S899" s="74"/>
      <c r="T899" s="74"/>
      <c r="U899" s="74"/>
      <c r="V899" s="74"/>
      <c r="W899" s="74"/>
      <c r="X899" s="74"/>
      <c r="Y899" s="74"/>
      <c r="Z899" s="74"/>
    </row>
    <row r="900" spans="1:26" x14ac:dyDescent="0.3">
      <c r="A900" s="66">
        <f t="shared" si="86"/>
        <v>2079.2999999999188</v>
      </c>
      <c r="B900" s="67">
        <f>LOOKUP(A900+0.01,Amounts!$A$4:$A$103,Amounts!$B$4:$B$103)*0.1*$A$2</f>
        <v>0</v>
      </c>
      <c r="C900" s="68">
        <f t="shared" si="85"/>
        <v>2219148.7781994981</v>
      </c>
      <c r="D900" s="67">
        <f t="array" ref="D900">SUM($B$7:$B895*$F$1009*EXP(-$F$1009*($A900-$A$7:$A895)))*$F$1010</f>
        <v>45928326.627152286</v>
      </c>
      <c r="E900" s="67">
        <f t="shared" si="83"/>
        <v>87.558300159194943</v>
      </c>
      <c r="F900" s="70">
        <f t="shared" si="87"/>
        <v>5.3165399856663171</v>
      </c>
      <c r="G900" s="67">
        <f>E900/'Lookup Tables'!$C$48</f>
        <v>175.11660031838989</v>
      </c>
      <c r="H900" s="70">
        <f t="shared" si="84"/>
        <v>2.0737970800232517E-2</v>
      </c>
      <c r="I900" s="71">
        <f t="shared" si="88"/>
        <v>0.25216790445848142</v>
      </c>
      <c r="L900" s="74"/>
      <c r="M900" s="74"/>
      <c r="N900" s="74"/>
      <c r="O900" s="74"/>
      <c r="P900" s="74"/>
      <c r="Q900" s="74"/>
      <c r="R900" s="74"/>
      <c r="S900" s="74"/>
      <c r="T900" s="74"/>
      <c r="U900" s="74"/>
      <c r="V900" s="74"/>
      <c r="W900" s="74"/>
      <c r="X900" s="74"/>
      <c r="Y900" s="74"/>
      <c r="Z900" s="74"/>
    </row>
    <row r="901" spans="1:26" x14ac:dyDescent="0.3">
      <c r="A901" s="66">
        <f t="shared" si="86"/>
        <v>2079.3999999999187</v>
      </c>
      <c r="B901" s="67">
        <f>LOOKUP(A901+0.01,Amounts!$A$4:$A$103,Amounts!$B$4:$B$103)*0.1*$A$2</f>
        <v>0</v>
      </c>
      <c r="C901" s="68">
        <f t="shared" si="85"/>
        <v>2219148.7781994981</v>
      </c>
      <c r="D901" s="67">
        <f t="array" ref="D901">SUM($B$7:$B896*$F$1009*EXP(-$F$1009*($A901-$A$7:$A896)))*$F$1010</f>
        <v>45799907.183717877</v>
      </c>
      <c r="E901" s="67">
        <f t="shared" si="83"/>
        <v>87.313479827163533</v>
      </c>
      <c r="F901" s="70">
        <f t="shared" si="87"/>
        <v>5.3016744951053703</v>
      </c>
      <c r="G901" s="67">
        <f>E901/'Lookup Tables'!$C$48</f>
        <v>174.62695965432707</v>
      </c>
      <c r="H901" s="70">
        <f t="shared" si="84"/>
        <v>2.0679985699017217E-2</v>
      </c>
      <c r="I901" s="71">
        <f t="shared" si="88"/>
        <v>0.25146282190223096</v>
      </c>
      <c r="L901" s="74"/>
      <c r="M901" s="74"/>
      <c r="N901" s="74"/>
      <c r="O901" s="74"/>
      <c r="P901" s="74"/>
      <c r="Q901" s="74"/>
      <c r="R901" s="74"/>
      <c r="S901" s="74"/>
      <c r="T901" s="74"/>
      <c r="U901" s="74"/>
      <c r="V901" s="74"/>
      <c r="W901" s="74"/>
      <c r="X901" s="74"/>
      <c r="Y901" s="74"/>
      <c r="Z901" s="74"/>
    </row>
    <row r="902" spans="1:26" x14ac:dyDescent="0.3">
      <c r="A902" s="66">
        <f t="shared" si="86"/>
        <v>2079.4999999999186</v>
      </c>
      <c r="B902" s="67">
        <f>LOOKUP(A902+0.01,Amounts!$A$4:$A$103,Amounts!$B$4:$B$103)*0.1*$A$2</f>
        <v>0</v>
      </c>
      <c r="C902" s="68">
        <f t="shared" si="85"/>
        <v>2219148.7781994981</v>
      </c>
      <c r="D902" s="67">
        <f t="array" ref="D902">SUM($B$7:$B897*$F$1009*EXP(-$F$1009*($A902-$A$7:$A897)))*$F$1010</f>
        <v>45671846.811790392</v>
      </c>
      <c r="E902" s="67">
        <f t="shared" si="83"/>
        <v>87.069344033261217</v>
      </c>
      <c r="F902" s="70">
        <f t="shared" si="87"/>
        <v>5.286850569699622</v>
      </c>
      <c r="G902" s="67">
        <f>E902/'Lookup Tables'!$C$48</f>
        <v>174.13868806652243</v>
      </c>
      <c r="H902" s="70">
        <f t="shared" si="84"/>
        <v>2.0622162728995728E-2</v>
      </c>
      <c r="I902" s="71">
        <f t="shared" si="88"/>
        <v>0.25075971081579235</v>
      </c>
      <c r="L902" s="74"/>
      <c r="M902" s="74"/>
      <c r="N902" s="74"/>
      <c r="O902" s="74"/>
      <c r="P902" s="74"/>
      <c r="Q902" s="74"/>
      <c r="R902" s="74"/>
      <c r="S902" s="74"/>
      <c r="T902" s="74"/>
      <c r="U902" s="74"/>
      <c r="V902" s="74"/>
      <c r="W902" s="74"/>
      <c r="X902" s="74"/>
      <c r="Y902" s="74"/>
      <c r="Z902" s="74"/>
    </row>
    <row r="903" spans="1:26" x14ac:dyDescent="0.3">
      <c r="A903" s="66">
        <f t="shared" si="86"/>
        <v>2079.5999999999185</v>
      </c>
      <c r="B903" s="67">
        <f>LOOKUP(A903+0.01,Amounts!$A$4:$A$103,Amounts!$B$4:$B$103)*0.1*$A$2</f>
        <v>0</v>
      </c>
      <c r="C903" s="68">
        <f t="shared" si="85"/>
        <v>2219148.7781994981</v>
      </c>
      <c r="D903" s="67">
        <f t="array" ref="D903">SUM($B$7:$B898*$F$1009*EXP(-$F$1009*($A903-$A$7:$A898)))*$F$1010</f>
        <v>45544144.507375844</v>
      </c>
      <c r="E903" s="67">
        <f t="shared" ref="E903:E966" si="89">D903/(365*24*60)*1.00201</f>
        <v>86.825890863462092</v>
      </c>
      <c r="F903" s="70">
        <f t="shared" si="87"/>
        <v>5.2720680932294188</v>
      </c>
      <c r="G903" s="67">
        <f>E903/'Lookup Tables'!$C$48</f>
        <v>173.65178172692418</v>
      </c>
      <c r="H903" s="70">
        <f t="shared" ref="H903:H966" si="90">G903*60*24*365/(C903*2000)</f>
        <v>2.0564501436835657E-2</v>
      </c>
      <c r="I903" s="71">
        <f t="shared" si="88"/>
        <v>0.25005856568677082</v>
      </c>
      <c r="L903" s="74"/>
      <c r="M903" s="74"/>
      <c r="N903" s="74"/>
      <c r="O903" s="74"/>
      <c r="P903" s="74"/>
      <c r="Q903" s="74"/>
      <c r="R903" s="74"/>
      <c r="S903" s="74"/>
      <c r="T903" s="74"/>
      <c r="U903" s="74"/>
      <c r="V903" s="74"/>
      <c r="W903" s="74"/>
      <c r="X903" s="74"/>
      <c r="Y903" s="74"/>
      <c r="Z903" s="74"/>
    </row>
    <row r="904" spans="1:26" x14ac:dyDescent="0.3">
      <c r="A904" s="66">
        <f t="shared" si="86"/>
        <v>2079.6999999999184</v>
      </c>
      <c r="B904" s="67">
        <f>LOOKUP(A904+0.01,Amounts!$A$4:$A$103,Amounts!$B$4:$B$103)*0.1*$A$2</f>
        <v>0</v>
      </c>
      <c r="C904" s="68">
        <f t="shared" si="85"/>
        <v>2219148.7781994981</v>
      </c>
      <c r="D904" s="67">
        <f t="array" ref="D904">SUM($B$7:$B899*$F$1009*EXP(-$F$1009*($A904-$A$7:$A899)))*$F$1010</f>
        <v>45416799.269287512</v>
      </c>
      <c r="E904" s="67">
        <f t="shared" si="89"/>
        <v>86.583118409092052</v>
      </c>
      <c r="F904" s="70">
        <f t="shared" si="87"/>
        <v>5.2573269498000696</v>
      </c>
      <c r="G904" s="67">
        <f>E904/'Lookup Tables'!$C$48</f>
        <v>173.1662368181841</v>
      </c>
      <c r="H904" s="70">
        <f t="shared" si="90"/>
        <v>2.0507001370472185E-2</v>
      </c>
      <c r="I904" s="71">
        <f t="shared" si="88"/>
        <v>0.24935938101818511</v>
      </c>
      <c r="L904" s="74"/>
      <c r="M904" s="74"/>
      <c r="N904" s="74"/>
      <c r="O904" s="74"/>
      <c r="P904" s="74"/>
      <c r="Q904" s="74"/>
      <c r="R904" s="74"/>
      <c r="S904" s="74"/>
      <c r="T904" s="74"/>
      <c r="U904" s="74"/>
      <c r="V904" s="74"/>
      <c r="W904" s="74"/>
      <c r="X904" s="74"/>
      <c r="Y904" s="74"/>
      <c r="Z904" s="74"/>
    </row>
    <row r="905" spans="1:26" x14ac:dyDescent="0.3">
      <c r="A905" s="66">
        <f t="shared" si="86"/>
        <v>2079.7999999999183</v>
      </c>
      <c r="B905" s="67">
        <f>LOOKUP(A905+0.01,Amounts!$A$4:$A$103,Amounts!$B$4:$B$103)*0.1*$A$2</f>
        <v>0</v>
      </c>
      <c r="C905" s="68">
        <f t="shared" ref="C905:C968" si="91">C904+B905</f>
        <v>2219148.7781994981</v>
      </c>
      <c r="D905" s="67">
        <f t="array" ref="D905">SUM($B$7:$B900*$F$1009*EXP(-$F$1009*($A905-$A$7:$A900)))*$F$1010</f>
        <v>45289810.099138081</v>
      </c>
      <c r="E905" s="67">
        <f t="shared" si="89"/>
        <v>86.341024766813831</v>
      </c>
      <c r="F905" s="70">
        <f t="shared" si="87"/>
        <v>5.242627023840936</v>
      </c>
      <c r="G905" s="67">
        <f>E905/'Lookup Tables'!$C$48</f>
        <v>172.68204953362766</v>
      </c>
      <c r="H905" s="70">
        <f t="shared" si="90"/>
        <v>2.0449662079104494E-2</v>
      </c>
      <c r="I905" s="71">
        <f t="shared" si="88"/>
        <v>0.24866215132842381</v>
      </c>
      <c r="L905" s="74"/>
      <c r="M905" s="74"/>
      <c r="N905" s="74"/>
      <c r="O905" s="74"/>
      <c r="P905" s="74"/>
      <c r="Q905" s="74"/>
      <c r="R905" s="74"/>
      <c r="S905" s="74"/>
      <c r="T905" s="74"/>
      <c r="U905" s="74"/>
      <c r="V905" s="74"/>
      <c r="W905" s="74"/>
      <c r="X905" s="74"/>
      <c r="Y905" s="74"/>
      <c r="Z905" s="74"/>
    </row>
    <row r="906" spans="1:26" x14ac:dyDescent="0.3">
      <c r="A906" s="66">
        <f t="shared" si="86"/>
        <v>2079.8999999999182</v>
      </c>
      <c r="B906" s="67">
        <f>LOOKUP(A906+0.01,Amounts!$A$4:$A$103,Amounts!$B$4:$B$103)*0.1*$A$2</f>
        <v>0</v>
      </c>
      <c r="C906" s="68">
        <f t="shared" si="91"/>
        <v>2219148.7781994981</v>
      </c>
      <c r="D906" s="67">
        <f t="array" ref="D906">SUM($B$7:$B901*$F$1009*EXP(-$F$1009*($A906-$A$7:$A901)))*$F$1010</f>
        <v>45163176.001331799</v>
      </c>
      <c r="E906" s="67">
        <f t="shared" si="89"/>
        <v>86.099608038612018</v>
      </c>
      <c r="F906" s="70">
        <f t="shared" si="87"/>
        <v>5.227968200104522</v>
      </c>
      <c r="G906" s="67">
        <f>E906/'Lookup Tables'!$C$48</f>
        <v>172.19921607722404</v>
      </c>
      <c r="H906" s="70">
        <f t="shared" si="90"/>
        <v>2.0392483113192247E-2</v>
      </c>
      <c r="I906" s="71">
        <f t="shared" si="88"/>
        <v>0.24796687115120258</v>
      </c>
      <c r="L906" s="74"/>
      <c r="M906" s="74"/>
      <c r="N906" s="74"/>
      <c r="O906" s="74"/>
      <c r="P906" s="74"/>
      <c r="Q906" s="74"/>
      <c r="R906" s="74"/>
      <c r="S906" s="74"/>
      <c r="T906" s="74"/>
      <c r="U906" s="74"/>
      <c r="V906" s="74"/>
      <c r="W906" s="74"/>
      <c r="X906" s="74"/>
      <c r="Y906" s="74"/>
      <c r="Z906" s="74"/>
    </row>
    <row r="907" spans="1:26" x14ac:dyDescent="0.3">
      <c r="A907" s="66">
        <f t="shared" si="86"/>
        <v>2079.9999999999181</v>
      </c>
      <c r="B907" s="67">
        <f>LOOKUP(A907+0.01,Amounts!$A$4:$A$103,Amounts!$B$4:$B$103)*0.1*$A$2</f>
        <v>0</v>
      </c>
      <c r="C907" s="68">
        <f t="shared" si="91"/>
        <v>2219148.7781994981</v>
      </c>
      <c r="D907" s="67">
        <f t="array" ref="D907">SUM($B$7:$B902*$F$1009*EXP(-$F$1009*($A907-$A$7:$A902)))*$F$1010</f>
        <v>45036895.983056724</v>
      </c>
      <c r="E907" s="67">
        <f t="shared" si="89"/>
        <v>85.858866331778287</v>
      </c>
      <c r="F907" s="70">
        <f t="shared" si="87"/>
        <v>5.2133503636655778</v>
      </c>
      <c r="G907" s="67">
        <f>E907/'Lookup Tables'!$C$48</f>
        <v>171.71773266355657</v>
      </c>
      <c r="H907" s="70">
        <f t="shared" si="90"/>
        <v>2.0335464024452073E-2</v>
      </c>
      <c r="I907" s="71">
        <f t="shared" si="88"/>
        <v>0.24727353503552149</v>
      </c>
      <c r="L907" s="74"/>
      <c r="M907" s="74"/>
      <c r="N907" s="74"/>
      <c r="O907" s="74"/>
      <c r="P907" s="74"/>
      <c r="Q907" s="74"/>
      <c r="R907" s="74"/>
      <c r="S907" s="74"/>
      <c r="T907" s="74"/>
      <c r="U907" s="74"/>
      <c r="V907" s="74"/>
      <c r="W907" s="74"/>
      <c r="X907" s="74"/>
      <c r="Y907" s="74"/>
      <c r="Z907" s="74"/>
    </row>
    <row r="908" spans="1:26" x14ac:dyDescent="0.3">
      <c r="A908" s="66">
        <f t="shared" si="86"/>
        <v>2080.0999999999181</v>
      </c>
      <c r="B908" s="67">
        <f>LOOKUP(A908+0.01,Amounts!$A$4:$A$103,Amounts!$B$4:$B$103)*0.1*$A$2</f>
        <v>0</v>
      </c>
      <c r="C908" s="68">
        <f t="shared" si="91"/>
        <v>2219148.7781994981</v>
      </c>
      <c r="D908" s="67">
        <f t="array" ref="D908">SUM($B$7:$B903*$F$1009*EXP(-$F$1009*($A908-$A$7:$A903)))*$F$1010</f>
        <v>44910969.054276809</v>
      </c>
      <c r="E908" s="67">
        <f t="shared" si="89"/>
        <v>85.618797758896321</v>
      </c>
      <c r="F908" s="70">
        <f t="shared" si="87"/>
        <v>5.1987733999201842</v>
      </c>
      <c r="G908" s="67">
        <f>E908/'Lookup Tables'!$C$48</f>
        <v>171.23759551779264</v>
      </c>
      <c r="H908" s="70">
        <f t="shared" si="90"/>
        <v>2.0278604365853995E-2</v>
      </c>
      <c r="I908" s="71">
        <f t="shared" si="88"/>
        <v>0.24658213754562139</v>
      </c>
      <c r="L908" s="74"/>
      <c r="M908" s="74"/>
      <c r="N908" s="74"/>
      <c r="O908" s="74"/>
      <c r="P908" s="74"/>
      <c r="Q908" s="74"/>
      <c r="R908" s="74"/>
      <c r="S908" s="74"/>
      <c r="T908" s="74"/>
      <c r="U908" s="74"/>
      <c r="V908" s="74"/>
      <c r="W908" s="74"/>
      <c r="X908" s="74"/>
      <c r="Y908" s="74"/>
      <c r="Z908" s="74"/>
    </row>
    <row r="909" spans="1:26" x14ac:dyDescent="0.3">
      <c r="A909" s="66">
        <f t="shared" si="86"/>
        <v>2080.199999999918</v>
      </c>
      <c r="B909" s="67">
        <f>LOOKUP(A909+0.01,Amounts!$A$4:$A$103,Amounts!$B$4:$B$103)*0.1*$A$2</f>
        <v>0</v>
      </c>
      <c r="C909" s="68">
        <f t="shared" si="91"/>
        <v>2219148.7781994981</v>
      </c>
      <c r="D909" s="67">
        <f t="array" ref="D909">SUM($B$7:$B904*$F$1009*EXP(-$F$1009*($A909-$A$7:$A904)))*$F$1010</f>
        <v>44785394.227724321</v>
      </c>
      <c r="E909" s="67">
        <f t="shared" si="89"/>
        <v>85.379400437827329</v>
      </c>
      <c r="F909" s="70">
        <f t="shared" si="87"/>
        <v>5.1842371945848758</v>
      </c>
      <c r="G909" s="67">
        <f>E909/'Lookup Tables'!$C$48</f>
        <v>170.75880087565466</v>
      </c>
      <c r="H909" s="70">
        <f t="shared" si="90"/>
        <v>2.0221903691618016E-2</v>
      </c>
      <c r="I909" s="71">
        <f t="shared" si="88"/>
        <v>0.24589267326094269</v>
      </c>
      <c r="L909" s="74"/>
      <c r="M909" s="74"/>
      <c r="N909" s="74"/>
      <c r="O909" s="74"/>
      <c r="P909" s="74"/>
      <c r="Q909" s="74"/>
      <c r="R909" s="74"/>
      <c r="S909" s="74"/>
      <c r="T909" s="74"/>
      <c r="U909" s="74"/>
      <c r="V909" s="74"/>
      <c r="W909" s="74"/>
      <c r="X909" s="74"/>
      <c r="Y909" s="74"/>
      <c r="Z909" s="74"/>
    </row>
    <row r="910" spans="1:26" x14ac:dyDescent="0.3">
      <c r="A910" s="66">
        <f t="shared" si="86"/>
        <v>2080.2999999999179</v>
      </c>
      <c r="B910" s="67">
        <f>LOOKUP(A910+0.01,Amounts!$A$4:$A$103,Amounts!$B$4:$B$103)*0.1*$A$2</f>
        <v>0</v>
      </c>
      <c r="C910" s="68">
        <f t="shared" si="91"/>
        <v>2219148.7781994981</v>
      </c>
      <c r="D910" s="67">
        <f t="array" ref="D910">SUM($B$7:$B905*$F$1009*EXP(-$F$1009*($A910-$A$7:$A905)))*$F$1010</f>
        <v>44660170.518891998</v>
      </c>
      <c r="E910" s="67">
        <f t="shared" si="89"/>
        <v>85.140672491695156</v>
      </c>
      <c r="F910" s="70">
        <f t="shared" si="87"/>
        <v>5.1697416336957298</v>
      </c>
      <c r="G910" s="67">
        <f>E910/'Lookup Tables'!$C$48</f>
        <v>170.28134498339031</v>
      </c>
      <c r="H910" s="70">
        <f t="shared" si="90"/>
        <v>2.0165361557210573E-2</v>
      </c>
      <c r="I910" s="71">
        <f t="shared" si="88"/>
        <v>0.24520513677608205</v>
      </c>
      <c r="L910" s="74"/>
      <c r="M910" s="74"/>
      <c r="N910" s="74"/>
      <c r="O910" s="74"/>
      <c r="P910" s="74"/>
      <c r="Q910" s="74"/>
      <c r="R910" s="74"/>
      <c r="S910" s="74"/>
      <c r="T910" s="74"/>
      <c r="U910" s="74"/>
      <c r="V910" s="74"/>
      <c r="W910" s="74"/>
      <c r="X910" s="74"/>
      <c r="Y910" s="74"/>
      <c r="Z910" s="74"/>
    </row>
    <row r="911" spans="1:26" x14ac:dyDescent="0.3">
      <c r="A911" s="66">
        <f t="shared" si="86"/>
        <v>2080.3999999999178</v>
      </c>
      <c r="B911" s="67">
        <f>LOOKUP(A911+0.01,Amounts!$A$4:$A$103,Amounts!$B$4:$B$103)*0.1*$A$2</f>
        <v>0</v>
      </c>
      <c r="C911" s="68">
        <f t="shared" si="91"/>
        <v>2219148.7781994981</v>
      </c>
      <c r="D911" s="67">
        <f t="array" ref="D911">SUM($B$7:$B906*$F$1009*EXP(-$F$1009*($A911-$A$7:$A906)))*$F$1010</f>
        <v>44535296.946025275</v>
      </c>
      <c r="E911" s="67">
        <f t="shared" si="89"/>
        <v>84.902612048871362</v>
      </c>
      <c r="F911" s="70">
        <f t="shared" si="87"/>
        <v>5.1552866036074692</v>
      </c>
      <c r="G911" s="67">
        <f>E911/'Lookup Tables'!$C$48</f>
        <v>169.80522409774272</v>
      </c>
      <c r="H911" s="70">
        <f t="shared" si="90"/>
        <v>2.0108977519341015E-2</v>
      </c>
      <c r="I911" s="71">
        <f t="shared" si="88"/>
        <v>0.2445195227007495</v>
      </c>
      <c r="L911" s="74"/>
      <c r="M911" s="74"/>
      <c r="N911" s="74"/>
      <c r="O911" s="74"/>
      <c r="P911" s="74"/>
      <c r="Q911" s="74"/>
      <c r="R911" s="74"/>
      <c r="S911" s="74"/>
      <c r="T911" s="74"/>
      <c r="U911" s="74"/>
      <c r="V911" s="74"/>
      <c r="W911" s="74"/>
      <c r="X911" s="74"/>
      <c r="Y911" s="74"/>
      <c r="Z911" s="74"/>
    </row>
    <row r="912" spans="1:26" x14ac:dyDescent="0.3">
      <c r="A912" s="66">
        <f t="shared" si="86"/>
        <v>2080.4999999999177</v>
      </c>
      <c r="B912" s="67">
        <f>LOOKUP(A912+0.01,Amounts!$A$4:$A$103,Amounts!$B$4:$B$103)*0.1*$A$2</f>
        <v>0</v>
      </c>
      <c r="C912" s="68">
        <f t="shared" si="91"/>
        <v>2219148.7781994981</v>
      </c>
      <c r="D912" s="67">
        <f t="array" ref="D912">SUM($B$7:$B907*$F$1009*EXP(-$F$1009*($A912-$A$7:$A907)))*$F$1010</f>
        <v>44410772.530114718</v>
      </c>
      <c r="E912" s="67">
        <f t="shared" si="89"/>
        <v>84.665217242960907</v>
      </c>
      <c r="F912" s="70">
        <f t="shared" si="87"/>
        <v>5.1408719909925873</v>
      </c>
      <c r="G912" s="67">
        <f>E912/'Lookup Tables'!$C$48</f>
        <v>169.33043448592181</v>
      </c>
      <c r="H912" s="70">
        <f t="shared" si="90"/>
        <v>2.0052751135958207E-2</v>
      </c>
      <c r="I912" s="71">
        <f t="shared" si="88"/>
        <v>0.24383582565972745</v>
      </c>
      <c r="L912" s="74"/>
      <c r="M912" s="74"/>
      <c r="N912" s="74"/>
      <c r="O912" s="74"/>
      <c r="P912" s="74"/>
      <c r="Q912" s="74"/>
      <c r="R912" s="74"/>
      <c r="S912" s="74"/>
      <c r="T912" s="74"/>
      <c r="U912" s="74"/>
      <c r="V912" s="74"/>
      <c r="W912" s="74"/>
      <c r="X912" s="74"/>
      <c r="Y912" s="74"/>
      <c r="Z912" s="74"/>
    </row>
    <row r="913" spans="1:26" x14ac:dyDescent="0.3">
      <c r="A913" s="66">
        <f t="shared" si="86"/>
        <v>2080.5999999999176</v>
      </c>
      <c r="B913" s="67">
        <f>LOOKUP(A913+0.01,Amounts!$A$4:$A$103,Amounts!$B$4:$B$103)*0.1*$A$2</f>
        <v>0</v>
      </c>
      <c r="C913" s="68">
        <f t="shared" si="91"/>
        <v>2219148.7781994981</v>
      </c>
      <c r="D913" s="67">
        <f t="array" ref="D913">SUM($B$7:$B908*$F$1009*EXP(-$F$1009*($A913-$A$7:$A908)))*$F$1010</f>
        <v>44286596.294888288</v>
      </c>
      <c r="E913" s="67">
        <f t="shared" si="89"/>
        <v>84.42848621278732</v>
      </c>
      <c r="F913" s="70">
        <f t="shared" si="87"/>
        <v>5.126497682840446</v>
      </c>
      <c r="G913" s="67">
        <f>E913/'Lookup Tables'!$C$48</f>
        <v>168.85697242557464</v>
      </c>
      <c r="H913" s="70">
        <f t="shared" si="90"/>
        <v>1.9996681966247026E-2</v>
      </c>
      <c r="I913" s="71">
        <f t="shared" si="88"/>
        <v>0.2431540402928275</v>
      </c>
      <c r="L913" s="74"/>
      <c r="M913" s="74"/>
      <c r="N913" s="74"/>
      <c r="O913" s="74"/>
      <c r="P913" s="74"/>
      <c r="Q913" s="74"/>
      <c r="R913" s="74"/>
      <c r="S913" s="74"/>
      <c r="T913" s="74"/>
      <c r="U913" s="74"/>
      <c r="V913" s="74"/>
      <c r="W913" s="74"/>
      <c r="X913" s="74"/>
      <c r="Y913" s="74"/>
      <c r="Z913" s="74"/>
    </row>
    <row r="914" spans="1:26" x14ac:dyDescent="0.3">
      <c r="A914" s="66">
        <f t="shared" si="86"/>
        <v>2080.6999999999175</v>
      </c>
      <c r="B914" s="67">
        <f>LOOKUP(A914+0.01,Amounts!$A$4:$A$103,Amounts!$B$4:$B$103)*0.1*$A$2</f>
        <v>0</v>
      </c>
      <c r="C914" s="68">
        <f t="shared" si="91"/>
        <v>2219148.7781994981</v>
      </c>
      <c r="D914" s="67">
        <f t="array" ref="D914">SUM($B$7:$B909*$F$1009*EXP(-$F$1009*($A914-$A$7:$A909)))*$F$1010</f>
        <v>44162767.266803659</v>
      </c>
      <c r="E914" s="67">
        <f t="shared" si="89"/>
        <v>84.192417102378116</v>
      </c>
      <c r="F914" s="70">
        <f t="shared" si="87"/>
        <v>5.1121635664563989</v>
      </c>
      <c r="G914" s="67">
        <f>E914/'Lookup Tables'!$C$48</f>
        <v>168.38483420475623</v>
      </c>
      <c r="H914" s="70">
        <f t="shared" si="90"/>
        <v>1.9940769570624881E-2</v>
      </c>
      <c r="I914" s="71">
        <f t="shared" si="88"/>
        <v>0.24247416125484897</v>
      </c>
      <c r="L914" s="74"/>
      <c r="M914" s="74"/>
      <c r="N914" s="74"/>
      <c r="O914" s="74"/>
      <c r="P914" s="74"/>
      <c r="Q914" s="74"/>
      <c r="R914" s="74"/>
      <c r="S914" s="74"/>
      <c r="T914" s="74"/>
      <c r="U914" s="74"/>
      <c r="V914" s="74"/>
      <c r="W914" s="74"/>
      <c r="X914" s="74"/>
      <c r="Y914" s="74"/>
      <c r="Z914" s="74"/>
    </row>
    <row r="915" spans="1:26" x14ac:dyDescent="0.3">
      <c r="A915" s="66">
        <f t="shared" ref="A915:A978" si="92">A914+0.1</f>
        <v>2080.7999999999174</v>
      </c>
      <c r="B915" s="67">
        <f>LOOKUP(A915+0.01,Amounts!$A$4:$A$103,Amounts!$B$4:$B$103)*0.1*$A$2</f>
        <v>0</v>
      </c>
      <c r="C915" s="68">
        <f t="shared" si="91"/>
        <v>2219148.7781994981</v>
      </c>
      <c r="D915" s="67">
        <f t="array" ref="D915">SUM($B$7:$B910*$F$1009*EXP(-$F$1009*($A915-$A$7:$A910)))*$F$1010</f>
        <v>44039284.475040615</v>
      </c>
      <c r="E915" s="67">
        <f t="shared" si="89"/>
        <v>83.957008060950258</v>
      </c>
      <c r="F915" s="70">
        <f t="shared" ref="F915:F978" si="93">E915*60*1012/1000000</f>
        <v>5.0978695294608993</v>
      </c>
      <c r="G915" s="67">
        <f>E915/'Lookup Tables'!$C$48</f>
        <v>167.91401612190052</v>
      </c>
      <c r="H915" s="70">
        <f t="shared" si="90"/>
        <v>1.988501351073832E-2</v>
      </c>
      <c r="I915" s="71">
        <f t="shared" ref="I915:I978" si="94">G915*60*24/1000000</f>
        <v>0.24179618321553673</v>
      </c>
      <c r="L915" s="74"/>
      <c r="M915" s="74"/>
      <c r="N915" s="74"/>
      <c r="O915" s="74"/>
      <c r="P915" s="74"/>
      <c r="Q915" s="74"/>
      <c r="R915" s="74"/>
      <c r="S915" s="74"/>
      <c r="T915" s="74"/>
      <c r="U915" s="74"/>
      <c r="V915" s="74"/>
      <c r="W915" s="74"/>
      <c r="X915" s="74"/>
      <c r="Y915" s="74"/>
      <c r="Z915" s="74"/>
    </row>
    <row r="916" spans="1:26" x14ac:dyDescent="0.3">
      <c r="A916" s="66">
        <f t="shared" si="92"/>
        <v>2080.8999999999173</v>
      </c>
      <c r="B916" s="67">
        <f>LOOKUP(A916+0.01,Amounts!$A$4:$A$103,Amounts!$B$4:$B$103)*0.1*$A$2</f>
        <v>0</v>
      </c>
      <c r="C916" s="68">
        <f t="shared" si="91"/>
        <v>2219148.7781994981</v>
      </c>
      <c r="D916" s="67">
        <f t="array" ref="D916">SUM($B$7:$B911*$F$1009*EXP(-$F$1009*($A916-$A$7:$A911)))*$F$1010</f>
        <v>43916146.951493412</v>
      </c>
      <c r="E916" s="67">
        <f t="shared" si="89"/>
        <v>83.72225724289558</v>
      </c>
      <c r="F916" s="70">
        <f t="shared" si="93"/>
        <v>5.0836154597886205</v>
      </c>
      <c r="G916" s="67">
        <f>E916/'Lookup Tables'!$C$48</f>
        <v>167.44451448579116</v>
      </c>
      <c r="H916" s="70">
        <f t="shared" si="90"/>
        <v>1.9829413349459521E-2</v>
      </c>
      <c r="I916" s="71">
        <f t="shared" si="94"/>
        <v>0.2411201008595393</v>
      </c>
      <c r="L916" s="74"/>
      <c r="M916" s="74"/>
      <c r="N916" s="74"/>
      <c r="O916" s="74"/>
      <c r="P916" s="74"/>
      <c r="Q916" s="74"/>
      <c r="R916" s="74"/>
      <c r="S916" s="74"/>
      <c r="T916" s="74"/>
      <c r="U916" s="74"/>
      <c r="V916" s="74"/>
      <c r="W916" s="74"/>
      <c r="X916" s="74"/>
      <c r="Y916" s="74"/>
      <c r="Z916" s="74"/>
    </row>
    <row r="917" spans="1:26" x14ac:dyDescent="0.3">
      <c r="A917" s="66">
        <f t="shared" si="92"/>
        <v>2080.9999999999172</v>
      </c>
      <c r="B917" s="67">
        <f>LOOKUP(A917+0.01,Amounts!$A$4:$A$103,Amounts!$B$4:$B$103)*0.1*$A$2</f>
        <v>0</v>
      </c>
      <c r="C917" s="68">
        <f t="shared" si="91"/>
        <v>2219148.7781994981</v>
      </c>
      <c r="D917" s="67">
        <f t="array" ref="D917">SUM($B$7:$B912*$F$1009*EXP(-$F$1009*($A917-$A$7:$A912)))*$F$1010</f>
        <v>43793353.730763264</v>
      </c>
      <c r="E917" s="67">
        <f t="shared" si="89"/>
        <v>83.488162807766557</v>
      </c>
      <c r="F917" s="70">
        <f t="shared" si="93"/>
        <v>5.069401245687585</v>
      </c>
      <c r="G917" s="67">
        <f>E917/'Lookup Tables'!$C$48</f>
        <v>166.97632561553311</v>
      </c>
      <c r="H917" s="70">
        <f t="shared" si="90"/>
        <v>1.9773968650882962E-2</v>
      </c>
      <c r="I917" s="71">
        <f t="shared" si="94"/>
        <v>0.24044590888636769</v>
      </c>
      <c r="L917" s="74"/>
      <c r="M917" s="74"/>
      <c r="N917" s="74"/>
      <c r="O917" s="74"/>
      <c r="P917" s="74"/>
      <c r="Q917" s="74"/>
      <c r="R917" s="74"/>
      <c r="S917" s="74"/>
      <c r="T917" s="74"/>
      <c r="U917" s="74"/>
      <c r="V917" s="74"/>
      <c r="W917" s="74"/>
      <c r="X917" s="74"/>
      <c r="Y917" s="74"/>
      <c r="Z917" s="74"/>
    </row>
    <row r="918" spans="1:26" x14ac:dyDescent="0.3">
      <c r="A918" s="66">
        <f t="shared" si="92"/>
        <v>2081.0999999999171</v>
      </c>
      <c r="B918" s="67">
        <f>LOOKUP(A918+0.01,Amounts!$A$4:$A$103,Amounts!$B$4:$B$103)*0.1*$A$2</f>
        <v>0</v>
      </c>
      <c r="C918" s="68">
        <f t="shared" si="91"/>
        <v>2219148.7781994981</v>
      </c>
      <c r="D918" s="67">
        <f t="array" ref="D918">SUM($B$7:$B913*$F$1009*EXP(-$F$1009*($A918-$A$7:$A913)))*$F$1010</f>
        <v>43670903.850150667</v>
      </c>
      <c r="E918" s="67">
        <f t="shared" si="89"/>
        <v>83.254722920261557</v>
      </c>
      <c r="F918" s="70">
        <f t="shared" si="93"/>
        <v>5.0552267757182809</v>
      </c>
      <c r="G918" s="67">
        <f>E918/'Lookup Tables'!$C$48</f>
        <v>166.50944584052311</v>
      </c>
      <c r="H918" s="70">
        <f t="shared" si="90"/>
        <v>1.97186789803219E-2</v>
      </c>
      <c r="I918" s="71">
        <f t="shared" si="94"/>
        <v>0.23977360201035328</v>
      </c>
      <c r="L918" s="74"/>
      <c r="M918" s="74"/>
      <c r="N918" s="74"/>
      <c r="O918" s="74"/>
      <c r="P918" s="74"/>
      <c r="Q918" s="74"/>
      <c r="R918" s="74"/>
      <c r="S918" s="74"/>
      <c r="T918" s="74"/>
      <c r="U918" s="74"/>
      <c r="V918" s="74"/>
      <c r="W918" s="74"/>
      <c r="X918" s="74"/>
      <c r="Y918" s="74"/>
      <c r="Z918" s="74"/>
    </row>
    <row r="919" spans="1:26" x14ac:dyDescent="0.3">
      <c r="A919" s="66">
        <f t="shared" si="92"/>
        <v>2081.1999999999171</v>
      </c>
      <c r="B919" s="67">
        <f>LOOKUP(A919+0.01,Amounts!$A$4:$A$103,Amounts!$B$4:$B$103)*0.1*$A$2</f>
        <v>0</v>
      </c>
      <c r="C919" s="68">
        <f t="shared" si="91"/>
        <v>2219148.7781994981</v>
      </c>
      <c r="D919" s="67">
        <f t="array" ref="D919">SUM($B$7:$B914*$F$1009*EXP(-$F$1009*($A919-$A$7:$A914)))*$F$1010</f>
        <v>43548796.349647969</v>
      </c>
      <c r="E919" s="67">
        <f t="shared" si="89"/>
        <v>83.021935750210744</v>
      </c>
      <c r="F919" s="70">
        <f t="shared" si="93"/>
        <v>5.0410919387527962</v>
      </c>
      <c r="G919" s="67">
        <f>E919/'Lookup Tables'!$C$48</f>
        <v>166.04387150042149</v>
      </c>
      <c r="H919" s="70">
        <f t="shared" si="90"/>
        <v>1.966354390430506E-2</v>
      </c>
      <c r="I919" s="71">
        <f t="shared" si="94"/>
        <v>0.23910317496060693</v>
      </c>
      <c r="L919" s="74"/>
      <c r="M919" s="74"/>
      <c r="N919" s="74"/>
      <c r="O919" s="74"/>
      <c r="P919" s="74"/>
      <c r="Q919" s="74"/>
      <c r="R919" s="74"/>
      <c r="S919" s="74"/>
      <c r="T919" s="74"/>
      <c r="U919" s="74"/>
      <c r="V919" s="74"/>
      <c r="W919" s="74"/>
      <c r="X919" s="74"/>
      <c r="Y919" s="74"/>
      <c r="Z919" s="74"/>
    </row>
    <row r="920" spans="1:26" x14ac:dyDescent="0.3">
      <c r="A920" s="66">
        <f t="shared" si="92"/>
        <v>2081.299999999917</v>
      </c>
      <c r="B920" s="67">
        <f>LOOKUP(A920+0.01,Amounts!$A$4:$A$103,Amounts!$B$4:$B$103)*0.1*$A$2</f>
        <v>0</v>
      </c>
      <c r="C920" s="68">
        <f t="shared" si="91"/>
        <v>2219148.7781994981</v>
      </c>
      <c r="D920" s="67">
        <f t="array" ref="D920">SUM($B$7:$B915*$F$1009*EXP(-$F$1009*($A920-$A$7:$A915)))*$F$1010</f>
        <v>43427030.271931693</v>
      </c>
      <c r="E920" s="67">
        <f t="shared" si="89"/>
        <v>82.789799472561413</v>
      </c>
      <c r="F920" s="70">
        <f t="shared" si="93"/>
        <v>5.026996623973929</v>
      </c>
      <c r="G920" s="67">
        <f>E920/'Lookup Tables'!$C$48</f>
        <v>165.57959894512283</v>
      </c>
      <c r="H920" s="70">
        <f t="shared" si="90"/>
        <v>1.960856299057314E-2</v>
      </c>
      <c r="I920" s="71">
        <f t="shared" si="94"/>
        <v>0.23843462248097688</v>
      </c>
      <c r="L920" s="74"/>
      <c r="M920" s="74"/>
      <c r="N920" s="74"/>
      <c r="O920" s="74"/>
      <c r="P920" s="74"/>
      <c r="Q920" s="74"/>
      <c r="R920" s="74"/>
      <c r="S920" s="74"/>
      <c r="T920" s="74"/>
      <c r="U920" s="74"/>
      <c r="V920" s="74"/>
      <c r="W920" s="74"/>
      <c r="X920" s="74"/>
      <c r="Y920" s="74"/>
      <c r="Z920" s="74"/>
    </row>
    <row r="921" spans="1:26" x14ac:dyDescent="0.3">
      <c r="A921" s="66">
        <f t="shared" si="92"/>
        <v>2081.3999999999169</v>
      </c>
      <c r="B921" s="67">
        <f>LOOKUP(A921+0.01,Amounts!$A$4:$A$103,Amounts!$B$4:$B$103)*0.1*$A$2</f>
        <v>0</v>
      </c>
      <c r="C921" s="68">
        <f t="shared" si="91"/>
        <v>2219148.7781994981</v>
      </c>
      <c r="D921" s="67">
        <f t="array" ref="D921">SUM($B$7:$B916*$F$1009*EXP(-$F$1009*($A921-$A$7:$A916)))*$F$1010</f>
        <v>43305604.662355214</v>
      </c>
      <c r="E921" s="67">
        <f t="shared" si="89"/>
        <v>82.558312267364059</v>
      </c>
      <c r="F921" s="70">
        <f t="shared" si="93"/>
        <v>5.0129407208743455</v>
      </c>
      <c r="G921" s="67">
        <f>E921/'Lookup Tables'!$C$48</f>
        <v>165.11662453472812</v>
      </c>
      <c r="H921" s="70">
        <f t="shared" si="90"/>
        <v>1.9553735808075512E-2</v>
      </c>
      <c r="I921" s="71">
        <f t="shared" si="94"/>
        <v>0.2377679393300085</v>
      </c>
      <c r="L921" s="74"/>
      <c r="M921" s="74"/>
      <c r="N921" s="74"/>
      <c r="O921" s="74"/>
      <c r="P921" s="74"/>
      <c r="Q921" s="74"/>
      <c r="R921" s="74"/>
      <c r="S921" s="74"/>
      <c r="T921" s="74"/>
      <c r="U921" s="74"/>
      <c r="V921" s="74"/>
      <c r="W921" s="74"/>
      <c r="X921" s="74"/>
      <c r="Y921" s="74"/>
      <c r="Z921" s="74"/>
    </row>
    <row r="922" spans="1:26" x14ac:dyDescent="0.3">
      <c r="A922" s="66">
        <f t="shared" si="92"/>
        <v>2081.4999999999168</v>
      </c>
      <c r="B922" s="67">
        <f>LOOKUP(A922+0.01,Amounts!$A$4:$A$103,Amounts!$B$4:$B$103)*0.1*$A$2</f>
        <v>0</v>
      </c>
      <c r="C922" s="68">
        <f t="shared" si="91"/>
        <v>2219148.7781994981</v>
      </c>
      <c r="D922" s="67">
        <f t="array" ref="D922">SUM($B$7:$B917*$F$1009*EXP(-$F$1009*($A922-$A$7:$A917)))*$F$1010</f>
        <v>43184518.568941072</v>
      </c>
      <c r="E922" s="67">
        <f t="shared" si="89"/>
        <v>82.327472319757703</v>
      </c>
      <c r="F922" s="70">
        <f t="shared" si="93"/>
        <v>4.9989241192556868</v>
      </c>
      <c r="G922" s="67">
        <f>E922/'Lookup Tables'!$C$48</f>
        <v>164.65494463951541</v>
      </c>
      <c r="H922" s="70">
        <f t="shared" si="90"/>
        <v>1.9499061926966762E-2</v>
      </c>
      <c r="I922" s="71">
        <f t="shared" si="94"/>
        <v>0.23710312028090216</v>
      </c>
      <c r="L922" s="74"/>
      <c r="M922" s="74"/>
      <c r="N922" s="74"/>
      <c r="O922" s="74"/>
      <c r="P922" s="74"/>
      <c r="Q922" s="74"/>
      <c r="R922" s="74"/>
      <c r="S922" s="74"/>
      <c r="T922" s="74"/>
      <c r="U922" s="74"/>
      <c r="V922" s="74"/>
      <c r="W922" s="74"/>
      <c r="X922" s="74"/>
      <c r="Y922" s="74"/>
      <c r="Z922" s="74"/>
    </row>
    <row r="923" spans="1:26" x14ac:dyDescent="0.3">
      <c r="A923" s="66">
        <f t="shared" si="92"/>
        <v>2081.5999999999167</v>
      </c>
      <c r="B923" s="67">
        <f>LOOKUP(A923+0.01,Amounts!$A$4:$A$103,Amounts!$B$4:$B$103)*0.1*$A$2</f>
        <v>0</v>
      </c>
      <c r="C923" s="68">
        <f t="shared" si="91"/>
        <v>2219148.7781994981</v>
      </c>
      <c r="D923" s="67">
        <f t="array" ref="D923">SUM($B$7:$B918*$F$1009*EXP(-$F$1009*($A923-$A$7:$A918)))*$F$1010</f>
        <v>43063771.042373724</v>
      </c>
      <c r="E923" s="67">
        <f t="shared" si="89"/>
        <v>82.097277819956048</v>
      </c>
      <c r="F923" s="70">
        <f t="shared" si="93"/>
        <v>4.9849467092277306</v>
      </c>
      <c r="G923" s="67">
        <f>E923/'Lookup Tables'!$C$48</f>
        <v>164.1945556399121</v>
      </c>
      <c r="H923" s="70">
        <f t="shared" si="90"/>
        <v>1.9444540918603405E-2</v>
      </c>
      <c r="I923" s="71">
        <f t="shared" si="94"/>
        <v>0.2364401601214734</v>
      </c>
      <c r="L923" s="74"/>
      <c r="M923" s="74"/>
      <c r="N923" s="74"/>
      <c r="O923" s="74"/>
      <c r="P923" s="74"/>
      <c r="Q923" s="74"/>
      <c r="R923" s="74"/>
      <c r="S923" s="74"/>
      <c r="T923" s="74"/>
      <c r="U923" s="74"/>
      <c r="V923" s="74"/>
      <c r="W923" s="74"/>
      <c r="X923" s="74"/>
      <c r="Y923" s="74"/>
      <c r="Z923" s="74"/>
    </row>
    <row r="924" spans="1:26" x14ac:dyDescent="0.3">
      <c r="A924" s="66">
        <f t="shared" si="92"/>
        <v>2081.6999999999166</v>
      </c>
      <c r="B924" s="67">
        <f>LOOKUP(A924+0.01,Amounts!$A$4:$A$103,Amounts!$B$4:$B$103)*0.1*$A$2</f>
        <v>0</v>
      </c>
      <c r="C924" s="68">
        <f t="shared" si="91"/>
        <v>2219148.7781994981</v>
      </c>
      <c r="D924" s="67">
        <f t="array" ref="D924">SUM($B$7:$B919*$F$1009*EXP(-$F$1009*($A924-$A$7:$A919)))*$F$1010</f>
        <v>42943361.135991916</v>
      </c>
      <c r="E924" s="67">
        <f t="shared" si="89"/>
        <v>81.867726963232997</v>
      </c>
      <c r="F924" s="70">
        <f t="shared" si="93"/>
        <v>4.9710083812075068</v>
      </c>
      <c r="G924" s="67">
        <f>E924/'Lookup Tables'!$C$48</f>
        <v>163.73545392646599</v>
      </c>
      <c r="H924" s="70">
        <f t="shared" si="90"/>
        <v>1.9390172355540441E-2</v>
      </c>
      <c r="I924" s="71">
        <f t="shared" si="94"/>
        <v>0.23577905365411103</v>
      </c>
      <c r="L924" s="74"/>
      <c r="M924" s="74"/>
      <c r="N924" s="74"/>
      <c r="O924" s="74"/>
      <c r="P924" s="74"/>
      <c r="Q924" s="74"/>
      <c r="R924" s="74"/>
      <c r="S924" s="74"/>
      <c r="T924" s="74"/>
      <c r="U924" s="74"/>
      <c r="V924" s="74"/>
      <c r="W924" s="74"/>
      <c r="X924" s="74"/>
      <c r="Y924" s="74"/>
      <c r="Z924" s="74"/>
    </row>
    <row r="925" spans="1:26" x14ac:dyDescent="0.3">
      <c r="A925" s="66">
        <f t="shared" si="92"/>
        <v>2081.7999999999165</v>
      </c>
      <c r="B925" s="67">
        <f>LOOKUP(A925+0.01,Amounts!$A$4:$A$103,Amounts!$B$4:$B$103)*0.1*$A$2</f>
        <v>0</v>
      </c>
      <c r="C925" s="68">
        <f t="shared" si="91"/>
        <v>2219148.7781994981</v>
      </c>
      <c r="D925" s="67">
        <f t="array" ref="D925">SUM($B$7:$B920*$F$1009*EXP(-$F$1009*($A925-$A$7:$A920)))*$F$1010</f>
        <v>42823287.905781373</v>
      </c>
      <c r="E925" s="67">
        <f t="shared" si="89"/>
        <v>81.63881794990867</v>
      </c>
      <c r="F925" s="70">
        <f t="shared" si="93"/>
        <v>4.9571090259184549</v>
      </c>
      <c r="G925" s="67">
        <f>E925/'Lookup Tables'!$C$48</f>
        <v>163.27763589981734</v>
      </c>
      <c r="H925" s="70">
        <f t="shared" si="90"/>
        <v>1.9335955811528069E-2</v>
      </c>
      <c r="I925" s="71">
        <f t="shared" si="94"/>
        <v>0.23511979569573702</v>
      </c>
      <c r="L925" s="74"/>
      <c r="M925" s="74"/>
      <c r="N925" s="74"/>
      <c r="O925" s="74"/>
      <c r="P925" s="74"/>
      <c r="Q925" s="74"/>
      <c r="R925" s="74"/>
      <c r="S925" s="74"/>
      <c r="T925" s="74"/>
      <c r="U925" s="74"/>
      <c r="V925" s="74"/>
      <c r="W925" s="74"/>
      <c r="X925" s="74"/>
      <c r="Y925" s="74"/>
      <c r="Z925" s="74"/>
    </row>
    <row r="926" spans="1:26" x14ac:dyDescent="0.3">
      <c r="A926" s="66">
        <f t="shared" si="92"/>
        <v>2081.8999999999164</v>
      </c>
      <c r="B926" s="67">
        <f>LOOKUP(A926+0.01,Amounts!$A$4:$A$103,Amounts!$B$4:$B$103)*0.1*$A$2</f>
        <v>0</v>
      </c>
      <c r="C926" s="68">
        <f t="shared" si="91"/>
        <v>2219148.7781994981</v>
      </c>
      <c r="D926" s="67">
        <f t="array" ref="D926">SUM($B$7:$B921*$F$1009*EXP(-$F$1009*($A926-$A$7:$A921)))*$F$1010</f>
        <v>42703550.410367355</v>
      </c>
      <c r="E926" s="67">
        <f t="shared" si="89"/>
        <v>81.410548985335225</v>
      </c>
      <c r="F926" s="70">
        <f t="shared" si="93"/>
        <v>4.9432485343895545</v>
      </c>
      <c r="G926" s="67">
        <f>E926/'Lookup Tables'!$C$48</f>
        <v>162.82109797067045</v>
      </c>
      <c r="H926" s="70">
        <f t="shared" si="90"/>
        <v>1.9281890861508291E-2</v>
      </c>
      <c r="I926" s="71">
        <f t="shared" si="94"/>
        <v>0.23446238107776543</v>
      </c>
      <c r="L926" s="74"/>
      <c r="M926" s="74"/>
      <c r="N926" s="74"/>
      <c r="O926" s="74"/>
      <c r="P926" s="74"/>
      <c r="Q926" s="74"/>
      <c r="R926" s="74"/>
      <c r="S926" s="74"/>
      <c r="T926" s="74"/>
      <c r="U926" s="74"/>
      <c r="V926" s="74"/>
      <c r="W926" s="74"/>
      <c r="X926" s="74"/>
      <c r="Y926" s="74"/>
      <c r="Z926" s="74"/>
    </row>
    <row r="927" spans="1:26" x14ac:dyDescent="0.3">
      <c r="A927" s="66">
        <f t="shared" si="92"/>
        <v>2081.9999999999163</v>
      </c>
      <c r="B927" s="67">
        <f>LOOKUP(A927+0.01,Amounts!$A$4:$A$103,Amounts!$B$4:$B$103)*0.1*$A$2</f>
        <v>0</v>
      </c>
      <c r="C927" s="68">
        <f t="shared" si="91"/>
        <v>2219148.7781994981</v>
      </c>
      <c r="D927" s="67">
        <f t="array" ref="D927">SUM($B$7:$B922*$F$1009*EXP(-$F$1009*($A927-$A$7:$A922)))*$F$1010</f>
        <v>42584147.71100729</v>
      </c>
      <c r="E927" s="67">
        <f t="shared" si="89"/>
        <v>81.182918279882827</v>
      </c>
      <c r="F927" s="70">
        <f t="shared" si="93"/>
        <v>4.929426797954485</v>
      </c>
      <c r="G927" s="67">
        <f>E927/'Lookup Tables'!$C$48</f>
        <v>162.36583655976565</v>
      </c>
      <c r="H927" s="70">
        <f t="shared" si="90"/>
        <v>1.9227977081611638E-2</v>
      </c>
      <c r="I927" s="71">
        <f t="shared" si="94"/>
        <v>0.23380680464606254</v>
      </c>
      <c r="L927" s="74"/>
      <c r="M927" s="74"/>
      <c r="N927" s="74"/>
      <c r="O927" s="74"/>
      <c r="P927" s="74"/>
      <c r="Q927" s="74"/>
      <c r="R927" s="74"/>
      <c r="S927" s="74"/>
      <c r="T927" s="74"/>
      <c r="U927" s="74"/>
      <c r="V927" s="74"/>
      <c r="W927" s="74"/>
      <c r="X927" s="74"/>
      <c r="Y927" s="74"/>
      <c r="Z927" s="74"/>
    </row>
    <row r="928" spans="1:26" x14ac:dyDescent="0.3">
      <c r="A928" s="66">
        <f t="shared" si="92"/>
        <v>2082.0999999999162</v>
      </c>
      <c r="B928" s="67">
        <f>LOOKUP(A928+0.01,Amounts!$A$4:$A$103,Amounts!$B$4:$B$103)*0.1*$A$2</f>
        <v>0</v>
      </c>
      <c r="C928" s="68">
        <f t="shared" si="91"/>
        <v>2219148.7781994981</v>
      </c>
      <c r="D928" s="67">
        <f t="array" ref="D928">SUM($B$7:$B923*$F$1009*EXP(-$F$1009*($A928-$A$7:$A923)))*$F$1010</f>
        <v>42465078.871583402</v>
      </c>
      <c r="E928" s="67">
        <f t="shared" si="89"/>
        <v>80.955924048925581</v>
      </c>
      <c r="F928" s="70">
        <f t="shared" si="93"/>
        <v>4.9156437082507614</v>
      </c>
      <c r="G928" s="67">
        <f>E928/'Lookup Tables'!$C$48</f>
        <v>161.91184809785116</v>
      </c>
      <c r="H928" s="70">
        <f t="shared" si="90"/>
        <v>1.9174214049153787E-2</v>
      </c>
      <c r="I928" s="71">
        <f t="shared" si="94"/>
        <v>0.23315306126090565</v>
      </c>
      <c r="L928" s="74"/>
      <c r="M928" s="74"/>
      <c r="N928" s="74"/>
      <c r="O928" s="74"/>
      <c r="P928" s="74"/>
      <c r="Q928" s="74"/>
      <c r="R928" s="74"/>
      <c r="S928" s="74"/>
      <c r="T928" s="74"/>
      <c r="U928" s="74"/>
      <c r="V928" s="74"/>
      <c r="W928" s="74"/>
      <c r="X928" s="74"/>
      <c r="Y928" s="74"/>
      <c r="Z928" s="74"/>
    </row>
    <row r="929" spans="1:26" x14ac:dyDescent="0.3">
      <c r="A929" s="66">
        <f t="shared" si="92"/>
        <v>2082.1999999999161</v>
      </c>
      <c r="B929" s="67">
        <f>LOOKUP(A929+0.01,Amounts!$A$4:$A$103,Amounts!$B$4:$B$103)*0.1*$A$2</f>
        <v>0</v>
      </c>
      <c r="C929" s="68">
        <f t="shared" si="91"/>
        <v>2219148.7781994981</v>
      </c>
      <c r="D929" s="67">
        <f t="array" ref="D929">SUM($B$7:$B924*$F$1009*EXP(-$F$1009*($A929-$A$7:$A924)))*$F$1010</f>
        <v>42346342.958595373</v>
      </c>
      <c r="E929" s="67">
        <f t="shared" si="89"/>
        <v>80.729564512827523</v>
      </c>
      <c r="F929" s="70">
        <f t="shared" si="93"/>
        <v>4.9018991572188879</v>
      </c>
      <c r="G929" s="67">
        <f>E929/'Lookup Tables'!$C$48</f>
        <v>161.45912902565505</v>
      </c>
      <c r="H929" s="70">
        <f t="shared" si="90"/>
        <v>1.9120601342632298E-2</v>
      </c>
      <c r="I929" s="71">
        <f t="shared" si="94"/>
        <v>0.23250114579694328</v>
      </c>
      <c r="L929" s="74"/>
      <c r="M929" s="74"/>
      <c r="N929" s="74"/>
      <c r="O929" s="74"/>
      <c r="P929" s="74"/>
      <c r="Q929" s="74"/>
      <c r="R929" s="74"/>
      <c r="S929" s="74"/>
      <c r="T929" s="74"/>
      <c r="U929" s="74"/>
      <c r="V929" s="74"/>
      <c r="W929" s="74"/>
      <c r="X929" s="74"/>
      <c r="Y929" s="74"/>
      <c r="Z929" s="74"/>
    </row>
    <row r="930" spans="1:26" x14ac:dyDescent="0.3">
      <c r="A930" s="66">
        <f t="shared" si="92"/>
        <v>2082.2999999999161</v>
      </c>
      <c r="B930" s="67">
        <f>LOOKUP(A930+0.01,Amounts!$A$4:$A$103,Amounts!$B$4:$B$103)*0.1*$A$2</f>
        <v>0</v>
      </c>
      <c r="C930" s="68">
        <f t="shared" si="91"/>
        <v>2219148.7781994981</v>
      </c>
      <c r="D930" s="67">
        <f t="array" ref="D930">SUM($B$7:$B925*$F$1009*EXP(-$F$1009*($A930-$A$7:$A925)))*$F$1010</f>
        <v>42227939.041153058</v>
      </c>
      <c r="E930" s="67">
        <f t="shared" si="89"/>
        <v>80.503837896928815</v>
      </c>
      <c r="F930" s="70">
        <f t="shared" si="93"/>
        <v>4.8881930371015176</v>
      </c>
      <c r="G930" s="67">
        <f>E930/'Lookup Tables'!$C$48</f>
        <v>161.00767579385763</v>
      </c>
      <c r="H930" s="70">
        <f t="shared" si="90"/>
        <v>1.9067138541723282E-2</v>
      </c>
      <c r="I930" s="71">
        <f t="shared" si="94"/>
        <v>0.23185105314315496</v>
      </c>
      <c r="L930" s="74"/>
      <c r="M930" s="74"/>
      <c r="N930" s="74"/>
      <c r="O930" s="74"/>
      <c r="P930" s="74"/>
      <c r="Q930" s="74"/>
      <c r="R930" s="74"/>
      <c r="S930" s="74"/>
      <c r="T930" s="74"/>
      <c r="U930" s="74"/>
      <c r="V930" s="74"/>
      <c r="W930" s="74"/>
      <c r="X930" s="74"/>
      <c r="Y930" s="74"/>
      <c r="Z930" s="74"/>
    </row>
    <row r="931" spans="1:26" x14ac:dyDescent="0.3">
      <c r="A931" s="66">
        <f t="shared" si="92"/>
        <v>2082.399999999916</v>
      </c>
      <c r="B931" s="67">
        <f>LOOKUP(A931+0.01,Amounts!$A$4:$A$103,Amounts!$B$4:$B$103)*0.1*$A$2</f>
        <v>0</v>
      </c>
      <c r="C931" s="68">
        <f t="shared" si="91"/>
        <v>2219148.7781994981</v>
      </c>
      <c r="D931" s="67">
        <f t="array" ref="D931">SUM($B$7:$B926*$F$1009*EXP(-$F$1009*($A931-$A$7:$A926)))*$F$1010</f>
        <v>42109866.190969102</v>
      </c>
      <c r="E931" s="67">
        <f t="shared" si="89"/>
        <v>80.278742431531498</v>
      </c>
      <c r="F931" s="70">
        <f t="shared" si="93"/>
        <v>4.8745252404425923</v>
      </c>
      <c r="G931" s="67">
        <f>E931/'Lookup Tables'!$C$48</f>
        <v>160.557484863063</v>
      </c>
      <c r="H931" s="70">
        <f t="shared" si="90"/>
        <v>1.9013825227278083E-2</v>
      </c>
      <c r="I931" s="71">
        <f t="shared" si="94"/>
        <v>0.23120277820281071</v>
      </c>
      <c r="L931" s="74"/>
      <c r="M931" s="74"/>
      <c r="N931" s="74"/>
      <c r="O931" s="74"/>
      <c r="P931" s="74"/>
      <c r="Q931" s="74"/>
      <c r="R931" s="74"/>
      <c r="S931" s="74"/>
      <c r="T931" s="74"/>
      <c r="U931" s="74"/>
      <c r="V931" s="74"/>
      <c r="W931" s="74"/>
      <c r="X931" s="74"/>
      <c r="Y931" s="74"/>
      <c r="Z931" s="74"/>
    </row>
    <row r="932" spans="1:26" x14ac:dyDescent="0.3">
      <c r="A932" s="66">
        <f t="shared" si="92"/>
        <v>2082.4999999999159</v>
      </c>
      <c r="B932" s="67">
        <f>LOOKUP(A932+0.01,Amounts!$A$4:$A$103,Amounts!$B$4:$B$103)*0.1*$A$2</f>
        <v>0</v>
      </c>
      <c r="C932" s="68">
        <f t="shared" si="91"/>
        <v>2219148.7781994981</v>
      </c>
      <c r="D932" s="67">
        <f t="array" ref="D932">SUM($B$7:$B927*$F$1009*EXP(-$F$1009*($A932-$A$7:$A927)))*$F$1010</f>
        <v>41992123.482351772</v>
      </c>
      <c r="E932" s="67">
        <f t="shared" si="89"/>
        <v>80.054276351886031</v>
      </c>
      <c r="F932" s="70">
        <f t="shared" si="93"/>
        <v>4.8608956600865199</v>
      </c>
      <c r="G932" s="67">
        <f>E932/'Lookup Tables'!$C$48</f>
        <v>160.10855270377206</v>
      </c>
      <c r="H932" s="70">
        <f t="shared" si="90"/>
        <v>1.8960660981320054E-2</v>
      </c>
      <c r="I932" s="71">
        <f t="shared" si="94"/>
        <v>0.23055631589343178</v>
      </c>
      <c r="L932" s="74"/>
      <c r="M932" s="74"/>
      <c r="N932" s="74"/>
      <c r="O932" s="74"/>
      <c r="P932" s="74"/>
      <c r="Q932" s="74"/>
      <c r="R932" s="74"/>
      <c r="S932" s="74"/>
      <c r="T932" s="74"/>
      <c r="U932" s="74"/>
      <c r="V932" s="74"/>
      <c r="W932" s="74"/>
      <c r="X932" s="74"/>
      <c r="Y932" s="74"/>
      <c r="Z932" s="74"/>
    </row>
    <row r="933" spans="1:26" x14ac:dyDescent="0.3">
      <c r="A933" s="66">
        <f t="shared" si="92"/>
        <v>2082.5999999999158</v>
      </c>
      <c r="B933" s="67">
        <f>LOOKUP(A933+0.01,Amounts!$A$4:$A$103,Amounts!$B$4:$B$103)*0.1*$A$2</f>
        <v>0</v>
      </c>
      <c r="C933" s="68">
        <f t="shared" si="91"/>
        <v>2219148.7781994981</v>
      </c>
      <c r="D933" s="67">
        <f t="array" ref="D933">SUM($B$7:$B928*$F$1009*EXP(-$F$1009*($A933-$A$7:$A928)))*$F$1010</f>
        <v>41874709.99219764</v>
      </c>
      <c r="E933" s="67">
        <f t="shared" si="89"/>
        <v>79.830437898177237</v>
      </c>
      <c r="F933" s="70">
        <f t="shared" si="93"/>
        <v>4.8473041891773221</v>
      </c>
      <c r="G933" s="67">
        <f>E933/'Lookup Tables'!$C$48</f>
        <v>159.66087579635447</v>
      </c>
      <c r="H933" s="70">
        <f t="shared" si="90"/>
        <v>1.8907645387041244E-2</v>
      </c>
      <c r="I933" s="71">
        <f t="shared" si="94"/>
        <v>0.22991166114675043</v>
      </c>
      <c r="L933" s="74"/>
      <c r="M933" s="74"/>
      <c r="N933" s="74"/>
      <c r="O933" s="74"/>
      <c r="P933" s="74"/>
      <c r="Q933" s="74"/>
      <c r="R933" s="74"/>
      <c r="S933" s="74"/>
      <c r="T933" s="74"/>
      <c r="U933" s="74"/>
      <c r="V933" s="74"/>
      <c r="W933" s="74"/>
      <c r="X933" s="74"/>
      <c r="Y933" s="74"/>
      <c r="Z933" s="74"/>
    </row>
    <row r="934" spans="1:26" x14ac:dyDescent="0.3">
      <c r="A934" s="66">
        <f t="shared" si="92"/>
        <v>2082.6999999999157</v>
      </c>
      <c r="B934" s="67">
        <f>LOOKUP(A934+0.01,Amounts!$A$4:$A$103,Amounts!$B$4:$B$103)*0.1*$A$2</f>
        <v>0</v>
      </c>
      <c r="C934" s="68">
        <f t="shared" si="91"/>
        <v>2219148.7781994981</v>
      </c>
      <c r="D934" s="67">
        <f t="array" ref="D934">SUM($B$7:$B929*$F$1009*EXP(-$F$1009*($A934-$A$7:$A929)))*$F$1010</f>
        <v>41757624.799984343</v>
      </c>
      <c r="E934" s="67">
        <f t="shared" si="89"/>
        <v>79.60722531551049</v>
      </c>
      <c r="F934" s="70">
        <f t="shared" si="93"/>
        <v>4.8337507211577968</v>
      </c>
      <c r="G934" s="67">
        <f>E934/'Lookup Tables'!$C$48</f>
        <v>159.21445063102098</v>
      </c>
      <c r="H934" s="70">
        <f t="shared" si="90"/>
        <v>1.8854778028799122E-2</v>
      </c>
      <c r="I934" s="71">
        <f t="shared" si="94"/>
        <v>0.22926880890867021</v>
      </c>
      <c r="L934" s="74"/>
      <c r="M934" s="74"/>
      <c r="N934" s="74"/>
      <c r="O934" s="74"/>
      <c r="P934" s="74"/>
      <c r="Q934" s="74"/>
      <c r="R934" s="74"/>
      <c r="S934" s="74"/>
      <c r="T934" s="74"/>
      <c r="U934" s="74"/>
      <c r="V934" s="74"/>
      <c r="W934" s="74"/>
      <c r="X934" s="74"/>
      <c r="Y934" s="74"/>
      <c r="Z934" s="74"/>
    </row>
    <row r="935" spans="1:26" x14ac:dyDescent="0.3">
      <c r="A935" s="66">
        <f t="shared" si="92"/>
        <v>2082.7999999999156</v>
      </c>
      <c r="B935" s="67">
        <f>LOOKUP(A935+0.01,Amounts!$A$4:$A$103,Amounts!$B$4:$B$103)*0.1*$A$2</f>
        <v>0</v>
      </c>
      <c r="C935" s="68">
        <f t="shared" si="91"/>
        <v>2219148.7781994981</v>
      </c>
      <c r="D935" s="67">
        <f t="array" ref="D935">SUM($B$7:$B930*$F$1009*EXP(-$F$1009*($A935-$A$7:$A930)))*$F$1010</f>
        <v>41640866.98776336</v>
      </c>
      <c r="E935" s="67">
        <f t="shared" si="89"/>
        <v>79.384636853897959</v>
      </c>
      <c r="F935" s="70">
        <f t="shared" si="93"/>
        <v>4.8202351497686839</v>
      </c>
      <c r="G935" s="67">
        <f>E935/'Lookup Tables'!$C$48</f>
        <v>158.76927370779592</v>
      </c>
      <c r="H935" s="70">
        <f t="shared" si="90"/>
        <v>1.8802058492113315E-2</v>
      </c>
      <c r="I935" s="71">
        <f t="shared" si="94"/>
        <v>0.22862775413922609</v>
      </c>
      <c r="L935" s="74"/>
      <c r="M935" s="74"/>
      <c r="N935" s="74"/>
      <c r="O935" s="74"/>
      <c r="P935" s="74"/>
      <c r="Q935" s="74"/>
      <c r="R935" s="74"/>
      <c r="S935" s="74"/>
      <c r="T935" s="74"/>
      <c r="U935" s="74"/>
      <c r="V935" s="74"/>
      <c r="W935" s="74"/>
      <c r="X935" s="74"/>
      <c r="Y935" s="74"/>
      <c r="Z935" s="74"/>
    </row>
    <row r="936" spans="1:26" x14ac:dyDescent="0.3">
      <c r="A936" s="66">
        <f t="shared" si="92"/>
        <v>2082.8999999999155</v>
      </c>
      <c r="B936" s="67">
        <f>LOOKUP(A936+0.01,Amounts!$A$4:$A$103,Amounts!$B$4:$B$103)*0.1*$A$2</f>
        <v>0</v>
      </c>
      <c r="C936" s="68">
        <f t="shared" si="91"/>
        <v>2219148.7781994981</v>
      </c>
      <c r="D936" s="67">
        <f t="array" ref="D936">SUM($B$7:$B931*$F$1009*EXP(-$F$1009*($A936-$A$7:$A931)))*$F$1010</f>
        <v>41524435.640152857</v>
      </c>
      <c r="E936" s="67">
        <f t="shared" si="89"/>
        <v>79.162670768244993</v>
      </c>
      <c r="F936" s="70">
        <f t="shared" si="93"/>
        <v>4.806757369047836</v>
      </c>
      <c r="G936" s="67">
        <f>E936/'Lookup Tables'!$C$48</f>
        <v>158.32534153648999</v>
      </c>
      <c r="H936" s="70">
        <f t="shared" si="90"/>
        <v>1.8749486363662402E-2</v>
      </c>
      <c r="I936" s="71">
        <f t="shared" si="94"/>
        <v>0.2279884918125456</v>
      </c>
      <c r="L936" s="74"/>
      <c r="M936" s="74"/>
      <c r="N936" s="74"/>
      <c r="O936" s="74"/>
      <c r="P936" s="74"/>
      <c r="Q936" s="74"/>
      <c r="R936" s="74"/>
      <c r="S936" s="74"/>
      <c r="T936" s="74"/>
      <c r="U936" s="74"/>
      <c r="V936" s="74"/>
      <c r="W936" s="74"/>
      <c r="X936" s="74"/>
      <c r="Y936" s="74"/>
      <c r="Z936" s="74"/>
    </row>
    <row r="937" spans="1:26" x14ac:dyDescent="0.3">
      <c r="A937" s="66">
        <f t="shared" si="92"/>
        <v>2082.9999999999154</v>
      </c>
      <c r="B937" s="67">
        <f>LOOKUP(A937+0.01,Amounts!$A$4:$A$103,Amounts!$B$4:$B$103)*0.1*$A$2</f>
        <v>0</v>
      </c>
      <c r="C937" s="68">
        <f t="shared" si="91"/>
        <v>2219148.7781994981</v>
      </c>
      <c r="D937" s="67">
        <f t="array" ref="D937">SUM($B$7:$B932*$F$1009*EXP(-$F$1009*($A937-$A$7:$A932)))*$F$1010</f>
        <v>41408329.844330467</v>
      </c>
      <c r="E937" s="67">
        <f t="shared" si="89"/>
        <v>78.941325318336325</v>
      </c>
      <c r="F937" s="70">
        <f t="shared" si="93"/>
        <v>4.7933172733293814</v>
      </c>
      <c r="G937" s="67">
        <f>E937/'Lookup Tables'!$C$48</f>
        <v>157.88265063667265</v>
      </c>
      <c r="H937" s="70">
        <f t="shared" si="90"/>
        <v>1.869706123128061E-2</v>
      </c>
      <c r="I937" s="71">
        <f t="shared" si="94"/>
        <v>0.22735101691680862</v>
      </c>
      <c r="L937" s="74"/>
      <c r="M937" s="74"/>
      <c r="N937" s="74"/>
      <c r="O937" s="74"/>
      <c r="P937" s="74"/>
      <c r="Q937" s="74"/>
      <c r="R937" s="74"/>
      <c r="S937" s="74"/>
      <c r="T937" s="74"/>
      <c r="U937" s="74"/>
      <c r="V937" s="74"/>
      <c r="W937" s="74"/>
      <c r="X937" s="74"/>
      <c r="Y937" s="74"/>
      <c r="Z937" s="74"/>
    </row>
    <row r="938" spans="1:26" x14ac:dyDescent="0.3">
      <c r="A938" s="66">
        <f t="shared" si="92"/>
        <v>2083.0999999999153</v>
      </c>
      <c r="B938" s="67">
        <f>LOOKUP(A938+0.01,Amounts!$A$4:$A$103,Amounts!$B$4:$B$103)*0.1*$A$2</f>
        <v>0</v>
      </c>
      <c r="C938" s="68">
        <f t="shared" si="91"/>
        <v>2219148.7781994981</v>
      </c>
      <c r="D938" s="67">
        <f t="array" ref="D938">SUM($B$7:$B933*$F$1009*EXP(-$F$1009*($A938-$A$7:$A933)))*$F$1010</f>
        <v>41292548.690026142</v>
      </c>
      <c r="E938" s="67">
        <f t="shared" si="89"/>
        <v>78.72059876882247</v>
      </c>
      <c r="F938" s="70">
        <f t="shared" si="93"/>
        <v>4.7799147572429002</v>
      </c>
      <c r="G938" s="67">
        <f>E938/'Lookup Tables'!$C$48</f>
        <v>157.44119753764494</v>
      </c>
      <c r="H938" s="70">
        <f t="shared" si="90"/>
        <v>1.8644782683954631E-2</v>
      </c>
      <c r="I938" s="71">
        <f t="shared" si="94"/>
        <v>0.22671532445420869</v>
      </c>
      <c r="L938" s="74"/>
      <c r="M938" s="74"/>
      <c r="N938" s="74"/>
      <c r="O938" s="74"/>
      <c r="P938" s="74"/>
      <c r="Q938" s="74"/>
      <c r="R938" s="74"/>
      <c r="S938" s="74"/>
      <c r="T938" s="74"/>
      <c r="U938" s="74"/>
      <c r="V938" s="74"/>
      <c r="W938" s="74"/>
      <c r="X938" s="74"/>
      <c r="Y938" s="74"/>
      <c r="Z938" s="74"/>
    </row>
    <row r="939" spans="1:26" x14ac:dyDescent="0.3">
      <c r="A939" s="66">
        <f t="shared" si="92"/>
        <v>2083.1999999999152</v>
      </c>
      <c r="B939" s="67">
        <f>LOOKUP(A939+0.01,Amounts!$A$4:$A$103,Amounts!$B$4:$B$103)*0.1*$A$2</f>
        <v>0</v>
      </c>
      <c r="C939" s="68">
        <f t="shared" si="91"/>
        <v>2219148.7781994981</v>
      </c>
      <c r="D939" s="67">
        <f t="array" ref="D939">SUM($B$7:$B934*$F$1009*EXP(-$F$1009*($A939-$A$7:$A934)))*$F$1010</f>
        <v>41177091.269515067</v>
      </c>
      <c r="E939" s="67">
        <f t="shared" si="89"/>
        <v>78.500489389206237</v>
      </c>
      <c r="F939" s="70">
        <f t="shared" si="93"/>
        <v>4.7665497157126033</v>
      </c>
      <c r="G939" s="67">
        <f>E939/'Lookup Tables'!$C$48</f>
        <v>157.00097877841247</v>
      </c>
      <c r="H939" s="70">
        <f t="shared" si="90"/>
        <v>1.8592650311820419E-2</v>
      </c>
      <c r="I939" s="71">
        <f t="shared" si="94"/>
        <v>0.22608140944091396</v>
      </c>
      <c r="L939" s="74"/>
      <c r="M939" s="74"/>
      <c r="N939" s="74"/>
      <c r="O939" s="74"/>
      <c r="P939" s="74"/>
      <c r="Q939" s="74"/>
      <c r="R939" s="74"/>
      <c r="S939" s="74"/>
      <c r="T939" s="74"/>
      <c r="U939" s="74"/>
      <c r="V939" s="74"/>
      <c r="W939" s="74"/>
      <c r="X939" s="74"/>
      <c r="Y939" s="74"/>
      <c r="Z939" s="74"/>
    </row>
    <row r="940" spans="1:26" x14ac:dyDescent="0.3">
      <c r="A940" s="66">
        <f t="shared" si="92"/>
        <v>2083.2999999999151</v>
      </c>
      <c r="B940" s="67">
        <f>LOOKUP(A940+0.01,Amounts!$A$4:$A$103,Amounts!$B$4:$B$103)*0.1*$A$2</f>
        <v>0</v>
      </c>
      <c r="C940" s="68">
        <f t="shared" si="91"/>
        <v>2219148.7781994981</v>
      </c>
      <c r="D940" s="67">
        <f t="array" ref="D940">SUM($B$7:$B935*$F$1009*EXP(-$F$1009*($A940-$A$7:$A935)))*$F$1010</f>
        <v>41061956.677610442</v>
      </c>
      <c r="E940" s="67">
        <f t="shared" si="89"/>
        <v>78.280995453828851</v>
      </c>
      <c r="F940" s="70">
        <f t="shared" si="93"/>
        <v>4.7532220439564874</v>
      </c>
      <c r="G940" s="67">
        <f>E940/'Lookup Tables'!$C$48</f>
        <v>156.5619909076577</v>
      </c>
      <c r="H940" s="70">
        <f t="shared" si="90"/>
        <v>1.8540663706159866E-2</v>
      </c>
      <c r="I940" s="71">
        <f t="shared" si="94"/>
        <v>0.2254492669070271</v>
      </c>
      <c r="L940" s="74"/>
      <c r="M940" s="74"/>
      <c r="N940" s="74"/>
      <c r="O940" s="74"/>
      <c r="P940" s="74"/>
      <c r="Q940" s="74"/>
      <c r="R940" s="74"/>
      <c r="S940" s="74"/>
      <c r="T940" s="74"/>
      <c r="U940" s="74"/>
      <c r="V940" s="74"/>
      <c r="W940" s="74"/>
      <c r="X940" s="74"/>
      <c r="Y940" s="74"/>
      <c r="Z940" s="74"/>
    </row>
    <row r="941" spans="1:26" x14ac:dyDescent="0.3">
      <c r="A941" s="66">
        <f t="shared" si="92"/>
        <v>2083.3999999999151</v>
      </c>
      <c r="B941" s="67">
        <f>LOOKUP(A941+0.01,Amounts!$A$4:$A$103,Amounts!$B$4:$B$103)*0.1*$A$2</f>
        <v>0</v>
      </c>
      <c r="C941" s="68">
        <f t="shared" si="91"/>
        <v>2219148.7781994981</v>
      </c>
      <c r="D941" s="67">
        <f t="array" ref="D941">SUM($B$7:$B936*$F$1009*EXP(-$F$1009*($A941-$A$7:$A936)))*$F$1010</f>
        <v>40947144.011656515</v>
      </c>
      <c r="E941" s="67">
        <f t="shared" si="89"/>
        <v>78.06211524185683</v>
      </c>
      <c r="F941" s="70">
        <f t="shared" si="93"/>
        <v>4.7399316374855474</v>
      </c>
      <c r="G941" s="67">
        <f>E941/'Lookup Tables'!$C$48</f>
        <v>156.12423048371366</v>
      </c>
      <c r="H941" s="70">
        <f t="shared" si="90"/>
        <v>1.8488822459397744E-2</v>
      </c>
      <c r="I941" s="71">
        <f t="shared" si="94"/>
        <v>0.22481889189654766</v>
      </c>
      <c r="L941" s="74"/>
      <c r="M941" s="74"/>
      <c r="N941" s="74"/>
      <c r="O941" s="74"/>
      <c r="P941" s="74"/>
      <c r="Q941" s="74"/>
      <c r="R941" s="74"/>
      <c r="S941" s="74"/>
      <c r="T941" s="74"/>
      <c r="U941" s="74"/>
      <c r="V941" s="74"/>
      <c r="W941" s="74"/>
      <c r="X941" s="74"/>
      <c r="Y941" s="74"/>
      <c r="Z941" s="74"/>
    </row>
    <row r="942" spans="1:26" x14ac:dyDescent="0.3">
      <c r="A942" s="66">
        <f t="shared" si="92"/>
        <v>2083.499999999915</v>
      </c>
      <c r="B942" s="67">
        <f>LOOKUP(A942+0.01,Amounts!$A$4:$A$103,Amounts!$B$4:$B$103)*0.1*$A$2</f>
        <v>0</v>
      </c>
      <c r="C942" s="68">
        <f t="shared" si="91"/>
        <v>2219148.7781994981</v>
      </c>
      <c r="D942" s="67">
        <f t="array" ref="D942">SUM($B$7:$B937*$F$1009*EXP(-$F$1009*($A942-$A$7:$A937)))*$F$1010</f>
        <v>40832652.371521376</v>
      </c>
      <c r="E942" s="67">
        <f t="shared" si="89"/>
        <v>77.843847037268148</v>
      </c>
      <c r="F942" s="70">
        <f t="shared" si="93"/>
        <v>4.7266783921029214</v>
      </c>
      <c r="G942" s="67">
        <f>E942/'Lookup Tables'!$C$48</f>
        <v>155.6876940745363</v>
      </c>
      <c r="H942" s="70">
        <f t="shared" si="90"/>
        <v>1.8437126165098409E-2</v>
      </c>
      <c r="I942" s="71">
        <f t="shared" si="94"/>
        <v>0.22419027946733225</v>
      </c>
      <c r="L942" s="74"/>
      <c r="M942" s="74"/>
      <c r="N942" s="74"/>
      <c r="O942" s="74"/>
      <c r="P942" s="74"/>
      <c r="Q942" s="74"/>
      <c r="R942" s="74"/>
      <c r="S942" s="74"/>
      <c r="T942" s="74"/>
      <c r="U942" s="74"/>
      <c r="V942" s="74"/>
      <c r="W942" s="74"/>
      <c r="X942" s="74"/>
      <c r="Y942" s="74"/>
      <c r="Z942" s="74"/>
    </row>
    <row r="943" spans="1:26" x14ac:dyDescent="0.3">
      <c r="A943" s="66">
        <f t="shared" si="92"/>
        <v>2083.5999999999149</v>
      </c>
      <c r="B943" s="67">
        <f>LOOKUP(A943+0.01,Amounts!$A$4:$A$103,Amounts!$B$4:$B$103)*0.1*$A$2</f>
        <v>0</v>
      </c>
      <c r="C943" s="68">
        <f t="shared" si="91"/>
        <v>2219148.7781994981</v>
      </c>
      <c r="D943" s="67">
        <f t="array" ref="D943">SUM($B$7:$B938*$F$1009*EXP(-$F$1009*($A943-$A$7:$A938)))*$F$1010</f>
        <v>40718480.859589979</v>
      </c>
      <c r="E943" s="67">
        <f t="shared" si="89"/>
        <v>77.626189128838959</v>
      </c>
      <c r="F943" s="70">
        <f t="shared" si="93"/>
        <v>4.7134622039031022</v>
      </c>
      <c r="G943" s="67">
        <f>E943/'Lookup Tables'!$C$48</f>
        <v>155.25237825767792</v>
      </c>
      <c r="H943" s="70">
        <f t="shared" si="90"/>
        <v>1.8385574417962649E-2</v>
      </c>
      <c r="I943" s="71">
        <f t="shared" si="94"/>
        <v>0.22356342469105622</v>
      </c>
      <c r="L943" s="74"/>
      <c r="M943" s="74"/>
      <c r="N943" s="74"/>
      <c r="O943" s="74"/>
      <c r="P943" s="74"/>
      <c r="Q943" s="74"/>
      <c r="R943" s="74"/>
      <c r="S943" s="74"/>
      <c r="T943" s="74"/>
      <c r="U943" s="74"/>
      <c r="V943" s="74"/>
      <c r="W943" s="74"/>
      <c r="X943" s="74"/>
      <c r="Y943" s="74"/>
      <c r="Z943" s="74"/>
    </row>
    <row r="944" spans="1:26" x14ac:dyDescent="0.3">
      <c r="A944" s="66">
        <f t="shared" si="92"/>
        <v>2083.6999999999148</v>
      </c>
      <c r="B944" s="67">
        <f>LOOKUP(A944+0.01,Amounts!$A$4:$A$103,Amounts!$B$4:$B$103)*0.1*$A$2</f>
        <v>0</v>
      </c>
      <c r="C944" s="68">
        <f t="shared" si="91"/>
        <v>2219148.7781994981</v>
      </c>
      <c r="D944" s="67">
        <f t="array" ref="D944">SUM($B$7:$B939*$F$1009*EXP(-$F$1009*($A944-$A$7:$A939)))*$F$1010</f>
        <v>40604628.580757067</v>
      </c>
      <c r="E944" s="67">
        <f t="shared" si="89"/>
        <v>77.409139810130114</v>
      </c>
      <c r="F944" s="70">
        <f t="shared" si="93"/>
        <v>4.7002829692711012</v>
      </c>
      <c r="G944" s="67">
        <f>E944/'Lookup Tables'!$C$48</f>
        <v>154.81827962026023</v>
      </c>
      <c r="H944" s="70">
        <f t="shared" si="90"/>
        <v>1.8334166813824486E-2</v>
      </c>
      <c r="I944" s="71">
        <f t="shared" si="94"/>
        <v>0.22293832265317476</v>
      </c>
      <c r="L944" s="74"/>
      <c r="M944" s="74"/>
      <c r="N944" s="74"/>
      <c r="O944" s="74"/>
      <c r="P944" s="74"/>
      <c r="Q944" s="74"/>
      <c r="R944" s="74"/>
      <c r="S944" s="74"/>
      <c r="T944" s="74"/>
      <c r="U944" s="74"/>
      <c r="V944" s="74"/>
      <c r="W944" s="74"/>
      <c r="X944" s="74"/>
      <c r="Y944" s="74"/>
      <c r="Z944" s="74"/>
    </row>
    <row r="945" spans="1:26" x14ac:dyDescent="0.3">
      <c r="A945" s="66">
        <f t="shared" si="92"/>
        <v>2083.7999999999147</v>
      </c>
      <c r="B945" s="67">
        <f>LOOKUP(A945+0.01,Amounts!$A$4:$A$103,Amounts!$B$4:$B$103)*0.1*$A$2</f>
        <v>0</v>
      </c>
      <c r="C945" s="68">
        <f t="shared" si="91"/>
        <v>2219148.7781994981</v>
      </c>
      <c r="D945" s="67">
        <f t="array" ref="D945">SUM($B$7:$B940*$F$1009*EXP(-$F$1009*($A945-$A$7:$A940)))*$F$1010</f>
        <v>40491094.642420217</v>
      </c>
      <c r="E945" s="67">
        <f t="shared" si="89"/>
        <v>77.192697379473913</v>
      </c>
      <c r="F945" s="70">
        <f t="shared" si="93"/>
        <v>4.6871405848816563</v>
      </c>
      <c r="G945" s="67">
        <f>E945/'Lookup Tables'!$C$48</f>
        <v>154.38539475894783</v>
      </c>
      <c r="H945" s="70">
        <f t="shared" si="90"/>
        <v>1.8282902949648058E-2</v>
      </c>
      <c r="I945" s="71">
        <f t="shared" si="94"/>
        <v>0.22231496845288487</v>
      </c>
      <c r="L945" s="74"/>
      <c r="M945" s="74"/>
      <c r="N945" s="74"/>
      <c r="O945" s="74"/>
      <c r="P945" s="74"/>
      <c r="Q945" s="74"/>
      <c r="R945" s="74"/>
      <c r="S945" s="74"/>
      <c r="T945" s="74"/>
      <c r="U945" s="74"/>
      <c r="V945" s="74"/>
      <c r="W945" s="74"/>
      <c r="X945" s="74"/>
      <c r="Y945" s="74"/>
      <c r="Z945" s="74"/>
    </row>
    <row r="946" spans="1:26" x14ac:dyDescent="0.3">
      <c r="A946" s="66">
        <f t="shared" si="92"/>
        <v>2083.8999999999146</v>
      </c>
      <c r="B946" s="67">
        <f>LOOKUP(A946+0.01,Amounts!$A$4:$A$103,Amounts!$B$4:$B$103)*0.1*$A$2</f>
        <v>0</v>
      </c>
      <c r="C946" s="68">
        <f t="shared" si="91"/>
        <v>2219148.7781994981</v>
      </c>
      <c r="D946" s="67">
        <f t="array" ref="D946">SUM($B$7:$B941*$F$1009*EXP(-$F$1009*($A946-$A$7:$A941)))*$F$1010</f>
        <v>40377878.154472776</v>
      </c>
      <c r="E946" s="67">
        <f t="shared" si="89"/>
        <v>76.976860139960564</v>
      </c>
      <c r="F946" s="70">
        <f t="shared" si="93"/>
        <v>4.6740349476984058</v>
      </c>
      <c r="G946" s="67">
        <f>E946/'Lookup Tables'!$C$48</f>
        <v>153.95372027992113</v>
      </c>
      <c r="H946" s="70">
        <f t="shared" si="90"/>
        <v>1.8231782423524408E-2</v>
      </c>
      <c r="I946" s="71">
        <f t="shared" si="94"/>
        <v>0.22169335720308644</v>
      </c>
      <c r="L946" s="74"/>
      <c r="M946" s="74"/>
      <c r="N946" s="74"/>
      <c r="O946" s="74"/>
      <c r="P946" s="74"/>
      <c r="Q946" s="74"/>
      <c r="R946" s="74"/>
      <c r="S946" s="74"/>
      <c r="T946" s="74"/>
      <c r="U946" s="74"/>
      <c r="V946" s="74"/>
      <c r="W946" s="74"/>
      <c r="X946" s="74"/>
      <c r="Y946" s="74"/>
      <c r="Z946" s="74"/>
    </row>
    <row r="947" spans="1:26" x14ac:dyDescent="0.3">
      <c r="A947" s="66">
        <f t="shared" si="92"/>
        <v>2083.9999999999145</v>
      </c>
      <c r="B947" s="67">
        <f>LOOKUP(A947+0.01,Amounts!$A$4:$A$103,Amounts!$B$4:$B$103)*0.1*$A$2</f>
        <v>0</v>
      </c>
      <c r="C947" s="68">
        <f t="shared" si="91"/>
        <v>2219148.7781994981</v>
      </c>
      <c r="D947" s="67">
        <f t="array" ref="D947">SUM($B$7:$B942*$F$1009*EXP(-$F$1009*($A947-$A$7:$A942)))*$F$1010</f>
        <v>40264978.229296871</v>
      </c>
      <c r="E947" s="67">
        <f t="shared" si="89"/>
        <v>76.761626399424955</v>
      </c>
      <c r="F947" s="70">
        <f t="shared" si="93"/>
        <v>4.6609659549730829</v>
      </c>
      <c r="G947" s="67">
        <f>E947/'Lookup Tables'!$C$48</f>
        <v>153.52325279884991</v>
      </c>
      <c r="H947" s="70">
        <f t="shared" si="90"/>
        <v>1.8180804834668329E-2</v>
      </c>
      <c r="I947" s="71">
        <f t="shared" si="94"/>
        <v>0.22107348403034385</v>
      </c>
      <c r="L947" s="74"/>
      <c r="M947" s="74"/>
      <c r="N947" s="74"/>
      <c r="O947" s="74"/>
      <c r="P947" s="74"/>
      <c r="Q947" s="74"/>
      <c r="R947" s="74"/>
      <c r="S947" s="74"/>
      <c r="T947" s="74"/>
      <c r="U947" s="74"/>
      <c r="V947" s="74"/>
      <c r="W947" s="74"/>
      <c r="X947" s="74"/>
      <c r="Y947" s="74"/>
      <c r="Z947" s="74"/>
    </row>
    <row r="948" spans="1:26" x14ac:dyDescent="0.3">
      <c r="A948" s="66">
        <f t="shared" si="92"/>
        <v>2084.0999999999144</v>
      </c>
      <c r="B948" s="67">
        <f>LOOKUP(A948+0.01,Amounts!$A$4:$A$103,Amounts!$B$4:$B$103)*0.1*$A$2</f>
        <v>0</v>
      </c>
      <c r="C948" s="68">
        <f t="shared" si="91"/>
        <v>2219148.7781994981</v>
      </c>
      <c r="D948" s="67">
        <f t="array" ref="D948">SUM($B$7:$B943*$F$1009*EXP(-$F$1009*($A948-$A$7:$A943)))*$F$1010</f>
        <v>40152393.981756531</v>
      </c>
      <c r="E948" s="67">
        <f t="shared" si="89"/>
        <v>76.546994470433532</v>
      </c>
      <c r="F948" s="70">
        <f t="shared" si="93"/>
        <v>4.6479335042447243</v>
      </c>
      <c r="G948" s="67">
        <f>E948/'Lookup Tables'!$C$48</f>
        <v>153.09398894086706</v>
      </c>
      <c r="H948" s="70">
        <f t="shared" si="90"/>
        <v>1.8129969783415294E-2</v>
      </c>
      <c r="I948" s="71">
        <f t="shared" si="94"/>
        <v>0.22045534407484857</v>
      </c>
      <c r="L948" s="74"/>
      <c r="M948" s="74"/>
      <c r="N948" s="74"/>
      <c r="O948" s="74"/>
      <c r="P948" s="74"/>
      <c r="Q948" s="74"/>
      <c r="R948" s="74"/>
      <c r="S948" s="74"/>
      <c r="T948" s="74"/>
      <c r="U948" s="74"/>
      <c r="V948" s="74"/>
      <c r="W948" s="74"/>
      <c r="X948" s="74"/>
      <c r="Y948" s="74"/>
      <c r="Z948" s="74"/>
    </row>
    <row r="949" spans="1:26" x14ac:dyDescent="0.3">
      <c r="A949" s="66">
        <f t="shared" si="92"/>
        <v>2084.1999999999143</v>
      </c>
      <c r="B949" s="67">
        <f>LOOKUP(A949+0.01,Amounts!$A$4:$A$103,Amounts!$B$4:$B$103)*0.1*$A$2</f>
        <v>0</v>
      </c>
      <c r="C949" s="68">
        <f t="shared" si="91"/>
        <v>2219148.7781994981</v>
      </c>
      <c r="D949" s="67">
        <f t="array" ref="D949">SUM($B$7:$B944*$F$1009*EXP(-$F$1009*($A949-$A$7:$A944)))*$F$1010</f>
        <v>40040124.529190674</v>
      </c>
      <c r="E949" s="67">
        <f t="shared" si="89"/>
        <v>76.332962670270831</v>
      </c>
      <c r="F949" s="70">
        <f t="shared" si="93"/>
        <v>4.6349374933388461</v>
      </c>
      <c r="G949" s="67">
        <f>E949/'Lookup Tables'!$C$48</f>
        <v>152.66592534054166</v>
      </c>
      <c r="H949" s="70">
        <f t="shared" si="90"/>
        <v>1.8079276871218217E-2</v>
      </c>
      <c r="I949" s="71">
        <f t="shared" si="94"/>
        <v>0.21983893249038003</v>
      </c>
      <c r="L949" s="74"/>
      <c r="M949" s="74"/>
      <c r="N949" s="74"/>
      <c r="O949" s="74"/>
      <c r="P949" s="74"/>
      <c r="Q949" s="74"/>
      <c r="R949" s="74"/>
      <c r="S949" s="74"/>
      <c r="T949" s="74"/>
      <c r="U949" s="74"/>
      <c r="V949" s="74"/>
      <c r="W949" s="74"/>
      <c r="X949" s="74"/>
      <c r="Y949" s="74"/>
      <c r="Z949" s="74"/>
    </row>
    <row r="950" spans="1:26" x14ac:dyDescent="0.3">
      <c r="A950" s="66">
        <f t="shared" si="92"/>
        <v>2084.2999999999142</v>
      </c>
      <c r="B950" s="67">
        <f>LOOKUP(A950+0.01,Amounts!$A$4:$A$103,Amounts!$B$4:$B$103)*0.1*$A$2</f>
        <v>0</v>
      </c>
      <c r="C950" s="68">
        <f t="shared" si="91"/>
        <v>2219148.7781994981</v>
      </c>
      <c r="D950" s="67">
        <f t="array" ref="D950">SUM($B$7:$B945*$F$1009*EXP(-$F$1009*($A950-$A$7:$A945)))*$F$1010</f>
        <v>39928168.991406217</v>
      </c>
      <c r="E950" s="67">
        <f t="shared" si="89"/>
        <v>76.119529320926461</v>
      </c>
      <c r="F950" s="70">
        <f t="shared" si="93"/>
        <v>4.6219778203666548</v>
      </c>
      <c r="G950" s="67">
        <f>E950/'Lookup Tables'!$C$48</f>
        <v>152.23905864185292</v>
      </c>
      <c r="H950" s="70">
        <f t="shared" si="90"/>
        <v>1.802872570064442E-2</v>
      </c>
      <c r="I950" s="71">
        <f t="shared" si="94"/>
        <v>0.21922424444426822</v>
      </c>
      <c r="L950" s="74"/>
      <c r="M950" s="74"/>
      <c r="N950" s="74"/>
      <c r="O950" s="74"/>
      <c r="P950" s="74"/>
      <c r="Q950" s="74"/>
      <c r="R950" s="74"/>
      <c r="S950" s="74"/>
      <c r="T950" s="74"/>
      <c r="U950" s="74"/>
      <c r="V950" s="74"/>
      <c r="W950" s="74"/>
      <c r="X950" s="74"/>
      <c r="Y950" s="74"/>
      <c r="Z950" s="74"/>
    </row>
    <row r="951" spans="1:26" x14ac:dyDescent="0.3">
      <c r="A951" s="66">
        <f t="shared" si="92"/>
        <v>2084.3999999999141</v>
      </c>
      <c r="B951" s="67">
        <f>LOOKUP(A951+0.01,Amounts!$A$4:$A$103,Amounts!$B$4:$B$103)*0.1*$A$2</f>
        <v>0</v>
      </c>
      <c r="C951" s="68">
        <f t="shared" si="91"/>
        <v>2219148.7781994981</v>
      </c>
      <c r="D951" s="67">
        <f t="array" ref="D951">SUM($B$7:$B946*$F$1009*EXP(-$F$1009*($A951-$A$7:$A946)))*$F$1010</f>
        <v>39816526.490671173</v>
      </c>
      <c r="E951" s="67">
        <f t="shared" si="89"/>
        <v>75.90669274908187</v>
      </c>
      <c r="F951" s="70">
        <f t="shared" si="93"/>
        <v>4.609054383724251</v>
      </c>
      <c r="G951" s="67">
        <f>E951/'Lookup Tables'!$C$48</f>
        <v>151.81338549816374</v>
      </c>
      <c r="H951" s="70">
        <f t="shared" si="90"/>
        <v>1.7978315875372457E-2</v>
      </c>
      <c r="I951" s="71">
        <f t="shared" si="94"/>
        <v>0.21861127511735579</v>
      </c>
      <c r="L951" s="74"/>
      <c r="M951" s="74"/>
      <c r="N951" s="74"/>
      <c r="O951" s="74"/>
      <c r="P951" s="74"/>
      <c r="Q951" s="74"/>
      <c r="R951" s="74"/>
      <c r="S951" s="74"/>
      <c r="T951" s="74"/>
      <c r="U951" s="74"/>
      <c r="V951" s="74"/>
      <c r="W951" s="74"/>
      <c r="X951" s="74"/>
      <c r="Y951" s="74"/>
      <c r="Z951" s="74"/>
    </row>
    <row r="952" spans="1:26" x14ac:dyDescent="0.3">
      <c r="A952" s="66">
        <f t="shared" si="92"/>
        <v>2084.4999999999141</v>
      </c>
      <c r="B952" s="67">
        <f>LOOKUP(A952+0.01,Amounts!$A$4:$A$103,Amounts!$B$4:$B$103)*0.1*$A$2</f>
        <v>0</v>
      </c>
      <c r="C952" s="68">
        <f t="shared" si="91"/>
        <v>2219148.7781994981</v>
      </c>
      <c r="D952" s="67">
        <f t="array" ref="D952">SUM($B$7:$B947*$F$1009*EXP(-$F$1009*($A952-$A$7:$A947)))*$F$1010</f>
        <v>39705196.151707746</v>
      </c>
      <c r="E952" s="67">
        <f t="shared" si="89"/>
        <v>75.694451286097191</v>
      </c>
      <c r="F952" s="70">
        <f t="shared" si="93"/>
        <v>4.5961670820918226</v>
      </c>
      <c r="G952" s="67">
        <f>E952/'Lookup Tables'!$C$48</f>
        <v>151.38890257219438</v>
      </c>
      <c r="H952" s="70">
        <f t="shared" si="90"/>
        <v>1.7928047000189039E-2</v>
      </c>
      <c r="I952" s="71">
        <f t="shared" si="94"/>
        <v>0.21800001970395994</v>
      </c>
      <c r="L952" s="74"/>
      <c r="M952" s="74"/>
      <c r="N952" s="74"/>
      <c r="O952" s="74"/>
      <c r="P952" s="74"/>
      <c r="Q952" s="74"/>
      <c r="R952" s="74"/>
      <c r="S952" s="74"/>
      <c r="T952" s="74"/>
      <c r="U952" s="74"/>
      <c r="V952" s="74"/>
      <c r="W952" s="74"/>
      <c r="X952" s="74"/>
      <c r="Y952" s="74"/>
      <c r="Z952" s="74"/>
    </row>
    <row r="953" spans="1:26" x14ac:dyDescent="0.3">
      <c r="A953" s="66">
        <f t="shared" si="92"/>
        <v>2084.599999999914</v>
      </c>
      <c r="B953" s="67">
        <f>LOOKUP(A953+0.01,Amounts!$A$4:$A$103,Amounts!$B$4:$B$103)*0.1*$A$2</f>
        <v>0</v>
      </c>
      <c r="C953" s="68">
        <f t="shared" si="91"/>
        <v>2219148.7781994981</v>
      </c>
      <c r="D953" s="67">
        <f t="array" ref="D953">SUM($B$7:$B948*$F$1009*EXP(-$F$1009*($A953-$A$7:$A948)))*$F$1010</f>
        <v>39594177.101685524</v>
      </c>
      <c r="E953" s="67">
        <f t="shared" si="89"/>
        <v>75.482803267998321</v>
      </c>
      <c r="F953" s="70">
        <f t="shared" si="93"/>
        <v>4.5833158144328578</v>
      </c>
      <c r="G953" s="67">
        <f>E953/'Lookup Tables'!$C$48</f>
        <v>150.96560653599664</v>
      </c>
      <c r="H953" s="70">
        <f t="shared" si="90"/>
        <v>1.787791868098593E-2</v>
      </c>
      <c r="I953" s="71">
        <f t="shared" si="94"/>
        <v>0.21739047341183515</v>
      </c>
      <c r="L953" s="74"/>
      <c r="M953" s="74"/>
      <c r="N953" s="74"/>
      <c r="O953" s="74"/>
      <c r="P953" s="74"/>
      <c r="Q953" s="74"/>
      <c r="R953" s="74"/>
      <c r="S953" s="74"/>
      <c r="T953" s="74"/>
      <c r="U953" s="74"/>
      <c r="V953" s="74"/>
      <c r="W953" s="74"/>
      <c r="X953" s="74"/>
      <c r="Y953" s="74"/>
      <c r="Z953" s="74"/>
    </row>
    <row r="954" spans="1:26" x14ac:dyDescent="0.3">
      <c r="A954" s="66">
        <f t="shared" si="92"/>
        <v>2084.6999999999139</v>
      </c>
      <c r="B954" s="67">
        <f>LOOKUP(A954+0.01,Amounts!$A$4:$A$103,Amounts!$B$4:$B$103)*0.1*$A$2</f>
        <v>0</v>
      </c>
      <c r="C954" s="68">
        <f t="shared" si="91"/>
        <v>2219148.7781994981</v>
      </c>
      <c r="D954" s="67">
        <f t="array" ref="D954">SUM($B$7:$B949*$F$1009*EXP(-$F$1009*($A954-$A$7:$A949)))*$F$1010</f>
        <v>39483468.470214605</v>
      </c>
      <c r="E954" s="67">
        <f t="shared" si="89"/>
        <v>75.271747035463733</v>
      </c>
      <c r="F954" s="70">
        <f t="shared" si="93"/>
        <v>4.570500479993358</v>
      </c>
      <c r="G954" s="67">
        <f>E954/'Lookup Tables'!$C$48</f>
        <v>150.54349407092747</v>
      </c>
      <c r="H954" s="70">
        <f t="shared" si="90"/>
        <v>1.7827930524756865E-2</v>
      </c>
      <c r="I954" s="71">
        <f t="shared" si="94"/>
        <v>0.21678263146213556</v>
      </c>
      <c r="L954" s="74"/>
      <c r="M954" s="74"/>
      <c r="N954" s="74"/>
      <c r="O954" s="74"/>
      <c r="P954" s="74"/>
      <c r="Q954" s="74"/>
      <c r="R954" s="74"/>
      <c r="S954" s="74"/>
      <c r="T954" s="74"/>
      <c r="U954" s="74"/>
      <c r="V954" s="74"/>
      <c r="W954" s="74"/>
      <c r="X954" s="74"/>
      <c r="Y954" s="74"/>
      <c r="Z954" s="74"/>
    </row>
    <row r="955" spans="1:26" x14ac:dyDescent="0.3">
      <c r="A955" s="66">
        <f t="shared" si="92"/>
        <v>2084.7999999999138</v>
      </c>
      <c r="B955" s="67">
        <f>LOOKUP(A955+0.01,Amounts!$A$4:$A$103,Amounts!$B$4:$B$103)*0.1*$A$2</f>
        <v>0</v>
      </c>
      <c r="C955" s="68">
        <f t="shared" si="91"/>
        <v>2219148.7781994981</v>
      </c>
      <c r="D955" s="67">
        <f t="array" ref="D955">SUM($B$7:$B950*$F$1009*EXP(-$F$1009*($A955-$A$7:$A950)))*$F$1010</f>
        <v>39373069.389338724</v>
      </c>
      <c r="E955" s="67">
        <f t="shared" si="89"/>
        <v>75.06128093381146</v>
      </c>
      <c r="F955" s="70">
        <f t="shared" si="93"/>
        <v>4.557720978301032</v>
      </c>
      <c r="G955" s="67">
        <f>E955/'Lookup Tables'!$C$48</f>
        <v>150.12256186762292</v>
      </c>
      <c r="H955" s="70">
        <f t="shared" si="90"/>
        <v>1.777808213959443E-2</v>
      </c>
      <c r="I955" s="71">
        <f t="shared" si="94"/>
        <v>0.21617648908937701</v>
      </c>
      <c r="L955" s="74"/>
      <c r="M955" s="74"/>
      <c r="N955" s="74"/>
      <c r="O955" s="74"/>
      <c r="P955" s="74"/>
      <c r="Q955" s="74"/>
      <c r="R955" s="74"/>
      <c r="S955" s="74"/>
      <c r="T955" s="74"/>
      <c r="U955" s="74"/>
      <c r="V955" s="74"/>
      <c r="W955" s="74"/>
      <c r="X955" s="74"/>
      <c r="Y955" s="74"/>
      <c r="Z955" s="74"/>
    </row>
    <row r="956" spans="1:26" x14ac:dyDescent="0.3">
      <c r="A956" s="66">
        <f t="shared" si="92"/>
        <v>2084.8999999999137</v>
      </c>
      <c r="B956" s="67">
        <f>LOOKUP(A956+0.01,Amounts!$A$4:$A$103,Amounts!$B$4:$B$103)*0.1*$A$2</f>
        <v>0</v>
      </c>
      <c r="C956" s="68">
        <f t="shared" si="91"/>
        <v>2219148.7781994981</v>
      </c>
      <c r="D956" s="67">
        <f t="array" ref="D956">SUM($B$7:$B951*$F$1009*EXP(-$F$1009*($A956-$A$7:$A951)))*$F$1010</f>
        <v>39262978.993528523</v>
      </c>
      <c r="E956" s="67">
        <f t="shared" si="89"/>
        <v>74.85140331298615</v>
      </c>
      <c r="F956" s="70">
        <f t="shared" si="93"/>
        <v>4.5449772091645189</v>
      </c>
      <c r="G956" s="67">
        <f>E956/'Lookup Tables'!$C$48</f>
        <v>149.7028066259723</v>
      </c>
      <c r="H956" s="70">
        <f t="shared" si="90"/>
        <v>1.7728373134687028E-2</v>
      </c>
      <c r="I956" s="71">
        <f t="shared" si="94"/>
        <v>0.21557204154140014</v>
      </c>
      <c r="L956" s="74"/>
      <c r="M956" s="74"/>
      <c r="N956" s="74"/>
      <c r="O956" s="74"/>
      <c r="P956" s="74"/>
      <c r="Q956" s="74"/>
      <c r="R956" s="74"/>
      <c r="S956" s="74"/>
      <c r="T956" s="74"/>
      <c r="U956" s="74"/>
      <c r="V956" s="74"/>
      <c r="W956" s="74"/>
      <c r="X956" s="74"/>
      <c r="Y956" s="74"/>
      <c r="Z956" s="74"/>
    </row>
    <row r="957" spans="1:26" x14ac:dyDescent="0.3">
      <c r="A957" s="66">
        <f t="shared" si="92"/>
        <v>2084.9999999999136</v>
      </c>
      <c r="B957" s="67">
        <f>LOOKUP(A957+0.01,Amounts!$A$4:$A$103,Amounts!$B$4:$B$103)*0.1*$A$2</f>
        <v>0</v>
      </c>
      <c r="C957" s="68">
        <f t="shared" si="91"/>
        <v>2219148.7781994981</v>
      </c>
      <c r="D957" s="67">
        <f t="array" ref="D957">SUM($B$7:$B952*$F$1009*EXP(-$F$1009*($A957-$A$7:$A952)))*$F$1010</f>
        <v>39153196.419674747</v>
      </c>
      <c r="E957" s="67">
        <f t="shared" si="89"/>
        <v>74.642112527546217</v>
      </c>
      <c r="F957" s="70">
        <f t="shared" si="93"/>
        <v>4.532269072672606</v>
      </c>
      <c r="G957" s="67">
        <f>E957/'Lookup Tables'!$C$48</f>
        <v>149.28422505509243</v>
      </c>
      <c r="H957" s="70">
        <f t="shared" si="90"/>
        <v>1.7678803120315802E-2</v>
      </c>
      <c r="I957" s="71">
        <f t="shared" si="94"/>
        <v>0.21496928407933311</v>
      </c>
      <c r="L957" s="74"/>
      <c r="M957" s="74"/>
      <c r="N957" s="74"/>
      <c r="O957" s="74"/>
      <c r="P957" s="74"/>
      <c r="Q957" s="74"/>
      <c r="R957" s="74"/>
      <c r="S957" s="74"/>
      <c r="T957" s="74"/>
      <c r="U957" s="74"/>
      <c r="V957" s="74"/>
      <c r="W957" s="74"/>
      <c r="X957" s="74"/>
      <c r="Y957" s="74"/>
      <c r="Z957" s="74"/>
    </row>
    <row r="958" spans="1:26" x14ac:dyDescent="0.3">
      <c r="A958" s="66">
        <f t="shared" si="92"/>
        <v>2085.0999999999135</v>
      </c>
      <c r="B958" s="67">
        <f>LOOKUP(A958+0.01,Amounts!$A$4:$A$103,Amounts!$B$4:$B$103)*0.1*$A$2</f>
        <v>0</v>
      </c>
      <c r="C958" s="68">
        <f t="shared" si="91"/>
        <v>2219148.7781994981</v>
      </c>
      <c r="D958" s="67">
        <f t="array" ref="D958">SUM($B$7:$B953*$F$1009*EXP(-$F$1009*($A958-$A$7:$A953)))*$F$1010</f>
        <v>39043720.807081439</v>
      </c>
      <c r="E958" s="67">
        <f t="shared" si="89"/>
        <v>74.43340693665084</v>
      </c>
      <c r="F958" s="70">
        <f t="shared" si="93"/>
        <v>4.5195964691934387</v>
      </c>
      <c r="G958" s="67">
        <f>E958/'Lookup Tables'!$C$48</f>
        <v>148.86681387330168</v>
      </c>
      <c r="H958" s="70">
        <f t="shared" si="90"/>
        <v>1.7629371707851598E-2</v>
      </c>
      <c r="I958" s="71">
        <f t="shared" si="94"/>
        <v>0.2143682119775544</v>
      </c>
      <c r="L958" s="74"/>
      <c r="M958" s="74"/>
      <c r="N958" s="74"/>
      <c r="O958" s="74"/>
      <c r="P958" s="74"/>
      <c r="Q958" s="74"/>
      <c r="R958" s="74"/>
      <c r="S958" s="74"/>
      <c r="T958" s="74"/>
      <c r="U958" s="74"/>
      <c r="V958" s="74"/>
      <c r="W958" s="74"/>
      <c r="X958" s="74"/>
      <c r="Y958" s="74"/>
      <c r="Z958" s="74"/>
    </row>
    <row r="959" spans="1:26" x14ac:dyDescent="0.3">
      <c r="A959" s="66">
        <f t="shared" si="92"/>
        <v>2085.1999999999134</v>
      </c>
      <c r="B959" s="67">
        <f>LOOKUP(A959+0.01,Amounts!$A$4:$A$103,Amounts!$B$4:$B$103)*0.1*$A$2</f>
        <v>0</v>
      </c>
      <c r="C959" s="68">
        <f t="shared" si="91"/>
        <v>2219148.7781994981</v>
      </c>
      <c r="D959" s="67">
        <f t="array" ref="D959">SUM($B$7:$B954*$F$1009*EXP(-$F$1009*($A959-$A$7:$A954)))*$F$1010</f>
        <v>38934551.297459252</v>
      </c>
      <c r="E959" s="67">
        <f t="shared" si="89"/>
        <v>74.225284904047086</v>
      </c>
      <c r="F959" s="70">
        <f t="shared" si="93"/>
        <v>4.5069592993737384</v>
      </c>
      <c r="G959" s="67">
        <f>E959/'Lookup Tables'!$C$48</f>
        <v>148.45056980809417</v>
      </c>
      <c r="H959" s="70">
        <f t="shared" si="90"/>
        <v>1.7580078509751882E-2</v>
      </c>
      <c r="I959" s="71">
        <f t="shared" si="94"/>
        <v>0.21376882052365559</v>
      </c>
      <c r="L959" s="74"/>
      <c r="M959" s="74"/>
      <c r="N959" s="74"/>
      <c r="O959" s="74"/>
      <c r="P959" s="74"/>
      <c r="Q959" s="74"/>
      <c r="R959" s="74"/>
      <c r="S959" s="74"/>
      <c r="T959" s="74"/>
      <c r="U959" s="74"/>
      <c r="V959" s="74"/>
      <c r="W959" s="74"/>
      <c r="X959" s="74"/>
      <c r="Y959" s="74"/>
      <c r="Z959" s="74"/>
    </row>
    <row r="960" spans="1:26" x14ac:dyDescent="0.3">
      <c r="A960" s="66">
        <f t="shared" si="92"/>
        <v>2085.2999999999133</v>
      </c>
      <c r="B960" s="67">
        <f>LOOKUP(A960+0.01,Amounts!$A$4:$A$103,Amounts!$B$4:$B$103)*0.1*$A$2</f>
        <v>0</v>
      </c>
      <c r="C960" s="68">
        <f t="shared" si="91"/>
        <v>2219148.7781994981</v>
      </c>
      <c r="D960" s="67">
        <f t="array" ref="D960">SUM($B$7:$B955*$F$1009*EXP(-$F$1009*($A960-$A$7:$A955)))*$F$1010</f>
        <v>38825687.034918666</v>
      </c>
      <c r="E960" s="67">
        <f t="shared" si="89"/>
        <v>74.01774479805718</v>
      </c>
      <c r="F960" s="70">
        <f t="shared" si="93"/>
        <v>4.4943574641380319</v>
      </c>
      <c r="G960" s="67">
        <f>E960/'Lookup Tables'!$C$48</f>
        <v>148.03548959611436</v>
      </c>
      <c r="H960" s="70">
        <f t="shared" si="90"/>
        <v>1.753092313955773E-2</v>
      </c>
      <c r="I960" s="71">
        <f t="shared" si="94"/>
        <v>0.21317110501840467</v>
      </c>
      <c r="L960" s="74"/>
      <c r="M960" s="74"/>
      <c r="N960" s="74"/>
      <c r="O960" s="74"/>
      <c r="P960" s="74"/>
      <c r="Q960" s="74"/>
      <c r="R960" s="74"/>
      <c r="S960" s="74"/>
      <c r="T960" s="74"/>
      <c r="U960" s="74"/>
      <c r="V960" s="74"/>
      <c r="W960" s="74"/>
      <c r="X960" s="74"/>
      <c r="Y960" s="74"/>
      <c r="Z960" s="74"/>
    </row>
    <row r="961" spans="1:26" x14ac:dyDescent="0.3">
      <c r="A961" s="66">
        <f t="shared" si="92"/>
        <v>2085.3999999999132</v>
      </c>
      <c r="B961" s="67">
        <f>LOOKUP(A961+0.01,Amounts!$A$4:$A$103,Amounts!$B$4:$B$103)*0.1*$A$2</f>
        <v>0</v>
      </c>
      <c r="C961" s="68">
        <f t="shared" si="91"/>
        <v>2219148.7781994981</v>
      </c>
      <c r="D961" s="67">
        <f t="array" ref="D961">SUM($B$7:$B956*$F$1009*EXP(-$F$1009*($A961-$A$7:$A956)))*$F$1010</f>
        <v>38717127.165963307</v>
      </c>
      <c r="E961" s="67">
        <f t="shared" si="89"/>
        <v>73.810784991565626</v>
      </c>
      <c r="F961" s="70">
        <f t="shared" si="93"/>
        <v>4.4817908646878646</v>
      </c>
      <c r="G961" s="67">
        <f>E961/'Lookup Tables'!$C$48</f>
        <v>147.62156998313125</v>
      </c>
      <c r="H961" s="70">
        <f t="shared" si="90"/>
        <v>1.7481905211890792E-2</v>
      </c>
      <c r="I961" s="71">
        <f t="shared" si="94"/>
        <v>0.21257506077570898</v>
      </c>
      <c r="L961" s="74"/>
      <c r="M961" s="74"/>
      <c r="N961" s="74"/>
      <c r="O961" s="74"/>
      <c r="P961" s="74"/>
      <c r="Q961" s="74"/>
      <c r="R961" s="74"/>
      <c r="S961" s="74"/>
      <c r="T961" s="74"/>
      <c r="U961" s="74"/>
      <c r="V961" s="74"/>
      <c r="W961" s="74"/>
      <c r="X961" s="74"/>
      <c r="Y961" s="74"/>
      <c r="Z961" s="74"/>
    </row>
    <row r="962" spans="1:26" x14ac:dyDescent="0.3">
      <c r="A962" s="66">
        <f t="shared" si="92"/>
        <v>2085.4999999999131</v>
      </c>
      <c r="B962" s="67">
        <f>LOOKUP(A962+0.01,Amounts!$A$4:$A$103,Amounts!$B$4:$B$103)*0.1*$A$2</f>
        <v>0</v>
      </c>
      <c r="C962" s="68">
        <f t="shared" si="91"/>
        <v>2219148.7781994981</v>
      </c>
      <c r="D962" s="67">
        <f t="array" ref="D962">SUM($B$7:$B957*$F$1009*EXP(-$F$1009*($A962-$A$7:$A957)))*$F$1010</f>
        <v>38608870.839483231</v>
      </c>
      <c r="E962" s="67">
        <f t="shared" si="89"/>
        <v>73.604403862006464</v>
      </c>
      <c r="F962" s="70">
        <f t="shared" si="93"/>
        <v>4.4692594025010326</v>
      </c>
      <c r="G962" s="67">
        <f>E962/'Lookup Tables'!$C$48</f>
        <v>147.20880772401293</v>
      </c>
      <c r="H962" s="70">
        <f t="shared" si="90"/>
        <v>1.7433024342450257E-2</v>
      </c>
      <c r="I962" s="71">
        <f t="shared" si="94"/>
        <v>0.21198068312257862</v>
      </c>
      <c r="L962" s="74"/>
      <c r="M962" s="74"/>
      <c r="N962" s="74"/>
      <c r="O962" s="74"/>
      <c r="P962" s="74"/>
      <c r="Q962" s="74"/>
      <c r="R962" s="74"/>
      <c r="S962" s="74"/>
      <c r="T962" s="74"/>
      <c r="U962" s="74"/>
      <c r="V962" s="74"/>
      <c r="W962" s="74"/>
      <c r="X962" s="74"/>
      <c r="Y962" s="74"/>
      <c r="Z962" s="74"/>
    </row>
    <row r="963" spans="1:26" x14ac:dyDescent="0.3">
      <c r="A963" s="66">
        <f t="shared" si="92"/>
        <v>2085.5999999999131</v>
      </c>
      <c r="B963" s="67">
        <f>LOOKUP(A963+0.01,Amounts!$A$4:$A$103,Amounts!$B$4:$B$103)*0.1*$A$2</f>
        <v>0</v>
      </c>
      <c r="C963" s="68">
        <f t="shared" si="91"/>
        <v>2219148.7781994981</v>
      </c>
      <c r="D963" s="67">
        <f t="array" ref="D963">SUM($B$7:$B958*$F$1009*EXP(-$F$1009*($A963-$A$7:$A958)))*$F$1010</f>
        <v>38500917.206748322</v>
      </c>
      <c r="E963" s="67">
        <f t="shared" si="89"/>
        <v>73.398599791350634</v>
      </c>
      <c r="F963" s="70">
        <f t="shared" si="93"/>
        <v>4.4567629793308106</v>
      </c>
      <c r="G963" s="67">
        <f>E963/'Lookup Tables'!$C$48</f>
        <v>146.79719958270127</v>
      </c>
      <c r="H963" s="70">
        <f t="shared" si="90"/>
        <v>1.738428014800987E-2</v>
      </c>
      <c r="I963" s="71">
        <f t="shared" si="94"/>
        <v>0.21138796739908983</v>
      </c>
      <c r="L963" s="74"/>
      <c r="M963" s="74"/>
      <c r="N963" s="74"/>
      <c r="O963" s="74"/>
      <c r="P963" s="74"/>
      <c r="Q963" s="74"/>
      <c r="R963" s="74"/>
      <c r="S963" s="74"/>
      <c r="T963" s="74"/>
      <c r="U963" s="74"/>
      <c r="V963" s="74"/>
      <c r="W963" s="74"/>
      <c r="X963" s="74"/>
      <c r="Y963" s="74"/>
      <c r="Z963" s="74"/>
    </row>
    <row r="964" spans="1:26" x14ac:dyDescent="0.3">
      <c r="A964" s="66">
        <f t="shared" si="92"/>
        <v>2085.699999999913</v>
      </c>
      <c r="B964" s="67">
        <f>LOOKUP(A964+0.01,Amounts!$A$4:$A$103,Amounts!$B$4:$B$103)*0.1*$A$2</f>
        <v>0</v>
      </c>
      <c r="C964" s="68">
        <f t="shared" si="91"/>
        <v>2219148.7781994981</v>
      </c>
      <c r="D964" s="67">
        <f t="array" ref="D964">SUM($B$7:$B959*$F$1009*EXP(-$F$1009*($A964-$A$7:$A959)))*$F$1010</f>
        <v>38393265.421401486</v>
      </c>
      <c r="E964" s="67">
        <f t="shared" si="89"/>
        <v>73.193371166093044</v>
      </c>
      <c r="F964" s="70">
        <f t="shared" si="93"/>
        <v>4.4443014972051689</v>
      </c>
      <c r="G964" s="67">
        <f>E964/'Lookup Tables'!$C$48</f>
        <v>146.38674233218609</v>
      </c>
      <c r="H964" s="70">
        <f t="shared" si="90"/>
        <v>1.7335672246414864E-2</v>
      </c>
      <c r="I964" s="71">
        <f t="shared" si="94"/>
        <v>0.21079690895834796</v>
      </c>
      <c r="L964" s="74"/>
      <c r="M964" s="74"/>
      <c r="N964" s="74"/>
      <c r="O964" s="74"/>
      <c r="P964" s="74"/>
      <c r="Q964" s="74"/>
      <c r="R964" s="74"/>
      <c r="S964" s="74"/>
      <c r="T964" s="74"/>
      <c r="U964" s="74"/>
      <c r="V964" s="74"/>
      <c r="W964" s="74"/>
      <c r="X964" s="74"/>
      <c r="Y964" s="74"/>
      <c r="Z964" s="74"/>
    </row>
    <row r="965" spans="1:26" x14ac:dyDescent="0.3">
      <c r="A965" s="66">
        <f t="shared" si="92"/>
        <v>2085.7999999999129</v>
      </c>
      <c r="B965" s="67">
        <f>LOOKUP(A965+0.01,Amounts!$A$4:$A$103,Amounts!$B$4:$B$103)*0.1*$A$2</f>
        <v>0</v>
      </c>
      <c r="C965" s="68">
        <f t="shared" si="91"/>
        <v>2219148.7781994981</v>
      </c>
      <c r="D965" s="67">
        <f t="array" ref="D965">SUM($B$7:$B960*$F$1009*EXP(-$F$1009*($A965-$A$7:$A960)))*$F$1010</f>
        <v>38285914.639452234</v>
      </c>
      <c r="E965" s="67">
        <f t="shared" si="89"/>
        <v>72.988716377240365</v>
      </c>
      <c r="F965" s="70">
        <f t="shared" si="93"/>
        <v>4.4318748584260357</v>
      </c>
      <c r="G965" s="67">
        <f>E965/'Lookup Tables'!$C$48</f>
        <v>145.97743275448073</v>
      </c>
      <c r="H965" s="70">
        <f t="shared" si="90"/>
        <v>1.7287200256579094E-2</v>
      </c>
      <c r="I965" s="71">
        <f t="shared" si="94"/>
        <v>0.21020750316645229</v>
      </c>
      <c r="L965" s="74"/>
      <c r="M965" s="74"/>
      <c r="N965" s="74"/>
      <c r="O965" s="74"/>
      <c r="P965" s="74"/>
      <c r="Q965" s="74"/>
      <c r="R965" s="74"/>
      <c r="S965" s="74"/>
      <c r="T965" s="74"/>
      <c r="U965" s="74"/>
      <c r="V965" s="74"/>
      <c r="W965" s="74"/>
      <c r="X965" s="74"/>
      <c r="Y965" s="74"/>
      <c r="Z965" s="74"/>
    </row>
    <row r="966" spans="1:26" x14ac:dyDescent="0.3">
      <c r="A966" s="66">
        <f t="shared" si="92"/>
        <v>2085.8999999999128</v>
      </c>
      <c r="B966" s="67">
        <f>LOOKUP(A966+0.01,Amounts!$A$4:$A$103,Amounts!$B$4:$B$103)*0.1*$A$2</f>
        <v>0</v>
      </c>
      <c r="C966" s="68">
        <f t="shared" si="91"/>
        <v>2219148.7781994981</v>
      </c>
      <c r="D966" s="67">
        <f t="array" ref="D966">SUM($B$7:$B961*$F$1009*EXP(-$F$1009*($A966-$A$7:$A961)))*$F$1010</f>
        <v>38178864.019269839</v>
      </c>
      <c r="E966" s="67">
        <f t="shared" si="89"/>
        <v>72.784633820297898</v>
      </c>
      <c r="F966" s="70">
        <f t="shared" si="93"/>
        <v>4.4194829655684886</v>
      </c>
      <c r="G966" s="67">
        <f>E966/'Lookup Tables'!$C$48</f>
        <v>145.5692676405958</v>
      </c>
      <c r="H966" s="70">
        <f t="shared" si="90"/>
        <v>1.7238863798481857E-2</v>
      </c>
      <c r="I966" s="71">
        <f t="shared" si="94"/>
        <v>0.20961974540245795</v>
      </c>
      <c r="L966" s="74"/>
      <c r="M966" s="74"/>
      <c r="N966" s="74"/>
      <c r="O966" s="74"/>
      <c r="P966" s="74"/>
      <c r="Q966" s="74"/>
      <c r="R966" s="74"/>
      <c r="S966" s="74"/>
      <c r="T966" s="74"/>
      <c r="U966" s="74"/>
      <c r="V966" s="74"/>
      <c r="W966" s="74"/>
      <c r="X966" s="74"/>
      <c r="Y966" s="74"/>
      <c r="Z966" s="74"/>
    </row>
    <row r="967" spans="1:26" x14ac:dyDescent="0.3">
      <c r="A967" s="66">
        <f t="shared" si="92"/>
        <v>2085.9999999999127</v>
      </c>
      <c r="B967" s="67">
        <f>LOOKUP(A967+0.01,Amounts!$A$4:$A$103,Amounts!$B$4:$B$103)*0.1*$A$2</f>
        <v>0</v>
      </c>
      <c r="C967" s="68">
        <f t="shared" si="91"/>
        <v>2219148.7781994981</v>
      </c>
      <c r="D967" s="67">
        <f t="array" ref="D967">SUM($B$7:$B962*$F$1009*EXP(-$F$1009*($A967-$A$7:$A962)))*$F$1010</f>
        <v>38072112.721576907</v>
      </c>
      <c r="E967" s="67">
        <f t="shared" ref="E967:E1007" si="95">D967/(365*24*60)*1.00201</f>
        <v>72.581121895257382</v>
      </c>
      <c r="F967" s="70">
        <f t="shared" si="93"/>
        <v>4.4071257214800275</v>
      </c>
      <c r="G967" s="67">
        <f>E967/'Lookup Tables'!$C$48</f>
        <v>145.16224379051476</v>
      </c>
      <c r="H967" s="70">
        <f t="shared" ref="H967:H1007" si="96">G967*60*24*365/(C967*2000)</f>
        <v>1.7190662493165101E-2</v>
      </c>
      <c r="I967" s="71">
        <f t="shared" si="94"/>
        <v>0.20903363105834125</v>
      </c>
      <c r="L967" s="74"/>
      <c r="M967" s="74"/>
      <c r="N967" s="74"/>
      <c r="O967" s="74"/>
      <c r="P967" s="74"/>
      <c r="Q967" s="74"/>
      <c r="R967" s="74"/>
      <c r="S967" s="74"/>
      <c r="T967" s="74"/>
      <c r="U967" s="74"/>
      <c r="V967" s="74"/>
      <c r="W967" s="74"/>
      <c r="X967" s="74"/>
      <c r="Y967" s="74"/>
      <c r="Z967" s="74"/>
    </row>
    <row r="968" spans="1:26" x14ac:dyDescent="0.3">
      <c r="A968" s="66">
        <f t="shared" si="92"/>
        <v>2086.0999999999126</v>
      </c>
      <c r="B968" s="67">
        <f>LOOKUP(A968+0.01,Amounts!$A$4:$A$103,Amounts!$B$4:$B$103)*0.1*$A$2</f>
        <v>0</v>
      </c>
      <c r="C968" s="68">
        <f t="shared" si="91"/>
        <v>2219148.7781994981</v>
      </c>
      <c r="D968" s="67">
        <f t="array" ref="D968">SUM($B$7:$B963*$F$1009*EXP(-$F$1009*($A968-$A$7:$A963)))*$F$1010</f>
        <v>37965659.909442745</v>
      </c>
      <c r="E968" s="67">
        <f t="shared" si="95"/>
        <v>72.378179006584332</v>
      </c>
      <c r="F968" s="70">
        <f t="shared" si="93"/>
        <v>4.3948030292798013</v>
      </c>
      <c r="G968" s="67">
        <f>E968/'Lookup Tables'!$C$48</f>
        <v>144.75635801316866</v>
      </c>
      <c r="H968" s="70">
        <f t="shared" si="96"/>
        <v>1.7142595962730357E-2</v>
      </c>
      <c r="I968" s="71">
        <f t="shared" si="94"/>
        <v>0.20844915553896287</v>
      </c>
      <c r="L968" s="74"/>
      <c r="M968" s="74"/>
      <c r="N968" s="74"/>
      <c r="O968" s="74"/>
      <c r="P968" s="74"/>
      <c r="Q968" s="74"/>
      <c r="R968" s="74"/>
      <c r="S968" s="74"/>
      <c r="T968" s="74"/>
      <c r="U968" s="74"/>
      <c r="V968" s="74"/>
      <c r="W968" s="74"/>
      <c r="X968" s="74"/>
      <c r="Y968" s="74"/>
      <c r="Z968" s="74"/>
    </row>
    <row r="969" spans="1:26" x14ac:dyDescent="0.3">
      <c r="A969" s="66">
        <f t="shared" si="92"/>
        <v>2086.1999999999125</v>
      </c>
      <c r="B969" s="67">
        <f>LOOKUP(A969+0.01,Amounts!$A$4:$A$103,Amounts!$B$4:$B$103)*0.1*$A$2</f>
        <v>0</v>
      </c>
      <c r="C969" s="68">
        <f t="shared" ref="C969:C1006" si="97">C968+B969</f>
        <v>2219148.7781994981</v>
      </c>
      <c r="D969" s="67">
        <f t="array" ref="D969">SUM($B$7:$B964*$F$1009*EXP(-$F$1009*($A969-$A$7:$A964)))*$F$1010</f>
        <v>37859504.748276733</v>
      </c>
      <c r="E969" s="67">
        <f t="shared" si="95"/>
        <v>72.175803563205434</v>
      </c>
      <c r="F969" s="70">
        <f t="shared" si="93"/>
        <v>4.382514792357834</v>
      </c>
      <c r="G969" s="67">
        <f>E969/'Lookup Tables'!$C$48</f>
        <v>144.35160712641087</v>
      </c>
      <c r="H969" s="70">
        <f t="shared" si="96"/>
        <v>1.7094663830335768E-2</v>
      </c>
      <c r="I969" s="71">
        <f t="shared" si="94"/>
        <v>0.20786631426203167</v>
      </c>
      <c r="L969" s="74"/>
      <c r="M969" s="74"/>
      <c r="N969" s="74"/>
      <c r="O969" s="74"/>
      <c r="P969" s="74"/>
      <c r="Q969" s="74"/>
      <c r="R969" s="74"/>
      <c r="S969" s="74"/>
      <c r="T969" s="74"/>
      <c r="U969" s="74"/>
      <c r="V969" s="74"/>
      <c r="W969" s="74"/>
      <c r="X969" s="74"/>
      <c r="Y969" s="74"/>
      <c r="Z969" s="74"/>
    </row>
    <row r="970" spans="1:26" x14ac:dyDescent="0.3">
      <c r="A970" s="66">
        <f t="shared" si="92"/>
        <v>2086.2999999999124</v>
      </c>
      <c r="B970" s="67">
        <f>LOOKUP(A970+0.01,Amounts!$A$4:$A$103,Amounts!$B$4:$B$103)*0.1*$A$2</f>
        <v>0</v>
      </c>
      <c r="C970" s="68">
        <f t="shared" si="97"/>
        <v>2219148.7781994981</v>
      </c>
      <c r="D970" s="67">
        <f t="array" ref="D970">SUM($B$7:$B965*$F$1009*EXP(-$F$1009*($A970-$A$7:$A965)))*$F$1010</f>
        <v>37753646.40582186</v>
      </c>
      <c r="E970" s="67">
        <f t="shared" si="95"/>
        <v>71.973993978496125</v>
      </c>
      <c r="F970" s="70">
        <f t="shared" si="93"/>
        <v>4.3702609143742848</v>
      </c>
      <c r="G970" s="67">
        <f>E970/'Lookup Tables'!$C$48</f>
        <v>143.94798795699225</v>
      </c>
      <c r="H970" s="70">
        <f t="shared" si="96"/>
        <v>1.7046865720193163E-2</v>
      </c>
      <c r="I970" s="71">
        <f t="shared" si="94"/>
        <v>0.20728510265806885</v>
      </c>
      <c r="L970" s="74"/>
      <c r="M970" s="74"/>
      <c r="N970" s="74"/>
      <c r="O970" s="74"/>
      <c r="P970" s="74"/>
      <c r="Q970" s="74"/>
      <c r="R970" s="74"/>
      <c r="S970" s="74"/>
      <c r="T970" s="74"/>
      <c r="U970" s="74"/>
      <c r="V970" s="74"/>
      <c r="W970" s="74"/>
      <c r="X970" s="74"/>
      <c r="Y970" s="74"/>
      <c r="Z970" s="74"/>
    </row>
    <row r="971" spans="1:26" x14ac:dyDescent="0.3">
      <c r="A971" s="66">
        <f t="shared" si="92"/>
        <v>2086.3999999999123</v>
      </c>
      <c r="B971" s="67">
        <f>LOOKUP(A971+0.01,Amounts!$A$4:$A$103,Amounts!$B$4:$B$103)*0.1*$A$2</f>
        <v>0</v>
      </c>
      <c r="C971" s="68">
        <f t="shared" si="97"/>
        <v>2219148.7781994981</v>
      </c>
      <c r="D971" s="67">
        <f t="array" ref="D971">SUM($B$7:$B966*$F$1009*EXP(-$F$1009*($A971-$A$7:$A966)))*$F$1010</f>
        <v>37648084.052148186</v>
      </c>
      <c r="E971" s="67">
        <f t="shared" si="95"/>
        <v>71.772748670268271</v>
      </c>
      <c r="F971" s="70">
        <f t="shared" si="93"/>
        <v>4.358041299258689</v>
      </c>
      <c r="G971" s="67">
        <f>E971/'Lookup Tables'!$C$48</f>
        <v>143.54549734053654</v>
      </c>
      <c r="H971" s="70">
        <f t="shared" si="96"/>
        <v>1.6999201257565117E-2</v>
      </c>
      <c r="I971" s="71">
        <f t="shared" si="94"/>
        <v>0.20670551617037261</v>
      </c>
      <c r="L971" s="74"/>
      <c r="M971" s="74"/>
      <c r="N971" s="74"/>
      <c r="O971" s="74"/>
      <c r="P971" s="74"/>
      <c r="Q971" s="74"/>
      <c r="R971" s="74"/>
      <c r="S971" s="74"/>
      <c r="T971" s="74"/>
      <c r="U971" s="74"/>
      <c r="V971" s="74"/>
      <c r="W971" s="74"/>
      <c r="X971" s="74"/>
      <c r="Y971" s="74"/>
      <c r="Z971" s="74"/>
    </row>
    <row r="972" spans="1:26" x14ac:dyDescent="0.3">
      <c r="A972" s="66">
        <f t="shared" si="92"/>
        <v>2086.4999999999122</v>
      </c>
      <c r="B972" s="67">
        <f>LOOKUP(A972+0.01,Amounts!$A$4:$A$103,Amounts!$B$4:$B$103)*0.1*$A$2</f>
        <v>0</v>
      </c>
      <c r="C972" s="68">
        <f t="shared" si="97"/>
        <v>2219148.7781994981</v>
      </c>
      <c r="D972" s="67">
        <f t="array" ref="D972">SUM($B$7:$B967*$F$1009*EXP(-$F$1009*($A972-$A$7:$A967)))*$F$1010</f>
        <v>37542816.859646328</v>
      </c>
      <c r="E972" s="67">
        <f t="shared" si="95"/>
        <v>71.572066060757649</v>
      </c>
      <c r="F972" s="70">
        <f t="shared" si="93"/>
        <v>4.3458558512092047</v>
      </c>
      <c r="G972" s="67">
        <f>E972/'Lookup Tables'!$C$48</f>
        <v>143.1441321215153</v>
      </c>
      <c r="H972" s="70">
        <f t="shared" si="96"/>
        <v>1.6951670068762009E-2</v>
      </c>
      <c r="I972" s="71">
        <f t="shared" si="94"/>
        <v>0.20612755025498203</v>
      </c>
      <c r="L972" s="74"/>
      <c r="M972" s="74"/>
      <c r="N972" s="74"/>
      <c r="O972" s="74"/>
      <c r="P972" s="74"/>
      <c r="Q972" s="74"/>
      <c r="R972" s="74"/>
      <c r="S972" s="74"/>
      <c r="T972" s="74"/>
      <c r="U972" s="74"/>
      <c r="V972" s="74"/>
      <c r="W972" s="74"/>
      <c r="X972" s="74"/>
      <c r="Y972" s="74"/>
      <c r="Z972" s="74"/>
    </row>
    <row r="973" spans="1:26" x14ac:dyDescent="0.3">
      <c r="A973" s="66">
        <f t="shared" si="92"/>
        <v>2086.5999999999121</v>
      </c>
      <c r="B973" s="67">
        <f>LOOKUP(A973+0.01,Amounts!$A$4:$A$103,Amounts!$B$4:$B$103)*0.1*$A$2</f>
        <v>0</v>
      </c>
      <c r="C973" s="68">
        <f t="shared" si="97"/>
        <v>2219148.7781994981</v>
      </c>
      <c r="D973" s="67">
        <f t="array" ref="D973">SUM($B$7:$B968*$F$1009*EXP(-$F$1009*($A973-$A$7:$A968)))*$F$1010</f>
        <v>37437844.003020927</v>
      </c>
      <c r="E973" s="67">
        <f t="shared" si="95"/>
        <v>71.371944576611497</v>
      </c>
      <c r="F973" s="70">
        <f t="shared" si="93"/>
        <v>4.3337044746918503</v>
      </c>
      <c r="G973" s="67">
        <f>E973/'Lookup Tables'!$C$48</f>
        <v>142.74388915322299</v>
      </c>
      <c r="H973" s="70">
        <f t="shared" si="96"/>
        <v>1.6904271781139065E-2</v>
      </c>
      <c r="I973" s="71">
        <f t="shared" si="94"/>
        <v>0.20555120038064112</v>
      </c>
      <c r="L973" s="74"/>
      <c r="M973" s="74"/>
      <c r="N973" s="74"/>
      <c r="O973" s="74"/>
      <c r="P973" s="74"/>
      <c r="Q973" s="74"/>
      <c r="R973" s="74"/>
      <c r="S973" s="74"/>
      <c r="T973" s="74"/>
      <c r="U973" s="74"/>
      <c r="V973" s="74"/>
      <c r="W973" s="74"/>
      <c r="X973" s="74"/>
      <c r="Y973" s="74"/>
      <c r="Z973" s="74"/>
    </row>
    <row r="974" spans="1:26" x14ac:dyDescent="0.3">
      <c r="A974" s="66">
        <f t="shared" si="92"/>
        <v>2086.6999999999121</v>
      </c>
      <c r="B974" s="67">
        <f>LOOKUP(A974+0.01,Amounts!$A$4:$A$103,Amounts!$B$4:$B$103)*0.1*$A$2</f>
        <v>0</v>
      </c>
      <c r="C974" s="68">
        <f t="shared" si="97"/>
        <v>2219148.7781994981</v>
      </c>
      <c r="D974" s="67">
        <f t="array" ref="D974">SUM($B$7:$B969*$F$1009*EXP(-$F$1009*($A974-$A$7:$A969)))*$F$1010</f>
        <v>37333164.659284301</v>
      </c>
      <c r="E974" s="67">
        <f t="shared" si="95"/>
        <v>71.172382648876464</v>
      </c>
      <c r="F974" s="70">
        <f t="shared" si="93"/>
        <v>4.3215870744397789</v>
      </c>
      <c r="G974" s="67">
        <f>E974/'Lookup Tables'!$C$48</f>
        <v>142.34476529775293</v>
      </c>
      <c r="H974" s="70">
        <f t="shared" si="96"/>
        <v>1.6857006023093476E-2</v>
      </c>
      <c r="I974" s="71">
        <f t="shared" si="94"/>
        <v>0.20497646202876421</v>
      </c>
      <c r="L974" s="74"/>
      <c r="M974" s="74"/>
      <c r="N974" s="74"/>
      <c r="O974" s="74"/>
      <c r="P974" s="74"/>
      <c r="Q974" s="74"/>
      <c r="R974" s="74"/>
      <c r="S974" s="74"/>
      <c r="T974" s="74"/>
      <c r="U974" s="74"/>
      <c r="V974" s="74"/>
      <c r="W974" s="74"/>
      <c r="X974" s="74"/>
      <c r="Y974" s="74"/>
      <c r="Z974" s="74"/>
    </row>
    <row r="975" spans="1:26" x14ac:dyDescent="0.3">
      <c r="A975" s="66">
        <f t="shared" si="92"/>
        <v>2086.799999999912</v>
      </c>
      <c r="B975" s="67">
        <f>LOOKUP(A975+0.01,Amounts!$A$4:$A$103,Amounts!$B$4:$B$103)*0.1*$A$2</f>
        <v>0</v>
      </c>
      <c r="C975" s="68">
        <f t="shared" si="97"/>
        <v>2219148.7781994981</v>
      </c>
      <c r="D975" s="67">
        <f t="array" ref="D975">SUM($B$7:$B970*$F$1009*EXP(-$F$1009*($A975-$A$7:$A970)))*$F$1010</f>
        <v>37228778.007749811</v>
      </c>
      <c r="E975" s="67">
        <f t="shared" si="95"/>
        <v>70.973378712985905</v>
      </c>
      <c r="F975" s="70">
        <f t="shared" si="93"/>
        <v>4.3095035554525039</v>
      </c>
      <c r="G975" s="67">
        <f>E975/'Lookup Tables'!$C$48</f>
        <v>141.94675742597181</v>
      </c>
      <c r="H975" s="70">
        <f t="shared" si="96"/>
        <v>1.6809872424061442E-2</v>
      </c>
      <c r="I975" s="71">
        <f t="shared" si="94"/>
        <v>0.20440333069339939</v>
      </c>
      <c r="L975" s="74"/>
      <c r="M975" s="74"/>
      <c r="N975" s="74"/>
      <c r="O975" s="74"/>
      <c r="P975" s="74"/>
      <c r="Q975" s="74"/>
      <c r="R975" s="74"/>
      <c r="S975" s="74"/>
      <c r="T975" s="74"/>
      <c r="U975" s="74"/>
      <c r="V975" s="74"/>
      <c r="W975" s="74"/>
      <c r="X975" s="74"/>
      <c r="Y975" s="74"/>
      <c r="Z975" s="74"/>
    </row>
    <row r="976" spans="1:26" x14ac:dyDescent="0.3">
      <c r="A976" s="66">
        <f t="shared" si="92"/>
        <v>2086.8999999999119</v>
      </c>
      <c r="B976" s="67">
        <f>LOOKUP(A976+0.01,Amounts!$A$4:$A$103,Amounts!$B$4:$B$103)*0.1*$A$2</f>
        <v>0</v>
      </c>
      <c r="C976" s="68">
        <f t="shared" si="97"/>
        <v>2219148.7781994981</v>
      </c>
      <c r="D976" s="67">
        <f t="array" ref="D976">SUM($B$7:$B971*$F$1009*EXP(-$F$1009*($A976-$A$7:$A971)))*$F$1010</f>
        <v>37124683.230025612</v>
      </c>
      <c r="E976" s="67">
        <f t="shared" si="95"/>
        <v>70.774931208748029</v>
      </c>
      <c r="F976" s="70">
        <f t="shared" si="93"/>
        <v>4.2974538229951804</v>
      </c>
      <c r="G976" s="67">
        <f>E976/'Lookup Tables'!$C$48</f>
        <v>141.54986241749606</v>
      </c>
      <c r="H976" s="70">
        <f t="shared" si="96"/>
        <v>1.676287061451533E-2</v>
      </c>
      <c r="I976" s="71">
        <f t="shared" si="94"/>
        <v>0.20383180188119432</v>
      </c>
      <c r="L976" s="74"/>
      <c r="M976" s="74"/>
      <c r="N976" s="74"/>
      <c r="O976" s="74"/>
      <c r="P976" s="74"/>
      <c r="Q976" s="74"/>
      <c r="R976" s="74"/>
      <c r="S976" s="74"/>
      <c r="T976" s="74"/>
      <c r="U976" s="74"/>
      <c r="V976" s="74"/>
      <c r="W976" s="74"/>
      <c r="X976" s="74"/>
      <c r="Y976" s="74"/>
      <c r="Z976" s="74"/>
    </row>
    <row r="977" spans="1:26" x14ac:dyDescent="0.3">
      <c r="A977" s="66">
        <f t="shared" si="92"/>
        <v>2086.9999999999118</v>
      </c>
      <c r="B977" s="67">
        <f>LOOKUP(A977+0.01,Amounts!$A$4:$A$103,Amounts!$B$4:$B$103)*0.1*$A$2</f>
        <v>0</v>
      </c>
      <c r="C977" s="68">
        <f t="shared" si="97"/>
        <v>2219148.7781994981</v>
      </c>
      <c r="D977" s="67">
        <f t="array" ref="D977">SUM($B$7:$B972*$F$1009*EXP(-$F$1009*($A977-$A$7:$A972)))*$F$1010</f>
        <v>37020879.510008089</v>
      </c>
      <c r="E977" s="67">
        <f t="shared" si="95"/>
        <v>70.577038580333351</v>
      </c>
      <c r="F977" s="70">
        <f t="shared" si="93"/>
        <v>4.2854377825978407</v>
      </c>
      <c r="G977" s="67">
        <f>E977/'Lookup Tables'!$C$48</f>
        <v>141.1540771606667</v>
      </c>
      <c r="H977" s="70">
        <f t="shared" si="96"/>
        <v>1.6716000225960693E-2</v>
      </c>
      <c r="I977" s="71">
        <f t="shared" si="94"/>
        <v>0.20326187111136004</v>
      </c>
      <c r="L977" s="74"/>
      <c r="M977" s="74"/>
      <c r="N977" s="74"/>
      <c r="O977" s="74"/>
      <c r="P977" s="74"/>
      <c r="Q977" s="74"/>
      <c r="R977" s="74"/>
      <c r="S977" s="74"/>
      <c r="T977" s="74"/>
      <c r="U977" s="74"/>
      <c r="V977" s="74"/>
      <c r="W977" s="74"/>
      <c r="X977" s="74"/>
      <c r="Y977" s="74"/>
      <c r="Z977" s="74"/>
    </row>
    <row r="978" spans="1:26" x14ac:dyDescent="0.3">
      <c r="A978" s="66">
        <f t="shared" si="92"/>
        <v>2087.0999999999117</v>
      </c>
      <c r="B978" s="67">
        <f>LOOKUP(A978+0.01,Amounts!$A$4:$A$103,Amounts!$B$4:$B$103)*0.1*$A$2</f>
        <v>0</v>
      </c>
      <c r="C978" s="68">
        <f t="shared" si="97"/>
        <v>2219148.7781994981</v>
      </c>
      <c r="D978" s="67">
        <f t="array" ref="D978">SUM($B$7:$B973*$F$1009*EXP(-$F$1009*($A978-$A$7:$A973)))*$F$1010</f>
        <v>36917366.03387554</v>
      </c>
      <c r="E978" s="67">
        <f t="shared" si="95"/>
        <v>70.379699276262613</v>
      </c>
      <c r="F978" s="70">
        <f t="shared" si="93"/>
        <v>4.2734553400546655</v>
      </c>
      <c r="G978" s="67">
        <f>E978/'Lookup Tables'!$C$48</f>
        <v>140.75939855252523</v>
      </c>
      <c r="H978" s="70">
        <f t="shared" si="96"/>
        <v>1.6669260890933443E-2</v>
      </c>
      <c r="I978" s="71">
        <f t="shared" si="94"/>
        <v>0.2026935339156363</v>
      </c>
      <c r="L978" s="74"/>
      <c r="M978" s="74"/>
      <c r="N978" s="74"/>
      <c r="O978" s="74"/>
      <c r="P978" s="74"/>
      <c r="Q978" s="74"/>
      <c r="R978" s="74"/>
      <c r="S978" s="74"/>
      <c r="T978" s="74"/>
      <c r="U978" s="74"/>
      <c r="V978" s="74"/>
      <c r="W978" s="74"/>
      <c r="X978" s="74"/>
      <c r="Y978" s="74"/>
      <c r="Z978" s="74"/>
    </row>
    <row r="979" spans="1:26" x14ac:dyDescent="0.3">
      <c r="A979" s="66">
        <f t="shared" ref="A979:A1006" si="98">A978+0.1</f>
        <v>2087.1999999999116</v>
      </c>
      <c r="B979" s="67">
        <f>LOOKUP(A979+0.01,Amounts!$A$4:$A$103,Amounts!$B$4:$B$103)*0.1*$A$2</f>
        <v>0</v>
      </c>
      <c r="C979" s="68">
        <f t="shared" si="97"/>
        <v>2219148.7781994981</v>
      </c>
      <c r="D979" s="67">
        <f t="array" ref="D979">SUM($B$7:$B974*$F$1009*EXP(-$F$1009*($A979-$A$7:$A974)))*$F$1010</f>
        <v>36814141.990081802</v>
      </c>
      <c r="E979" s="67">
        <f t="shared" si="95"/>
        <v>70.182911749394734</v>
      </c>
      <c r="F979" s="70">
        <f t="shared" ref="F979:F1007" si="99">E979*60*1012/1000000</f>
        <v>4.2615064014232482</v>
      </c>
      <c r="G979" s="67">
        <f>E979/'Lookup Tables'!$C$48</f>
        <v>140.36582349878947</v>
      </c>
      <c r="H979" s="70">
        <f t="shared" si="96"/>
        <v>1.6622652242996968E-2</v>
      </c>
      <c r="I979" s="71">
        <f t="shared" ref="I979:I1006" si="100">G979*60*24/1000000</f>
        <v>0.20212678583825686</v>
      </c>
      <c r="L979" s="74"/>
      <c r="M979" s="74"/>
      <c r="N979" s="74"/>
      <c r="O979" s="74"/>
      <c r="P979" s="74"/>
      <c r="Q979" s="74"/>
      <c r="R979" s="74"/>
      <c r="S979" s="74"/>
      <c r="T979" s="74"/>
      <c r="U979" s="74"/>
      <c r="V979" s="74"/>
      <c r="W979" s="74"/>
      <c r="X979" s="74"/>
      <c r="Y979" s="74"/>
      <c r="Z979" s="74"/>
    </row>
    <row r="980" spans="1:26" x14ac:dyDescent="0.3">
      <c r="A980" s="66">
        <f t="shared" si="98"/>
        <v>2087.2999999999115</v>
      </c>
      <c r="B980" s="67">
        <f>LOOKUP(A980+0.01,Amounts!$A$4:$A$103,Amounts!$B$4:$B$103)*0.1*$A$2</f>
        <v>0</v>
      </c>
      <c r="C980" s="68">
        <f t="shared" si="97"/>
        <v>2219148.7781994981</v>
      </c>
      <c r="D980" s="67">
        <f t="array" ref="D980">SUM($B$7:$B975*$F$1009*EXP(-$F$1009*($A980-$A$7:$A975)))*$F$1010</f>
        <v>36711206.569349833</v>
      </c>
      <c r="E980" s="67">
        <f t="shared" si="95"/>
        <v>69.986674456914443</v>
      </c>
      <c r="F980" s="70">
        <f t="shared" si="99"/>
        <v>4.2495908730238456</v>
      </c>
      <c r="G980" s="67">
        <f>E980/'Lookup Tables'!$C$48</f>
        <v>139.97334891382889</v>
      </c>
      <c r="H980" s="70">
        <f t="shared" si="96"/>
        <v>1.6576173916739219E-2</v>
      </c>
      <c r="I980" s="71">
        <f t="shared" si="100"/>
        <v>0.20156162243591361</v>
      </c>
      <c r="L980" s="74"/>
      <c r="M980" s="74"/>
      <c r="N980" s="74"/>
      <c r="O980" s="74"/>
      <c r="P980" s="74"/>
      <c r="Q980" s="74"/>
      <c r="R980" s="74"/>
      <c r="S980" s="74"/>
      <c r="T980" s="74"/>
      <c r="U980" s="74"/>
      <c r="V980" s="74"/>
      <c r="W980" s="74"/>
      <c r="X980" s="74"/>
      <c r="Y980" s="74"/>
      <c r="Z980" s="74"/>
    </row>
    <row r="981" spans="1:26" x14ac:dyDescent="0.3">
      <c r="A981" s="66">
        <f t="shared" si="98"/>
        <v>2087.3999999999114</v>
      </c>
      <c r="B981" s="67">
        <f>LOOKUP(A981+0.01,Amounts!$A$4:$A$103,Amounts!$B$4:$B$103)*0.1*$A$2</f>
        <v>0</v>
      </c>
      <c r="C981" s="68">
        <f t="shared" si="97"/>
        <v>2219148.7781994981</v>
      </c>
      <c r="D981" s="67">
        <f t="array" ref="D981">SUM($B$7:$B976*$F$1009*EXP(-$F$1009*($A981-$A$7:$A976)))*$F$1010</f>
        <v>36608558.964665405</v>
      </c>
      <c r="E981" s="67">
        <f t="shared" si="95"/>
        <v>69.790985860320362</v>
      </c>
      <c r="F981" s="70">
        <f t="shared" si="99"/>
        <v>4.2377086614386519</v>
      </c>
      <c r="G981" s="67">
        <f>E981/'Lookup Tables'!$C$48</f>
        <v>139.58197172064072</v>
      </c>
      <c r="H981" s="70">
        <f t="shared" si="96"/>
        <v>1.652982554776988E-2</v>
      </c>
      <c r="I981" s="71">
        <f t="shared" si="100"/>
        <v>0.20099803927772261</v>
      </c>
      <c r="L981" s="74"/>
      <c r="M981" s="74"/>
      <c r="N981" s="74"/>
      <c r="O981" s="74"/>
      <c r="P981" s="74"/>
      <c r="Q981" s="74"/>
      <c r="R981" s="74"/>
      <c r="S981" s="74"/>
      <c r="T981" s="74"/>
      <c r="U981" s="74"/>
      <c r="V981" s="74"/>
      <c r="W981" s="74"/>
      <c r="X981" s="74"/>
      <c r="Y981" s="74"/>
      <c r="Z981" s="74"/>
    </row>
    <row r="982" spans="1:26" x14ac:dyDescent="0.3">
      <c r="A982" s="66">
        <f t="shared" si="98"/>
        <v>2087.4999999999113</v>
      </c>
      <c r="B982" s="67">
        <f>LOOKUP(A982+0.01,Amounts!$A$4:$A$103,Amounts!$B$4:$B$103)*0.1*$A$2</f>
        <v>0</v>
      </c>
      <c r="C982" s="68">
        <f t="shared" si="97"/>
        <v>2219148.7781994981</v>
      </c>
      <c r="D982" s="67">
        <f t="array" ref="D982">SUM($B$7:$B977*$F$1009*EXP(-$F$1009*($A982-$A$7:$A977)))*$F$1010</f>
        <v>36506198.371270776</v>
      </c>
      <c r="E982" s="67">
        <f t="shared" si="95"/>
        <v>69.59584442541292</v>
      </c>
      <c r="F982" s="70">
        <f t="shared" si="99"/>
        <v>4.2258596735110734</v>
      </c>
      <c r="G982" s="67">
        <f>E982/'Lookup Tables'!$C$48</f>
        <v>139.19168885082584</v>
      </c>
      <c r="H982" s="70">
        <f t="shared" si="96"/>
        <v>1.6483606772717509E-2</v>
      </c>
      <c r="I982" s="71">
        <f t="shared" si="100"/>
        <v>0.20043603194518922</v>
      </c>
      <c r="L982" s="74"/>
      <c r="M982" s="74"/>
      <c r="N982" s="74"/>
      <c r="O982" s="74"/>
      <c r="P982" s="74"/>
      <c r="Q982" s="74"/>
      <c r="R982" s="74"/>
      <c r="S982" s="74"/>
      <c r="T982" s="74"/>
      <c r="U982" s="74"/>
      <c r="V982" s="74"/>
      <c r="W982" s="74"/>
      <c r="X982" s="74"/>
      <c r="Y982" s="74"/>
      <c r="Z982" s="74"/>
    </row>
    <row r="983" spans="1:26" x14ac:dyDescent="0.3">
      <c r="A983" s="66">
        <f t="shared" si="98"/>
        <v>2087.5999999999112</v>
      </c>
      <c r="B983" s="67">
        <f>LOOKUP(A983+0.01,Amounts!$A$4:$A$103,Amounts!$B$4:$B$103)*0.1*$A$2</f>
        <v>0</v>
      </c>
      <c r="C983" s="68">
        <f t="shared" si="97"/>
        <v>2219148.7781994981</v>
      </c>
      <c r="D983" s="67">
        <f t="array" ref="D983">SUM($B$7:$B978*$F$1009*EXP(-$F$1009*($A983-$A$7:$A978)))*$F$1010</f>
        <v>36404123.986658357</v>
      </c>
      <c r="E983" s="67">
        <f t="shared" si="95"/>
        <v>69.401248622282239</v>
      </c>
      <c r="F983" s="70">
        <f t="shared" si="99"/>
        <v>4.2140438163449776</v>
      </c>
      <c r="G983" s="67">
        <f>E983/'Lookup Tables'!$C$48</f>
        <v>138.80249724456448</v>
      </c>
      <c r="H983" s="70">
        <f t="shared" si="96"/>
        <v>1.6437517229226661E-2</v>
      </c>
      <c r="I983" s="71">
        <f t="shared" si="100"/>
        <v>0.19987559603217284</v>
      </c>
      <c r="L983" s="74"/>
      <c r="M983" s="74"/>
      <c r="N983" s="74"/>
      <c r="O983" s="74"/>
      <c r="P983" s="74"/>
      <c r="Q983" s="74"/>
      <c r="R983" s="74"/>
      <c r="S983" s="74"/>
      <c r="T983" s="74"/>
      <c r="U983" s="74"/>
      <c r="V983" s="74"/>
      <c r="W983" s="74"/>
      <c r="X983" s="74"/>
      <c r="Y983" s="74"/>
      <c r="Z983" s="74"/>
    </row>
    <row r="984" spans="1:26" x14ac:dyDescent="0.3">
      <c r="A984" s="66">
        <f t="shared" si="98"/>
        <v>2087.6999999999111</v>
      </c>
      <c r="B984" s="67">
        <f>LOOKUP(A984+0.01,Amounts!$A$4:$A$103,Amounts!$B$4:$B$103)*0.1*$A$2</f>
        <v>0</v>
      </c>
      <c r="C984" s="68">
        <f t="shared" si="97"/>
        <v>2219148.7781994981</v>
      </c>
      <c r="D984" s="67">
        <f t="array" ref="D984">SUM($B$7:$B979*$F$1009*EXP(-$F$1009*($A984-$A$7:$A979)))*$F$1010</f>
        <v>36302335.010564476</v>
      </c>
      <c r="E984" s="67">
        <f t="shared" si="95"/>
        <v>69.207196925296259</v>
      </c>
      <c r="F984" s="70">
        <f t="shared" si="99"/>
        <v>4.2022609973039886</v>
      </c>
      <c r="G984" s="67">
        <f>E984/'Lookup Tables'!$C$48</f>
        <v>138.41439385059252</v>
      </c>
      <c r="H984" s="70">
        <f t="shared" si="96"/>
        <v>1.6391556555955089E-2</v>
      </c>
      <c r="I984" s="71">
        <f t="shared" si="100"/>
        <v>0.19931672714485321</v>
      </c>
      <c r="L984" s="74"/>
      <c r="M984" s="74"/>
      <c r="N984" s="74"/>
      <c r="O984" s="74"/>
      <c r="P984" s="74"/>
      <c r="Q984" s="74"/>
      <c r="R984" s="74"/>
      <c r="S984" s="74"/>
      <c r="T984" s="74"/>
      <c r="U984" s="74"/>
      <c r="V984" s="74"/>
      <c r="W984" s="74"/>
      <c r="X984" s="74"/>
      <c r="Y984" s="74"/>
      <c r="Z984" s="74"/>
    </row>
    <row r="985" spans="1:26" x14ac:dyDescent="0.3">
      <c r="A985" s="66">
        <f t="shared" si="98"/>
        <v>2087.7999999999111</v>
      </c>
      <c r="B985" s="67">
        <f>LOOKUP(A985+0.01,Amounts!$A$4:$A$103,Amounts!$B$4:$B$103)*0.1*$A$2</f>
        <v>0</v>
      </c>
      <c r="C985" s="68">
        <f t="shared" si="97"/>
        <v>2219148.7781994981</v>
      </c>
      <c r="D985" s="67">
        <f t="array" ref="D985">SUM($B$7:$B980*$F$1009*EXP(-$F$1009*($A985-$A$7:$A980)))*$F$1010</f>
        <v>36200830.644963004</v>
      </c>
      <c r="E985" s="67">
        <f t="shared" si="95"/>
        <v>69.013687813088623</v>
      </c>
      <c r="F985" s="70">
        <f t="shared" si="99"/>
        <v>4.1905111240107411</v>
      </c>
      <c r="G985" s="67">
        <f>E985/'Lookup Tables'!$C$48</f>
        <v>138.02737562617725</v>
      </c>
      <c r="H985" s="70">
        <f t="shared" si="96"/>
        <v>1.6345724392570867E-2</v>
      </c>
      <c r="I985" s="71">
        <f t="shared" si="100"/>
        <v>0.19875942090169524</v>
      </c>
      <c r="L985" s="74"/>
      <c r="M985" s="74"/>
      <c r="N985" s="74"/>
      <c r="O985" s="74"/>
      <c r="P985" s="74"/>
      <c r="Q985" s="74"/>
      <c r="R985" s="74"/>
      <c r="S985" s="74"/>
      <c r="T985" s="74"/>
      <c r="U985" s="74"/>
      <c r="V985" s="74"/>
      <c r="W985" s="74"/>
      <c r="X985" s="74"/>
      <c r="Y985" s="74"/>
      <c r="Z985" s="74"/>
    </row>
    <row r="986" spans="1:26" x14ac:dyDescent="0.3">
      <c r="A986" s="66">
        <f t="shared" si="98"/>
        <v>2087.899999999911</v>
      </c>
      <c r="B986" s="67">
        <f>LOOKUP(A986+0.01,Amounts!$A$4:$A$103,Amounts!$B$4:$B$103)*0.1*$A$2</f>
        <v>0</v>
      </c>
      <c r="C986" s="68">
        <f t="shared" si="97"/>
        <v>2219148.7781994981</v>
      </c>
      <c r="D986" s="67">
        <f t="array" ref="D986">SUM($B$7:$B981*$F$1009*EXP(-$F$1009*($A986-$A$7:$A981)))*$F$1010</f>
        <v>36099610.094059214</v>
      </c>
      <c r="E986" s="67">
        <f t="shared" si="95"/>
        <v>68.820719768546951</v>
      </c>
      <c r="F986" s="70">
        <f t="shared" si="99"/>
        <v>4.1787941043461707</v>
      </c>
      <c r="G986" s="67">
        <f>E986/'Lookup Tables'!$C$48</f>
        <v>137.6414395370939</v>
      </c>
      <c r="H986" s="70">
        <f t="shared" si="96"/>
        <v>1.6300020379749616E-2</v>
      </c>
      <c r="I986" s="71">
        <f t="shared" si="100"/>
        <v>0.19820367293341523</v>
      </c>
      <c r="L986" s="74"/>
      <c r="M986" s="74"/>
      <c r="N986" s="74"/>
      <c r="O986" s="74"/>
      <c r="P986" s="74"/>
      <c r="Q986" s="74"/>
      <c r="R986" s="74"/>
      <c r="S986" s="74"/>
      <c r="T986" s="74"/>
      <c r="U986" s="74"/>
      <c r="V986" s="74"/>
      <c r="W986" s="74"/>
      <c r="X986" s="74"/>
      <c r="Y986" s="74"/>
      <c r="Z986" s="74"/>
    </row>
    <row r="987" spans="1:26" x14ac:dyDescent="0.3">
      <c r="A987" s="66">
        <f t="shared" si="98"/>
        <v>2087.9999999999109</v>
      </c>
      <c r="B987" s="67">
        <f>LOOKUP(A987+0.01,Amounts!$A$4:$A$103,Amounts!$B$4:$B$103)*0.1*$A$2</f>
        <v>0</v>
      </c>
      <c r="C987" s="68">
        <f t="shared" si="97"/>
        <v>2219148.7781994981</v>
      </c>
      <c r="D987" s="67">
        <f t="array" ref="D987">SUM($B$7:$B982*$F$1009*EXP(-$F$1009*($A987-$A$7:$A982)))*$F$1010</f>
        <v>35998672.56428346</v>
      </c>
      <c r="E987" s="67">
        <f t="shared" si="95"/>
        <v>68.628291278800745</v>
      </c>
      <c r="F987" s="70">
        <f t="shared" si="99"/>
        <v>4.1671098464487812</v>
      </c>
      <c r="G987" s="67">
        <f>E987/'Lookup Tables'!$C$48</f>
        <v>137.25658255760149</v>
      </c>
      <c r="H987" s="70">
        <f t="shared" si="96"/>
        <v>1.625444415917162E-2</v>
      </c>
      <c r="I987" s="71">
        <f t="shared" si="100"/>
        <v>0.19764947888294612</v>
      </c>
      <c r="L987" s="74"/>
      <c r="M987" s="74"/>
      <c r="N987" s="74"/>
      <c r="O987" s="74"/>
      <c r="P987" s="74"/>
      <c r="Q987" s="74"/>
      <c r="R987" s="74"/>
      <c r="S987" s="74"/>
      <c r="T987" s="74"/>
      <c r="U987" s="74"/>
      <c r="V987" s="74"/>
      <c r="W987" s="74"/>
      <c r="X987" s="74"/>
      <c r="Y987" s="74"/>
      <c r="Z987" s="74"/>
    </row>
    <row r="988" spans="1:26" x14ac:dyDescent="0.3">
      <c r="A988" s="66">
        <f t="shared" si="98"/>
        <v>2088.0999999999108</v>
      </c>
      <c r="B988" s="67">
        <f>LOOKUP(A988+0.01,Amounts!$A$4:$A$103,Amounts!$B$4:$B$103)*0.1*$A$2</f>
        <v>0</v>
      </c>
      <c r="C988" s="68">
        <f t="shared" si="97"/>
        <v>2219148.7781994981</v>
      </c>
      <c r="D988" s="67">
        <f t="array" ref="D988">SUM($B$7:$B983*$F$1009*EXP(-$F$1009*($A988-$A$7:$A983)))*$F$1010</f>
        <v>35898017.264285006</v>
      </c>
      <c r="E988" s="67">
        <f t="shared" si="95"/>
        <v>68.43640083520971</v>
      </c>
      <c r="F988" s="70">
        <f t="shared" si="99"/>
        <v>4.1554582587139333</v>
      </c>
      <c r="G988" s="67">
        <f>E988/'Lookup Tables'!$C$48</f>
        <v>136.87280167041942</v>
      </c>
      <c r="H988" s="70">
        <f t="shared" si="96"/>
        <v>1.6208995373519098E-2</v>
      </c>
      <c r="I988" s="71">
        <f t="shared" si="100"/>
        <v>0.19709683440540396</v>
      </c>
      <c r="L988" s="74"/>
      <c r="M988" s="74"/>
      <c r="N988" s="74"/>
      <c r="O988" s="74"/>
      <c r="P988" s="74"/>
      <c r="Q988" s="74"/>
      <c r="R988" s="74"/>
      <c r="S988" s="74"/>
      <c r="T988" s="74"/>
      <c r="U988" s="74"/>
      <c r="V988" s="74"/>
      <c r="W988" s="74"/>
      <c r="X988" s="74"/>
      <c r="Y988" s="74"/>
      <c r="Z988" s="74"/>
    </row>
    <row r="989" spans="1:26" x14ac:dyDescent="0.3">
      <c r="A989" s="66">
        <f t="shared" si="98"/>
        <v>2088.1999999999107</v>
      </c>
      <c r="B989" s="67">
        <f>LOOKUP(A989+0.01,Amounts!$A$4:$A$103,Amounts!$B$4:$B$103)*0.1*$A$2</f>
        <v>0</v>
      </c>
      <c r="C989" s="68">
        <f t="shared" si="97"/>
        <v>2219148.7781994981</v>
      </c>
      <c r="D989" s="67">
        <f t="array" ref="D989">SUM($B$7:$B984*$F$1009*EXP(-$F$1009*($A989-$A$7:$A984)))*$F$1010</f>
        <v>35797643.404925779</v>
      </c>
      <c r="E989" s="67">
        <f t="shared" si="95"/>
        <v>68.245046933351745</v>
      </c>
      <c r="F989" s="70">
        <f t="shared" si="99"/>
        <v>4.1438392497931176</v>
      </c>
      <c r="G989" s="67">
        <f>E989/'Lookup Tables'!$C$48</f>
        <v>136.49009386670349</v>
      </c>
      <c r="H989" s="70">
        <f t="shared" si="96"/>
        <v>1.6163673666473324E-2</v>
      </c>
      <c r="I989" s="71">
        <f t="shared" si="100"/>
        <v>0.19654573516805302</v>
      </c>
      <c r="L989" s="74"/>
      <c r="M989" s="74"/>
      <c r="N989" s="74"/>
      <c r="O989" s="74"/>
      <c r="P989" s="74"/>
      <c r="Q989" s="74"/>
      <c r="R989" s="74"/>
      <c r="S989" s="74"/>
      <c r="T989" s="74"/>
      <c r="U989" s="74"/>
      <c r="V989" s="74"/>
      <c r="W989" s="74"/>
      <c r="X989" s="74"/>
      <c r="Y989" s="74"/>
      <c r="Z989" s="74"/>
    </row>
    <row r="990" spans="1:26" x14ac:dyDescent="0.3">
      <c r="A990" s="66">
        <f t="shared" si="98"/>
        <v>2088.2999999999106</v>
      </c>
      <c r="B990" s="67">
        <f>LOOKUP(A990+0.01,Amounts!$A$4:$A$103,Amounts!$B$4:$B$103)*0.1*$A$2</f>
        <v>0</v>
      </c>
      <c r="C990" s="68">
        <f t="shared" si="97"/>
        <v>2219148.7781994981</v>
      </c>
      <c r="D990" s="67">
        <f t="array" ref="D990">SUM($B$7:$B985*$F$1009*EXP(-$F$1009*($A990-$A$7:$A985)))*$F$1010</f>
        <v>35697550.199274205</v>
      </c>
      <c r="E990" s="67">
        <f t="shared" si="95"/>
        <v>68.054228073011316</v>
      </c>
      <c r="F990" s="70">
        <f t="shared" si="99"/>
        <v>4.1322527285932473</v>
      </c>
      <c r="G990" s="67">
        <f>E990/'Lookup Tables'!$C$48</f>
        <v>136.10845614602263</v>
      </c>
      <c r="H990" s="70">
        <f t="shared" si="96"/>
        <v>1.6118478682711889E-2</v>
      </c>
      <c r="I990" s="71">
        <f t="shared" si="100"/>
        <v>0.19599617685027257</v>
      </c>
      <c r="L990" s="74"/>
      <c r="M990" s="74"/>
      <c r="N990" s="74"/>
      <c r="O990" s="74"/>
      <c r="P990" s="74"/>
      <c r="Q990" s="74"/>
      <c r="R990" s="74"/>
      <c r="S990" s="74"/>
      <c r="T990" s="74"/>
      <c r="U990" s="74"/>
      <c r="V990" s="74"/>
      <c r="W990" s="74"/>
      <c r="X990" s="74"/>
      <c r="Y990" s="74"/>
      <c r="Z990" s="74"/>
    </row>
    <row r="991" spans="1:26" x14ac:dyDescent="0.3">
      <c r="A991" s="66">
        <f t="shared" si="98"/>
        <v>2088.3999999999105</v>
      </c>
      <c r="B991" s="67">
        <f>LOOKUP(A991+0.01,Amounts!$A$4:$A$103,Amounts!$B$4:$B$103)*0.1*$A$2</f>
        <v>0</v>
      </c>
      <c r="C991" s="68">
        <f t="shared" si="97"/>
        <v>2219148.7781994981</v>
      </c>
      <c r="D991" s="67">
        <f t="array" ref="D991">SUM($B$7:$B986*$F$1009*EXP(-$F$1009*($A991-$A$7:$A986)))*$F$1010</f>
        <v>35597736.862599045</v>
      </c>
      <c r="E991" s="67">
        <f t="shared" si="95"/>
        <v>67.863942758167568</v>
      </c>
      <c r="F991" s="70">
        <f t="shared" si="99"/>
        <v>4.120698604275935</v>
      </c>
      <c r="G991" s="67">
        <f>E991/'Lookup Tables'!$C$48</f>
        <v>135.72788551633514</v>
      </c>
      <c r="H991" s="70">
        <f t="shared" si="96"/>
        <v>1.6073410067905892E-2</v>
      </c>
      <c r="I991" s="71">
        <f t="shared" si="100"/>
        <v>0.1954481551435226</v>
      </c>
      <c r="L991" s="74"/>
      <c r="M991" s="74"/>
      <c r="N991" s="74"/>
      <c r="O991" s="74"/>
      <c r="P991" s="74"/>
      <c r="Q991" s="74"/>
      <c r="R991" s="74"/>
      <c r="S991" s="74"/>
      <c r="T991" s="74"/>
      <c r="U991" s="74"/>
      <c r="V991" s="74"/>
      <c r="W991" s="74"/>
      <c r="X991" s="74"/>
      <c r="Y991" s="74"/>
      <c r="Z991" s="74"/>
    </row>
    <row r="992" spans="1:26" x14ac:dyDescent="0.3">
      <c r="A992" s="66">
        <f t="shared" si="98"/>
        <v>2088.4999999999104</v>
      </c>
      <c r="B992" s="67">
        <f>LOOKUP(A992+0.01,Amounts!$A$4:$A$103,Amounts!$B$4:$B$103)*0.1*$A$2</f>
        <v>0</v>
      </c>
      <c r="C992" s="68">
        <f t="shared" si="97"/>
        <v>2219148.7781994981</v>
      </c>
      <c r="D992" s="67">
        <f t="array" ref="D992">SUM($B$7:$B987*$F$1009*EXP(-$F$1009*($A992-$A$7:$A987)))*$F$1010</f>
        <v>35498202.612363219</v>
      </c>
      <c r="E992" s="67">
        <f t="shared" si="95"/>
        <v>67.674189496982635</v>
      </c>
      <c r="F992" s="70">
        <f t="shared" si="99"/>
        <v>4.1091767862567856</v>
      </c>
      <c r="G992" s="67">
        <f>E992/'Lookup Tables'!$C$48</f>
        <v>135.34837899396527</v>
      </c>
      <c r="H992" s="70">
        <f t="shared" si="96"/>
        <v>1.602846746871715E-2</v>
      </c>
      <c r="I992" s="71">
        <f t="shared" si="100"/>
        <v>0.19490166575130999</v>
      </c>
      <c r="L992" s="74"/>
      <c r="M992" s="74"/>
      <c r="N992" s="74"/>
      <c r="O992" s="74"/>
      <c r="P992" s="74"/>
      <c r="Q992" s="74"/>
      <c r="R992" s="74"/>
      <c r="S992" s="74"/>
      <c r="T992" s="74"/>
      <c r="U992" s="74"/>
      <c r="V992" s="74"/>
      <c r="W992" s="74"/>
      <c r="X992" s="74"/>
      <c r="Y992" s="74"/>
      <c r="Z992" s="74"/>
    </row>
    <row r="993" spans="1:26" x14ac:dyDescent="0.3">
      <c r="A993" s="66">
        <f t="shared" si="98"/>
        <v>2088.5999999999103</v>
      </c>
      <c r="B993" s="67">
        <f>LOOKUP(A993+0.01,Amounts!$A$4:$A$103,Amounts!$B$4:$B$103)*0.1*$A$2</f>
        <v>0</v>
      </c>
      <c r="C993" s="68">
        <f t="shared" si="97"/>
        <v>2219148.7781994981</v>
      </c>
      <c r="D993" s="67">
        <f t="array" ref="D993">SUM($B$7:$B988*$F$1009*EXP(-$F$1009*($A993-$A$7:$A988)))*$F$1010</f>
        <v>35398946.668217704</v>
      </c>
      <c r="E993" s="67">
        <f t="shared" si="95"/>
        <v>67.484966801789994</v>
      </c>
      <c r="F993" s="70">
        <f t="shared" si="99"/>
        <v>4.0976871842046885</v>
      </c>
      <c r="G993" s="67">
        <f>E993/'Lookup Tables'!$C$48</f>
        <v>134.96993360357999</v>
      </c>
      <c r="H993" s="70">
        <f t="shared" si="96"/>
        <v>1.5983650532795466E-2</v>
      </c>
      <c r="I993" s="71">
        <f t="shared" si="100"/>
        <v>0.19435670438915517</v>
      </c>
      <c r="L993" s="74"/>
      <c r="M993" s="74"/>
      <c r="N993" s="74"/>
      <c r="O993" s="74"/>
      <c r="P993" s="74"/>
      <c r="Q993" s="74"/>
      <c r="R993" s="74"/>
      <c r="S993" s="74"/>
      <c r="T993" s="74"/>
      <c r="U993" s="74"/>
      <c r="V993" s="74"/>
      <c r="W993" s="74"/>
      <c r="X993" s="74"/>
      <c r="Y993" s="74"/>
      <c r="Z993" s="74"/>
    </row>
    <row r="994" spans="1:26" x14ac:dyDescent="0.3">
      <c r="A994" s="66">
        <f t="shared" si="98"/>
        <v>2088.6999999999102</v>
      </c>
      <c r="B994" s="67">
        <f>LOOKUP(A994+0.01,Amounts!$A$4:$A$103,Amounts!$B$4:$B$103)*0.1*$A$2</f>
        <v>0</v>
      </c>
      <c r="C994" s="68">
        <f t="shared" si="97"/>
        <v>2219148.7781994981</v>
      </c>
      <c r="D994" s="67">
        <f t="array" ref="D994">SUM($B$7:$B989*$F$1009*EXP(-$F$1009*($A994-$A$7:$A989)))*$F$1010</f>
        <v>35299968.25199537</v>
      </c>
      <c r="E994" s="67">
        <f t="shared" si="95"/>
        <v>67.296273189082726</v>
      </c>
      <c r="F994" s="70">
        <f t="shared" si="99"/>
        <v>4.0862297080411034</v>
      </c>
      <c r="G994" s="67">
        <f>E994/'Lookup Tables'!$C$48</f>
        <v>134.59254637816545</v>
      </c>
      <c r="H994" s="70">
        <f t="shared" si="96"/>
        <v>1.5938958908775825E-2</v>
      </c>
      <c r="I994" s="71">
        <f t="shared" si="100"/>
        <v>0.19381326678455824</v>
      </c>
      <c r="L994" s="74"/>
      <c r="M994" s="74"/>
      <c r="N994" s="74"/>
      <c r="O994" s="74"/>
      <c r="P994" s="74"/>
      <c r="Q994" s="74"/>
      <c r="R994" s="74"/>
      <c r="S994" s="74"/>
      <c r="T994" s="74"/>
      <c r="U994" s="74"/>
      <c r="V994" s="74"/>
      <c r="W994" s="74"/>
      <c r="X994" s="74"/>
      <c r="Y994" s="74"/>
      <c r="Z994" s="74"/>
    </row>
    <row r="995" spans="1:26" x14ac:dyDescent="0.3">
      <c r="A995" s="66">
        <f t="shared" si="98"/>
        <v>2088.7999999999101</v>
      </c>
      <c r="B995" s="67">
        <f>LOOKUP(A995+0.01,Amounts!$A$4:$A$103,Amounts!$B$4:$B$103)*0.1*$A$2</f>
        <v>0</v>
      </c>
      <c r="C995" s="68">
        <f t="shared" si="97"/>
        <v>2219148.7781994981</v>
      </c>
      <c r="D995" s="67">
        <f t="array" ref="D995">SUM($B$7:$B990*$F$1009*EXP(-$F$1009*($A995-$A$7:$A990)))*$F$1010</f>
        <v>35201266.587704964</v>
      </c>
      <c r="E995" s="67">
        <f t="shared" si="95"/>
        <v>67.108107179501999</v>
      </c>
      <c r="F995" s="70">
        <f t="shared" si="99"/>
        <v>4.0748042679393617</v>
      </c>
      <c r="G995" s="67">
        <f>E995/'Lookup Tables'!$C$48</f>
        <v>134.216214359004</v>
      </c>
      <c r="H995" s="70">
        <f t="shared" si="96"/>
        <v>1.5894392246275677E-2</v>
      </c>
      <c r="I995" s="71">
        <f t="shared" si="100"/>
        <v>0.19327134867696574</v>
      </c>
      <c r="L995" s="74"/>
      <c r="M995" s="74"/>
      <c r="N995" s="74"/>
      <c r="O995" s="74"/>
      <c r="P995" s="74"/>
      <c r="Q995" s="74"/>
      <c r="R995" s="74"/>
      <c r="S995" s="74"/>
      <c r="T995" s="74"/>
      <c r="U995" s="74"/>
      <c r="V995" s="74"/>
      <c r="W995" s="74"/>
      <c r="X995" s="74"/>
      <c r="Y995" s="74"/>
      <c r="Z995" s="74"/>
    </row>
    <row r="996" spans="1:26" x14ac:dyDescent="0.3">
      <c r="A996" s="66">
        <f t="shared" si="98"/>
        <v>2088.8999999999101</v>
      </c>
      <c r="B996" s="67">
        <f>LOOKUP(A996+0.01,Amounts!$A$4:$A$103,Amounts!$B$4:$B$103)*0.1*$A$2</f>
        <v>0</v>
      </c>
      <c r="C996" s="68">
        <f t="shared" si="97"/>
        <v>2219148.7781994981</v>
      </c>
      <c r="D996" s="67">
        <f t="array" ref="D996">SUM($B$7:$B991*$F$1009*EXP(-$F$1009*($A996-$A$7:$A991)))*$F$1010</f>
        <v>35102840.901524901</v>
      </c>
      <c r="E996" s="67">
        <f t="shared" si="95"/>
        <v>66.920467297825283</v>
      </c>
      <c r="F996" s="70">
        <f t="shared" si="99"/>
        <v>4.0634107743239509</v>
      </c>
      <c r="G996" s="67">
        <f>E996/'Lookup Tables'!$C$48</f>
        <v>133.84093459565057</v>
      </c>
      <c r="H996" s="70">
        <f t="shared" si="96"/>
        <v>1.5849950195892155E-2</v>
      </c>
      <c r="I996" s="71">
        <f t="shared" si="100"/>
        <v>0.19273094581773678</v>
      </c>
      <c r="L996" s="74"/>
      <c r="M996" s="74"/>
      <c r="N996" s="74"/>
      <c r="O996" s="74"/>
      <c r="P996" s="74"/>
      <c r="Q996" s="74"/>
      <c r="R996" s="74"/>
      <c r="S996" s="74"/>
      <c r="T996" s="74"/>
      <c r="U996" s="74"/>
      <c r="V996" s="74"/>
      <c r="W996" s="74"/>
      <c r="X996" s="74"/>
      <c r="Y996" s="74"/>
      <c r="Z996" s="74"/>
    </row>
    <row r="997" spans="1:26" x14ac:dyDescent="0.3">
      <c r="A997" s="66">
        <f t="shared" si="98"/>
        <v>2088.99999999991</v>
      </c>
      <c r="B997" s="67">
        <f>LOOKUP(A997+0.01,Amounts!$A$4:$A$103,Amounts!$B$4:$B$103)*0.1*$A$2</f>
        <v>0</v>
      </c>
      <c r="C997" s="68">
        <f t="shared" si="97"/>
        <v>2219148.7781994981</v>
      </c>
      <c r="D997" s="67">
        <f t="array" ref="D997">SUM($B$7:$B992*$F$1009*EXP(-$F$1009*($A997-$A$7:$A992)))*$F$1010</f>
        <v>35004690.421797313</v>
      </c>
      <c r="E997" s="67">
        <f t="shared" si="95"/>
        <v>66.733352072954972</v>
      </c>
      <c r="F997" s="70">
        <f t="shared" si="99"/>
        <v>4.052049137869826</v>
      </c>
      <c r="G997" s="67">
        <f>E997/'Lookup Tables'!$C$48</f>
        <v>133.46670414590994</v>
      </c>
      <c r="H997" s="70">
        <f t="shared" si="96"/>
        <v>1.5805632409199352E-2</v>
      </c>
      <c r="I997" s="71">
        <f t="shared" si="100"/>
        <v>0.1921920539701103</v>
      </c>
      <c r="L997" s="74"/>
      <c r="M997" s="74"/>
      <c r="N997" s="74"/>
      <c r="O997" s="74"/>
      <c r="P997" s="74"/>
      <c r="Q997" s="74"/>
      <c r="R997" s="74"/>
      <c r="S997" s="74"/>
      <c r="T997" s="74"/>
      <c r="U997" s="74"/>
      <c r="V997" s="74"/>
      <c r="W997" s="74"/>
      <c r="X997" s="74"/>
      <c r="Y997" s="74"/>
      <c r="Z997" s="74"/>
    </row>
    <row r="998" spans="1:26" x14ac:dyDescent="0.3">
      <c r="A998" s="66">
        <f t="shared" si="98"/>
        <v>2089.0999999999099</v>
      </c>
      <c r="B998" s="67">
        <f>LOOKUP(A998+0.01,Amounts!$A$4:$A$103,Amounts!$B$4:$B$103)*0.1*$A$2</f>
        <v>0</v>
      </c>
      <c r="C998" s="68">
        <f t="shared" si="97"/>
        <v>2219148.7781994981</v>
      </c>
      <c r="D998" s="67">
        <f t="array" ref="D998">SUM($B$7:$B993*$F$1009*EXP(-$F$1009*($A998-$A$7:$A993)))*$F$1010</f>
        <v>34906814.379021928</v>
      </c>
      <c r="E998" s="67">
        <f t="shared" si="95"/>
        <v>66.546760037906708</v>
      </c>
      <c r="F998" s="70">
        <f t="shared" si="99"/>
        <v>4.0407192695016958</v>
      </c>
      <c r="G998" s="67">
        <f>E998/'Lookup Tables'!$C$48</f>
        <v>133.09352007581342</v>
      </c>
      <c r="H998" s="70">
        <f t="shared" si="96"/>
        <v>1.5761438538745596E-2</v>
      </c>
      <c r="I998" s="71">
        <f t="shared" si="100"/>
        <v>0.19165466890917132</v>
      </c>
      <c r="L998" s="74"/>
      <c r="M998" s="74"/>
      <c r="N998" s="74"/>
      <c r="O998" s="74"/>
      <c r="P998" s="74"/>
      <c r="Q998" s="74"/>
      <c r="R998" s="74"/>
      <c r="S998" s="74"/>
      <c r="T998" s="74"/>
      <c r="U998" s="74"/>
      <c r="V998" s="74"/>
      <c r="W998" s="74"/>
      <c r="X998" s="74"/>
      <c r="Y998" s="74"/>
      <c r="Z998" s="74"/>
    </row>
    <row r="999" spans="1:26" x14ac:dyDescent="0.3">
      <c r="A999" s="66">
        <f t="shared" si="98"/>
        <v>2089.1999999999098</v>
      </c>
      <c r="B999" s="67">
        <f>LOOKUP(A999+0.01,Amounts!$A$4:$A$103,Amounts!$B$4:$B$103)*0.1*$A$2</f>
        <v>0</v>
      </c>
      <c r="C999" s="68">
        <f t="shared" si="97"/>
        <v>2219148.7781994981</v>
      </c>
      <c r="D999" s="67">
        <f t="array" ref="D999">SUM($B$7:$B994*$F$1009*EXP(-$F$1009*($A999-$A$7:$A994)))*$F$1010</f>
        <v>34809212.005850084</v>
      </c>
      <c r="E999" s="67">
        <f t="shared" si="95"/>
        <v>66.36068972979804</v>
      </c>
      <c r="F999" s="70">
        <f t="shared" si="99"/>
        <v>4.0294210803933366</v>
      </c>
      <c r="G999" s="67">
        <f>E999/'Lookup Tables'!$C$48</f>
        <v>132.72137945959608</v>
      </c>
      <c r="H999" s="70">
        <f t="shared" si="96"/>
        <v>1.5717368238050717E-2</v>
      </c>
      <c r="I999" s="71">
        <f t="shared" si="100"/>
        <v>0.19111878642181834</v>
      </c>
      <c r="L999" s="74"/>
      <c r="M999" s="74"/>
      <c r="N999" s="74"/>
      <c r="O999" s="74"/>
      <c r="P999" s="74"/>
      <c r="Q999" s="74"/>
      <c r="R999" s="74"/>
      <c r="S999" s="74"/>
      <c r="T999" s="74"/>
      <c r="U999" s="74"/>
      <c r="V999" s="74"/>
      <c r="W999" s="74"/>
      <c r="X999" s="74"/>
      <c r="Y999" s="74"/>
      <c r="Z999" s="74"/>
    </row>
    <row r="1000" spans="1:26" x14ac:dyDescent="0.3">
      <c r="A1000" s="66">
        <f t="shared" si="98"/>
        <v>2089.2999999999097</v>
      </c>
      <c r="B1000" s="67">
        <f>LOOKUP(A1000+0.01,Amounts!$A$4:$A$103,Amounts!$B$4:$B$103)*0.1*$A$2</f>
        <v>0</v>
      </c>
      <c r="C1000" s="68">
        <f t="shared" si="97"/>
        <v>2219148.7781994981</v>
      </c>
      <c r="D1000" s="67">
        <f t="array" ref="D1000">SUM($B$7:$B995*$F$1009*EXP(-$F$1009*($A1000-$A$7:$A995)))*$F$1010</f>
        <v>34711882.537078649</v>
      </c>
      <c r="E1000" s="67">
        <f t="shared" si="95"/>
        <v>66.175139689836726</v>
      </c>
      <c r="F1000" s="70">
        <f t="shared" si="99"/>
        <v>4.018154481966886</v>
      </c>
      <c r="G1000" s="67">
        <f>E1000/'Lookup Tables'!$C$48</f>
        <v>132.35027937967345</v>
      </c>
      <c r="H1000" s="70">
        <f t="shared" si="96"/>
        <v>1.5673421161603331E-2</v>
      </c>
      <c r="I1000" s="71">
        <f t="shared" si="100"/>
        <v>0.19058440230672979</v>
      </c>
      <c r="L1000" s="74"/>
      <c r="M1000" s="74"/>
      <c r="N1000" s="74"/>
      <c r="O1000" s="74"/>
      <c r="P1000" s="74"/>
      <c r="Q1000" s="74"/>
      <c r="R1000" s="74"/>
      <c r="S1000" s="74"/>
      <c r="T1000" s="74"/>
      <c r="U1000" s="74"/>
      <c r="V1000" s="74"/>
      <c r="W1000" s="74"/>
      <c r="X1000" s="74"/>
      <c r="Y1000" s="74"/>
      <c r="Z1000" s="74"/>
    </row>
    <row r="1001" spans="1:26" x14ac:dyDescent="0.3">
      <c r="A1001" s="66">
        <f t="shared" si="98"/>
        <v>2089.3999999999096</v>
      </c>
      <c r="B1001" s="67">
        <f>LOOKUP(A1001+0.01,Amounts!$A$4:$A$103,Amounts!$B$4:$B$103)*0.1*$A$2</f>
        <v>0</v>
      </c>
      <c r="C1001" s="68">
        <f t="shared" si="97"/>
        <v>2219148.7781994981</v>
      </c>
      <c r="D1001" s="67">
        <f t="array" ref="D1001">SUM($B$7:$B996*$F$1009*EXP(-$F$1009*($A1001-$A$7:$A996)))*$F$1010</f>
        <v>34614825.209644102</v>
      </c>
      <c r="E1001" s="67">
        <f t="shared" si="95"/>
        <v>65.990108463309539</v>
      </c>
      <c r="F1001" s="70">
        <f t="shared" si="99"/>
        <v>4.0069193858921555</v>
      </c>
      <c r="G1001" s="67">
        <f>E1001/'Lookup Tables'!$C$48</f>
        <v>131.98021692661908</v>
      </c>
      <c r="H1001" s="70">
        <f t="shared" si="96"/>
        <v>1.5629596964858126E-2</v>
      </c>
      <c r="I1001" s="71">
        <f t="shared" si="100"/>
        <v>0.19005151237433149</v>
      </c>
      <c r="L1001" s="74"/>
      <c r="M1001" s="74"/>
      <c r="N1001" s="74"/>
      <c r="O1001" s="74"/>
      <c r="P1001" s="74"/>
      <c r="Q1001" s="74"/>
      <c r="R1001" s="74"/>
      <c r="S1001" s="74"/>
      <c r="T1001" s="74"/>
      <c r="U1001" s="74"/>
      <c r="V1001" s="74"/>
      <c r="W1001" s="74"/>
      <c r="X1001" s="74"/>
      <c r="Y1001" s="74"/>
      <c r="Z1001" s="74"/>
    </row>
    <row r="1002" spans="1:26" x14ac:dyDescent="0.3">
      <c r="A1002" s="66">
        <f t="shared" si="98"/>
        <v>2089.4999999999095</v>
      </c>
      <c r="B1002" s="67">
        <f>LOOKUP(A1002+0.01,Amounts!$A$4:$A$103,Amounts!$B$4:$B$103)*0.1*$A$2</f>
        <v>0</v>
      </c>
      <c r="C1002" s="68">
        <f t="shared" si="97"/>
        <v>2219148.7781994981</v>
      </c>
      <c r="D1002" s="67">
        <f t="array" ref="D1002">SUM($B$7:$B997*$F$1009*EXP(-$F$1009*($A1002-$A$7:$A997)))*$F$1010</f>
        <v>34518039.2626165</v>
      </c>
      <c r="E1002" s="67">
        <f t="shared" si="95"/>
        <v>65.805594599570696</v>
      </c>
      <c r="F1002" s="70">
        <f t="shared" si="99"/>
        <v>3.9957157040859328</v>
      </c>
      <c r="G1002" s="67">
        <f>E1002/'Lookup Tables'!$C$48</f>
        <v>131.61118919914139</v>
      </c>
      <c r="H1002" s="70">
        <f t="shared" si="96"/>
        <v>1.5585895304233181E-2</v>
      </c>
      <c r="I1002" s="71">
        <f t="shared" si="100"/>
        <v>0.18952011244676362</v>
      </c>
      <c r="L1002" s="74"/>
      <c r="M1002" s="74"/>
      <c r="N1002" s="74"/>
      <c r="O1002" s="74"/>
      <c r="P1002" s="74"/>
      <c r="Q1002" s="74"/>
      <c r="R1002" s="74"/>
      <c r="S1002" s="74"/>
      <c r="T1002" s="74"/>
      <c r="U1002" s="74"/>
      <c r="V1002" s="74"/>
      <c r="W1002" s="74"/>
      <c r="X1002" s="74"/>
      <c r="Y1002" s="74"/>
      <c r="Z1002" s="74"/>
    </row>
    <row r="1003" spans="1:26" x14ac:dyDescent="0.3">
      <c r="A1003" s="66">
        <f t="shared" si="98"/>
        <v>2089.5999999999094</v>
      </c>
      <c r="B1003" s="67">
        <f>LOOKUP(A1003+0.01,Amounts!$A$4:$A$103,Amounts!$B$4:$B$103)*0.1*$A$2</f>
        <v>0</v>
      </c>
      <c r="C1003" s="68">
        <f t="shared" si="97"/>
        <v>2219148.7781994981</v>
      </c>
      <c r="D1003" s="67">
        <f t="array" ref="D1003">SUM($B$7:$B998*$F$1009*EXP(-$F$1009*($A1003-$A$7:$A998)))*$F$1010</f>
        <v>34421523.937193528</v>
      </c>
      <c r="E1003" s="67">
        <f t="shared" si="95"/>
        <v>65.621596652030618</v>
      </c>
      <c r="F1003" s="70">
        <f t="shared" si="99"/>
        <v>3.9845433487112993</v>
      </c>
      <c r="G1003" s="67">
        <f>E1003/'Lookup Tables'!$C$48</f>
        <v>131.24319330406124</v>
      </c>
      <c r="H1003" s="70">
        <f t="shared" si="96"/>
        <v>1.5542315837107263E-2</v>
      </c>
      <c r="I1003" s="71">
        <f t="shared" si="100"/>
        <v>0.18899019835784819</v>
      </c>
      <c r="L1003" s="74"/>
      <c r="M1003" s="74"/>
      <c r="N1003" s="74"/>
      <c r="O1003" s="74"/>
      <c r="P1003" s="74"/>
      <c r="Q1003" s="74"/>
      <c r="R1003" s="74"/>
      <c r="S1003" s="74"/>
      <c r="T1003" s="74"/>
      <c r="U1003" s="74"/>
      <c r="V1003" s="74"/>
      <c r="W1003" s="74"/>
      <c r="X1003" s="74"/>
      <c r="Y1003" s="74"/>
      <c r="Z1003" s="74"/>
    </row>
    <row r="1004" spans="1:26" x14ac:dyDescent="0.3">
      <c r="A1004" s="66">
        <f t="shared" si="98"/>
        <v>2089.6999999999093</v>
      </c>
      <c r="B1004" s="67">
        <f>LOOKUP(A1004+0.01,Amounts!$A$4:$A$103,Amounts!$B$4:$B$103)*0.1*$A$2</f>
        <v>0</v>
      </c>
      <c r="C1004" s="68">
        <f t="shared" si="97"/>
        <v>2219148.7781994981</v>
      </c>
      <c r="D1004" s="67">
        <f t="array" ref="D1004">SUM($B$7:$B999*$F$1009*EXP(-$F$1009*($A1004-$A$7:$A999)))*$F$1010</f>
        <v>34325278.476694539</v>
      </c>
      <c r="E1004" s="67">
        <f t="shared" si="95"/>
        <v>65.438113178144405</v>
      </c>
      <c r="F1004" s="70">
        <f t="shared" si="99"/>
        <v>3.9734022321769285</v>
      </c>
      <c r="G1004" s="67">
        <f>E1004/'Lookup Tables'!$C$48</f>
        <v>130.87622635628881</v>
      </c>
      <c r="H1004" s="70">
        <f t="shared" si="96"/>
        <v>1.5498858221817119E-2</v>
      </c>
      <c r="I1004" s="71">
        <f t="shared" si="100"/>
        <v>0.18846176595305592</v>
      </c>
      <c r="L1004" s="74"/>
      <c r="M1004" s="74"/>
      <c r="N1004" s="74"/>
      <c r="O1004" s="74"/>
      <c r="P1004" s="74"/>
      <c r="Q1004" s="74"/>
      <c r="R1004" s="74"/>
      <c r="S1004" s="74"/>
      <c r="T1004" s="74"/>
      <c r="U1004" s="74"/>
      <c r="V1004" s="74"/>
      <c r="W1004" s="74"/>
      <c r="X1004" s="74"/>
      <c r="Y1004" s="74"/>
      <c r="Z1004" s="74"/>
    </row>
    <row r="1005" spans="1:26" x14ac:dyDescent="0.3">
      <c r="A1005" s="66">
        <f t="shared" si="98"/>
        <v>2089.7999999999092</v>
      </c>
      <c r="B1005" s="67">
        <f>LOOKUP(A1005+0.01,Amounts!$A$4:$A$103,Amounts!$B$4:$B$103)*0.1*$A$2</f>
        <v>0</v>
      </c>
      <c r="C1005" s="68">
        <f t="shared" si="97"/>
        <v>2219148.7781994981</v>
      </c>
      <c r="D1005" s="67">
        <f t="array" ref="D1005">SUM($B$7:$B1000*$F$1009*EXP(-$F$1009*($A1005-$A$7:$A1000)))*$F$1010</f>
        <v>34229302.126554616</v>
      </c>
      <c r="E1005" s="67">
        <f t="shared" si="95"/>
        <v>65.255142739400668</v>
      </c>
      <c r="F1005" s="70">
        <f t="shared" si="99"/>
        <v>3.9622922671364087</v>
      </c>
      <c r="G1005" s="67">
        <f>E1005/'Lookup Tables'!$C$48</f>
        <v>130.51028547880134</v>
      </c>
      <c r="H1005" s="70">
        <f t="shared" si="96"/>
        <v>1.5455522117654809E-2</v>
      </c>
      <c r="I1005" s="71">
        <f t="shared" si="100"/>
        <v>0.18793481108947394</v>
      </c>
      <c r="L1005" s="74"/>
      <c r="M1005" s="74"/>
      <c r="N1005" s="74"/>
      <c r="O1005" s="74"/>
      <c r="P1005" s="74"/>
      <c r="Q1005" s="74"/>
      <c r="R1005" s="74"/>
      <c r="S1005" s="74"/>
      <c r="T1005" s="74"/>
      <c r="U1005" s="74"/>
      <c r="V1005" s="74"/>
      <c r="W1005" s="74"/>
      <c r="X1005" s="74"/>
      <c r="Y1005" s="74"/>
      <c r="Z1005" s="74"/>
    </row>
    <row r="1006" spans="1:26" x14ac:dyDescent="0.3">
      <c r="A1006" s="66">
        <f t="shared" si="98"/>
        <v>2089.8999999999091</v>
      </c>
      <c r="B1006" s="67">
        <f>LOOKUP(A1006+0.01,Amounts!$A$4:$A$103,Amounts!$B$4:$B$103)*0.1*$A$2</f>
        <v>0</v>
      </c>
      <c r="C1006" s="68">
        <f t="shared" si="97"/>
        <v>2219148.7781994981</v>
      </c>
      <c r="D1006" s="67">
        <f t="array" ref="D1006">SUM($B$7:$B1001*$F$1009*EXP(-$F$1009*($A1006-$A$7:$A1001)))*$F$1010</f>
        <v>34133594.134318694</v>
      </c>
      <c r="E1006" s="67">
        <f t="shared" si="95"/>
        <v>65.07268390131027</v>
      </c>
      <c r="F1006" s="70">
        <f t="shared" si="99"/>
        <v>3.9512133664875599</v>
      </c>
      <c r="G1006" s="67">
        <f>E1006/'Lookup Tables'!$C$48</f>
        <v>130.14536780262054</v>
      </c>
      <c r="H1006" s="70">
        <f t="shared" si="96"/>
        <v>1.5412307184865075E-2</v>
      </c>
      <c r="I1006" s="71">
        <f t="shared" si="100"/>
        <v>0.18740932963577359</v>
      </c>
      <c r="L1006" s="74"/>
      <c r="M1006" s="74"/>
      <c r="N1006" s="74"/>
      <c r="O1006" s="74"/>
      <c r="P1006" s="74"/>
      <c r="Q1006" s="74"/>
      <c r="R1006" s="74"/>
      <c r="S1006" s="74"/>
      <c r="T1006" s="74"/>
      <c r="U1006" s="74"/>
      <c r="V1006" s="74"/>
      <c r="W1006" s="74"/>
      <c r="X1006" s="74"/>
      <c r="Y1006" s="74"/>
      <c r="Z1006" s="74"/>
    </row>
    <row r="1007" spans="1:26" x14ac:dyDescent="0.3">
      <c r="A1007" s="66">
        <f>A1006+0.1</f>
        <v>2089.9999999999091</v>
      </c>
      <c r="B1007" s="67">
        <f>LOOKUP(A1007+0.01,Amounts!$A$4:$A$103,Amounts!$B$4:$B$103)*0.1*$A$2</f>
        <v>0</v>
      </c>
      <c r="C1007" s="68">
        <f>C1006+B1007</f>
        <v>2219148.7781994981</v>
      </c>
      <c r="D1007" s="67">
        <f t="array" ref="D1007">SUM($B$7:$B1002*$F$1009*EXP(-$F$1009*($A1007-$A$7:$A1002)))*$F$1010</f>
        <v>34038153.749635622</v>
      </c>
      <c r="E1007" s="67">
        <f t="shared" si="95"/>
        <v>64.890735233394963</v>
      </c>
      <c r="F1007" s="70">
        <f t="shared" si="99"/>
        <v>3.9401654433717423</v>
      </c>
      <c r="G1007" s="67">
        <f>E1007/'Lookup Tables'!$C$48</f>
        <v>129.78147046678993</v>
      </c>
      <c r="H1007" s="70">
        <f t="shared" si="96"/>
        <v>1.5369213084642612E-2</v>
      </c>
      <c r="I1007" s="71">
        <f>G1007*60*24/1000000</f>
        <v>0.18688531747217749</v>
      </c>
      <c r="L1007" s="74"/>
      <c r="M1007" s="74"/>
      <c r="N1007" s="74"/>
      <c r="O1007" s="74"/>
      <c r="P1007" s="74"/>
      <c r="Q1007" s="74"/>
      <c r="R1007" s="74"/>
      <c r="S1007" s="74"/>
      <c r="T1007" s="74"/>
      <c r="U1007" s="74"/>
      <c r="V1007" s="74"/>
      <c r="W1007" s="74"/>
      <c r="X1007" s="74"/>
      <c r="Y1007" s="74"/>
      <c r="Z1007" s="74"/>
    </row>
    <row r="1008" spans="1:26" x14ac:dyDescent="0.3">
      <c r="A1008" s="65" t="s">
        <v>11</v>
      </c>
      <c r="E1008" s="78"/>
      <c r="F1008" s="79">
        <f>'Lookup Tables'!C48</f>
        <v>0.5</v>
      </c>
    </row>
    <row r="1009" spans="1:10" x14ac:dyDescent="0.3">
      <c r="A1009" s="65" t="s">
        <v>36</v>
      </c>
      <c r="E1009" s="78"/>
      <c r="F1009" s="86">
        <f>'Lookup Tables'!F38</f>
        <v>2.8000000000000001E-2</v>
      </c>
    </row>
    <row r="1010" spans="1:10" x14ac:dyDescent="0.3">
      <c r="A1010" s="65" t="s">
        <v>35</v>
      </c>
      <c r="E1010" s="78"/>
      <c r="F1010" s="81">
        <f>'Lookup Tables'!G38/F1011</f>
        <v>5824.9199445720424</v>
      </c>
      <c r="G1010" s="65" t="s">
        <v>12</v>
      </c>
    </row>
    <row r="1011" spans="1:10" x14ac:dyDescent="0.3">
      <c r="F1011" s="82">
        <v>3.1213999999999999E-2</v>
      </c>
      <c r="G1011" s="35" t="s">
        <v>13</v>
      </c>
    </row>
    <row r="1014" spans="1:10" x14ac:dyDescent="0.3">
      <c r="E1014" s="83"/>
      <c r="H1014" s="84"/>
      <c r="I1014" s="84"/>
      <c r="J1014" s="84"/>
    </row>
    <row r="1015" spans="1:10" x14ac:dyDescent="0.3">
      <c r="E1015" s="83"/>
      <c r="H1015" s="84"/>
      <c r="I1015" s="84"/>
      <c r="J1015" s="84"/>
    </row>
  </sheetData>
  <sheetProtection password="8BBD" sheet="1" objects="1" scenarios="1" selectLockedCells="1" selectUnlockedCells="1"/>
  <mergeCells count="1">
    <mergeCell ref="D4:F4"/>
  </mergeCells>
  <phoneticPr fontId="4" type="noConversion"/>
  <pageMargins left="0.75" right="0.75" top="1" bottom="1" header="0.5" footer="0.5"/>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15"/>
  <sheetViews>
    <sheetView showGridLines="0" zoomScale="75" zoomScaleNormal="75" workbookViewId="0">
      <selection activeCell="K34" sqref="K34:M34"/>
    </sheetView>
  </sheetViews>
  <sheetFormatPr defaultColWidth="9" defaultRowHeight="13.5" x14ac:dyDescent="0.3"/>
  <cols>
    <col min="1" max="1" width="8.08203125" style="35" customWidth="1"/>
    <col min="2" max="2" width="14" style="35" customWidth="1"/>
    <col min="3" max="3" width="13.83203125" style="35" customWidth="1"/>
    <col min="4" max="4" width="11.25" style="35" customWidth="1"/>
    <col min="5" max="5" width="9.75" style="35" customWidth="1"/>
    <col min="6" max="6" width="10.33203125" style="35" customWidth="1"/>
    <col min="7" max="7" width="14.08203125" style="35" customWidth="1"/>
    <col min="8" max="104" width="13.58203125" style="35" customWidth="1"/>
    <col min="105" max="16384" width="9" style="35"/>
  </cols>
  <sheetData>
    <row r="1" spans="1:26" ht="40.5" customHeight="1" x14ac:dyDescent="0.3">
      <c r="A1" s="34">
        <v>0.5</v>
      </c>
      <c r="B1" s="35" t="s">
        <v>16</v>
      </c>
      <c r="F1" s="34">
        <f>A1</f>
        <v>0.5</v>
      </c>
      <c r="G1" s="35" t="s">
        <v>37</v>
      </c>
    </row>
    <row r="2" spans="1:26" ht="14" thickBot="1" x14ac:dyDescent="0.35">
      <c r="A2" s="36">
        <f>Amounts!G2</f>
        <v>1.0999999999999999E-2</v>
      </c>
      <c r="B2" s="37"/>
      <c r="C2" s="37"/>
    </row>
    <row r="3" spans="1:26" ht="14" thickTop="1" x14ac:dyDescent="0.3">
      <c r="A3" s="38"/>
      <c r="B3" s="39"/>
      <c r="C3" s="39"/>
      <c r="D3" s="40"/>
      <c r="E3" s="41"/>
      <c r="F3" s="42"/>
      <c r="G3" s="43"/>
      <c r="H3" s="41"/>
      <c r="I3" s="44"/>
      <c r="J3" s="35">
        <f>A7</f>
        <v>1990</v>
      </c>
      <c r="K3" s="73">
        <v>0</v>
      </c>
    </row>
    <row r="4" spans="1:26" x14ac:dyDescent="0.3">
      <c r="A4" s="45"/>
      <c r="B4" s="46"/>
      <c r="C4" s="47" t="s">
        <v>1</v>
      </c>
      <c r="D4" s="452" t="s">
        <v>33</v>
      </c>
      <c r="E4" s="453"/>
      <c r="F4" s="454"/>
      <c r="G4" s="48" t="s">
        <v>6</v>
      </c>
      <c r="H4" s="49"/>
      <c r="I4" s="50"/>
      <c r="J4" s="35">
        <f t="shared" ref="J4:J67" si="0">J3+1</f>
        <v>1991</v>
      </c>
      <c r="K4" s="75">
        <f>$G21</f>
        <v>1.1405367197871992</v>
      </c>
    </row>
    <row r="5" spans="1:26" x14ac:dyDescent="0.3">
      <c r="A5" s="45"/>
      <c r="B5" s="51" t="s">
        <v>2</v>
      </c>
      <c r="C5" s="52" t="s">
        <v>3</v>
      </c>
      <c r="D5" s="53"/>
      <c r="E5" s="54"/>
      <c r="F5" s="55"/>
      <c r="G5" s="56" t="s">
        <v>34</v>
      </c>
      <c r="H5" s="49"/>
      <c r="I5" s="57"/>
      <c r="J5" s="35">
        <f t="shared" si="0"/>
        <v>1992</v>
      </c>
      <c r="K5" s="75">
        <f>$G31</f>
        <v>2.2880483707644892</v>
      </c>
    </row>
    <row r="6" spans="1:26" x14ac:dyDescent="0.3">
      <c r="A6" s="58" t="s">
        <v>0</v>
      </c>
      <c r="B6" s="59" t="s">
        <v>4</v>
      </c>
      <c r="C6" s="59" t="s">
        <v>5</v>
      </c>
      <c r="D6" s="60" t="s">
        <v>14</v>
      </c>
      <c r="E6" s="60" t="s">
        <v>7</v>
      </c>
      <c r="F6" s="61" t="s">
        <v>8</v>
      </c>
      <c r="G6" s="85" t="s">
        <v>7</v>
      </c>
      <c r="H6" s="63" t="s">
        <v>9</v>
      </c>
      <c r="I6" s="64" t="s">
        <v>10</v>
      </c>
      <c r="J6" s="35">
        <f t="shared" si="0"/>
        <v>1993</v>
      </c>
      <c r="K6" s="75">
        <f>$G41</f>
        <v>3.4428880615303168</v>
      </c>
      <c r="L6" s="65"/>
    </row>
    <row r="7" spans="1:26" x14ac:dyDescent="0.3">
      <c r="A7" s="66">
        <f>Amounts!A4</f>
        <v>1990</v>
      </c>
      <c r="B7" s="67">
        <f>LOOKUP(A7+0.01,Amounts!$A$4:$A$103,Amounts!$B$4:$B$103)*0.1*$A$2</f>
        <v>337.99273750000003</v>
      </c>
      <c r="C7" s="68">
        <f>B7</f>
        <v>337.99273750000003</v>
      </c>
      <c r="D7" s="69">
        <v>0</v>
      </c>
      <c r="E7" s="67">
        <f t="shared" ref="E7:E70" si="1">D7/(365*24*60)*1.00201</f>
        <v>0</v>
      </c>
      <c r="F7" s="70">
        <f>E7*60*1012/1000000</f>
        <v>0</v>
      </c>
      <c r="G7" s="67">
        <f>E7/'Lookup Tables'!$C$48</f>
        <v>0</v>
      </c>
      <c r="H7" s="70">
        <f t="shared" ref="H7:H70" si="2">G7*60*24*365/(C7*2000)</f>
        <v>0</v>
      </c>
      <c r="I7" s="71">
        <f>G7*60*24/1000000</f>
        <v>0</v>
      </c>
      <c r="J7" s="35">
        <f t="shared" si="0"/>
        <v>1994</v>
      </c>
      <c r="K7" s="75">
        <f>$G51</f>
        <v>4.6054039916064724</v>
      </c>
      <c r="L7" s="65"/>
    </row>
    <row r="8" spans="1:26" x14ac:dyDescent="0.3">
      <c r="A8" s="66">
        <f>A7+0.1</f>
        <v>1990.1</v>
      </c>
      <c r="B8" s="67">
        <f>LOOKUP(A8+0.01,Amounts!$A$4:$A$103,Amounts!$B$4:$B$103)*0.1*$A$2</f>
        <v>337.99273750000003</v>
      </c>
      <c r="C8" s="68">
        <f>C7+B8</f>
        <v>675.98547500000006</v>
      </c>
      <c r="D8" s="69">
        <v>0</v>
      </c>
      <c r="E8" s="67">
        <f t="shared" si="1"/>
        <v>0</v>
      </c>
      <c r="F8" s="70">
        <f>E8*60*1012/1000000</f>
        <v>0</v>
      </c>
      <c r="G8" s="67">
        <f>E8/'Lookup Tables'!$C$48</f>
        <v>0</v>
      </c>
      <c r="H8" s="70">
        <f t="shared" si="2"/>
        <v>0</v>
      </c>
      <c r="I8" s="71">
        <f>G8*60*24/1000000</f>
        <v>0</v>
      </c>
      <c r="J8" s="35">
        <f t="shared" si="0"/>
        <v>1995</v>
      </c>
      <c r="K8" s="75">
        <f>$G61</f>
        <v>5.7759804358018165</v>
      </c>
      <c r="L8" s="74"/>
      <c r="M8" s="74"/>
      <c r="N8" s="74"/>
      <c r="O8" s="74"/>
      <c r="P8" s="74"/>
      <c r="Q8" s="74"/>
      <c r="R8" s="74"/>
      <c r="S8" s="74"/>
      <c r="T8" s="74"/>
      <c r="U8" s="74"/>
      <c r="V8" s="74"/>
      <c r="W8" s="74"/>
      <c r="X8" s="74"/>
      <c r="Y8" s="74"/>
      <c r="Z8" s="74"/>
    </row>
    <row r="9" spans="1:26" x14ac:dyDescent="0.3">
      <c r="A9" s="66">
        <f t="shared" ref="A9:A15" si="3">A8+0.1</f>
        <v>1990.1999999999998</v>
      </c>
      <c r="B9" s="67">
        <f>LOOKUP(A9+0.01,Amounts!$A$4:$A$103,Amounts!$B$4:$B$103)*0.1*$A$2</f>
        <v>337.99273750000003</v>
      </c>
      <c r="C9" s="68">
        <f t="shared" ref="C9:C72" si="4">C8+B9</f>
        <v>1013.9782125000002</v>
      </c>
      <c r="D9" s="69">
        <v>0</v>
      </c>
      <c r="E9" s="67">
        <f t="shared" si="1"/>
        <v>0</v>
      </c>
      <c r="F9" s="70">
        <f t="shared" ref="F9:F16" si="5">E9*60*1012/1000000</f>
        <v>0</v>
      </c>
      <c r="G9" s="67">
        <f>E9/'Lookup Tables'!$C$48</f>
        <v>0</v>
      </c>
      <c r="H9" s="70">
        <f t="shared" si="2"/>
        <v>0</v>
      </c>
      <c r="I9" s="71">
        <f t="shared" ref="I9:I15" si="6">G9*60*24/1000000</f>
        <v>0</v>
      </c>
      <c r="J9" s="35">
        <f t="shared" si="0"/>
        <v>1996</v>
      </c>
      <c r="K9" s="75">
        <f>$G71</f>
        <v>6.9549554104461704</v>
      </c>
      <c r="L9" s="74"/>
      <c r="M9" s="74"/>
      <c r="N9" s="74"/>
      <c r="O9" s="74"/>
      <c r="P9" s="74"/>
      <c r="Q9" s="74"/>
      <c r="R9" s="74"/>
      <c r="S9" s="74"/>
      <c r="T9" s="74"/>
      <c r="U9" s="74"/>
      <c r="V9" s="74"/>
      <c r="W9" s="74"/>
      <c r="X9" s="74"/>
      <c r="Y9" s="74"/>
      <c r="Z9" s="74"/>
    </row>
    <row r="10" spans="1:26" x14ac:dyDescent="0.3">
      <c r="A10" s="66">
        <f t="shared" si="3"/>
        <v>1990.2999999999997</v>
      </c>
      <c r="B10" s="67">
        <f>LOOKUP(A10+0.01,Amounts!$A$4:$A$103,Amounts!$B$4:$B$103)*0.1*$A$2</f>
        <v>337.99273750000003</v>
      </c>
      <c r="C10" s="68">
        <f t="shared" si="4"/>
        <v>1351.9709500000001</v>
      </c>
      <c r="D10" s="69">
        <v>0</v>
      </c>
      <c r="E10" s="67">
        <f t="shared" si="1"/>
        <v>0</v>
      </c>
      <c r="F10" s="70">
        <f t="shared" si="5"/>
        <v>0</v>
      </c>
      <c r="G10" s="67">
        <f>E10/'Lookup Tables'!$C$48</f>
        <v>0</v>
      </c>
      <c r="H10" s="70">
        <f t="shared" si="2"/>
        <v>0</v>
      </c>
      <c r="I10" s="71">
        <f t="shared" si="6"/>
        <v>0</v>
      </c>
      <c r="J10" s="35">
        <f t="shared" si="0"/>
        <v>1997</v>
      </c>
      <c r="K10" s="75">
        <f>$G81</f>
        <v>8.1427440648433187</v>
      </c>
      <c r="L10" s="74"/>
      <c r="M10" s="74"/>
      <c r="N10" s="74"/>
      <c r="O10" s="74"/>
      <c r="P10" s="74"/>
      <c r="Q10" s="74"/>
      <c r="R10" s="74"/>
      <c r="S10" s="74"/>
      <c r="T10" s="74"/>
      <c r="U10" s="74"/>
      <c r="V10" s="74"/>
      <c r="W10" s="74"/>
      <c r="X10" s="74"/>
      <c r="Y10" s="74"/>
      <c r="Z10" s="74"/>
    </row>
    <row r="11" spans="1:26" x14ac:dyDescent="0.3">
      <c r="A11" s="66">
        <f t="shared" si="3"/>
        <v>1990.3999999999996</v>
      </c>
      <c r="B11" s="67">
        <f>LOOKUP(A11+0.01,Amounts!$A$4:$A$103,Amounts!$B$4:$B$103)*0.1*$A$2</f>
        <v>337.99273750000003</v>
      </c>
      <c r="C11" s="68">
        <f t="shared" si="4"/>
        <v>1689.9636875000001</v>
      </c>
      <c r="D11" s="69">
        <v>0</v>
      </c>
      <c r="E11" s="67">
        <f t="shared" si="1"/>
        <v>0</v>
      </c>
      <c r="F11" s="70">
        <f t="shared" si="5"/>
        <v>0</v>
      </c>
      <c r="G11" s="67">
        <f>E11/'Lookup Tables'!$C$48</f>
        <v>0</v>
      </c>
      <c r="H11" s="70">
        <f t="shared" si="2"/>
        <v>0</v>
      </c>
      <c r="I11" s="71">
        <f t="shared" si="6"/>
        <v>0</v>
      </c>
      <c r="J11" s="35">
        <f t="shared" si="0"/>
        <v>1998</v>
      </c>
      <c r="K11" s="75">
        <f>$G91</f>
        <v>9.3397148605867102</v>
      </c>
      <c r="L11" s="74"/>
      <c r="M11" s="74"/>
      <c r="N11" s="74"/>
      <c r="O11" s="74"/>
      <c r="P11" s="74"/>
      <c r="Q11" s="74"/>
      <c r="R11" s="74"/>
      <c r="S11" s="74"/>
      <c r="T11" s="74"/>
      <c r="U11" s="74"/>
      <c r="V11" s="74"/>
      <c r="W11" s="74"/>
      <c r="X11" s="74"/>
      <c r="Y11" s="74"/>
      <c r="Z11" s="74"/>
    </row>
    <row r="12" spans="1:26" x14ac:dyDescent="0.3">
      <c r="A12" s="66">
        <f t="shared" si="3"/>
        <v>1990.4999999999995</v>
      </c>
      <c r="B12" s="67">
        <f>LOOKUP(A12+0.01,Amounts!$A$4:$A$103,Amounts!$B$4:$B$103)*0.1*$A$2</f>
        <v>337.99273750000003</v>
      </c>
      <c r="C12" s="68">
        <f t="shared" si="4"/>
        <v>2027.9564250000001</v>
      </c>
      <c r="D12" s="67">
        <f t="array" ref="D12">SUM($B$7:$B7*$F$1009*EXP(-$F$1009*($A12-$A$7:$A7)))*$F$1010</f>
        <v>30101.984036591428</v>
      </c>
      <c r="E12" s="67">
        <f t="shared" si="1"/>
        <v>5.7386775160778121E-2</v>
      </c>
      <c r="F12" s="70">
        <f t="shared" si="5"/>
        <v>3.4845249877624475E-3</v>
      </c>
      <c r="G12" s="67">
        <f>E12/'Lookup Tables'!$C$48</f>
        <v>0.11477355032155624</v>
      </c>
      <c r="H12" s="70">
        <f t="shared" si="2"/>
        <v>1.4873341780262847E-2</v>
      </c>
      <c r="I12" s="71">
        <f t="shared" si="6"/>
        <v>1.6527391246304099E-4</v>
      </c>
      <c r="J12" s="35">
        <f t="shared" si="0"/>
        <v>1999</v>
      </c>
      <c r="K12" s="75">
        <f>$G101</f>
        <v>10.546231136748805</v>
      </c>
      <c r="L12" s="74"/>
      <c r="M12" s="74"/>
      <c r="N12" s="74"/>
      <c r="O12" s="74"/>
      <c r="P12" s="74"/>
      <c r="Q12" s="74"/>
      <c r="R12" s="74"/>
      <c r="S12" s="74"/>
      <c r="T12" s="74"/>
      <c r="U12" s="74"/>
      <c r="V12" s="74"/>
      <c r="W12" s="74"/>
      <c r="X12" s="74"/>
      <c r="Y12" s="74"/>
      <c r="Z12" s="74"/>
    </row>
    <row r="13" spans="1:26" x14ac:dyDescent="0.3">
      <c r="A13" s="66">
        <f t="shared" si="3"/>
        <v>1990.5999999999995</v>
      </c>
      <c r="B13" s="67">
        <f>LOOKUP(A13+0.01,Amounts!$A$4:$A$103,Amounts!$B$4:$B$103)*0.1*$A$2</f>
        <v>337.99273750000003</v>
      </c>
      <c r="C13" s="68">
        <f t="shared" si="4"/>
        <v>2365.9491625000001</v>
      </c>
      <c r="D13" s="67">
        <f t="array" ref="D13">SUM($B$7:$B8*$F$1009*EXP(-$F$1009*($A13-$A$7:$A8)))*$F$1010</f>
        <v>60161.854781714203</v>
      </c>
      <c r="E13" s="67">
        <f t="shared" si="1"/>
        <v>0.11469326504913518</v>
      </c>
      <c r="F13" s="70">
        <f t="shared" si="5"/>
        <v>6.9641750537834876E-3</v>
      </c>
      <c r="G13" s="67">
        <f>E13/'Lookup Tables'!$C$48</f>
        <v>0.22938653009827037</v>
      </c>
      <c r="H13" s="70">
        <f t="shared" si="2"/>
        <v>2.547932181523594E-2</v>
      </c>
      <c r="I13" s="71">
        <f t="shared" si="6"/>
        <v>3.3031660334150934E-4</v>
      </c>
      <c r="J13" s="35">
        <f t="shared" si="0"/>
        <v>2000</v>
      </c>
      <c r="K13" s="75">
        <f>$G111</f>
        <v>11.762692097212213</v>
      </c>
      <c r="L13" s="74"/>
      <c r="M13" s="74"/>
      <c r="N13" s="74"/>
      <c r="O13" s="74"/>
      <c r="P13" s="74"/>
      <c r="Q13" s="74"/>
      <c r="R13" s="74"/>
      <c r="S13" s="74"/>
      <c r="T13" s="74"/>
      <c r="U13" s="74"/>
      <c r="V13" s="74"/>
      <c r="W13" s="74"/>
      <c r="X13" s="74"/>
      <c r="Y13" s="74"/>
      <c r="Z13" s="74"/>
    </row>
    <row r="14" spans="1:26" x14ac:dyDescent="0.3">
      <c r="A14" s="66">
        <f t="shared" si="3"/>
        <v>1990.6999999999994</v>
      </c>
      <c r="B14" s="67">
        <f>LOOKUP(A14+0.01,Amounts!$A$4:$A$103,Amounts!$B$4:$B$103)*0.1*$A$2</f>
        <v>337.99273750000003</v>
      </c>
      <c r="C14" s="68">
        <f t="shared" si="4"/>
        <v>2703.9419000000003</v>
      </c>
      <c r="D14" s="67">
        <f t="array" ref="D14">SUM($B$7:$B9*$F$1009*EXP(-$F$1009*($A14-$A$7:$A9)))*$F$1010</f>
        <v>90179.671152724608</v>
      </c>
      <c r="E14" s="67">
        <f t="shared" si="1"/>
        <v>0.1719195819858097</v>
      </c>
      <c r="F14" s="70">
        <f t="shared" si="5"/>
        <v>1.0438957018178366E-2</v>
      </c>
      <c r="G14" s="67">
        <f>E14/'Lookup Tables'!$C$48</f>
        <v>0.3438391639716194</v>
      </c>
      <c r="H14" s="70">
        <f t="shared" si="2"/>
        <v>3.341822259263099E-2</v>
      </c>
      <c r="I14" s="71">
        <f t="shared" si="6"/>
        <v>4.9512839611913191E-4</v>
      </c>
      <c r="J14" s="35">
        <f t="shared" si="0"/>
        <v>2001</v>
      </c>
      <c r="K14" s="75">
        <f>$G121</f>
        <v>12.989491395945187</v>
      </c>
      <c r="L14" s="74"/>
      <c r="M14" s="74"/>
      <c r="N14" s="74"/>
      <c r="O14" s="74"/>
      <c r="P14" s="74"/>
      <c r="Q14" s="74"/>
      <c r="R14" s="74"/>
      <c r="S14" s="74"/>
      <c r="T14" s="74"/>
      <c r="U14" s="74"/>
      <c r="V14" s="74"/>
      <c r="W14" s="74"/>
      <c r="X14" s="74"/>
      <c r="Y14" s="74"/>
      <c r="Z14" s="74"/>
    </row>
    <row r="15" spans="1:26" x14ac:dyDescent="0.3">
      <c r="A15" s="66">
        <f t="shared" si="3"/>
        <v>1990.7999999999993</v>
      </c>
      <c r="B15" s="67">
        <f>LOOKUP(A15+0.01,Amounts!$A$4:$A$103,Amounts!$B$4:$B$103)*0.1*$A$2</f>
        <v>337.99273750000003</v>
      </c>
      <c r="C15" s="68">
        <f t="shared" si="4"/>
        <v>3041.9346375000005</v>
      </c>
      <c r="D15" s="67">
        <f t="array" ref="D15">SUM($B$7:$B10*$F$1009*EXP(-$F$1009*($A15-$A$7:$A10)))*$F$1010</f>
        <v>120155.49198455231</v>
      </c>
      <c r="E15" s="67">
        <f t="shared" si="1"/>
        <v>0.22906583813440118</v>
      </c>
      <c r="F15" s="70">
        <f t="shared" si="5"/>
        <v>1.3908877691520841E-2</v>
      </c>
      <c r="G15" s="67">
        <f>E15/'Lookup Tables'!$C$48</f>
        <v>0.45813167626880236</v>
      </c>
      <c r="H15" s="70">
        <f t="shared" si="2"/>
        <v>3.9579089911803284E-2</v>
      </c>
      <c r="I15" s="71">
        <f t="shared" si="6"/>
        <v>6.597096138270754E-4</v>
      </c>
      <c r="J15" s="35">
        <f t="shared" si="0"/>
        <v>2002</v>
      </c>
      <c r="K15" s="75">
        <f>$G131</f>
        <v>14.227058130274679</v>
      </c>
      <c r="L15" s="74"/>
      <c r="M15" s="74"/>
      <c r="N15" s="74"/>
      <c r="O15" s="74"/>
      <c r="P15" s="74"/>
      <c r="Q15" s="74"/>
      <c r="R15" s="74"/>
      <c r="S15" s="74"/>
      <c r="T15" s="74"/>
      <c r="U15" s="74"/>
      <c r="V15" s="74"/>
      <c r="W15" s="74"/>
      <c r="X15" s="74"/>
      <c r="Y15" s="74"/>
      <c r="Z15" s="74"/>
    </row>
    <row r="16" spans="1:26" x14ac:dyDescent="0.3">
      <c r="A16" s="66">
        <f>A15+0.1</f>
        <v>1990.8999999999992</v>
      </c>
      <c r="B16" s="67">
        <f>LOOKUP(A16+0.01,Amounts!$A$4:$A$103,Amounts!$B$4:$B$103)*0.1*$A$2</f>
        <v>337.99273750000003</v>
      </c>
      <c r="C16" s="68">
        <f t="shared" si="4"/>
        <v>3379.9273750000007</v>
      </c>
      <c r="D16" s="67">
        <f t="array" ref="D16">SUM($B$7:$B11*$F$1009*EXP(-$F$1009*($A16-$A$7:$A11)))*$F$1010</f>
        <v>150089.37602981579</v>
      </c>
      <c r="E16" s="67">
        <f t="shared" si="1"/>
        <v>0.28613214550159005</v>
      </c>
      <c r="F16" s="70">
        <f t="shared" si="5"/>
        <v>1.7373943874856548E-2</v>
      </c>
      <c r="G16" s="67">
        <f>E16/'Lookup Tables'!$C$48</f>
        <v>0.5722642910031801</v>
      </c>
      <c r="H16" s="70">
        <f t="shared" si="2"/>
        <v>4.4495351227964101E-2</v>
      </c>
      <c r="I16" s="71">
        <f>G16*60*24/1000000</f>
        <v>8.2406057904457937E-4</v>
      </c>
      <c r="J16" s="35">
        <f t="shared" si="0"/>
        <v>2003</v>
      </c>
      <c r="K16" s="75">
        <f>$G141</f>
        <v>15.475774515905503</v>
      </c>
      <c r="L16" s="74"/>
      <c r="M16" s="74"/>
      <c r="N16" s="74"/>
      <c r="O16" s="74"/>
      <c r="P16" s="74"/>
      <c r="Q16" s="74"/>
      <c r="R16" s="74"/>
      <c r="S16" s="74"/>
      <c r="T16" s="74"/>
      <c r="U16" s="74"/>
      <c r="V16" s="74"/>
      <c r="W16" s="74"/>
      <c r="X16" s="74"/>
      <c r="Y16" s="74"/>
      <c r="Z16" s="74"/>
    </row>
    <row r="17" spans="1:26" x14ac:dyDescent="0.3">
      <c r="A17" s="66">
        <f>A16+0.1</f>
        <v>1990.9999999999991</v>
      </c>
      <c r="B17" s="67">
        <f>LOOKUP(A17+0.01,Amounts!$A$4:$A$103,Amounts!$B$4:$B$103)*0.1*$A$2</f>
        <v>344.75865490000007</v>
      </c>
      <c r="C17" s="68">
        <f t="shared" si="4"/>
        <v>3724.6860299000009</v>
      </c>
      <c r="D17" s="67">
        <f t="array" ref="D17">SUM($B$7:$B12*$F$1009*EXP(-$F$1009*($A17-$A$7:$A12)))*$F$1010</f>
        <v>179981.38195893733</v>
      </c>
      <c r="E17" s="67">
        <f t="shared" si="1"/>
        <v>0.34311861593735699</v>
      </c>
      <c r="F17" s="70">
        <f>E17*60*1012/1000000</f>
        <v>2.0834162359716316E-2</v>
      </c>
      <c r="G17" s="67">
        <f>E17/'Lookup Tables'!$C$48</f>
        <v>0.68623723187471397</v>
      </c>
      <c r="H17" s="70">
        <f t="shared" si="2"/>
        <v>4.8418348040335797E-2</v>
      </c>
      <c r="I17" s="71">
        <f>G17*60*24/1000000</f>
        <v>9.8818161389958815E-4</v>
      </c>
      <c r="J17" s="35">
        <f t="shared" si="0"/>
        <v>2004</v>
      </c>
      <c r="K17" s="75">
        <f>$G151</f>
        <v>16.736058370921072</v>
      </c>
      <c r="L17" s="74"/>
      <c r="M17" s="74"/>
      <c r="N17" s="74"/>
      <c r="O17" s="74"/>
      <c r="P17" s="74"/>
      <c r="Q17" s="74"/>
      <c r="R17" s="74"/>
      <c r="S17" s="74"/>
      <c r="T17" s="74"/>
      <c r="U17" s="74"/>
      <c r="V17" s="74"/>
      <c r="W17" s="74"/>
      <c r="X17" s="74"/>
      <c r="Y17" s="74"/>
      <c r="Z17" s="74"/>
    </row>
    <row r="18" spans="1:26" x14ac:dyDescent="0.3">
      <c r="A18" s="66">
        <f>A17+0.1</f>
        <v>1991.099999999999</v>
      </c>
      <c r="B18" s="67">
        <f>LOOKUP(A18+0.01,Amounts!$A$4:$A$103,Amounts!$B$4:$B$103)*0.1*$A$2</f>
        <v>344.75865490000007</v>
      </c>
      <c r="C18" s="68">
        <f t="shared" si="4"/>
        <v>4069.4446848000011</v>
      </c>
      <c r="D18" s="67">
        <f t="array" ref="D18">SUM($B$7:$B13*$F$1009*EXP(-$F$1009*($A18-$A$7:$A13)))*$F$1010</f>
        <v>209831.5683602581</v>
      </c>
      <c r="E18" s="67">
        <f t="shared" si="1"/>
        <v>0.40002536113520215</v>
      </c>
      <c r="F18" s="70">
        <f>E18*60*1012/1000000</f>
        <v>2.4289539928129475E-2</v>
      </c>
      <c r="G18" s="67">
        <f>E18/'Lookup Tables'!$C$48</f>
        <v>0.8000507222704043</v>
      </c>
      <c r="H18" s="70">
        <f t="shared" si="2"/>
        <v>5.1666344206124884E-2</v>
      </c>
      <c r="I18" s="71">
        <f>G18*60*24/1000000</f>
        <v>1.1520730400693823E-3</v>
      </c>
      <c r="J18" s="35">
        <f t="shared" si="0"/>
        <v>2005</v>
      </c>
      <c r="K18" s="75">
        <f>$G161</f>
        <v>18.008321704707384</v>
      </c>
      <c r="L18" s="74"/>
      <c r="M18" s="74"/>
      <c r="N18" s="74"/>
      <c r="O18" s="74"/>
      <c r="P18" s="74"/>
      <c r="Q18" s="74"/>
      <c r="R18" s="74"/>
      <c r="S18" s="74"/>
      <c r="T18" s="74"/>
      <c r="U18" s="74"/>
      <c r="V18" s="74"/>
      <c r="W18" s="74"/>
      <c r="X18" s="74"/>
      <c r="Y18" s="74"/>
      <c r="Z18" s="74"/>
    </row>
    <row r="19" spans="1:26" x14ac:dyDescent="0.3">
      <c r="A19" s="66">
        <f t="shared" ref="A19:A82" si="7">A18+0.1</f>
        <v>1991.1999999999989</v>
      </c>
      <c r="B19" s="67">
        <f>LOOKUP(A19+0.01,Amounts!$A$4:$A$103,Amounts!$B$4:$B$103)*0.1*$A$2</f>
        <v>344.75865490000007</v>
      </c>
      <c r="C19" s="68">
        <f t="shared" si="4"/>
        <v>4414.2033397000014</v>
      </c>
      <c r="D19" s="67">
        <f t="array" ref="D19">SUM($B$7:$B14*$F$1009*EXP(-$F$1009*($A19-$A$7:$A14)))*$F$1010</f>
        <v>239639.993740153</v>
      </c>
      <c r="E19" s="67">
        <f t="shared" si="1"/>
        <v>0.45685249263236438</v>
      </c>
      <c r="F19" s="70">
        <f t="shared" ref="F19:F82" si="8">E19*60*1012/1000000</f>
        <v>2.7740083352637165E-2</v>
      </c>
      <c r="G19" s="67">
        <f>E19/'Lookup Tables'!$C$48</f>
        <v>0.91370498526472876</v>
      </c>
      <c r="H19" s="70">
        <f t="shared" si="2"/>
        <v>5.4397509957910074E-2</v>
      </c>
      <c r="I19" s="71">
        <f t="shared" ref="I19:I82" si="9">G19*60*24/1000000</f>
        <v>1.3157351787812094E-3</v>
      </c>
      <c r="J19" s="35">
        <f t="shared" si="0"/>
        <v>2006</v>
      </c>
      <c r="K19" s="75">
        <f>$G171</f>
        <v>19.293011714823681</v>
      </c>
      <c r="L19" s="74"/>
      <c r="M19" s="74"/>
      <c r="N19" s="74"/>
      <c r="O19" s="74"/>
      <c r="P19" s="74"/>
      <c r="Q19" s="74"/>
      <c r="R19" s="74"/>
      <c r="S19" s="74"/>
      <c r="T19" s="74"/>
      <c r="U19" s="74"/>
      <c r="V19" s="74"/>
      <c r="W19" s="74"/>
      <c r="X19" s="74"/>
      <c r="Y19" s="74"/>
      <c r="Z19" s="74"/>
    </row>
    <row r="20" spans="1:26" x14ac:dyDescent="0.3">
      <c r="A20" s="66">
        <f t="shared" si="7"/>
        <v>1991.2999999999988</v>
      </c>
      <c r="B20" s="67">
        <f>LOOKUP(A20+0.01,Amounts!$A$4:$A$103,Amounts!$B$4:$B$103)*0.1*$A$2</f>
        <v>344.75865490000007</v>
      </c>
      <c r="C20" s="68">
        <f t="shared" si="4"/>
        <v>4758.9619946000012</v>
      </c>
      <c r="D20" s="67">
        <f t="array" ref="D20">SUM($B$7:$B15*$F$1009*EXP(-$F$1009*($A20-$A$7:$A15)))*$F$1010</f>
        <v>269406.71652314538</v>
      </c>
      <c r="E20" s="67">
        <f t="shared" si="1"/>
        <v>0.51360012181003989</v>
      </c>
      <c r="F20" s="70">
        <f t="shared" si="8"/>
        <v>3.118579939630562E-2</v>
      </c>
      <c r="G20" s="67">
        <f>E20/'Lookup Tables'!$C$48</f>
        <v>1.0272002436200798</v>
      </c>
      <c r="H20" s="70">
        <f t="shared" si="2"/>
        <v>5.6724181518925242E-2</v>
      </c>
      <c r="I20" s="71">
        <f t="shared" si="9"/>
        <v>1.4791683508129148E-3</v>
      </c>
      <c r="J20" s="35">
        <f t="shared" si="0"/>
        <v>2007</v>
      </c>
      <c r="K20" s="75">
        <f>$G181</f>
        <v>20.590528465569481</v>
      </c>
      <c r="L20" s="74"/>
      <c r="M20" s="74"/>
      <c r="N20" s="74"/>
      <c r="O20" s="74"/>
      <c r="P20" s="74"/>
      <c r="Q20" s="74"/>
      <c r="R20" s="74"/>
      <c r="S20" s="74"/>
      <c r="T20" s="74"/>
      <c r="U20" s="74"/>
      <c r="V20" s="74"/>
      <c r="W20" s="74"/>
      <c r="X20" s="74"/>
      <c r="Y20" s="74"/>
      <c r="Z20" s="74"/>
    </row>
    <row r="21" spans="1:26" x14ac:dyDescent="0.3">
      <c r="A21" s="66">
        <f t="shared" si="7"/>
        <v>1991.3999999999987</v>
      </c>
      <c r="B21" s="67">
        <f>LOOKUP(A21+0.01,Amounts!$A$4:$A$103,Amounts!$B$4:$B$103)*0.1*$A$2</f>
        <v>344.75865490000007</v>
      </c>
      <c r="C21" s="68">
        <f t="shared" si="4"/>
        <v>5103.7206495000009</v>
      </c>
      <c r="D21" s="67">
        <f t="array" ref="D21">SUM($B$7:$B16*$F$1009*EXP(-$F$1009*($A21-$A$7:$A16)))*$F$1010</f>
        <v>299131.79505202139</v>
      </c>
      <c r="E21" s="67">
        <f t="shared" si="1"/>
        <v>0.57026835989359959</v>
      </c>
      <c r="F21" s="70">
        <f t="shared" si="8"/>
        <v>3.4626694812739361E-2</v>
      </c>
      <c r="G21" s="67">
        <f>E21/'Lookup Tables'!$C$48</f>
        <v>1.1405367197871992</v>
      </c>
      <c r="H21" s="70">
        <f t="shared" si="2"/>
        <v>5.8728341644137601E-2</v>
      </c>
      <c r="I21" s="71">
        <f t="shared" si="9"/>
        <v>1.6423728764935668E-3</v>
      </c>
      <c r="J21" s="35">
        <f t="shared" si="0"/>
        <v>2008</v>
      </c>
      <c r="K21" s="75">
        <f>$G191</f>
        <v>21.901307375483523</v>
      </c>
      <c r="L21" s="74"/>
      <c r="M21" s="74"/>
      <c r="N21" s="74"/>
      <c r="O21" s="74"/>
      <c r="P21" s="74"/>
      <c r="Q21" s="74"/>
      <c r="R21" s="74"/>
      <c r="S21" s="74"/>
      <c r="T21" s="74"/>
      <c r="U21" s="74"/>
      <c r="V21" s="74"/>
      <c r="W21" s="74"/>
      <c r="X21" s="74"/>
      <c r="Y21" s="74"/>
      <c r="Z21" s="74"/>
    </row>
    <row r="22" spans="1:26" x14ac:dyDescent="0.3">
      <c r="A22" s="66">
        <f t="shared" si="7"/>
        <v>1991.4999999999986</v>
      </c>
      <c r="B22" s="67">
        <f>LOOKUP(A22+0.01,Amounts!$A$4:$A$103,Amounts!$B$4:$B$103)*0.1*$A$2</f>
        <v>344.75865490000007</v>
      </c>
      <c r="C22" s="68">
        <f t="shared" si="4"/>
        <v>5448.4793044000007</v>
      </c>
      <c r="D22" s="67">
        <f t="array" ref="D22">SUM($B$7:$B17*$F$1009*EXP(-$F$1009*($A22-$A$7:$A17)))*$F$1010</f>
        <v>329417.86721457826</v>
      </c>
      <c r="E22" s="67">
        <f t="shared" si="1"/>
        <v>0.62800608281521986</v>
      </c>
      <c r="F22" s="70">
        <f t="shared" si="8"/>
        <v>3.8132529348540146E-2</v>
      </c>
      <c r="G22" s="67">
        <f>E22/'Lookup Tables'!$C$48</f>
        <v>1.2560121656304397</v>
      </c>
      <c r="H22" s="70">
        <f t="shared" si="2"/>
        <v>6.0582041095598636E-2</v>
      </c>
      <c r="I22" s="71">
        <f t="shared" si="9"/>
        <v>1.8086575185078332E-3</v>
      </c>
      <c r="J22" s="35">
        <f t="shared" si="0"/>
        <v>2009</v>
      </c>
      <c r="K22" s="75">
        <f>$G201</f>
        <v>23.225818725833115</v>
      </c>
      <c r="L22" s="74"/>
      <c r="M22" s="74"/>
      <c r="N22" s="74"/>
      <c r="O22" s="74"/>
      <c r="P22" s="74"/>
      <c r="Q22" s="74"/>
      <c r="R22" s="74"/>
      <c r="S22" s="74"/>
      <c r="T22" s="74"/>
      <c r="U22" s="74"/>
      <c r="V22" s="74"/>
      <c r="W22" s="74"/>
      <c r="X22" s="74"/>
      <c r="Y22" s="74"/>
      <c r="Z22" s="74"/>
    </row>
    <row r="23" spans="1:26" x14ac:dyDescent="0.3">
      <c r="A23" s="66">
        <f t="shared" si="7"/>
        <v>1991.5999999999985</v>
      </c>
      <c r="B23" s="67">
        <f>LOOKUP(A23+0.01,Amounts!$A$4:$A$103,Amounts!$B$4:$B$103)*0.1*$A$2</f>
        <v>344.75865490000007</v>
      </c>
      <c r="C23" s="68">
        <f t="shared" si="4"/>
        <v>5793.2379593000005</v>
      </c>
      <c r="D23" s="67">
        <f t="array" ref="D23">SUM($B$7:$B18*$F$1009*EXP(-$F$1009*($A23-$A$7:$A18)))*$F$1010</f>
        <v>359661.56854261237</v>
      </c>
      <c r="E23" s="67">
        <f t="shared" si="1"/>
        <v>0.68566302948132241</v>
      </c>
      <c r="F23" s="70">
        <f t="shared" si="8"/>
        <v>4.1633459150105898E-2</v>
      </c>
      <c r="G23" s="67">
        <f>E23/'Lookup Tables'!$C$48</f>
        <v>1.3713260589626448</v>
      </c>
      <c r="H23" s="70">
        <f t="shared" si="2"/>
        <v>6.2207782733462669E-2</v>
      </c>
      <c r="I23" s="71">
        <f t="shared" si="9"/>
        <v>1.9747095249062086E-3</v>
      </c>
      <c r="J23" s="35">
        <f t="shared" si="0"/>
        <v>2010</v>
      </c>
      <c r="K23" s="75">
        <f>$G211</f>
        <v>24.564485343705549</v>
      </c>
      <c r="L23" s="74"/>
      <c r="M23" s="74"/>
      <c r="N23" s="74"/>
      <c r="O23" s="74"/>
      <c r="P23" s="74"/>
      <c r="Q23" s="74"/>
      <c r="R23" s="74"/>
      <c r="S23" s="74"/>
      <c r="T23" s="74"/>
      <c r="U23" s="74"/>
      <c r="V23" s="74"/>
      <c r="W23" s="74"/>
      <c r="X23" s="74"/>
      <c r="Y23" s="74"/>
      <c r="Z23" s="74"/>
    </row>
    <row r="24" spans="1:26" x14ac:dyDescent="0.3">
      <c r="A24" s="66">
        <f t="shared" si="7"/>
        <v>1991.6999999999985</v>
      </c>
      <c r="B24" s="67">
        <f>LOOKUP(A24+0.01,Amounts!$A$4:$A$103,Amounts!$B$4:$B$103)*0.1*$A$2</f>
        <v>344.75865490000007</v>
      </c>
      <c r="C24" s="68">
        <f t="shared" si="4"/>
        <v>6137.9966142000003</v>
      </c>
      <c r="D24" s="67">
        <f t="array" ref="D24">SUM($B$7:$B19*$F$1009*EXP(-$F$1009*($A24-$A$7:$A19)))*$F$1010</f>
        <v>389862.958313788</v>
      </c>
      <c r="E24" s="67">
        <f t="shared" si="1"/>
        <v>0.74323931289954093</v>
      </c>
      <c r="F24" s="70">
        <f t="shared" si="8"/>
        <v>4.5129491079260127E-2</v>
      </c>
      <c r="G24" s="67">
        <f>E24/'Lookup Tables'!$C$48</f>
        <v>1.4864786257990819</v>
      </c>
      <c r="H24" s="70">
        <f t="shared" si="2"/>
        <v>6.3643988000295415E-2</v>
      </c>
      <c r="I24" s="71">
        <f t="shared" si="9"/>
        <v>2.140529221150678E-3</v>
      </c>
      <c r="J24" s="35">
        <f t="shared" si="0"/>
        <v>2011</v>
      </c>
      <c r="K24" s="75">
        <f>$G221</f>
        <v>25.917765093968828</v>
      </c>
      <c r="L24" s="74"/>
      <c r="M24" s="74"/>
      <c r="N24" s="74"/>
      <c r="O24" s="74"/>
      <c r="P24" s="74"/>
      <c r="Q24" s="74"/>
      <c r="R24" s="74"/>
      <c r="S24" s="74"/>
      <c r="T24" s="74"/>
      <c r="U24" s="74"/>
      <c r="V24" s="74"/>
      <c r="W24" s="74"/>
      <c r="X24" s="74"/>
      <c r="Y24" s="74"/>
      <c r="Z24" s="74"/>
    </row>
    <row r="25" spans="1:26" x14ac:dyDescent="0.3">
      <c r="A25" s="66">
        <f t="shared" si="7"/>
        <v>1991.7999999999984</v>
      </c>
      <c r="B25" s="67">
        <f>LOOKUP(A25+0.01,Amounts!$A$4:$A$103,Amounts!$B$4:$B$103)*0.1*$A$2</f>
        <v>344.75865490000007</v>
      </c>
      <c r="C25" s="68">
        <f t="shared" si="4"/>
        <v>6482.7552691000001</v>
      </c>
      <c r="D25" s="67">
        <f t="array" ref="D25">SUM($B$7:$B20*$F$1009*EXP(-$F$1009*($A25-$A$7:$A20)))*$F$1010</f>
        <v>420022.09572283854</v>
      </c>
      <c r="E25" s="67">
        <f t="shared" si="1"/>
        <v>0.80073504591940925</v>
      </c>
      <c r="F25" s="70">
        <f t="shared" si="8"/>
        <v>4.8620631988226526E-2</v>
      </c>
      <c r="G25" s="67">
        <f>E25/'Lookup Tables'!$C$48</f>
        <v>1.6014700918388185</v>
      </c>
      <c r="H25" s="70">
        <f t="shared" si="2"/>
        <v>6.4920905180748917E-2</v>
      </c>
      <c r="I25" s="71">
        <f t="shared" si="9"/>
        <v>2.3061169322478987E-3</v>
      </c>
      <c r="J25" s="35">
        <f t="shared" si="0"/>
        <v>2012</v>
      </c>
      <c r="K25" s="75">
        <f>$G231</f>
        <v>27.286109476044771</v>
      </c>
      <c r="L25" s="74"/>
      <c r="M25" s="74"/>
      <c r="N25" s="74"/>
      <c r="O25" s="74"/>
      <c r="P25" s="74"/>
      <c r="Q25" s="74"/>
      <c r="R25" s="74"/>
      <c r="S25" s="74"/>
      <c r="T25" s="74"/>
      <c r="U25" s="74"/>
      <c r="V25" s="74"/>
      <c r="W25" s="74"/>
      <c r="X25" s="74"/>
      <c r="Y25" s="74"/>
      <c r="Z25" s="74"/>
    </row>
    <row r="26" spans="1:26" x14ac:dyDescent="0.3">
      <c r="A26" s="66">
        <f t="shared" si="7"/>
        <v>1991.8999999999983</v>
      </c>
      <c r="B26" s="67">
        <f>LOOKUP(A26+0.01,Amounts!$A$4:$A$103,Amounts!$B$4:$B$103)*0.1*$A$2</f>
        <v>344.75865490000007</v>
      </c>
      <c r="C26" s="68">
        <f t="shared" si="4"/>
        <v>6827.5139239999999</v>
      </c>
      <c r="D26" s="67">
        <f t="array" ref="D26">SUM($B$7:$B21*$F$1009*EXP(-$F$1009*($A26-$A$7:$A21)))*$F$1010</f>
        <v>450139.0398816833</v>
      </c>
      <c r="E26" s="67">
        <f t="shared" si="1"/>
        <v>0.85815034123258283</v>
      </c>
      <c r="F26" s="70">
        <f t="shared" si="8"/>
        <v>5.2106888719642426E-2</v>
      </c>
      <c r="G26" s="67">
        <f>E26/'Lookup Tables'!$C$48</f>
        <v>1.7163006824651657</v>
      </c>
      <c r="H26" s="70">
        <f t="shared" si="2"/>
        <v>6.6062672939610045E-2</v>
      </c>
      <c r="I26" s="71">
        <f t="shared" si="9"/>
        <v>2.4714729827498387E-3</v>
      </c>
      <c r="J26" s="35">
        <f t="shared" si="0"/>
        <v>2013</v>
      </c>
      <c r="K26" s="75">
        <f>$G241</f>
        <v>28.747990744678422</v>
      </c>
      <c r="L26" s="74"/>
      <c r="M26" s="74"/>
      <c r="N26" s="74"/>
      <c r="O26" s="74"/>
      <c r="P26" s="74"/>
      <c r="Q26" s="74"/>
      <c r="R26" s="74"/>
      <c r="S26" s="74"/>
      <c r="T26" s="74"/>
      <c r="U26" s="74"/>
      <c r="V26" s="74"/>
      <c r="W26" s="74"/>
      <c r="X26" s="74"/>
      <c r="Y26" s="74"/>
      <c r="Z26" s="74"/>
    </row>
    <row r="27" spans="1:26" x14ac:dyDescent="0.3">
      <c r="A27" s="66">
        <f t="shared" si="7"/>
        <v>1991.9999999999982</v>
      </c>
      <c r="B27" s="67">
        <f>LOOKUP(A27+0.01,Amounts!$A$4:$A$103,Amounts!$B$4:$B$103)*0.1*$A$2</f>
        <v>351.65795060000005</v>
      </c>
      <c r="C27" s="68">
        <f t="shared" si="4"/>
        <v>7179.1718745999997</v>
      </c>
      <c r="D27" s="67">
        <f t="array" ref="D27">SUM($B$7:$B22*$F$1009*EXP(-$F$1009*($A27-$A$7:$A22)))*$F$1010</f>
        <v>480213.84981954232</v>
      </c>
      <c r="E27" s="67">
        <f t="shared" si="1"/>
        <v>0.91548531137305866</v>
      </c>
      <c r="F27" s="70">
        <f t="shared" si="8"/>
        <v>5.5588268106572122E-2</v>
      </c>
      <c r="G27" s="67">
        <f>E27/'Lookup Tables'!$C$48</f>
        <v>1.8309706227461173</v>
      </c>
      <c r="H27" s="70">
        <f t="shared" si="2"/>
        <v>6.7024315347581687E-2</v>
      </c>
      <c r="I27" s="71">
        <f t="shared" si="9"/>
        <v>2.636597696754409E-3</v>
      </c>
      <c r="J27" s="35">
        <f t="shared" si="0"/>
        <v>2014</v>
      </c>
      <c r="K27" s="75">
        <f>$G251</f>
        <v>30.226372777639252</v>
      </c>
      <c r="L27" s="74"/>
      <c r="M27" s="74"/>
      <c r="N27" s="74"/>
      <c r="O27" s="74"/>
      <c r="P27" s="74"/>
      <c r="Q27" s="74"/>
      <c r="R27" s="74"/>
      <c r="S27" s="74"/>
      <c r="T27" s="74"/>
      <c r="U27" s="74"/>
      <c r="V27" s="74"/>
      <c r="W27" s="74"/>
      <c r="X27" s="74"/>
      <c r="Y27" s="74"/>
      <c r="Z27" s="74"/>
    </row>
    <row r="28" spans="1:26" x14ac:dyDescent="0.3">
      <c r="A28" s="66">
        <f t="shared" si="7"/>
        <v>1992.0999999999981</v>
      </c>
      <c r="B28" s="67">
        <f>LOOKUP(A28+0.01,Amounts!$A$4:$A$103,Amounts!$B$4:$B$103)*0.1*$A$2</f>
        <v>351.65795060000005</v>
      </c>
      <c r="C28" s="68">
        <f t="shared" si="4"/>
        <v>7530.8298251999995</v>
      </c>
      <c r="D28" s="67">
        <f t="array" ref="D28">SUM($B$7:$B23*$F$1009*EXP(-$F$1009*($A28-$A$7:$A23)))*$F$1010</f>
        <v>510246.5844830526</v>
      </c>
      <c r="E28" s="67">
        <f t="shared" si="1"/>
        <v>0.97274006871739638</v>
      </c>
      <c r="F28" s="70">
        <f t="shared" si="8"/>
        <v>5.9064776972520314E-2</v>
      </c>
      <c r="G28" s="67">
        <f>E28/'Lookup Tables'!$C$48</f>
        <v>1.9454801374347928</v>
      </c>
      <c r="H28" s="70">
        <f t="shared" si="2"/>
        <v>6.789055017642566E-2</v>
      </c>
      <c r="I28" s="71">
        <f t="shared" si="9"/>
        <v>2.8014913979061014E-3</v>
      </c>
      <c r="J28" s="35">
        <f t="shared" si="0"/>
        <v>2015</v>
      </c>
      <c r="K28" s="75">
        <f>$G261</f>
        <v>31.721762663860659</v>
      </c>
      <c r="L28" s="74"/>
      <c r="M28" s="74"/>
      <c r="N28" s="74"/>
      <c r="O28" s="74"/>
      <c r="P28" s="74"/>
      <c r="Q28" s="74"/>
      <c r="R28" s="74"/>
      <c r="S28" s="74"/>
      <c r="T28" s="74"/>
      <c r="U28" s="74"/>
      <c r="V28" s="74"/>
      <c r="W28" s="74"/>
      <c r="X28" s="74"/>
      <c r="Y28" s="74"/>
      <c r="Z28" s="74"/>
    </row>
    <row r="29" spans="1:26" x14ac:dyDescent="0.3">
      <c r="A29" s="66">
        <f t="shared" si="7"/>
        <v>1992.199999999998</v>
      </c>
      <c r="B29" s="67">
        <f>LOOKUP(A29+0.01,Amounts!$A$4:$A$103,Amounts!$B$4:$B$103)*0.1*$A$2</f>
        <v>351.65795060000005</v>
      </c>
      <c r="C29" s="68">
        <f t="shared" si="4"/>
        <v>7882.4877757999993</v>
      </c>
      <c r="D29" s="67">
        <f t="array" ref="D29">SUM($B$7:$B24*$F$1009*EXP(-$F$1009*($A29-$A$7:$A24)))*$F$1010</f>
        <v>540237.3027363841</v>
      </c>
      <c r="E29" s="67">
        <f t="shared" si="1"/>
        <v>1.0299147254849397</v>
      </c>
      <c r="F29" s="70">
        <f t="shared" si="8"/>
        <v>6.2536422131445529E-2</v>
      </c>
      <c r="G29" s="67">
        <f>E29/'Lookup Tables'!$C$48</f>
        <v>2.0598294509698793</v>
      </c>
      <c r="H29" s="70">
        <f t="shared" si="2"/>
        <v>6.8674154037612192E-2</v>
      </c>
      <c r="I29" s="71">
        <f t="shared" si="9"/>
        <v>2.9661544093966263E-3</v>
      </c>
      <c r="J29" s="35">
        <f t="shared" si="0"/>
        <v>2016</v>
      </c>
      <c r="K29" s="75">
        <f>$G271</f>
        <v>33.234660442494658</v>
      </c>
      <c r="L29" s="74"/>
      <c r="M29" s="74"/>
      <c r="N29" s="74"/>
      <c r="O29" s="74"/>
      <c r="P29" s="74"/>
      <c r="Q29" s="74"/>
      <c r="R29" s="74"/>
      <c r="S29" s="74"/>
      <c r="T29" s="74"/>
      <c r="U29" s="74"/>
      <c r="V29" s="74"/>
      <c r="W29" s="74"/>
      <c r="X29" s="74"/>
      <c r="Y29" s="74"/>
      <c r="Z29" s="74"/>
    </row>
    <row r="30" spans="1:26" x14ac:dyDescent="0.3">
      <c r="A30" s="66">
        <f t="shared" si="7"/>
        <v>1992.2999999999979</v>
      </c>
      <c r="B30" s="67">
        <f>LOOKUP(A30+0.01,Amounts!$A$4:$A$103,Amounts!$B$4:$B$103)*0.1*$A$2</f>
        <v>351.65795060000005</v>
      </c>
      <c r="C30" s="68">
        <f t="shared" si="4"/>
        <v>8234.1457264000001</v>
      </c>
      <c r="D30" s="67">
        <f t="array" ref="D30">SUM($B$7:$B25*$F$1009*EXP(-$F$1009*($A30-$A$7:$A25)))*$F$1010</f>
        <v>570186.06336135371</v>
      </c>
      <c r="E30" s="67">
        <f t="shared" si="1"/>
        <v>1.0870093937380327</v>
      </c>
      <c r="F30" s="70">
        <f t="shared" si="8"/>
        <v>6.6003210387773348E-2</v>
      </c>
      <c r="G30" s="67">
        <f>E30/'Lookup Tables'!$C$48</f>
        <v>2.1740187874760655</v>
      </c>
      <c r="H30" s="70">
        <f t="shared" si="2"/>
        <v>6.9385720915398297E-2</v>
      </c>
      <c r="I30" s="71">
        <f t="shared" si="9"/>
        <v>3.1305870539655345E-3</v>
      </c>
      <c r="J30" s="35">
        <f t="shared" si="0"/>
        <v>2017</v>
      </c>
      <c r="K30" s="75">
        <f>$G281</f>
        <v>34.765600117036641</v>
      </c>
      <c r="L30" s="74"/>
      <c r="M30" s="74"/>
      <c r="N30" s="74"/>
      <c r="O30" s="74"/>
      <c r="P30" s="74"/>
      <c r="Q30" s="74"/>
      <c r="R30" s="74"/>
      <c r="S30" s="74"/>
      <c r="T30" s="74"/>
      <c r="U30" s="74"/>
      <c r="V30" s="74"/>
      <c r="W30" s="74"/>
      <c r="X30" s="74"/>
      <c r="Y30" s="74"/>
      <c r="Z30" s="74"/>
    </row>
    <row r="31" spans="1:26" x14ac:dyDescent="0.3">
      <c r="A31" s="66">
        <f t="shared" si="7"/>
        <v>1992.3999999999978</v>
      </c>
      <c r="B31" s="67">
        <f>LOOKUP(A31+0.01,Amounts!$A$4:$A$103,Amounts!$B$4:$B$103)*0.1*$A$2</f>
        <v>351.65795060000005</v>
      </c>
      <c r="C31" s="68">
        <f t="shared" si="4"/>
        <v>8585.8036769999999</v>
      </c>
      <c r="D31" s="67">
        <f t="array" ref="D31">SUM($B$7:$B26*$F$1009*EXP(-$F$1009*($A31-$A$7:$A26)))*$F$1010</f>
        <v>600092.92505754204</v>
      </c>
      <c r="E31" s="67">
        <f t="shared" si="1"/>
        <v>1.1440241853822446</v>
      </c>
      <c r="F31" s="70">
        <f t="shared" si="8"/>
        <v>6.9465148536409907E-2</v>
      </c>
      <c r="G31" s="67">
        <f>E31/'Lookup Tables'!$C$48</f>
        <v>2.2880483707644892</v>
      </c>
      <c r="H31" s="70">
        <f t="shared" si="2"/>
        <v>7.0034109147835796E-2</v>
      </c>
      <c r="I31" s="71">
        <f t="shared" si="9"/>
        <v>3.2947896539008647E-3</v>
      </c>
      <c r="J31" s="35">
        <f t="shared" si="0"/>
        <v>2018</v>
      </c>
      <c r="K31" s="75">
        <f>$G291</f>
        <v>34.282272900234929</v>
      </c>
      <c r="L31" s="74"/>
      <c r="M31" s="74"/>
      <c r="N31" s="74"/>
      <c r="O31" s="74"/>
      <c r="P31" s="74"/>
      <c r="Q31" s="74"/>
      <c r="R31" s="74"/>
      <c r="S31" s="74"/>
      <c r="T31" s="74"/>
      <c r="U31" s="74"/>
      <c r="V31" s="74"/>
      <c r="W31" s="74"/>
      <c r="X31" s="74"/>
      <c r="Y31" s="74"/>
      <c r="Z31" s="74"/>
    </row>
    <row r="32" spans="1:26" x14ac:dyDescent="0.3">
      <c r="A32" s="66">
        <f t="shared" si="7"/>
        <v>1992.4999999999977</v>
      </c>
      <c r="B32" s="67">
        <f>LOOKUP(A32+0.01,Amounts!$A$4:$A$103,Amounts!$B$4:$B$103)*0.1*$A$2</f>
        <v>351.65795060000005</v>
      </c>
      <c r="C32" s="68">
        <f t="shared" si="4"/>
        <v>8937.4616275999997</v>
      </c>
      <c r="D32" s="67">
        <f t="array" ref="D32">SUM($B$7:$B27*$F$1009*EXP(-$F$1009*($A32-$A$7:$A27)))*$F$1010</f>
        <v>630572.40487888537</v>
      </c>
      <c r="E32" s="67">
        <f t="shared" si="1"/>
        <v>1.2021306229313014</v>
      </c>
      <c r="F32" s="70">
        <f t="shared" si="8"/>
        <v>7.2993371424388623E-2</v>
      </c>
      <c r="G32" s="67">
        <f>E32/'Lookup Tables'!$C$48</f>
        <v>2.4042612458626027</v>
      </c>
      <c r="H32" s="70">
        <f t="shared" si="2"/>
        <v>7.0695671963669368E-2</v>
      </c>
      <c r="I32" s="71">
        <f t="shared" si="9"/>
        <v>3.4621361940421484E-3</v>
      </c>
      <c r="J32" s="35">
        <f t="shared" si="0"/>
        <v>2019</v>
      </c>
      <c r="K32" s="75">
        <f>$G301</f>
        <v>33.805665118671371</v>
      </c>
      <c r="L32" s="74"/>
      <c r="M32" s="74"/>
      <c r="N32" s="74"/>
      <c r="O32" s="74"/>
      <c r="P32" s="74"/>
      <c r="Q32" s="74"/>
      <c r="R32" s="74"/>
      <c r="S32" s="74"/>
      <c r="T32" s="74"/>
      <c r="U32" s="74"/>
      <c r="V32" s="74"/>
      <c r="W32" s="74"/>
      <c r="X32" s="74"/>
      <c r="Y32" s="74"/>
      <c r="Z32" s="74"/>
    </row>
    <row r="33" spans="1:26" x14ac:dyDescent="0.3">
      <c r="A33" s="66">
        <f t="shared" si="7"/>
        <v>1992.5999999999976</v>
      </c>
      <c r="B33" s="67">
        <f>LOOKUP(A33+0.01,Amounts!$A$4:$A$103,Amounts!$B$4:$B$103)*0.1*$A$2</f>
        <v>351.65795060000005</v>
      </c>
      <c r="C33" s="68">
        <f t="shared" si="4"/>
        <v>9289.1195781999995</v>
      </c>
      <c r="D33" s="67">
        <f t="array" ref="D33">SUM($B$7:$B28*$F$1009*EXP(-$F$1009*($A33-$A$7:$A28)))*$F$1010</f>
        <v>661009.24328443466</v>
      </c>
      <c r="E33" s="67">
        <f t="shared" si="1"/>
        <v>1.2601557683855336</v>
      </c>
      <c r="F33" s="70">
        <f t="shared" si="8"/>
        <v>7.6516658256369594E-2</v>
      </c>
      <c r="G33" s="67">
        <f>E33/'Lookup Tables'!$C$48</f>
        <v>2.5203115367710671</v>
      </c>
      <c r="H33" s="70">
        <f t="shared" si="2"/>
        <v>7.1302545552092145E-2</v>
      </c>
      <c r="I33" s="71">
        <f t="shared" si="9"/>
        <v>3.6292486129503366E-3</v>
      </c>
      <c r="J33" s="35">
        <f t="shared" si="0"/>
        <v>2020</v>
      </c>
      <c r="K33" s="75">
        <f>$G311</f>
        <v>33.335683355694918</v>
      </c>
      <c r="L33" s="74"/>
      <c r="M33" s="74"/>
      <c r="N33" s="74"/>
      <c r="O33" s="74"/>
      <c r="P33" s="74"/>
      <c r="Q33" s="74"/>
      <c r="R33" s="74"/>
      <c r="S33" s="74"/>
      <c r="T33" s="74"/>
      <c r="U33" s="74"/>
      <c r="V33" s="74"/>
      <c r="W33" s="74"/>
      <c r="X33" s="74"/>
      <c r="Y33" s="74"/>
      <c r="Z33" s="74"/>
    </row>
    <row r="34" spans="1:26" x14ac:dyDescent="0.3">
      <c r="A34" s="66">
        <f t="shared" si="7"/>
        <v>1992.6999999999975</v>
      </c>
      <c r="B34" s="67">
        <f>LOOKUP(A34+0.01,Amounts!$A$4:$A$103,Amounts!$B$4:$B$103)*0.1*$A$2</f>
        <v>351.65795060000005</v>
      </c>
      <c r="C34" s="68">
        <f t="shared" si="4"/>
        <v>9640.7775287999993</v>
      </c>
      <c r="D34" s="67">
        <f t="array" ref="D34">SUM($B$7:$B29*$F$1009*EXP(-$F$1009*($A34-$A$7:$A29)))*$F$1010</f>
        <v>691403.49993040308</v>
      </c>
      <c r="E34" s="67">
        <f t="shared" si="1"/>
        <v>1.3180997354742452</v>
      </c>
      <c r="F34" s="70">
        <f t="shared" si="8"/>
        <v>8.0035015937996168E-2</v>
      </c>
      <c r="G34" s="67">
        <f>E34/'Lookup Tables'!$C$48</f>
        <v>2.6361994709484904</v>
      </c>
      <c r="H34" s="70">
        <f t="shared" si="2"/>
        <v>7.1860720662381694E-2</v>
      </c>
      <c r="I34" s="71">
        <f t="shared" si="9"/>
        <v>3.7961272381658263E-3</v>
      </c>
      <c r="J34" s="35">
        <f t="shared" si="0"/>
        <v>2021</v>
      </c>
      <c r="K34" s="75">
        <f>$G321</f>
        <v>32.872235493375548</v>
      </c>
      <c r="L34" s="74"/>
      <c r="M34" s="74"/>
      <c r="N34" s="74"/>
      <c r="O34" s="74"/>
      <c r="P34" s="74"/>
      <c r="Q34" s="74"/>
      <c r="R34" s="74"/>
      <c r="S34" s="74"/>
      <c r="T34" s="74"/>
      <c r="U34" s="74"/>
      <c r="V34" s="74"/>
      <c r="W34" s="74"/>
      <c r="X34" s="74"/>
      <c r="Y34" s="74"/>
      <c r="Z34" s="74"/>
    </row>
    <row r="35" spans="1:26" x14ac:dyDescent="0.3">
      <c r="A35" s="66">
        <f t="shared" si="7"/>
        <v>1992.7999999999975</v>
      </c>
      <c r="B35" s="67">
        <f>LOOKUP(A35+0.01,Amounts!$A$4:$A$103,Amounts!$B$4:$B$103)*0.1*$A$2</f>
        <v>351.65795060000005</v>
      </c>
      <c r="C35" s="68">
        <f t="shared" si="4"/>
        <v>9992.4354793999992</v>
      </c>
      <c r="D35" s="67">
        <f t="array" ref="D35">SUM($B$7:$B30*$F$1009*EXP(-$F$1009*($A35-$A$7:$A30)))*$F$1010</f>
        <v>721755.23438954318</v>
      </c>
      <c r="E35" s="67">
        <f t="shared" si="1"/>
        <v>1.3759626377676297</v>
      </c>
      <c r="F35" s="70">
        <f t="shared" si="8"/>
        <v>8.3548451365250478E-2</v>
      </c>
      <c r="G35" s="67">
        <f>E35/'Lookup Tables'!$C$48</f>
        <v>2.7519252755352595</v>
      </c>
      <c r="H35" s="70">
        <f t="shared" si="2"/>
        <v>7.2375344719673038E-2</v>
      </c>
      <c r="I35" s="71">
        <f t="shared" si="9"/>
        <v>3.962772396770774E-3</v>
      </c>
      <c r="J35" s="35">
        <f t="shared" si="0"/>
        <v>2022</v>
      </c>
      <c r="K35" s="75">
        <f>$G331</f>
        <v>32.415230694448546</v>
      </c>
      <c r="L35" s="74"/>
      <c r="M35" s="74"/>
      <c r="N35" s="74"/>
      <c r="O35" s="74"/>
      <c r="P35" s="74"/>
      <c r="Q35" s="74"/>
      <c r="R35" s="74"/>
      <c r="S35" s="74"/>
      <c r="T35" s="74"/>
      <c r="U35" s="74"/>
      <c r="V35" s="74"/>
      <c r="W35" s="74"/>
      <c r="X35" s="74"/>
      <c r="Y35" s="74"/>
      <c r="Z35" s="74"/>
    </row>
    <row r="36" spans="1:26" x14ac:dyDescent="0.3">
      <c r="A36" s="66">
        <f t="shared" si="7"/>
        <v>1992.8999999999974</v>
      </c>
      <c r="B36" s="67">
        <f>LOOKUP(A36+0.01,Amounts!$A$4:$A$103,Amounts!$B$4:$B$103)*0.1*$A$2</f>
        <v>351.65795060000005</v>
      </c>
      <c r="C36" s="68">
        <f t="shared" si="4"/>
        <v>10344.093429999999</v>
      </c>
      <c r="D36" s="67">
        <f t="array" ref="D36">SUM($B$7:$B31*$F$1009*EXP(-$F$1009*($A36-$A$7:$A31)))*$F$1010</f>
        <v>752064.5061512643</v>
      </c>
      <c r="E36" s="67">
        <f t="shared" si="1"/>
        <v>1.4337445886769946</v>
      </c>
      <c r="F36" s="70">
        <f t="shared" si="8"/>
        <v>8.7056971424467125E-2</v>
      </c>
      <c r="G36" s="67">
        <f>E36/'Lookup Tables'!$C$48</f>
        <v>2.8674891773539892</v>
      </c>
      <c r="H36" s="70">
        <f t="shared" si="2"/>
        <v>7.285086517326908E-2</v>
      </c>
      <c r="I36" s="71">
        <f t="shared" si="9"/>
        <v>4.1291844153897445E-3</v>
      </c>
      <c r="J36" s="35">
        <f t="shared" si="0"/>
        <v>2023</v>
      </c>
      <c r="K36" s="75">
        <f>$G341</f>
        <v>31.964579384510273</v>
      </c>
      <c r="L36" s="74"/>
      <c r="M36" s="74"/>
      <c r="N36" s="74"/>
      <c r="O36" s="74"/>
      <c r="P36" s="74"/>
      <c r="Q36" s="74"/>
      <c r="R36" s="74"/>
      <c r="S36" s="74"/>
      <c r="T36" s="74"/>
      <c r="U36" s="74"/>
      <c r="V36" s="74"/>
      <c r="W36" s="74"/>
      <c r="X36" s="74"/>
      <c r="Y36" s="74"/>
      <c r="Z36" s="74"/>
    </row>
    <row r="37" spans="1:26" x14ac:dyDescent="0.3">
      <c r="A37" s="66">
        <f t="shared" si="7"/>
        <v>1992.9999999999973</v>
      </c>
      <c r="B37" s="67">
        <f>LOOKUP(A37+0.01,Amounts!$A$4:$A$103,Amounts!$B$4:$B$103)*0.1*$A$2</f>
        <v>358.69062459999998</v>
      </c>
      <c r="C37" s="68">
        <f t="shared" si="4"/>
        <v>10702.784054599999</v>
      </c>
      <c r="D37" s="67">
        <f t="array" ref="D37">SUM($B$7:$B32*$F$1009*EXP(-$F$1009*($A37-$A$7:$A32)))*$F$1010</f>
        <v>782331.37462174881</v>
      </c>
      <c r="E37" s="67">
        <f t="shared" si="1"/>
        <v>1.491445701454982</v>
      </c>
      <c r="F37" s="70">
        <f t="shared" si="8"/>
        <v>9.0560582992346511E-2</v>
      </c>
      <c r="G37" s="67">
        <f>E37/'Lookup Tables'!$C$48</f>
        <v>2.982891402909964</v>
      </c>
      <c r="H37" s="70">
        <f t="shared" si="2"/>
        <v>7.3242985814314446E-2</v>
      </c>
      <c r="I37" s="71">
        <f t="shared" si="9"/>
        <v>4.2953636201903478E-3</v>
      </c>
      <c r="J37" s="35">
        <f t="shared" si="0"/>
        <v>2024</v>
      </c>
      <c r="K37" s="75">
        <f>$G351</f>
        <v>31.520193234461246</v>
      </c>
      <c r="L37" s="74"/>
      <c r="M37" s="74"/>
      <c r="N37" s="74"/>
      <c r="O37" s="74"/>
      <c r="P37" s="74"/>
      <c r="Q37" s="74"/>
      <c r="R37" s="74"/>
      <c r="S37" s="74"/>
      <c r="T37" s="74"/>
      <c r="U37" s="74"/>
      <c r="V37" s="74"/>
      <c r="W37" s="74"/>
      <c r="X37" s="74"/>
      <c r="Y37" s="74"/>
      <c r="Z37" s="74"/>
    </row>
    <row r="38" spans="1:26" x14ac:dyDescent="0.3">
      <c r="A38" s="66">
        <f t="shared" si="7"/>
        <v>1993.0999999999972</v>
      </c>
      <c r="B38" s="67">
        <f>LOOKUP(A38+0.01,Amounts!$A$4:$A$103,Amounts!$B$4:$B$103)*0.1*$A$2</f>
        <v>358.69062459999998</v>
      </c>
      <c r="C38" s="68">
        <f t="shared" si="4"/>
        <v>11061.474679199999</v>
      </c>
      <c r="D38" s="67">
        <f t="array" ref="D38">SUM($B$7:$B33*$F$1009*EXP(-$F$1009*($A38-$A$7:$A33)))*$F$1010</f>
        <v>812555.89912406867</v>
      </c>
      <c r="E38" s="67">
        <f t="shared" si="1"/>
        <v>1.5490660891957915</v>
      </c>
      <c r="F38" s="70">
        <f t="shared" si="8"/>
        <v>9.4059292935968458E-2</v>
      </c>
      <c r="G38" s="67">
        <f>E38/'Lookup Tables'!$C$48</f>
        <v>3.0981321783915829</v>
      </c>
      <c r="H38" s="70">
        <f t="shared" si="2"/>
        <v>7.3605840097641748E-2</v>
      </c>
      <c r="I38" s="71">
        <f t="shared" si="9"/>
        <v>4.4613103368838797E-3</v>
      </c>
      <c r="J38" s="35">
        <f t="shared" si="0"/>
        <v>2025</v>
      </c>
      <c r="K38" s="75">
        <f>$G361</f>
        <v>31.081985143193506</v>
      </c>
      <c r="L38" s="74"/>
      <c r="M38" s="74"/>
      <c r="N38" s="74"/>
      <c r="O38" s="74"/>
      <c r="P38" s="74"/>
      <c r="Q38" s="74"/>
      <c r="R38" s="74"/>
      <c r="S38" s="74"/>
      <c r="T38" s="74"/>
      <c r="U38" s="74"/>
      <c r="V38" s="74"/>
      <c r="W38" s="74"/>
      <c r="X38" s="74"/>
      <c r="Y38" s="74"/>
      <c r="Z38" s="74"/>
    </row>
    <row r="39" spans="1:26" x14ac:dyDescent="0.3">
      <c r="A39" s="66">
        <f t="shared" si="7"/>
        <v>1993.1999999999971</v>
      </c>
      <c r="B39" s="67">
        <f>LOOKUP(A39+0.01,Amounts!$A$4:$A$103,Amounts!$B$4:$B$103)*0.1*$A$2</f>
        <v>358.69062459999998</v>
      </c>
      <c r="C39" s="68">
        <f t="shared" si="4"/>
        <v>11420.165303799999</v>
      </c>
      <c r="D39" s="67">
        <f t="array" ref="D39">SUM($B$7:$B34*$F$1009*EXP(-$F$1009*($A39-$A$7:$A34)))*$F$1010</f>
        <v>842738.13889830152</v>
      </c>
      <c r="E39" s="67">
        <f t="shared" si="1"/>
        <v>1.6066058648354018</v>
      </c>
      <c r="F39" s="70">
        <f t="shared" si="8"/>
        <v>9.7553108112805598E-2</v>
      </c>
      <c r="G39" s="67">
        <f>E39/'Lookup Tables'!$C$48</f>
        <v>3.2132117296708036</v>
      </c>
      <c r="H39" s="70">
        <f t="shared" si="2"/>
        <v>7.3942190860977031E-2</v>
      </c>
      <c r="I39" s="71">
        <f t="shared" si="9"/>
        <v>4.6270248907259578E-3</v>
      </c>
      <c r="J39" s="35">
        <f t="shared" si="0"/>
        <v>2026</v>
      </c>
      <c r="K39" s="75">
        <f>$G371</f>
        <v>30.649869220518241</v>
      </c>
      <c r="L39" s="74"/>
      <c r="M39" s="74"/>
      <c r="N39" s="74"/>
      <c r="O39" s="74"/>
      <c r="P39" s="74"/>
      <c r="Q39" s="74"/>
      <c r="R39" s="74"/>
      <c r="S39" s="74"/>
      <c r="T39" s="74"/>
      <c r="U39" s="74"/>
      <c r="V39" s="74"/>
      <c r="W39" s="74"/>
      <c r="X39" s="74"/>
      <c r="Y39" s="74"/>
      <c r="Z39" s="74"/>
    </row>
    <row r="40" spans="1:26" x14ac:dyDescent="0.3">
      <c r="A40" s="66">
        <f t="shared" si="7"/>
        <v>1993.299999999997</v>
      </c>
      <c r="B40" s="67">
        <f>LOOKUP(A40+0.01,Amounts!$A$4:$A$103,Amounts!$B$4:$B$103)*0.1*$A$2</f>
        <v>358.69062459999998</v>
      </c>
      <c r="C40" s="68">
        <f t="shared" si="4"/>
        <v>11778.855928399998</v>
      </c>
      <c r="D40" s="67">
        <f t="array" ref="D40">SUM($B$7:$B35*$F$1009*EXP(-$F$1009*($A40-$A$7:$A35)))*$F$1010</f>
        <v>872878.15310164657</v>
      </c>
      <c r="E40" s="67">
        <f t="shared" si="1"/>
        <v>1.6640651411517904</v>
      </c>
      <c r="F40" s="70">
        <f t="shared" si="8"/>
        <v>0.10104203537073671</v>
      </c>
      <c r="G40" s="67">
        <f>E40/'Lookup Tables'!$C$48</f>
        <v>3.3281302823035808</v>
      </c>
      <c r="H40" s="70">
        <f t="shared" si="2"/>
        <v>7.4254464398410228E-2</v>
      </c>
      <c r="I40" s="71">
        <f t="shared" si="9"/>
        <v>4.7925076065171565E-3</v>
      </c>
      <c r="J40" s="35">
        <f t="shared" si="0"/>
        <v>2027</v>
      </c>
      <c r="K40" s="75">
        <f>$G381</f>
        <v>30.223760770331346</v>
      </c>
      <c r="L40" s="74"/>
      <c r="M40" s="74"/>
      <c r="N40" s="74"/>
      <c r="O40" s="74"/>
      <c r="P40" s="74"/>
      <c r="Q40" s="74"/>
      <c r="R40" s="74"/>
      <c r="S40" s="74"/>
      <c r="T40" s="74"/>
      <c r="U40" s="74"/>
      <c r="V40" s="74"/>
      <c r="W40" s="74"/>
      <c r="X40" s="74"/>
      <c r="Y40" s="74"/>
      <c r="Z40" s="74"/>
    </row>
    <row r="41" spans="1:26" x14ac:dyDescent="0.3">
      <c r="A41" s="66">
        <f t="shared" si="7"/>
        <v>1993.3999999999969</v>
      </c>
      <c r="B41" s="67">
        <f>LOOKUP(A41+0.01,Amounts!$A$4:$A$103,Amounts!$B$4:$B$103)*0.1*$A$2</f>
        <v>358.69062459999998</v>
      </c>
      <c r="C41" s="68">
        <f t="shared" si="4"/>
        <v>12137.546552999998</v>
      </c>
      <c r="D41" s="67">
        <f t="array" ref="D41">SUM($B$7:$B36*$F$1009*EXP(-$F$1009*($A41-$A$7:$A36)))*$F$1010</f>
        <v>902976.00080854201</v>
      </c>
      <c r="E41" s="67">
        <f t="shared" si="1"/>
        <v>1.7214440307651584</v>
      </c>
      <c r="F41" s="70">
        <f t="shared" si="8"/>
        <v>0.10452608154806041</v>
      </c>
      <c r="G41" s="67">
        <f>E41/'Lookup Tables'!$C$48</f>
        <v>3.4428880615303168</v>
      </c>
      <c r="H41" s="70">
        <f t="shared" si="2"/>
        <v>7.4544800188348845E-2</v>
      </c>
      <c r="I41" s="71">
        <f t="shared" si="9"/>
        <v>4.9577588086036559E-3</v>
      </c>
      <c r="J41" s="35">
        <f t="shared" si="0"/>
        <v>2028</v>
      </c>
      <c r="K41" s="75">
        <f>$G391</f>
        <v>29.803576274012347</v>
      </c>
      <c r="L41" s="74"/>
      <c r="M41" s="74"/>
      <c r="N41" s="74"/>
      <c r="O41" s="74"/>
      <c r="P41" s="74"/>
      <c r="Q41" s="74"/>
      <c r="R41" s="74"/>
      <c r="S41" s="74"/>
      <c r="T41" s="74"/>
      <c r="U41" s="74"/>
      <c r="V41" s="74"/>
      <c r="W41" s="74"/>
      <c r="X41" s="74"/>
      <c r="Y41" s="74"/>
      <c r="Z41" s="74"/>
    </row>
    <row r="42" spans="1:26" x14ac:dyDescent="0.3">
      <c r="A42" s="66">
        <f t="shared" si="7"/>
        <v>1993.4999999999968</v>
      </c>
      <c r="B42" s="67">
        <f>LOOKUP(A42+0.01,Amounts!$A$4:$A$103,Amounts!$B$4:$B$103)*0.1*$A$2</f>
        <v>358.69062459999998</v>
      </c>
      <c r="C42" s="68">
        <f t="shared" si="4"/>
        <v>12496.237177599998</v>
      </c>
      <c r="D42" s="67">
        <f t="array" ref="D42">SUM($B$7:$B37*$F$1009*EXP(-$F$1009*($A42-$A$7:$A37)))*$F$1010</f>
        <v>933658.07825710054</v>
      </c>
      <c r="E42" s="67">
        <f t="shared" si="1"/>
        <v>1.77993670280517</v>
      </c>
      <c r="F42" s="70">
        <f t="shared" si="8"/>
        <v>0.10807775659432993</v>
      </c>
      <c r="G42" s="67">
        <f>E42/'Lookup Tables'!$C$48</f>
        <v>3.55987340561034</v>
      </c>
      <c r="H42" s="70">
        <f t="shared" si="2"/>
        <v>7.4865314870253954E-2</v>
      </c>
      <c r="I42" s="71">
        <f t="shared" si="9"/>
        <v>5.1262177040788904E-3</v>
      </c>
      <c r="J42" s="35">
        <f t="shared" si="0"/>
        <v>2029</v>
      </c>
      <c r="K42" s="75">
        <f>$G401</f>
        <v>29.389233374054822</v>
      </c>
      <c r="L42" s="74"/>
      <c r="M42" s="74"/>
      <c r="N42" s="74"/>
      <c r="O42" s="74"/>
      <c r="P42" s="74"/>
      <c r="Q42" s="74"/>
      <c r="R42" s="74"/>
      <c r="S42" s="74"/>
      <c r="T42" s="74"/>
      <c r="U42" s="74"/>
      <c r="V42" s="74"/>
      <c r="W42" s="74"/>
      <c r="X42" s="74"/>
      <c r="Y42" s="74"/>
      <c r="Z42" s="74"/>
    </row>
    <row r="43" spans="1:26" x14ac:dyDescent="0.3">
      <c r="A43" s="66">
        <f t="shared" si="7"/>
        <v>1993.5999999999967</v>
      </c>
      <c r="B43" s="67">
        <f>LOOKUP(A43+0.01,Amounts!$A$4:$A$103,Amounts!$B$4:$B$103)*0.1*$A$2</f>
        <v>358.69062459999998</v>
      </c>
      <c r="C43" s="68">
        <f t="shared" si="4"/>
        <v>12854.927802199998</v>
      </c>
      <c r="D43" s="67">
        <f t="array" ref="D43">SUM($B$7:$B38*$F$1009*EXP(-$F$1009*($A43-$A$7:$A38)))*$F$1010</f>
        <v>964297.23085164011</v>
      </c>
      <c r="E43" s="67">
        <f t="shared" si="1"/>
        <v>1.8383475424004032</v>
      </c>
      <c r="F43" s="70">
        <f t="shared" si="8"/>
        <v>0.11162446277455249</v>
      </c>
      <c r="G43" s="67">
        <f>E43/'Lookup Tables'!$C$48</f>
        <v>3.6766950848008064</v>
      </c>
      <c r="H43" s="70">
        <f t="shared" si="2"/>
        <v>7.516459704427822E-2</v>
      </c>
      <c r="I43" s="71">
        <f t="shared" si="9"/>
        <v>5.2944409221131611E-3</v>
      </c>
      <c r="J43" s="35">
        <f t="shared" si="0"/>
        <v>2030</v>
      </c>
      <c r="K43" s="75">
        <f>$G411</f>
        <v>28.980650857923983</v>
      </c>
      <c r="L43" s="74"/>
      <c r="M43" s="74"/>
      <c r="N43" s="74"/>
      <c r="O43" s="74"/>
      <c r="P43" s="74"/>
      <c r="Q43" s="74"/>
      <c r="R43" s="74"/>
      <c r="S43" s="74"/>
      <c r="T43" s="74"/>
      <c r="U43" s="74"/>
      <c r="V43" s="74"/>
      <c r="W43" s="74"/>
      <c r="X43" s="74"/>
      <c r="Y43" s="74"/>
      <c r="Z43" s="74"/>
    </row>
    <row r="44" spans="1:26" x14ac:dyDescent="0.3">
      <c r="A44" s="66">
        <f t="shared" si="7"/>
        <v>1993.6999999999966</v>
      </c>
      <c r="B44" s="67">
        <f>LOOKUP(A44+0.01,Amounts!$A$4:$A$103,Amounts!$B$4:$B$103)*0.1*$A$2</f>
        <v>358.69062459999998</v>
      </c>
      <c r="C44" s="68">
        <f t="shared" si="4"/>
        <v>13213.618426799998</v>
      </c>
      <c r="D44" s="67">
        <f t="array" ref="D44">SUM($B$7:$B39*$F$1009*EXP(-$F$1009*($A44-$A$7:$A39)))*$F$1010</f>
        <v>994893.51864490961</v>
      </c>
      <c r="E44" s="67">
        <f t="shared" si="1"/>
        <v>1.8966766640361223</v>
      </c>
      <c r="F44" s="70">
        <f t="shared" si="8"/>
        <v>0.11516620704027335</v>
      </c>
      <c r="G44" s="67">
        <f>E44/'Lookup Tables'!$C$48</f>
        <v>3.7933533280722447</v>
      </c>
      <c r="H44" s="70">
        <f t="shared" si="2"/>
        <v>7.5444380367112512E-2</v>
      </c>
      <c r="I44" s="71">
        <f t="shared" si="9"/>
        <v>5.4624287924240327E-3</v>
      </c>
      <c r="J44" s="35">
        <f t="shared" si="0"/>
        <v>2031</v>
      </c>
      <c r="K44" s="75">
        <f>$G421</f>
        <v>28.577748642138587</v>
      </c>
      <c r="L44" s="74"/>
      <c r="M44" s="74"/>
      <c r="N44" s="74"/>
      <c r="O44" s="74"/>
      <c r="P44" s="74"/>
      <c r="Q44" s="74"/>
      <c r="R44" s="74"/>
      <c r="S44" s="74"/>
      <c r="T44" s="74"/>
      <c r="U44" s="74"/>
      <c r="V44" s="74"/>
      <c r="W44" s="74"/>
      <c r="X44" s="74"/>
      <c r="Y44" s="74"/>
      <c r="Z44" s="74"/>
    </row>
    <row r="45" spans="1:26" x14ac:dyDescent="0.3">
      <c r="A45" s="66">
        <f t="shared" si="7"/>
        <v>1993.7999999999965</v>
      </c>
      <c r="B45" s="67">
        <f>LOOKUP(A45+0.01,Amounts!$A$4:$A$103,Amounts!$B$4:$B$103)*0.1*$A$2</f>
        <v>358.69062459999998</v>
      </c>
      <c r="C45" s="68">
        <f t="shared" si="4"/>
        <v>13572.309051399998</v>
      </c>
      <c r="D45" s="67">
        <f t="array" ref="D45">SUM($B$7:$B40*$F$1009*EXP(-$F$1009*($A45-$A$7:$A40)))*$F$1010</f>
        <v>1025447.0016056425</v>
      </c>
      <c r="E45" s="67">
        <f t="shared" si="1"/>
        <v>1.9549241820374237</v>
      </c>
      <c r="F45" s="70">
        <f t="shared" si="8"/>
        <v>0.11870299633331237</v>
      </c>
      <c r="G45" s="67">
        <f>E45/'Lookup Tables'!$C$48</f>
        <v>3.9098483640748474</v>
      </c>
      <c r="H45" s="70">
        <f t="shared" si="2"/>
        <v>7.5706215220090453E-2</v>
      </c>
      <c r="I45" s="71">
        <f t="shared" si="9"/>
        <v>5.6301816442677803E-3</v>
      </c>
      <c r="J45" s="35">
        <f t="shared" si="0"/>
        <v>2032</v>
      </c>
      <c r="K45" s="75">
        <f>$G431</f>
        <v>28.180447756574569</v>
      </c>
      <c r="L45" s="74"/>
      <c r="M45" s="74"/>
      <c r="N45" s="74"/>
      <c r="O45" s="74"/>
      <c r="P45" s="74"/>
      <c r="Q45" s="74"/>
      <c r="R45" s="74"/>
      <c r="S45" s="74"/>
      <c r="T45" s="74"/>
      <c r="U45" s="74"/>
      <c r="V45" s="74"/>
      <c r="W45" s="74"/>
      <c r="X45" s="74"/>
      <c r="Y45" s="74"/>
      <c r="Z45" s="74"/>
    </row>
    <row r="46" spans="1:26" x14ac:dyDescent="0.3">
      <c r="A46" s="66">
        <f t="shared" si="7"/>
        <v>1993.8999999999965</v>
      </c>
      <c r="B46" s="67">
        <f>LOOKUP(A46+0.01,Amounts!$A$4:$A$103,Amounts!$B$4:$B$103)*0.1*$A$2</f>
        <v>358.69062459999998</v>
      </c>
      <c r="C46" s="68">
        <f t="shared" si="4"/>
        <v>13930.999675999998</v>
      </c>
      <c r="D46" s="67">
        <f t="array" ref="D46">SUM($B$7:$B41*$F$1009*EXP(-$F$1009*($A46-$A$7:$A41)))*$F$1010</f>
        <v>1055957.7396186756</v>
      </c>
      <c r="E46" s="67">
        <f t="shared" si="1"/>
        <v>2.0130902105694619</v>
      </c>
      <c r="F46" s="70">
        <f t="shared" si="8"/>
        <v>0.12223483758577773</v>
      </c>
      <c r="G46" s="67">
        <f>E46/'Lookup Tables'!$C$48</f>
        <v>4.0261804211389238</v>
      </c>
      <c r="H46" s="70">
        <f t="shared" si="2"/>
        <v>7.5951492303753698E-2</v>
      </c>
      <c r="I46" s="71">
        <f t="shared" si="9"/>
        <v>5.7976998064400501E-3</v>
      </c>
      <c r="J46" s="35">
        <f t="shared" si="0"/>
        <v>2033</v>
      </c>
      <c r="K46" s="75">
        <f>$G441</f>
        <v>27.788670328986424</v>
      </c>
      <c r="L46" s="74"/>
      <c r="M46" s="74"/>
      <c r="N46" s="74"/>
      <c r="O46" s="74"/>
      <c r="P46" s="74"/>
      <c r="Q46" s="74"/>
      <c r="R46" s="74"/>
      <c r="S46" s="74"/>
      <c r="T46" s="74"/>
      <c r="U46" s="74"/>
      <c r="V46" s="74"/>
      <c r="W46" s="74"/>
      <c r="X46" s="74"/>
      <c r="Y46" s="74"/>
      <c r="Z46" s="74"/>
    </row>
    <row r="47" spans="1:26" x14ac:dyDescent="0.3">
      <c r="A47" s="66">
        <f t="shared" si="7"/>
        <v>1993.9999999999964</v>
      </c>
      <c r="B47" s="67">
        <f>LOOKUP(A47+0.01,Amounts!$A$4:$A$103,Amounts!$B$4:$B$103)*0.1*$A$2</f>
        <v>365.86880220000006</v>
      </c>
      <c r="C47" s="68">
        <f t="shared" si="4"/>
        <v>14296.868478199998</v>
      </c>
      <c r="D47" s="67">
        <f t="array" ref="D47">SUM($B$7:$B42*$F$1009*EXP(-$F$1009*($A47-$A$7:$A42)))*$F$1010</f>
        <v>1086425.7924850648</v>
      </c>
      <c r="E47" s="67">
        <f t="shared" si="1"/>
        <v>2.0711748636376708</v>
      </c>
      <c r="F47" s="70">
        <f t="shared" si="8"/>
        <v>0.12576173772007937</v>
      </c>
      <c r="G47" s="67">
        <f>E47/'Lookup Tables'!$C$48</f>
        <v>4.1423497272753416</v>
      </c>
      <c r="H47" s="70">
        <f t="shared" si="2"/>
        <v>7.614321345879918E-2</v>
      </c>
      <c r="I47" s="71">
        <f t="shared" si="9"/>
        <v>5.9649836072764922E-3</v>
      </c>
      <c r="J47" s="35">
        <f t="shared" si="0"/>
        <v>2034</v>
      </c>
      <c r="K47" s="75">
        <f>$G451</f>
        <v>27.402339569744086</v>
      </c>
      <c r="L47" s="74"/>
      <c r="M47" s="74"/>
      <c r="N47" s="74"/>
      <c r="O47" s="74"/>
      <c r="P47" s="74"/>
      <c r="Q47" s="74"/>
      <c r="R47" s="74"/>
      <c r="S47" s="74"/>
      <c r="T47" s="74"/>
      <c r="U47" s="74"/>
      <c r="V47" s="74"/>
      <c r="W47" s="74"/>
      <c r="X47" s="74"/>
      <c r="Y47" s="74"/>
      <c r="Z47" s="74"/>
    </row>
    <row r="48" spans="1:26" x14ac:dyDescent="0.3">
      <c r="A48" s="66">
        <f t="shared" si="7"/>
        <v>1994.0999999999963</v>
      </c>
      <c r="B48" s="67">
        <f>LOOKUP(A48+0.01,Amounts!$A$4:$A$103,Amounts!$B$4:$B$103)*0.1*$A$2</f>
        <v>365.86880220000006</v>
      </c>
      <c r="C48" s="68">
        <f t="shared" si="4"/>
        <v>14662.737280399999</v>
      </c>
      <c r="D48" s="67">
        <f t="array" ref="D48">SUM($B$7:$B43*$F$1009*EXP(-$F$1009*($A48-$A$7:$A43)))*$F$1010</f>
        <v>1116851.2199222036</v>
      </c>
      <c r="E48" s="67">
        <f t="shared" si="1"/>
        <v>2.1291782550879894</v>
      </c>
      <c r="F48" s="70">
        <f t="shared" si="8"/>
        <v>0.1292837036489427</v>
      </c>
      <c r="G48" s="67">
        <f>E48/'Lookup Tables'!$C$48</f>
        <v>4.2583565101759788</v>
      </c>
      <c r="H48" s="70">
        <f t="shared" si="2"/>
        <v>7.6322453950679964E-2</v>
      </c>
      <c r="I48" s="71">
        <f t="shared" si="9"/>
        <v>6.1320333746534101E-3</v>
      </c>
      <c r="J48" s="35">
        <f t="shared" si="0"/>
        <v>2035</v>
      </c>
      <c r="K48" s="75">
        <f>$G461</f>
        <v>27.021379756782061</v>
      </c>
      <c r="L48" s="74"/>
      <c r="M48" s="74"/>
      <c r="N48" s="74"/>
      <c r="O48" s="74"/>
      <c r="P48" s="74"/>
      <c r="Q48" s="74"/>
      <c r="R48" s="74"/>
      <c r="S48" s="74"/>
      <c r="T48" s="74"/>
      <c r="U48" s="74"/>
      <c r="V48" s="74"/>
      <c r="W48" s="74"/>
      <c r="X48" s="74"/>
      <c r="Y48" s="74"/>
      <c r="Z48" s="74"/>
    </row>
    <row r="49" spans="1:26" x14ac:dyDescent="0.3">
      <c r="A49" s="66">
        <f t="shared" si="7"/>
        <v>1994.1999999999962</v>
      </c>
      <c r="B49" s="67">
        <f>LOOKUP(A49+0.01,Amounts!$A$4:$A$103,Amounts!$B$4:$B$103)*0.1*$A$2</f>
        <v>365.86880220000006</v>
      </c>
      <c r="C49" s="68">
        <f t="shared" si="4"/>
        <v>15028.606082599999</v>
      </c>
      <c r="D49" s="67">
        <f t="array" ref="D49">SUM($B$7:$B44*$F$1009*EXP(-$F$1009*($A49-$A$7:$A44)))*$F$1010</f>
        <v>1147234.08156394</v>
      </c>
      <c r="E49" s="67">
        <f t="shared" si="1"/>
        <v>2.1871004986070846</v>
      </c>
      <c r="F49" s="70">
        <f t="shared" si="8"/>
        <v>0.13280074227542218</v>
      </c>
      <c r="G49" s="67">
        <f>E49/'Lookup Tables'!$C$48</f>
        <v>4.3742009972141691</v>
      </c>
      <c r="H49" s="70">
        <f t="shared" si="2"/>
        <v>7.6490129274118898E-2</v>
      </c>
      <c r="I49" s="71">
        <f t="shared" si="9"/>
        <v>6.298849435988403E-3</v>
      </c>
      <c r="J49" s="35">
        <f t="shared" si="0"/>
        <v>2036</v>
      </c>
      <c r="K49" s="75">
        <f>$G471</f>
        <v>26.645716220757336</v>
      </c>
      <c r="L49" s="74"/>
      <c r="M49" s="74"/>
      <c r="N49" s="74"/>
      <c r="O49" s="74"/>
      <c r="P49" s="74"/>
      <c r="Q49" s="74"/>
      <c r="R49" s="74"/>
      <c r="S49" s="74"/>
      <c r="T49" s="74"/>
      <c r="U49" s="74"/>
      <c r="V49" s="74"/>
      <c r="W49" s="74"/>
      <c r="X49" s="74"/>
      <c r="Y49" s="74"/>
      <c r="Z49" s="74"/>
    </row>
    <row r="50" spans="1:26" x14ac:dyDescent="0.3">
      <c r="A50" s="66">
        <f t="shared" si="7"/>
        <v>1994.2999999999961</v>
      </c>
      <c r="B50" s="67">
        <f>LOOKUP(A50+0.01,Amounts!$A$4:$A$103,Amounts!$B$4:$B$103)*0.1*$A$2</f>
        <v>365.86880220000006</v>
      </c>
      <c r="C50" s="68">
        <f t="shared" si="4"/>
        <v>15394.4748848</v>
      </c>
      <c r="D50" s="67">
        <f t="array" ref="D50">SUM($B$7:$B45*$F$1009*EXP(-$F$1009*($A50-$A$7:$A45)))*$F$1010</f>
        <v>1177574.4369606918</v>
      </c>
      <c r="E50" s="67">
        <f t="shared" si="1"/>
        <v>2.2449417077225702</v>
      </c>
      <c r="F50" s="70">
        <f t="shared" si="8"/>
        <v>0.13631286049291447</v>
      </c>
      <c r="G50" s="67">
        <f>E50/'Lookup Tables'!$C$48</f>
        <v>4.4898834154451404</v>
      </c>
      <c r="H50" s="70">
        <f t="shared" si="2"/>
        <v>7.664706788693508E-2</v>
      </c>
      <c r="I50" s="71">
        <f t="shared" si="9"/>
        <v>6.4654321182410022E-3</v>
      </c>
      <c r="J50" s="35">
        <f t="shared" si="0"/>
        <v>2037</v>
      </c>
      <c r="K50" s="75">
        <f>$G481</f>
        <v>26.275275330414264</v>
      </c>
      <c r="L50" s="74"/>
      <c r="M50" s="74"/>
      <c r="N50" s="74"/>
      <c r="O50" s="74"/>
      <c r="P50" s="74"/>
      <c r="Q50" s="74"/>
      <c r="R50" s="74"/>
      <c r="S50" s="74"/>
      <c r="T50" s="74"/>
      <c r="U50" s="74"/>
      <c r="V50" s="74"/>
      <c r="W50" s="74"/>
      <c r="X50" s="74"/>
      <c r="Y50" s="74"/>
      <c r="Z50" s="74"/>
    </row>
    <row r="51" spans="1:26" x14ac:dyDescent="0.3">
      <c r="A51" s="66">
        <f t="shared" si="7"/>
        <v>1994.399999999996</v>
      </c>
      <c r="B51" s="67">
        <f>LOOKUP(A51+0.01,Amounts!$A$4:$A$103,Amounts!$B$4:$B$103)*0.1*$A$2</f>
        <v>365.86880220000006</v>
      </c>
      <c r="C51" s="68">
        <f t="shared" si="4"/>
        <v>15760.343687000001</v>
      </c>
      <c r="D51" s="67">
        <f t="array" ref="D51">SUM($B$7:$B46*$F$1009*EXP(-$F$1009*($A51-$A$7:$A46)))*$F$1010</f>
        <v>1207872.345579566</v>
      </c>
      <c r="E51" s="67">
        <f t="shared" si="1"/>
        <v>2.3027019958032362</v>
      </c>
      <c r="F51" s="70">
        <f t="shared" si="8"/>
        <v>0.13982006518517251</v>
      </c>
      <c r="G51" s="67">
        <f>E51/'Lookup Tables'!$C$48</f>
        <v>4.6054039916064724</v>
      </c>
      <c r="H51" s="70">
        <f t="shared" si="2"/>
        <v>7.6794021312650895E-2</v>
      </c>
      <c r="I51" s="71">
        <f t="shared" si="9"/>
        <v>6.6317817479133213E-3</v>
      </c>
      <c r="J51" s="35">
        <f t="shared" si="0"/>
        <v>2038</v>
      </c>
      <c r="K51" s="75">
        <f>$G491</f>
        <v>25.909984478152378</v>
      </c>
      <c r="L51" s="74"/>
      <c r="M51" s="74"/>
      <c r="N51" s="74"/>
      <c r="O51" s="74"/>
      <c r="P51" s="74"/>
      <c r="Q51" s="74"/>
      <c r="R51" s="74"/>
      <c r="S51" s="74"/>
      <c r="T51" s="74"/>
      <c r="U51" s="74"/>
      <c r="V51" s="74"/>
      <c r="W51" s="74"/>
      <c r="X51" s="74"/>
      <c r="Y51" s="74"/>
      <c r="Z51" s="74"/>
    </row>
    <row r="52" spans="1:26" x14ac:dyDescent="0.3">
      <c r="A52" s="66">
        <f t="shared" si="7"/>
        <v>1994.4999999999959</v>
      </c>
      <c r="B52" s="67">
        <f>LOOKUP(A52+0.01,Amounts!$A$4:$A$103,Amounts!$B$4:$B$103)*0.1*$A$2</f>
        <v>365.86880220000006</v>
      </c>
      <c r="C52" s="68">
        <f t="shared" si="4"/>
        <v>16126.212489200001</v>
      </c>
      <c r="D52" s="67">
        <f t="array" ref="D52">SUM($B$7:$B47*$F$1009*EXP(-$F$1009*($A52-$A$7:$A47)))*$F$1010</f>
        <v>1238767.1627524428</v>
      </c>
      <c r="E52" s="67">
        <f t="shared" si="1"/>
        <v>2.3616002373469849</v>
      </c>
      <c r="F52" s="70">
        <f t="shared" si="8"/>
        <v>0.14339636641170894</v>
      </c>
      <c r="G52" s="67">
        <f>E52/'Lookup Tables'!$C$48</f>
        <v>4.7232004746939698</v>
      </c>
      <c r="H52" s="70">
        <f t="shared" si="2"/>
        <v>7.6971395830289752E-2</v>
      </c>
      <c r="I52" s="71">
        <f t="shared" si="9"/>
        <v>6.8014086835593169E-3</v>
      </c>
      <c r="J52" s="35">
        <f t="shared" si="0"/>
        <v>2039</v>
      </c>
      <c r="K52" s="75">
        <f>$G501</f>
        <v>25.549772065795253</v>
      </c>
      <c r="L52" s="74"/>
      <c r="M52" s="74"/>
      <c r="N52" s="74"/>
      <c r="O52" s="74"/>
      <c r="P52" s="74"/>
      <c r="Q52" s="74"/>
      <c r="R52" s="74"/>
      <c r="S52" s="74"/>
      <c r="T52" s="74"/>
      <c r="U52" s="74"/>
      <c r="V52" s="74"/>
      <c r="W52" s="74"/>
      <c r="X52" s="74"/>
      <c r="Y52" s="74"/>
      <c r="Z52" s="74"/>
    </row>
    <row r="53" spans="1:26" x14ac:dyDescent="0.3">
      <c r="A53" s="66">
        <f t="shared" si="7"/>
        <v>1994.5999999999958</v>
      </c>
      <c r="B53" s="67">
        <f>LOOKUP(A53+0.01,Amounts!$A$4:$A$103,Amounts!$B$4:$B$103)*0.1*$A$2</f>
        <v>365.86880220000006</v>
      </c>
      <c r="C53" s="68">
        <f t="shared" si="4"/>
        <v>16492.081291400002</v>
      </c>
      <c r="D53" s="67">
        <f t="array" ref="D53">SUM($B$7:$B48*$F$1009*EXP(-$F$1009*($A53-$A$7:$A48)))*$F$1010</f>
        <v>1269618.7574440746</v>
      </c>
      <c r="E53" s="67">
        <f t="shared" si="1"/>
        <v>2.4204160790459235</v>
      </c>
      <c r="F53" s="70">
        <f t="shared" si="8"/>
        <v>0.14696766431966848</v>
      </c>
      <c r="G53" s="67">
        <f>E53/'Lookup Tables'!$C$48</f>
        <v>4.840832158091847</v>
      </c>
      <c r="H53" s="70">
        <f t="shared" si="2"/>
        <v>7.7138274343210175E-2</v>
      </c>
      <c r="I53" s="71">
        <f t="shared" si="9"/>
        <v>6.9707983076522598E-3</v>
      </c>
      <c r="J53" s="35">
        <f t="shared" si="0"/>
        <v>2040</v>
      </c>
      <c r="K53" s="75">
        <f>$G511</f>
        <v>25.194567490556892</v>
      </c>
      <c r="L53" s="74"/>
      <c r="M53" s="74"/>
      <c r="N53" s="74"/>
      <c r="O53" s="74"/>
      <c r="P53" s="74"/>
      <c r="Q53" s="74"/>
      <c r="R53" s="74"/>
      <c r="S53" s="74"/>
      <c r="T53" s="74"/>
      <c r="U53" s="74"/>
      <c r="V53" s="74"/>
      <c r="W53" s="74"/>
      <c r="X53" s="74"/>
      <c r="Y53" s="74"/>
      <c r="Z53" s="74"/>
    </row>
    <row r="54" spans="1:26" x14ac:dyDescent="0.3">
      <c r="A54" s="66">
        <f t="shared" si="7"/>
        <v>1994.6999999999957</v>
      </c>
      <c r="B54" s="67">
        <f>LOOKUP(A54+0.01,Amounts!$A$4:$A$103,Amounts!$B$4:$B$103)*0.1*$A$2</f>
        <v>365.86880220000006</v>
      </c>
      <c r="C54" s="68">
        <f t="shared" si="4"/>
        <v>16857.9500936</v>
      </c>
      <c r="D54" s="67">
        <f t="array" ref="D54">SUM($B$7:$B49*$F$1009*EXP(-$F$1009*($A54-$A$7:$A49)))*$F$1010</f>
        <v>1300427.190123596</v>
      </c>
      <c r="E54" s="67">
        <f t="shared" si="1"/>
        <v>2.4791496361791183</v>
      </c>
      <c r="F54" s="70">
        <f t="shared" si="8"/>
        <v>0.15053396590879606</v>
      </c>
      <c r="G54" s="67">
        <f>E54/'Lookup Tables'!$C$48</f>
        <v>4.9582992723582366</v>
      </c>
      <c r="H54" s="70">
        <f t="shared" si="2"/>
        <v>7.7295343831302168E-2</v>
      </c>
      <c r="I54" s="71">
        <f t="shared" si="9"/>
        <v>7.1399509521958612E-3</v>
      </c>
      <c r="J54" s="35">
        <f t="shared" si="0"/>
        <v>2041</v>
      </c>
      <c r="K54" s="77">
        <f>$G521</f>
        <v>24.844301131203387</v>
      </c>
      <c r="L54" s="74"/>
      <c r="M54" s="74"/>
      <c r="N54" s="74"/>
      <c r="O54" s="74"/>
      <c r="P54" s="74"/>
      <c r="Q54" s="74"/>
      <c r="R54" s="74"/>
      <c r="S54" s="74"/>
      <c r="T54" s="74"/>
      <c r="U54" s="74"/>
      <c r="V54" s="74"/>
      <c r="W54" s="74"/>
      <c r="X54" s="74"/>
      <c r="Y54" s="74"/>
      <c r="Z54" s="74"/>
    </row>
    <row r="55" spans="1:26" x14ac:dyDescent="0.3">
      <c r="A55" s="66">
        <f t="shared" si="7"/>
        <v>1994.7999999999956</v>
      </c>
      <c r="B55" s="67">
        <f>LOOKUP(A55+0.01,Amounts!$A$4:$A$103,Amounts!$B$4:$B$103)*0.1*$A$2</f>
        <v>365.86880220000006</v>
      </c>
      <c r="C55" s="68">
        <f t="shared" si="4"/>
        <v>17223.818895799999</v>
      </c>
      <c r="D55" s="67">
        <f t="array" ref="D55">SUM($B$7:$B50*$F$1009*EXP(-$F$1009*($A55-$A$7:$A50)))*$F$1010</f>
        <v>1331192.5211755449</v>
      </c>
      <c r="E55" s="67">
        <f t="shared" si="1"/>
        <v>2.5378010238643602</v>
      </c>
      <c r="F55" s="70">
        <f t="shared" si="8"/>
        <v>0.15409527816904395</v>
      </c>
      <c r="G55" s="67">
        <f>E55/'Lookup Tables'!$C$48</f>
        <v>5.0756020477287205</v>
      </c>
      <c r="H55" s="70">
        <f t="shared" si="2"/>
        <v>7.744323289815648E-2</v>
      </c>
      <c r="I55" s="71">
        <f t="shared" si="9"/>
        <v>7.308866948729357E-3</v>
      </c>
      <c r="J55" s="35">
        <f t="shared" si="0"/>
        <v>2042</v>
      </c>
      <c r="K55" s="77">
        <f>$G531</f>
        <v>24.498904334407037</v>
      </c>
      <c r="L55" s="74"/>
      <c r="M55" s="74"/>
      <c r="N55" s="74"/>
      <c r="O55" s="74"/>
      <c r="P55" s="74"/>
      <c r="Q55" s="74"/>
      <c r="R55" s="74"/>
      <c r="S55" s="74"/>
      <c r="T55" s="74"/>
      <c r="U55" s="74"/>
      <c r="V55" s="74"/>
      <c r="W55" s="74"/>
      <c r="X55" s="74"/>
      <c r="Y55" s="74"/>
      <c r="Z55" s="74"/>
    </row>
    <row r="56" spans="1:26" x14ac:dyDescent="0.3">
      <c r="A56" s="66">
        <f t="shared" si="7"/>
        <v>1994.8999999999955</v>
      </c>
      <c r="B56" s="67">
        <f>LOOKUP(A56+0.01,Amounts!$A$4:$A$103,Amounts!$B$4:$B$103)*0.1*$A$2</f>
        <v>365.86880220000006</v>
      </c>
      <c r="C56" s="68">
        <f t="shared" si="4"/>
        <v>17589.687697999998</v>
      </c>
      <c r="D56" s="67">
        <f t="array" ref="D56">SUM($B$7:$B51*$F$1009*EXP(-$F$1009*($A56-$A$7:$A51)))*$F$1010</f>
        <v>1361914.8108999811</v>
      </c>
      <c r="E56" s="67">
        <f t="shared" si="1"/>
        <v>2.5963703570583907</v>
      </c>
      <c r="F56" s="70">
        <f t="shared" si="8"/>
        <v>0.15765160808058548</v>
      </c>
      <c r="G56" s="67">
        <f>E56/'Lookup Tables'!$C$48</f>
        <v>5.1927407141167814</v>
      </c>
      <c r="H56" s="70">
        <f t="shared" si="2"/>
        <v>7.7582517842261361E-2</v>
      </c>
      <c r="I56" s="71">
        <f t="shared" si="9"/>
        <v>7.4775466283281654E-3</v>
      </c>
      <c r="J56" s="35">
        <f t="shared" si="0"/>
        <v>2043</v>
      </c>
      <c r="K56" s="77">
        <f>$G541</f>
        <v>24.158309401289845</v>
      </c>
      <c r="L56" s="74"/>
      <c r="M56" s="74"/>
      <c r="N56" s="74"/>
      <c r="O56" s="74"/>
      <c r="P56" s="74"/>
      <c r="Q56" s="74"/>
      <c r="R56" s="74"/>
      <c r="S56" s="74"/>
      <c r="T56" s="74"/>
      <c r="U56" s="74"/>
      <c r="V56" s="74"/>
      <c r="W56" s="74"/>
      <c r="X56" s="74"/>
      <c r="Y56" s="74"/>
      <c r="Z56" s="74"/>
    </row>
    <row r="57" spans="1:26" x14ac:dyDescent="0.3">
      <c r="A57" s="66">
        <f t="shared" si="7"/>
        <v>1994.9999999999955</v>
      </c>
      <c r="B57" s="67">
        <f>LOOKUP(A57+0.01,Amounts!$A$4:$A$103,Amounts!$B$4:$B$103)*0.1*$A$2</f>
        <v>373.18035810000003</v>
      </c>
      <c r="C57" s="68">
        <f t="shared" si="4"/>
        <v>17962.868056099996</v>
      </c>
      <c r="D57" s="67">
        <f t="array" ref="D57">SUM($B$7:$B52*$F$1009*EXP(-$F$1009*($A57-$A$7:$A52)))*$F$1010</f>
        <v>1392594.1195126018</v>
      </c>
      <c r="E57" s="67">
        <f t="shared" si="1"/>
        <v>2.6548577505571198</v>
      </c>
      <c r="F57" s="70">
        <f t="shared" si="8"/>
        <v>0.1612029626138283</v>
      </c>
      <c r="G57" s="67">
        <f>E57/'Lookup Tables'!$C$48</f>
        <v>5.3097155011142396</v>
      </c>
      <c r="H57" s="70">
        <f t="shared" si="2"/>
        <v>7.7682095606050036E-2</v>
      </c>
      <c r="I57" s="71">
        <f t="shared" si="9"/>
        <v>7.6459903216045053E-3</v>
      </c>
      <c r="J57" s="35">
        <f t="shared" si="0"/>
        <v>2044</v>
      </c>
      <c r="K57" s="77">
        <f>$G551</f>
        <v>23.822449574154636</v>
      </c>
      <c r="L57" s="74"/>
      <c r="M57" s="74"/>
      <c r="N57" s="74"/>
      <c r="O57" s="74"/>
      <c r="P57" s="74"/>
      <c r="Q57" s="74"/>
      <c r="R57" s="74"/>
      <c r="S57" s="74"/>
      <c r="T57" s="74"/>
      <c r="U57" s="74"/>
      <c r="V57" s="74"/>
      <c r="W57" s="74"/>
      <c r="X57" s="74"/>
      <c r="Y57" s="74"/>
      <c r="Z57" s="74"/>
    </row>
    <row r="58" spans="1:26" x14ac:dyDescent="0.3">
      <c r="A58" s="66">
        <f t="shared" si="7"/>
        <v>1995.0999999999954</v>
      </c>
      <c r="B58" s="67">
        <f>LOOKUP(A58+0.01,Amounts!$A$4:$A$103,Amounts!$B$4:$B$103)*0.1*$A$2</f>
        <v>373.18035810000003</v>
      </c>
      <c r="C58" s="68">
        <f t="shared" si="4"/>
        <v>18336.048414199995</v>
      </c>
      <c r="D58" s="67">
        <f t="array" ref="D58">SUM($B$7:$B53*$F$1009*EXP(-$F$1009*($A58-$A$7:$A53)))*$F$1010</f>
        <v>1423230.5071448607</v>
      </c>
      <c r="E58" s="67">
        <f t="shared" si="1"/>
        <v>2.7132633189958564</v>
      </c>
      <c r="F58" s="70">
        <f t="shared" si="8"/>
        <v>0.1647493487294284</v>
      </c>
      <c r="G58" s="67">
        <f>E58/'Lookup Tables'!$C$48</f>
        <v>5.4265266379917128</v>
      </c>
      <c r="H58" s="70">
        <f t="shared" si="2"/>
        <v>7.7775274598414212E-2</v>
      </c>
      <c r="I58" s="71">
        <f t="shared" si="9"/>
        <v>7.8141983587080664E-3</v>
      </c>
      <c r="J58" s="35">
        <f t="shared" si="0"/>
        <v>2045</v>
      </c>
      <c r="K58" s="77">
        <f>$G561</f>
        <v>23.491259023400055</v>
      </c>
      <c r="L58" s="74"/>
      <c r="M58" s="74"/>
      <c r="N58" s="74"/>
      <c r="O58" s="74"/>
      <c r="P58" s="74"/>
      <c r="Q58" s="74"/>
      <c r="R58" s="74"/>
      <c r="S58" s="74"/>
      <c r="T58" s="74"/>
      <c r="U58" s="74"/>
      <c r="V58" s="74"/>
      <c r="W58" s="74"/>
      <c r="X58" s="74"/>
      <c r="Y58" s="74"/>
      <c r="Z58" s="74"/>
    </row>
    <row r="59" spans="1:26" x14ac:dyDescent="0.3">
      <c r="A59" s="66">
        <f t="shared" si="7"/>
        <v>1995.1999999999953</v>
      </c>
      <c r="B59" s="67">
        <f>LOOKUP(A59+0.01,Amounts!$A$4:$A$103,Amounts!$B$4:$B$103)*0.1*$A$2</f>
        <v>373.18035810000003</v>
      </c>
      <c r="C59" s="68">
        <f t="shared" si="4"/>
        <v>18709.228772299994</v>
      </c>
      <c r="D59" s="67">
        <f t="array" ref="D59">SUM($B$7:$B54*$F$1009*EXP(-$F$1009*($A59-$A$7:$A54)))*$F$1010</f>
        <v>1453824.0338440889</v>
      </c>
      <c r="E59" s="67">
        <f t="shared" si="1"/>
        <v>2.7715871768495348</v>
      </c>
      <c r="F59" s="70">
        <f t="shared" si="8"/>
        <v>0.16829077337830375</v>
      </c>
      <c r="G59" s="67">
        <f>E59/'Lookup Tables'!$C$48</f>
        <v>5.5431743536990696</v>
      </c>
      <c r="H59" s="70">
        <f t="shared" si="2"/>
        <v>7.7862440931232055E-2</v>
      </c>
      <c r="I59" s="71">
        <f t="shared" si="9"/>
        <v>7.9821710693266587E-3</v>
      </c>
      <c r="J59" s="35">
        <f t="shared" si="0"/>
        <v>2046</v>
      </c>
      <c r="K59" s="77">
        <f>$G571</f>
        <v>23.164672834617889</v>
      </c>
      <c r="L59" s="74"/>
      <c r="M59" s="74"/>
      <c r="N59" s="74"/>
      <c r="O59" s="74"/>
      <c r="P59" s="74"/>
      <c r="Q59" s="74"/>
      <c r="R59" s="74"/>
      <c r="S59" s="74"/>
      <c r="T59" s="74"/>
      <c r="U59" s="74"/>
      <c r="V59" s="74"/>
      <c r="W59" s="74"/>
      <c r="X59" s="74"/>
      <c r="Y59" s="74"/>
      <c r="Z59" s="74"/>
    </row>
    <row r="60" spans="1:26" x14ac:dyDescent="0.3">
      <c r="A60" s="66">
        <f t="shared" si="7"/>
        <v>1995.2999999999952</v>
      </c>
      <c r="B60" s="67">
        <f>LOOKUP(A60+0.01,Amounts!$A$4:$A$103,Amounts!$B$4:$B$103)*0.1*$A$2</f>
        <v>373.18035810000003</v>
      </c>
      <c r="C60" s="68">
        <f t="shared" si="4"/>
        <v>19082.409130399992</v>
      </c>
      <c r="D60" s="67">
        <f t="array" ref="D60">SUM($B$7:$B55*$F$1009*EXP(-$F$1009*($A60-$A$7:$A55)))*$F$1010</f>
        <v>1484374.7595736077</v>
      </c>
      <c r="E60" s="67">
        <f t="shared" si="1"/>
        <v>2.829829438432935</v>
      </c>
      <c r="F60" s="70">
        <f t="shared" si="8"/>
        <v>0.17182724350164783</v>
      </c>
      <c r="G60" s="67">
        <f>E60/'Lookup Tables'!$C$48</f>
        <v>5.65965887686587</v>
      </c>
      <c r="H60" s="70">
        <f t="shared" si="2"/>
        <v>7.7943950508369261E-2</v>
      </c>
      <c r="I60" s="71">
        <f t="shared" si="9"/>
        <v>8.1499087826868519E-3</v>
      </c>
      <c r="J60" s="35">
        <f t="shared" si="0"/>
        <v>2047</v>
      </c>
      <c r="K60" s="77">
        <f>$G581</f>
        <v>22.842626995869619</v>
      </c>
      <c r="L60" s="74"/>
      <c r="M60" s="74"/>
      <c r="N60" s="74"/>
      <c r="O60" s="74"/>
      <c r="P60" s="74"/>
      <c r="Q60" s="74"/>
      <c r="R60" s="74"/>
      <c r="S60" s="74"/>
      <c r="T60" s="74"/>
      <c r="U60" s="74"/>
      <c r="V60" s="74"/>
      <c r="W60" s="74"/>
      <c r="X60" s="74"/>
      <c r="Y60" s="74"/>
      <c r="Z60" s="74"/>
    </row>
    <row r="61" spans="1:26" x14ac:dyDescent="0.3">
      <c r="A61" s="66">
        <f t="shared" si="7"/>
        <v>1995.3999999999951</v>
      </c>
      <c r="B61" s="67">
        <f>LOOKUP(A61+0.01,Amounts!$A$4:$A$103,Amounts!$B$4:$B$103)*0.1*$A$2</f>
        <v>373.18035810000003</v>
      </c>
      <c r="C61" s="68">
        <f t="shared" si="4"/>
        <v>19455.589488499991</v>
      </c>
      <c r="D61" s="67">
        <f t="array" ref="D61">SUM($B$7:$B56*$F$1009*EXP(-$F$1009*($A61-$A$7:$A56)))*$F$1010</f>
        <v>1514882.7442128493</v>
      </c>
      <c r="E61" s="67">
        <f t="shared" si="1"/>
        <v>2.8879902179009083</v>
      </c>
      <c r="F61" s="70">
        <f t="shared" si="8"/>
        <v>0.17535876603094316</v>
      </c>
      <c r="G61" s="67">
        <f>E61/'Lookup Tables'!$C$48</f>
        <v>5.7759804358018165</v>
      </c>
      <c r="H61" s="70">
        <f t="shared" si="2"/>
        <v>7.8020131922805519E-2</v>
      </c>
      <c r="I61" s="71">
        <f t="shared" si="9"/>
        <v>8.3174118275546171E-3</v>
      </c>
      <c r="J61" s="35">
        <f t="shared" si="0"/>
        <v>2048</v>
      </c>
      <c r="K61" s="77">
        <f>$G591</f>
        <v>22.525058385139872</v>
      </c>
      <c r="L61" s="74"/>
      <c r="M61" s="74"/>
      <c r="N61" s="74"/>
      <c r="O61" s="74"/>
      <c r="P61" s="74"/>
      <c r="Q61" s="74"/>
      <c r="R61" s="74"/>
      <c r="S61" s="74"/>
      <c r="T61" s="74"/>
      <c r="U61" s="74"/>
      <c r="V61" s="74"/>
      <c r="W61" s="74"/>
      <c r="X61" s="74"/>
      <c r="Y61" s="74"/>
      <c r="Z61" s="74"/>
    </row>
    <row r="62" spans="1:26" x14ac:dyDescent="0.3">
      <c r="A62" s="66">
        <f t="shared" si="7"/>
        <v>1995.499999999995</v>
      </c>
      <c r="B62" s="67">
        <f>LOOKUP(A62+0.01,Amounts!$A$4:$A$103,Amounts!$B$4:$B$103)*0.1*$A$2</f>
        <v>373.18035810000003</v>
      </c>
      <c r="C62" s="68">
        <f t="shared" si="4"/>
        <v>19828.769846599989</v>
      </c>
      <c r="D62" s="67">
        <f t="array" ref="D62">SUM($B$7:$B57*$F$1009*EXP(-$F$1009*($A62-$A$7:$A57)))*$F$1010</f>
        <v>1545999.2223152877</v>
      </c>
      <c r="E62" s="67">
        <f t="shared" si="1"/>
        <v>2.9473110364386255</v>
      </c>
      <c r="F62" s="70">
        <f t="shared" si="8"/>
        <v>0.17896072613255334</v>
      </c>
      <c r="G62" s="67">
        <f>E62/'Lookup Tables'!$C$48</f>
        <v>5.8946220728772509</v>
      </c>
      <c r="H62" s="70">
        <f t="shared" si="2"/>
        <v>7.8124194931727689E-2</v>
      </c>
      <c r="I62" s="71">
        <f t="shared" si="9"/>
        <v>8.4882557849432407E-3</v>
      </c>
      <c r="J62" s="35">
        <f t="shared" si="0"/>
        <v>2049</v>
      </c>
      <c r="K62" s="77">
        <f>$G601</f>
        <v>22.211904757964277</v>
      </c>
      <c r="L62" s="74"/>
      <c r="M62" s="74"/>
      <c r="N62" s="74"/>
      <c r="O62" s="74"/>
      <c r="P62" s="74"/>
      <c r="Q62" s="74"/>
      <c r="R62" s="74"/>
      <c r="S62" s="74"/>
      <c r="T62" s="74"/>
      <c r="U62" s="74"/>
      <c r="V62" s="74"/>
      <c r="W62" s="74"/>
      <c r="X62" s="74"/>
      <c r="Y62" s="74"/>
      <c r="Z62" s="74"/>
    </row>
    <row r="63" spans="1:26" x14ac:dyDescent="0.3">
      <c r="A63" s="66">
        <f t="shared" si="7"/>
        <v>1995.5999999999949</v>
      </c>
      <c r="B63" s="67">
        <f>LOOKUP(A63+0.01,Amounts!$A$4:$A$103,Amounts!$B$4:$B$103)*0.1*$A$2</f>
        <v>373.18035810000003</v>
      </c>
      <c r="C63" s="68">
        <f t="shared" si="4"/>
        <v>20201.950204699988</v>
      </c>
      <c r="D63" s="67">
        <f t="array" ref="D63">SUM($B$7:$B58*$F$1009*EXP(-$F$1009*($A63-$A$7:$A58)))*$F$1010</f>
        <v>1577072.1678283054</v>
      </c>
      <c r="E63" s="67">
        <f t="shared" si="1"/>
        <v>3.0065488639376721</v>
      </c>
      <c r="F63" s="70">
        <f t="shared" si="8"/>
        <v>0.18255764701829544</v>
      </c>
      <c r="G63" s="67">
        <f>E63/'Lookup Tables'!$C$48</f>
        <v>6.0130977278753441</v>
      </c>
      <c r="H63" s="70">
        <f t="shared" si="2"/>
        <v>7.8222254132573624E-2</v>
      </c>
      <c r="I63" s="71">
        <f t="shared" si="9"/>
        <v>8.6588607281404949E-3</v>
      </c>
      <c r="J63" s="35">
        <f t="shared" si="0"/>
        <v>2050</v>
      </c>
      <c r="K63" s="77">
        <f>$G611</f>
        <v>21.90310473522943</v>
      </c>
      <c r="L63" s="74"/>
      <c r="M63" s="74"/>
      <c r="N63" s="74"/>
      <c r="O63" s="74"/>
      <c r="P63" s="74"/>
      <c r="Q63" s="74"/>
      <c r="R63" s="74"/>
      <c r="S63" s="74"/>
      <c r="T63" s="74"/>
      <c r="U63" s="74"/>
      <c r="V63" s="74"/>
      <c r="W63" s="74"/>
      <c r="X63" s="74"/>
      <c r="Y63" s="74"/>
      <c r="Z63" s="74"/>
    </row>
    <row r="64" spans="1:26" x14ac:dyDescent="0.3">
      <c r="A64" s="66">
        <f t="shared" si="7"/>
        <v>1995.6999999999948</v>
      </c>
      <c r="B64" s="67">
        <f>LOOKUP(A64+0.01,Amounts!$A$4:$A$103,Amounts!$B$4:$B$103)*0.1*$A$2</f>
        <v>373.18035810000003</v>
      </c>
      <c r="C64" s="68">
        <f t="shared" si="4"/>
        <v>20575.130562799986</v>
      </c>
      <c r="D64" s="67">
        <f t="array" ref="D64">SUM($B$7:$B59*$F$1009*EXP(-$F$1009*($A64-$A$7:$A59)))*$F$1010</f>
        <v>1608101.6416548858</v>
      </c>
      <c r="E64" s="67">
        <f t="shared" si="1"/>
        <v>3.0657038165042092</v>
      </c>
      <c r="F64" s="70">
        <f t="shared" si="8"/>
        <v>0.18614953573813559</v>
      </c>
      <c r="G64" s="67">
        <f>E64/'Lookup Tables'!$C$48</f>
        <v>6.1314076330084184</v>
      </c>
      <c r="H64" s="70">
        <f t="shared" si="2"/>
        <v>7.8314639172590142E-2</v>
      </c>
      <c r="I64" s="71">
        <f t="shared" si="9"/>
        <v>8.8292269915321228E-3</v>
      </c>
      <c r="J64" s="35">
        <f t="shared" si="0"/>
        <v>2051</v>
      </c>
      <c r="K64" s="77">
        <f>$G621</f>
        <v>21.598597791142296</v>
      </c>
      <c r="L64" s="74"/>
      <c r="M64" s="74"/>
      <c r="N64" s="74"/>
      <c r="O64" s="74"/>
      <c r="P64" s="74"/>
      <c r="Q64" s="74"/>
      <c r="R64" s="74"/>
      <c r="S64" s="74"/>
      <c r="T64" s="74"/>
      <c r="U64" s="74"/>
      <c r="V64" s="74"/>
      <c r="W64" s="74"/>
      <c r="X64" s="74"/>
      <c r="Y64" s="74"/>
      <c r="Z64" s="74"/>
    </row>
    <row r="65" spans="1:26" x14ac:dyDescent="0.3">
      <c r="A65" s="66">
        <f t="shared" si="7"/>
        <v>1995.7999999999947</v>
      </c>
      <c r="B65" s="67">
        <f>LOOKUP(A65+0.01,Amounts!$A$4:$A$103,Amounts!$B$4:$B$103)*0.1*$A$2</f>
        <v>373.18035810000003</v>
      </c>
      <c r="C65" s="68">
        <f t="shared" si="4"/>
        <v>20948.310920899985</v>
      </c>
      <c r="D65" s="67">
        <f t="array" ref="D65">SUM($B$7:$B60*$F$1009*EXP(-$F$1009*($A65-$A$7:$A60)))*$F$1010</f>
        <v>1639087.7046128078</v>
      </c>
      <c r="E65" s="67">
        <f t="shared" si="1"/>
        <v>3.124776010081963</v>
      </c>
      <c r="F65" s="70">
        <f t="shared" si="8"/>
        <v>0.18973639933217679</v>
      </c>
      <c r="G65" s="67">
        <f>E65/'Lookup Tables'!$C$48</f>
        <v>6.2495520201639261</v>
      </c>
      <c r="H65" s="70">
        <f t="shared" si="2"/>
        <v>7.8401656205154296E-2</v>
      </c>
      <c r="I65" s="71">
        <f t="shared" si="9"/>
        <v>8.9993549090360541E-3</v>
      </c>
      <c r="J65" s="35">
        <f t="shared" si="0"/>
        <v>2052</v>
      </c>
      <c r="K65" s="77">
        <f>$G631</f>
        <v>21.298324241366959</v>
      </c>
      <c r="L65" s="74"/>
      <c r="M65" s="74"/>
      <c r="N65" s="74"/>
      <c r="O65" s="74"/>
      <c r="P65" s="74"/>
      <c r="Q65" s="74"/>
      <c r="R65" s="74"/>
      <c r="S65" s="74"/>
      <c r="T65" s="74"/>
      <c r="U65" s="74"/>
      <c r="V65" s="74"/>
      <c r="W65" s="74"/>
      <c r="X65" s="74"/>
      <c r="Y65" s="74"/>
      <c r="Z65" s="74"/>
    </row>
    <row r="66" spans="1:26" x14ac:dyDescent="0.3">
      <c r="A66" s="66">
        <f t="shared" si="7"/>
        <v>1995.8999999999946</v>
      </c>
      <c r="B66" s="67">
        <f>LOOKUP(A66+0.01,Amounts!$A$4:$A$103,Amounts!$B$4:$B$103)*0.1*$A$2</f>
        <v>373.18035810000003</v>
      </c>
      <c r="C66" s="68">
        <f t="shared" si="4"/>
        <v>21321.491278999983</v>
      </c>
      <c r="D66" s="67">
        <f t="array" ref="D66">SUM($B$7:$B61*$F$1009*EXP(-$F$1009*($A66-$A$7:$A61)))*$F$1010</f>
        <v>1670030.4174347641</v>
      </c>
      <c r="E66" s="67">
        <f t="shared" si="1"/>
        <v>3.1837655604524508</v>
      </c>
      <c r="F66" s="70">
        <f t="shared" si="8"/>
        <v>0.19331824483067284</v>
      </c>
      <c r="G66" s="67">
        <f>E66/'Lookup Tables'!$C$48</f>
        <v>6.3675311209049017</v>
      </c>
      <c r="H66" s="70">
        <f t="shared" si="2"/>
        <v>7.8483589945791687E-2</v>
      </c>
      <c r="I66" s="71">
        <f t="shared" si="9"/>
        <v>9.1692448141030575E-3</v>
      </c>
      <c r="J66" s="35">
        <f t="shared" si="0"/>
        <v>2053</v>
      </c>
      <c r="K66" s="77">
        <f>$G641</f>
        <v>21.002225231326406</v>
      </c>
      <c r="L66" s="74"/>
      <c r="M66" s="74"/>
      <c r="N66" s="74"/>
      <c r="O66" s="74"/>
      <c r="P66" s="74"/>
      <c r="Q66" s="74"/>
      <c r="R66" s="74"/>
      <c r="S66" s="74"/>
      <c r="T66" s="74"/>
      <c r="U66" s="74"/>
      <c r="V66" s="74"/>
      <c r="W66" s="74"/>
      <c r="X66" s="74"/>
      <c r="Y66" s="74"/>
      <c r="Z66" s="74"/>
    </row>
    <row r="67" spans="1:26" x14ac:dyDescent="0.3">
      <c r="A67" s="66">
        <f t="shared" si="7"/>
        <v>1995.9999999999945</v>
      </c>
      <c r="B67" s="67">
        <f>LOOKUP(A67+0.01,Amounts!$A$4:$A$103,Amounts!$B$4:$B$103)*0.1*$A$2</f>
        <v>380.64954290000003</v>
      </c>
      <c r="C67" s="68">
        <f t="shared" si="4"/>
        <v>21702.140821899982</v>
      </c>
      <c r="D67" s="67">
        <f t="array" ref="D67">SUM($B$7:$B62*$F$1009*EXP(-$F$1009*($A67-$A$7:$A62)))*$F$1010</f>
        <v>1700929.8407684823</v>
      </c>
      <c r="E67" s="67">
        <f t="shared" si="1"/>
        <v>3.2426725832352115</v>
      </c>
      <c r="F67" s="70">
        <f t="shared" si="8"/>
        <v>0.19689507925404204</v>
      </c>
      <c r="G67" s="67">
        <f>E67/'Lookup Tables'!$C$48</f>
        <v>6.4853451664704229</v>
      </c>
      <c r="H67" s="70">
        <f t="shared" si="2"/>
        <v>7.8533667426420026E-2</v>
      </c>
      <c r="I67" s="71">
        <f t="shared" si="9"/>
        <v>9.3388970397174087E-3</v>
      </c>
      <c r="J67" s="35">
        <f t="shared" si="0"/>
        <v>2054</v>
      </c>
      <c r="K67" s="77">
        <f>$G651</f>
        <v>20.71024272466676</v>
      </c>
      <c r="L67" s="74"/>
      <c r="M67" s="74"/>
      <c r="N67" s="74"/>
      <c r="O67" s="74"/>
      <c r="P67" s="74"/>
      <c r="Q67" s="74"/>
      <c r="R67" s="74"/>
      <c r="S67" s="74"/>
      <c r="T67" s="74"/>
      <c r="U67" s="74"/>
      <c r="V67" s="74"/>
      <c r="W67" s="74"/>
      <c r="X67" s="74"/>
      <c r="Y67" s="74"/>
      <c r="Z67" s="74"/>
    </row>
    <row r="68" spans="1:26" x14ac:dyDescent="0.3">
      <c r="A68" s="66">
        <f t="shared" si="7"/>
        <v>1996.0999999999945</v>
      </c>
      <c r="B68" s="67">
        <f>LOOKUP(A68+0.01,Amounts!$A$4:$A$103,Amounts!$B$4:$B$103)*0.1*$A$2</f>
        <v>380.64954290000003</v>
      </c>
      <c r="C68" s="68">
        <f t="shared" si="4"/>
        <v>22082.790364799981</v>
      </c>
      <c r="D68" s="67">
        <f t="array" ref="D68">SUM($B$7:$B63*$F$1009*EXP(-$F$1009*($A68-$A$7:$A63)))*$F$1010</f>
        <v>1731786.035176842</v>
      </c>
      <c r="E68" s="67">
        <f t="shared" si="1"/>
        <v>3.3014971938880282</v>
      </c>
      <c r="F68" s="70">
        <f t="shared" si="8"/>
        <v>0.20046690961288108</v>
      </c>
      <c r="G68" s="67">
        <f>E68/'Lookup Tables'!$C$48</f>
        <v>6.6029943877760564</v>
      </c>
      <c r="H68" s="70">
        <f t="shared" si="2"/>
        <v>7.8580056978377472E-2</v>
      </c>
      <c r="I68" s="71">
        <f t="shared" si="9"/>
        <v>9.5083119183975214E-3</v>
      </c>
      <c r="J68" s="35">
        <f t="shared" ref="J68:J102" si="10">J67+1</f>
        <v>2055</v>
      </c>
      <c r="K68" s="77">
        <f>$G661</f>
        <v>20.422319491881947</v>
      </c>
      <c r="L68" s="74"/>
      <c r="M68" s="74"/>
      <c r="N68" s="74"/>
      <c r="O68" s="74"/>
      <c r="P68" s="74"/>
      <c r="Q68" s="74"/>
      <c r="R68" s="74"/>
      <c r="S68" s="74"/>
      <c r="T68" s="74"/>
      <c r="U68" s="74"/>
      <c r="V68" s="74"/>
      <c r="W68" s="74"/>
      <c r="X68" s="74"/>
      <c r="Y68" s="74"/>
      <c r="Z68" s="74"/>
    </row>
    <row r="69" spans="1:26" x14ac:dyDescent="0.3">
      <c r="A69" s="66">
        <f t="shared" si="7"/>
        <v>1996.1999999999944</v>
      </c>
      <c r="B69" s="67">
        <f>LOOKUP(A69+0.01,Amounts!$A$4:$A$103,Amounts!$B$4:$B$103)*0.1*$A$2</f>
        <v>380.64954290000003</v>
      </c>
      <c r="C69" s="68">
        <f t="shared" si="4"/>
        <v>22463.43990769998</v>
      </c>
      <c r="D69" s="67">
        <f t="array" ref="D69">SUM($B$7:$B64*$F$1009*EXP(-$F$1009*($A69-$A$7:$A64)))*$F$1010</f>
        <v>1762599.0611379934</v>
      </c>
      <c r="E69" s="67">
        <f t="shared" si="1"/>
        <v>3.3602395077071554</v>
      </c>
      <c r="F69" s="70">
        <f t="shared" si="8"/>
        <v>0.20403374290797849</v>
      </c>
      <c r="G69" s="67">
        <f>E69/'Lookup Tables'!$C$48</f>
        <v>6.7204790154143108</v>
      </c>
      <c r="H69" s="70">
        <f t="shared" si="2"/>
        <v>7.8622948778449817E-2</v>
      </c>
      <c r="I69" s="71">
        <f t="shared" si="9"/>
        <v>9.677489782196607E-3</v>
      </c>
      <c r="J69" s="35">
        <f t="shared" si="10"/>
        <v>2056</v>
      </c>
      <c r="K69" s="77">
        <f>$G671</f>
        <v>20.138399099096617</v>
      </c>
      <c r="L69" s="74"/>
      <c r="M69" s="74"/>
      <c r="N69" s="74"/>
      <c r="O69" s="74"/>
      <c r="P69" s="74"/>
      <c r="Q69" s="74"/>
      <c r="R69" s="74"/>
      <c r="S69" s="74"/>
      <c r="T69" s="74"/>
      <c r="U69" s="74"/>
      <c r="V69" s="74"/>
      <c r="W69" s="74"/>
      <c r="X69" s="74"/>
      <c r="Y69" s="74"/>
      <c r="Z69" s="74"/>
    </row>
    <row r="70" spans="1:26" x14ac:dyDescent="0.3">
      <c r="A70" s="66">
        <f t="shared" si="7"/>
        <v>1996.2999999999943</v>
      </c>
      <c r="B70" s="67">
        <f>LOOKUP(A70+0.01,Amounts!$A$4:$A$103,Amounts!$B$4:$B$103)*0.1*$A$2</f>
        <v>380.64954290000003</v>
      </c>
      <c r="C70" s="68">
        <f t="shared" si="4"/>
        <v>22844.089450599979</v>
      </c>
      <c r="D70" s="67">
        <f t="array" ref="D70">SUM($B$7:$B65*$F$1009*EXP(-$F$1009*($A70-$A$7:$A65)))*$F$1010</f>
        <v>1793368.9790454784</v>
      </c>
      <c r="E70" s="67">
        <f t="shared" si="1"/>
        <v>3.4188996398275493</v>
      </c>
      <c r="F70" s="70">
        <f t="shared" si="8"/>
        <v>0.2075955861303288</v>
      </c>
      <c r="G70" s="67">
        <f>E70/'Lookup Tables'!$C$48</f>
        <v>6.8377992796550986</v>
      </c>
      <c r="H70" s="70">
        <f t="shared" si="2"/>
        <v>7.866252032409915E-2</v>
      </c>
      <c r="I70" s="71">
        <f t="shared" si="9"/>
        <v>9.8464309627033422E-3</v>
      </c>
      <c r="J70" s="35">
        <f t="shared" si="10"/>
        <v>2057</v>
      </c>
      <c r="K70" s="77">
        <f>$G681</f>
        <v>19.85842589700486</v>
      </c>
      <c r="L70" s="74"/>
      <c r="M70" s="74"/>
      <c r="N70" s="74"/>
      <c r="O70" s="74"/>
      <c r="P70" s="74"/>
      <c r="Q70" s="74"/>
      <c r="R70" s="74"/>
      <c r="S70" s="74"/>
      <c r="T70" s="74"/>
      <c r="U70" s="74"/>
      <c r="V70" s="74"/>
      <c r="W70" s="74"/>
      <c r="X70" s="74"/>
      <c r="Y70" s="74"/>
      <c r="Z70" s="74"/>
    </row>
    <row r="71" spans="1:26" x14ac:dyDescent="0.3">
      <c r="A71" s="66">
        <f t="shared" si="7"/>
        <v>1996.3999999999942</v>
      </c>
      <c r="B71" s="67">
        <f>LOOKUP(A71+0.01,Amounts!$A$4:$A$103,Amounts!$B$4:$B$103)*0.1*$A$2</f>
        <v>380.64954290000003</v>
      </c>
      <c r="C71" s="68">
        <f t="shared" si="4"/>
        <v>23224.738993499977</v>
      </c>
      <c r="D71" s="67">
        <f t="array" ref="D71">SUM($B$7:$B66*$F$1009*EXP(-$F$1009*($A71-$A$7:$A66)))*$F$1010</f>
        <v>1824095.8492083447</v>
      </c>
      <c r="E71" s="67">
        <f t="shared" ref="E71:E134" si="11">D71/(365*24*60)*1.00201</f>
        <v>3.4774777052230852</v>
      </c>
      <c r="F71" s="70">
        <f t="shared" si="8"/>
        <v>0.21115244626114574</v>
      </c>
      <c r="G71" s="67">
        <f>E71/'Lookup Tables'!$C$48</f>
        <v>6.9549554104461704</v>
      </c>
      <c r="H71" s="70">
        <f t="shared" ref="H71:H134" si="12">G71*60*24*365/(C71*2000)</f>
        <v>7.8698937472528693E-2</v>
      </c>
      <c r="I71" s="71">
        <f t="shared" si="9"/>
        <v>1.0015135791042485E-2</v>
      </c>
      <c r="J71" s="35">
        <f t="shared" si="10"/>
        <v>2058</v>
      </c>
      <c r="K71" s="77">
        <f>$G691</f>
        <v>19.582345009962754</v>
      </c>
      <c r="L71" s="74"/>
      <c r="M71" s="74"/>
      <c r="N71" s="74"/>
      <c r="O71" s="74"/>
      <c r="P71" s="74"/>
      <c r="Q71" s="74"/>
      <c r="R71" s="74"/>
      <c r="S71" s="74"/>
      <c r="T71" s="74"/>
      <c r="U71" s="74"/>
      <c r="V71" s="74"/>
      <c r="W71" s="74"/>
      <c r="X71" s="74"/>
      <c r="Y71" s="74"/>
      <c r="Z71" s="74"/>
    </row>
    <row r="72" spans="1:26" x14ac:dyDescent="0.3">
      <c r="A72" s="66">
        <f t="shared" si="7"/>
        <v>1996.4999999999941</v>
      </c>
      <c r="B72" s="67">
        <f>LOOKUP(A72+0.01,Amounts!$A$4:$A$103,Amounts!$B$4:$B$103)*0.1*$A$2</f>
        <v>380.64954290000003</v>
      </c>
      <c r="C72" s="68">
        <f t="shared" si="4"/>
        <v>23605.388536399976</v>
      </c>
      <c r="D72" s="67">
        <f t="array" ref="D72">SUM($B$7:$B67*$F$1009*EXP(-$F$1009*($A72-$A$7:$A67)))*$F$1010</f>
        <v>1855444.9452025343</v>
      </c>
      <c r="E72" s="67">
        <f t="shared" si="11"/>
        <v>3.537241989235905</v>
      </c>
      <c r="F72" s="70">
        <f t="shared" si="8"/>
        <v>0.21478133358640417</v>
      </c>
      <c r="G72" s="67">
        <f>E72/'Lookup Tables'!$C$48</f>
        <v>7.0744839784718101</v>
      </c>
      <c r="H72" s="70">
        <f t="shared" si="12"/>
        <v>7.876059259416586E-2</v>
      </c>
      <c r="I72" s="71">
        <f t="shared" si="9"/>
        <v>1.0187256928999406E-2</v>
      </c>
      <c r="J72" s="35">
        <f t="shared" si="10"/>
        <v>2059</v>
      </c>
      <c r="K72" s="77">
        <f>$G701</f>
        <v>19.310102325232624</v>
      </c>
      <c r="L72" s="74"/>
      <c r="M72" s="74"/>
      <c r="N72" s="74"/>
      <c r="O72" s="74"/>
      <c r="P72" s="74"/>
      <c r="Q72" s="74"/>
      <c r="R72" s="74"/>
      <c r="S72" s="74"/>
      <c r="T72" s="74"/>
      <c r="U72" s="74"/>
      <c r="V72" s="74"/>
      <c r="W72" s="74"/>
      <c r="X72" s="74"/>
      <c r="Y72" s="74"/>
      <c r="Z72" s="74"/>
    </row>
    <row r="73" spans="1:26" x14ac:dyDescent="0.3">
      <c r="A73" s="66">
        <f t="shared" si="7"/>
        <v>1996.599999999994</v>
      </c>
      <c r="B73" s="67">
        <f>LOOKUP(A73+0.01,Amounts!$A$4:$A$103,Amounts!$B$4:$B$103)*0.1*$A$2</f>
        <v>380.64954290000003</v>
      </c>
      <c r="C73" s="68">
        <f t="shared" ref="C73:C136" si="13">C72+B73</f>
        <v>23986.038079299975</v>
      </c>
      <c r="D73" s="67">
        <f t="array" ref="D73">SUM($B$7:$B68*$F$1009*EXP(-$F$1009*($A73-$A$7:$A68)))*$F$1010</f>
        <v>1886750.1831701146</v>
      </c>
      <c r="E73" s="67">
        <f t="shared" si="11"/>
        <v>3.596922661792783</v>
      </c>
      <c r="F73" s="70">
        <f t="shared" si="8"/>
        <v>0.21840514402405778</v>
      </c>
      <c r="G73" s="67">
        <f>E73/'Lookup Tables'!$C$48</f>
        <v>7.1938453235855659</v>
      </c>
      <c r="H73" s="70">
        <f t="shared" si="12"/>
        <v>7.8818458671164646E-2</v>
      </c>
      <c r="I73" s="71">
        <f t="shared" si="9"/>
        <v>1.0359137265963214E-2</v>
      </c>
      <c r="J73" s="35">
        <f t="shared" si="10"/>
        <v>2060</v>
      </c>
      <c r="K73" s="77">
        <f>$G711</f>
        <v>19.041644482376721</v>
      </c>
      <c r="L73" s="74"/>
      <c r="M73" s="74"/>
      <c r="N73" s="74"/>
      <c r="O73" s="74"/>
      <c r="P73" s="74"/>
      <c r="Q73" s="74"/>
      <c r="R73" s="74"/>
      <c r="S73" s="74"/>
      <c r="T73" s="74"/>
      <c r="U73" s="74"/>
      <c r="V73" s="74"/>
      <c r="W73" s="74"/>
      <c r="X73" s="74"/>
      <c r="Y73" s="74"/>
      <c r="Z73" s="74"/>
    </row>
    <row r="74" spans="1:26" x14ac:dyDescent="0.3">
      <c r="A74" s="66">
        <f t="shared" si="7"/>
        <v>1996.6999999999939</v>
      </c>
      <c r="B74" s="67">
        <f>LOOKUP(A74+0.01,Amounts!$A$4:$A$103,Amounts!$B$4:$B$103)*0.1*$A$2</f>
        <v>380.64954290000003</v>
      </c>
      <c r="C74" s="68">
        <f t="shared" si="13"/>
        <v>24366.687622199974</v>
      </c>
      <c r="D74" s="67">
        <f t="array" ref="D74">SUM($B$7:$B69*$F$1009*EXP(-$F$1009*($A74-$A$7:$A69)))*$F$1010</f>
        <v>1918011.624469362</v>
      </c>
      <c r="E74" s="67">
        <f t="shared" si="11"/>
        <v>3.6565198398678564</v>
      </c>
      <c r="F74" s="70">
        <f t="shared" si="8"/>
        <v>0.22202388467677625</v>
      </c>
      <c r="G74" s="67">
        <f>E74/'Lookup Tables'!$C$48</f>
        <v>7.3130396797357129</v>
      </c>
      <c r="H74" s="70">
        <f t="shared" si="12"/>
        <v>7.8872715800877791E-2</v>
      </c>
      <c r="I74" s="71">
        <f t="shared" si="9"/>
        <v>1.0530777138819426E-2</v>
      </c>
      <c r="J74" s="35">
        <f t="shared" si="10"/>
        <v>2061</v>
      </c>
      <c r="K74" s="77">
        <f>$G721</f>
        <v>18.776918862798393</v>
      </c>
      <c r="L74" s="74"/>
      <c r="M74" s="74"/>
      <c r="N74" s="74"/>
      <c r="O74" s="74"/>
      <c r="P74" s="74"/>
      <c r="Q74" s="74"/>
      <c r="R74" s="74"/>
      <c r="S74" s="74"/>
      <c r="T74" s="74"/>
      <c r="U74" s="74"/>
      <c r="V74" s="74"/>
      <c r="W74" s="74"/>
      <c r="X74" s="74"/>
      <c r="Y74" s="74"/>
      <c r="Z74" s="74"/>
    </row>
    <row r="75" spans="1:26" x14ac:dyDescent="0.3">
      <c r="A75" s="66">
        <f t="shared" si="7"/>
        <v>1996.7999999999938</v>
      </c>
      <c r="B75" s="67">
        <f>LOOKUP(A75+0.01,Amounts!$A$4:$A$103,Amounts!$B$4:$B$103)*0.1*$A$2</f>
        <v>380.64954290000003</v>
      </c>
      <c r="C75" s="68">
        <f t="shared" si="13"/>
        <v>24747.337165099972</v>
      </c>
      <c r="D75" s="67">
        <f t="array" ref="D75">SUM($B$7:$B70*$F$1009*EXP(-$F$1009*($A75-$A$7:$A70)))*$F$1010</f>
        <v>1949229.3303727102</v>
      </c>
      <c r="E75" s="67">
        <f t="shared" si="11"/>
        <v>3.7160336402716125</v>
      </c>
      <c r="F75" s="70">
        <f t="shared" si="8"/>
        <v>0.22563756263729232</v>
      </c>
      <c r="G75" s="67">
        <f>E75/'Lookup Tables'!$C$48</f>
        <v>7.4320672805432251</v>
      </c>
      <c r="H75" s="70">
        <f t="shared" si="12"/>
        <v>7.8923532996559853E-2</v>
      </c>
      <c r="I75" s="71">
        <f t="shared" si="9"/>
        <v>1.0702176883982244E-2</v>
      </c>
      <c r="J75" s="35">
        <f t="shared" si="10"/>
        <v>2062</v>
      </c>
      <c r="K75" s="77">
        <f>$G731</f>
        <v>18.515873579428728</v>
      </c>
      <c r="L75" s="74"/>
      <c r="M75" s="74"/>
      <c r="N75" s="74"/>
      <c r="O75" s="74"/>
      <c r="P75" s="74"/>
      <c r="Q75" s="74"/>
      <c r="R75" s="74"/>
      <c r="S75" s="74"/>
      <c r="T75" s="74"/>
      <c r="U75" s="74"/>
      <c r="V75" s="74"/>
      <c r="W75" s="74"/>
      <c r="X75" s="74"/>
      <c r="Y75" s="74"/>
      <c r="Z75" s="74"/>
    </row>
    <row r="76" spans="1:26" x14ac:dyDescent="0.3">
      <c r="A76" s="66">
        <f t="shared" si="7"/>
        <v>1996.8999999999937</v>
      </c>
      <c r="B76" s="67">
        <f>LOOKUP(A76+0.01,Amounts!$A$4:$A$103,Amounts!$B$4:$B$103)*0.1*$A$2</f>
        <v>380.64954290000003</v>
      </c>
      <c r="C76" s="68">
        <f t="shared" si="13"/>
        <v>25127.986707999971</v>
      </c>
      <c r="D76" s="67">
        <f t="array" ref="D76">SUM($B$7:$B71*$F$1009*EXP(-$F$1009*($A76-$A$7:$A71)))*$F$1010</f>
        <v>1980403.3620668738</v>
      </c>
      <c r="E76" s="67">
        <f t="shared" si="11"/>
        <v>3.7754641796511192</v>
      </c>
      <c r="F76" s="70">
        <f t="shared" si="8"/>
        <v>0.22924618498841598</v>
      </c>
      <c r="G76" s="67">
        <f>E76/'Lookup Tables'!$C$48</f>
        <v>7.5509283593022385</v>
      </c>
      <c r="H76" s="70">
        <f t="shared" si="12"/>
        <v>7.8971069026905441E-2</v>
      </c>
      <c r="I76" s="71">
        <f t="shared" si="9"/>
        <v>1.0873336837395223E-2</v>
      </c>
      <c r="J76" s="35">
        <f t="shared" si="10"/>
        <v>2063</v>
      </c>
      <c r="K76" s="77">
        <f>$G741</f>
        <v>18.258457466556528</v>
      </c>
      <c r="L76" s="74"/>
      <c r="M76" s="74"/>
      <c r="N76" s="74"/>
      <c r="O76" s="74"/>
      <c r="P76" s="74"/>
      <c r="Q76" s="74"/>
      <c r="R76" s="74"/>
      <c r="S76" s="74"/>
      <c r="T76" s="74"/>
      <c r="U76" s="74"/>
      <c r="V76" s="74"/>
      <c r="W76" s="74"/>
      <c r="X76" s="74"/>
      <c r="Y76" s="74"/>
      <c r="Z76" s="74"/>
    </row>
    <row r="77" spans="1:26" x14ac:dyDescent="0.3">
      <c r="A77" s="66">
        <f t="shared" si="7"/>
        <v>1996.9999999999936</v>
      </c>
      <c r="B77" s="67">
        <f>LOOKUP(A77+0.01,Amounts!$A$4:$A$103,Amounts!$B$4:$B$103)*0.1*$A$2</f>
        <v>388.26423129999995</v>
      </c>
      <c r="C77" s="68">
        <f t="shared" si="13"/>
        <v>25516.250939299971</v>
      </c>
      <c r="D77" s="67">
        <f t="array" ref="D77">SUM($B$7:$B72*$F$1009*EXP(-$F$1009*($A77-$A$7:$A72)))*$F$1010</f>
        <v>2011533.7806529652</v>
      </c>
      <c r="E77" s="67">
        <f t="shared" si="11"/>
        <v>3.8348115744902542</v>
      </c>
      <c r="F77" s="70">
        <f t="shared" si="8"/>
        <v>0.23284975880304823</v>
      </c>
      <c r="G77" s="67">
        <f>E77/'Lookup Tables'!$C$48</f>
        <v>7.6696231489805085</v>
      </c>
      <c r="H77" s="70">
        <f t="shared" si="12"/>
        <v>7.8991892984078577E-2</v>
      </c>
      <c r="I77" s="71">
        <f t="shared" si="9"/>
        <v>1.1044257334531932E-2</v>
      </c>
      <c r="J77" s="35">
        <f t="shared" si="10"/>
        <v>2064</v>
      </c>
      <c r="K77" s="77">
        <f>$G751</f>
        <v>18.004620069799529</v>
      </c>
      <c r="L77" s="74"/>
      <c r="M77" s="74"/>
      <c r="N77" s="74"/>
      <c r="O77" s="74"/>
      <c r="P77" s="74"/>
      <c r="Q77" s="74"/>
      <c r="R77" s="74"/>
      <c r="S77" s="74"/>
      <c r="T77" s="74"/>
      <c r="U77" s="74"/>
      <c r="V77" s="74"/>
      <c r="W77" s="74"/>
      <c r="X77" s="74"/>
      <c r="Y77" s="74"/>
      <c r="Z77" s="74"/>
    </row>
    <row r="78" spans="1:26" x14ac:dyDescent="0.3">
      <c r="A78" s="66">
        <f t="shared" si="7"/>
        <v>1997.0999999999935</v>
      </c>
      <c r="B78" s="67">
        <f>LOOKUP(A78+0.01,Amounts!$A$4:$A$103,Amounts!$B$4:$B$103)*0.1*$A$2</f>
        <v>388.26423129999995</v>
      </c>
      <c r="C78" s="68">
        <f t="shared" si="13"/>
        <v>25904.515170599971</v>
      </c>
      <c r="D78" s="67">
        <f t="array" ref="D78">SUM($B$7:$B73*$F$1009*EXP(-$F$1009*($A78-$A$7:$A73)))*$F$1010</f>
        <v>2042620.6471466133</v>
      </c>
      <c r="E78" s="67">
        <f t="shared" si="11"/>
        <v>3.8940759411099282</v>
      </c>
      <c r="F78" s="70">
        <f t="shared" si="8"/>
        <v>0.23644829114419483</v>
      </c>
      <c r="G78" s="67">
        <f>E78/'Lookup Tables'!$C$48</f>
        <v>7.7881518822198563</v>
      </c>
      <c r="H78" s="70">
        <f t="shared" si="12"/>
        <v>7.9010408076283414E-2</v>
      </c>
      <c r="I78" s="71">
        <f t="shared" si="9"/>
        <v>1.1214938710396593E-2</v>
      </c>
      <c r="J78" s="35">
        <f t="shared" si="10"/>
        <v>2065</v>
      </c>
      <c r="K78" s="77">
        <f>$G761</f>
        <v>17.754311636215387</v>
      </c>
      <c r="L78" s="74"/>
      <c r="M78" s="74"/>
      <c r="N78" s="74"/>
      <c r="O78" s="74"/>
      <c r="P78" s="74"/>
      <c r="Q78" s="74"/>
      <c r="R78" s="74"/>
      <c r="S78" s="74"/>
      <c r="T78" s="74"/>
      <c r="U78" s="74"/>
      <c r="V78" s="74"/>
      <c r="W78" s="74"/>
      <c r="X78" s="74"/>
      <c r="Y78" s="74"/>
      <c r="Z78" s="74"/>
    </row>
    <row r="79" spans="1:26" x14ac:dyDescent="0.3">
      <c r="A79" s="66">
        <f t="shared" si="7"/>
        <v>1997.1999999999935</v>
      </c>
      <c r="B79" s="67">
        <f>LOOKUP(A79+0.01,Amounts!$A$4:$A$103,Amounts!$B$4:$B$103)*0.1*$A$2</f>
        <v>388.26423129999995</v>
      </c>
      <c r="C79" s="68">
        <f t="shared" si="13"/>
        <v>26292.77940189997</v>
      </c>
      <c r="D79" s="67">
        <f t="array" ref="D79">SUM($B$7:$B74*$F$1009*EXP(-$F$1009*($A79-$A$7:$A74)))*$F$1010</f>
        <v>2073664.0224780887</v>
      </c>
      <c r="E79" s="67">
        <f t="shared" si="11"/>
        <v>3.9532573956683215</v>
      </c>
      <c r="F79" s="70">
        <f t="shared" si="8"/>
        <v>0.24004178906498047</v>
      </c>
      <c r="G79" s="67">
        <f>E79/'Lookup Tables'!$C$48</f>
        <v>7.9065147913366429</v>
      </c>
      <c r="H79" s="70">
        <f t="shared" si="12"/>
        <v>7.902671891025416E-2</v>
      </c>
      <c r="I79" s="71">
        <f t="shared" si="9"/>
        <v>1.1385381299524764E-2</v>
      </c>
      <c r="J79" s="35">
        <f t="shared" si="10"/>
        <v>2066</v>
      </c>
      <c r="K79" s="77">
        <f>$G771</f>
        <v>17.50748310454977</v>
      </c>
      <c r="L79" s="74"/>
      <c r="M79" s="74"/>
      <c r="N79" s="74"/>
      <c r="O79" s="74"/>
      <c r="P79" s="74"/>
      <c r="Q79" s="74"/>
      <c r="R79" s="74"/>
      <c r="S79" s="74"/>
      <c r="T79" s="74"/>
      <c r="U79" s="74"/>
      <c r="V79" s="74"/>
      <c r="W79" s="74"/>
      <c r="X79" s="74"/>
      <c r="Y79" s="74"/>
      <c r="Z79" s="74"/>
    </row>
    <row r="80" spans="1:26" x14ac:dyDescent="0.3">
      <c r="A80" s="66">
        <f t="shared" si="7"/>
        <v>1997.2999999999934</v>
      </c>
      <c r="B80" s="67">
        <f>LOOKUP(A80+0.01,Amounts!$A$4:$A$103,Amounts!$B$4:$B$103)*0.1*$A$2</f>
        <v>388.26423129999995</v>
      </c>
      <c r="C80" s="68">
        <f t="shared" si="13"/>
        <v>26681.04363319997</v>
      </c>
      <c r="D80" s="67">
        <f t="array" ref="D80">SUM($B$7:$B75*$F$1009*EXP(-$F$1009*($A80-$A$7:$A75)))*$F$1010</f>
        <v>2104663.9674924156</v>
      </c>
      <c r="E80" s="67">
        <f t="shared" si="11"/>
        <v>4.0123560541611019</v>
      </c>
      <c r="F80" s="70">
        <f t="shared" si="8"/>
        <v>0.24363025960866211</v>
      </c>
      <c r="G80" s="67">
        <f>E80/'Lookup Tables'!$C$48</f>
        <v>8.0247121083222037</v>
      </c>
      <c r="H80" s="70">
        <f t="shared" si="12"/>
        <v>7.9040924000548407E-2</v>
      </c>
      <c r="I80" s="71">
        <f t="shared" si="9"/>
        <v>1.1555585435983973E-2</v>
      </c>
      <c r="J80" s="35">
        <f t="shared" si="10"/>
        <v>2067</v>
      </c>
      <c r="K80" s="77">
        <f>$G781</f>
        <v>17.264086095620289</v>
      </c>
      <c r="L80" s="74"/>
      <c r="M80" s="74"/>
      <c r="N80" s="74"/>
      <c r="O80" s="74"/>
      <c r="P80" s="74"/>
      <c r="Q80" s="74"/>
      <c r="R80" s="74"/>
      <c r="S80" s="74"/>
      <c r="T80" s="74"/>
      <c r="U80" s="74"/>
      <c r="V80" s="74"/>
      <c r="W80" s="74"/>
      <c r="X80" s="74"/>
      <c r="Y80" s="74"/>
      <c r="Z80" s="74"/>
    </row>
    <row r="81" spans="1:26" x14ac:dyDescent="0.3">
      <c r="A81" s="66">
        <f t="shared" si="7"/>
        <v>1997.3999999999933</v>
      </c>
      <c r="B81" s="67">
        <f>LOOKUP(A81+0.01,Amounts!$A$4:$A$103,Amounts!$B$4:$B$103)*0.1*$A$2</f>
        <v>388.26423129999995</v>
      </c>
      <c r="C81" s="68">
        <f t="shared" si="13"/>
        <v>27069.30786449997</v>
      </c>
      <c r="D81" s="67">
        <f t="array" ref="D81">SUM($B$7:$B76*$F$1009*EXP(-$F$1009*($A81-$A$7:$A76)))*$F$1010</f>
        <v>2135620.5429494958</v>
      </c>
      <c r="E81" s="67">
        <f t="shared" si="11"/>
        <v>4.0713720324216593</v>
      </c>
      <c r="F81" s="70">
        <f t="shared" si="8"/>
        <v>0.24721370980864318</v>
      </c>
      <c r="G81" s="67">
        <f>E81/'Lookup Tables'!$C$48</f>
        <v>8.1427440648433187</v>
      </c>
      <c r="H81" s="70">
        <f t="shared" si="12"/>
        <v>7.9053116206462451E-2</v>
      </c>
      <c r="I81" s="71">
        <f t="shared" si="9"/>
        <v>1.1725551453374379E-2</v>
      </c>
      <c r="J81" s="35">
        <f t="shared" si="10"/>
        <v>2068</v>
      </c>
      <c r="K81" s="77">
        <f>$G791</f>
        <v>17.024072902834007</v>
      </c>
      <c r="L81" s="74"/>
      <c r="M81" s="74"/>
      <c r="N81" s="74"/>
      <c r="O81" s="74"/>
      <c r="P81" s="74"/>
      <c r="Q81" s="74"/>
      <c r="R81" s="74"/>
      <c r="S81" s="74"/>
      <c r="T81" s="74"/>
      <c r="U81" s="74"/>
      <c r="V81" s="74"/>
      <c r="W81" s="74"/>
      <c r="X81" s="74"/>
      <c r="Y81" s="74"/>
      <c r="Z81" s="74"/>
    </row>
    <row r="82" spans="1:26" x14ac:dyDescent="0.3">
      <c r="A82" s="66">
        <f t="shared" si="7"/>
        <v>1997.4999999999932</v>
      </c>
      <c r="B82" s="67">
        <f>LOOKUP(A82+0.01,Amounts!$A$4:$A$103,Amounts!$B$4:$B$103)*0.1*$A$2</f>
        <v>388.26423129999995</v>
      </c>
      <c r="C82" s="68">
        <f t="shared" si="13"/>
        <v>27457.572095799969</v>
      </c>
      <c r="D82" s="67">
        <f t="array" ref="D82">SUM($B$7:$B77*$F$1009*EXP(-$F$1009*($A82-$A$7:$A77)))*$F$1010</f>
        <v>2167211.9815771407</v>
      </c>
      <c r="E82" s="67">
        <f t="shared" si="11"/>
        <v>4.1315983212711398</v>
      </c>
      <c r="F82" s="70">
        <f t="shared" si="8"/>
        <v>0.25087065006758358</v>
      </c>
      <c r="G82" s="67">
        <f>E82/'Lookup Tables'!$C$48</f>
        <v>8.2631966425422796</v>
      </c>
      <c r="H82" s="70">
        <f t="shared" si="12"/>
        <v>7.9088131684894439E-2</v>
      </c>
      <c r="I82" s="71">
        <f t="shared" si="9"/>
        <v>1.1899003165260881E-2</v>
      </c>
      <c r="J82" s="35">
        <f t="shared" si="10"/>
        <v>2069</v>
      </c>
      <c r="K82" s="77">
        <f>$G801</f>
        <v>16.787396482836762</v>
      </c>
      <c r="L82" s="74"/>
      <c r="M82" s="74"/>
      <c r="N82" s="74"/>
      <c r="O82" s="74"/>
      <c r="P82" s="74"/>
      <c r="Q82" s="74"/>
      <c r="R82" s="74"/>
      <c r="S82" s="74"/>
      <c r="T82" s="74"/>
      <c r="U82" s="74"/>
      <c r="V82" s="74"/>
      <c r="W82" s="74"/>
      <c r="X82" s="74"/>
      <c r="Y82" s="74"/>
      <c r="Z82" s="74"/>
    </row>
    <row r="83" spans="1:26" x14ac:dyDescent="0.3">
      <c r="A83" s="66">
        <f t="shared" ref="A83:A146" si="14">A82+0.1</f>
        <v>1997.5999999999931</v>
      </c>
      <c r="B83" s="67">
        <f>LOOKUP(A83+0.01,Amounts!$A$4:$A$103,Amounts!$B$4:$B$103)*0.1*$A$2</f>
        <v>388.26423129999995</v>
      </c>
      <c r="C83" s="68">
        <f t="shared" si="13"/>
        <v>27845.836327099969</v>
      </c>
      <c r="D83" s="67">
        <f t="array" ref="D83">SUM($B$7:$B78*$F$1009*EXP(-$F$1009*($A83-$A$7:$A78)))*$F$1010</f>
        <v>2198759.2231358751</v>
      </c>
      <c r="E83" s="67">
        <f t="shared" si="11"/>
        <v>4.191740352310461</v>
      </c>
      <c r="F83" s="70">
        <f t="shared" ref="F83:F146" si="15">E83*60*1012/1000000</f>
        <v>0.25452247419229118</v>
      </c>
      <c r="G83" s="67">
        <f>E83/'Lookup Tables'!$C$48</f>
        <v>8.3834807046209221</v>
      </c>
      <c r="H83" s="70">
        <f t="shared" si="12"/>
        <v>7.9120580301271587E-2</v>
      </c>
      <c r="I83" s="71">
        <f t="shared" ref="I83:I146" si="16">G83*60*24/1000000</f>
        <v>1.2072212214654128E-2</v>
      </c>
      <c r="J83" s="35">
        <f t="shared" si="10"/>
        <v>2070</v>
      </c>
      <c r="K83" s="77">
        <f>$G811</f>
        <v>16.554010446292555</v>
      </c>
      <c r="L83" s="74"/>
      <c r="M83" s="74"/>
      <c r="N83" s="74"/>
      <c r="O83" s="74"/>
      <c r="P83" s="74"/>
      <c r="Q83" s="74"/>
      <c r="R83" s="74"/>
      <c r="S83" s="74"/>
      <c r="T83" s="74"/>
      <c r="U83" s="74"/>
      <c r="V83" s="74"/>
      <c r="W83" s="74"/>
      <c r="X83" s="74"/>
      <c r="Y83" s="74"/>
      <c r="Z83" s="74"/>
    </row>
    <row r="84" spans="1:26" x14ac:dyDescent="0.3">
      <c r="A84" s="66">
        <f t="shared" si="14"/>
        <v>1997.699999999993</v>
      </c>
      <c r="B84" s="67">
        <f>LOOKUP(A84+0.01,Amounts!$A$4:$A$103,Amounts!$B$4:$B$103)*0.1*$A$2</f>
        <v>388.26423129999995</v>
      </c>
      <c r="C84" s="68">
        <f t="shared" si="13"/>
        <v>28234.100558399969</v>
      </c>
      <c r="D84" s="67">
        <f t="array" ref="D84">SUM($B$7:$B79*$F$1009*EXP(-$F$1009*($A84-$A$7:$A79)))*$F$1010</f>
        <v>2230262.3294583005</v>
      </c>
      <c r="E84" s="67">
        <f t="shared" si="11"/>
        <v>4.2517982434180208</v>
      </c>
      <c r="F84" s="70">
        <f t="shared" si="15"/>
        <v>0.25816918934034222</v>
      </c>
      <c r="G84" s="67">
        <f>E84/'Lookup Tables'!$C$48</f>
        <v>8.5035964868360416</v>
      </c>
      <c r="H84" s="70">
        <f t="shared" si="12"/>
        <v>7.9150570145421179E-2</v>
      </c>
      <c r="I84" s="71">
        <f t="shared" si="16"/>
        <v>1.22451789410439E-2</v>
      </c>
      <c r="J84" s="35">
        <f t="shared" si="10"/>
        <v>2071</v>
      </c>
      <c r="K84" s="77">
        <f>$G821</f>
        <v>16.323869048791046</v>
      </c>
      <c r="L84" s="74"/>
      <c r="M84" s="74"/>
      <c r="N84" s="74"/>
      <c r="O84" s="74"/>
      <c r="P84" s="74"/>
      <c r="Q84" s="74"/>
      <c r="R84" s="74"/>
      <c r="S84" s="74"/>
      <c r="T84" s="74"/>
      <c r="U84" s="74"/>
      <c r="V84" s="74"/>
      <c r="W84" s="74"/>
      <c r="X84" s="74"/>
      <c r="Y84" s="74"/>
      <c r="Z84" s="74"/>
    </row>
    <row r="85" spans="1:26" x14ac:dyDescent="0.3">
      <c r="A85" s="66">
        <f t="shared" si="14"/>
        <v>1997.7999999999929</v>
      </c>
      <c r="B85" s="67">
        <f>LOOKUP(A85+0.01,Amounts!$A$4:$A$103,Amounts!$B$4:$B$103)*0.1*$A$2</f>
        <v>388.26423129999995</v>
      </c>
      <c r="C85" s="68">
        <f t="shared" si="13"/>
        <v>28622.364789699968</v>
      </c>
      <c r="D85" s="67">
        <f t="array" ref="D85">SUM($B$7:$B80*$F$1009*EXP(-$F$1009*($A85-$A$7:$A80)))*$F$1010</f>
        <v>2261721.3622905179</v>
      </c>
      <c r="E85" s="67">
        <f t="shared" si="11"/>
        <v>4.3117721123073096</v>
      </c>
      <c r="F85" s="70">
        <f t="shared" si="15"/>
        <v>0.26181080265929985</v>
      </c>
      <c r="G85" s="67">
        <f>E85/'Lookup Tables'!$C$48</f>
        <v>8.6235442246146192</v>
      </c>
      <c r="H85" s="70">
        <f t="shared" si="12"/>
        <v>7.9178203439160266E-2</v>
      </c>
      <c r="I85" s="71">
        <f t="shared" si="16"/>
        <v>1.2417903683445053E-2</v>
      </c>
      <c r="J85" s="35">
        <f t="shared" si="10"/>
        <v>2072</v>
      </c>
      <c r="K85" s="77">
        <f>$G831</f>
        <v>16.096927181881593</v>
      </c>
      <c r="L85" s="74"/>
      <c r="M85" s="74"/>
      <c r="N85" s="74"/>
      <c r="O85" s="74"/>
      <c r="P85" s="74"/>
      <c r="Q85" s="74"/>
      <c r="R85" s="74"/>
      <c r="S85" s="74"/>
      <c r="T85" s="74"/>
      <c r="U85" s="74"/>
      <c r="V85" s="74"/>
      <c r="W85" s="74"/>
      <c r="X85" s="74"/>
      <c r="Y85" s="74"/>
      <c r="Z85" s="74"/>
    </row>
    <row r="86" spans="1:26" x14ac:dyDescent="0.3">
      <c r="A86" s="66">
        <f t="shared" si="14"/>
        <v>1997.8999999999928</v>
      </c>
      <c r="B86" s="67">
        <f>LOOKUP(A86+0.01,Amounts!$A$4:$A$103,Amounts!$B$4:$B$103)*0.1*$A$2</f>
        <v>388.26423129999995</v>
      </c>
      <c r="C86" s="68">
        <f t="shared" si="13"/>
        <v>29010.629020999968</v>
      </c>
      <c r="D86" s="67">
        <f t="array" ref="D86">SUM($B$7:$B81*$F$1009*EXP(-$F$1009*($A86-$A$7:$A81)))*$F$1010</f>
        <v>2293136.3832922396</v>
      </c>
      <c r="E86" s="67">
        <f t="shared" si="11"/>
        <v>4.3716620765271257</v>
      </c>
      <c r="F86" s="70">
        <f t="shared" si="15"/>
        <v>0.26544732128672704</v>
      </c>
      <c r="G86" s="67">
        <f>E86/'Lookup Tables'!$C$48</f>
        <v>8.7433241530542514</v>
      </c>
      <c r="H86" s="70">
        <f t="shared" si="12"/>
        <v>7.9203576928972647E-2</v>
      </c>
      <c r="I86" s="71">
        <f t="shared" si="16"/>
        <v>1.2590386780398121E-2</v>
      </c>
      <c r="J86" s="35">
        <f t="shared" si="10"/>
        <v>2073</v>
      </c>
      <c r="K86" s="77">
        <f>$G841</f>
        <v>15.873140364231766</v>
      </c>
      <c r="L86" s="74"/>
      <c r="M86" s="74"/>
      <c r="N86" s="74"/>
      <c r="O86" s="74"/>
      <c r="P86" s="74"/>
      <c r="Q86" s="74"/>
      <c r="R86" s="74"/>
      <c r="S86" s="74"/>
      <c r="T86" s="74"/>
      <c r="U86" s="74"/>
      <c r="V86" s="74"/>
      <c r="W86" s="74"/>
      <c r="X86" s="74"/>
      <c r="Y86" s="74"/>
      <c r="Z86" s="74"/>
    </row>
    <row r="87" spans="1:26" x14ac:dyDescent="0.3">
      <c r="A87" s="66">
        <f t="shared" si="14"/>
        <v>1997.9999999999927</v>
      </c>
      <c r="B87" s="67">
        <f>LOOKUP(A87+0.01,Amounts!$A$4:$A$103,Amounts!$B$4:$B$103)*0.1*$A$2</f>
        <v>396.02442330000008</v>
      </c>
      <c r="C87" s="68">
        <f t="shared" si="13"/>
        <v>29406.653444299969</v>
      </c>
      <c r="D87" s="67">
        <f t="array" ref="D87">SUM($B$7:$B82*$F$1009*EXP(-$F$1009*($A87-$A$7:$A82)))*$F$1010</f>
        <v>2324507.4540369175</v>
      </c>
      <c r="E87" s="67">
        <f t="shared" si="11"/>
        <v>4.4314682534618184</v>
      </c>
      <c r="F87" s="70">
        <f t="shared" si="15"/>
        <v>0.26907875235020162</v>
      </c>
      <c r="G87" s="67">
        <f>E87/'Lookup Tables'!$C$48</f>
        <v>8.8629365069236368</v>
      </c>
      <c r="H87" s="70">
        <f t="shared" si="12"/>
        <v>7.9205874902810738E-2</v>
      </c>
      <c r="I87" s="71">
        <f t="shared" si="16"/>
        <v>1.2762628569970038E-2</v>
      </c>
      <c r="J87" s="35">
        <f t="shared" si="10"/>
        <v>2074</v>
      </c>
      <c r="K87" s="77">
        <f>$G851</f>
        <v>15.652464732908829</v>
      </c>
      <c r="L87" s="74"/>
      <c r="M87" s="74"/>
      <c r="N87" s="74"/>
      <c r="O87" s="74"/>
      <c r="P87" s="74"/>
      <c r="Q87" s="74"/>
      <c r="R87" s="74"/>
      <c r="S87" s="74"/>
      <c r="T87" s="74"/>
      <c r="U87" s="74"/>
      <c r="V87" s="74"/>
      <c r="W87" s="74"/>
      <c r="X87" s="74"/>
      <c r="Y87" s="74"/>
      <c r="Z87" s="74"/>
    </row>
    <row r="88" spans="1:26" x14ac:dyDescent="0.3">
      <c r="A88" s="66">
        <f t="shared" si="14"/>
        <v>1998.0999999999926</v>
      </c>
      <c r="B88" s="67">
        <f>LOOKUP(A88+0.01,Amounts!$A$4:$A$103,Amounts!$B$4:$B$103)*0.1*$A$2</f>
        <v>396.02442330000008</v>
      </c>
      <c r="C88" s="68">
        <f t="shared" si="13"/>
        <v>29802.67786759997</v>
      </c>
      <c r="D88" s="67">
        <f t="array" ref="D88">SUM($B$7:$B83*$F$1009*EXP(-$F$1009*($A88-$A$7:$A83)))*$F$1010</f>
        <v>2355834.6360118603</v>
      </c>
      <c r="E88" s="67">
        <f t="shared" si="11"/>
        <v>4.4911907603315147</v>
      </c>
      <c r="F88" s="70">
        <f t="shared" si="15"/>
        <v>0.27270510296732958</v>
      </c>
      <c r="G88" s="67">
        <f>E88/'Lookup Tables'!$C$48</f>
        <v>8.9823815206630293</v>
      </c>
      <c r="H88" s="70">
        <f t="shared" si="12"/>
        <v>7.9206636199512168E-2</v>
      </c>
      <c r="I88" s="71">
        <f t="shared" si="16"/>
        <v>1.2934629389754763E-2</v>
      </c>
      <c r="J88" s="35">
        <f t="shared" si="10"/>
        <v>2075</v>
      </c>
      <c r="K88" s="77">
        <f>$G861</f>
        <v>15.434857034782663</v>
      </c>
      <c r="L88" s="74"/>
      <c r="M88" s="74"/>
      <c r="N88" s="74"/>
      <c r="O88" s="74"/>
      <c r="P88" s="74"/>
      <c r="Q88" s="74"/>
      <c r="R88" s="74"/>
      <c r="S88" s="74"/>
      <c r="T88" s="74"/>
      <c r="U88" s="74"/>
      <c r="V88" s="74"/>
      <c r="W88" s="74"/>
      <c r="X88" s="74"/>
      <c r="Y88" s="74"/>
      <c r="Z88" s="74"/>
    </row>
    <row r="89" spans="1:26" x14ac:dyDescent="0.3">
      <c r="A89" s="66">
        <f t="shared" si="14"/>
        <v>1998.1999999999925</v>
      </c>
      <c r="B89" s="67">
        <f>LOOKUP(A89+0.01,Amounts!$A$4:$A$103,Amounts!$B$4:$B$103)*0.1*$A$2</f>
        <v>396.02442330000008</v>
      </c>
      <c r="C89" s="68">
        <f t="shared" si="13"/>
        <v>30198.702290899972</v>
      </c>
      <c r="D89" s="67">
        <f t="array" ref="D89">SUM($B$7:$B84*$F$1009*EXP(-$F$1009*($A89-$A$7:$A84)))*$F$1010</f>
        <v>2387117.9906183542</v>
      </c>
      <c r="E89" s="67">
        <f t="shared" si="11"/>
        <v>4.5508297141923464</v>
      </c>
      <c r="F89" s="70">
        <f t="shared" si="15"/>
        <v>0.27632638024575928</v>
      </c>
      <c r="G89" s="67">
        <f>E89/'Lookup Tables'!$C$48</f>
        <v>9.1016594283846928</v>
      </c>
      <c r="H89" s="70">
        <f t="shared" si="12"/>
        <v>7.920592331215083E-2</v>
      </c>
      <c r="I89" s="71">
        <f t="shared" si="16"/>
        <v>1.3106389576873956E-2</v>
      </c>
      <c r="J89" s="35">
        <f t="shared" si="10"/>
        <v>2076</v>
      </c>
      <c r="K89" s="77">
        <f>$G871</f>
        <v>15.220274618047734</v>
      </c>
      <c r="L89" s="74"/>
      <c r="M89" s="74"/>
      <c r="N89" s="74"/>
      <c r="O89" s="74"/>
      <c r="P89" s="74"/>
      <c r="Q89" s="74"/>
      <c r="R89" s="74"/>
      <c r="S89" s="74"/>
      <c r="T89" s="74"/>
      <c r="U89" s="74"/>
      <c r="V89" s="74"/>
      <c r="W89" s="74"/>
      <c r="X89" s="74"/>
      <c r="Y89" s="74"/>
      <c r="Z89" s="74"/>
    </row>
    <row r="90" spans="1:26" x14ac:dyDescent="0.3">
      <c r="A90" s="66">
        <f t="shared" si="14"/>
        <v>1998.2999999999925</v>
      </c>
      <c r="B90" s="67">
        <f>LOOKUP(A90+0.01,Amounts!$A$4:$A$103,Amounts!$B$4:$B$103)*0.1*$A$2</f>
        <v>396.02442330000008</v>
      </c>
      <c r="C90" s="68">
        <f t="shared" si="13"/>
        <v>30594.726714199973</v>
      </c>
      <c r="D90" s="67">
        <f t="array" ref="D90">SUM($B$7:$B85*$F$1009*EXP(-$F$1009*($A90-$A$7:$A85)))*$F$1010</f>
        <v>2418357.5791717842</v>
      </c>
      <c r="E90" s="67">
        <f t="shared" si="11"/>
        <v>4.6103852319366814</v>
      </c>
      <c r="F90" s="70">
        <f t="shared" si="15"/>
        <v>0.27994259128319532</v>
      </c>
      <c r="G90" s="67">
        <f>E90/'Lookup Tables'!$C$48</f>
        <v>9.2207704638733627</v>
      </c>
      <c r="H90" s="70">
        <f t="shared" si="12"/>
        <v>7.9203795495294563E-2</v>
      </c>
      <c r="I90" s="71">
        <f t="shared" si="16"/>
        <v>1.3277909467977642E-2</v>
      </c>
      <c r="J90" s="35">
        <f t="shared" si="10"/>
        <v>2077</v>
      </c>
      <c r="K90" s="77">
        <f>$G881</f>
        <v>15.008675423863433</v>
      </c>
      <c r="L90" s="74"/>
      <c r="M90" s="74"/>
      <c r="N90" s="74"/>
      <c r="O90" s="74"/>
      <c r="P90" s="74"/>
      <c r="Q90" s="74"/>
      <c r="R90" s="74"/>
      <c r="S90" s="74"/>
      <c r="T90" s="74"/>
      <c r="U90" s="74"/>
      <c r="V90" s="74"/>
      <c r="W90" s="74"/>
      <c r="X90" s="74"/>
      <c r="Y90" s="74"/>
      <c r="Z90" s="74"/>
    </row>
    <row r="91" spans="1:26" x14ac:dyDescent="0.3">
      <c r="A91" s="66">
        <f t="shared" si="14"/>
        <v>1998.3999999999924</v>
      </c>
      <c r="B91" s="67">
        <f>LOOKUP(A91+0.01,Amounts!$A$4:$A$103,Amounts!$B$4:$B$103)*0.1*$A$2</f>
        <v>396.02442330000008</v>
      </c>
      <c r="C91" s="68">
        <f t="shared" si="13"/>
        <v>30990.751137499974</v>
      </c>
      <c r="D91" s="67">
        <f t="array" ref="D91">SUM($B$7:$B86*$F$1009*EXP(-$F$1009*($A91-$A$7:$A86)))*$F$1010</f>
        <v>2449553.4629017548</v>
      </c>
      <c r="E91" s="67">
        <f t="shared" si="11"/>
        <v>4.6698574302933551</v>
      </c>
      <c r="F91" s="70">
        <f t="shared" si="15"/>
        <v>0.28355374316741255</v>
      </c>
      <c r="G91" s="67">
        <f>E91/'Lookup Tables'!$C$48</f>
        <v>9.3397148605867102</v>
      </c>
      <c r="H91" s="70">
        <f t="shared" si="12"/>
        <v>7.920030897192995E-2</v>
      </c>
      <c r="I91" s="71">
        <f t="shared" si="16"/>
        <v>1.3449189399244865E-2</v>
      </c>
      <c r="J91" s="35">
        <f t="shared" si="10"/>
        <v>2078</v>
      </c>
      <c r="K91" s="77">
        <f>$G891</f>
        <v>14.800017978110271</v>
      </c>
      <c r="L91" s="74"/>
      <c r="M91" s="74"/>
      <c r="N91" s="74"/>
      <c r="O91" s="74"/>
      <c r="P91" s="74"/>
      <c r="Q91" s="74"/>
      <c r="R91" s="74"/>
      <c r="S91" s="74"/>
      <c r="T91" s="74"/>
      <c r="U91" s="74"/>
      <c r="V91" s="74"/>
      <c r="W91" s="74"/>
      <c r="X91" s="74"/>
      <c r="Y91" s="74"/>
      <c r="Z91" s="74"/>
    </row>
    <row r="92" spans="1:26" x14ac:dyDescent="0.3">
      <c r="A92" s="66">
        <f t="shared" si="14"/>
        <v>1998.4999999999923</v>
      </c>
      <c r="B92" s="67">
        <f>LOOKUP(A92+0.01,Amounts!$A$4:$A$103,Amounts!$B$4:$B$103)*0.1*$A$2</f>
        <v>396.02442330000008</v>
      </c>
      <c r="C92" s="68">
        <f t="shared" si="13"/>
        <v>31386.775560799975</v>
      </c>
      <c r="D92" s="67">
        <f t="array" ref="D92">SUM($B$7:$B87*$F$1009*EXP(-$F$1009*($A92-$A$7:$A87)))*$F$1010</f>
        <v>2481396.8337067696</v>
      </c>
      <c r="E92" s="67">
        <f t="shared" si="11"/>
        <v>4.7305640055984028</v>
      </c>
      <c r="F92" s="70">
        <f t="shared" si="15"/>
        <v>0.287239846419935</v>
      </c>
      <c r="G92" s="67">
        <f>E92/'Lookup Tables'!$C$48</f>
        <v>9.4611280111968057</v>
      </c>
      <c r="H92" s="70">
        <f t="shared" si="12"/>
        <v>7.921758119199257E-2</v>
      </c>
      <c r="I92" s="71">
        <f t="shared" si="16"/>
        <v>1.3624024336123398E-2</v>
      </c>
      <c r="J92" s="35">
        <f t="shared" si="10"/>
        <v>2079</v>
      </c>
      <c r="K92" s="77">
        <f>$G901</f>
        <v>14.594261383260939</v>
      </c>
      <c r="L92" s="74"/>
      <c r="M92" s="74"/>
      <c r="N92" s="74"/>
      <c r="O92" s="74"/>
      <c r="P92" s="74"/>
      <c r="Q92" s="74"/>
      <c r="R92" s="74"/>
      <c r="S92" s="74"/>
      <c r="T92" s="74"/>
      <c r="U92" s="74"/>
      <c r="V92" s="74"/>
      <c r="W92" s="74"/>
      <c r="X92" s="74"/>
      <c r="Y92" s="74"/>
      <c r="Z92" s="74"/>
    </row>
    <row r="93" spans="1:26" x14ac:dyDescent="0.3">
      <c r="A93" s="66">
        <f t="shared" si="14"/>
        <v>1998.5999999999922</v>
      </c>
      <c r="B93" s="67">
        <f>LOOKUP(A93+0.01,Amounts!$A$4:$A$103,Amounts!$B$4:$B$103)*0.1*$A$2</f>
        <v>396.02442330000008</v>
      </c>
      <c r="C93" s="68">
        <f t="shared" si="13"/>
        <v>31782.799984099976</v>
      </c>
      <c r="D93" s="67">
        <f t="array" ref="D93">SUM($B$7:$B88*$F$1009*EXP(-$F$1009*($A93-$A$7:$A88)))*$F$1010</f>
        <v>2513195.6549846027</v>
      </c>
      <c r="E93" s="67">
        <f t="shared" si="11"/>
        <v>4.7911856511627136</v>
      </c>
      <c r="F93" s="70">
        <f t="shared" si="15"/>
        <v>0.29092079273859994</v>
      </c>
      <c r="G93" s="67">
        <f>E93/'Lookup Tables'!$C$48</f>
        <v>9.5823713023254271</v>
      </c>
      <c r="H93" s="70">
        <f t="shared" si="12"/>
        <v>7.9233018472599295E-2</v>
      </c>
      <c r="I93" s="71">
        <f t="shared" si="16"/>
        <v>1.3798614675348613E-2</v>
      </c>
      <c r="J93" s="35">
        <f t="shared" si="10"/>
        <v>2080</v>
      </c>
      <c r="K93" s="77">
        <f>$G911</f>
        <v>14.391365310364115</v>
      </c>
      <c r="L93" s="74"/>
      <c r="M93" s="74"/>
      <c r="N93" s="74"/>
      <c r="O93" s="74"/>
      <c r="P93" s="74"/>
      <c r="Q93" s="74"/>
      <c r="R93" s="74"/>
      <c r="S93" s="74"/>
      <c r="T93" s="74"/>
      <c r="U93" s="74"/>
      <c r="V93" s="74"/>
      <c r="W93" s="74"/>
      <c r="X93" s="74"/>
      <c r="Y93" s="74"/>
      <c r="Z93" s="74"/>
    </row>
    <row r="94" spans="1:26" x14ac:dyDescent="0.3">
      <c r="A94" s="66">
        <f t="shared" si="14"/>
        <v>1998.6999999999921</v>
      </c>
      <c r="B94" s="67">
        <f>LOOKUP(A94+0.01,Amounts!$A$4:$A$103,Amounts!$B$4:$B$103)*0.1*$A$2</f>
        <v>396.02442330000008</v>
      </c>
      <c r="C94" s="68">
        <f t="shared" si="13"/>
        <v>32178.824407399978</v>
      </c>
      <c r="D94" s="67">
        <f t="array" ref="D94">SUM($B$7:$B89*$F$1009*EXP(-$F$1009*($A94-$A$7:$A89)))*$F$1010</f>
        <v>2544949.9890609542</v>
      </c>
      <c r="E94" s="67">
        <f t="shared" si="11"/>
        <v>4.8517224858047312</v>
      </c>
      <c r="F94" s="70">
        <f t="shared" si="15"/>
        <v>0.29459658933806326</v>
      </c>
      <c r="G94" s="67">
        <f>E94/'Lookup Tables'!$C$48</f>
        <v>9.7034449716094624</v>
      </c>
      <c r="H94" s="70">
        <f t="shared" si="12"/>
        <v>7.9246690502234221E-2</v>
      </c>
      <c r="I94" s="71">
        <f t="shared" si="16"/>
        <v>1.3972960759117626E-2</v>
      </c>
      <c r="J94" s="35">
        <f t="shared" si="10"/>
        <v>2081</v>
      </c>
      <c r="K94" s="77">
        <f>$G921</f>
        <v>14.191289991139973</v>
      </c>
      <c r="L94" s="74"/>
      <c r="M94" s="74"/>
      <c r="N94" s="74"/>
      <c r="O94" s="74"/>
      <c r="P94" s="74"/>
      <c r="Q94" s="74"/>
      <c r="R94" s="74"/>
      <c r="S94" s="74"/>
      <c r="T94" s="74"/>
      <c r="U94" s="74"/>
      <c r="V94" s="74"/>
      <c r="W94" s="74"/>
      <c r="X94" s="74"/>
      <c r="Y94" s="74"/>
      <c r="Z94" s="74"/>
    </row>
    <row r="95" spans="1:26" x14ac:dyDescent="0.3">
      <c r="A95" s="66">
        <f t="shared" si="14"/>
        <v>1998.799999999992</v>
      </c>
      <c r="B95" s="67">
        <f>LOOKUP(A95+0.01,Amounts!$A$4:$A$103,Amounts!$B$4:$B$103)*0.1*$A$2</f>
        <v>396.02442330000008</v>
      </c>
      <c r="C95" s="68">
        <f t="shared" si="13"/>
        <v>32574.848830699979</v>
      </c>
      <c r="D95" s="67">
        <f t="array" ref="D95">SUM($B$7:$B90*$F$1009*EXP(-$F$1009*($A95-$A$7:$A90)))*$F$1010</f>
        <v>2576659.8981743292</v>
      </c>
      <c r="E95" s="67">
        <f t="shared" si="11"/>
        <v>4.9121746281766736</v>
      </c>
      <c r="F95" s="70">
        <f t="shared" si="15"/>
        <v>0.29826724342288763</v>
      </c>
      <c r="G95" s="67">
        <f>E95/'Lookup Tables'!$C$48</f>
        <v>9.8243492563533472</v>
      </c>
      <c r="H95" s="70">
        <f t="shared" si="12"/>
        <v>7.9258663577785216E-2</v>
      </c>
      <c r="I95" s="71">
        <f t="shared" si="16"/>
        <v>1.4147062929148821E-2</v>
      </c>
      <c r="J95" s="35">
        <f t="shared" si="10"/>
        <v>2082</v>
      </c>
      <c r="K95" s="77">
        <f>$G931</f>
        <v>13.993996210185436</v>
      </c>
      <c r="L95" s="74"/>
      <c r="M95" s="74"/>
      <c r="N95" s="74"/>
      <c r="O95" s="74"/>
      <c r="P95" s="74"/>
      <c r="Q95" s="74"/>
      <c r="R95" s="74"/>
      <c r="S95" s="74"/>
      <c r="T95" s="74"/>
      <c r="U95" s="74"/>
      <c r="V95" s="74"/>
      <c r="W95" s="74"/>
      <c r="X95" s="74"/>
      <c r="Y95" s="74"/>
      <c r="Z95" s="74"/>
    </row>
    <row r="96" spans="1:26" x14ac:dyDescent="0.3">
      <c r="A96" s="66">
        <f t="shared" si="14"/>
        <v>1998.8999999999919</v>
      </c>
      <c r="B96" s="67">
        <f>LOOKUP(A96+0.01,Amounts!$A$4:$A$103,Amounts!$B$4:$B$103)*0.1*$A$2</f>
        <v>396.02442330000008</v>
      </c>
      <c r="C96" s="68">
        <f t="shared" si="13"/>
        <v>32970.873253999976</v>
      </c>
      <c r="D96" s="67">
        <f t="array" ref="D96">SUM($B$7:$B91*$F$1009*EXP(-$F$1009*($A96-$A$7:$A91)))*$F$1010</f>
        <v>2608325.4444761598</v>
      </c>
      <c r="E96" s="67">
        <f t="shared" si="11"/>
        <v>4.9725421967647589</v>
      </c>
      <c r="F96" s="70">
        <f t="shared" si="15"/>
        <v>0.30193276218755616</v>
      </c>
      <c r="G96" s="67">
        <f>E96/'Lookup Tables'!$C$48</f>
        <v>9.9450843935295179</v>
      </c>
      <c r="H96" s="70">
        <f t="shared" si="12"/>
        <v>7.9269000808235582E-2</v>
      </c>
      <c r="I96" s="71">
        <f t="shared" si="16"/>
        <v>1.4320921526682505E-2</v>
      </c>
      <c r="J96" s="35">
        <f t="shared" si="10"/>
        <v>2083</v>
      </c>
      <c r="K96" s="77">
        <f>$G941</f>
        <v>13.799445297287821</v>
      </c>
      <c r="L96" s="74"/>
      <c r="M96" s="74"/>
      <c r="N96" s="74"/>
      <c r="O96" s="74"/>
      <c r="P96" s="74"/>
      <c r="Q96" s="74"/>
      <c r="R96" s="74"/>
      <c r="S96" s="74"/>
      <c r="T96" s="74"/>
      <c r="U96" s="74"/>
      <c r="V96" s="74"/>
      <c r="W96" s="74"/>
      <c r="X96" s="74"/>
      <c r="Y96" s="74"/>
      <c r="Z96" s="74"/>
    </row>
    <row r="97" spans="1:26" x14ac:dyDescent="0.3">
      <c r="A97" s="66">
        <f t="shared" si="14"/>
        <v>1998.9999999999918</v>
      </c>
      <c r="B97" s="67">
        <f>LOOKUP(A97+0.01,Amounts!$A$4:$A$103,Amounts!$B$4:$B$103)*0.1*$A$2</f>
        <v>403.94224419999995</v>
      </c>
      <c r="C97" s="68">
        <f t="shared" si="13"/>
        <v>33374.815498199976</v>
      </c>
      <c r="D97" s="67">
        <f t="array" ref="D97">SUM($B$7:$B92*$F$1009*EXP(-$F$1009*($A97-$A$7:$A92)))*$F$1010</f>
        <v>2639946.6900309264</v>
      </c>
      <c r="E97" s="67">
        <f t="shared" si="11"/>
        <v>5.0328253098894384</v>
      </c>
      <c r="F97" s="70">
        <f t="shared" si="15"/>
        <v>0.30559315281648675</v>
      </c>
      <c r="G97" s="67">
        <f>E97/'Lookup Tables'!$C$48</f>
        <v>10.065650619778877</v>
      </c>
      <c r="H97" s="70">
        <f t="shared" si="12"/>
        <v>7.925895449581008E-2</v>
      </c>
      <c r="I97" s="71">
        <f t="shared" si="16"/>
        <v>1.4494536892481584E-2</v>
      </c>
      <c r="J97" s="35">
        <f t="shared" si="10"/>
        <v>2084</v>
      </c>
      <c r="K97" s="77">
        <f>$G951</f>
        <v>13.607599119845407</v>
      </c>
      <c r="L97" s="74"/>
      <c r="M97" s="74"/>
      <c r="N97" s="74"/>
      <c r="O97" s="74"/>
      <c r="P97" s="74"/>
      <c r="Q97" s="74"/>
      <c r="R97" s="74"/>
      <c r="S97" s="74"/>
      <c r="T97" s="74"/>
      <c r="U97" s="74"/>
      <c r="V97" s="74"/>
      <c r="W97" s="74"/>
      <c r="X97" s="74"/>
      <c r="Y97" s="74"/>
      <c r="Z97" s="74"/>
    </row>
    <row r="98" spans="1:26" x14ac:dyDescent="0.3">
      <c r="A98" s="66">
        <f t="shared" si="14"/>
        <v>1999.0999999999917</v>
      </c>
      <c r="B98" s="67">
        <f>LOOKUP(A98+0.01,Amounts!$A$4:$A$103,Amounts!$B$4:$B$103)*0.1*$A$2</f>
        <v>403.94224419999995</v>
      </c>
      <c r="C98" s="68">
        <f t="shared" si="13"/>
        <v>33778.757742399976</v>
      </c>
      <c r="D98" s="67">
        <f t="array" ref="D98">SUM($B$7:$B93*$F$1009*EXP(-$F$1009*($A98-$A$7:$A93)))*$F$1010</f>
        <v>2671523.6968162805</v>
      </c>
      <c r="E98" s="67">
        <f t="shared" si="11"/>
        <v>5.0930240857056344</v>
      </c>
      <c r="F98" s="70">
        <f t="shared" si="15"/>
        <v>0.30924842248404616</v>
      </c>
      <c r="G98" s="67">
        <f>E98/'Lookup Tables'!$C$48</f>
        <v>10.186048171411269</v>
      </c>
      <c r="H98" s="70">
        <f t="shared" si="12"/>
        <v>7.9247836165590391E-2</v>
      </c>
      <c r="I98" s="71">
        <f t="shared" si="16"/>
        <v>1.4667909366832228E-2</v>
      </c>
      <c r="J98" s="35">
        <f t="shared" si="10"/>
        <v>2085</v>
      </c>
      <c r="K98" s="77">
        <f>$G961</f>
        <v>13.418420075393206</v>
      </c>
      <c r="L98" s="74"/>
      <c r="M98" s="74"/>
      <c r="N98" s="74"/>
      <c r="O98" s="74"/>
      <c r="P98" s="74"/>
      <c r="Q98" s="74"/>
      <c r="R98" s="74"/>
      <c r="S98" s="74"/>
      <c r="T98" s="74"/>
      <c r="U98" s="74"/>
      <c r="V98" s="74"/>
      <c r="W98" s="74"/>
      <c r="X98" s="74"/>
      <c r="Y98" s="74"/>
      <c r="Z98" s="74"/>
    </row>
    <row r="99" spans="1:26" x14ac:dyDescent="0.3">
      <c r="A99" s="66">
        <f t="shared" si="14"/>
        <v>1999.1999999999916</v>
      </c>
      <c r="B99" s="67">
        <f>LOOKUP(A99+0.01,Amounts!$A$4:$A$103,Amounts!$B$4:$B$103)*0.1*$A$2</f>
        <v>403.94224419999995</v>
      </c>
      <c r="C99" s="68">
        <f t="shared" si="13"/>
        <v>34182.699986599975</v>
      </c>
      <c r="D99" s="67">
        <f t="array" ref="D99">SUM($B$7:$B94*$F$1009*EXP(-$F$1009*($A99-$A$7:$A94)))*$F$1010</f>
        <v>2703056.5267231655</v>
      </c>
      <c r="E99" s="67">
        <f t="shared" si="11"/>
        <v>5.1531386422029666</v>
      </c>
      <c r="F99" s="70">
        <f t="shared" si="15"/>
        <v>0.31289857835456414</v>
      </c>
      <c r="G99" s="67">
        <f>E99/'Lookup Tables'!$C$48</f>
        <v>10.306277284405933</v>
      </c>
      <c r="H99" s="70">
        <f t="shared" si="12"/>
        <v>7.9235685636407871E-2</v>
      </c>
      <c r="I99" s="71">
        <f t="shared" si="16"/>
        <v>1.4841039289544543E-2</v>
      </c>
      <c r="J99" s="35">
        <f t="shared" si="10"/>
        <v>2086</v>
      </c>
      <c r="K99" s="77">
        <f>$G971</f>
        <v>13.231871084232896</v>
      </c>
      <c r="L99" s="74"/>
      <c r="M99" s="74"/>
      <c r="N99" s="74"/>
      <c r="O99" s="74"/>
      <c r="P99" s="74"/>
      <c r="Q99" s="74"/>
      <c r="R99" s="74"/>
      <c r="S99" s="74"/>
      <c r="T99" s="74"/>
      <c r="U99" s="74"/>
      <c r="V99" s="74"/>
      <c r="W99" s="74"/>
      <c r="X99" s="74"/>
      <c r="Y99" s="74"/>
      <c r="Z99" s="74"/>
    </row>
    <row r="100" spans="1:26" x14ac:dyDescent="0.3">
      <c r="A100" s="66">
        <f t="shared" si="14"/>
        <v>1999.2999999999915</v>
      </c>
      <c r="B100" s="67">
        <f>LOOKUP(A100+0.01,Amounts!$A$4:$A$103,Amounts!$B$4:$B$103)*0.1*$A$2</f>
        <v>403.94224419999995</v>
      </c>
      <c r="C100" s="68">
        <f t="shared" si="13"/>
        <v>34586.642230799975</v>
      </c>
      <c r="D100" s="67">
        <f t="array" ref="D100">SUM($B$7:$B95*$F$1009*EXP(-$F$1009*($A100-$A$7:$A95)))*$F$1010</f>
        <v>2734545.2415559394</v>
      </c>
      <c r="E100" s="67">
        <f t="shared" si="11"/>
        <v>5.2131690972059879</v>
      </c>
      <c r="F100" s="70">
        <f t="shared" si="15"/>
        <v>0.31654362758234755</v>
      </c>
      <c r="G100" s="67">
        <f>E100/'Lookup Tables'!$C$48</f>
        <v>10.426338194411976</v>
      </c>
      <c r="H100" s="70">
        <f t="shared" si="12"/>
        <v>7.9222540864386501E-2</v>
      </c>
      <c r="I100" s="71">
        <f t="shared" si="16"/>
        <v>1.5013926999953244E-2</v>
      </c>
      <c r="J100" s="35">
        <f t="shared" si="10"/>
        <v>2087</v>
      </c>
      <c r="K100" s="77">
        <f>$G981</f>
        <v>13.04791558216499</v>
      </c>
      <c r="L100" s="74"/>
      <c r="M100" s="74"/>
      <c r="N100" s="74"/>
      <c r="O100" s="74"/>
      <c r="P100" s="74"/>
      <c r="Q100" s="74"/>
      <c r="R100" s="74"/>
      <c r="S100" s="74"/>
      <c r="T100" s="74"/>
      <c r="U100" s="74"/>
      <c r="V100" s="74"/>
      <c r="W100" s="74"/>
      <c r="X100" s="74"/>
      <c r="Y100" s="74"/>
      <c r="Z100" s="74"/>
    </row>
    <row r="101" spans="1:26" x14ac:dyDescent="0.3">
      <c r="A101" s="66">
        <f t="shared" si="14"/>
        <v>1999.3999999999915</v>
      </c>
      <c r="B101" s="67">
        <f>LOOKUP(A101+0.01,Amounts!$A$4:$A$103,Amounts!$B$4:$B$103)*0.1*$A$2</f>
        <v>403.94224419999995</v>
      </c>
      <c r="C101" s="68">
        <f t="shared" si="13"/>
        <v>34990.584474999974</v>
      </c>
      <c r="D101" s="67">
        <f t="array" ref="D101">SUM($B$7:$B96*$F$1009*EXP(-$F$1009*($A101-$A$7:$A96)))*$F$1010</f>
        <v>2765989.9030324905</v>
      </c>
      <c r="E101" s="67">
        <f t="shared" si="11"/>
        <v>5.2731155683744024</v>
      </c>
      <c r="F101" s="70">
        <f t="shared" si="15"/>
        <v>0.32018357731169367</v>
      </c>
      <c r="G101" s="67">
        <f>E101/'Lookup Tables'!$C$48</f>
        <v>10.546231136748805</v>
      </c>
      <c r="H101" s="70">
        <f t="shared" si="12"/>
        <v>7.9208438050464666E-2</v>
      </c>
      <c r="I101" s="71">
        <f t="shared" si="16"/>
        <v>1.5186572836918278E-2</v>
      </c>
      <c r="J101" s="35">
        <f t="shared" si="10"/>
        <v>2088</v>
      </c>
      <c r="K101" s="77">
        <f>$G991</f>
        <v>12.866517513322194</v>
      </c>
      <c r="L101" s="74"/>
      <c r="M101" s="74"/>
      <c r="N101" s="74"/>
      <c r="O101" s="74"/>
      <c r="P101" s="74"/>
      <c r="Q101" s="74"/>
      <c r="R101" s="74"/>
      <c r="S101" s="74"/>
      <c r="T101" s="74"/>
      <c r="U101" s="74"/>
      <c r="V101" s="74"/>
      <c r="W101" s="74"/>
      <c r="X101" s="74"/>
      <c r="Y101" s="74"/>
      <c r="Z101" s="74"/>
    </row>
    <row r="102" spans="1:26" x14ac:dyDescent="0.3">
      <c r="A102" s="66">
        <f t="shared" si="14"/>
        <v>1999.4999999999914</v>
      </c>
      <c r="B102" s="67">
        <f>LOOKUP(A102+0.01,Amounts!$A$4:$A$103,Amounts!$B$4:$B$103)*0.1*$A$2</f>
        <v>403.94224419999995</v>
      </c>
      <c r="C102" s="68">
        <f t="shared" si="13"/>
        <v>35394.526719199974</v>
      </c>
      <c r="D102" s="67">
        <f t="array" ref="D102">SUM($B$7:$B97*$F$1009*EXP(-$F$1009*($A102-$A$7:$A97)))*$F$1010</f>
        <v>2798095.7421323829</v>
      </c>
      <c r="E102" s="67">
        <f t="shared" si="11"/>
        <v>5.3343225163129171</v>
      </c>
      <c r="F102" s="70">
        <f t="shared" si="15"/>
        <v>0.32390006319052028</v>
      </c>
      <c r="G102" s="67">
        <f>E102/'Lookup Tables'!$C$48</f>
        <v>10.668645032625834</v>
      </c>
      <c r="H102" s="70">
        <f t="shared" si="12"/>
        <v>7.9213374904464381E-2</v>
      </c>
      <c r="I102" s="71">
        <f t="shared" si="16"/>
        <v>1.5362848846981201E-2</v>
      </c>
      <c r="J102" s="35">
        <f t="shared" si="10"/>
        <v>2089</v>
      </c>
      <c r="K102" s="77">
        <f>$G1001</f>
        <v>12.687641323102278</v>
      </c>
      <c r="L102" s="74"/>
      <c r="M102" s="74"/>
      <c r="N102" s="74"/>
      <c r="O102" s="74"/>
      <c r="P102" s="74"/>
      <c r="Q102" s="74"/>
      <c r="R102" s="74"/>
      <c r="S102" s="74"/>
      <c r="T102" s="74"/>
      <c r="U102" s="74"/>
      <c r="V102" s="74"/>
      <c r="W102" s="74"/>
      <c r="X102" s="74"/>
      <c r="Y102" s="74"/>
      <c r="Z102" s="74"/>
    </row>
    <row r="103" spans="1:26" x14ac:dyDescent="0.3">
      <c r="A103" s="66">
        <f t="shared" si="14"/>
        <v>1999.5999999999913</v>
      </c>
      <c r="B103" s="67">
        <f>LOOKUP(A103+0.01,Amounts!$A$4:$A$103,Amounts!$B$4:$B$103)*0.1*$A$2</f>
        <v>403.94224419999995</v>
      </c>
      <c r="C103" s="68">
        <f t="shared" si="13"/>
        <v>35798.468963399973</v>
      </c>
      <c r="D103" s="67">
        <f t="array" ref="D103">SUM($B$7:$B98*$F$1009*EXP(-$F$1009*($A103-$A$7:$A98)))*$F$1010</f>
        <v>2830156.6645065793</v>
      </c>
      <c r="E103" s="67">
        <f t="shared" si="11"/>
        <v>5.3954438344791438</v>
      </c>
      <c r="F103" s="70">
        <f t="shared" si="15"/>
        <v>0.32761134962957367</v>
      </c>
      <c r="G103" s="67">
        <f>E103/'Lookup Tables'!$C$48</f>
        <v>10.790887668958288</v>
      </c>
      <c r="H103" s="70">
        <f t="shared" si="12"/>
        <v>7.9216943112890681E-2</v>
      </c>
      <c r="I103" s="71">
        <f t="shared" si="16"/>
        <v>1.5538878243299937E-2</v>
      </c>
      <c r="K103" s="77"/>
      <c r="L103" s="74"/>
      <c r="M103" s="74"/>
      <c r="N103" s="74"/>
      <c r="O103" s="74"/>
      <c r="P103" s="74"/>
      <c r="Q103" s="74"/>
      <c r="R103" s="74"/>
      <c r="S103" s="74"/>
      <c r="T103" s="74"/>
      <c r="U103" s="74"/>
      <c r="V103" s="74"/>
      <c r="W103" s="74"/>
      <c r="X103" s="74"/>
      <c r="Y103" s="74"/>
      <c r="Z103" s="74"/>
    </row>
    <row r="104" spans="1:26" x14ac:dyDescent="0.3">
      <c r="A104" s="66">
        <f t="shared" si="14"/>
        <v>1999.6999999999912</v>
      </c>
      <c r="B104" s="67">
        <f>LOOKUP(A104+0.01,Amounts!$A$4:$A$103,Amounts!$B$4:$B$103)*0.1*$A$2</f>
        <v>403.94224419999995</v>
      </c>
      <c r="C104" s="68">
        <f t="shared" si="13"/>
        <v>36202.411207599973</v>
      </c>
      <c r="D104" s="67">
        <f t="array" ref="D104">SUM($B$7:$B99*$F$1009*EXP(-$F$1009*($A104-$A$7:$A99)))*$F$1010</f>
        <v>2862172.7329944982</v>
      </c>
      <c r="E104" s="67">
        <f t="shared" si="11"/>
        <v>5.4564796426708853</v>
      </c>
      <c r="F104" s="70">
        <f t="shared" si="15"/>
        <v>0.33131744390297618</v>
      </c>
      <c r="G104" s="67">
        <f>E104/'Lookup Tables'!$C$48</f>
        <v>10.912959285341771</v>
      </c>
      <c r="H104" s="70">
        <f t="shared" si="12"/>
        <v>7.9219190228571129E-2</v>
      </c>
      <c r="I104" s="71">
        <f t="shared" si="16"/>
        <v>1.5714661370892152E-2</v>
      </c>
      <c r="K104" s="77"/>
      <c r="L104" s="74"/>
      <c r="M104" s="74"/>
      <c r="N104" s="74"/>
      <c r="O104" s="74"/>
      <c r="P104" s="74"/>
      <c r="Q104" s="74"/>
      <c r="R104" s="74"/>
      <c r="S104" s="74"/>
      <c r="T104" s="74"/>
      <c r="U104" s="74"/>
      <c r="V104" s="74"/>
      <c r="W104" s="74"/>
      <c r="X104" s="74"/>
      <c r="Y104" s="74"/>
      <c r="Z104" s="74"/>
    </row>
    <row r="105" spans="1:26" x14ac:dyDescent="0.3">
      <c r="A105" s="66">
        <f t="shared" si="14"/>
        <v>1999.7999999999911</v>
      </c>
      <c r="B105" s="67">
        <f>LOOKUP(A105+0.01,Amounts!$A$4:$A$103,Amounts!$B$4:$B$103)*0.1*$A$2</f>
        <v>403.94224419999995</v>
      </c>
      <c r="C105" s="68">
        <f t="shared" si="13"/>
        <v>36606.353451799972</v>
      </c>
      <c r="D105" s="67">
        <f t="array" ref="D105">SUM($B$7:$B100*$F$1009*EXP(-$F$1009*($A105-$A$7:$A100)))*$F$1010</f>
        <v>2894144.0103476439</v>
      </c>
      <c r="E105" s="67">
        <f t="shared" si="11"/>
        <v>5.5174300605183468</v>
      </c>
      <c r="F105" s="70">
        <f t="shared" si="15"/>
        <v>0.335018353274674</v>
      </c>
      <c r="G105" s="67">
        <f>E105/'Lookup Tables'!$C$48</f>
        <v>11.034860121036694</v>
      </c>
      <c r="H105" s="70">
        <f t="shared" si="12"/>
        <v>7.9220161702991176E-2</v>
      </c>
      <c r="I105" s="71">
        <f t="shared" si="16"/>
        <v>1.5890198574292837E-2</v>
      </c>
      <c r="K105" s="77"/>
      <c r="L105" s="74"/>
      <c r="M105" s="74"/>
      <c r="N105" s="74"/>
      <c r="O105" s="74"/>
      <c r="P105" s="74"/>
      <c r="Q105" s="74"/>
      <c r="R105" s="74"/>
      <c r="S105" s="74"/>
      <c r="T105" s="74"/>
      <c r="U105" s="74"/>
      <c r="V105" s="74"/>
      <c r="W105" s="74"/>
      <c r="X105" s="74"/>
      <c r="Y105" s="74"/>
      <c r="Z105" s="74"/>
    </row>
    <row r="106" spans="1:26" x14ac:dyDescent="0.3">
      <c r="A106" s="66">
        <f t="shared" si="14"/>
        <v>1999.899999999991</v>
      </c>
      <c r="B106" s="67">
        <f>LOOKUP(A106+0.01,Amounts!$A$4:$A$103,Amounts!$B$4:$B$103)*0.1*$A$2</f>
        <v>403.94224419999995</v>
      </c>
      <c r="C106" s="68">
        <f t="shared" si="13"/>
        <v>37010.295695999972</v>
      </c>
      <c r="D106" s="67">
        <f t="array" ref="D106">SUM($B$7:$B101*$F$1009*EXP(-$F$1009*($A106-$A$7:$A101)))*$F$1010</f>
        <v>2926070.5592297311</v>
      </c>
      <c r="E106" s="67">
        <f t="shared" si="11"/>
        <v>5.5782952074843664</v>
      </c>
      <c r="F106" s="70">
        <f t="shared" si="15"/>
        <v>0.33871408499845079</v>
      </c>
      <c r="G106" s="67">
        <f>E106/'Lookup Tables'!$C$48</f>
        <v>11.156590414968733</v>
      </c>
      <c r="H106" s="70">
        <f t="shared" si="12"/>
        <v>7.9219901000971052E-2</v>
      </c>
      <c r="I106" s="71">
        <f t="shared" si="16"/>
        <v>1.6065490197554978E-2</v>
      </c>
      <c r="K106" s="77"/>
      <c r="L106" s="74"/>
      <c r="M106" s="74"/>
      <c r="N106" s="74"/>
      <c r="O106" s="74"/>
      <c r="P106" s="74"/>
      <c r="Q106" s="74"/>
      <c r="R106" s="74"/>
      <c r="S106" s="74"/>
      <c r="T106" s="74"/>
      <c r="U106" s="74"/>
      <c r="V106" s="74"/>
      <c r="W106" s="74"/>
      <c r="X106" s="74"/>
      <c r="Y106" s="74"/>
      <c r="Z106" s="74"/>
    </row>
    <row r="107" spans="1:26" x14ac:dyDescent="0.3">
      <c r="A107" s="66">
        <f t="shared" si="14"/>
        <v>1999.9999999999909</v>
      </c>
      <c r="B107" s="67">
        <f>LOOKUP(A107+0.01,Amounts!$A$4:$A$103,Amounts!$B$4:$B$103)*0.1*$A$2</f>
        <v>412.01769400000001</v>
      </c>
      <c r="C107" s="68">
        <f t="shared" si="13"/>
        <v>37422.313389999974</v>
      </c>
      <c r="D107" s="67">
        <f t="array" ref="D107">SUM($B$7:$B102*$F$1009*EXP(-$F$1009*($A107-$A$7:$A102)))*$F$1010</f>
        <v>2957952.4422168056</v>
      </c>
      <c r="E107" s="67">
        <f t="shared" si="11"/>
        <v>5.6390752028646531</v>
      </c>
      <c r="F107" s="70">
        <f t="shared" si="15"/>
        <v>0.34240464631794171</v>
      </c>
      <c r="G107" s="67">
        <f>E107/'Lookup Tables'!$C$48</f>
        <v>11.278150405729306</v>
      </c>
      <c r="H107" s="70">
        <f t="shared" si="12"/>
        <v>7.9201354970686477E-2</v>
      </c>
      <c r="I107" s="71">
        <f t="shared" si="16"/>
        <v>1.62405365842502E-2</v>
      </c>
      <c r="K107" s="77"/>
      <c r="L107" s="74"/>
      <c r="M107" s="74"/>
      <c r="N107" s="74"/>
      <c r="O107" s="74"/>
      <c r="P107" s="74"/>
      <c r="Q107" s="74"/>
      <c r="R107" s="74"/>
      <c r="S107" s="74"/>
      <c r="T107" s="74"/>
      <c r="U107" s="74"/>
      <c r="V107" s="74"/>
      <c r="W107" s="74"/>
      <c r="X107" s="74"/>
      <c r="Y107" s="74"/>
      <c r="Z107" s="74"/>
    </row>
    <row r="108" spans="1:26" x14ac:dyDescent="0.3">
      <c r="A108" s="66">
        <f t="shared" si="14"/>
        <v>2000.0999999999908</v>
      </c>
      <c r="B108" s="67">
        <f>LOOKUP(A108+0.01,Amounts!$A$4:$A$103,Amounts!$B$4:$B$103)*0.1*$A$2</f>
        <v>412.01769400000001</v>
      </c>
      <c r="C108" s="68">
        <f t="shared" si="13"/>
        <v>37834.331083999976</v>
      </c>
      <c r="D108" s="67">
        <f t="array" ref="D108">SUM($B$7:$B103*$F$1009*EXP(-$F$1009*($A108-$A$7:$A103)))*$F$1010</f>
        <v>2989789.721797368</v>
      </c>
      <c r="E108" s="67">
        <f t="shared" si="11"/>
        <v>5.6997701657880153</v>
      </c>
      <c r="F108" s="70">
        <f t="shared" si="15"/>
        <v>0.34609004446664832</v>
      </c>
      <c r="G108" s="67">
        <f>E108/'Lookup Tables'!$C$48</f>
        <v>11.399540331576031</v>
      </c>
      <c r="H108" s="70">
        <f t="shared" si="12"/>
        <v>7.9182031591542926E-2</v>
      </c>
      <c r="I108" s="71">
        <f t="shared" si="16"/>
        <v>1.6415338077469484E-2</v>
      </c>
      <c r="K108" s="77"/>
      <c r="L108" s="74"/>
      <c r="M108" s="74"/>
      <c r="N108" s="74"/>
      <c r="O108" s="74"/>
      <c r="P108" s="74"/>
      <c r="Q108" s="74"/>
      <c r="R108" s="74"/>
      <c r="S108" s="74"/>
      <c r="T108" s="74"/>
      <c r="U108" s="74"/>
      <c r="V108" s="74"/>
      <c r="W108" s="74"/>
      <c r="X108" s="74"/>
      <c r="Y108" s="74"/>
      <c r="Z108" s="74"/>
    </row>
    <row r="109" spans="1:26" x14ac:dyDescent="0.3">
      <c r="A109" s="66">
        <f t="shared" si="14"/>
        <v>2000.1999999999907</v>
      </c>
      <c r="B109" s="67">
        <f>LOOKUP(A109+0.01,Amounts!$A$4:$A$103,Amounts!$B$4:$B$103)*0.1*$A$2</f>
        <v>412.01769400000001</v>
      </c>
      <c r="C109" s="68">
        <f t="shared" si="13"/>
        <v>38246.348777999978</v>
      </c>
      <c r="D109" s="67">
        <f t="array" ref="D109">SUM($B$7:$B104*$F$1009*EXP(-$F$1009*($A109-$A$7:$A104)))*$F$1010</f>
        <v>3021582.4603724955</v>
      </c>
      <c r="E109" s="67">
        <f t="shared" si="11"/>
        <v>5.7603802152165988</v>
      </c>
      <c r="F109" s="70">
        <f t="shared" si="15"/>
        <v>0.34977028666795185</v>
      </c>
      <c r="G109" s="67">
        <f>E109/'Lookup Tables'!$C$48</f>
        <v>11.520760430433198</v>
      </c>
      <c r="H109" s="70">
        <f t="shared" si="12"/>
        <v>7.9161957620890844E-2</v>
      </c>
      <c r="I109" s="71">
        <f t="shared" si="16"/>
        <v>1.6589895019823806E-2</v>
      </c>
      <c r="K109" s="77"/>
      <c r="L109" s="74"/>
      <c r="M109" s="74"/>
      <c r="N109" s="74"/>
      <c r="O109" s="74"/>
      <c r="P109" s="74"/>
      <c r="Q109" s="74"/>
      <c r="R109" s="74"/>
      <c r="S109" s="74"/>
      <c r="T109" s="74"/>
      <c r="U109" s="74"/>
      <c r="V109" s="74"/>
      <c r="W109" s="74"/>
      <c r="X109" s="74"/>
      <c r="Y109" s="74"/>
      <c r="Z109" s="74"/>
    </row>
    <row r="110" spans="1:26" x14ac:dyDescent="0.3">
      <c r="A110" s="66">
        <f t="shared" si="14"/>
        <v>2000.2999999999906</v>
      </c>
      <c r="B110" s="67">
        <f>LOOKUP(A110+0.01,Amounts!$A$4:$A$103,Amounts!$B$4:$B$103)*0.1*$A$2</f>
        <v>412.01769400000001</v>
      </c>
      <c r="C110" s="68">
        <f t="shared" si="13"/>
        <v>38658.36647199998</v>
      </c>
      <c r="D110" s="67">
        <f t="array" ref="D110">SUM($B$7:$B105*$F$1009*EXP(-$F$1009*($A110-$A$7:$A105)))*$F$1010</f>
        <v>3053330.7202559677</v>
      </c>
      <c r="E110" s="67">
        <f t="shared" si="11"/>
        <v>5.8209054699461227</v>
      </c>
      <c r="F110" s="70">
        <f t="shared" si="15"/>
        <v>0.35344538013512855</v>
      </c>
      <c r="G110" s="67">
        <f>E110/'Lookup Tables'!$C$48</f>
        <v>11.641810939892245</v>
      </c>
      <c r="H110" s="70">
        <f t="shared" si="12"/>
        <v>7.9141158673107309E-2</v>
      </c>
      <c r="I110" s="71">
        <f t="shared" si="16"/>
        <v>1.6764207753444834E-2</v>
      </c>
      <c r="L110" s="74"/>
      <c r="M110" s="74"/>
      <c r="N110" s="74"/>
      <c r="O110" s="74"/>
      <c r="P110" s="74"/>
      <c r="Q110" s="74"/>
      <c r="R110" s="74"/>
      <c r="S110" s="74"/>
      <c r="T110" s="74"/>
      <c r="U110" s="74"/>
      <c r="V110" s="74"/>
      <c r="W110" s="74"/>
      <c r="X110" s="74"/>
      <c r="Y110" s="74"/>
      <c r="Z110" s="74"/>
    </row>
    <row r="111" spans="1:26" x14ac:dyDescent="0.3">
      <c r="A111" s="66">
        <f t="shared" si="14"/>
        <v>2000.3999999999905</v>
      </c>
      <c r="B111" s="67">
        <f>LOOKUP(A111+0.01,Amounts!$A$4:$A$103,Amounts!$B$4:$B$103)*0.1*$A$2</f>
        <v>412.01769400000001</v>
      </c>
      <c r="C111" s="68">
        <f t="shared" si="13"/>
        <v>39070.384165999982</v>
      </c>
      <c r="D111" s="67">
        <f t="array" ref="D111">SUM($B$7:$B106*$F$1009*EXP(-$F$1009*($A111-$A$7:$A106)))*$F$1010</f>
        <v>3085034.5636743838</v>
      </c>
      <c r="E111" s="67">
        <f t="shared" si="11"/>
        <v>5.8813460486061064</v>
      </c>
      <c r="F111" s="70">
        <f t="shared" si="15"/>
        <v>0.35711533207136276</v>
      </c>
      <c r="G111" s="67">
        <f>E111/'Lookup Tables'!$C$48</f>
        <v>11.762692097212213</v>
      </c>
      <c r="H111" s="70">
        <f t="shared" si="12"/>
        <v>7.9119659279865487E-2</v>
      </c>
      <c r="I111" s="71">
        <f t="shared" si="16"/>
        <v>1.6938276619985586E-2</v>
      </c>
      <c r="L111" s="74"/>
      <c r="M111" s="74"/>
      <c r="N111" s="74"/>
      <c r="O111" s="74"/>
      <c r="P111" s="74"/>
      <c r="Q111" s="74"/>
      <c r="R111" s="74"/>
      <c r="S111" s="74"/>
      <c r="T111" s="74"/>
      <c r="U111" s="74"/>
      <c r="V111" s="74"/>
      <c r="W111" s="74"/>
      <c r="X111" s="74"/>
      <c r="Y111" s="74"/>
      <c r="Z111" s="74"/>
    </row>
    <row r="112" spans="1:26" x14ac:dyDescent="0.3">
      <c r="A112" s="66">
        <f t="shared" si="14"/>
        <v>2000.4999999999905</v>
      </c>
      <c r="B112" s="67">
        <f>LOOKUP(A112+0.01,Amounts!$A$4:$A$103,Amounts!$B$4:$B$103)*0.1*$A$2</f>
        <v>412.01769400000001</v>
      </c>
      <c r="C112" s="68">
        <f t="shared" si="13"/>
        <v>39482.401859999984</v>
      </c>
      <c r="D112" s="67">
        <f t="array" ref="D112">SUM($B$7:$B107*$F$1009*EXP(-$F$1009*($A112-$A$7:$A107)))*$F$1010</f>
        <v>3117413.2607087507</v>
      </c>
      <c r="E112" s="67">
        <f t="shared" si="11"/>
        <v>5.9430731761087809</v>
      </c>
      <c r="F112" s="70">
        <f t="shared" si="15"/>
        <v>0.36086340325332517</v>
      </c>
      <c r="G112" s="67">
        <f>E112/'Lookup Tables'!$C$48</f>
        <v>11.886146352217562</v>
      </c>
      <c r="H112" s="70">
        <f t="shared" si="12"/>
        <v>7.911573547219794E-2</v>
      </c>
      <c r="I112" s="71">
        <f t="shared" si="16"/>
        <v>1.7116050747193287E-2</v>
      </c>
      <c r="L112" s="74"/>
      <c r="M112" s="74"/>
      <c r="N112" s="74"/>
      <c r="O112" s="74"/>
      <c r="P112" s="74"/>
      <c r="Q112" s="74"/>
      <c r="R112" s="74"/>
      <c r="S112" s="74"/>
      <c r="T112" s="74"/>
      <c r="U112" s="74"/>
      <c r="V112" s="74"/>
      <c r="W112" s="74"/>
      <c r="X112" s="74"/>
      <c r="Y112" s="74"/>
      <c r="Z112" s="74"/>
    </row>
    <row r="113" spans="1:26" x14ac:dyDescent="0.3">
      <c r="A113" s="66">
        <f t="shared" si="14"/>
        <v>2000.5999999999904</v>
      </c>
      <c r="B113" s="67">
        <f>LOOKUP(A113+0.01,Amounts!$A$4:$A$103,Amounts!$B$4:$B$103)*0.1*$A$2</f>
        <v>412.01769400000001</v>
      </c>
      <c r="C113" s="68">
        <f t="shared" si="13"/>
        <v>39894.419553999986</v>
      </c>
      <c r="D113" s="67">
        <f t="array" ref="D113">SUM($B$7:$B108*$F$1009*EXP(-$F$1009*($A113-$A$7:$A108)))*$F$1010</f>
        <v>3149746.6592835905</v>
      </c>
      <c r="E113" s="67">
        <f t="shared" si="11"/>
        <v>6.0047139460973193</v>
      </c>
      <c r="F113" s="70">
        <f t="shared" si="15"/>
        <v>0.3646062308070292</v>
      </c>
      <c r="G113" s="67">
        <f>E113/'Lookup Tables'!$C$48</f>
        <v>12.009427892194639</v>
      </c>
      <c r="H113" s="70">
        <f t="shared" si="12"/>
        <v>7.9110754971551123E-2</v>
      </c>
      <c r="I113" s="71">
        <f t="shared" si="16"/>
        <v>1.7293576164760276E-2</v>
      </c>
      <c r="L113" s="74"/>
      <c r="M113" s="74"/>
      <c r="N113" s="74"/>
      <c r="O113" s="74"/>
      <c r="P113" s="74"/>
      <c r="Q113" s="74"/>
      <c r="R113" s="74"/>
      <c r="S113" s="74"/>
      <c r="T113" s="74"/>
      <c r="U113" s="74"/>
      <c r="V113" s="74"/>
      <c r="W113" s="74"/>
      <c r="X113" s="74"/>
      <c r="Y113" s="74"/>
      <c r="Z113" s="74"/>
    </row>
    <row r="114" spans="1:26" x14ac:dyDescent="0.3">
      <c r="A114" s="66">
        <f t="shared" si="14"/>
        <v>2000.6999999999903</v>
      </c>
      <c r="B114" s="67">
        <f>LOOKUP(A114+0.01,Amounts!$A$4:$A$103,Amounts!$B$4:$B$103)*0.1*$A$2</f>
        <v>412.01769400000001</v>
      </c>
      <c r="C114" s="68">
        <f t="shared" si="13"/>
        <v>40306.437247999987</v>
      </c>
      <c r="D114" s="67">
        <f t="array" ref="D114">SUM($B$7:$B109*$F$1009*EXP(-$F$1009*($A114-$A$7:$A109)))*$F$1010</f>
        <v>3182034.8227723753</v>
      </c>
      <c r="E114" s="67">
        <f t="shared" si="11"/>
        <v>6.0662684793876487</v>
      </c>
      <c r="F114" s="70">
        <f t="shared" si="15"/>
        <v>0.36834382206841804</v>
      </c>
      <c r="G114" s="67">
        <f>E114/'Lookup Tables'!$C$48</f>
        <v>12.132536958775297</v>
      </c>
      <c r="H114" s="70">
        <f t="shared" si="12"/>
        <v>7.9104751758340003E-2</v>
      </c>
      <c r="I114" s="71">
        <f t="shared" si="16"/>
        <v>1.7470853220636427E-2</v>
      </c>
      <c r="L114" s="74"/>
      <c r="M114" s="74"/>
      <c r="N114" s="74"/>
      <c r="O114" s="74"/>
      <c r="P114" s="74"/>
      <c r="Q114" s="74"/>
      <c r="R114" s="74"/>
      <c r="S114" s="74"/>
      <c r="T114" s="74"/>
      <c r="U114" s="74"/>
      <c r="V114" s="74"/>
      <c r="W114" s="74"/>
      <c r="X114" s="74"/>
      <c r="Y114" s="74"/>
      <c r="Z114" s="74"/>
    </row>
    <row r="115" spans="1:26" x14ac:dyDescent="0.3">
      <c r="A115" s="66">
        <f t="shared" si="14"/>
        <v>2000.7999999999902</v>
      </c>
      <c r="B115" s="67">
        <f>LOOKUP(A115+0.01,Amounts!$A$4:$A$103,Amounts!$B$4:$B$103)*0.1*$A$2</f>
        <v>412.01769400000001</v>
      </c>
      <c r="C115" s="68">
        <f t="shared" si="13"/>
        <v>40718.454941999989</v>
      </c>
      <c r="D115" s="67">
        <f t="array" ref="D115">SUM($B$7:$B110*$F$1009*EXP(-$F$1009*($A115-$A$7:$A110)))*$F$1010</f>
        <v>3214277.8144599143</v>
      </c>
      <c r="E115" s="67">
        <f t="shared" si="11"/>
        <v>6.1277368966266721</v>
      </c>
      <c r="F115" s="70">
        <f t="shared" si="15"/>
        <v>0.37207618436317152</v>
      </c>
      <c r="G115" s="67">
        <f>E115/'Lookup Tables'!$C$48</f>
        <v>12.255473793253344</v>
      </c>
      <c r="H115" s="70">
        <f t="shared" si="12"/>
        <v>7.9097758435447765E-2</v>
      </c>
      <c r="I115" s="71">
        <f t="shared" si="16"/>
        <v>1.7647882262284816E-2</v>
      </c>
      <c r="L115" s="74"/>
      <c r="M115" s="74"/>
      <c r="N115" s="74"/>
      <c r="O115" s="74"/>
      <c r="P115" s="74"/>
      <c r="Q115" s="74"/>
      <c r="R115" s="74"/>
      <c r="S115" s="74"/>
      <c r="T115" s="74"/>
      <c r="U115" s="74"/>
      <c r="V115" s="74"/>
      <c r="W115" s="74"/>
      <c r="X115" s="74"/>
      <c r="Y115" s="74"/>
      <c r="Z115" s="74"/>
    </row>
    <row r="116" spans="1:26" x14ac:dyDescent="0.3">
      <c r="A116" s="66">
        <f t="shared" si="14"/>
        <v>2000.8999999999901</v>
      </c>
      <c r="B116" s="67">
        <f>LOOKUP(A116+0.01,Amounts!$A$4:$A$103,Amounts!$B$4:$B$103)*0.1*$A$2</f>
        <v>412.01769400000001</v>
      </c>
      <c r="C116" s="68">
        <f t="shared" si="13"/>
        <v>41130.472635999991</v>
      </c>
      <c r="D116" s="67">
        <f t="array" ref="D116">SUM($B$7:$B111*$F$1009*EXP(-$F$1009*($A116-$A$7:$A111)))*$F$1010</f>
        <v>3246475.697542483</v>
      </c>
      <c r="E116" s="67">
        <f t="shared" si="11"/>
        <v>6.1891193182925104</v>
      </c>
      <c r="F116" s="70">
        <f t="shared" si="15"/>
        <v>0.37580332500672126</v>
      </c>
      <c r="G116" s="67">
        <f>E116/'Lookup Tables'!$C$48</f>
        <v>12.378238636585021</v>
      </c>
      <c r="H116" s="70">
        <f t="shared" si="12"/>
        <v>7.9089806297224785E-2</v>
      </c>
      <c r="I116" s="71">
        <f t="shared" si="16"/>
        <v>1.782466363668243E-2</v>
      </c>
      <c r="L116" s="74"/>
      <c r="M116" s="74"/>
      <c r="N116" s="74"/>
      <c r="O116" s="74"/>
      <c r="P116" s="74"/>
      <c r="Q116" s="74"/>
      <c r="R116" s="74"/>
      <c r="S116" s="74"/>
      <c r="T116" s="74"/>
      <c r="U116" s="74"/>
      <c r="V116" s="74"/>
      <c r="W116" s="74"/>
      <c r="X116" s="74"/>
      <c r="Y116" s="74"/>
      <c r="Z116" s="74"/>
    </row>
    <row r="117" spans="1:26" x14ac:dyDescent="0.3">
      <c r="A117" s="66">
        <f t="shared" si="14"/>
        <v>2000.99999999999</v>
      </c>
      <c r="B117" s="67">
        <f>LOOKUP(A117+0.01,Amounts!$A$4:$A$103,Amounts!$B$4:$B$103)*0.1*$A$2</f>
        <v>420.26289800000001</v>
      </c>
      <c r="C117" s="68">
        <f t="shared" si="13"/>
        <v>41550.735533999992</v>
      </c>
      <c r="D117" s="67">
        <f t="array" ref="D117">SUM($B$7:$B112*$F$1009*EXP(-$F$1009*($A117-$A$7:$A112)))*$F$1010</f>
        <v>3278628.5351279392</v>
      </c>
      <c r="E117" s="67">
        <f t="shared" si="11"/>
        <v>6.2504158646947232</v>
      </c>
      <c r="F117" s="70">
        <f t="shared" si="15"/>
        <v>0.37952525130426357</v>
      </c>
      <c r="G117" s="67">
        <f>E117/'Lookup Tables'!$C$48</f>
        <v>12.500831729389446</v>
      </c>
      <c r="H117" s="70">
        <f t="shared" si="12"/>
        <v>7.9065232811470418E-2</v>
      </c>
      <c r="I117" s="71">
        <f t="shared" si="16"/>
        <v>1.8001197690320801E-2</v>
      </c>
      <c r="L117" s="74"/>
      <c r="M117" s="74"/>
      <c r="N117" s="74"/>
      <c r="O117" s="74"/>
      <c r="P117" s="74"/>
      <c r="Q117" s="74"/>
      <c r="R117" s="74"/>
      <c r="S117" s="74"/>
      <c r="T117" s="74"/>
      <c r="U117" s="74"/>
      <c r="V117" s="74"/>
      <c r="W117" s="74"/>
      <c r="X117" s="74"/>
      <c r="Y117" s="74"/>
      <c r="Z117" s="74"/>
    </row>
    <row r="118" spans="1:26" x14ac:dyDescent="0.3">
      <c r="A118" s="66">
        <f t="shared" si="14"/>
        <v>2001.0999999999899</v>
      </c>
      <c r="B118" s="67">
        <f>LOOKUP(A118+0.01,Amounts!$A$4:$A$103,Amounts!$B$4:$B$103)*0.1*$A$2</f>
        <v>420.26289800000001</v>
      </c>
      <c r="C118" s="68">
        <f t="shared" si="13"/>
        <v>41970.998431999993</v>
      </c>
      <c r="D118" s="67">
        <f t="array" ref="D118">SUM($B$7:$B113*$F$1009*EXP(-$F$1009*($A118-$A$7:$A113)))*$F$1010</f>
        <v>3310736.390235858</v>
      </c>
      <c r="E118" s="67">
        <f t="shared" si="11"/>
        <v>6.3116266559745675</v>
      </c>
      <c r="F118" s="70">
        <f t="shared" si="15"/>
        <v>0.38324197055077575</v>
      </c>
      <c r="G118" s="67">
        <f>E118/'Lookup Tables'!$C$48</f>
        <v>12.623253311949135</v>
      </c>
      <c r="H118" s="70">
        <f t="shared" si="12"/>
        <v>7.9040077537229872E-2</v>
      </c>
      <c r="I118" s="71">
        <f t="shared" si="16"/>
        <v>1.8177484769206755E-2</v>
      </c>
      <c r="L118" s="74"/>
      <c r="M118" s="74"/>
      <c r="N118" s="74"/>
      <c r="O118" s="74"/>
      <c r="P118" s="74"/>
      <c r="Q118" s="74"/>
      <c r="R118" s="74"/>
      <c r="S118" s="74"/>
      <c r="T118" s="74"/>
      <c r="U118" s="74"/>
      <c r="V118" s="74"/>
      <c r="W118" s="74"/>
      <c r="X118" s="74"/>
      <c r="Y118" s="74"/>
      <c r="Z118" s="74"/>
    </row>
    <row r="119" spans="1:26" x14ac:dyDescent="0.3">
      <c r="A119" s="66">
        <f t="shared" si="14"/>
        <v>2001.1999999999898</v>
      </c>
      <c r="B119" s="67">
        <f>LOOKUP(A119+0.01,Amounts!$A$4:$A$103,Amounts!$B$4:$B$103)*0.1*$A$2</f>
        <v>420.26289800000001</v>
      </c>
      <c r="C119" s="68">
        <f t="shared" si="13"/>
        <v>42391.261329999994</v>
      </c>
      <c r="D119" s="67">
        <f t="array" ref="D119">SUM($B$7:$B114*$F$1009*EXP(-$F$1009*($A119-$A$7:$A114)))*$F$1010</f>
        <v>3342799.3257976458</v>
      </c>
      <c r="E119" s="67">
        <f t="shared" si="11"/>
        <v>6.3727518121052116</v>
      </c>
      <c r="F119" s="70">
        <f t="shared" si="15"/>
        <v>0.38695349003102847</v>
      </c>
      <c r="G119" s="67">
        <f>E119/'Lookup Tables'!$C$48</f>
        <v>12.745503624210423</v>
      </c>
      <c r="H119" s="70">
        <f t="shared" si="12"/>
        <v>7.9014359265409964E-2</v>
      </c>
      <c r="I119" s="71">
        <f t="shared" si="16"/>
        <v>1.835352521886301E-2</v>
      </c>
      <c r="L119" s="74"/>
      <c r="M119" s="74"/>
      <c r="N119" s="74"/>
      <c r="O119" s="74"/>
      <c r="P119" s="74"/>
      <c r="Q119" s="74"/>
      <c r="R119" s="74"/>
      <c r="S119" s="74"/>
      <c r="T119" s="74"/>
      <c r="U119" s="74"/>
      <c r="V119" s="74"/>
      <c r="W119" s="74"/>
      <c r="X119" s="74"/>
      <c r="Y119" s="74"/>
      <c r="Z119" s="74"/>
    </row>
    <row r="120" spans="1:26" x14ac:dyDescent="0.3">
      <c r="A120" s="66">
        <f t="shared" si="14"/>
        <v>2001.2999999999897</v>
      </c>
      <c r="B120" s="67">
        <f>LOOKUP(A120+0.01,Amounts!$A$4:$A$103,Amounts!$B$4:$B$103)*0.1*$A$2</f>
        <v>420.26289800000001</v>
      </c>
      <c r="C120" s="68">
        <f t="shared" si="13"/>
        <v>42811.524227999995</v>
      </c>
      <c r="D120" s="67">
        <f t="array" ref="D120">SUM($B$7:$B115*$F$1009*EXP(-$F$1009*($A120-$A$7:$A115)))*$F$1010</f>
        <v>3374817.4046566663</v>
      </c>
      <c r="E120" s="67">
        <f t="shared" si="11"/>
        <v>6.4337914528919828</v>
      </c>
      <c r="F120" s="70">
        <f t="shared" si="15"/>
        <v>0.39065981701960117</v>
      </c>
      <c r="G120" s="67">
        <f>E120/'Lookup Tables'!$C$48</f>
        <v>12.867582905783966</v>
      </c>
      <c r="H120" s="70">
        <f t="shared" si="12"/>
        <v>7.8988096047006892E-2</v>
      </c>
      <c r="I120" s="71">
        <f t="shared" si="16"/>
        <v>1.8529319384328911E-2</v>
      </c>
      <c r="L120" s="74"/>
      <c r="M120" s="74"/>
      <c r="N120" s="74"/>
      <c r="O120" s="74"/>
      <c r="P120" s="74"/>
      <c r="Q120" s="74"/>
      <c r="R120" s="74"/>
      <c r="S120" s="74"/>
      <c r="T120" s="74"/>
      <c r="U120" s="74"/>
      <c r="V120" s="74"/>
      <c r="W120" s="74"/>
      <c r="X120" s="74"/>
      <c r="Y120" s="74"/>
      <c r="Z120" s="74"/>
    </row>
    <row r="121" spans="1:26" x14ac:dyDescent="0.3">
      <c r="A121" s="66">
        <f t="shared" si="14"/>
        <v>2001.3999999999896</v>
      </c>
      <c r="B121" s="67">
        <f>LOOKUP(A121+0.01,Amounts!$A$4:$A$103,Amounts!$B$4:$B$103)*0.1*$A$2</f>
        <v>420.26289800000001</v>
      </c>
      <c r="C121" s="68">
        <f t="shared" si="13"/>
        <v>43231.787125999996</v>
      </c>
      <c r="D121" s="67">
        <f t="array" ref="D121">SUM($B$7:$B116*$F$1009*EXP(-$F$1009*($A121-$A$7:$A116)))*$F$1010</f>
        <v>3406790.6895683627</v>
      </c>
      <c r="E121" s="67">
        <f t="shared" si="11"/>
        <v>6.4947456979725935</v>
      </c>
      <c r="F121" s="70">
        <f t="shared" si="15"/>
        <v>0.39436095878089594</v>
      </c>
      <c r="G121" s="67">
        <f>E121/'Lookup Tables'!$C$48</f>
        <v>12.989491395945187</v>
      </c>
      <c r="H121" s="70">
        <f t="shared" si="12"/>
        <v>7.896130522907302E-2</v>
      </c>
      <c r="I121" s="71">
        <f t="shared" si="16"/>
        <v>1.8704867610161068E-2</v>
      </c>
      <c r="L121" s="74"/>
      <c r="M121" s="74"/>
      <c r="N121" s="74"/>
      <c r="O121" s="74"/>
      <c r="P121" s="74"/>
      <c r="Q121" s="74"/>
      <c r="R121" s="74"/>
      <c r="S121" s="74"/>
      <c r="T121" s="74"/>
      <c r="U121" s="74"/>
      <c r="V121" s="74"/>
      <c r="W121" s="74"/>
      <c r="X121" s="74"/>
      <c r="Y121" s="74"/>
      <c r="Z121" s="74"/>
    </row>
    <row r="122" spans="1:26" x14ac:dyDescent="0.3">
      <c r="A122" s="66">
        <f t="shared" si="14"/>
        <v>2001.4999999999895</v>
      </c>
      <c r="B122" s="67">
        <f>LOOKUP(A122+0.01,Amounts!$A$4:$A$103,Amounts!$B$4:$B$103)*0.1*$A$2</f>
        <v>420.26289800000001</v>
      </c>
      <c r="C122" s="68">
        <f t="shared" si="13"/>
        <v>43652.050023999996</v>
      </c>
      <c r="D122" s="67">
        <f t="array" ref="D122">SUM($B$7:$B117*$F$1009*EXP(-$F$1009*($A122-$A$7:$A117)))*$F$1010</f>
        <v>3439453.5696271067</v>
      </c>
      <c r="E122" s="67">
        <f t="shared" si="11"/>
        <v>6.5570145953235484</v>
      </c>
      <c r="F122" s="70">
        <f t="shared" si="15"/>
        <v>0.39814192622804584</v>
      </c>
      <c r="G122" s="67">
        <f>E122/'Lookup Tables'!$C$48</f>
        <v>13.114029190647097</v>
      </c>
      <c r="H122" s="70">
        <f t="shared" si="12"/>
        <v>7.8950859568044041E-2</v>
      </c>
      <c r="I122" s="71">
        <f t="shared" si="16"/>
        <v>1.8884202034531821E-2</v>
      </c>
      <c r="L122" s="74"/>
      <c r="M122" s="74"/>
      <c r="N122" s="74"/>
      <c r="O122" s="74"/>
      <c r="P122" s="74"/>
      <c r="Q122" s="74"/>
      <c r="R122" s="74"/>
      <c r="S122" s="74"/>
      <c r="T122" s="74"/>
      <c r="U122" s="74"/>
      <c r="V122" s="74"/>
      <c r="W122" s="74"/>
      <c r="X122" s="74"/>
      <c r="Y122" s="74"/>
      <c r="Z122" s="74"/>
    </row>
    <row r="123" spans="1:26" x14ac:dyDescent="0.3">
      <c r="A123" s="66">
        <f t="shared" si="14"/>
        <v>2001.5999999999894</v>
      </c>
      <c r="B123" s="67">
        <f>LOOKUP(A123+0.01,Amounts!$A$4:$A$103,Amounts!$B$4:$B$103)*0.1*$A$2</f>
        <v>420.26289800000001</v>
      </c>
      <c r="C123" s="68">
        <f t="shared" si="13"/>
        <v>44072.312921999997</v>
      </c>
      <c r="D123" s="67">
        <f t="array" ref="D123">SUM($B$7:$B118*$F$1009*EXP(-$F$1009*($A123-$A$7:$A118)))*$F$1010</f>
        <v>3472070.753648459</v>
      </c>
      <c r="E123" s="67">
        <f t="shared" si="11"/>
        <v>6.6191963772132656</v>
      </c>
      <c r="F123" s="70">
        <f t="shared" si="15"/>
        <v>0.40191760402438947</v>
      </c>
      <c r="G123" s="67">
        <f>E123/'Lookup Tables'!$C$48</f>
        <v>13.238392754426531</v>
      </c>
      <c r="H123" s="70">
        <f t="shared" si="12"/>
        <v>7.893957419526812E-2</v>
      </c>
      <c r="I123" s="71">
        <f t="shared" si="16"/>
        <v>1.9063285566374204E-2</v>
      </c>
      <c r="L123" s="74"/>
      <c r="M123" s="74"/>
      <c r="N123" s="74"/>
      <c r="O123" s="74"/>
      <c r="P123" s="74"/>
      <c r="Q123" s="74"/>
      <c r="R123" s="74"/>
      <c r="S123" s="74"/>
      <c r="T123" s="74"/>
      <c r="U123" s="74"/>
      <c r="V123" s="74"/>
      <c r="W123" s="74"/>
      <c r="X123" s="74"/>
      <c r="Y123" s="74"/>
      <c r="Z123" s="74"/>
    </row>
    <row r="124" spans="1:26" x14ac:dyDescent="0.3">
      <c r="A124" s="66">
        <f t="shared" si="14"/>
        <v>2001.6999999999894</v>
      </c>
      <c r="B124" s="67">
        <f>LOOKUP(A124+0.01,Amounts!$A$4:$A$103,Amounts!$B$4:$B$103)*0.1*$A$2</f>
        <v>420.26289800000001</v>
      </c>
      <c r="C124" s="68">
        <f t="shared" si="13"/>
        <v>44492.575819999998</v>
      </c>
      <c r="D124" s="67">
        <f t="array" ref="D124">SUM($B$7:$B119*$F$1009*EXP(-$F$1009*($A124-$A$7:$A119)))*$F$1010</f>
        <v>3504642.3055621106</v>
      </c>
      <c r="E124" s="67">
        <f t="shared" si="11"/>
        <v>6.6812911655180569</v>
      </c>
      <c r="F124" s="70">
        <f t="shared" si="15"/>
        <v>0.40568799957025636</v>
      </c>
      <c r="G124" s="67">
        <f>E124/'Lookup Tables'!$C$48</f>
        <v>13.362582331036114</v>
      </c>
      <c r="H124" s="70">
        <f t="shared" si="12"/>
        <v>7.8927474345455648E-2</v>
      </c>
      <c r="I124" s="71">
        <f t="shared" si="16"/>
        <v>1.9242118556692004E-2</v>
      </c>
      <c r="L124" s="74"/>
      <c r="M124" s="74"/>
      <c r="N124" s="74"/>
      <c r="O124" s="74"/>
      <c r="P124" s="74"/>
      <c r="Q124" s="74"/>
      <c r="R124" s="74"/>
      <c r="S124" s="74"/>
      <c r="T124" s="74"/>
      <c r="U124" s="74"/>
      <c r="V124" s="74"/>
      <c r="W124" s="74"/>
      <c r="X124" s="74"/>
      <c r="Y124" s="74"/>
      <c r="Z124" s="74"/>
    </row>
    <row r="125" spans="1:26" x14ac:dyDescent="0.3">
      <c r="A125" s="66">
        <f t="shared" si="14"/>
        <v>2001.7999999999893</v>
      </c>
      <c r="B125" s="67">
        <f>LOOKUP(A125+0.01,Amounts!$A$4:$A$103,Amounts!$B$4:$B$103)*0.1*$A$2</f>
        <v>420.26289800000001</v>
      </c>
      <c r="C125" s="68">
        <f t="shared" si="13"/>
        <v>44912.838717999999</v>
      </c>
      <c r="D125" s="67">
        <f t="array" ref="D125">SUM($B$7:$B120*$F$1009*EXP(-$F$1009*($A125-$A$7:$A120)))*$F$1010</f>
        <v>3537168.2892083125</v>
      </c>
      <c r="E125" s="67">
        <f t="shared" si="11"/>
        <v>6.7432990819437242</v>
      </c>
      <c r="F125" s="70">
        <f t="shared" si="15"/>
        <v>0.40945312025562297</v>
      </c>
      <c r="G125" s="67">
        <f>E125/'Lookup Tables'!$C$48</f>
        <v>13.486598163887448</v>
      </c>
      <c r="H125" s="70">
        <f t="shared" si="12"/>
        <v>7.8914584306806659E-2</v>
      </c>
      <c r="I125" s="71">
        <f t="shared" si="16"/>
        <v>1.9420701355997928E-2</v>
      </c>
      <c r="L125" s="74"/>
      <c r="M125" s="74"/>
      <c r="N125" s="74"/>
      <c r="O125" s="74"/>
      <c r="P125" s="74"/>
      <c r="Q125" s="74"/>
      <c r="R125" s="74"/>
      <c r="S125" s="74"/>
      <c r="T125" s="74"/>
      <c r="U125" s="74"/>
      <c r="V125" s="74"/>
      <c r="W125" s="74"/>
      <c r="X125" s="74"/>
      <c r="Y125" s="74"/>
      <c r="Z125" s="74"/>
    </row>
    <row r="126" spans="1:26" x14ac:dyDescent="0.3">
      <c r="A126" s="66">
        <f t="shared" si="14"/>
        <v>2001.8999999999892</v>
      </c>
      <c r="B126" s="67">
        <f>LOOKUP(A126+0.01,Amounts!$A$4:$A$103,Amounts!$B$4:$B$103)*0.1*$A$2</f>
        <v>420.26289800000001</v>
      </c>
      <c r="C126" s="68">
        <f t="shared" si="13"/>
        <v>45333.101616</v>
      </c>
      <c r="D126" s="67">
        <f t="array" ref="D126">SUM($B$7:$B121*$F$1009*EXP(-$F$1009*($A126-$A$7:$A121)))*$F$1010</f>
        <v>3569648.7683380023</v>
      </c>
      <c r="E126" s="67">
        <f t="shared" si="11"/>
        <v>6.8052202480258028</v>
      </c>
      <c r="F126" s="70">
        <f t="shared" si="15"/>
        <v>0.41321297346012675</v>
      </c>
      <c r="G126" s="67">
        <f>E126/'Lookup Tables'!$C$48</f>
        <v>13.610440496051606</v>
      </c>
      <c r="H126" s="70">
        <f t="shared" si="12"/>
        <v>7.8900927464886875E-2</v>
      </c>
      <c r="I126" s="71">
        <f t="shared" si="16"/>
        <v>1.9599034314314312E-2</v>
      </c>
      <c r="L126" s="74"/>
      <c r="M126" s="74"/>
      <c r="N126" s="74"/>
      <c r="O126" s="74"/>
      <c r="P126" s="74"/>
      <c r="Q126" s="74"/>
      <c r="R126" s="74"/>
      <c r="S126" s="74"/>
      <c r="T126" s="74"/>
      <c r="U126" s="74"/>
      <c r="V126" s="74"/>
      <c r="W126" s="74"/>
      <c r="X126" s="74"/>
      <c r="Y126" s="74"/>
      <c r="Z126" s="74"/>
    </row>
    <row r="127" spans="1:26" x14ac:dyDescent="0.3">
      <c r="A127" s="66">
        <f t="shared" si="14"/>
        <v>2001.9999999999891</v>
      </c>
      <c r="B127" s="67">
        <f>LOOKUP(A127+0.01,Amounts!$A$4:$A$103,Amounts!$B$4:$B$103)*0.1*$A$2</f>
        <v>428.66573090000003</v>
      </c>
      <c r="C127" s="68">
        <f t="shared" si="13"/>
        <v>45761.7673469</v>
      </c>
      <c r="D127" s="67">
        <f t="array" ref="D127">SUM($B$7:$B122*$F$1009*EXP(-$F$1009*($A127-$A$7:$A122)))*$F$1010</f>
        <v>3602083.8066129331</v>
      </c>
      <c r="E127" s="67">
        <f t="shared" si="11"/>
        <v>6.8670547851298043</v>
      </c>
      <c r="F127" s="70">
        <f t="shared" si="15"/>
        <v>0.4169675665530817</v>
      </c>
      <c r="G127" s="67">
        <f>E127/'Lookup Tables'!$C$48</f>
        <v>13.734109570259609</v>
      </c>
      <c r="H127" s="70">
        <f t="shared" si="12"/>
        <v>7.8872041101549106E-2</v>
      </c>
      <c r="I127" s="71">
        <f t="shared" si="16"/>
        <v>1.9777117781173834E-2</v>
      </c>
      <c r="L127" s="74"/>
      <c r="M127" s="74"/>
      <c r="N127" s="74"/>
      <c r="O127" s="74"/>
      <c r="P127" s="74"/>
      <c r="Q127" s="74"/>
      <c r="R127" s="74"/>
      <c r="S127" s="74"/>
      <c r="T127" s="74"/>
      <c r="U127" s="74"/>
      <c r="V127" s="74"/>
      <c r="W127" s="74"/>
      <c r="X127" s="74"/>
      <c r="Y127" s="74"/>
      <c r="Z127" s="74"/>
    </row>
    <row r="128" spans="1:26" x14ac:dyDescent="0.3">
      <c r="A128" s="66">
        <f t="shared" si="14"/>
        <v>2002.099999999989</v>
      </c>
      <c r="B128" s="67">
        <f>LOOKUP(A128+0.01,Amounts!$A$4:$A$103,Amounts!$B$4:$B$103)*0.1*$A$2</f>
        <v>428.66573090000003</v>
      </c>
      <c r="C128" s="68">
        <f t="shared" si="13"/>
        <v>46190.4330778</v>
      </c>
      <c r="D128" s="67">
        <f t="array" ref="D128">SUM($B$7:$B123*$F$1009*EXP(-$F$1009*($A128-$A$7:$A123)))*$F$1010</f>
        <v>3634473.4676057859</v>
      </c>
      <c r="E128" s="67">
        <f t="shared" si="11"/>
        <v>6.9288028144514344</v>
      </c>
      <c r="F128" s="70">
        <f t="shared" si="15"/>
        <v>0.42071690689349112</v>
      </c>
      <c r="G128" s="67">
        <f>E128/'Lookup Tables'!$C$48</f>
        <v>13.857605628902869</v>
      </c>
      <c r="H128" s="70">
        <f t="shared" si="12"/>
        <v>7.8842706521969869E-2</v>
      </c>
      <c r="I128" s="71">
        <f t="shared" si="16"/>
        <v>1.9954952105620132E-2</v>
      </c>
      <c r="L128" s="74"/>
      <c r="M128" s="74"/>
      <c r="N128" s="74"/>
      <c r="O128" s="74"/>
      <c r="P128" s="74"/>
      <c r="Q128" s="74"/>
      <c r="R128" s="74"/>
      <c r="S128" s="74"/>
      <c r="T128" s="74"/>
      <c r="U128" s="74"/>
      <c r="V128" s="74"/>
      <c r="W128" s="74"/>
      <c r="X128" s="74"/>
      <c r="Y128" s="74"/>
      <c r="Z128" s="74"/>
    </row>
    <row r="129" spans="1:26" x14ac:dyDescent="0.3">
      <c r="A129" s="66">
        <f t="shared" si="14"/>
        <v>2002.1999999999889</v>
      </c>
      <c r="B129" s="67">
        <f>LOOKUP(A129+0.01,Amounts!$A$4:$A$103,Amounts!$B$4:$B$103)*0.1*$A$2</f>
        <v>428.66573090000003</v>
      </c>
      <c r="C129" s="68">
        <f t="shared" si="13"/>
        <v>46619.098808700001</v>
      </c>
      <c r="D129" s="67">
        <f t="array" ref="D129">SUM($B$7:$B124*$F$1009*EXP(-$F$1009*($A129-$A$7:$A124)))*$F$1010</f>
        <v>3666817.8148003109</v>
      </c>
      <c r="E129" s="67">
        <f t="shared" si="11"/>
        <v>6.9904644570168566</v>
      </c>
      <c r="F129" s="70">
        <f t="shared" si="15"/>
        <v>0.42446100183006352</v>
      </c>
      <c r="G129" s="67">
        <f>E129/'Lookup Tables'!$C$48</f>
        <v>13.980928914033713</v>
      </c>
      <c r="H129" s="70">
        <f t="shared" si="12"/>
        <v>7.8812937454775231E-2</v>
      </c>
      <c r="I129" s="71">
        <f t="shared" si="16"/>
        <v>2.0132537636208547E-2</v>
      </c>
      <c r="L129" s="74"/>
      <c r="M129" s="74"/>
      <c r="N129" s="74"/>
      <c r="O129" s="74"/>
      <c r="P129" s="74"/>
      <c r="Q129" s="74"/>
      <c r="R129" s="74"/>
      <c r="S129" s="74"/>
      <c r="T129" s="74"/>
      <c r="U129" s="74"/>
      <c r="V129" s="74"/>
      <c r="W129" s="74"/>
      <c r="X129" s="74"/>
      <c r="Y129" s="74"/>
      <c r="Z129" s="74"/>
    </row>
    <row r="130" spans="1:26" x14ac:dyDescent="0.3">
      <c r="A130" s="66">
        <f t="shared" si="14"/>
        <v>2002.2999999999888</v>
      </c>
      <c r="B130" s="67">
        <f>LOOKUP(A130+0.01,Amounts!$A$4:$A$103,Amounts!$B$4:$B$103)*0.1*$A$2</f>
        <v>428.66573090000003</v>
      </c>
      <c r="C130" s="68">
        <f t="shared" si="13"/>
        <v>47047.764539600001</v>
      </c>
      <c r="D130" s="67">
        <f t="array" ref="D130">SUM($B$7:$B125*$F$1009*EXP(-$F$1009*($A130-$A$7:$A125)))*$F$1010</f>
        <v>3699116.9115914353</v>
      </c>
      <c r="E130" s="67">
        <f t="shared" si="11"/>
        <v>7.0520398336829038</v>
      </c>
      <c r="F130" s="70">
        <f t="shared" si="15"/>
        <v>0.42819985870122595</v>
      </c>
      <c r="G130" s="67">
        <f>E130/'Lookup Tables'!$C$48</f>
        <v>14.104079667365808</v>
      </c>
      <c r="H130" s="70">
        <f t="shared" si="12"/>
        <v>7.8782747126357883E-2</v>
      </c>
      <c r="I130" s="71">
        <f t="shared" si="16"/>
        <v>2.0309874721006763E-2</v>
      </c>
      <c r="L130" s="74"/>
      <c r="M130" s="74"/>
      <c r="N130" s="74"/>
      <c r="O130" s="74"/>
      <c r="P130" s="74"/>
      <c r="Q130" s="74"/>
      <c r="R130" s="74"/>
      <c r="S130" s="74"/>
      <c r="T130" s="74"/>
      <c r="U130" s="74"/>
      <c r="V130" s="74"/>
      <c r="W130" s="74"/>
      <c r="X130" s="74"/>
      <c r="Y130" s="74"/>
      <c r="Z130" s="74"/>
    </row>
    <row r="131" spans="1:26" x14ac:dyDescent="0.3">
      <c r="A131" s="66">
        <f t="shared" si="14"/>
        <v>2002.3999999999887</v>
      </c>
      <c r="B131" s="67">
        <f>LOOKUP(A131+0.01,Amounts!$A$4:$A$103,Amounts!$B$4:$B$103)*0.1*$A$2</f>
        <v>428.66573090000003</v>
      </c>
      <c r="C131" s="68">
        <f t="shared" si="13"/>
        <v>47476.430270500001</v>
      </c>
      <c r="D131" s="67">
        <f t="array" ref="D131">SUM($B$7:$B126*$F$1009*EXP(-$F$1009*($A131-$A$7:$A126)))*$F$1010</f>
        <v>3731370.8212854019</v>
      </c>
      <c r="E131" s="67">
        <f t="shared" si="11"/>
        <v>7.1135290651373397</v>
      </c>
      <c r="F131" s="70">
        <f t="shared" si="15"/>
        <v>0.43193348483513927</v>
      </c>
      <c r="G131" s="67">
        <f>E131/'Lookup Tables'!$C$48</f>
        <v>14.227058130274679</v>
      </c>
      <c r="H131" s="70">
        <f t="shared" si="12"/>
        <v>7.8752148283553119E-2</v>
      </c>
      <c r="I131" s="71">
        <f t="shared" si="16"/>
        <v>2.0486963707595538E-2</v>
      </c>
      <c r="L131" s="74"/>
      <c r="M131" s="74"/>
      <c r="N131" s="74"/>
      <c r="O131" s="74"/>
      <c r="P131" s="74"/>
      <c r="Q131" s="74"/>
      <c r="R131" s="74"/>
      <c r="S131" s="74"/>
      <c r="T131" s="74"/>
      <c r="U131" s="74"/>
      <c r="V131" s="74"/>
      <c r="W131" s="74"/>
      <c r="X131" s="74"/>
      <c r="Y131" s="74"/>
      <c r="Z131" s="74"/>
    </row>
    <row r="132" spans="1:26" x14ac:dyDescent="0.3">
      <c r="A132" s="66">
        <f t="shared" si="14"/>
        <v>2002.4999999999886</v>
      </c>
      <c r="B132" s="67">
        <f>LOOKUP(A132+0.01,Amounts!$A$4:$A$103,Amounts!$B$4:$B$103)*0.1*$A$2</f>
        <v>428.66573090000003</v>
      </c>
      <c r="C132" s="68">
        <f t="shared" si="13"/>
        <v>47905.096001400001</v>
      </c>
      <c r="D132" s="67">
        <f t="array" ref="D132">SUM($B$7:$B127*$F$1009*EXP(-$F$1009*($A132-$A$7:$A127)))*$F$1010</f>
        <v>3764327.9721200564</v>
      </c>
      <c r="E132" s="67">
        <f t="shared" si="11"/>
        <v>7.1763589637443266</v>
      </c>
      <c r="F132" s="70">
        <f t="shared" si="15"/>
        <v>0.43574851627855554</v>
      </c>
      <c r="G132" s="67">
        <f>E132/'Lookup Tables'!$C$48</f>
        <v>14.352717927488653</v>
      </c>
      <c r="H132" s="70">
        <f t="shared" si="12"/>
        <v>7.8736806439836521E-2</v>
      </c>
      <c r="I132" s="71">
        <f t="shared" si="16"/>
        <v>2.0667913815583663E-2</v>
      </c>
      <c r="L132" s="74"/>
      <c r="M132" s="74"/>
      <c r="N132" s="74"/>
      <c r="O132" s="74"/>
      <c r="P132" s="74"/>
      <c r="Q132" s="74"/>
      <c r="R132" s="74"/>
      <c r="S132" s="74"/>
      <c r="T132" s="74"/>
      <c r="U132" s="74"/>
      <c r="V132" s="74"/>
      <c r="W132" s="74"/>
      <c r="X132" s="74"/>
      <c r="Y132" s="74"/>
      <c r="Z132" s="74"/>
    </row>
    <row r="133" spans="1:26" x14ac:dyDescent="0.3">
      <c r="A133" s="66">
        <f t="shared" si="14"/>
        <v>2002.5999999999885</v>
      </c>
      <c r="B133" s="67">
        <f>LOOKUP(A133+0.01,Amounts!$A$4:$A$103,Amounts!$B$4:$B$103)*0.1*$A$2</f>
        <v>428.66573090000003</v>
      </c>
      <c r="C133" s="68">
        <f t="shared" si="13"/>
        <v>48333.761732300001</v>
      </c>
      <c r="D133" s="67">
        <f t="array" ref="D133">SUM($B$7:$B128*$F$1009*EXP(-$F$1009*($A133-$A$7:$A128)))*$F$1010</f>
        <v>3797239.0152264843</v>
      </c>
      <c r="E133" s="67">
        <f t="shared" si="11"/>
        <v>7.2391009620378419</v>
      </c>
      <c r="F133" s="70">
        <f t="shared" si="15"/>
        <v>0.43955821041493776</v>
      </c>
      <c r="G133" s="67">
        <f>E133/'Lookup Tables'!$C$48</f>
        <v>14.478201924075684</v>
      </c>
      <c r="H133" s="70">
        <f t="shared" si="12"/>
        <v>7.8720780863708553E-2</v>
      </c>
      <c r="I133" s="71">
        <f t="shared" si="16"/>
        <v>2.0848610770668987E-2</v>
      </c>
      <c r="L133" s="74"/>
      <c r="M133" s="74"/>
      <c r="N133" s="74"/>
      <c r="O133" s="74"/>
      <c r="P133" s="74"/>
      <c r="Q133" s="74"/>
      <c r="R133" s="74"/>
      <c r="S133" s="74"/>
      <c r="T133" s="74"/>
      <c r="U133" s="74"/>
      <c r="V133" s="74"/>
      <c r="W133" s="74"/>
      <c r="X133" s="74"/>
      <c r="Y133" s="74"/>
      <c r="Z133" s="74"/>
    </row>
    <row r="134" spans="1:26" x14ac:dyDescent="0.3">
      <c r="A134" s="66">
        <f t="shared" si="14"/>
        <v>2002.6999999999884</v>
      </c>
      <c r="B134" s="67">
        <f>LOOKUP(A134+0.01,Amounts!$A$4:$A$103,Amounts!$B$4:$B$103)*0.1*$A$2</f>
        <v>428.66573090000003</v>
      </c>
      <c r="C134" s="68">
        <f t="shared" si="13"/>
        <v>48762.427463200002</v>
      </c>
      <c r="D134" s="67">
        <f t="array" ref="D134">SUM($B$7:$B129*$F$1009*EXP(-$F$1009*($A134-$A$7:$A129)))*$F$1010</f>
        <v>3830104.015110339</v>
      </c>
      <c r="E134" s="67">
        <f t="shared" si="11"/>
        <v>7.3017551829922205</v>
      </c>
      <c r="F134" s="70">
        <f t="shared" si="15"/>
        <v>0.44336257471128765</v>
      </c>
      <c r="G134" s="67">
        <f>E134/'Lookup Tables'!$C$48</f>
        <v>14.603510365984441</v>
      </c>
      <c r="H134" s="70">
        <f t="shared" si="12"/>
        <v>7.8704090912558061E-2</v>
      </c>
      <c r="I134" s="71">
        <f t="shared" si="16"/>
        <v>2.1029054927017593E-2</v>
      </c>
      <c r="L134" s="74"/>
      <c r="M134" s="74"/>
      <c r="N134" s="74"/>
      <c r="O134" s="74"/>
      <c r="P134" s="74"/>
      <c r="Q134" s="74"/>
      <c r="R134" s="74"/>
      <c r="S134" s="74"/>
      <c r="T134" s="74"/>
      <c r="U134" s="74"/>
      <c r="V134" s="74"/>
      <c r="W134" s="74"/>
      <c r="X134" s="74"/>
      <c r="Y134" s="74"/>
      <c r="Z134" s="74"/>
    </row>
    <row r="135" spans="1:26" x14ac:dyDescent="0.3">
      <c r="A135" s="66">
        <f t="shared" si="14"/>
        <v>2002.7999999999884</v>
      </c>
      <c r="B135" s="67">
        <f>LOOKUP(A135+0.01,Amounts!$A$4:$A$103,Amounts!$B$4:$B$103)*0.1*$A$2</f>
        <v>428.66573090000003</v>
      </c>
      <c r="C135" s="68">
        <f t="shared" si="13"/>
        <v>49191.093194100002</v>
      </c>
      <c r="D135" s="67">
        <f t="array" ref="D135">SUM($B$7:$B130*$F$1009*EXP(-$F$1009*($A135-$A$7:$A130)))*$F$1010</f>
        <v>3862923.0361870313</v>
      </c>
      <c r="E135" s="67">
        <f t="shared" ref="E135:E198" si="17">D135/(365*24*60)*1.00201</f>
        <v>7.364321749409755</v>
      </c>
      <c r="F135" s="70">
        <f t="shared" si="15"/>
        <v>0.44716161662416032</v>
      </c>
      <c r="G135" s="67">
        <f>E135/'Lookup Tables'!$C$48</f>
        <v>14.72864349881951</v>
      </c>
      <c r="H135" s="70">
        <f t="shared" ref="H135:H198" si="18">G135*60*24*365/(C135*2000)</f>
        <v>7.8686755267191724E-2</v>
      </c>
      <c r="I135" s="71">
        <f t="shared" si="16"/>
        <v>2.1209246638300094E-2</v>
      </c>
      <c r="L135" s="74"/>
      <c r="M135" s="74"/>
      <c r="N135" s="74"/>
      <c r="O135" s="74"/>
      <c r="P135" s="74"/>
      <c r="Q135" s="74"/>
      <c r="R135" s="74"/>
      <c r="S135" s="74"/>
      <c r="T135" s="74"/>
      <c r="U135" s="74"/>
      <c r="V135" s="74"/>
      <c r="W135" s="74"/>
      <c r="X135" s="74"/>
      <c r="Y135" s="74"/>
      <c r="Z135" s="74"/>
    </row>
    <row r="136" spans="1:26" x14ac:dyDescent="0.3">
      <c r="A136" s="66">
        <f t="shared" si="14"/>
        <v>2002.8999999999883</v>
      </c>
      <c r="B136" s="67">
        <f>LOOKUP(A136+0.01,Amounts!$A$4:$A$103,Amounts!$B$4:$B$103)*0.1*$A$2</f>
        <v>428.66573090000003</v>
      </c>
      <c r="C136" s="68">
        <f t="shared" si="13"/>
        <v>49619.758925000002</v>
      </c>
      <c r="D136" s="67">
        <f t="array" ref="D136">SUM($B$7:$B131*$F$1009*EXP(-$F$1009*($A136-$A$7:$A131)))*$F$1010</f>
        <v>3895696.1427818523</v>
      </c>
      <c r="E136" s="67">
        <f t="shared" si="17"/>
        <v>7.4268007839209362</v>
      </c>
      <c r="F136" s="70">
        <f t="shared" si="15"/>
        <v>0.45095534359967926</v>
      </c>
      <c r="G136" s="67">
        <f>E136/'Lookup Tables'!$C$48</f>
        <v>14.853601567841872</v>
      </c>
      <c r="H136" s="70">
        <f t="shared" si="18"/>
        <v>7.8668791961061371E-2</v>
      </c>
      <c r="I136" s="71">
        <f t="shared" si="16"/>
        <v>2.1389186257692296E-2</v>
      </c>
      <c r="L136" s="74"/>
      <c r="M136" s="74"/>
      <c r="N136" s="74"/>
      <c r="O136" s="74"/>
      <c r="P136" s="74"/>
      <c r="Q136" s="74"/>
      <c r="R136" s="74"/>
      <c r="S136" s="74"/>
      <c r="T136" s="74"/>
      <c r="U136" s="74"/>
      <c r="V136" s="74"/>
      <c r="W136" s="74"/>
      <c r="X136" s="74"/>
      <c r="Y136" s="74"/>
      <c r="Z136" s="74"/>
    </row>
    <row r="137" spans="1:26" x14ac:dyDescent="0.3">
      <c r="A137" s="66">
        <f t="shared" si="14"/>
        <v>2002.9999999999882</v>
      </c>
      <c r="B137" s="67">
        <f>LOOKUP(A137+0.01,Amounts!$A$4:$A$103,Amounts!$B$4:$B$103)*0.1*$A$2</f>
        <v>437.23831799999999</v>
      </c>
      <c r="C137" s="68">
        <f t="shared" ref="C137:C200" si="19">C136+B137</f>
        <v>50056.997243000005</v>
      </c>
      <c r="D137" s="67">
        <f t="array" ref="D137">SUM($B$7:$B132*$F$1009*EXP(-$F$1009*($A137-$A$7:$A132)))*$F$1010</f>
        <v>3928423.3991301018</v>
      </c>
      <c r="E137" s="67">
        <f t="shared" si="17"/>
        <v>7.4891924089846906</v>
      </c>
      <c r="F137" s="70">
        <f t="shared" si="15"/>
        <v>0.45474376307355041</v>
      </c>
      <c r="G137" s="67">
        <f>E137/'Lookup Tables'!$C$48</f>
        <v>14.978384817969381</v>
      </c>
      <c r="H137" s="70">
        <f t="shared" si="18"/>
        <v>7.8636749045365675E-2</v>
      </c>
      <c r="I137" s="71">
        <f t="shared" si="16"/>
        <v>2.1568874137875907E-2</v>
      </c>
      <c r="L137" s="74"/>
      <c r="M137" s="74"/>
      <c r="N137" s="74"/>
      <c r="O137" s="74"/>
      <c r="P137" s="74"/>
      <c r="Q137" s="74"/>
      <c r="R137" s="74"/>
      <c r="S137" s="74"/>
      <c r="T137" s="74"/>
      <c r="U137" s="74"/>
      <c r="V137" s="74"/>
      <c r="W137" s="74"/>
      <c r="X137" s="74"/>
      <c r="Y137" s="74"/>
      <c r="Z137" s="74"/>
    </row>
    <row r="138" spans="1:26" x14ac:dyDescent="0.3">
      <c r="A138" s="66">
        <f t="shared" si="14"/>
        <v>2003.0999999999881</v>
      </c>
      <c r="B138" s="67">
        <f>LOOKUP(A138+0.01,Amounts!$A$4:$A$103,Amounts!$B$4:$B$103)*0.1*$A$2</f>
        <v>437.23831799999999</v>
      </c>
      <c r="C138" s="68">
        <f t="shared" si="19"/>
        <v>50494.235561000009</v>
      </c>
      <c r="D138" s="67">
        <f t="array" ref="D138">SUM($B$7:$B133*$F$1009*EXP(-$F$1009*($A138-$A$7:$A133)))*$F$1010</f>
        <v>3961104.8693772135</v>
      </c>
      <c r="E138" s="67">
        <f t="shared" si="17"/>
        <v>7.5514967468886267</v>
      </c>
      <c r="F138" s="70">
        <f t="shared" si="15"/>
        <v>0.45852688247107737</v>
      </c>
      <c r="G138" s="67">
        <f>E138/'Lookup Tables'!$C$48</f>
        <v>15.102993493777253</v>
      </c>
      <c r="H138" s="70">
        <f t="shared" si="18"/>
        <v>7.8604352478409051E-2</v>
      </c>
      <c r="I138" s="71">
        <f t="shared" si="16"/>
        <v>2.1748310631039242E-2</v>
      </c>
      <c r="L138" s="74"/>
      <c r="M138" s="74"/>
      <c r="N138" s="74"/>
      <c r="O138" s="74"/>
      <c r="P138" s="74"/>
      <c r="Q138" s="74"/>
      <c r="R138" s="74"/>
      <c r="S138" s="74"/>
      <c r="T138" s="74"/>
      <c r="U138" s="74"/>
      <c r="V138" s="74"/>
      <c r="W138" s="74"/>
      <c r="X138" s="74"/>
      <c r="Y138" s="74"/>
      <c r="Z138" s="74"/>
    </row>
    <row r="139" spans="1:26" x14ac:dyDescent="0.3">
      <c r="A139" s="66">
        <f t="shared" si="14"/>
        <v>2003.199999999988</v>
      </c>
      <c r="B139" s="67">
        <f>LOOKUP(A139+0.01,Amounts!$A$4:$A$103,Amounts!$B$4:$B$103)*0.1*$A$2</f>
        <v>437.23831799999999</v>
      </c>
      <c r="C139" s="68">
        <f t="shared" si="19"/>
        <v>50931.473879000012</v>
      </c>
      <c r="D139" s="67">
        <f t="array" ref="D139">SUM($B$7:$B134*$F$1009*EXP(-$F$1009*($A139-$A$7:$A134)))*$F$1010</f>
        <v>3993740.617578879</v>
      </c>
      <c r="E139" s="67">
        <f t="shared" si="17"/>
        <v>7.6137139197492631</v>
      </c>
      <c r="F139" s="70">
        <f t="shared" si="15"/>
        <v>0.46230470920717531</v>
      </c>
      <c r="G139" s="67">
        <f>E139/'Lookup Tables'!$C$48</f>
        <v>15.227427839498526</v>
      </c>
      <c r="H139" s="70">
        <f t="shared" si="18"/>
        <v>7.8571612628516849E-2</v>
      </c>
      <c r="I139" s="71">
        <f t="shared" si="16"/>
        <v>2.1927496088877882E-2</v>
      </c>
      <c r="L139" s="74"/>
      <c r="M139" s="74"/>
      <c r="N139" s="74"/>
      <c r="O139" s="74"/>
      <c r="P139" s="74"/>
      <c r="Q139" s="74"/>
      <c r="R139" s="74"/>
      <c r="S139" s="74"/>
      <c r="T139" s="74"/>
      <c r="U139" s="74"/>
      <c r="V139" s="74"/>
      <c r="W139" s="74"/>
      <c r="X139" s="74"/>
      <c r="Y139" s="74"/>
      <c r="Z139" s="74"/>
    </row>
    <row r="140" spans="1:26" x14ac:dyDescent="0.3">
      <c r="A140" s="66">
        <f t="shared" si="14"/>
        <v>2003.2999999999879</v>
      </c>
      <c r="B140" s="67">
        <f>LOOKUP(A140+0.01,Amounts!$A$4:$A$103,Amounts!$B$4:$B$103)*0.1*$A$2</f>
        <v>437.23831799999999</v>
      </c>
      <c r="C140" s="68">
        <f t="shared" si="19"/>
        <v>51368.712197000015</v>
      </c>
      <c r="D140" s="67">
        <f t="array" ref="D140">SUM($B$7:$B135*$F$1009*EXP(-$F$1009*($A140-$A$7:$A135)))*$F$1010</f>
        <v>4026330.7077011745</v>
      </c>
      <c r="E140" s="67">
        <f t="shared" si="17"/>
        <v>7.6758440495122793</v>
      </c>
      <c r="F140" s="70">
        <f t="shared" si="15"/>
        <v>0.46607725068638561</v>
      </c>
      <c r="G140" s="67">
        <f>E140/'Lookup Tables'!$C$48</f>
        <v>15.351688099024559</v>
      </c>
      <c r="H140" s="70">
        <f t="shared" si="18"/>
        <v>7.8538539509255378E-2</v>
      </c>
      <c r="I140" s="71">
        <f t="shared" si="16"/>
        <v>2.2106430862595363E-2</v>
      </c>
      <c r="L140" s="74"/>
      <c r="M140" s="74"/>
      <c r="N140" s="74"/>
      <c r="O140" s="74"/>
      <c r="P140" s="74"/>
      <c r="Q140" s="74"/>
      <c r="R140" s="74"/>
      <c r="S140" s="74"/>
      <c r="T140" s="74"/>
      <c r="U140" s="74"/>
      <c r="V140" s="74"/>
      <c r="W140" s="74"/>
      <c r="X140" s="74"/>
      <c r="Y140" s="74"/>
      <c r="Z140" s="74"/>
    </row>
    <row r="141" spans="1:26" x14ac:dyDescent="0.3">
      <c r="A141" s="66">
        <f t="shared" si="14"/>
        <v>2003.3999999999878</v>
      </c>
      <c r="B141" s="67">
        <f>LOOKUP(A141+0.01,Amounts!$A$4:$A$103,Amounts!$B$4:$B$103)*0.1*$A$2</f>
        <v>437.23831799999999</v>
      </c>
      <c r="C141" s="68">
        <f t="shared" si="19"/>
        <v>51805.950515000019</v>
      </c>
      <c r="D141" s="67">
        <f t="array" ref="D141">SUM($B$7:$B136*$F$1009*EXP(-$F$1009*($A141-$A$7:$A136)))*$F$1010</f>
        <v>4058875.2036206881</v>
      </c>
      <c r="E141" s="67">
        <f t="shared" si="17"/>
        <v>7.7378872579527513</v>
      </c>
      <c r="F141" s="70">
        <f t="shared" si="15"/>
        <v>0.46984451430289109</v>
      </c>
      <c r="G141" s="67">
        <f>E141/'Lookup Tables'!$C$48</f>
        <v>15.475774515905503</v>
      </c>
      <c r="H141" s="70">
        <f t="shared" si="18"/>
        <v>7.8505142794405194E-2</v>
      </c>
      <c r="I141" s="71">
        <f t="shared" si="16"/>
        <v>2.2285115302903922E-2</v>
      </c>
      <c r="L141" s="74"/>
      <c r="M141" s="74"/>
      <c r="N141" s="74"/>
      <c r="O141" s="74"/>
      <c r="P141" s="74"/>
      <c r="Q141" s="74"/>
      <c r="R141" s="74"/>
      <c r="S141" s="74"/>
      <c r="T141" s="74"/>
      <c r="U141" s="74"/>
      <c r="V141" s="74"/>
      <c r="W141" s="74"/>
      <c r="X141" s="74"/>
      <c r="Y141" s="74"/>
      <c r="Z141" s="74"/>
    </row>
    <row r="142" spans="1:26" x14ac:dyDescent="0.3">
      <c r="A142" s="66">
        <f t="shared" si="14"/>
        <v>2003.4999999999877</v>
      </c>
      <c r="B142" s="67">
        <f>LOOKUP(A142+0.01,Amounts!$A$4:$A$103,Amounts!$B$4:$B$103)*0.1*$A$2</f>
        <v>437.23831799999999</v>
      </c>
      <c r="C142" s="68">
        <f t="shared" si="19"/>
        <v>52243.188833000022</v>
      </c>
      <c r="D142" s="67">
        <f t="array" ref="D142">SUM($B$7:$B137*$F$1009*EXP(-$F$1009*($A142-$A$7:$A137)))*$F$1010</f>
        <v>4092137.6526300735</v>
      </c>
      <c r="E142" s="67">
        <f t="shared" si="17"/>
        <v>7.8012991805781207</v>
      </c>
      <c r="F142" s="70">
        <f t="shared" si="15"/>
        <v>0.47369488624470341</v>
      </c>
      <c r="G142" s="67">
        <f>E142/'Lookup Tables'!$C$48</f>
        <v>15.602598361156241</v>
      </c>
      <c r="H142" s="70">
        <f t="shared" si="18"/>
        <v>7.8486075235932345E-2</v>
      </c>
      <c r="I142" s="71">
        <f t="shared" si="16"/>
        <v>2.2467741640064987E-2</v>
      </c>
      <c r="L142" s="74"/>
      <c r="M142" s="74"/>
      <c r="N142" s="74"/>
      <c r="O142" s="74"/>
      <c r="P142" s="74"/>
      <c r="Q142" s="74"/>
      <c r="R142" s="74"/>
      <c r="S142" s="74"/>
      <c r="T142" s="74"/>
      <c r="U142" s="74"/>
      <c r="V142" s="74"/>
      <c r="W142" s="74"/>
      <c r="X142" s="74"/>
      <c r="Y142" s="74"/>
      <c r="Z142" s="74"/>
    </row>
    <row r="143" spans="1:26" x14ac:dyDescent="0.3">
      <c r="A143" s="66">
        <f t="shared" si="14"/>
        <v>2003.5999999999876</v>
      </c>
      <c r="B143" s="67">
        <f>LOOKUP(A143+0.01,Amounts!$A$4:$A$103,Amounts!$B$4:$B$103)*0.1*$A$2</f>
        <v>437.23831799999999</v>
      </c>
      <c r="C143" s="68">
        <f t="shared" si="19"/>
        <v>52680.427151000025</v>
      </c>
      <c r="D143" s="67">
        <f t="array" ref="D143">SUM($B$7:$B138*$F$1009*EXP(-$F$1009*($A143-$A$7:$A138)))*$F$1010</f>
        <v>4125353.5667928387</v>
      </c>
      <c r="E143" s="67">
        <f t="shared" si="17"/>
        <v>7.8646223886265076</v>
      </c>
      <c r="F143" s="70">
        <f t="shared" si="15"/>
        <v>0.47753987143740151</v>
      </c>
      <c r="G143" s="67">
        <f>E143/'Lookup Tables'!$C$48</f>
        <v>15.729244777253015</v>
      </c>
      <c r="H143" s="70">
        <f t="shared" si="18"/>
        <v>7.846643907449076E-2</v>
      </c>
      <c r="I143" s="71">
        <f t="shared" si="16"/>
        <v>2.2650112479244342E-2</v>
      </c>
      <c r="L143" s="74"/>
      <c r="M143" s="74"/>
      <c r="N143" s="74"/>
      <c r="O143" s="74"/>
      <c r="P143" s="74"/>
      <c r="Q143" s="74"/>
      <c r="R143" s="74"/>
      <c r="S143" s="74"/>
      <c r="T143" s="74"/>
      <c r="U143" s="74"/>
      <c r="V143" s="74"/>
      <c r="W143" s="74"/>
      <c r="X143" s="74"/>
      <c r="Y143" s="74"/>
      <c r="Z143" s="74"/>
    </row>
    <row r="144" spans="1:26" x14ac:dyDescent="0.3">
      <c r="A144" s="66">
        <f t="shared" si="14"/>
        <v>2003.6999999999875</v>
      </c>
      <c r="B144" s="67">
        <f>LOOKUP(A144+0.01,Amounts!$A$4:$A$103,Amounts!$B$4:$B$103)*0.1*$A$2</f>
        <v>437.23831799999999</v>
      </c>
      <c r="C144" s="68">
        <f t="shared" si="19"/>
        <v>53117.665469000029</v>
      </c>
      <c r="D144" s="67">
        <f t="array" ref="D144">SUM($B$7:$B139*$F$1009*EXP(-$F$1009*($A144-$A$7:$A139)))*$F$1010</f>
        <v>4158523.011212186</v>
      </c>
      <c r="E144" s="67">
        <f t="shared" si="17"/>
        <v>7.9278570062114202</v>
      </c>
      <c r="F144" s="70">
        <f t="shared" si="15"/>
        <v>0.48137947741715742</v>
      </c>
      <c r="G144" s="67">
        <f>E144/'Lookup Tables'!$C$48</f>
        <v>15.85571401242284</v>
      </c>
      <c r="H144" s="70">
        <f t="shared" si="18"/>
        <v>7.8446249579559438E-2</v>
      </c>
      <c r="I144" s="71">
        <f t="shared" si="16"/>
        <v>2.2832228177888891E-2</v>
      </c>
      <c r="L144" s="74"/>
      <c r="M144" s="74"/>
      <c r="N144" s="74"/>
      <c r="O144" s="74"/>
      <c r="P144" s="74"/>
      <c r="Q144" s="74"/>
      <c r="R144" s="74"/>
      <c r="S144" s="74"/>
      <c r="T144" s="74"/>
      <c r="U144" s="74"/>
      <c r="V144" s="74"/>
      <c r="W144" s="74"/>
      <c r="X144" s="74"/>
      <c r="Y144" s="74"/>
      <c r="Z144" s="74"/>
    </row>
    <row r="145" spans="1:26" x14ac:dyDescent="0.3">
      <c r="A145" s="66">
        <f t="shared" si="14"/>
        <v>2003.7999999999874</v>
      </c>
      <c r="B145" s="67">
        <f>LOOKUP(A145+0.01,Amounts!$A$4:$A$103,Amounts!$B$4:$B$103)*0.1*$A$2</f>
        <v>437.23831799999999</v>
      </c>
      <c r="C145" s="68">
        <f t="shared" si="19"/>
        <v>53554.903787000032</v>
      </c>
      <c r="D145" s="67">
        <f t="array" ref="D145">SUM($B$7:$B140*$F$1009*EXP(-$F$1009*($A145-$A$7:$A140)))*$F$1010</f>
        <v>4191646.0509002372</v>
      </c>
      <c r="E145" s="67">
        <f t="shared" si="17"/>
        <v>7.99100315727273</v>
      </c>
      <c r="F145" s="70">
        <f t="shared" si="15"/>
        <v>0.48521371170960015</v>
      </c>
      <c r="G145" s="67">
        <f>E145/'Lookup Tables'!$C$48</f>
        <v>15.98200631454546</v>
      </c>
      <c r="H145" s="70">
        <f t="shared" si="18"/>
        <v>7.8425521520254809E-2</v>
      </c>
      <c r="I145" s="71">
        <f t="shared" si="16"/>
        <v>2.3014089092945462E-2</v>
      </c>
      <c r="L145" s="74"/>
      <c r="M145" s="74"/>
      <c r="N145" s="74"/>
      <c r="O145" s="74"/>
      <c r="P145" s="74"/>
      <c r="Q145" s="74"/>
      <c r="R145" s="74"/>
      <c r="S145" s="74"/>
      <c r="T145" s="74"/>
      <c r="U145" s="74"/>
      <c r="V145" s="74"/>
      <c r="W145" s="74"/>
      <c r="X145" s="74"/>
      <c r="Y145" s="74"/>
      <c r="Z145" s="74"/>
    </row>
    <row r="146" spans="1:26" x14ac:dyDescent="0.3">
      <c r="A146" s="66">
        <f t="shared" si="14"/>
        <v>2003.8999999999874</v>
      </c>
      <c r="B146" s="67">
        <f>LOOKUP(A146+0.01,Amounts!$A$4:$A$103,Amounts!$B$4:$B$103)*0.1*$A$2</f>
        <v>437.23831799999999</v>
      </c>
      <c r="C146" s="68">
        <f t="shared" si="19"/>
        <v>53992.142105000035</v>
      </c>
      <c r="D146" s="67">
        <f t="array" ref="D146">SUM($B$7:$B141*$F$1009*EXP(-$F$1009*($A146-$A$7:$A141)))*$F$1010</f>
        <v>4224722.7507781629</v>
      </c>
      <c r="E146" s="67">
        <f t="shared" si="17"/>
        <v>8.0540609655769178</v>
      </c>
      <c r="F146" s="70">
        <f t="shared" si="15"/>
        <v>0.4890425818298304</v>
      </c>
      <c r="G146" s="67">
        <f>E146/'Lookup Tables'!$C$48</f>
        <v>16.108121931153836</v>
      </c>
      <c r="H146" s="70">
        <f t="shared" si="18"/>
        <v>7.8404269185593289E-2</v>
      </c>
      <c r="I146" s="71">
        <f t="shared" si="16"/>
        <v>2.3195695580861524E-2</v>
      </c>
      <c r="L146" s="74"/>
      <c r="M146" s="74"/>
      <c r="N146" s="74"/>
      <c r="O146" s="74"/>
      <c r="P146" s="74"/>
      <c r="Q146" s="74"/>
      <c r="R146" s="74"/>
      <c r="S146" s="74"/>
      <c r="T146" s="74"/>
      <c r="U146" s="74"/>
      <c r="V146" s="74"/>
      <c r="W146" s="74"/>
      <c r="X146" s="74"/>
      <c r="Y146" s="74"/>
      <c r="Z146" s="74"/>
    </row>
    <row r="147" spans="1:26" x14ac:dyDescent="0.3">
      <c r="A147" s="66">
        <f t="shared" ref="A147:A210" si="20">A146+0.1</f>
        <v>2003.9999999999873</v>
      </c>
      <c r="B147" s="67">
        <f>LOOKUP(A147+0.01,Amounts!$A$4:$A$103,Amounts!$B$4:$B$103)*0.1*$A$2</f>
        <v>445.98065930000007</v>
      </c>
      <c r="C147" s="68">
        <f t="shared" si="19"/>
        <v>54438.122764300038</v>
      </c>
      <c r="D147" s="67">
        <f t="array" ref="D147">SUM($B$7:$B142*$F$1009*EXP(-$F$1009*($A147-$A$7:$A142)))*$F$1010</f>
        <v>4257753.175676303</v>
      </c>
      <c r="E147" s="67">
        <f t="shared" si="17"/>
        <v>8.1170305547172994</v>
      </c>
      <c r="F147" s="70">
        <f t="shared" ref="F147:F210" si="21">E147*60*1012/1000000</f>
        <v>0.49286609528243441</v>
      </c>
      <c r="G147" s="67">
        <f>E147/'Lookup Tables'!$C$48</f>
        <v>16.234061109434599</v>
      </c>
      <c r="H147" s="70">
        <f t="shared" si="18"/>
        <v>7.8369918779734551E-2</v>
      </c>
      <c r="I147" s="71">
        <f t="shared" ref="I147:I210" si="22">G147*60*24/1000000</f>
        <v>2.3377047997585821E-2</v>
      </c>
      <c r="L147" s="74"/>
      <c r="M147" s="74"/>
      <c r="N147" s="74"/>
      <c r="O147" s="74"/>
      <c r="P147" s="74"/>
      <c r="Q147" s="74"/>
      <c r="R147" s="74"/>
      <c r="S147" s="74"/>
      <c r="T147" s="74"/>
      <c r="U147" s="74"/>
      <c r="V147" s="74"/>
      <c r="W147" s="74"/>
      <c r="X147" s="74"/>
      <c r="Y147" s="74"/>
      <c r="Z147" s="74"/>
    </row>
    <row r="148" spans="1:26" x14ac:dyDescent="0.3">
      <c r="A148" s="66">
        <f t="shared" si="20"/>
        <v>2004.0999999999872</v>
      </c>
      <c r="B148" s="67">
        <f>LOOKUP(A148+0.01,Amounts!$A$4:$A$103,Amounts!$B$4:$B$103)*0.1*$A$2</f>
        <v>445.98065930000007</v>
      </c>
      <c r="C148" s="68">
        <f t="shared" si="19"/>
        <v>54884.103423600041</v>
      </c>
      <c r="D148" s="67">
        <f t="array" ref="D148">SUM($B$7:$B143*$F$1009*EXP(-$F$1009*($A148-$A$7:$A143)))*$F$1010</f>
        <v>4290737.3903342998</v>
      </c>
      <c r="E148" s="67">
        <f t="shared" si="17"/>
        <v>8.1799120481142928</v>
      </c>
      <c r="F148" s="70">
        <f t="shared" si="21"/>
        <v>0.49668425956149986</v>
      </c>
      <c r="G148" s="67">
        <f>E148/'Lookup Tables'!$C$48</f>
        <v>16.359824096228586</v>
      </c>
      <c r="H148" s="70">
        <f t="shared" si="18"/>
        <v>7.8335282974489787E-2</v>
      </c>
      <c r="I148" s="71">
        <f t="shared" si="22"/>
        <v>2.3558146698569166E-2</v>
      </c>
      <c r="L148" s="74"/>
      <c r="M148" s="74"/>
      <c r="N148" s="74"/>
      <c r="O148" s="74"/>
      <c r="P148" s="74"/>
      <c r="Q148" s="74"/>
      <c r="R148" s="74"/>
      <c r="S148" s="74"/>
      <c r="T148" s="74"/>
      <c r="U148" s="74"/>
      <c r="V148" s="74"/>
      <c r="W148" s="74"/>
      <c r="X148" s="74"/>
      <c r="Y148" s="74"/>
      <c r="Z148" s="74"/>
    </row>
    <row r="149" spans="1:26" x14ac:dyDescent="0.3">
      <c r="A149" s="66">
        <f t="shared" si="20"/>
        <v>2004.1999999999871</v>
      </c>
      <c r="B149" s="67">
        <f>LOOKUP(A149+0.01,Amounts!$A$4:$A$103,Amounts!$B$4:$B$103)*0.1*$A$2</f>
        <v>445.98065930000007</v>
      </c>
      <c r="C149" s="68">
        <f t="shared" si="19"/>
        <v>55330.084082900044</v>
      </c>
      <c r="D149" s="67">
        <f t="array" ref="D149">SUM($B$7:$B144*$F$1009*EXP(-$F$1009*($A149-$A$7:$A144)))*$F$1010</f>
        <v>4323675.4594012275</v>
      </c>
      <c r="E149" s="67">
        <f t="shared" si="17"/>
        <v>8.2427055690156479</v>
      </c>
      <c r="F149" s="70">
        <f t="shared" si="21"/>
        <v>0.50049708215063016</v>
      </c>
      <c r="G149" s="67">
        <f>E149/'Lookup Tables'!$C$48</f>
        <v>16.485411138031296</v>
      </c>
      <c r="H149" s="70">
        <f t="shared" si="18"/>
        <v>7.8300369841902279E-2</v>
      </c>
      <c r="I149" s="71">
        <f t="shared" si="22"/>
        <v>2.3738992038765068E-2</v>
      </c>
      <c r="L149" s="74"/>
      <c r="M149" s="74"/>
      <c r="N149" s="74"/>
      <c r="O149" s="74"/>
      <c r="P149" s="74"/>
      <c r="Q149" s="74"/>
      <c r="R149" s="74"/>
      <c r="S149" s="74"/>
      <c r="T149" s="74"/>
      <c r="U149" s="74"/>
      <c r="V149" s="74"/>
      <c r="W149" s="74"/>
      <c r="X149" s="74"/>
      <c r="Y149" s="74"/>
      <c r="Z149" s="74"/>
    </row>
    <row r="150" spans="1:26" x14ac:dyDescent="0.3">
      <c r="A150" s="66">
        <f t="shared" si="20"/>
        <v>2004.299999999987</v>
      </c>
      <c r="B150" s="67">
        <f>LOOKUP(A150+0.01,Amounts!$A$4:$A$103,Amounts!$B$4:$B$103)*0.1*$A$2</f>
        <v>445.98065930000007</v>
      </c>
      <c r="C150" s="68">
        <f t="shared" si="19"/>
        <v>55776.064742200047</v>
      </c>
      <c r="D150" s="67">
        <f t="array" ref="D150">SUM($B$7:$B145*$F$1009*EXP(-$F$1009*($A150-$A$7:$A145)))*$F$1010</f>
        <v>4356567.4474357115</v>
      </c>
      <c r="E150" s="67">
        <f t="shared" si="17"/>
        <v>8.3054112404966851</v>
      </c>
      <c r="F150" s="70">
        <f t="shared" si="21"/>
        <v>0.50430457052295874</v>
      </c>
      <c r="G150" s="67">
        <f>E150/'Lookup Tables'!$C$48</f>
        <v>16.61082248099337</v>
      </c>
      <c r="H150" s="70">
        <f t="shared" si="18"/>
        <v>7.8265187194217073E-2</v>
      </c>
      <c r="I150" s="71">
        <f t="shared" si="22"/>
        <v>2.3919584372630451E-2</v>
      </c>
      <c r="L150" s="74"/>
      <c r="M150" s="74"/>
      <c r="N150" s="74"/>
      <c r="O150" s="74"/>
      <c r="P150" s="74"/>
      <c r="Q150" s="74"/>
      <c r="R150" s="74"/>
      <c r="S150" s="74"/>
      <c r="T150" s="74"/>
      <c r="U150" s="74"/>
      <c r="V150" s="74"/>
      <c r="W150" s="74"/>
      <c r="X150" s="74"/>
      <c r="Y150" s="74"/>
      <c r="Z150" s="74"/>
    </row>
    <row r="151" spans="1:26" x14ac:dyDescent="0.3">
      <c r="A151" s="66">
        <f t="shared" si="20"/>
        <v>2004.3999999999869</v>
      </c>
      <c r="B151" s="67">
        <f>LOOKUP(A151+0.01,Amounts!$A$4:$A$103,Amounts!$B$4:$B$103)*0.1*$A$2</f>
        <v>445.98065930000007</v>
      </c>
      <c r="C151" s="68">
        <f t="shared" si="19"/>
        <v>56222.045401500051</v>
      </c>
      <c r="D151" s="67">
        <f t="array" ref="D151">SUM($B$7:$B146*$F$1009*EXP(-$F$1009*($A151-$A$7:$A146)))*$F$1010</f>
        <v>4389413.4189060563</v>
      </c>
      <c r="E151" s="67">
        <f t="shared" si="17"/>
        <v>8.3680291854605358</v>
      </c>
      <c r="F151" s="70">
        <f t="shared" si="21"/>
        <v>0.50810673214116375</v>
      </c>
      <c r="G151" s="67">
        <f>E151/'Lookup Tables'!$C$48</f>
        <v>16.736058370921072</v>
      </c>
      <c r="H151" s="70">
        <f t="shared" si="18"/>
        <v>7.8229742594187246E-2</v>
      </c>
      <c r="I151" s="71">
        <f t="shared" si="22"/>
        <v>2.4099924054126344E-2</v>
      </c>
      <c r="L151" s="74"/>
      <c r="M151" s="74"/>
      <c r="N151" s="74"/>
      <c r="O151" s="74"/>
      <c r="P151" s="74"/>
      <c r="Q151" s="74"/>
      <c r="R151" s="74"/>
      <c r="S151" s="74"/>
      <c r="T151" s="74"/>
      <c r="U151" s="74"/>
      <c r="V151" s="74"/>
      <c r="W151" s="74"/>
      <c r="X151" s="74"/>
      <c r="Y151" s="74"/>
      <c r="Z151" s="74"/>
    </row>
    <row r="152" spans="1:26" x14ac:dyDescent="0.3">
      <c r="A152" s="66">
        <f t="shared" si="20"/>
        <v>2004.4999999999868</v>
      </c>
      <c r="B152" s="67">
        <f>LOOKUP(A152+0.01,Amounts!$A$4:$A$103,Amounts!$B$4:$B$103)*0.1*$A$2</f>
        <v>445.98065930000007</v>
      </c>
      <c r="C152" s="68">
        <f t="shared" si="19"/>
        <v>56668.026060800054</v>
      </c>
      <c r="D152" s="67">
        <f t="array" ref="D152">SUM($B$7:$B147*$F$1009*EXP(-$F$1009*($A152-$A$7:$A147)))*$F$1010</f>
        <v>4422992.0401810668</v>
      </c>
      <c r="E152" s="67">
        <f t="shared" si="17"/>
        <v>8.4320438625986132</v>
      </c>
      <c r="F152" s="70">
        <f t="shared" si="21"/>
        <v>0.51199370333698779</v>
      </c>
      <c r="G152" s="67">
        <f>E152/'Lookup Tables'!$C$48</f>
        <v>16.864087725197226</v>
      </c>
      <c r="H152" s="70">
        <f t="shared" si="18"/>
        <v>7.8207810687225834E-2</v>
      </c>
      <c r="I152" s="71">
        <f t="shared" si="22"/>
        <v>2.4284286324284005E-2</v>
      </c>
      <c r="L152" s="74"/>
      <c r="M152" s="74"/>
      <c r="N152" s="74"/>
      <c r="O152" s="74"/>
      <c r="P152" s="74"/>
      <c r="Q152" s="74"/>
      <c r="R152" s="74"/>
      <c r="S152" s="74"/>
      <c r="T152" s="74"/>
      <c r="U152" s="74"/>
      <c r="V152" s="74"/>
      <c r="W152" s="74"/>
      <c r="X152" s="74"/>
      <c r="Y152" s="74"/>
      <c r="Z152" s="74"/>
    </row>
    <row r="153" spans="1:26" x14ac:dyDescent="0.3">
      <c r="A153" s="66">
        <f t="shared" si="20"/>
        <v>2004.5999999999867</v>
      </c>
      <c r="B153" s="67">
        <f>LOOKUP(A153+0.01,Amounts!$A$4:$A$103,Amounts!$B$4:$B$103)*0.1*$A$2</f>
        <v>445.98065930000007</v>
      </c>
      <c r="C153" s="68">
        <f t="shared" si="19"/>
        <v>57114.006720100057</v>
      </c>
      <c r="D153" s="67">
        <f t="array" ref="D153">SUM($B$7:$B148*$F$1009*EXP(-$F$1009*($A153-$A$7:$A148)))*$F$1010</f>
        <v>4456523.684277989</v>
      </c>
      <c r="E153" s="67">
        <f t="shared" si="17"/>
        <v>8.495968981893812</v>
      </c>
      <c r="F153" s="70">
        <f t="shared" si="21"/>
        <v>0.51587523658059231</v>
      </c>
      <c r="G153" s="67">
        <f>E153/'Lookup Tables'!$C$48</f>
        <v>16.991937963787624</v>
      </c>
      <c r="H153" s="70">
        <f t="shared" si="18"/>
        <v>7.8185397126268444E-2</v>
      </c>
      <c r="I153" s="71">
        <f t="shared" si="22"/>
        <v>2.4468390667854178E-2</v>
      </c>
      <c r="L153" s="74"/>
      <c r="M153" s="74"/>
      <c r="N153" s="74"/>
      <c r="O153" s="74"/>
      <c r="P153" s="74"/>
      <c r="Q153" s="74"/>
      <c r="R153" s="74"/>
      <c r="S153" s="74"/>
      <c r="T153" s="74"/>
      <c r="U153" s="74"/>
      <c r="V153" s="74"/>
      <c r="W153" s="74"/>
      <c r="X153" s="74"/>
      <c r="Y153" s="74"/>
      <c r="Z153" s="74"/>
    </row>
    <row r="154" spans="1:26" x14ac:dyDescent="0.3">
      <c r="A154" s="66">
        <f t="shared" si="20"/>
        <v>2004.6999999999866</v>
      </c>
      <c r="B154" s="67">
        <f>LOOKUP(A154+0.01,Amounts!$A$4:$A$103,Amounts!$B$4:$B$103)*0.1*$A$2</f>
        <v>445.98065930000007</v>
      </c>
      <c r="C154" s="68">
        <f t="shared" si="19"/>
        <v>57559.98737940006</v>
      </c>
      <c r="D154" s="67">
        <f t="array" ref="D154">SUM($B$7:$B149*$F$1009*EXP(-$F$1009*($A154-$A$7:$A149)))*$F$1010</f>
        <v>4490008.416918857</v>
      </c>
      <c r="E154" s="67">
        <f t="shared" si="17"/>
        <v>8.5598046686393907</v>
      </c>
      <c r="F154" s="70">
        <f t="shared" si="21"/>
        <v>0.5197513394797838</v>
      </c>
      <c r="G154" s="67">
        <f>E154/'Lookup Tables'!$C$48</f>
        <v>17.119609337278781</v>
      </c>
      <c r="H154" s="70">
        <f t="shared" si="18"/>
        <v>7.8162514251123805E-2</v>
      </c>
      <c r="I154" s="71">
        <f t="shared" si="22"/>
        <v>2.4652237445681444E-2</v>
      </c>
      <c r="L154" s="74"/>
      <c r="M154" s="74"/>
      <c r="N154" s="74"/>
      <c r="O154" s="74"/>
      <c r="P154" s="74"/>
      <c r="Q154" s="74"/>
      <c r="R154" s="74"/>
      <c r="S154" s="74"/>
      <c r="T154" s="74"/>
      <c r="U154" s="74"/>
      <c r="V154" s="74"/>
      <c r="W154" s="74"/>
      <c r="X154" s="74"/>
      <c r="Y154" s="74"/>
      <c r="Z154" s="74"/>
    </row>
    <row r="155" spans="1:26" x14ac:dyDescent="0.3">
      <c r="A155" s="66">
        <f t="shared" si="20"/>
        <v>2004.7999999999865</v>
      </c>
      <c r="B155" s="67">
        <f>LOOKUP(A155+0.01,Amounts!$A$4:$A$103,Amounts!$B$4:$B$103)*0.1*$A$2</f>
        <v>445.98065930000007</v>
      </c>
      <c r="C155" s="68">
        <f t="shared" si="19"/>
        <v>58005.968038700063</v>
      </c>
      <c r="D155" s="67">
        <f t="array" ref="D155">SUM($B$7:$B150*$F$1009*EXP(-$F$1009*($A155-$A$7:$A150)))*$F$1010</f>
        <v>4523446.3037337568</v>
      </c>
      <c r="E155" s="67">
        <f t="shared" si="17"/>
        <v>8.6235510479533151</v>
      </c>
      <c r="F155" s="70">
        <f t="shared" si="21"/>
        <v>0.52362201963172517</v>
      </c>
      <c r="G155" s="67">
        <f>E155/'Lookup Tables'!$C$48</f>
        <v>17.24710209590663</v>
      </c>
      <c r="H155" s="70">
        <f t="shared" si="18"/>
        <v>7.8139174020512361E-2</v>
      </c>
      <c r="I155" s="71">
        <f t="shared" si="22"/>
        <v>2.4835827018105546E-2</v>
      </c>
      <c r="L155" s="74"/>
      <c r="M155" s="74"/>
      <c r="N155" s="74"/>
      <c r="O155" s="74"/>
      <c r="P155" s="74"/>
      <c r="Q155" s="74"/>
      <c r="R155" s="74"/>
      <c r="S155" s="74"/>
      <c r="T155" s="74"/>
      <c r="U155" s="74"/>
      <c r="V155" s="74"/>
      <c r="W155" s="74"/>
      <c r="X155" s="74"/>
      <c r="Y155" s="74"/>
      <c r="Z155" s="74"/>
    </row>
    <row r="156" spans="1:26" x14ac:dyDescent="0.3">
      <c r="A156" s="66">
        <f t="shared" si="20"/>
        <v>2004.8999999999864</v>
      </c>
      <c r="B156" s="67">
        <f>LOOKUP(A156+0.01,Amounts!$A$4:$A$103,Amounts!$B$4:$B$103)*0.1*$A$2</f>
        <v>445.98065930000007</v>
      </c>
      <c r="C156" s="68">
        <f t="shared" si="19"/>
        <v>58451.948698000066</v>
      </c>
      <c r="D156" s="67">
        <f t="array" ref="D156">SUM($B$7:$B151*$F$1009*EXP(-$F$1009*($A156-$A$7:$A151)))*$F$1010</f>
        <v>4556837.4102609586</v>
      </c>
      <c r="E156" s="67">
        <f t="shared" si="17"/>
        <v>8.6872082447785086</v>
      </c>
      <c r="F156" s="70">
        <f t="shared" si="21"/>
        <v>0.52748728462295102</v>
      </c>
      <c r="G156" s="67">
        <f>E156/'Lookup Tables'!$C$48</f>
        <v>17.374416489557017</v>
      </c>
      <c r="H156" s="70">
        <f t="shared" si="18"/>
        <v>7.8115388026606711E-2</v>
      </c>
      <c r="I156" s="71">
        <f t="shared" si="22"/>
        <v>2.5019159744962105E-2</v>
      </c>
      <c r="L156" s="74"/>
      <c r="M156" s="74"/>
      <c r="N156" s="74"/>
      <c r="O156" s="74"/>
      <c r="P156" s="74"/>
      <c r="Q156" s="74"/>
      <c r="R156" s="74"/>
      <c r="S156" s="74"/>
      <c r="T156" s="74"/>
      <c r="U156" s="74"/>
      <c r="V156" s="74"/>
      <c r="W156" s="74"/>
      <c r="X156" s="74"/>
      <c r="Y156" s="74"/>
      <c r="Z156" s="74"/>
    </row>
    <row r="157" spans="1:26" x14ac:dyDescent="0.3">
      <c r="A157" s="66">
        <f t="shared" si="20"/>
        <v>2004.9999999999864</v>
      </c>
      <c r="B157" s="67">
        <f>LOOKUP(A157+0.01,Amounts!$A$4:$A$103,Amounts!$B$4:$B$103)*0.1*$A$2</f>
        <v>454.90488010000001</v>
      </c>
      <c r="C157" s="68">
        <f t="shared" si="19"/>
        <v>58906.853578100068</v>
      </c>
      <c r="D157" s="67">
        <f t="array" ref="D157">SUM($B$7:$B152*$F$1009*EXP(-$F$1009*($A157-$A$7:$A152)))*$F$1010</f>
        <v>4590181.8019470405</v>
      </c>
      <c r="E157" s="67">
        <f t="shared" si="17"/>
        <v>8.7507763838830943</v>
      </c>
      <c r="F157" s="70">
        <f t="shared" si="21"/>
        <v>0.53134714202938149</v>
      </c>
      <c r="G157" s="67">
        <f>E157/'Lookup Tables'!$C$48</f>
        <v>17.501552767766189</v>
      </c>
      <c r="H157" s="70">
        <f t="shared" si="18"/>
        <v>7.8079336919106568E-2</v>
      </c>
      <c r="I157" s="71">
        <f t="shared" si="22"/>
        <v>2.5202235985583309E-2</v>
      </c>
      <c r="L157" s="74"/>
      <c r="M157" s="74"/>
      <c r="N157" s="74"/>
      <c r="O157" s="74"/>
      <c r="P157" s="74"/>
      <c r="Q157" s="74"/>
      <c r="R157" s="74"/>
      <c r="S157" s="74"/>
      <c r="T157" s="74"/>
      <c r="U157" s="74"/>
      <c r="V157" s="74"/>
      <c r="W157" s="74"/>
      <c r="X157" s="74"/>
      <c r="Y157" s="74"/>
      <c r="Z157" s="74"/>
    </row>
    <row r="158" spans="1:26" x14ac:dyDescent="0.3">
      <c r="A158" s="66">
        <f t="shared" si="20"/>
        <v>2005.0999999999863</v>
      </c>
      <c r="B158" s="67">
        <f>LOOKUP(A158+0.01,Amounts!$A$4:$A$103,Amounts!$B$4:$B$103)*0.1*$A$2</f>
        <v>454.90488010000001</v>
      </c>
      <c r="C158" s="68">
        <f t="shared" si="19"/>
        <v>59361.758458200071</v>
      </c>
      <c r="D158" s="67">
        <f t="array" ref="D158">SUM($B$7:$B153*$F$1009*EXP(-$F$1009*($A158-$A$7:$A153)))*$F$1010</f>
        <v>4623479.5441470239</v>
      </c>
      <c r="E158" s="67">
        <f t="shared" si="17"/>
        <v>8.8142555898606538</v>
      </c>
      <c r="F158" s="70">
        <f t="shared" si="21"/>
        <v>0.53520159941633882</v>
      </c>
      <c r="G158" s="67">
        <f>E158/'Lookup Tables'!$C$48</f>
        <v>17.628511179721308</v>
      </c>
      <c r="H158" s="70">
        <f t="shared" si="18"/>
        <v>7.8043050919607684E-2</v>
      </c>
      <c r="I158" s="71">
        <f t="shared" si="22"/>
        <v>2.5385056098798684E-2</v>
      </c>
      <c r="L158" s="74"/>
      <c r="M158" s="74"/>
      <c r="N158" s="74"/>
      <c r="O158" s="74"/>
      <c r="P158" s="74"/>
      <c r="Q158" s="74"/>
      <c r="R158" s="74"/>
      <c r="S158" s="74"/>
      <c r="T158" s="74"/>
      <c r="U158" s="74"/>
      <c r="V158" s="74"/>
      <c r="W158" s="74"/>
      <c r="X158" s="74"/>
      <c r="Y158" s="74"/>
      <c r="Z158" s="74"/>
    </row>
    <row r="159" spans="1:26" x14ac:dyDescent="0.3">
      <c r="A159" s="66">
        <f t="shared" si="20"/>
        <v>2005.1999999999862</v>
      </c>
      <c r="B159" s="67">
        <f>LOOKUP(A159+0.01,Amounts!$A$4:$A$103,Amounts!$B$4:$B$103)*0.1*$A$2</f>
        <v>454.90488010000001</v>
      </c>
      <c r="C159" s="68">
        <f t="shared" si="19"/>
        <v>59816.663338300074</v>
      </c>
      <c r="D159" s="67">
        <f t="array" ref="D159">SUM($B$7:$B154*$F$1009*EXP(-$F$1009*($A159-$A$7:$A154)))*$F$1010</f>
        <v>4656730.7021244895</v>
      </c>
      <c r="E159" s="67">
        <f t="shared" si="17"/>
        <v>8.8776459871304407</v>
      </c>
      <c r="F159" s="70">
        <f t="shared" si="21"/>
        <v>0.5390506643385603</v>
      </c>
      <c r="G159" s="67">
        <f>E159/'Lookup Tables'!$C$48</f>
        <v>17.755291974260881</v>
      </c>
      <c r="H159" s="70">
        <f t="shared" si="18"/>
        <v>7.8006536480414196E-2</v>
      </c>
      <c r="I159" s="71">
        <f t="shared" si="22"/>
        <v>2.5567620442935667E-2</v>
      </c>
      <c r="L159" s="74"/>
      <c r="M159" s="74"/>
      <c r="N159" s="74"/>
      <c r="O159" s="74"/>
      <c r="P159" s="74"/>
      <c r="Q159" s="74"/>
      <c r="R159" s="74"/>
      <c r="S159" s="74"/>
      <c r="T159" s="74"/>
      <c r="U159" s="74"/>
      <c r="V159" s="74"/>
      <c r="W159" s="74"/>
      <c r="X159" s="74"/>
      <c r="Y159" s="74"/>
      <c r="Z159" s="74"/>
    </row>
    <row r="160" spans="1:26" x14ac:dyDescent="0.3">
      <c r="A160" s="66">
        <f t="shared" si="20"/>
        <v>2005.2999999999861</v>
      </c>
      <c r="B160" s="67">
        <f>LOOKUP(A160+0.01,Amounts!$A$4:$A$103,Amounts!$B$4:$B$103)*0.1*$A$2</f>
        <v>454.90488010000001</v>
      </c>
      <c r="C160" s="68">
        <f t="shared" si="19"/>
        <v>60271.568218400076</v>
      </c>
      <c r="D160" s="67">
        <f t="array" ref="D160">SUM($B$7:$B155*$F$1009*EXP(-$F$1009*($A160-$A$7:$A155)))*$F$1010</f>
        <v>4689935.3410517219</v>
      </c>
      <c r="E160" s="67">
        <f t="shared" si="17"/>
        <v>8.9409476999376647</v>
      </c>
      <c r="F160" s="70">
        <f t="shared" si="21"/>
        <v>0.54289434434021511</v>
      </c>
      <c r="G160" s="67">
        <f>E160/'Lookup Tables'!$C$48</f>
        <v>17.881895399875329</v>
      </c>
      <c r="H160" s="70">
        <f t="shared" si="18"/>
        <v>7.7969799857515343E-2</v>
      </c>
      <c r="I160" s="71">
        <f t="shared" si="22"/>
        <v>2.5749929375820477E-2</v>
      </c>
      <c r="L160" s="74"/>
      <c r="M160" s="74"/>
      <c r="N160" s="74"/>
      <c r="O160" s="74"/>
      <c r="P160" s="74"/>
      <c r="Q160" s="74"/>
      <c r="R160" s="74"/>
      <c r="S160" s="74"/>
      <c r="T160" s="74"/>
      <c r="U160" s="74"/>
      <c r="V160" s="74"/>
      <c r="W160" s="74"/>
      <c r="X160" s="74"/>
      <c r="Y160" s="74"/>
      <c r="Z160" s="74"/>
    </row>
    <row r="161" spans="1:26" x14ac:dyDescent="0.3">
      <c r="A161" s="66">
        <f t="shared" si="20"/>
        <v>2005.399999999986</v>
      </c>
      <c r="B161" s="67">
        <f>LOOKUP(A161+0.01,Amounts!$A$4:$A$103,Amounts!$B$4:$B$103)*0.1*$A$2</f>
        <v>454.90488010000001</v>
      </c>
      <c r="C161" s="68">
        <f t="shared" si="19"/>
        <v>60726.473098500079</v>
      </c>
      <c r="D161" s="67">
        <f t="array" ref="D161">SUM($B$7:$B156*$F$1009*EXP(-$F$1009*($A161-$A$7:$A156)))*$F$1010</f>
        <v>4723093.5260098204</v>
      </c>
      <c r="E161" s="67">
        <f t="shared" si="17"/>
        <v>9.0041608523536922</v>
      </c>
      <c r="F161" s="70">
        <f t="shared" si="21"/>
        <v>0.54673264695491619</v>
      </c>
      <c r="G161" s="67">
        <f>E161/'Lookup Tables'!$C$48</f>
        <v>18.008321704707384</v>
      </c>
      <c r="H161" s="70">
        <f t="shared" si="18"/>
        <v>7.7932847117939963E-2</v>
      </c>
      <c r="I161" s="71">
        <f t="shared" si="22"/>
        <v>2.5931983254778634E-2</v>
      </c>
      <c r="L161" s="74"/>
      <c r="M161" s="74"/>
      <c r="N161" s="74"/>
      <c r="O161" s="74"/>
      <c r="P161" s="74"/>
      <c r="Q161" s="74"/>
      <c r="R161" s="74"/>
      <c r="S161" s="74"/>
      <c r="T161" s="74"/>
      <c r="U161" s="74"/>
      <c r="V161" s="74"/>
      <c r="W161" s="74"/>
      <c r="X161" s="74"/>
      <c r="Y161" s="74"/>
      <c r="Z161" s="74"/>
    </row>
    <row r="162" spans="1:26" x14ac:dyDescent="0.3">
      <c r="A162" s="66">
        <f t="shared" si="20"/>
        <v>2005.4999999999859</v>
      </c>
      <c r="B162" s="67">
        <f>LOOKUP(A162+0.01,Amounts!$A$4:$A$103,Amounts!$B$4:$B$103)*0.1*$A$2</f>
        <v>454.90488010000001</v>
      </c>
      <c r="C162" s="68">
        <f t="shared" si="19"/>
        <v>61181.377978600081</v>
      </c>
      <c r="D162" s="67">
        <f t="array" ref="D162">SUM($B$7:$B157*$F$1009*EXP(-$F$1009*($A162-$A$7:$A157)))*$F$1010</f>
        <v>4757000.1223565862</v>
      </c>
      <c r="E162" s="67">
        <f t="shared" si="17"/>
        <v>9.0688007850124102</v>
      </c>
      <c r="F162" s="70">
        <f t="shared" si="21"/>
        <v>0.55065758366595363</v>
      </c>
      <c r="G162" s="67">
        <f>E162/'Lookup Tables'!$C$48</f>
        <v>18.13760157002482</v>
      </c>
      <c r="H162" s="70">
        <f t="shared" si="18"/>
        <v>7.7908701145465595E-2</v>
      </c>
      <c r="I162" s="71">
        <f t="shared" si="22"/>
        <v>2.6118146260835744E-2</v>
      </c>
      <c r="L162" s="74"/>
      <c r="M162" s="74"/>
      <c r="N162" s="74"/>
      <c r="O162" s="74"/>
      <c r="P162" s="74"/>
      <c r="Q162" s="74"/>
      <c r="R162" s="74"/>
      <c r="S162" s="74"/>
      <c r="T162" s="74"/>
      <c r="U162" s="74"/>
      <c r="V162" s="74"/>
      <c r="W162" s="74"/>
      <c r="X162" s="74"/>
      <c r="Y162" s="74"/>
      <c r="Z162" s="74"/>
    </row>
    <row r="163" spans="1:26" x14ac:dyDescent="0.3">
      <c r="A163" s="66">
        <f t="shared" si="20"/>
        <v>2005.5999999999858</v>
      </c>
      <c r="B163" s="67">
        <f>LOOKUP(A163+0.01,Amounts!$A$4:$A$103,Amounts!$B$4:$B$103)*0.1*$A$2</f>
        <v>454.90488010000001</v>
      </c>
      <c r="C163" s="68">
        <f t="shared" si="19"/>
        <v>61636.282858700084</v>
      </c>
      <c r="D163" s="67">
        <f t="array" ref="D163">SUM($B$7:$B158*$F$1009*EXP(-$F$1009*($A163-$A$7:$A158)))*$F$1010</f>
        <v>4790859.2826814307</v>
      </c>
      <c r="E163" s="67">
        <f t="shared" si="17"/>
        <v>9.133350285082992</v>
      </c>
      <c r="F163" s="70">
        <f t="shared" si="21"/>
        <v>0.55457702931023922</v>
      </c>
      <c r="G163" s="67">
        <f>E163/'Lookup Tables'!$C$48</f>
        <v>18.266700570165984</v>
      </c>
      <c r="H163" s="70">
        <f t="shared" si="18"/>
        <v>7.7884140431450796E-2</v>
      </c>
      <c r="I163" s="71">
        <f t="shared" si="22"/>
        <v>2.6304048821039018E-2</v>
      </c>
      <c r="L163" s="74"/>
      <c r="M163" s="74"/>
      <c r="N163" s="74"/>
      <c r="O163" s="74"/>
      <c r="P163" s="74"/>
      <c r="Q163" s="74"/>
      <c r="R163" s="74"/>
      <c r="S163" s="74"/>
      <c r="T163" s="74"/>
      <c r="U163" s="74"/>
      <c r="V163" s="74"/>
      <c r="W163" s="74"/>
      <c r="X163" s="74"/>
      <c r="Y163" s="74"/>
      <c r="Z163" s="74"/>
    </row>
    <row r="164" spans="1:26" x14ac:dyDescent="0.3">
      <c r="A164" s="66">
        <f t="shared" si="20"/>
        <v>2005.6999999999857</v>
      </c>
      <c r="B164" s="67">
        <f>LOOKUP(A164+0.01,Amounts!$A$4:$A$103,Amounts!$B$4:$B$103)*0.1*$A$2</f>
        <v>454.90488010000001</v>
      </c>
      <c r="C164" s="68">
        <f t="shared" si="19"/>
        <v>62091.187738800087</v>
      </c>
      <c r="D164" s="67">
        <f t="array" ref="D164">SUM($B$7:$B159*$F$1009*EXP(-$F$1009*($A164-$A$7:$A159)))*$F$1010</f>
        <v>4824671.0733483173</v>
      </c>
      <c r="E164" s="67">
        <f t="shared" si="17"/>
        <v>9.1978094790824727</v>
      </c>
      <c r="F164" s="70">
        <f t="shared" si="21"/>
        <v>0.55849099156988768</v>
      </c>
      <c r="G164" s="67">
        <f>E164/'Lookup Tables'!$C$48</f>
        <v>18.395618958164945</v>
      </c>
      <c r="H164" s="70">
        <f t="shared" si="18"/>
        <v>7.785917516254573E-2</v>
      </c>
      <c r="I164" s="71">
        <f t="shared" si="22"/>
        <v>2.648969129975752E-2</v>
      </c>
      <c r="L164" s="74"/>
      <c r="M164" s="74"/>
      <c r="N164" s="74"/>
      <c r="O164" s="74"/>
      <c r="P164" s="74"/>
      <c r="Q164" s="74"/>
      <c r="R164" s="74"/>
      <c r="S164" s="74"/>
      <c r="T164" s="74"/>
      <c r="U164" s="74"/>
      <c r="V164" s="74"/>
      <c r="W164" s="74"/>
      <c r="X164" s="74"/>
      <c r="Y164" s="74"/>
      <c r="Z164" s="74"/>
    </row>
    <row r="165" spans="1:26" x14ac:dyDescent="0.3">
      <c r="A165" s="66">
        <f t="shared" si="20"/>
        <v>2005.7999999999856</v>
      </c>
      <c r="B165" s="67">
        <f>LOOKUP(A165+0.01,Amounts!$A$4:$A$103,Amounts!$B$4:$B$103)*0.1*$A$2</f>
        <v>454.90488010000001</v>
      </c>
      <c r="C165" s="68">
        <f t="shared" si="19"/>
        <v>62546.092618900089</v>
      </c>
      <c r="D165" s="67">
        <f t="array" ref="D165">SUM($B$7:$B160*$F$1009*EXP(-$F$1009*($A165-$A$7:$A160)))*$F$1010</f>
        <v>4858435.5606283676</v>
      </c>
      <c r="E165" s="67">
        <f t="shared" si="17"/>
        <v>9.2621784933508966</v>
      </c>
      <c r="F165" s="70">
        <f t="shared" si="21"/>
        <v>0.56239947811626645</v>
      </c>
      <c r="G165" s="67">
        <f>E165/'Lookup Tables'!$C$48</f>
        <v>18.524356986701793</v>
      </c>
      <c r="H165" s="70">
        <f t="shared" si="18"/>
        <v>7.7833815227558528E-2</v>
      </c>
      <c r="I165" s="71">
        <f t="shared" si="22"/>
        <v>2.6675074060850585E-2</v>
      </c>
      <c r="L165" s="74"/>
      <c r="M165" s="74"/>
      <c r="N165" s="74"/>
      <c r="O165" s="74"/>
      <c r="P165" s="74"/>
      <c r="Q165" s="74"/>
      <c r="R165" s="74"/>
      <c r="S165" s="74"/>
      <c r="T165" s="74"/>
      <c r="U165" s="74"/>
      <c r="V165" s="74"/>
      <c r="W165" s="74"/>
      <c r="X165" s="74"/>
      <c r="Y165" s="74"/>
      <c r="Z165" s="74"/>
    </row>
    <row r="166" spans="1:26" x14ac:dyDescent="0.3">
      <c r="A166" s="66">
        <f t="shared" si="20"/>
        <v>2005.8999999999855</v>
      </c>
      <c r="B166" s="67">
        <f>LOOKUP(A166+0.01,Amounts!$A$4:$A$103,Amounts!$B$4:$B$103)*0.1*$A$2</f>
        <v>454.90488010000001</v>
      </c>
      <c r="C166" s="68">
        <f t="shared" si="19"/>
        <v>63000.997499000092</v>
      </c>
      <c r="D166" s="67">
        <f t="array" ref="D166">SUM($B$7:$B161*$F$1009*EXP(-$F$1009*($A166-$A$7:$A161)))*$F$1010</f>
        <v>4892152.8106999872</v>
      </c>
      <c r="E166" s="67">
        <f t="shared" si="17"/>
        <v>9.3264574540515497</v>
      </c>
      <c r="F166" s="70">
        <f t="shared" si="21"/>
        <v>0.5663024966100102</v>
      </c>
      <c r="G166" s="67">
        <f>E166/'Lookup Tables'!$C$48</f>
        <v>18.652914908103099</v>
      </c>
      <c r="H166" s="70">
        <f t="shared" si="18"/>
        <v>7.7808070228210208E-2</v>
      </c>
      <c r="I166" s="71">
        <f t="shared" si="22"/>
        <v>2.6860197467668465E-2</v>
      </c>
      <c r="L166" s="74"/>
      <c r="M166" s="74"/>
      <c r="N166" s="74"/>
      <c r="O166" s="74"/>
      <c r="P166" s="74"/>
      <c r="Q166" s="74"/>
      <c r="R166" s="74"/>
      <c r="S166" s="74"/>
      <c r="T166" s="74"/>
      <c r="U166" s="74"/>
      <c r="V166" s="74"/>
      <c r="W166" s="74"/>
      <c r="X166" s="74"/>
      <c r="Y166" s="74"/>
      <c r="Z166" s="74"/>
    </row>
    <row r="167" spans="1:26" x14ac:dyDescent="0.3">
      <c r="A167" s="66">
        <f t="shared" si="20"/>
        <v>2005.9999999999854</v>
      </c>
      <c r="B167" s="67">
        <f>LOOKUP(A167+0.01,Amounts!$A$4:$A$103,Amounts!$B$4:$B$103)*0.1*$A$2</f>
        <v>463.99885510000001</v>
      </c>
      <c r="C167" s="68">
        <f t="shared" si="19"/>
        <v>63464.996354100091</v>
      </c>
      <c r="D167" s="67">
        <f t="array" ref="D167">SUM($B$7:$B162*$F$1009*EXP(-$F$1009*($A167-$A$7:$A162)))*$F$1010</f>
        <v>4925822.8896489982</v>
      </c>
      <c r="E167" s="67">
        <f t="shared" si="17"/>
        <v>9.3906464871712192</v>
      </c>
      <c r="F167" s="70">
        <f t="shared" si="21"/>
        <v>0.57020005470103641</v>
      </c>
      <c r="G167" s="67">
        <f>E167/'Lookup Tables'!$C$48</f>
        <v>18.781292974342438</v>
      </c>
      <c r="H167" s="70">
        <f t="shared" si="18"/>
        <v>7.7770804021141726E-2</v>
      </c>
      <c r="I167" s="71">
        <f t="shared" si="22"/>
        <v>2.7045061883053112E-2</v>
      </c>
      <c r="L167" s="74"/>
      <c r="M167" s="74"/>
      <c r="N167" s="74"/>
      <c r="O167" s="74"/>
      <c r="P167" s="74"/>
      <c r="Q167" s="74"/>
      <c r="R167" s="74"/>
      <c r="S167" s="74"/>
      <c r="T167" s="74"/>
      <c r="U167" s="74"/>
      <c r="V167" s="74"/>
      <c r="W167" s="74"/>
      <c r="X167" s="74"/>
      <c r="Y167" s="74"/>
      <c r="Z167" s="74"/>
    </row>
    <row r="168" spans="1:26" x14ac:dyDescent="0.3">
      <c r="A168" s="66">
        <f t="shared" si="20"/>
        <v>2006.0999999999854</v>
      </c>
      <c r="B168" s="67">
        <f>LOOKUP(A168+0.01,Amounts!$A$4:$A$103,Amounts!$B$4:$B$103)*0.1*$A$2</f>
        <v>463.99885510000001</v>
      </c>
      <c r="C168" s="68">
        <f t="shared" si="19"/>
        <v>63928.995209200089</v>
      </c>
      <c r="D168" s="67">
        <f t="array" ref="D168">SUM($B$7:$B163*$F$1009*EXP(-$F$1009*($A168-$A$7:$A163)))*$F$1010</f>
        <v>4959445.8634687634</v>
      </c>
      <c r="E168" s="67">
        <f t="shared" si="17"/>
        <v>9.4547457185204262</v>
      </c>
      <c r="F168" s="70">
        <f t="shared" si="21"/>
        <v>0.57409216002856034</v>
      </c>
      <c r="G168" s="67">
        <f>E168/'Lookup Tables'!$C$48</f>
        <v>18.909491437040852</v>
      </c>
      <c r="H168" s="70">
        <f t="shared" si="18"/>
        <v>7.773334045674446E-2</v>
      </c>
      <c r="I168" s="71">
        <f t="shared" si="22"/>
        <v>2.722966766933883E-2</v>
      </c>
      <c r="L168" s="74"/>
      <c r="M168" s="74"/>
      <c r="N168" s="74"/>
      <c r="O168" s="74"/>
      <c r="P168" s="74"/>
      <c r="Q168" s="74"/>
      <c r="R168" s="74"/>
      <c r="S168" s="74"/>
      <c r="T168" s="74"/>
      <c r="U168" s="74"/>
      <c r="V168" s="74"/>
      <c r="W168" s="74"/>
      <c r="X168" s="74"/>
      <c r="Y168" s="74"/>
      <c r="Z168" s="74"/>
    </row>
    <row r="169" spans="1:26" x14ac:dyDescent="0.3">
      <c r="A169" s="66">
        <f t="shared" si="20"/>
        <v>2006.1999999999853</v>
      </c>
      <c r="B169" s="67">
        <f>LOOKUP(A169+0.01,Amounts!$A$4:$A$103,Amounts!$B$4:$B$103)*0.1*$A$2</f>
        <v>463.99885510000001</v>
      </c>
      <c r="C169" s="68">
        <f t="shared" si="19"/>
        <v>64392.994064300088</v>
      </c>
      <c r="D169" s="67">
        <f t="array" ref="D169">SUM($B$7:$B164*$F$1009*EXP(-$F$1009*($A169-$A$7:$A164)))*$F$1010</f>
        <v>4993021.798060325</v>
      </c>
      <c r="E169" s="67">
        <f t="shared" si="17"/>
        <v>9.5187552737336887</v>
      </c>
      <c r="F169" s="70">
        <f t="shared" si="21"/>
        <v>0.57797882022110958</v>
      </c>
      <c r="G169" s="67">
        <f>E169/'Lookup Tables'!$C$48</f>
        <v>19.037510547467377</v>
      </c>
      <c r="H169" s="70">
        <f t="shared" si="18"/>
        <v>7.7695684826808761E-2</v>
      </c>
      <c r="I169" s="71">
        <f t="shared" si="22"/>
        <v>2.7414015188353024E-2</v>
      </c>
      <c r="L169" s="74"/>
      <c r="M169" s="74"/>
      <c r="N169" s="74"/>
      <c r="O169" s="74"/>
      <c r="P169" s="74"/>
      <c r="Q169" s="74"/>
      <c r="R169" s="74"/>
      <c r="S169" s="74"/>
      <c r="T169" s="74"/>
      <c r="U169" s="74"/>
      <c r="V169" s="74"/>
      <c r="W169" s="74"/>
      <c r="X169" s="74"/>
      <c r="Y169" s="74"/>
      <c r="Z169" s="74"/>
    </row>
    <row r="170" spans="1:26" x14ac:dyDescent="0.3">
      <c r="A170" s="66">
        <f t="shared" si="20"/>
        <v>2006.2999999999852</v>
      </c>
      <c r="B170" s="67">
        <f>LOOKUP(A170+0.01,Amounts!$A$4:$A$103,Amounts!$B$4:$B$103)*0.1*$A$2</f>
        <v>463.99885510000001</v>
      </c>
      <c r="C170" s="68">
        <f t="shared" si="19"/>
        <v>64856.992919400087</v>
      </c>
      <c r="D170" s="67">
        <f t="array" ref="D170">SUM($B$7:$B165*$F$1009*EXP(-$F$1009*($A170-$A$7:$A165)))*$F$1010</f>
        <v>5026550.7592325229</v>
      </c>
      <c r="E170" s="67">
        <f t="shared" si="17"/>
        <v>9.5826752782697504</v>
      </c>
      <c r="F170" s="70">
        <f t="shared" si="21"/>
        <v>0.58186004289653925</v>
      </c>
      <c r="G170" s="67">
        <f>E170/'Lookup Tables'!$C$48</f>
        <v>19.165350556539501</v>
      </c>
      <c r="H170" s="70">
        <f t="shared" si="18"/>
        <v>7.7657842270266758E-2</v>
      </c>
      <c r="I170" s="71">
        <f t="shared" si="22"/>
        <v>2.7598104801416876E-2</v>
      </c>
      <c r="L170" s="74"/>
      <c r="M170" s="74"/>
      <c r="N170" s="74"/>
      <c r="O170" s="74"/>
      <c r="P170" s="74"/>
      <c r="Q170" s="74"/>
      <c r="R170" s="74"/>
      <c r="S170" s="74"/>
      <c r="T170" s="74"/>
      <c r="U170" s="74"/>
      <c r="V170" s="74"/>
      <c r="W170" s="74"/>
      <c r="X170" s="74"/>
      <c r="Y170" s="74"/>
      <c r="Z170" s="74"/>
    </row>
    <row r="171" spans="1:26" x14ac:dyDescent="0.3">
      <c r="A171" s="66">
        <f t="shared" si="20"/>
        <v>2006.3999999999851</v>
      </c>
      <c r="B171" s="67">
        <f>LOOKUP(A171+0.01,Amounts!$A$4:$A$103,Amounts!$B$4:$B$103)*0.1*$A$2</f>
        <v>463.99885510000001</v>
      </c>
      <c r="C171" s="68">
        <f t="shared" si="19"/>
        <v>65320.991774500086</v>
      </c>
      <c r="D171" s="67">
        <f t="array" ref="D171">SUM($B$7:$B166*$F$1009*EXP(-$F$1009*($A171-$A$7:$A166)))*$F$1010</f>
        <v>5060032.8127021315</v>
      </c>
      <c r="E171" s="67">
        <f t="shared" si="17"/>
        <v>9.6465058574118405</v>
      </c>
      <c r="F171" s="70">
        <f t="shared" si="21"/>
        <v>0.5857358356620469</v>
      </c>
      <c r="G171" s="67">
        <f>E171/'Lookup Tables'!$C$48</f>
        <v>19.293011714823681</v>
      </c>
      <c r="H171" s="70">
        <f t="shared" si="18"/>
        <v>7.7619817778623534E-2</v>
      </c>
      <c r="I171" s="71">
        <f t="shared" si="22"/>
        <v>2.7781936869346099E-2</v>
      </c>
      <c r="L171" s="74"/>
      <c r="M171" s="74"/>
      <c r="N171" s="74"/>
      <c r="O171" s="74"/>
      <c r="P171" s="74"/>
      <c r="Q171" s="74"/>
      <c r="R171" s="74"/>
      <c r="S171" s="74"/>
      <c r="T171" s="74"/>
      <c r="U171" s="74"/>
      <c r="V171" s="74"/>
      <c r="W171" s="74"/>
      <c r="X171" s="74"/>
      <c r="Y171" s="74"/>
      <c r="Z171" s="74"/>
    </row>
    <row r="172" spans="1:26" x14ac:dyDescent="0.3">
      <c r="A172" s="66">
        <f t="shared" si="20"/>
        <v>2006.499999999985</v>
      </c>
      <c r="B172" s="67">
        <f>LOOKUP(A172+0.01,Amounts!$A$4:$A$103,Amounts!$B$4:$B$103)*0.1*$A$2</f>
        <v>463.99885510000001</v>
      </c>
      <c r="C172" s="68">
        <f t="shared" si="19"/>
        <v>65784.990629600085</v>
      </c>
      <c r="D172" s="67">
        <f t="array" ref="D172">SUM($B$7:$B167*$F$1009*EXP(-$F$1009*($A172-$A$7:$A167)))*$F$1010</f>
        <v>5094277.9429469937</v>
      </c>
      <c r="E172" s="67">
        <f t="shared" si="17"/>
        <v>9.7117911750614869</v>
      </c>
      <c r="F172" s="70">
        <f t="shared" si="21"/>
        <v>0.58969996014973347</v>
      </c>
      <c r="G172" s="67">
        <f>E172/'Lookup Tables'!$C$48</f>
        <v>19.423582350122974</v>
      </c>
      <c r="H172" s="70">
        <f t="shared" si="18"/>
        <v>7.7593952552993589E-2</v>
      </c>
      <c r="I172" s="71">
        <f t="shared" si="22"/>
        <v>2.7969958584177081E-2</v>
      </c>
      <c r="L172" s="74"/>
      <c r="M172" s="74"/>
      <c r="N172" s="74"/>
      <c r="O172" s="74"/>
      <c r="P172" s="74"/>
      <c r="Q172" s="74"/>
      <c r="R172" s="74"/>
      <c r="S172" s="74"/>
      <c r="T172" s="74"/>
      <c r="U172" s="74"/>
      <c r="V172" s="74"/>
      <c r="W172" s="74"/>
      <c r="X172" s="74"/>
      <c r="Y172" s="74"/>
      <c r="Z172" s="74"/>
    </row>
    <row r="173" spans="1:26" x14ac:dyDescent="0.3">
      <c r="A173" s="66">
        <f t="shared" si="20"/>
        <v>2006.5999999999849</v>
      </c>
      <c r="B173" s="67">
        <f>LOOKUP(A173+0.01,Amounts!$A$4:$A$103,Amounts!$B$4:$B$103)*0.1*$A$2</f>
        <v>463.99885510000001</v>
      </c>
      <c r="C173" s="68">
        <f t="shared" si="19"/>
        <v>66248.989484700083</v>
      </c>
      <c r="D173" s="67">
        <f t="array" ref="D173">SUM($B$7:$B168*$F$1009*EXP(-$F$1009*($A173-$A$7:$A168)))*$F$1010</f>
        <v>5128475.1635540854</v>
      </c>
      <c r="E173" s="67">
        <f t="shared" si="17"/>
        <v>9.7769851572161883</v>
      </c>
      <c r="F173" s="70">
        <f t="shared" si="21"/>
        <v>0.59365853874616692</v>
      </c>
      <c r="G173" s="67">
        <f>E173/'Lookup Tables'!$C$48</f>
        <v>19.553970314432377</v>
      </c>
      <c r="H173" s="70">
        <f t="shared" si="18"/>
        <v>7.7567725011407268E-2</v>
      </c>
      <c r="I173" s="71">
        <f t="shared" si="22"/>
        <v>2.8157717252782623E-2</v>
      </c>
      <c r="L173" s="74"/>
      <c r="M173" s="74"/>
      <c r="N173" s="74"/>
      <c r="O173" s="74"/>
      <c r="P173" s="74"/>
      <c r="Q173" s="74"/>
      <c r="R173" s="74"/>
      <c r="S173" s="74"/>
      <c r="T173" s="74"/>
      <c r="U173" s="74"/>
      <c r="V173" s="74"/>
      <c r="W173" s="74"/>
      <c r="X173" s="74"/>
      <c r="Y173" s="74"/>
      <c r="Z173" s="74"/>
    </row>
    <row r="174" spans="1:26" x14ac:dyDescent="0.3">
      <c r="A174" s="66">
        <f t="shared" si="20"/>
        <v>2006.6999999999848</v>
      </c>
      <c r="B174" s="67">
        <f>LOOKUP(A174+0.01,Amounts!$A$4:$A$103,Amounts!$B$4:$B$103)*0.1*$A$2</f>
        <v>463.99885510000001</v>
      </c>
      <c r="C174" s="68">
        <f t="shared" si="19"/>
        <v>66712.988339800082</v>
      </c>
      <c r="D174" s="67">
        <f t="array" ref="D174">SUM($B$7:$B169*$F$1009*EXP(-$F$1009*($A174-$A$7:$A169)))*$F$1010</f>
        <v>5162624.5415499667</v>
      </c>
      <c r="E174" s="67">
        <f t="shared" si="17"/>
        <v>9.8420879316561685</v>
      </c>
      <c r="F174" s="70">
        <f t="shared" si="21"/>
        <v>0.5976115792101625</v>
      </c>
      <c r="G174" s="67">
        <f>E174/'Lookup Tables'!$C$48</f>
        <v>19.684175863312337</v>
      </c>
      <c r="H174" s="70">
        <f t="shared" si="18"/>
        <v>7.7541143720470065E-2</v>
      </c>
      <c r="I174" s="71">
        <f t="shared" si="22"/>
        <v>2.834521324316976E-2</v>
      </c>
      <c r="L174" s="74"/>
      <c r="M174" s="74"/>
      <c r="N174" s="74"/>
      <c r="O174" s="74"/>
      <c r="P174" s="74"/>
      <c r="Q174" s="74"/>
      <c r="R174" s="74"/>
      <c r="S174" s="74"/>
      <c r="T174" s="74"/>
      <c r="U174" s="74"/>
      <c r="V174" s="74"/>
      <c r="W174" s="74"/>
      <c r="X174" s="74"/>
      <c r="Y174" s="74"/>
      <c r="Z174" s="74"/>
    </row>
    <row r="175" spans="1:26" x14ac:dyDescent="0.3">
      <c r="A175" s="66">
        <f t="shared" si="20"/>
        <v>2006.7999999999847</v>
      </c>
      <c r="B175" s="67">
        <f>LOOKUP(A175+0.01,Amounts!$A$4:$A$103,Amounts!$B$4:$B$103)*0.1*$A$2</f>
        <v>463.99885510000001</v>
      </c>
      <c r="C175" s="68">
        <f t="shared" si="19"/>
        <v>67176.987194900081</v>
      </c>
      <c r="D175" s="67">
        <f t="array" ref="D175">SUM($B$7:$B170*$F$1009*EXP(-$F$1009*($A175-$A$7:$A170)))*$F$1010</f>
        <v>5196726.143867434</v>
      </c>
      <c r="E175" s="67">
        <f t="shared" si="17"/>
        <v>9.907099625982891</v>
      </c>
      <c r="F175" s="70">
        <f t="shared" si="21"/>
        <v>0.60155908928968116</v>
      </c>
      <c r="G175" s="67">
        <f>E175/'Lookup Tables'!$C$48</f>
        <v>19.814199251965782</v>
      </c>
      <c r="H175" s="70">
        <f t="shared" si="18"/>
        <v>7.7514217008706879E-2</v>
      </c>
      <c r="I175" s="71">
        <f t="shared" si="22"/>
        <v>2.8532446922830728E-2</v>
      </c>
      <c r="L175" s="74"/>
      <c r="M175" s="74"/>
      <c r="N175" s="74"/>
      <c r="O175" s="74"/>
      <c r="P175" s="74"/>
      <c r="Q175" s="74"/>
      <c r="R175" s="74"/>
      <c r="S175" s="74"/>
      <c r="T175" s="74"/>
      <c r="U175" s="74"/>
      <c r="V175" s="74"/>
      <c r="W175" s="74"/>
      <c r="X175" s="74"/>
      <c r="Y175" s="74"/>
      <c r="Z175" s="74"/>
    </row>
    <row r="176" spans="1:26" x14ac:dyDescent="0.3">
      <c r="A176" s="66">
        <f t="shared" si="20"/>
        <v>2006.8999999999846</v>
      </c>
      <c r="B176" s="67">
        <f>LOOKUP(A176+0.01,Amounts!$A$4:$A$103,Amounts!$B$4:$B$103)*0.1*$A$2</f>
        <v>463.99885510000001</v>
      </c>
      <c r="C176" s="68">
        <f t="shared" si="19"/>
        <v>67640.98605000008</v>
      </c>
      <c r="D176" s="67">
        <f t="array" ref="D176">SUM($B$7:$B171*$F$1009*EXP(-$F$1009*($A176-$A$7:$A171)))*$F$1010</f>
        <v>5230780.0373456366</v>
      </c>
      <c r="E176" s="67">
        <f t="shared" si="17"/>
        <v>9.9720203676192956</v>
      </c>
      <c r="F176" s="70">
        <f t="shared" si="21"/>
        <v>0.60550107672184361</v>
      </c>
      <c r="G176" s="67">
        <f>E176/'Lookup Tables'!$C$48</f>
        <v>19.944040735238591</v>
      </c>
      <c r="H176" s="70">
        <f t="shared" si="18"/>
        <v>7.7486952974729656E-2</v>
      </c>
      <c r="I176" s="71">
        <f t="shared" si="22"/>
        <v>2.871941865874357E-2</v>
      </c>
      <c r="L176" s="74"/>
      <c r="M176" s="74"/>
      <c r="N176" s="74"/>
      <c r="O176" s="74"/>
      <c r="P176" s="74"/>
      <c r="Q176" s="74"/>
      <c r="R176" s="74"/>
      <c r="S176" s="74"/>
      <c r="T176" s="74"/>
      <c r="U176" s="74"/>
      <c r="V176" s="74"/>
      <c r="W176" s="74"/>
      <c r="X176" s="74"/>
      <c r="Y176" s="74"/>
      <c r="Z176" s="74"/>
    </row>
    <row r="177" spans="1:26" x14ac:dyDescent="0.3">
      <c r="A177" s="66">
        <f t="shared" si="20"/>
        <v>2006.9999999999845</v>
      </c>
      <c r="B177" s="67">
        <f>LOOKUP(A177+0.01,Amounts!$A$4:$A$103,Amounts!$B$4:$B$103)*0.1*$A$2</f>
        <v>473.27470960000005</v>
      </c>
      <c r="C177" s="68">
        <f t="shared" si="19"/>
        <v>68114.260759600074</v>
      </c>
      <c r="D177" s="67">
        <f t="array" ref="D177">SUM($B$7:$B172*$F$1009*EXP(-$F$1009*($A177-$A$7:$A172)))*$F$1010</f>
        <v>5264786.2887302162</v>
      </c>
      <c r="E177" s="67">
        <f t="shared" si="17"/>
        <v>10.036850283810054</v>
      </c>
      <c r="F177" s="70">
        <f t="shared" si="21"/>
        <v>0.60943754923294646</v>
      </c>
      <c r="G177" s="67">
        <f>E177/'Lookup Tables'!$C$48</f>
        <v>20.073700567620108</v>
      </c>
      <c r="H177" s="70">
        <f t="shared" si="18"/>
        <v>7.7448811017552591E-2</v>
      </c>
      <c r="I177" s="71">
        <f t="shared" si="22"/>
        <v>2.8906128817372954E-2</v>
      </c>
      <c r="L177" s="74"/>
      <c r="M177" s="74"/>
      <c r="N177" s="74"/>
      <c r="O177" s="74"/>
      <c r="P177" s="74"/>
      <c r="Q177" s="74"/>
      <c r="R177" s="74"/>
      <c r="S177" s="74"/>
      <c r="T177" s="74"/>
      <c r="U177" s="74"/>
      <c r="V177" s="74"/>
      <c r="W177" s="74"/>
      <c r="X177" s="74"/>
      <c r="Y177" s="74"/>
      <c r="Z177" s="74"/>
    </row>
    <row r="178" spans="1:26" x14ac:dyDescent="0.3">
      <c r="A178" s="66">
        <f t="shared" si="20"/>
        <v>2007.0999999999844</v>
      </c>
      <c r="B178" s="67">
        <f>LOOKUP(A178+0.01,Amounts!$A$4:$A$103,Amounts!$B$4:$B$103)*0.1*$A$2</f>
        <v>473.27470960000005</v>
      </c>
      <c r="C178" s="68">
        <f t="shared" si="19"/>
        <v>68587.535469200069</v>
      </c>
      <c r="D178" s="67">
        <f t="array" ref="D178">SUM($B$7:$B173*$F$1009*EXP(-$F$1009*($A178-$A$7:$A173)))*$F$1010</f>
        <v>5298744.9646734372</v>
      </c>
      <c r="E178" s="67">
        <f t="shared" si="17"/>
        <v>10.101589501621826</v>
      </c>
      <c r="F178" s="70">
        <f t="shared" si="21"/>
        <v>0.61336851453847729</v>
      </c>
      <c r="G178" s="67">
        <f>E178/'Lookup Tables'!$C$48</f>
        <v>20.203179003243651</v>
      </c>
      <c r="H178" s="70">
        <f t="shared" si="18"/>
        <v>7.7410500402608412E-2</v>
      </c>
      <c r="I178" s="71">
        <f t="shared" si="22"/>
        <v>2.9092577764670859E-2</v>
      </c>
      <c r="L178" s="74"/>
      <c r="M178" s="74"/>
      <c r="N178" s="74"/>
      <c r="O178" s="74"/>
      <c r="P178" s="74"/>
      <c r="Q178" s="74"/>
      <c r="R178" s="74"/>
      <c r="S178" s="74"/>
      <c r="T178" s="74"/>
      <c r="U178" s="74"/>
      <c r="V178" s="74"/>
      <c r="W178" s="74"/>
      <c r="X178" s="74"/>
      <c r="Y178" s="74"/>
      <c r="Z178" s="74"/>
    </row>
    <row r="179" spans="1:26" x14ac:dyDescent="0.3">
      <c r="A179" s="66">
        <f t="shared" si="20"/>
        <v>2007.1999999999844</v>
      </c>
      <c r="B179" s="67">
        <f>LOOKUP(A179+0.01,Amounts!$A$4:$A$103,Amounts!$B$4:$B$103)*0.1*$A$2</f>
        <v>473.27470960000005</v>
      </c>
      <c r="C179" s="68">
        <f t="shared" si="19"/>
        <v>69060.810178800064</v>
      </c>
      <c r="D179" s="67">
        <f t="array" ref="D179">SUM($B$7:$B174*$F$1009*EXP(-$F$1009*($A179-$A$7:$A174)))*$F$1010</f>
        <v>5332656.1317343153</v>
      </c>
      <c r="E179" s="67">
        <f t="shared" si="17"/>
        <v>10.166238147943497</v>
      </c>
      <c r="F179" s="70">
        <f t="shared" si="21"/>
        <v>0.6172939803431291</v>
      </c>
      <c r="G179" s="67">
        <f>E179/'Lookup Tables'!$C$48</f>
        <v>20.332476295886995</v>
      </c>
      <c r="H179" s="70">
        <f t="shared" si="18"/>
        <v>7.7372025563050589E-2</v>
      </c>
      <c r="I179" s="71">
        <f t="shared" si="22"/>
        <v>2.9278765866077271E-2</v>
      </c>
      <c r="L179" s="74"/>
      <c r="M179" s="74"/>
      <c r="N179" s="74"/>
      <c r="O179" s="74"/>
      <c r="P179" s="74"/>
      <c r="Q179" s="74"/>
      <c r="R179" s="74"/>
      <c r="S179" s="74"/>
      <c r="T179" s="74"/>
      <c r="U179" s="74"/>
      <c r="V179" s="74"/>
      <c r="W179" s="74"/>
      <c r="X179" s="74"/>
      <c r="Y179" s="74"/>
      <c r="Z179" s="74"/>
    </row>
    <row r="180" spans="1:26" x14ac:dyDescent="0.3">
      <c r="A180" s="66">
        <f t="shared" si="20"/>
        <v>2007.2999999999843</v>
      </c>
      <c r="B180" s="67">
        <f>LOOKUP(A180+0.01,Amounts!$A$4:$A$103,Amounts!$B$4:$B$103)*0.1*$A$2</f>
        <v>473.27470960000005</v>
      </c>
      <c r="C180" s="68">
        <f t="shared" si="19"/>
        <v>69534.084888400059</v>
      </c>
      <c r="D180" s="67">
        <f t="array" ref="D180">SUM($B$7:$B175*$F$1009*EXP(-$F$1009*($A180-$A$7:$A175)))*$F$1010</f>
        <v>5366519.856378749</v>
      </c>
      <c r="E180" s="67">
        <f t="shared" si="17"/>
        <v>10.230796349486436</v>
      </c>
      <c r="F180" s="70">
        <f t="shared" si="21"/>
        <v>0.62121395434081639</v>
      </c>
      <c r="G180" s="67">
        <f>E180/'Lookup Tables'!$C$48</f>
        <v>20.461592698972872</v>
      </c>
      <c r="H180" s="70">
        <f t="shared" si="18"/>
        <v>7.7333390809995878E-2</v>
      </c>
      <c r="I180" s="71">
        <f t="shared" si="22"/>
        <v>2.9464693486520935E-2</v>
      </c>
      <c r="L180" s="74"/>
      <c r="M180" s="74"/>
      <c r="N180" s="74"/>
      <c r="O180" s="74"/>
      <c r="P180" s="74"/>
      <c r="Q180" s="74"/>
      <c r="R180" s="74"/>
      <c r="S180" s="74"/>
      <c r="T180" s="74"/>
      <c r="U180" s="74"/>
      <c r="V180" s="74"/>
      <c r="W180" s="74"/>
      <c r="X180" s="74"/>
      <c r="Y180" s="74"/>
      <c r="Z180" s="74"/>
    </row>
    <row r="181" spans="1:26" x14ac:dyDescent="0.3">
      <c r="A181" s="66">
        <f t="shared" si="20"/>
        <v>2007.3999999999842</v>
      </c>
      <c r="B181" s="67">
        <f>LOOKUP(A181+0.01,Amounts!$A$4:$A$103,Amounts!$B$4:$B$103)*0.1*$A$2</f>
        <v>473.27470960000005</v>
      </c>
      <c r="C181" s="68">
        <f t="shared" si="19"/>
        <v>70007.359598000054</v>
      </c>
      <c r="D181" s="67">
        <f t="array" ref="D181">SUM($B$7:$B176*$F$1009*EXP(-$F$1009*($A181-$A$7:$A176)))*$F$1010</f>
        <v>5400336.2049796507</v>
      </c>
      <c r="E181" s="67">
        <f t="shared" si="17"/>
        <v>10.29526423278474</v>
      </c>
      <c r="F181" s="70">
        <f t="shared" si="21"/>
        <v>0.62512844421468938</v>
      </c>
      <c r="G181" s="67">
        <f>E181/'Lookup Tables'!$C$48</f>
        <v>20.590528465569481</v>
      </c>
      <c r="H181" s="70">
        <f t="shared" si="18"/>
        <v>7.7294600336651531E-2</v>
      </c>
      <c r="I181" s="71">
        <f t="shared" si="22"/>
        <v>2.9650360990420049E-2</v>
      </c>
      <c r="L181" s="74"/>
      <c r="M181" s="74"/>
      <c r="N181" s="74"/>
      <c r="O181" s="74"/>
      <c r="P181" s="74"/>
      <c r="Q181" s="74"/>
      <c r="R181" s="74"/>
      <c r="S181" s="74"/>
      <c r="T181" s="74"/>
      <c r="U181" s="74"/>
      <c r="V181" s="74"/>
      <c r="W181" s="74"/>
      <c r="X181" s="74"/>
      <c r="Y181" s="74"/>
      <c r="Z181" s="74"/>
    </row>
    <row r="182" spans="1:26" x14ac:dyDescent="0.3">
      <c r="A182" s="66">
        <f t="shared" si="20"/>
        <v>2007.4999999999841</v>
      </c>
      <c r="B182" s="67">
        <f>LOOKUP(A182+0.01,Amounts!$A$4:$A$103,Amounts!$B$4:$B$103)*0.1*$A$2</f>
        <v>473.27470960000005</v>
      </c>
      <c r="C182" s="68">
        <f t="shared" si="19"/>
        <v>70480.634307600048</v>
      </c>
      <c r="D182" s="67">
        <f t="array" ref="D182">SUM($B$7:$B177*$F$1009*EXP(-$F$1009*($A182-$A$7:$A177)))*$F$1010</f>
        <v>5434931.3610471338</v>
      </c>
      <c r="E182" s="67">
        <f t="shared" si="17"/>
        <v>10.361216843764915</v>
      </c>
      <c r="F182" s="70">
        <f t="shared" si="21"/>
        <v>0.62913308675340562</v>
      </c>
      <c r="G182" s="67">
        <f>E182/'Lookup Tables'!$C$48</f>
        <v>20.722433687529829</v>
      </c>
      <c r="H182" s="70">
        <f t="shared" si="18"/>
        <v>7.7267402976474109E-2</v>
      </c>
      <c r="I182" s="71">
        <f t="shared" si="22"/>
        <v>2.9840304510042954E-2</v>
      </c>
      <c r="L182" s="74"/>
      <c r="M182" s="74"/>
      <c r="N182" s="74"/>
      <c r="O182" s="74"/>
      <c r="P182" s="74"/>
      <c r="Q182" s="74"/>
      <c r="R182" s="74"/>
      <c r="S182" s="74"/>
      <c r="T182" s="74"/>
      <c r="U182" s="74"/>
      <c r="V182" s="74"/>
      <c r="W182" s="74"/>
      <c r="X182" s="74"/>
      <c r="Y182" s="74"/>
      <c r="Z182" s="74"/>
    </row>
    <row r="183" spans="1:26" x14ac:dyDescent="0.3">
      <c r="A183" s="66">
        <f t="shared" si="20"/>
        <v>2007.599999999984</v>
      </c>
      <c r="B183" s="67">
        <f>LOOKUP(A183+0.01,Amounts!$A$4:$A$103,Amounts!$B$4:$B$103)*0.1*$A$2</f>
        <v>473.27470960000005</v>
      </c>
      <c r="C183" s="68">
        <f t="shared" si="19"/>
        <v>70953.909017200043</v>
      </c>
      <c r="D183" s="67">
        <f t="array" ref="D183">SUM($B$7:$B178*$F$1009*EXP(-$F$1009*($A183-$A$7:$A178)))*$F$1010</f>
        <v>5469478.1177835586</v>
      </c>
      <c r="E183" s="67">
        <f t="shared" si="17"/>
        <v>10.42707718569312</v>
      </c>
      <c r="F183" s="70">
        <f t="shared" si="21"/>
        <v>0.63313212671528629</v>
      </c>
      <c r="G183" s="67">
        <f>E183/'Lookup Tables'!$C$48</f>
        <v>20.85415437138624</v>
      </c>
      <c r="H183" s="70">
        <f t="shared" si="18"/>
        <v>7.7239884943784781E-2</v>
      </c>
      <c r="I183" s="71">
        <f t="shared" si="22"/>
        <v>3.0029982294796188E-2</v>
      </c>
      <c r="L183" s="74"/>
      <c r="M183" s="74"/>
      <c r="N183" s="74"/>
      <c r="O183" s="74"/>
      <c r="P183" s="74"/>
      <c r="Q183" s="74"/>
      <c r="R183" s="74"/>
      <c r="S183" s="74"/>
      <c r="T183" s="74"/>
      <c r="U183" s="74"/>
      <c r="V183" s="74"/>
      <c r="W183" s="74"/>
      <c r="X183" s="74"/>
      <c r="Y183" s="74"/>
      <c r="Z183" s="74"/>
    </row>
    <row r="184" spans="1:26" x14ac:dyDescent="0.3">
      <c r="A184" s="66">
        <f t="shared" si="20"/>
        <v>2007.6999999999839</v>
      </c>
      <c r="B184" s="67">
        <f>LOOKUP(A184+0.01,Amounts!$A$4:$A$103,Amounts!$B$4:$B$103)*0.1*$A$2</f>
        <v>473.27470960000005</v>
      </c>
      <c r="C184" s="68">
        <f t="shared" si="19"/>
        <v>71427.183726800038</v>
      </c>
      <c r="D184" s="67">
        <f t="array" ref="D184">SUM($B$7:$B179*$F$1009*EXP(-$F$1009*($A184-$A$7:$A179)))*$F$1010</f>
        <v>5503976.5429005791</v>
      </c>
      <c r="E184" s="67">
        <f t="shared" si="17"/>
        <v>10.492845387655651</v>
      </c>
      <c r="F184" s="70">
        <f t="shared" si="21"/>
        <v>0.6371255719384511</v>
      </c>
      <c r="G184" s="67">
        <f>E184/'Lookup Tables'!$C$48</f>
        <v>20.985690775311301</v>
      </c>
      <c r="H184" s="70">
        <f t="shared" si="18"/>
        <v>7.7212053562774371E-2</v>
      </c>
      <c r="I184" s="71">
        <f t="shared" si="22"/>
        <v>3.0219394716448276E-2</v>
      </c>
      <c r="L184" s="74"/>
      <c r="M184" s="74"/>
      <c r="N184" s="74"/>
      <c r="O184" s="74"/>
      <c r="P184" s="74"/>
      <c r="Q184" s="74"/>
      <c r="R184" s="74"/>
      <c r="S184" s="74"/>
      <c r="T184" s="74"/>
      <c r="U184" s="74"/>
      <c r="V184" s="74"/>
      <c r="W184" s="74"/>
      <c r="X184" s="74"/>
      <c r="Y184" s="74"/>
      <c r="Z184" s="74"/>
    </row>
    <row r="185" spans="1:26" x14ac:dyDescent="0.3">
      <c r="A185" s="66">
        <f t="shared" si="20"/>
        <v>2007.7999999999838</v>
      </c>
      <c r="B185" s="67">
        <f>LOOKUP(A185+0.01,Amounts!$A$4:$A$103,Amounts!$B$4:$B$103)*0.1*$A$2</f>
        <v>473.27470960000005</v>
      </c>
      <c r="C185" s="68">
        <f t="shared" si="19"/>
        <v>71900.458436400033</v>
      </c>
      <c r="D185" s="67">
        <f t="array" ref="D185">SUM($B$7:$B180*$F$1009*EXP(-$F$1009*($A185-$A$7:$A180)))*$F$1010</f>
        <v>5538426.7040151237</v>
      </c>
      <c r="E185" s="67">
        <f t="shared" si="17"/>
        <v>10.558521578558208</v>
      </c>
      <c r="F185" s="70">
        <f t="shared" si="21"/>
        <v>0.64111343025005429</v>
      </c>
      <c r="G185" s="67">
        <f>E185/'Lookup Tables'!$C$48</f>
        <v>21.117043157116417</v>
      </c>
      <c r="H185" s="70">
        <f t="shared" si="18"/>
        <v>7.7183915963471753E-2</v>
      </c>
      <c r="I185" s="71">
        <f t="shared" si="22"/>
        <v>3.0408542146247636E-2</v>
      </c>
      <c r="L185" s="74"/>
      <c r="M185" s="74"/>
      <c r="N185" s="74"/>
      <c r="O185" s="74"/>
      <c r="P185" s="74"/>
      <c r="Q185" s="74"/>
      <c r="R185" s="74"/>
      <c r="S185" s="74"/>
      <c r="T185" s="74"/>
      <c r="U185" s="74"/>
      <c r="V185" s="74"/>
      <c r="W185" s="74"/>
      <c r="X185" s="74"/>
      <c r="Y185" s="74"/>
      <c r="Z185" s="74"/>
    </row>
    <row r="186" spans="1:26" x14ac:dyDescent="0.3">
      <c r="A186" s="66">
        <f t="shared" si="20"/>
        <v>2007.8999999999837</v>
      </c>
      <c r="B186" s="67">
        <f>LOOKUP(A186+0.01,Amounts!$A$4:$A$103,Amounts!$B$4:$B$103)*0.1*$A$2</f>
        <v>473.27470960000005</v>
      </c>
      <c r="C186" s="68">
        <f t="shared" si="19"/>
        <v>72373.733146000028</v>
      </c>
      <c r="D186" s="67">
        <f t="array" ref="D186">SUM($B$7:$B181*$F$1009*EXP(-$F$1009*($A186-$A$7:$A181)))*$F$1010</f>
        <v>5572828.6686495133</v>
      </c>
      <c r="E186" s="67">
        <f t="shared" si="17"/>
        <v>10.62410588712614</v>
      </c>
      <c r="F186" s="70">
        <f t="shared" si="21"/>
        <v>0.64509570946629913</v>
      </c>
      <c r="G186" s="67">
        <f>E186/'Lookup Tables'!$C$48</f>
        <v>21.24821177425228</v>
      </c>
      <c r="H186" s="70">
        <f t="shared" si="18"/>
        <v>7.7155479088093976E-2</v>
      </c>
      <c r="I186" s="71">
        <f t="shared" si="22"/>
        <v>3.0597424954923281E-2</v>
      </c>
      <c r="L186" s="74"/>
      <c r="M186" s="74"/>
      <c r="N186" s="74"/>
      <c r="O186" s="74"/>
      <c r="P186" s="74"/>
      <c r="Q186" s="74"/>
      <c r="R186" s="74"/>
      <c r="S186" s="74"/>
      <c r="T186" s="74"/>
      <c r="U186" s="74"/>
      <c r="V186" s="74"/>
      <c r="W186" s="74"/>
      <c r="X186" s="74"/>
      <c r="Y186" s="74"/>
      <c r="Z186" s="74"/>
    </row>
    <row r="187" spans="1:26" x14ac:dyDescent="0.3">
      <c r="A187" s="66">
        <f t="shared" si="20"/>
        <v>2007.9999999999836</v>
      </c>
      <c r="B187" s="67">
        <f>LOOKUP(A187+0.01,Amounts!$A$4:$A$103,Amounts!$B$4:$B$103)*0.1*$A$2</f>
        <v>482.74456890000005</v>
      </c>
      <c r="C187" s="68">
        <f t="shared" si="19"/>
        <v>72856.477714900029</v>
      </c>
      <c r="D187" s="67">
        <f t="array" ref="D187">SUM($B$7:$B182*$F$1009*EXP(-$F$1009*($A187-$A$7:$A182)))*$F$1010</f>
        <v>5607182.5042316131</v>
      </c>
      <c r="E187" s="67">
        <f t="shared" si="17"/>
        <v>10.689598441904717</v>
      </c>
      <c r="F187" s="70">
        <f t="shared" si="21"/>
        <v>0.64907241739245447</v>
      </c>
      <c r="G187" s="67">
        <f>E187/'Lookup Tables'!$C$48</f>
        <v>21.379196883809435</v>
      </c>
      <c r="H187" s="70">
        <f t="shared" si="18"/>
        <v>7.7116724789401639E-2</v>
      </c>
      <c r="I187" s="71">
        <f t="shared" si="22"/>
        <v>3.0786043512685587E-2</v>
      </c>
      <c r="L187" s="74"/>
      <c r="M187" s="74"/>
      <c r="N187" s="74"/>
      <c r="O187" s="74"/>
      <c r="P187" s="74"/>
      <c r="Q187" s="74"/>
      <c r="R187" s="74"/>
      <c r="S187" s="74"/>
      <c r="T187" s="74"/>
      <c r="U187" s="74"/>
      <c r="V187" s="74"/>
      <c r="W187" s="74"/>
      <c r="X187" s="74"/>
      <c r="Y187" s="74"/>
      <c r="Z187" s="74"/>
    </row>
    <row r="188" spans="1:26" x14ac:dyDescent="0.3">
      <c r="A188" s="66">
        <f t="shared" si="20"/>
        <v>2008.0999999999835</v>
      </c>
      <c r="B188" s="67">
        <f>LOOKUP(A188+0.01,Amounts!$A$4:$A$103,Amounts!$B$4:$B$103)*0.1*$A$2</f>
        <v>482.74456890000005</v>
      </c>
      <c r="C188" s="68">
        <f t="shared" si="19"/>
        <v>73339.222283800031</v>
      </c>
      <c r="D188" s="67">
        <f t="array" ref="D188">SUM($B$7:$B183*$F$1009*EXP(-$F$1009*($A188-$A$7:$A183)))*$F$1010</f>
        <v>5641488.2780949511</v>
      </c>
      <c r="E188" s="67">
        <f t="shared" si="17"/>
        <v>10.754999371259366</v>
      </c>
      <c r="F188" s="70">
        <f t="shared" si="21"/>
        <v>0.6530435618228686</v>
      </c>
      <c r="G188" s="67">
        <f>E188/'Lookup Tables'!$C$48</f>
        <v>21.509998742518732</v>
      </c>
      <c r="H188" s="70">
        <f t="shared" si="18"/>
        <v>7.707782402790192E-2</v>
      </c>
      <c r="I188" s="71">
        <f t="shared" si="22"/>
        <v>3.0974398189226975E-2</v>
      </c>
      <c r="L188" s="74"/>
      <c r="M188" s="74"/>
      <c r="N188" s="74"/>
      <c r="O188" s="74"/>
      <c r="P188" s="74"/>
      <c r="Q188" s="74"/>
      <c r="R188" s="74"/>
      <c r="S188" s="74"/>
      <c r="T188" s="74"/>
      <c r="U188" s="74"/>
      <c r="V188" s="74"/>
      <c r="W188" s="74"/>
      <c r="X188" s="74"/>
      <c r="Y188" s="74"/>
      <c r="Z188" s="74"/>
    </row>
    <row r="189" spans="1:26" x14ac:dyDescent="0.3">
      <c r="A189" s="66">
        <f t="shared" si="20"/>
        <v>2008.1999999999834</v>
      </c>
      <c r="B189" s="67">
        <f>LOOKUP(A189+0.01,Amounts!$A$4:$A$103,Amounts!$B$4:$B$103)*0.1*$A$2</f>
        <v>482.74456890000005</v>
      </c>
      <c r="C189" s="68">
        <f t="shared" si="19"/>
        <v>73821.966852700032</v>
      </c>
      <c r="D189" s="67">
        <f t="array" ref="D189">SUM($B$7:$B184*$F$1009*EXP(-$F$1009*($A189-$A$7:$A184)))*$F$1010</f>
        <v>5675746.0574788582</v>
      </c>
      <c r="E189" s="67">
        <f t="shared" si="17"/>
        <v>10.820308803375935</v>
      </c>
      <c r="F189" s="70">
        <f t="shared" si="21"/>
        <v>0.65700915054098674</v>
      </c>
      <c r="G189" s="67">
        <f>E189/'Lookup Tables'!$C$48</f>
        <v>21.640617606751871</v>
      </c>
      <c r="H189" s="70">
        <f t="shared" si="18"/>
        <v>7.7038780589552741E-2</v>
      </c>
      <c r="I189" s="71">
        <f t="shared" si="22"/>
        <v>3.1162489353722695E-2</v>
      </c>
      <c r="L189" s="74"/>
      <c r="M189" s="74"/>
      <c r="N189" s="74"/>
      <c r="O189" s="74"/>
      <c r="P189" s="74"/>
      <c r="Q189" s="74"/>
      <c r="R189" s="74"/>
      <c r="S189" s="74"/>
      <c r="T189" s="74"/>
      <c r="U189" s="74"/>
      <c r="V189" s="74"/>
      <c r="W189" s="74"/>
      <c r="X189" s="74"/>
      <c r="Y189" s="74"/>
      <c r="Z189" s="74"/>
    </row>
    <row r="190" spans="1:26" x14ac:dyDescent="0.3">
      <c r="A190" s="66">
        <f t="shared" si="20"/>
        <v>2008.2999999999834</v>
      </c>
      <c r="B190" s="67">
        <f>LOOKUP(A190+0.01,Amounts!$A$4:$A$103,Amounts!$B$4:$B$103)*0.1*$A$2</f>
        <v>482.74456890000005</v>
      </c>
      <c r="C190" s="68">
        <f t="shared" si="19"/>
        <v>74304.711421600034</v>
      </c>
      <c r="D190" s="67">
        <f t="array" ref="D190">SUM($B$7:$B185*$F$1009*EXP(-$F$1009*($A190-$A$7:$A185)))*$F$1010</f>
        <v>5709955.9095285898</v>
      </c>
      <c r="E190" s="67">
        <f t="shared" si="17"/>
        <v>10.885526866260925</v>
      </c>
      <c r="F190" s="70">
        <f t="shared" si="21"/>
        <v>0.66096919131936327</v>
      </c>
      <c r="G190" s="67">
        <f>E190/'Lookup Tables'!$C$48</f>
        <v>21.77105373252185</v>
      </c>
      <c r="H190" s="70">
        <f t="shared" si="18"/>
        <v>7.6999598160656449E-2</v>
      </c>
      <c r="I190" s="71">
        <f t="shared" si="22"/>
        <v>3.135031737483146E-2</v>
      </c>
      <c r="L190" s="74"/>
      <c r="M190" s="74"/>
      <c r="N190" s="74"/>
      <c r="O190" s="74"/>
      <c r="P190" s="74"/>
      <c r="Q190" s="74"/>
      <c r="R190" s="74"/>
      <c r="S190" s="74"/>
      <c r="T190" s="74"/>
      <c r="U190" s="74"/>
      <c r="V190" s="74"/>
      <c r="W190" s="74"/>
      <c r="X190" s="74"/>
      <c r="Y190" s="74"/>
      <c r="Z190" s="74"/>
    </row>
    <row r="191" spans="1:26" x14ac:dyDescent="0.3">
      <c r="A191" s="66">
        <f t="shared" si="20"/>
        <v>2008.3999999999833</v>
      </c>
      <c r="B191" s="67">
        <f>LOOKUP(A191+0.01,Amounts!$A$4:$A$103,Amounts!$B$4:$B$103)*0.1*$A$2</f>
        <v>482.74456890000005</v>
      </c>
      <c r="C191" s="68">
        <f t="shared" si="19"/>
        <v>74787.455990500035</v>
      </c>
      <c r="D191" s="67">
        <f t="array" ref="D191">SUM($B$7:$B186*$F$1009*EXP(-$F$1009*($A191-$A$7:$A186)))*$F$1010</f>
        <v>5744117.9012954654</v>
      </c>
      <c r="E191" s="67">
        <f t="shared" si="17"/>
        <v>10.950653687741761</v>
      </c>
      <c r="F191" s="70">
        <f t="shared" si="21"/>
        <v>0.6649236919196797</v>
      </c>
      <c r="G191" s="67">
        <f>E191/'Lookup Tables'!$C$48</f>
        <v>21.901307375483523</v>
      </c>
      <c r="H191" s="70">
        <f t="shared" si="18"/>
        <v>7.6960280331078379E-2</v>
      </c>
      <c r="I191" s="71">
        <f t="shared" si="22"/>
        <v>3.1537882620696275E-2</v>
      </c>
      <c r="L191" s="74"/>
      <c r="M191" s="74"/>
      <c r="N191" s="74"/>
      <c r="O191" s="74"/>
      <c r="P191" s="74"/>
      <c r="Q191" s="74"/>
      <c r="R191" s="74"/>
      <c r="S191" s="74"/>
      <c r="T191" s="74"/>
      <c r="U191" s="74"/>
      <c r="V191" s="74"/>
      <c r="W191" s="74"/>
      <c r="X191" s="74"/>
      <c r="Y191" s="74"/>
      <c r="Z191" s="74"/>
    </row>
    <row r="192" spans="1:26" x14ac:dyDescent="0.3">
      <c r="A192" s="66">
        <f t="shared" si="20"/>
        <v>2008.4999999999832</v>
      </c>
      <c r="B192" s="67">
        <f>LOOKUP(A192+0.01,Amounts!$A$4:$A$103,Amounts!$B$4:$B$103)*0.1*$A$2</f>
        <v>482.74456890000005</v>
      </c>
      <c r="C192" s="68">
        <f t="shared" si="19"/>
        <v>75270.200559400037</v>
      </c>
      <c r="D192" s="67">
        <f t="array" ref="D192">SUM($B$7:$B187*$F$1009*EXP(-$F$1009*($A192-$A$7:$A187)))*$F$1010</f>
        <v>5779075.4952359246</v>
      </c>
      <c r="E192" s="67">
        <f t="shared" si="17"/>
        <v>11.017297254530725</v>
      </c>
      <c r="F192" s="70">
        <f t="shared" si="21"/>
        <v>0.6689702892951056</v>
      </c>
      <c r="G192" s="67">
        <f>E192/'Lookup Tables'!$C$48</f>
        <v>22.034594509061449</v>
      </c>
      <c r="H192" s="70">
        <f t="shared" si="18"/>
        <v>7.6932058024896346E-2</v>
      </c>
      <c r="I192" s="71">
        <f t="shared" si="22"/>
        <v>3.1729816093048487E-2</v>
      </c>
      <c r="L192" s="74"/>
      <c r="M192" s="74"/>
      <c r="N192" s="74"/>
      <c r="O192" s="74"/>
      <c r="P192" s="74"/>
      <c r="Q192" s="74"/>
      <c r="R192" s="74"/>
      <c r="S192" s="74"/>
      <c r="T192" s="74"/>
      <c r="U192" s="74"/>
      <c r="V192" s="74"/>
      <c r="W192" s="74"/>
      <c r="X192" s="74"/>
      <c r="Y192" s="74"/>
      <c r="Z192" s="74"/>
    </row>
    <row r="193" spans="1:26" x14ac:dyDescent="0.3">
      <c r="A193" s="66">
        <f t="shared" si="20"/>
        <v>2008.5999999999831</v>
      </c>
      <c r="B193" s="67">
        <f>LOOKUP(A193+0.01,Amounts!$A$4:$A$103,Amounts!$B$4:$B$103)*0.1*$A$2</f>
        <v>482.74456890000005</v>
      </c>
      <c r="C193" s="68">
        <f t="shared" si="19"/>
        <v>75752.945128300038</v>
      </c>
      <c r="D193" s="67">
        <f t="array" ref="D193">SUM($B$7:$B188*$F$1009*EXP(-$F$1009*($A193-$A$7:$A188)))*$F$1010</f>
        <v>5813984.1827873318</v>
      </c>
      <c r="E193" s="67">
        <f t="shared" si="17"/>
        <v>11.083847585606421</v>
      </c>
      <c r="F193" s="70">
        <f t="shared" si="21"/>
        <v>0.67301122539802183</v>
      </c>
      <c r="G193" s="67">
        <f>E193/'Lookup Tables'!$C$48</f>
        <v>22.167695171212841</v>
      </c>
      <c r="H193" s="70">
        <f t="shared" si="18"/>
        <v>7.6903548517196357E-2</v>
      </c>
      <c r="I193" s="71">
        <f t="shared" si="22"/>
        <v>3.1921481046546497E-2</v>
      </c>
      <c r="L193" s="74"/>
      <c r="M193" s="74"/>
      <c r="N193" s="74"/>
      <c r="O193" s="74"/>
      <c r="P193" s="74"/>
      <c r="Q193" s="74"/>
      <c r="R193" s="74"/>
      <c r="S193" s="74"/>
      <c r="T193" s="74"/>
      <c r="U193" s="74"/>
      <c r="V193" s="74"/>
      <c r="W193" s="74"/>
      <c r="X193" s="74"/>
      <c r="Y193" s="74"/>
      <c r="Z193" s="74"/>
    </row>
    <row r="194" spans="1:26" x14ac:dyDescent="0.3">
      <c r="A194" s="66">
        <f t="shared" si="20"/>
        <v>2008.699999999983</v>
      </c>
      <c r="B194" s="67">
        <f>LOOKUP(A194+0.01,Amounts!$A$4:$A$103,Amounts!$B$4:$B$103)*0.1*$A$2</f>
        <v>482.74456890000005</v>
      </c>
      <c r="C194" s="68">
        <f t="shared" si="19"/>
        <v>76235.68969720004</v>
      </c>
      <c r="D194" s="67">
        <f t="array" ref="D194">SUM($B$7:$B189*$F$1009*EXP(-$F$1009*($A194-$A$7:$A189)))*$F$1010</f>
        <v>5848844.0323707201</v>
      </c>
      <c r="E194" s="67">
        <f t="shared" si="17"/>
        <v>11.150304811407507</v>
      </c>
      <c r="F194" s="70">
        <f t="shared" si="21"/>
        <v>0.67704650814866396</v>
      </c>
      <c r="G194" s="67">
        <f>E194/'Lookup Tables'!$C$48</f>
        <v>22.300609622815013</v>
      </c>
      <c r="H194" s="70">
        <f t="shared" si="18"/>
        <v>7.6874758163183926E-2</v>
      </c>
      <c r="I194" s="71">
        <f t="shared" si="22"/>
        <v>3.2112877856853621E-2</v>
      </c>
      <c r="L194" s="74"/>
      <c r="M194" s="74"/>
      <c r="N194" s="74"/>
      <c r="O194" s="74"/>
      <c r="P194" s="74"/>
      <c r="Q194" s="74"/>
      <c r="R194" s="74"/>
      <c r="S194" s="74"/>
      <c r="T194" s="74"/>
      <c r="U194" s="74"/>
      <c r="V194" s="74"/>
      <c r="W194" s="74"/>
      <c r="X194" s="74"/>
      <c r="Y194" s="74"/>
      <c r="Z194" s="74"/>
    </row>
    <row r="195" spans="1:26" x14ac:dyDescent="0.3">
      <c r="A195" s="66">
        <f t="shared" si="20"/>
        <v>2008.7999999999829</v>
      </c>
      <c r="B195" s="67">
        <f>LOOKUP(A195+0.01,Amounts!$A$4:$A$103,Amounts!$B$4:$B$103)*0.1*$A$2</f>
        <v>482.74456890000005</v>
      </c>
      <c r="C195" s="68">
        <f t="shared" si="19"/>
        <v>76718.434266100041</v>
      </c>
      <c r="D195" s="67">
        <f t="array" ref="D195">SUM($B$7:$B190*$F$1009*EXP(-$F$1009*($A195-$A$7:$A190)))*$F$1010</f>
        <v>5883655.1123114079</v>
      </c>
      <c r="E195" s="67">
        <f t="shared" si="17"/>
        <v>11.216669062190173</v>
      </c>
      <c r="F195" s="70">
        <f t="shared" si="21"/>
        <v>0.68107614545618733</v>
      </c>
      <c r="G195" s="67">
        <f>E195/'Lookup Tables'!$C$48</f>
        <v>22.433338124380345</v>
      </c>
      <c r="H195" s="70">
        <f t="shared" si="18"/>
        <v>7.6845693156856063E-2</v>
      </c>
      <c r="I195" s="71">
        <f t="shared" si="22"/>
        <v>3.2304006899107701E-2</v>
      </c>
      <c r="L195" s="74"/>
      <c r="M195" s="74"/>
      <c r="N195" s="74"/>
      <c r="O195" s="74"/>
      <c r="P195" s="74"/>
      <c r="Q195" s="74"/>
      <c r="R195" s="74"/>
      <c r="S195" s="74"/>
      <c r="T195" s="74"/>
      <c r="U195" s="74"/>
      <c r="V195" s="74"/>
      <c r="W195" s="74"/>
      <c r="X195" s="74"/>
      <c r="Y195" s="74"/>
      <c r="Z195" s="74"/>
    </row>
    <row r="196" spans="1:26" x14ac:dyDescent="0.3">
      <c r="A196" s="66">
        <f t="shared" si="20"/>
        <v>2008.8999999999828</v>
      </c>
      <c r="B196" s="67">
        <f>LOOKUP(A196+0.01,Amounts!$A$4:$A$103,Amounts!$B$4:$B$103)*0.1*$A$2</f>
        <v>482.74456890000005</v>
      </c>
      <c r="C196" s="68">
        <f t="shared" si="19"/>
        <v>77201.178835000042</v>
      </c>
      <c r="D196" s="67">
        <f t="array" ref="D196">SUM($B$7:$B191*$F$1009*EXP(-$F$1009*($A196-$A$7:$A191)))*$F$1010</f>
        <v>5918417.4908391228</v>
      </c>
      <c r="E196" s="67">
        <f t="shared" si="17"/>
        <v>11.282940468028368</v>
      </c>
      <c r="F196" s="70">
        <f t="shared" si="21"/>
        <v>0.68510014521868257</v>
      </c>
      <c r="G196" s="67">
        <f>E196/'Lookup Tables'!$C$48</f>
        <v>22.565880936056736</v>
      </c>
      <c r="H196" s="70">
        <f t="shared" si="18"/>
        <v>7.6816359536042933E-2</v>
      </c>
      <c r="I196" s="71">
        <f t="shared" si="22"/>
        <v>3.2494868547921704E-2</v>
      </c>
      <c r="L196" s="74"/>
      <c r="M196" s="74"/>
      <c r="N196" s="74"/>
      <c r="O196" s="74"/>
      <c r="P196" s="74"/>
      <c r="Q196" s="74"/>
      <c r="R196" s="74"/>
      <c r="S196" s="74"/>
      <c r="T196" s="74"/>
      <c r="U196" s="74"/>
      <c r="V196" s="74"/>
      <c r="W196" s="74"/>
      <c r="X196" s="74"/>
      <c r="Y196" s="74"/>
      <c r="Z196" s="74"/>
    </row>
    <row r="197" spans="1:26" x14ac:dyDescent="0.3">
      <c r="A197" s="66">
        <f t="shared" si="20"/>
        <v>2008.9999999999827</v>
      </c>
      <c r="B197" s="67">
        <f>LOOKUP(A197+0.01,Amounts!$A$4:$A$103,Amounts!$B$4:$B$103)*0.1*$A$2</f>
        <v>492.39630770000002</v>
      </c>
      <c r="C197" s="68">
        <f t="shared" si="19"/>
        <v>77693.575142700036</v>
      </c>
      <c r="D197" s="67">
        <f t="array" ref="D197">SUM($B$7:$B192*$F$1009*EXP(-$F$1009*($A197-$A$7:$A192)))*$F$1010</f>
        <v>5953131.2360881371</v>
      </c>
      <c r="E197" s="67">
        <f t="shared" si="17"/>
        <v>11.349119158814069</v>
      </c>
      <c r="F197" s="70">
        <f t="shared" si="21"/>
        <v>0.68911851532319035</v>
      </c>
      <c r="G197" s="67">
        <f>E197/'Lookup Tables'!$C$48</f>
        <v>22.698238317628139</v>
      </c>
      <c r="H197" s="70">
        <f t="shared" si="18"/>
        <v>7.6777224100146799E-2</v>
      </c>
      <c r="I197" s="71">
        <f t="shared" si="22"/>
        <v>3.2685463177384522E-2</v>
      </c>
      <c r="L197" s="74"/>
      <c r="M197" s="74"/>
      <c r="N197" s="74"/>
      <c r="O197" s="74"/>
      <c r="P197" s="74"/>
      <c r="Q197" s="74"/>
      <c r="R197" s="74"/>
      <c r="S197" s="74"/>
      <c r="T197" s="74"/>
      <c r="U197" s="74"/>
      <c r="V197" s="74"/>
      <c r="W197" s="74"/>
      <c r="X197" s="74"/>
      <c r="Y197" s="74"/>
      <c r="Z197" s="74"/>
    </row>
    <row r="198" spans="1:26" x14ac:dyDescent="0.3">
      <c r="A198" s="66">
        <f t="shared" si="20"/>
        <v>2009.0999999999826</v>
      </c>
      <c r="B198" s="67">
        <f>LOOKUP(A198+0.01,Amounts!$A$4:$A$103,Amounts!$B$4:$B$103)*0.1*$A$2</f>
        <v>492.39630770000002</v>
      </c>
      <c r="C198" s="68">
        <f t="shared" si="19"/>
        <v>78185.971450400029</v>
      </c>
      <c r="D198" s="67">
        <f t="array" ref="D198">SUM($B$7:$B193*$F$1009*EXP(-$F$1009*($A198-$A$7:$A193)))*$F$1010</f>
        <v>5987796.4160974016</v>
      </c>
      <c r="E198" s="67">
        <f t="shared" si="17"/>
        <v>11.41520526425753</v>
      </c>
      <c r="F198" s="70">
        <f t="shared" si="21"/>
        <v>0.6931312636457172</v>
      </c>
      <c r="G198" s="67">
        <f>E198/'Lookup Tables'!$C$48</f>
        <v>22.83041052851506</v>
      </c>
      <c r="H198" s="70">
        <f t="shared" si="18"/>
        <v>7.6737959196426411E-2</v>
      </c>
      <c r="I198" s="71">
        <f t="shared" si="22"/>
        <v>3.2875791161061686E-2</v>
      </c>
      <c r="L198" s="74"/>
      <c r="M198" s="74"/>
      <c r="N198" s="74"/>
      <c r="O198" s="74"/>
      <c r="P198" s="74"/>
      <c r="Q198" s="74"/>
      <c r="R198" s="74"/>
      <c r="S198" s="74"/>
      <c r="T198" s="74"/>
      <c r="U198" s="74"/>
      <c r="V198" s="74"/>
      <c r="W198" s="74"/>
      <c r="X198" s="74"/>
      <c r="Y198" s="74"/>
      <c r="Z198" s="74"/>
    </row>
    <row r="199" spans="1:26" x14ac:dyDescent="0.3">
      <c r="A199" s="66">
        <f t="shared" si="20"/>
        <v>2009.1999999999825</v>
      </c>
      <c r="B199" s="67">
        <f>LOOKUP(A199+0.01,Amounts!$A$4:$A$103,Amounts!$B$4:$B$103)*0.1*$A$2</f>
        <v>492.39630770000002</v>
      </c>
      <c r="C199" s="68">
        <f t="shared" si="19"/>
        <v>78678.367758100023</v>
      </c>
      <c r="D199" s="67">
        <f t="array" ref="D199">SUM($B$7:$B194*$F$1009*EXP(-$F$1009*($A199-$A$7:$A194)))*$F$1010</f>
        <v>6022413.0988106811</v>
      </c>
      <c r="E199" s="67">
        <f t="shared" ref="E199:E262" si="23">D199/(365*24*60)*1.00201</f>
        <v>11.481198913887541</v>
      </c>
      <c r="F199" s="70">
        <f t="shared" si="21"/>
        <v>0.69713839805125144</v>
      </c>
      <c r="G199" s="67">
        <f>E199/'Lookup Tables'!$C$48</f>
        <v>22.962397827775082</v>
      </c>
      <c r="H199" s="70">
        <f t="shared" ref="H199:H262" si="24">G199*60*24*365/(C199*2000)</f>
        <v>7.6698568120943666E-2</v>
      </c>
      <c r="I199" s="71">
        <f t="shared" si="22"/>
        <v>3.3065852871996121E-2</v>
      </c>
      <c r="L199" s="74"/>
      <c r="M199" s="74"/>
      <c r="N199" s="74"/>
      <c r="O199" s="74"/>
      <c r="P199" s="74"/>
      <c r="Q199" s="74"/>
      <c r="R199" s="74"/>
      <c r="S199" s="74"/>
      <c r="T199" s="74"/>
      <c r="U199" s="74"/>
      <c r="V199" s="74"/>
      <c r="W199" s="74"/>
      <c r="X199" s="74"/>
      <c r="Y199" s="74"/>
      <c r="Z199" s="74"/>
    </row>
    <row r="200" spans="1:26" x14ac:dyDescent="0.3">
      <c r="A200" s="66">
        <f t="shared" si="20"/>
        <v>2009.2999999999824</v>
      </c>
      <c r="B200" s="67">
        <f>LOOKUP(A200+0.01,Amounts!$A$4:$A$103,Amounts!$B$4:$B$103)*0.1*$A$2</f>
        <v>492.39630770000002</v>
      </c>
      <c r="C200" s="68">
        <f t="shared" si="19"/>
        <v>79170.764065800016</v>
      </c>
      <c r="D200" s="67">
        <f t="array" ref="D200">SUM($B$7:$B195*$F$1009*EXP(-$F$1009*($A200-$A$7:$A195)))*$F$1010</f>
        <v>6056981.3520766879</v>
      </c>
      <c r="E200" s="67">
        <f t="shared" si="23"/>
        <v>11.547100237051678</v>
      </c>
      <c r="F200" s="70">
        <f t="shared" si="21"/>
        <v>0.70113992639377798</v>
      </c>
      <c r="G200" s="67">
        <f>E200/'Lookup Tables'!$C$48</f>
        <v>23.094200474103356</v>
      </c>
      <c r="H200" s="70">
        <f t="shared" si="24"/>
        <v>7.6659054086558986E-2</v>
      </c>
      <c r="I200" s="71">
        <f t="shared" si="22"/>
        <v>3.325564868270884E-2</v>
      </c>
      <c r="L200" s="74"/>
      <c r="M200" s="74"/>
      <c r="N200" s="74"/>
      <c r="O200" s="74"/>
      <c r="P200" s="74"/>
      <c r="Q200" s="74"/>
      <c r="R200" s="74"/>
      <c r="S200" s="74"/>
      <c r="T200" s="74"/>
      <c r="U200" s="74"/>
      <c r="V200" s="74"/>
      <c r="W200" s="74"/>
      <c r="X200" s="74"/>
      <c r="Y200" s="74"/>
      <c r="Z200" s="74"/>
    </row>
    <row r="201" spans="1:26" x14ac:dyDescent="0.3">
      <c r="A201" s="66">
        <f t="shared" si="20"/>
        <v>2009.3999999999824</v>
      </c>
      <c r="B201" s="67">
        <f>LOOKUP(A201+0.01,Amounts!$A$4:$A$103,Amounts!$B$4:$B$103)*0.1*$A$2</f>
        <v>492.39630770000002</v>
      </c>
      <c r="C201" s="68">
        <f t="shared" ref="C201:C264" si="25">C200+B201</f>
        <v>79663.16037350001</v>
      </c>
      <c r="D201" s="67">
        <f t="array" ref="D201">SUM($B$7:$B196*$F$1009*EXP(-$F$1009*($A201-$A$7:$A196)))*$F$1010</f>
        <v>6091501.2436492071</v>
      </c>
      <c r="E201" s="67">
        <f t="shared" si="23"/>
        <v>11.612909362916557</v>
      </c>
      <c r="F201" s="70">
        <f t="shared" si="21"/>
        <v>0.7051358565162934</v>
      </c>
      <c r="G201" s="67">
        <f>E201/'Lookup Tables'!$C$48</f>
        <v>23.225818725833115</v>
      </c>
      <c r="H201" s="70">
        <f t="shared" si="24"/>
        <v>7.6619420225504345E-2</v>
      </c>
      <c r="I201" s="71">
        <f t="shared" si="22"/>
        <v>3.344517896519969E-2</v>
      </c>
      <c r="L201" s="74"/>
      <c r="M201" s="74"/>
      <c r="N201" s="74"/>
      <c r="O201" s="74"/>
      <c r="P201" s="74"/>
      <c r="Q201" s="74"/>
      <c r="R201" s="74"/>
      <c r="S201" s="74"/>
      <c r="T201" s="74"/>
      <c r="U201" s="74"/>
      <c r="V201" s="74"/>
      <c r="W201" s="74"/>
      <c r="X201" s="74"/>
      <c r="Y201" s="74"/>
      <c r="Z201" s="74"/>
    </row>
    <row r="202" spans="1:26" x14ac:dyDescent="0.3">
      <c r="A202" s="66">
        <f t="shared" si="20"/>
        <v>2009.4999999999823</v>
      </c>
      <c r="B202" s="67">
        <f>LOOKUP(A202+0.01,Amounts!$A$4:$A$103,Amounts!$B$4:$B$103)*0.1*$A$2</f>
        <v>492.39630770000002</v>
      </c>
      <c r="C202" s="68">
        <f t="shared" si="25"/>
        <v>80155.556681200003</v>
      </c>
      <c r="D202" s="67">
        <f t="array" ref="D202">SUM($B$7:$B197*$F$1009*EXP(-$F$1009*($A202-$A$7:$A197)))*$F$1010</f>
        <v>6126832.4350632215</v>
      </c>
      <c r="E202" s="67">
        <f t="shared" si="23"/>
        <v>11.680265160307647</v>
      </c>
      <c r="F202" s="70">
        <f t="shared" si="21"/>
        <v>0.70922570053388023</v>
      </c>
      <c r="G202" s="67">
        <f>E202/'Lookup Tables'!$C$48</f>
        <v>23.360530320615293</v>
      </c>
      <c r="H202" s="70">
        <f t="shared" si="24"/>
        <v>7.6590415218182856E-2</v>
      </c>
      <c r="I202" s="71">
        <f t="shared" si="22"/>
        <v>3.3639163661686018E-2</v>
      </c>
      <c r="L202" s="74"/>
      <c r="M202" s="74"/>
      <c r="N202" s="74"/>
      <c r="O202" s="74"/>
      <c r="P202" s="74"/>
      <c r="Q202" s="74"/>
      <c r="R202" s="74"/>
      <c r="S202" s="74"/>
      <c r="T202" s="74"/>
      <c r="U202" s="74"/>
      <c r="V202" s="74"/>
      <c r="W202" s="74"/>
      <c r="X202" s="74"/>
      <c r="Y202" s="74"/>
      <c r="Z202" s="74"/>
    </row>
    <row r="203" spans="1:26" x14ac:dyDescent="0.3">
      <c r="A203" s="66">
        <f t="shared" si="20"/>
        <v>2009.5999999999822</v>
      </c>
      <c r="B203" s="67">
        <f>LOOKUP(A203+0.01,Amounts!$A$4:$A$103,Amounts!$B$4:$B$103)*0.1*$A$2</f>
        <v>492.39630770000002</v>
      </c>
      <c r="C203" s="68">
        <f t="shared" si="25"/>
        <v>80647.952988899997</v>
      </c>
      <c r="D203" s="67">
        <f t="array" ref="D203">SUM($B$7:$B198*$F$1009*EXP(-$F$1009*($A203-$A$7:$A198)))*$F$1010</f>
        <v>6162114.1974176709</v>
      </c>
      <c r="E203" s="67">
        <f t="shared" si="23"/>
        <v>11.747526725560276</v>
      </c>
      <c r="F203" s="70">
        <f t="shared" si="21"/>
        <v>0.71330982277601995</v>
      </c>
      <c r="G203" s="67">
        <f>E203/'Lookup Tables'!$C$48</f>
        <v>23.495053451120551</v>
      </c>
      <c r="H203" s="70">
        <f t="shared" si="24"/>
        <v>7.6561150260122668E-2</v>
      </c>
      <c r="I203" s="71">
        <f t="shared" si="22"/>
        <v>3.3832876969613596E-2</v>
      </c>
      <c r="L203" s="74"/>
      <c r="M203" s="74"/>
      <c r="N203" s="74"/>
      <c r="O203" s="74"/>
      <c r="P203" s="74"/>
      <c r="Q203" s="74"/>
      <c r="R203" s="74"/>
      <c r="S203" s="74"/>
      <c r="T203" s="74"/>
      <c r="U203" s="74"/>
      <c r="V203" s="74"/>
      <c r="W203" s="74"/>
      <c r="X203" s="74"/>
      <c r="Y203" s="74"/>
      <c r="Z203" s="74"/>
    </row>
    <row r="204" spans="1:26" x14ac:dyDescent="0.3">
      <c r="A204" s="66">
        <f t="shared" si="20"/>
        <v>2009.6999999999821</v>
      </c>
      <c r="B204" s="67">
        <f>LOOKUP(A204+0.01,Amounts!$A$4:$A$103,Amounts!$B$4:$B$103)*0.1*$A$2</f>
        <v>492.39630770000002</v>
      </c>
      <c r="C204" s="68">
        <f t="shared" si="25"/>
        <v>81140.34929659999</v>
      </c>
      <c r="D204" s="67">
        <f t="array" ref="D204">SUM($B$7:$B199*$F$1009*EXP(-$F$1009*($A204-$A$7:$A199)))*$F$1010</f>
        <v>6197346.5998648228</v>
      </c>
      <c r="E204" s="67">
        <f t="shared" si="23"/>
        <v>11.814694190507138</v>
      </c>
      <c r="F204" s="70">
        <f t="shared" si="21"/>
        <v>0.71738823124759343</v>
      </c>
      <c r="G204" s="67">
        <f>E204/'Lookup Tables'!$C$48</f>
        <v>23.629388381014277</v>
      </c>
      <c r="H204" s="70">
        <f t="shared" si="24"/>
        <v>7.6531630937787462E-2</v>
      </c>
      <c r="I204" s="71">
        <f t="shared" si="22"/>
        <v>3.4026319268660558E-2</v>
      </c>
      <c r="L204" s="74"/>
      <c r="M204" s="74"/>
      <c r="N204" s="74"/>
      <c r="O204" s="74"/>
      <c r="P204" s="74"/>
      <c r="Q204" s="74"/>
      <c r="R204" s="74"/>
      <c r="S204" s="74"/>
      <c r="T204" s="74"/>
      <c r="U204" s="74"/>
      <c r="V204" s="74"/>
      <c r="W204" s="74"/>
      <c r="X204" s="74"/>
      <c r="Y204" s="74"/>
      <c r="Z204" s="74"/>
    </row>
    <row r="205" spans="1:26" x14ac:dyDescent="0.3">
      <c r="A205" s="66">
        <f t="shared" si="20"/>
        <v>2009.799999999982</v>
      </c>
      <c r="B205" s="67">
        <f>LOOKUP(A205+0.01,Amounts!$A$4:$A$103,Amounts!$B$4:$B$103)*0.1*$A$2</f>
        <v>492.39630770000002</v>
      </c>
      <c r="C205" s="68">
        <f t="shared" si="25"/>
        <v>81632.745604299984</v>
      </c>
      <c r="D205" s="67">
        <f t="array" ref="D205">SUM($B$7:$B200*$F$1009*EXP(-$F$1009*($A205-$A$7:$A200)))*$F$1010</f>
        <v>6232529.7114601946</v>
      </c>
      <c r="E205" s="67">
        <f t="shared" si="23"/>
        <v>11.881767686796479</v>
      </c>
      <c r="F205" s="70">
        <f t="shared" si="21"/>
        <v>0.72146093394228217</v>
      </c>
      <c r="G205" s="67">
        <f>E205/'Lookup Tables'!$C$48</f>
        <v>23.763535373592958</v>
      </c>
      <c r="H205" s="70">
        <f t="shared" si="24"/>
        <v>7.6501862701666534E-2</v>
      </c>
      <c r="I205" s="71">
        <f t="shared" si="22"/>
        <v>3.4219490937973863E-2</v>
      </c>
      <c r="L205" s="74"/>
      <c r="M205" s="74"/>
      <c r="N205" s="74"/>
      <c r="O205" s="74"/>
      <c r="P205" s="74"/>
      <c r="Q205" s="74"/>
      <c r="R205" s="74"/>
      <c r="S205" s="74"/>
      <c r="T205" s="74"/>
      <c r="U205" s="74"/>
      <c r="V205" s="74"/>
      <c r="W205" s="74"/>
      <c r="X205" s="74"/>
      <c r="Y205" s="74"/>
      <c r="Z205" s="74"/>
    </row>
    <row r="206" spans="1:26" x14ac:dyDescent="0.3">
      <c r="A206" s="66">
        <f t="shared" si="20"/>
        <v>2009.8999999999819</v>
      </c>
      <c r="B206" s="67">
        <f>LOOKUP(A206+0.01,Amounts!$A$4:$A$103,Amounts!$B$4:$B$103)*0.1*$A$2</f>
        <v>492.39630770000002</v>
      </c>
      <c r="C206" s="68">
        <f t="shared" si="25"/>
        <v>82125.141911999977</v>
      </c>
      <c r="D206" s="67">
        <f t="array" ref="D206">SUM($B$7:$B201*$F$1009*EXP(-$F$1009*($A206-$A$7:$A201)))*$F$1010</f>
        <v>6267663.6011626981</v>
      </c>
      <c r="E206" s="67">
        <f t="shared" si="23"/>
        <v>11.948747345892382</v>
      </c>
      <c r="F206" s="70">
        <f t="shared" si="21"/>
        <v>0.7255279388425856</v>
      </c>
      <c r="G206" s="67">
        <f>E206/'Lookup Tables'!$C$48</f>
        <v>23.897494691784765</v>
      </c>
      <c r="H206" s="70">
        <f t="shared" si="24"/>
        <v>7.6471850870352978E-2</v>
      </c>
      <c r="I206" s="71">
        <f t="shared" si="22"/>
        <v>3.4412392356170066E-2</v>
      </c>
      <c r="L206" s="74"/>
      <c r="M206" s="74"/>
      <c r="N206" s="74"/>
      <c r="O206" s="74"/>
      <c r="P206" s="74"/>
      <c r="Q206" s="74"/>
      <c r="R206" s="74"/>
      <c r="S206" s="74"/>
      <c r="T206" s="74"/>
      <c r="U206" s="74"/>
      <c r="V206" s="74"/>
      <c r="W206" s="74"/>
      <c r="X206" s="74"/>
      <c r="Y206" s="74"/>
      <c r="Z206" s="74"/>
    </row>
    <row r="207" spans="1:26" x14ac:dyDescent="0.3">
      <c r="A207" s="66">
        <f t="shared" si="20"/>
        <v>2009.9999999999818</v>
      </c>
      <c r="B207" s="67">
        <f>LOOKUP(A207+0.01,Amounts!$A$4:$A$103,Amounts!$B$4:$B$103)*0.1*$A$2</f>
        <v>502.24205130000001</v>
      </c>
      <c r="C207" s="68">
        <f t="shared" si="25"/>
        <v>82627.383963299973</v>
      </c>
      <c r="D207" s="67">
        <f t="array" ref="D207">SUM($B$7:$B202*$F$1009*EXP(-$F$1009*($A207-$A$7:$A202)))*$F$1010</f>
        <v>6302748.3378347661</v>
      </c>
      <c r="E207" s="67">
        <f t="shared" si="23"/>
        <v>12.015633299074988</v>
      </c>
      <c r="F207" s="70">
        <f t="shared" si="21"/>
        <v>0.72958925391983331</v>
      </c>
      <c r="G207" s="67">
        <f>E207/'Lookup Tables'!$C$48</f>
        <v>24.031266598149976</v>
      </c>
      <c r="H207" s="70">
        <f t="shared" si="24"/>
        <v>7.6432491978674869E-2</v>
      </c>
      <c r="I207" s="71">
        <f t="shared" si="22"/>
        <v>3.460502390133597E-2</v>
      </c>
      <c r="L207" s="74"/>
      <c r="M207" s="74"/>
      <c r="N207" s="74"/>
      <c r="O207" s="74"/>
      <c r="P207" s="74"/>
      <c r="Q207" s="74"/>
      <c r="R207" s="74"/>
      <c r="S207" s="74"/>
      <c r="T207" s="74"/>
      <c r="U207" s="74"/>
      <c r="V207" s="74"/>
      <c r="W207" s="74"/>
      <c r="X207" s="74"/>
      <c r="Y207" s="74"/>
      <c r="Z207" s="74"/>
    </row>
    <row r="208" spans="1:26" x14ac:dyDescent="0.3">
      <c r="A208" s="66">
        <f t="shared" si="20"/>
        <v>2010.0999999999817</v>
      </c>
      <c r="B208" s="67">
        <f>LOOKUP(A208+0.01,Amounts!$A$4:$A$103,Amounts!$B$4:$B$103)*0.1*$A$2</f>
        <v>502.24205130000001</v>
      </c>
      <c r="C208" s="68">
        <f t="shared" si="25"/>
        <v>83129.626014599969</v>
      </c>
      <c r="D208" s="67">
        <f t="array" ref="D208">SUM($B$7:$B203*$F$1009*EXP(-$F$1009*($A208-$A$7:$A203)))*$F$1010</f>
        <v>6337783.990242498</v>
      </c>
      <c r="E208" s="67">
        <f t="shared" si="23"/>
        <v>12.082425677440803</v>
      </c>
      <c r="F208" s="70">
        <f t="shared" si="21"/>
        <v>0.7336448871342055</v>
      </c>
      <c r="G208" s="67">
        <f>E208/'Lookup Tables'!$C$48</f>
        <v>24.164851354881606</v>
      </c>
      <c r="H208" s="70">
        <f t="shared" si="24"/>
        <v>7.6393017032791069E-2</v>
      </c>
      <c r="I208" s="71">
        <f t="shared" si="22"/>
        <v>3.4797385951029512E-2</v>
      </c>
      <c r="L208" s="74"/>
      <c r="M208" s="74"/>
      <c r="N208" s="74"/>
      <c r="O208" s="74"/>
      <c r="P208" s="74"/>
      <c r="Q208" s="74"/>
      <c r="R208" s="74"/>
      <c r="S208" s="74"/>
      <c r="T208" s="74"/>
      <c r="U208" s="74"/>
      <c r="V208" s="74"/>
      <c r="W208" s="74"/>
      <c r="X208" s="74"/>
      <c r="Y208" s="74"/>
      <c r="Z208" s="74"/>
    </row>
    <row r="209" spans="1:26" x14ac:dyDescent="0.3">
      <c r="A209" s="66">
        <f t="shared" si="20"/>
        <v>2010.1999999999816</v>
      </c>
      <c r="B209" s="67">
        <f>LOOKUP(A209+0.01,Amounts!$A$4:$A$103,Amounts!$B$4:$B$103)*0.1*$A$2</f>
        <v>502.24205130000001</v>
      </c>
      <c r="C209" s="68">
        <f t="shared" si="25"/>
        <v>83631.868065899966</v>
      </c>
      <c r="D209" s="67">
        <f t="array" ref="D209">SUM($B$7:$B204*$F$1009*EXP(-$F$1009*($A209-$A$7:$A204)))*$F$1010</f>
        <v>6372770.627055781</v>
      </c>
      <c r="E209" s="67">
        <f t="shared" si="23"/>
        <v>12.149124611902899</v>
      </c>
      <c r="F209" s="70">
        <f t="shared" si="21"/>
        <v>0.73769484643474403</v>
      </c>
      <c r="G209" s="67">
        <f>E209/'Lookup Tables'!$C$48</f>
        <v>24.298249223805797</v>
      </c>
      <c r="H209" s="70">
        <f t="shared" si="24"/>
        <v>7.6353428946301621E-2</v>
      </c>
      <c r="I209" s="71">
        <f t="shared" si="22"/>
        <v>3.498947888228035E-2</v>
      </c>
      <c r="L209" s="74"/>
      <c r="M209" s="74"/>
      <c r="N209" s="74"/>
      <c r="O209" s="74"/>
      <c r="P209" s="74"/>
      <c r="Q209" s="74"/>
      <c r="R209" s="74"/>
      <c r="S209" s="74"/>
      <c r="T209" s="74"/>
      <c r="U209" s="74"/>
      <c r="V209" s="74"/>
      <c r="W209" s="74"/>
      <c r="X209" s="74"/>
      <c r="Y209" s="74"/>
      <c r="Z209" s="74"/>
    </row>
    <row r="210" spans="1:26" x14ac:dyDescent="0.3">
      <c r="A210" s="66">
        <f t="shared" si="20"/>
        <v>2010.2999999999815</v>
      </c>
      <c r="B210" s="67">
        <f>LOOKUP(A210+0.01,Amounts!$A$4:$A$103,Amounts!$B$4:$B$103)*0.1*$A$2</f>
        <v>502.24205130000001</v>
      </c>
      <c r="C210" s="68">
        <f t="shared" si="25"/>
        <v>84134.110117199962</v>
      </c>
      <c r="D210" s="67">
        <f t="array" ref="D210">SUM($B$7:$B205*$F$1009*EXP(-$F$1009*($A210-$A$7:$A205)))*$F$1010</f>
        <v>6407708.3168484336</v>
      </c>
      <c r="E210" s="67">
        <f t="shared" si="23"/>
        <v>12.215730233191209</v>
      </c>
      <c r="F210" s="70">
        <f t="shared" si="21"/>
        <v>0.74173913975937023</v>
      </c>
      <c r="G210" s="67">
        <f>E210/'Lookup Tables'!$C$48</f>
        <v>24.431460466382418</v>
      </c>
      <c r="H210" s="70">
        <f t="shared" si="24"/>
        <v>7.6313730562091092E-2</v>
      </c>
      <c r="I210" s="71">
        <f t="shared" si="22"/>
        <v>3.5181303071590682E-2</v>
      </c>
      <c r="L210" s="74"/>
      <c r="M210" s="74"/>
      <c r="N210" s="74"/>
      <c r="O210" s="74"/>
      <c r="P210" s="74"/>
      <c r="Q210" s="74"/>
      <c r="R210" s="74"/>
      <c r="S210" s="74"/>
      <c r="T210" s="74"/>
      <c r="U210" s="74"/>
      <c r="V210" s="74"/>
      <c r="W210" s="74"/>
      <c r="X210" s="74"/>
      <c r="Y210" s="74"/>
      <c r="Z210" s="74"/>
    </row>
    <row r="211" spans="1:26" x14ac:dyDescent="0.3">
      <c r="A211" s="66">
        <f t="shared" ref="A211:A274" si="26">A210+0.1</f>
        <v>2010.3999999999814</v>
      </c>
      <c r="B211" s="67">
        <f>LOOKUP(A211+0.01,Amounts!$A$4:$A$103,Amounts!$B$4:$B$103)*0.1*$A$2</f>
        <v>502.24205130000001</v>
      </c>
      <c r="C211" s="68">
        <f t="shared" si="25"/>
        <v>84636.352168499958</v>
      </c>
      <c r="D211" s="67">
        <f t="array" ref="D211">SUM($B$7:$B206*$F$1009*EXP(-$F$1009*($A211-$A$7:$A206)))*$F$1010</f>
        <v>6442597.1280983398</v>
      </c>
      <c r="E211" s="67">
        <f t="shared" si="23"/>
        <v>12.282242671852774</v>
      </c>
      <c r="F211" s="70">
        <f t="shared" ref="F211:F274" si="27">E211*60*1012/1000000</f>
        <v>0.7457777750349005</v>
      </c>
      <c r="G211" s="67">
        <f>E211/'Lookup Tables'!$C$48</f>
        <v>24.564485343705549</v>
      </c>
      <c r="H211" s="70">
        <f t="shared" si="24"/>
        <v>7.6273924654428213E-2</v>
      </c>
      <c r="I211" s="71">
        <f t="shared" ref="I211:I274" si="28">G211*60*24/1000000</f>
        <v>3.5372858894935993E-2</v>
      </c>
      <c r="L211" s="74"/>
      <c r="M211" s="74"/>
      <c r="N211" s="74"/>
      <c r="O211" s="74"/>
      <c r="P211" s="74"/>
      <c r="Q211" s="74"/>
      <c r="R211" s="74"/>
      <c r="S211" s="74"/>
      <c r="T211" s="74"/>
      <c r="U211" s="74"/>
      <c r="V211" s="74"/>
      <c r="W211" s="74"/>
      <c r="X211" s="74"/>
      <c r="Y211" s="74"/>
      <c r="Z211" s="74"/>
    </row>
    <row r="212" spans="1:26" x14ac:dyDescent="0.3">
      <c r="A212" s="66">
        <f t="shared" si="26"/>
        <v>2010.4999999999814</v>
      </c>
      <c r="B212" s="67">
        <f>LOOKUP(A212+0.01,Amounts!$A$4:$A$103,Amounts!$B$4:$B$103)*0.1*$A$2</f>
        <v>502.24205130000001</v>
      </c>
      <c r="C212" s="68">
        <f t="shared" si="25"/>
        <v>85138.594219799954</v>
      </c>
      <c r="D212" s="67">
        <f t="array" ref="D212">SUM($B$7:$B207*$F$1009*EXP(-$F$1009*($A212-$A$7:$A207)))*$F$1010</f>
        <v>6478314.001332433</v>
      </c>
      <c r="E212" s="67">
        <f t="shared" si="23"/>
        <v>12.35033373758583</v>
      </c>
      <c r="F212" s="70">
        <f t="shared" si="27"/>
        <v>0.74991226454621163</v>
      </c>
      <c r="G212" s="67">
        <f>E212/'Lookup Tables'!$C$48</f>
        <v>24.70066747517166</v>
      </c>
      <c r="H212" s="70">
        <f t="shared" si="24"/>
        <v>7.6244333982266738E-2</v>
      </c>
      <c r="I212" s="71">
        <f t="shared" si="28"/>
        <v>3.5568961164247188E-2</v>
      </c>
      <c r="L212" s="74"/>
      <c r="M212" s="74"/>
      <c r="N212" s="74"/>
      <c r="O212" s="74"/>
      <c r="P212" s="74"/>
      <c r="Q212" s="74"/>
      <c r="R212" s="74"/>
      <c r="S212" s="74"/>
      <c r="T212" s="74"/>
      <c r="U212" s="74"/>
      <c r="V212" s="74"/>
      <c r="W212" s="74"/>
      <c r="X212" s="74"/>
      <c r="Y212" s="74"/>
      <c r="Z212" s="74"/>
    </row>
    <row r="213" spans="1:26" x14ac:dyDescent="0.3">
      <c r="A213" s="66">
        <f t="shared" si="26"/>
        <v>2010.5999999999813</v>
      </c>
      <c r="B213" s="67">
        <f>LOOKUP(A213+0.01,Amounts!$A$4:$A$103,Amounts!$B$4:$B$103)*0.1*$A$2</f>
        <v>502.24205130000001</v>
      </c>
      <c r="C213" s="68">
        <f t="shared" si="25"/>
        <v>85640.83627109995</v>
      </c>
      <c r="D213" s="67">
        <f t="array" ref="D213">SUM($B$7:$B208*$F$1009*EXP(-$F$1009*($A213-$A$7:$A208)))*$F$1010</f>
        <v>6513980.9059302062</v>
      </c>
      <c r="E213" s="67">
        <f t="shared" si="23"/>
        <v>12.418329542524972</v>
      </c>
      <c r="F213" s="70">
        <f t="shared" si="27"/>
        <v>0.75404096982211632</v>
      </c>
      <c r="G213" s="67">
        <f>E213/'Lookup Tables'!$C$48</f>
        <v>24.836659085049945</v>
      </c>
      <c r="H213" s="70">
        <f t="shared" si="24"/>
        <v>7.6214505739871291E-2</v>
      </c>
      <c r="I213" s="71">
        <f t="shared" si="28"/>
        <v>3.5764789082471923E-2</v>
      </c>
      <c r="L213" s="74"/>
      <c r="M213" s="74"/>
      <c r="N213" s="74"/>
      <c r="O213" s="74"/>
      <c r="P213" s="74"/>
      <c r="Q213" s="74"/>
      <c r="R213" s="74"/>
      <c r="S213" s="74"/>
      <c r="T213" s="74"/>
      <c r="U213" s="74"/>
      <c r="V213" s="74"/>
      <c r="W213" s="74"/>
      <c r="X213" s="74"/>
      <c r="Y213" s="74"/>
      <c r="Z213" s="74"/>
    </row>
    <row r="214" spans="1:26" x14ac:dyDescent="0.3">
      <c r="A214" s="66">
        <f t="shared" si="26"/>
        <v>2010.6999999999812</v>
      </c>
      <c r="B214" s="67">
        <f>LOOKUP(A214+0.01,Amounts!$A$4:$A$103,Amounts!$B$4:$B$103)*0.1*$A$2</f>
        <v>502.24205130000001</v>
      </c>
      <c r="C214" s="68">
        <f t="shared" si="25"/>
        <v>86143.078322399946</v>
      </c>
      <c r="D214" s="67">
        <f t="array" ref="D214">SUM($B$7:$B209*$F$1009*EXP(-$F$1009*($A214-$A$7:$A209)))*$F$1010</f>
        <v>6549597.9117988013</v>
      </c>
      <c r="E214" s="67">
        <f t="shared" si="23"/>
        <v>12.486230219942005</v>
      </c>
      <c r="F214" s="70">
        <f t="shared" si="27"/>
        <v>0.75816389895487857</v>
      </c>
      <c r="G214" s="67">
        <f>E214/'Lookup Tables'!$C$48</f>
        <v>24.97246043988401</v>
      </c>
      <c r="H214" s="70">
        <f t="shared" si="24"/>
        <v>7.6184444895730993E-2</v>
      </c>
      <c r="I214" s="71">
        <f t="shared" si="28"/>
        <v>3.5960343033432977E-2</v>
      </c>
      <c r="L214" s="74"/>
      <c r="M214" s="74"/>
      <c r="N214" s="74"/>
      <c r="O214" s="74"/>
      <c r="P214" s="74"/>
      <c r="Q214" s="74"/>
      <c r="R214" s="74"/>
      <c r="S214" s="74"/>
      <c r="T214" s="74"/>
      <c r="U214" s="74"/>
      <c r="V214" s="74"/>
      <c r="W214" s="74"/>
      <c r="X214" s="74"/>
      <c r="Y214" s="74"/>
      <c r="Z214" s="74"/>
    </row>
    <row r="215" spans="1:26" x14ac:dyDescent="0.3">
      <c r="A215" s="66">
        <f t="shared" si="26"/>
        <v>2010.7999999999811</v>
      </c>
      <c r="B215" s="67">
        <f>LOOKUP(A215+0.01,Amounts!$A$4:$A$103,Amounts!$B$4:$B$103)*0.1*$A$2</f>
        <v>502.24205130000001</v>
      </c>
      <c r="C215" s="68">
        <f t="shared" si="25"/>
        <v>86645.320373699942</v>
      </c>
      <c r="D215" s="67">
        <f t="array" ref="D215">SUM($B$7:$B210*$F$1009*EXP(-$F$1009*($A215-$A$7:$A210)))*$F$1010</f>
        <v>6585165.0887475647</v>
      </c>
      <c r="E215" s="67">
        <f t="shared" si="23"/>
        <v>12.554035902922275</v>
      </c>
      <c r="F215" s="70">
        <f t="shared" si="27"/>
        <v>0.76228106002544049</v>
      </c>
      <c r="G215" s="67">
        <f>E215/'Lookup Tables'!$C$48</f>
        <v>25.108071805844549</v>
      </c>
      <c r="H215" s="70">
        <f t="shared" si="24"/>
        <v>7.6154156302003895E-2</v>
      </c>
      <c r="I215" s="71">
        <f t="shared" si="28"/>
        <v>3.6155623400416149E-2</v>
      </c>
      <c r="L215" s="74"/>
      <c r="M215" s="74"/>
      <c r="N215" s="74"/>
      <c r="O215" s="74"/>
      <c r="P215" s="74"/>
      <c r="Q215" s="74"/>
      <c r="R215" s="74"/>
      <c r="S215" s="74"/>
      <c r="T215" s="74"/>
      <c r="U215" s="74"/>
      <c r="V215" s="74"/>
      <c r="W215" s="74"/>
      <c r="X215" s="74"/>
      <c r="Y215" s="74"/>
      <c r="Z215" s="74"/>
    </row>
    <row r="216" spans="1:26" x14ac:dyDescent="0.3">
      <c r="A216" s="66">
        <f t="shared" si="26"/>
        <v>2010.899999999981</v>
      </c>
      <c r="B216" s="67">
        <f>LOOKUP(A216+0.01,Amounts!$A$4:$A$103,Amounts!$B$4:$B$103)*0.1*$A$2</f>
        <v>502.24205130000001</v>
      </c>
      <c r="C216" s="68">
        <f t="shared" si="25"/>
        <v>87147.562424999938</v>
      </c>
      <c r="D216" s="67">
        <f t="array" ref="D216">SUM($B$7:$B211*$F$1009*EXP(-$F$1009*($A216-$A$7:$A211)))*$F$1010</f>
        <v>6620682.5064881733</v>
      </c>
      <c r="E216" s="67">
        <f t="shared" si="23"/>
        <v>12.621746724364945</v>
      </c>
      <c r="F216" s="70">
        <f t="shared" si="27"/>
        <v>0.76639246110343939</v>
      </c>
      <c r="G216" s="67">
        <f>E216/'Lookup Tables'!$C$48</f>
        <v>25.24349344872989</v>
      </c>
      <c r="H216" s="70">
        <f t="shared" si="24"/>
        <v>7.6123644697870835E-2</v>
      </c>
      <c r="I216" s="71">
        <f t="shared" si="28"/>
        <v>3.6350630566171035E-2</v>
      </c>
      <c r="L216" s="74"/>
      <c r="M216" s="74"/>
      <c r="N216" s="74"/>
      <c r="O216" s="74"/>
      <c r="P216" s="74"/>
      <c r="Q216" s="74"/>
      <c r="R216" s="74"/>
      <c r="S216" s="74"/>
      <c r="T216" s="74"/>
      <c r="U216" s="74"/>
      <c r="V216" s="74"/>
      <c r="W216" s="74"/>
      <c r="X216" s="74"/>
      <c r="Y216" s="74"/>
      <c r="Z216" s="74"/>
    </row>
    <row r="217" spans="1:26" x14ac:dyDescent="0.3">
      <c r="A217" s="66">
        <f t="shared" si="26"/>
        <v>2010.9999999999809</v>
      </c>
      <c r="B217" s="67">
        <f>LOOKUP(A217+0.01,Amounts!$A$4:$A$103,Amounts!$B$4:$B$103)*0.1*$A$2</f>
        <v>512.28179969999997</v>
      </c>
      <c r="C217" s="68">
        <f t="shared" si="25"/>
        <v>87659.844224699933</v>
      </c>
      <c r="D217" s="67">
        <f t="array" ref="D217">SUM($B$7:$B212*$F$1009*EXP(-$F$1009*($A217-$A$7:$A212)))*$F$1010</f>
        <v>6656150.2346347766</v>
      </c>
      <c r="E217" s="67">
        <f t="shared" si="23"/>
        <v>12.689362816983243</v>
      </c>
      <c r="F217" s="70">
        <f t="shared" si="27"/>
        <v>0.77049811024722248</v>
      </c>
      <c r="G217" s="67">
        <f>E217/'Lookup Tables'!$C$48</f>
        <v>25.378725633966486</v>
      </c>
      <c r="H217" s="70">
        <f t="shared" si="24"/>
        <v>7.608419973357787E-2</v>
      </c>
      <c r="I217" s="71">
        <f t="shared" si="28"/>
        <v>3.6545364912911743E-2</v>
      </c>
      <c r="L217" s="74"/>
      <c r="M217" s="74"/>
      <c r="N217" s="74"/>
      <c r="O217" s="74"/>
      <c r="P217" s="74"/>
      <c r="Q217" s="74"/>
      <c r="R217" s="74"/>
      <c r="S217" s="74"/>
      <c r="T217" s="74"/>
      <c r="U217" s="74"/>
      <c r="V217" s="74"/>
      <c r="W217" s="74"/>
      <c r="X217" s="74"/>
      <c r="Y217" s="74"/>
      <c r="Z217" s="74"/>
    </row>
    <row r="218" spans="1:26" x14ac:dyDescent="0.3">
      <c r="A218" s="66">
        <f t="shared" si="26"/>
        <v>2011.0999999999808</v>
      </c>
      <c r="B218" s="67">
        <f>LOOKUP(A218+0.01,Amounts!$A$4:$A$103,Amounts!$B$4:$B$103)*0.1*$A$2</f>
        <v>512.28179969999997</v>
      </c>
      <c r="C218" s="68">
        <f t="shared" si="25"/>
        <v>88172.126024399928</v>
      </c>
      <c r="D218" s="67">
        <f t="array" ref="D218">SUM($B$7:$B213*$F$1009*EXP(-$F$1009*($A218-$A$7:$A213)))*$F$1010</f>
        <v>6691568.3427041331</v>
      </c>
      <c r="E218" s="67">
        <f t="shared" si="23"/>
        <v>12.756884313304734</v>
      </c>
      <c r="F218" s="70">
        <f t="shared" si="27"/>
        <v>0.77459801550386342</v>
      </c>
      <c r="G218" s="67">
        <f>E218/'Lookup Tables'!$C$48</f>
        <v>25.513768626609469</v>
      </c>
      <c r="H218" s="70">
        <f t="shared" si="24"/>
        <v>7.6044649226417488E-2</v>
      </c>
      <c r="I218" s="71">
        <f t="shared" si="28"/>
        <v>3.6739826822317634E-2</v>
      </c>
      <c r="L218" s="74"/>
      <c r="M218" s="74"/>
      <c r="N218" s="74"/>
      <c r="O218" s="74"/>
      <c r="P218" s="74"/>
      <c r="Q218" s="74"/>
      <c r="R218" s="74"/>
      <c r="S218" s="74"/>
      <c r="T218" s="74"/>
      <c r="U218" s="74"/>
      <c r="V218" s="74"/>
      <c r="W218" s="74"/>
      <c r="X218" s="74"/>
      <c r="Y218" s="74"/>
      <c r="Z218" s="74"/>
    </row>
    <row r="219" spans="1:26" x14ac:dyDescent="0.3">
      <c r="A219" s="66">
        <f t="shared" si="26"/>
        <v>2011.1999999999807</v>
      </c>
      <c r="B219" s="67">
        <f>LOOKUP(A219+0.01,Amounts!$A$4:$A$103,Amounts!$B$4:$B$103)*0.1*$A$2</f>
        <v>512.28179969999997</v>
      </c>
      <c r="C219" s="68">
        <f t="shared" si="25"/>
        <v>88684.407824099922</v>
      </c>
      <c r="D219" s="67">
        <f t="array" ref="D219">SUM($B$7:$B214*$F$1009*EXP(-$F$1009*($A219-$A$7:$A214)))*$F$1010</f>
        <v>6726936.9001157433</v>
      </c>
      <c r="E219" s="67">
        <f t="shared" si="23"/>
        <v>12.824311345671568</v>
      </c>
      <c r="F219" s="70">
        <f t="shared" si="27"/>
        <v>0.77869218490917758</v>
      </c>
      <c r="G219" s="67">
        <f>E219/'Lookup Tables'!$C$48</f>
        <v>25.648622691343135</v>
      </c>
      <c r="H219" s="70">
        <f t="shared" si="24"/>
        <v>7.6004995789725083E-2</v>
      </c>
      <c r="I219" s="71">
        <f t="shared" si="28"/>
        <v>3.6934016675534122E-2</v>
      </c>
      <c r="L219" s="74"/>
      <c r="M219" s="74"/>
      <c r="N219" s="74"/>
      <c r="O219" s="74"/>
      <c r="P219" s="74"/>
      <c r="Q219" s="74"/>
      <c r="R219" s="74"/>
      <c r="S219" s="74"/>
      <c r="T219" s="74"/>
      <c r="U219" s="74"/>
      <c r="V219" s="74"/>
      <c r="W219" s="74"/>
      <c r="X219" s="74"/>
      <c r="Y219" s="74"/>
      <c r="Z219" s="74"/>
    </row>
    <row r="220" spans="1:26" x14ac:dyDescent="0.3">
      <c r="A220" s="66">
        <f t="shared" si="26"/>
        <v>2011.2999999999806</v>
      </c>
      <c r="B220" s="67">
        <f>LOOKUP(A220+0.01,Amounts!$A$4:$A$103,Amounts!$B$4:$B$103)*0.1*$A$2</f>
        <v>512.28179969999997</v>
      </c>
      <c r="C220" s="68">
        <f t="shared" si="25"/>
        <v>89196.689623799917</v>
      </c>
      <c r="D220" s="67">
        <f t="array" ref="D220">SUM($B$7:$B215*$F$1009*EXP(-$F$1009*($A220-$A$7:$A215)))*$F$1010</f>
        <v>6762255.9761919947</v>
      </c>
      <c r="E220" s="67">
        <f t="shared" si="23"/>
        <v>12.891644046240756</v>
      </c>
      <c r="F220" s="70">
        <f t="shared" si="27"/>
        <v>0.78278062648773883</v>
      </c>
      <c r="G220" s="67">
        <f>E220/'Lookup Tables'!$C$48</f>
        <v>25.783288092481513</v>
      </c>
      <c r="H220" s="70">
        <f t="shared" si="24"/>
        <v>7.5965241975708656E-2</v>
      </c>
      <c r="I220" s="71">
        <f t="shared" si="28"/>
        <v>3.7127934853173387E-2</v>
      </c>
      <c r="L220" s="74"/>
      <c r="M220" s="74"/>
      <c r="N220" s="74"/>
      <c r="O220" s="74"/>
      <c r="P220" s="74"/>
      <c r="Q220" s="74"/>
      <c r="R220" s="74"/>
      <c r="S220" s="74"/>
      <c r="T220" s="74"/>
      <c r="U220" s="74"/>
      <c r="V220" s="74"/>
      <c r="W220" s="74"/>
      <c r="X220" s="74"/>
      <c r="Y220" s="74"/>
      <c r="Z220" s="74"/>
    </row>
    <row r="221" spans="1:26" x14ac:dyDescent="0.3">
      <c r="A221" s="66">
        <f t="shared" si="26"/>
        <v>2011.3999999999805</v>
      </c>
      <c r="B221" s="67">
        <f>LOOKUP(A221+0.01,Amounts!$A$4:$A$103,Amounts!$B$4:$B$103)*0.1*$A$2</f>
        <v>512.28179969999997</v>
      </c>
      <c r="C221" s="68">
        <f t="shared" si="25"/>
        <v>89708.971423499912</v>
      </c>
      <c r="D221" s="67">
        <f t="array" ref="D221">SUM($B$7:$B216*$F$1009*EXP(-$F$1009*($A221-$A$7:$A216)))*$F$1010</f>
        <v>6797525.6401582891</v>
      </c>
      <c r="E221" s="67">
        <f t="shared" si="23"/>
        <v>12.958882546984414</v>
      </c>
      <c r="F221" s="70">
        <f t="shared" si="27"/>
        <v>0.7868633482528935</v>
      </c>
      <c r="G221" s="67">
        <f>E221/'Lookup Tables'!$C$48</f>
        <v>25.917765093968828</v>
      </c>
      <c r="H221" s="70">
        <f t="shared" si="24"/>
        <v>7.592539027719547E-2</v>
      </c>
      <c r="I221" s="71">
        <f t="shared" si="28"/>
        <v>3.7321581735315107E-2</v>
      </c>
      <c r="L221" s="74"/>
      <c r="M221" s="74"/>
      <c r="N221" s="74"/>
      <c r="O221" s="74"/>
      <c r="P221" s="74"/>
      <c r="Q221" s="74"/>
      <c r="R221" s="74"/>
      <c r="S221" s="74"/>
      <c r="T221" s="74"/>
      <c r="U221" s="74"/>
      <c r="V221" s="74"/>
      <c r="W221" s="74"/>
      <c r="X221" s="74"/>
      <c r="Y221" s="74"/>
      <c r="Z221" s="74"/>
    </row>
    <row r="222" spans="1:26" x14ac:dyDescent="0.3">
      <c r="A222" s="66">
        <f t="shared" si="26"/>
        <v>2011.4999999999804</v>
      </c>
      <c r="B222" s="67">
        <f>LOOKUP(A222+0.01,Amounts!$A$4:$A$103,Amounts!$B$4:$B$103)*0.1*$A$2</f>
        <v>512.28179969999997</v>
      </c>
      <c r="C222" s="68">
        <f t="shared" si="25"/>
        <v>90221.253223199907</v>
      </c>
      <c r="D222" s="67">
        <f t="array" ref="D222">SUM($B$7:$B217*$F$1009*EXP(-$F$1009*($A222-$A$7:$A217)))*$F$1010</f>
        <v>6833640.1115568904</v>
      </c>
      <c r="E222" s="67">
        <f t="shared" si="23"/>
        <v>13.027731598518114</v>
      </c>
      <c r="F222" s="70">
        <f t="shared" si="27"/>
        <v>0.79104386266201987</v>
      </c>
      <c r="G222" s="67">
        <f>E222/'Lookup Tables'!$C$48</f>
        <v>26.055463197036229</v>
      </c>
      <c r="H222" s="70">
        <f t="shared" si="24"/>
        <v>7.5895373690290924E-2</v>
      </c>
      <c r="I222" s="71">
        <f t="shared" si="28"/>
        <v>3.7519867003732173E-2</v>
      </c>
      <c r="L222" s="74"/>
      <c r="M222" s="74"/>
      <c r="N222" s="74"/>
      <c r="O222" s="74"/>
      <c r="P222" s="74"/>
      <c r="Q222" s="74"/>
      <c r="R222" s="74"/>
      <c r="S222" s="74"/>
      <c r="T222" s="74"/>
      <c r="U222" s="74"/>
      <c r="V222" s="74"/>
      <c r="W222" s="74"/>
      <c r="X222" s="74"/>
      <c r="Y222" s="74"/>
      <c r="Z222" s="74"/>
    </row>
    <row r="223" spans="1:26" x14ac:dyDescent="0.3">
      <c r="A223" s="66">
        <f t="shared" si="26"/>
        <v>2011.5999999999804</v>
      </c>
      <c r="B223" s="67">
        <f>LOOKUP(A223+0.01,Amounts!$A$4:$A$103,Amounts!$B$4:$B$103)*0.1*$A$2</f>
        <v>512.28179969999997</v>
      </c>
      <c r="C223" s="68">
        <f t="shared" si="25"/>
        <v>90733.535022899901</v>
      </c>
      <c r="D223" s="67">
        <f t="array" ref="D223">SUM($B$7:$B218*$F$1009*EXP(-$F$1009*($A223-$A$7:$A218)))*$F$1010</f>
        <v>6869704.0580712045</v>
      </c>
      <c r="E223" s="67">
        <f t="shared" si="23"/>
        <v>13.09648432882026</v>
      </c>
      <c r="F223" s="70">
        <f t="shared" si="27"/>
        <v>0.79521852844596619</v>
      </c>
      <c r="G223" s="67">
        <f>E223/'Lookup Tables'!$C$48</f>
        <v>26.19296865764052</v>
      </c>
      <c r="H223" s="70">
        <f t="shared" si="24"/>
        <v>7.586513808252511E-2</v>
      </c>
      <c r="I223" s="71">
        <f t="shared" si="28"/>
        <v>3.771787486700235E-2</v>
      </c>
      <c r="L223" s="74"/>
      <c r="M223" s="74"/>
      <c r="N223" s="74"/>
      <c r="O223" s="74"/>
      <c r="P223" s="74"/>
      <c r="Q223" s="74"/>
      <c r="R223" s="74"/>
      <c r="S223" s="74"/>
      <c r="T223" s="74"/>
      <c r="U223" s="74"/>
      <c r="V223" s="74"/>
      <c r="W223" s="74"/>
      <c r="X223" s="74"/>
      <c r="Y223" s="74"/>
      <c r="Z223" s="74"/>
    </row>
    <row r="224" spans="1:26" x14ac:dyDescent="0.3">
      <c r="A224" s="66">
        <f t="shared" si="26"/>
        <v>2011.6999999999803</v>
      </c>
      <c r="B224" s="67">
        <f>LOOKUP(A224+0.01,Amounts!$A$4:$A$103,Amounts!$B$4:$B$103)*0.1*$A$2</f>
        <v>512.28179969999997</v>
      </c>
      <c r="C224" s="68">
        <f t="shared" si="25"/>
        <v>91245.816822599896</v>
      </c>
      <c r="D224" s="67">
        <f t="array" ref="D224">SUM($B$7:$B219*$F$1009*EXP(-$F$1009*($A224-$A$7:$A219)))*$F$1010</f>
        <v>6905717.5503865778</v>
      </c>
      <c r="E224" s="67">
        <f t="shared" si="23"/>
        <v>13.165140872646225</v>
      </c>
      <c r="F224" s="70">
        <f t="shared" si="27"/>
        <v>0.7993873537870787</v>
      </c>
      <c r="G224" s="67">
        <f>E224/'Lookup Tables'!$C$48</f>
        <v>26.330281745292449</v>
      </c>
      <c r="H224" s="70">
        <f t="shared" si="24"/>
        <v>7.5834687919073995E-2</v>
      </c>
      <c r="I224" s="71">
        <f t="shared" si="28"/>
        <v>3.7915605713221126E-2</v>
      </c>
      <c r="L224" s="74"/>
      <c r="M224" s="74"/>
      <c r="N224" s="74"/>
      <c r="O224" s="74"/>
      <c r="P224" s="74"/>
      <c r="Q224" s="74"/>
      <c r="R224" s="74"/>
      <c r="S224" s="74"/>
      <c r="T224" s="74"/>
      <c r="U224" s="74"/>
      <c r="V224" s="74"/>
      <c r="W224" s="74"/>
      <c r="X224" s="74"/>
      <c r="Y224" s="74"/>
      <c r="Z224" s="74"/>
    </row>
    <row r="225" spans="1:26" x14ac:dyDescent="0.3">
      <c r="A225" s="66">
        <f t="shared" si="26"/>
        <v>2011.7999999999802</v>
      </c>
      <c r="B225" s="67">
        <f>LOOKUP(A225+0.01,Amounts!$A$4:$A$103,Amounts!$B$4:$B$103)*0.1*$A$2</f>
        <v>512.28179969999997</v>
      </c>
      <c r="C225" s="68">
        <f t="shared" si="25"/>
        <v>91758.098622299891</v>
      </c>
      <c r="D225" s="67">
        <f t="array" ref="D225">SUM($B$7:$B220*$F$1009*EXP(-$F$1009*($A225-$A$7:$A220)))*$F$1010</f>
        <v>6941680.6590894712</v>
      </c>
      <c r="E225" s="67">
        <f t="shared" si="23"/>
        <v>13.233701364562863</v>
      </c>
      <c r="F225" s="70">
        <f t="shared" si="27"/>
        <v>0.80355034685625704</v>
      </c>
      <c r="G225" s="67">
        <f>E225/'Lookup Tables'!$C$48</f>
        <v>26.467402729125727</v>
      </c>
      <c r="H225" s="70">
        <f t="shared" si="24"/>
        <v>7.5804027564318102E-2</v>
      </c>
      <c r="I225" s="71">
        <f t="shared" si="28"/>
        <v>3.8113059929941046E-2</v>
      </c>
      <c r="L225" s="74"/>
      <c r="M225" s="74"/>
      <c r="N225" s="74"/>
      <c r="O225" s="74"/>
      <c r="P225" s="74"/>
      <c r="Q225" s="74"/>
      <c r="R225" s="74"/>
      <c r="S225" s="74"/>
      <c r="T225" s="74"/>
      <c r="U225" s="74"/>
      <c r="V225" s="74"/>
      <c r="W225" s="74"/>
      <c r="X225" s="74"/>
      <c r="Y225" s="74"/>
      <c r="Z225" s="74"/>
    </row>
    <row r="226" spans="1:26" x14ac:dyDescent="0.3">
      <c r="A226" s="66">
        <f t="shared" si="26"/>
        <v>2011.8999999999801</v>
      </c>
      <c r="B226" s="67">
        <f>LOOKUP(A226+0.01,Amounts!$A$4:$A$103,Amounts!$B$4:$B$103)*0.1*$A$2</f>
        <v>512.28179969999997</v>
      </c>
      <c r="C226" s="68">
        <f t="shared" si="25"/>
        <v>92270.380421999886</v>
      </c>
      <c r="D226" s="67">
        <f t="array" ref="D226">SUM($B$7:$B221*$F$1009*EXP(-$F$1009*($A226-$A$7:$A221)))*$F$1010</f>
        <v>6977593.4546675822</v>
      </c>
      <c r="E226" s="67">
        <f t="shared" si="23"/>
        <v>13.302165938948752</v>
      </c>
      <c r="F226" s="70">
        <f t="shared" si="27"/>
        <v>0.80770751581296829</v>
      </c>
      <c r="G226" s="67">
        <f>E226/'Lookup Tables'!$C$48</f>
        <v>26.604331877897504</v>
      </c>
      <c r="H226" s="70">
        <f t="shared" si="24"/>
        <v>7.5773161284641927E-2</v>
      </c>
      <c r="I226" s="71">
        <f t="shared" si="28"/>
        <v>3.8310237904172408E-2</v>
      </c>
      <c r="L226" s="74"/>
      <c r="M226" s="74"/>
      <c r="N226" s="74"/>
      <c r="O226" s="74"/>
      <c r="P226" s="74"/>
      <c r="Q226" s="74"/>
      <c r="R226" s="74"/>
      <c r="S226" s="74"/>
      <c r="T226" s="74"/>
      <c r="U226" s="74"/>
      <c r="V226" s="74"/>
      <c r="W226" s="74"/>
      <c r="X226" s="74"/>
      <c r="Y226" s="74"/>
      <c r="Z226" s="74"/>
    </row>
    <row r="227" spans="1:26" x14ac:dyDescent="0.3">
      <c r="A227" s="66">
        <f t="shared" si="26"/>
        <v>2011.99999999998</v>
      </c>
      <c r="B227" s="67">
        <f>LOOKUP(A227+0.01,Amounts!$A$4:$A$103,Amounts!$B$4:$B$103)*0.1*$A$2</f>
        <v>545.63850000000002</v>
      </c>
      <c r="C227" s="68">
        <f t="shared" si="25"/>
        <v>92816.018921999887</v>
      </c>
      <c r="D227" s="67">
        <f t="array" ref="D227">SUM($B$7:$B222*$F$1009*EXP(-$F$1009*($A227-$A$7:$A222)))*$F$1010</f>
        <v>7013456.0075100055</v>
      </c>
      <c r="E227" s="67">
        <f t="shared" si="23"/>
        <v>13.370534729994484</v>
      </c>
      <c r="F227" s="70">
        <f t="shared" si="27"/>
        <v>0.81185886880526503</v>
      </c>
      <c r="G227" s="67">
        <f>E227/'Lookup Tables'!$C$48</f>
        <v>26.741069459988967</v>
      </c>
      <c r="H227" s="70">
        <f t="shared" si="24"/>
        <v>7.571487266643992E-2</v>
      </c>
      <c r="I227" s="71">
        <f t="shared" si="28"/>
        <v>3.8507140022384111E-2</v>
      </c>
      <c r="L227" s="74"/>
      <c r="M227" s="74"/>
      <c r="N227" s="74"/>
      <c r="O227" s="74"/>
      <c r="P227" s="74"/>
      <c r="Q227" s="74"/>
      <c r="R227" s="74"/>
      <c r="S227" s="74"/>
      <c r="T227" s="74"/>
      <c r="U227" s="74"/>
      <c r="V227" s="74"/>
      <c r="W227" s="74"/>
      <c r="X227" s="74"/>
      <c r="Y227" s="74"/>
      <c r="Z227" s="74"/>
    </row>
    <row r="228" spans="1:26" x14ac:dyDescent="0.3">
      <c r="A228" s="66">
        <f t="shared" si="26"/>
        <v>2012.0999999999799</v>
      </c>
      <c r="B228" s="67">
        <f>LOOKUP(A228+0.01,Amounts!$A$4:$A$103,Amounts!$B$4:$B$103)*0.1*$A$2</f>
        <v>545.63850000000002</v>
      </c>
      <c r="C228" s="68">
        <f t="shared" si="25"/>
        <v>93361.657421999887</v>
      </c>
      <c r="D228" s="67">
        <f t="array" ref="D228">SUM($B$7:$B223*$F$1009*EXP(-$F$1009*($A228-$A$7:$A223)))*$F$1010</f>
        <v>7049268.3879073579</v>
      </c>
      <c r="E228" s="67">
        <f t="shared" si="23"/>
        <v>13.438807871702915</v>
      </c>
      <c r="F228" s="70">
        <f t="shared" si="27"/>
        <v>0.81600441396980095</v>
      </c>
      <c r="G228" s="67">
        <f>E228/'Lookup Tables'!$C$48</f>
        <v>26.87761574340583</v>
      </c>
      <c r="H228" s="70">
        <f t="shared" si="24"/>
        <v>7.5656726887783521E-2</v>
      </c>
      <c r="I228" s="71">
        <f t="shared" si="28"/>
        <v>3.8703766670504396E-2</v>
      </c>
      <c r="L228" s="74"/>
      <c r="M228" s="74"/>
      <c r="N228" s="74"/>
      <c r="O228" s="74"/>
      <c r="P228" s="74"/>
      <c r="Q228" s="74"/>
      <c r="R228" s="74"/>
      <c r="S228" s="74"/>
      <c r="T228" s="74"/>
      <c r="U228" s="74"/>
      <c r="V228" s="74"/>
      <c r="W228" s="74"/>
      <c r="X228" s="74"/>
      <c r="Y228" s="74"/>
      <c r="Z228" s="74"/>
    </row>
    <row r="229" spans="1:26" x14ac:dyDescent="0.3">
      <c r="A229" s="66">
        <f t="shared" si="26"/>
        <v>2012.1999999999798</v>
      </c>
      <c r="B229" s="67">
        <f>LOOKUP(A229+0.01,Amounts!$A$4:$A$103,Amounts!$B$4:$B$103)*0.1*$A$2</f>
        <v>545.63850000000002</v>
      </c>
      <c r="C229" s="68">
        <f t="shared" si="25"/>
        <v>93907.295921999888</v>
      </c>
      <c r="D229" s="67">
        <f t="array" ref="D229">SUM($B$7:$B224*$F$1009*EXP(-$F$1009*($A229-$A$7:$A224)))*$F$1010</f>
        <v>7085030.6660519149</v>
      </c>
      <c r="E229" s="67">
        <f t="shared" si="23"/>
        <v>13.506985497889421</v>
      </c>
      <c r="F229" s="70">
        <f t="shared" si="27"/>
        <v>0.8201441594318456</v>
      </c>
      <c r="G229" s="67">
        <f>E229/'Lookup Tables'!$C$48</f>
        <v>27.013970995778841</v>
      </c>
      <c r="H229" s="70">
        <f t="shared" si="24"/>
        <v>7.5598722207775942E-2</v>
      </c>
      <c r="I229" s="71">
        <f t="shared" si="28"/>
        <v>3.8900118233921532E-2</v>
      </c>
      <c r="L229" s="74"/>
      <c r="M229" s="74"/>
      <c r="N229" s="74"/>
      <c r="O229" s="74"/>
      <c r="P229" s="74"/>
      <c r="Q229" s="74"/>
      <c r="R229" s="74"/>
      <c r="S229" s="74"/>
      <c r="T229" s="74"/>
      <c r="U229" s="74"/>
      <c r="V229" s="74"/>
      <c r="W229" s="74"/>
      <c r="X229" s="74"/>
      <c r="Y229" s="74"/>
      <c r="Z229" s="74"/>
    </row>
    <row r="230" spans="1:26" x14ac:dyDescent="0.3">
      <c r="A230" s="66">
        <f t="shared" si="26"/>
        <v>2012.2999999999797</v>
      </c>
      <c r="B230" s="67">
        <f>LOOKUP(A230+0.01,Amounts!$A$4:$A$103,Amounts!$B$4:$B$103)*0.1*$A$2</f>
        <v>545.63850000000002</v>
      </c>
      <c r="C230" s="68">
        <f t="shared" si="25"/>
        <v>94452.934421999889</v>
      </c>
      <c r="D230" s="67">
        <f t="array" ref="D230">SUM($B$7:$B225*$F$1009*EXP(-$F$1009*($A230-$A$7:$A225)))*$F$1010</f>
        <v>7120742.9120377526</v>
      </c>
      <c r="E230" s="67">
        <f t="shared" si="23"/>
        <v>13.575067742182171</v>
      </c>
      <c r="F230" s="70">
        <f t="shared" si="27"/>
        <v>0.82427811330530143</v>
      </c>
      <c r="G230" s="67">
        <f>E230/'Lookup Tables'!$C$48</f>
        <v>27.150135484364341</v>
      </c>
      <c r="H230" s="70">
        <f t="shared" si="24"/>
        <v>7.554085692470619E-2</v>
      </c>
      <c r="I230" s="71">
        <f t="shared" si="28"/>
        <v>3.9096195097484653E-2</v>
      </c>
      <c r="L230" s="74"/>
      <c r="M230" s="74"/>
      <c r="N230" s="74"/>
      <c r="O230" s="74"/>
      <c r="P230" s="74"/>
      <c r="Q230" s="74"/>
      <c r="R230" s="74"/>
      <c r="S230" s="74"/>
      <c r="T230" s="74"/>
      <c r="U230" s="74"/>
      <c r="V230" s="74"/>
      <c r="W230" s="74"/>
      <c r="X230" s="74"/>
      <c r="Y230" s="74"/>
      <c r="Z230" s="74"/>
    </row>
    <row r="231" spans="1:26" x14ac:dyDescent="0.3">
      <c r="A231" s="66">
        <f t="shared" si="26"/>
        <v>2012.3999999999796</v>
      </c>
      <c r="B231" s="67">
        <f>LOOKUP(A231+0.01,Amounts!$A$4:$A$103,Amounts!$B$4:$B$103)*0.1*$A$2</f>
        <v>545.63850000000002</v>
      </c>
      <c r="C231" s="68">
        <f t="shared" si="25"/>
        <v>94998.57292199989</v>
      </c>
      <c r="D231" s="67">
        <f t="array" ref="D231">SUM($B$7:$B226*$F$1009*EXP(-$F$1009*($A231-$A$7:$A226)))*$F$1010</f>
        <v>7156405.1958608851</v>
      </c>
      <c r="E231" s="67">
        <f t="shared" si="23"/>
        <v>13.643054738022386</v>
      </c>
      <c r="F231" s="70">
        <f t="shared" si="27"/>
        <v>0.82840628369271929</v>
      </c>
      <c r="G231" s="67">
        <f>E231/'Lookup Tables'!$C$48</f>
        <v>27.286109476044771</v>
      </c>
      <c r="H231" s="70">
        <f t="shared" si="24"/>
        <v>7.5483129374925004E-2</v>
      </c>
      <c r="I231" s="71">
        <f t="shared" si="28"/>
        <v>3.9291997645504464E-2</v>
      </c>
      <c r="L231" s="74"/>
      <c r="M231" s="74"/>
      <c r="N231" s="74"/>
      <c r="O231" s="74"/>
      <c r="P231" s="74"/>
      <c r="Q231" s="74"/>
      <c r="R231" s="74"/>
      <c r="S231" s="74"/>
      <c r="T231" s="74"/>
      <c r="U231" s="74"/>
      <c r="V231" s="74"/>
      <c r="W231" s="74"/>
      <c r="X231" s="74"/>
      <c r="Y231" s="74"/>
      <c r="Z231" s="74"/>
    </row>
    <row r="232" spans="1:26" x14ac:dyDescent="0.3">
      <c r="A232" s="66">
        <f t="shared" si="26"/>
        <v>2012.4999999999795</v>
      </c>
      <c r="B232" s="67">
        <f>LOOKUP(A232+0.01,Amounts!$A$4:$A$103,Amounts!$B$4:$B$103)*0.1*$A$2</f>
        <v>545.63850000000002</v>
      </c>
      <c r="C232" s="68">
        <f t="shared" si="25"/>
        <v>95544.211421999891</v>
      </c>
      <c r="D232" s="67">
        <f t="array" ref="D232">SUM($B$7:$B227*$F$1009*EXP(-$F$1009*($A232-$A$7:$A227)))*$F$1010</f>
        <v>7194988.3697722098</v>
      </c>
      <c r="E232" s="67">
        <f t="shared" si="23"/>
        <v>13.716610152959385</v>
      </c>
      <c r="F232" s="70">
        <f t="shared" si="27"/>
        <v>0.83287256848769375</v>
      </c>
      <c r="G232" s="67">
        <f>E232/'Lookup Tables'!$C$48</f>
        <v>27.43322030591877</v>
      </c>
      <c r="H232" s="70">
        <f t="shared" si="24"/>
        <v>7.5456693703323752E-2</v>
      </c>
      <c r="I232" s="71">
        <f t="shared" si="28"/>
        <v>3.9503837240523025E-2</v>
      </c>
      <c r="L232" s="74"/>
      <c r="M232" s="74"/>
      <c r="N232" s="74"/>
      <c r="O232" s="74"/>
      <c r="P232" s="74"/>
      <c r="Q232" s="74"/>
      <c r="R232" s="74"/>
      <c r="S232" s="74"/>
      <c r="T232" s="74"/>
      <c r="U232" s="74"/>
      <c r="V232" s="74"/>
      <c r="W232" s="74"/>
      <c r="X232" s="74"/>
      <c r="Y232" s="74"/>
      <c r="Z232" s="74"/>
    </row>
    <row r="233" spans="1:26" x14ac:dyDescent="0.3">
      <c r="A233" s="66">
        <f t="shared" si="26"/>
        <v>2012.5999999999794</v>
      </c>
      <c r="B233" s="67">
        <f>LOOKUP(A233+0.01,Amounts!$A$4:$A$103,Amounts!$B$4:$B$103)*0.1*$A$2</f>
        <v>545.63850000000002</v>
      </c>
      <c r="C233" s="68">
        <f t="shared" si="25"/>
        <v>96089.849921999892</v>
      </c>
      <c r="D233" s="67">
        <f t="array" ref="D233">SUM($B$7:$B228*$F$1009*EXP(-$F$1009*($A233-$A$7:$A228)))*$F$1010</f>
        <v>7233517.5650339304</v>
      </c>
      <c r="E233" s="67">
        <f t="shared" si="23"/>
        <v>13.79006266236615</v>
      </c>
      <c r="F233" s="70">
        <f t="shared" si="27"/>
        <v>0.83733260485887262</v>
      </c>
      <c r="G233" s="67">
        <f>E233/'Lookup Tables'!$C$48</f>
        <v>27.5801253247323</v>
      </c>
      <c r="H233" s="70">
        <f t="shared" si="24"/>
        <v>7.5429995376443973E-2</v>
      </c>
      <c r="I233" s="71">
        <f t="shared" si="28"/>
        <v>3.9715380467614511E-2</v>
      </c>
      <c r="L233" s="74"/>
      <c r="M233" s="74"/>
      <c r="N233" s="74"/>
      <c r="O233" s="74"/>
      <c r="P233" s="74"/>
      <c r="Q233" s="74"/>
      <c r="R233" s="74"/>
      <c r="S233" s="74"/>
      <c r="T233" s="74"/>
      <c r="U233" s="74"/>
      <c r="V233" s="74"/>
      <c r="W233" s="74"/>
      <c r="X233" s="74"/>
      <c r="Y233" s="74"/>
      <c r="Z233" s="74"/>
    </row>
    <row r="234" spans="1:26" x14ac:dyDescent="0.3">
      <c r="A234" s="66">
        <f t="shared" si="26"/>
        <v>2012.6999999999794</v>
      </c>
      <c r="B234" s="67">
        <f>LOOKUP(A234+0.01,Amounts!$A$4:$A$103,Amounts!$B$4:$B$103)*0.1*$A$2</f>
        <v>545.63850000000002</v>
      </c>
      <c r="C234" s="68">
        <f t="shared" si="25"/>
        <v>96635.488421999893</v>
      </c>
      <c r="D234" s="67">
        <f t="array" ref="D234">SUM($B$7:$B229*$F$1009*EXP(-$F$1009*($A234-$A$7:$A229)))*$F$1010</f>
        <v>7271992.8571632849</v>
      </c>
      <c r="E234" s="67">
        <f t="shared" si="23"/>
        <v>13.863412410209635</v>
      </c>
      <c r="F234" s="70">
        <f t="shared" si="27"/>
        <v>0.84178640154792905</v>
      </c>
      <c r="G234" s="67">
        <f>E234/'Lookup Tables'!$C$48</f>
        <v>27.726824820419271</v>
      </c>
      <c r="H234" s="70">
        <f t="shared" si="24"/>
        <v>7.5403039626458029E-2</v>
      </c>
      <c r="I234" s="71">
        <f t="shared" si="28"/>
        <v>3.992662774140375E-2</v>
      </c>
      <c r="L234" s="74"/>
      <c r="M234" s="74"/>
      <c r="N234" s="74"/>
      <c r="O234" s="74"/>
      <c r="P234" s="74"/>
      <c r="Q234" s="74"/>
      <c r="R234" s="74"/>
      <c r="S234" s="74"/>
      <c r="T234" s="74"/>
      <c r="U234" s="74"/>
      <c r="V234" s="74"/>
      <c r="W234" s="74"/>
      <c r="X234" s="74"/>
      <c r="Y234" s="74"/>
      <c r="Z234" s="74"/>
    </row>
    <row r="235" spans="1:26" x14ac:dyDescent="0.3">
      <c r="A235" s="66">
        <f t="shared" si="26"/>
        <v>2012.7999999999793</v>
      </c>
      <c r="B235" s="67">
        <f>LOOKUP(A235+0.01,Amounts!$A$4:$A$103,Amounts!$B$4:$B$103)*0.1*$A$2</f>
        <v>545.63850000000002</v>
      </c>
      <c r="C235" s="68">
        <f t="shared" si="25"/>
        <v>97181.126921999894</v>
      </c>
      <c r="D235" s="67">
        <f t="array" ref="D235">SUM($B$7:$B230*$F$1009*EXP(-$F$1009*($A235-$A$7:$A230)))*$F$1010</f>
        <v>7310414.3215718549</v>
      </c>
      <c r="E235" s="67">
        <f t="shared" si="23"/>
        <v>13.936659540255356</v>
      </c>
      <c r="F235" s="70">
        <f t="shared" si="27"/>
        <v>0.84623396728430511</v>
      </c>
      <c r="G235" s="67">
        <f>E235/'Lookup Tables'!$C$48</f>
        <v>27.873319080510711</v>
      </c>
      <c r="H235" s="70">
        <f t="shared" si="24"/>
        <v>7.5375831566941373E-2</v>
      </c>
      <c r="I235" s="71">
        <f t="shared" si="28"/>
        <v>4.0137579475935423E-2</v>
      </c>
      <c r="L235" s="74"/>
      <c r="M235" s="74"/>
      <c r="N235" s="74"/>
      <c r="O235" s="74"/>
      <c r="P235" s="74"/>
      <c r="Q235" s="74"/>
      <c r="R235" s="74"/>
      <c r="S235" s="74"/>
      <c r="T235" s="74"/>
      <c r="U235" s="74"/>
      <c r="V235" s="74"/>
      <c r="W235" s="74"/>
      <c r="X235" s="74"/>
      <c r="Y235" s="74"/>
      <c r="Z235" s="74"/>
    </row>
    <row r="236" spans="1:26" x14ac:dyDescent="0.3">
      <c r="A236" s="66">
        <f t="shared" si="26"/>
        <v>2012.8999999999792</v>
      </c>
      <c r="B236" s="67">
        <f>LOOKUP(A236+0.01,Amounts!$A$4:$A$103,Amounts!$B$4:$B$103)*0.1*$A$2</f>
        <v>545.63850000000002</v>
      </c>
      <c r="C236" s="68">
        <f t="shared" si="25"/>
        <v>97726.765421999895</v>
      </c>
      <c r="D236" s="67">
        <f t="array" ref="D236">SUM($B$7:$B231*$F$1009*EXP(-$F$1009*($A236-$A$7:$A231)))*$F$1010</f>
        <v>7348782.0335657187</v>
      </c>
      <c r="E236" s="67">
        <f t="shared" si="23"/>
        <v>14.009804196067705</v>
      </c>
      <c r="F236" s="70">
        <f t="shared" si="27"/>
        <v>0.85067531078523106</v>
      </c>
      <c r="G236" s="67">
        <f>E236/'Lookup Tables'!$C$48</f>
        <v>28.01960839213541</v>
      </c>
      <c r="H236" s="70">
        <f t="shared" si="24"/>
        <v>7.5348376196185132E-2</v>
      </c>
      <c r="I236" s="71">
        <f t="shared" si="28"/>
        <v>4.0348236084674992E-2</v>
      </c>
      <c r="L236" s="74"/>
      <c r="M236" s="74"/>
      <c r="N236" s="74"/>
      <c r="O236" s="74"/>
      <c r="P236" s="74"/>
      <c r="Q236" s="74"/>
      <c r="R236" s="74"/>
      <c r="S236" s="74"/>
      <c r="T236" s="74"/>
      <c r="U236" s="74"/>
      <c r="V236" s="74"/>
      <c r="W236" s="74"/>
      <c r="X236" s="74"/>
      <c r="Y236" s="74"/>
      <c r="Z236" s="74"/>
    </row>
    <row r="237" spans="1:26" x14ac:dyDescent="0.3">
      <c r="A237" s="66">
        <f t="shared" si="26"/>
        <v>2012.9999999999791</v>
      </c>
      <c r="B237" s="67">
        <f>LOOKUP(A237+0.01,Amounts!$A$4:$A$103,Amounts!$B$4:$B$103)*0.1*$A$2</f>
        <v>556.55127000000005</v>
      </c>
      <c r="C237" s="68">
        <f t="shared" si="25"/>
        <v>98283.316691999891</v>
      </c>
      <c r="D237" s="67">
        <f t="array" ref="D237">SUM($B$7:$B232*$F$1009*EXP(-$F$1009*($A237-$A$7:$A232)))*$F$1010</f>
        <v>7387096.0683456082</v>
      </c>
      <c r="E237" s="67">
        <f t="shared" si="23"/>
        <v>14.082846521010243</v>
      </c>
      <c r="F237" s="70">
        <f t="shared" si="27"/>
        <v>0.85511044075574194</v>
      </c>
      <c r="G237" s="67">
        <f>E237/'Lookup Tables'!$C$48</f>
        <v>28.165693042020486</v>
      </c>
      <c r="H237" s="70">
        <f t="shared" si="24"/>
        <v>7.5312315259355611E-2</v>
      </c>
      <c r="I237" s="71">
        <f t="shared" si="28"/>
        <v>4.0558597980509495E-2</v>
      </c>
      <c r="L237" s="74"/>
      <c r="M237" s="74"/>
      <c r="N237" s="74"/>
      <c r="O237" s="74"/>
      <c r="P237" s="74"/>
      <c r="Q237" s="74"/>
      <c r="R237" s="74"/>
      <c r="S237" s="74"/>
      <c r="T237" s="74"/>
      <c r="U237" s="74"/>
      <c r="V237" s="74"/>
      <c r="W237" s="74"/>
      <c r="X237" s="74"/>
      <c r="Y237" s="74"/>
      <c r="Z237" s="74"/>
    </row>
    <row r="238" spans="1:26" x14ac:dyDescent="0.3">
      <c r="A238" s="66">
        <f t="shared" si="26"/>
        <v>2013.099999999979</v>
      </c>
      <c r="B238" s="67">
        <f>LOOKUP(A238+0.01,Amounts!$A$4:$A$103,Amounts!$B$4:$B$103)*0.1*$A$2</f>
        <v>556.55127000000005</v>
      </c>
      <c r="C238" s="68">
        <f t="shared" si="25"/>
        <v>98839.867961999887</v>
      </c>
      <c r="D238" s="67">
        <f t="array" ref="D238">SUM($B$7:$B233*$F$1009*EXP(-$F$1009*($A238-$A$7:$A233)))*$F$1010</f>
        <v>7425356.5010070438</v>
      </c>
      <c r="E238" s="67">
        <f t="shared" si="23"/>
        <v>14.155786658245944</v>
      </c>
      <c r="F238" s="70">
        <f t="shared" si="27"/>
        <v>0.85953936588869373</v>
      </c>
      <c r="G238" s="67">
        <f>E238/'Lookup Tables'!$C$48</f>
        <v>28.311573316491888</v>
      </c>
      <c r="H238" s="70">
        <f t="shared" si="24"/>
        <v>7.5276117026325529E-2</v>
      </c>
      <c r="I238" s="71">
        <f t="shared" si="28"/>
        <v>4.076866557574832E-2</v>
      </c>
      <c r="L238" s="74"/>
      <c r="M238" s="74"/>
      <c r="N238" s="74"/>
      <c r="O238" s="74"/>
      <c r="P238" s="74"/>
      <c r="Q238" s="74"/>
      <c r="R238" s="74"/>
      <c r="S238" s="74"/>
      <c r="T238" s="74"/>
      <c r="U238" s="74"/>
      <c r="V238" s="74"/>
      <c r="W238" s="74"/>
      <c r="X238" s="74"/>
      <c r="Y238" s="74"/>
      <c r="Z238" s="74"/>
    </row>
    <row r="239" spans="1:26" x14ac:dyDescent="0.3">
      <c r="A239" s="66">
        <f t="shared" si="26"/>
        <v>2013.1999999999789</v>
      </c>
      <c r="B239" s="67">
        <f>LOOKUP(A239+0.01,Amounts!$A$4:$A$103,Amounts!$B$4:$B$103)*0.1*$A$2</f>
        <v>556.55127000000005</v>
      </c>
      <c r="C239" s="68">
        <f t="shared" si="25"/>
        <v>99396.419231999884</v>
      </c>
      <c r="D239" s="67">
        <f t="array" ref="D239">SUM($B$7:$B234*$F$1009*EXP(-$F$1009*($A239-$A$7:$A234)))*$F$1010</f>
        <v>7463563.4065404842</v>
      </c>
      <c r="E239" s="67">
        <f t="shared" si="23"/>
        <v>14.228624750737502</v>
      </c>
      <c r="F239" s="70">
        <f t="shared" si="27"/>
        <v>0.86396209486478115</v>
      </c>
      <c r="G239" s="67">
        <f>E239/'Lookup Tables'!$C$48</f>
        <v>28.457249501475005</v>
      </c>
      <c r="H239" s="70">
        <f t="shared" si="24"/>
        <v>7.5239784559361325E-2</v>
      </c>
      <c r="I239" s="71">
        <f t="shared" si="28"/>
        <v>4.0978439282124003E-2</v>
      </c>
      <c r="L239" s="74"/>
      <c r="M239" s="74"/>
      <c r="N239" s="74"/>
      <c r="O239" s="74"/>
      <c r="P239" s="74"/>
      <c r="Q239" s="74"/>
      <c r="R239" s="74"/>
      <c r="S239" s="74"/>
      <c r="T239" s="74"/>
      <c r="U239" s="74"/>
      <c r="V239" s="74"/>
      <c r="W239" s="74"/>
      <c r="X239" s="74"/>
      <c r="Y239" s="74"/>
      <c r="Z239" s="74"/>
    </row>
    <row r="240" spans="1:26" x14ac:dyDescent="0.3">
      <c r="A240" s="66">
        <f t="shared" si="26"/>
        <v>2013.2999999999788</v>
      </c>
      <c r="B240" s="67">
        <f>LOOKUP(A240+0.01,Amounts!$A$4:$A$103,Amounts!$B$4:$B$103)*0.1*$A$2</f>
        <v>556.55127000000005</v>
      </c>
      <c r="C240" s="68">
        <f t="shared" si="25"/>
        <v>99952.97050199988</v>
      </c>
      <c r="D240" s="67">
        <f t="array" ref="D240">SUM($B$7:$B235*$F$1009*EXP(-$F$1009*($A240-$A$7:$A235)))*$F$1010</f>
        <v>7501716.8598314812</v>
      </c>
      <c r="E240" s="67">
        <f t="shared" si="23"/>
        <v>14.301360941247607</v>
      </c>
      <c r="F240" s="70">
        <f t="shared" si="27"/>
        <v>0.86837863635255474</v>
      </c>
      <c r="G240" s="67">
        <f>E240/'Lookup Tables'!$C$48</f>
        <v>28.602721882495214</v>
      </c>
      <c r="H240" s="70">
        <f t="shared" si="24"/>
        <v>7.5203320851473285E-2</v>
      </c>
      <c r="I240" s="71">
        <f t="shared" si="28"/>
        <v>4.1187919510793106E-2</v>
      </c>
      <c r="L240" s="74"/>
      <c r="M240" s="74"/>
      <c r="N240" s="74"/>
      <c r="O240" s="74"/>
      <c r="P240" s="74"/>
      <c r="Q240" s="74"/>
      <c r="R240" s="74"/>
      <c r="S240" s="74"/>
      <c r="T240" s="74"/>
      <c r="U240" s="74"/>
      <c r="V240" s="74"/>
      <c r="W240" s="74"/>
      <c r="X240" s="74"/>
      <c r="Y240" s="74"/>
      <c r="Z240" s="74"/>
    </row>
    <row r="241" spans="1:26" x14ac:dyDescent="0.3">
      <c r="A241" s="66">
        <f t="shared" si="26"/>
        <v>2013.3999999999787</v>
      </c>
      <c r="B241" s="67">
        <f>LOOKUP(A241+0.01,Amounts!$A$4:$A$103,Amounts!$B$4:$B$103)*0.1*$A$2</f>
        <v>556.55127000000005</v>
      </c>
      <c r="C241" s="68">
        <f t="shared" si="25"/>
        <v>100509.52177199988</v>
      </c>
      <c r="D241" s="67">
        <f t="array" ref="D241">SUM($B$7:$B236*$F$1009*EXP(-$F$1009*($A241-$A$7:$A236)))*$F$1010</f>
        <v>7539816.9356608111</v>
      </c>
      <c r="E241" s="67">
        <f t="shared" si="23"/>
        <v>14.373995372339211</v>
      </c>
      <c r="F241" s="70">
        <f t="shared" si="27"/>
        <v>0.87278899900843687</v>
      </c>
      <c r="G241" s="67">
        <f>E241/'Lookup Tables'!$C$48</f>
        <v>28.747990744678422</v>
      </c>
      <c r="H241" s="70">
        <f t="shared" si="24"/>
        <v>7.5166728828334431E-2</v>
      </c>
      <c r="I241" s="71">
        <f t="shared" si="28"/>
        <v>4.1397106672336932E-2</v>
      </c>
      <c r="L241" s="74"/>
      <c r="M241" s="74"/>
      <c r="N241" s="74"/>
      <c r="O241" s="74"/>
      <c r="P241" s="74"/>
      <c r="Q241" s="74"/>
      <c r="R241" s="74"/>
      <c r="S241" s="74"/>
      <c r="T241" s="74"/>
      <c r="U241" s="74"/>
      <c r="V241" s="74"/>
      <c r="W241" s="74"/>
      <c r="X241" s="74"/>
      <c r="Y241" s="74"/>
      <c r="Z241" s="74"/>
    </row>
    <row r="242" spans="1:26" x14ac:dyDescent="0.3">
      <c r="A242" s="66">
        <f t="shared" si="26"/>
        <v>2013.4999999999786</v>
      </c>
      <c r="B242" s="67">
        <f>LOOKUP(A242+0.01,Amounts!$A$4:$A$103,Amounts!$B$4:$B$103)*0.1*$A$2</f>
        <v>556.55127000000005</v>
      </c>
      <c r="C242" s="68">
        <f t="shared" si="25"/>
        <v>101066.07304199987</v>
      </c>
      <c r="D242" s="67">
        <f t="array" ref="D242">SUM($B$7:$B237*$F$1009*EXP(-$F$1009*($A242-$A$7:$A237)))*$F$1010</f>
        <v>7578835.6113282433</v>
      </c>
      <c r="E242" s="67">
        <f t="shared" si="23"/>
        <v>14.448381032928108</v>
      </c>
      <c r="F242" s="70">
        <f t="shared" si="27"/>
        <v>0.8773056963193947</v>
      </c>
      <c r="G242" s="67">
        <f>E242/'Lookup Tables'!$C$48</f>
        <v>28.896762065856215</v>
      </c>
      <c r="H242" s="70">
        <f t="shared" si="24"/>
        <v>7.513964718656041E-2</v>
      </c>
      <c r="I242" s="71">
        <f t="shared" si="28"/>
        <v>4.1611337374832955E-2</v>
      </c>
      <c r="L242" s="74"/>
      <c r="M242" s="74"/>
      <c r="N242" s="74"/>
      <c r="O242" s="74"/>
      <c r="P242" s="74"/>
      <c r="Q242" s="74"/>
      <c r="R242" s="74"/>
      <c r="S242" s="74"/>
      <c r="T242" s="74"/>
      <c r="U242" s="74"/>
      <c r="V242" s="74"/>
      <c r="W242" s="74"/>
      <c r="X242" s="74"/>
      <c r="Y242" s="74"/>
      <c r="Z242" s="74"/>
    </row>
    <row r="243" spans="1:26" x14ac:dyDescent="0.3">
      <c r="A243" s="66">
        <f t="shared" si="26"/>
        <v>2013.5999999999785</v>
      </c>
      <c r="B243" s="67">
        <f>LOOKUP(A243+0.01,Amounts!$A$4:$A$103,Amounts!$B$4:$B$103)*0.1*$A$2</f>
        <v>556.55127000000005</v>
      </c>
      <c r="C243" s="68">
        <f t="shared" si="25"/>
        <v>101622.62431199987</v>
      </c>
      <c r="D243" s="67">
        <f t="array" ref="D243">SUM($B$7:$B238*$F$1009*EXP(-$F$1009*($A243-$A$7:$A238)))*$F$1010</f>
        <v>7617799.6990702022</v>
      </c>
      <c r="E243" s="67">
        <f t="shared" si="23"/>
        <v>14.522662626456116</v>
      </c>
      <c r="F243" s="70">
        <f t="shared" si="27"/>
        <v>0.88181607467841538</v>
      </c>
      <c r="G243" s="67">
        <f>E243/'Lookup Tables'!$C$48</f>
        <v>29.045325252912232</v>
      </c>
      <c r="H243" s="70">
        <f t="shared" si="24"/>
        <v>7.5112323935173128E-2</v>
      </c>
      <c r="I243" s="71">
        <f t="shared" si="28"/>
        <v>4.1825268364193618E-2</v>
      </c>
      <c r="L243" s="74"/>
      <c r="M243" s="74"/>
      <c r="N243" s="74"/>
      <c r="O243" s="74"/>
      <c r="P243" s="74"/>
      <c r="Q243" s="74"/>
      <c r="R243" s="74"/>
      <c r="S243" s="74"/>
      <c r="T243" s="74"/>
      <c r="U243" s="74"/>
      <c r="V243" s="74"/>
      <c r="W243" s="74"/>
      <c r="X243" s="74"/>
      <c r="Y243" s="74"/>
      <c r="Z243" s="74"/>
    </row>
    <row r="244" spans="1:26" x14ac:dyDescent="0.3">
      <c r="A244" s="66">
        <f t="shared" si="26"/>
        <v>2013.6999999999784</v>
      </c>
      <c r="B244" s="67">
        <f>LOOKUP(A244+0.01,Amounts!$A$4:$A$103,Amounts!$B$4:$B$103)*0.1*$A$2</f>
        <v>556.55127000000005</v>
      </c>
      <c r="C244" s="68">
        <f t="shared" si="25"/>
        <v>102179.17558199987</v>
      </c>
      <c r="D244" s="67">
        <f t="array" ref="D244">SUM($B$7:$B239*$F$1009*EXP(-$F$1009*($A244-$A$7:$A239)))*$F$1010</f>
        <v>7656709.2752563143</v>
      </c>
      <c r="E244" s="67">
        <f t="shared" si="23"/>
        <v>14.596840298515183</v>
      </c>
      <c r="F244" s="70">
        <f t="shared" si="27"/>
        <v>0.88632014292584183</v>
      </c>
      <c r="G244" s="67">
        <f>E244/'Lookup Tables'!$C$48</f>
        <v>29.193680597030365</v>
      </c>
      <c r="H244" s="70">
        <f t="shared" si="24"/>
        <v>7.508476377109384E-2</v>
      </c>
      <c r="I244" s="71">
        <f t="shared" si="28"/>
        <v>4.2038900059723723E-2</v>
      </c>
      <c r="L244" s="74"/>
      <c r="M244" s="74"/>
      <c r="N244" s="74"/>
      <c r="O244" s="74"/>
      <c r="P244" s="74"/>
      <c r="Q244" s="74"/>
      <c r="R244" s="74"/>
      <c r="S244" s="74"/>
      <c r="T244" s="74"/>
      <c r="U244" s="74"/>
      <c r="V244" s="74"/>
      <c r="W244" s="74"/>
      <c r="X244" s="74"/>
      <c r="Y244" s="74"/>
      <c r="Z244" s="74"/>
    </row>
    <row r="245" spans="1:26" x14ac:dyDescent="0.3">
      <c r="A245" s="66">
        <f t="shared" si="26"/>
        <v>2013.7999999999784</v>
      </c>
      <c r="B245" s="67">
        <f>LOOKUP(A245+0.01,Amounts!$A$4:$A$103,Amounts!$B$4:$B$103)*0.1*$A$2</f>
        <v>556.55127000000005</v>
      </c>
      <c r="C245" s="68">
        <f t="shared" si="25"/>
        <v>102735.72685199986</v>
      </c>
      <c r="D245" s="67">
        <f t="array" ref="D245">SUM($B$7:$B240*$F$1009*EXP(-$F$1009*($A245-$A$7:$A240)))*$F$1010</f>
        <v>7695564.4161493611</v>
      </c>
      <c r="E245" s="67">
        <f t="shared" si="23"/>
        <v>14.670914194493573</v>
      </c>
      <c r="F245" s="70">
        <f t="shared" si="27"/>
        <v>0.89081790988964971</v>
      </c>
      <c r="G245" s="67">
        <f>E245/'Lookup Tables'!$C$48</f>
        <v>29.341828388987146</v>
      </c>
      <c r="H245" s="70">
        <f t="shared" si="24"/>
        <v>7.5056971288423008E-2</v>
      </c>
      <c r="I245" s="71">
        <f t="shared" si="28"/>
        <v>4.2252232880141488E-2</v>
      </c>
      <c r="L245" s="74"/>
      <c r="M245" s="74"/>
      <c r="N245" s="74"/>
      <c r="O245" s="74"/>
      <c r="P245" s="74"/>
      <c r="Q245" s="74"/>
      <c r="R245" s="74"/>
      <c r="S245" s="74"/>
      <c r="T245" s="74"/>
      <c r="U245" s="74"/>
      <c r="V245" s="74"/>
      <c r="W245" s="74"/>
      <c r="X245" s="74"/>
      <c r="Y245" s="74"/>
      <c r="Z245" s="74"/>
    </row>
    <row r="246" spans="1:26" x14ac:dyDescent="0.3">
      <c r="A246" s="66">
        <f t="shared" si="26"/>
        <v>2013.8999999999783</v>
      </c>
      <c r="B246" s="67">
        <f>LOOKUP(A246+0.01,Amounts!$A$4:$A$103,Amounts!$B$4:$B$103)*0.1*$A$2</f>
        <v>556.55127000000005</v>
      </c>
      <c r="C246" s="68">
        <f t="shared" si="25"/>
        <v>103292.27812199986</v>
      </c>
      <c r="D246" s="67">
        <f t="array" ref="D246">SUM($B$7:$B241*$F$1009*EXP(-$F$1009*($A246-$A$7:$A241)))*$F$1010</f>
        <v>7734365.1979054371</v>
      </c>
      <c r="E246" s="67">
        <f t="shared" si="23"/>
        <v>14.744884459576156</v>
      </c>
      <c r="F246" s="70">
        <f t="shared" si="27"/>
        <v>0.89530938438546415</v>
      </c>
      <c r="G246" s="67">
        <f>E246/'Lookup Tables'!$C$48</f>
        <v>29.489768919152311</v>
      </c>
      <c r="H246" s="70">
        <f t="shared" si="24"/>
        <v>7.5028950981211831E-2</v>
      </c>
      <c r="I246" s="71">
        <f t="shared" si="28"/>
        <v>4.2465267243579331E-2</v>
      </c>
      <c r="L246" s="74"/>
      <c r="M246" s="74"/>
      <c r="N246" s="74"/>
      <c r="O246" s="74"/>
      <c r="P246" s="74"/>
      <c r="Q246" s="74"/>
      <c r="R246" s="74"/>
      <c r="S246" s="74"/>
      <c r="T246" s="74"/>
      <c r="U246" s="74"/>
      <c r="V246" s="74"/>
      <c r="W246" s="74"/>
      <c r="X246" s="74"/>
      <c r="Y246" s="74"/>
      <c r="Z246" s="74"/>
    </row>
    <row r="247" spans="1:26" x14ac:dyDescent="0.3">
      <c r="A247" s="66">
        <f t="shared" si="26"/>
        <v>2013.9999999999782</v>
      </c>
      <c r="B247" s="67">
        <f>LOOKUP(A247+0.01,Amounts!$A$4:$A$103,Amounts!$B$4:$B$103)*0.1*$A$2</f>
        <v>567.68229540000004</v>
      </c>
      <c r="C247" s="68">
        <f t="shared" si="25"/>
        <v>103859.96041739985</v>
      </c>
      <c r="D247" s="67">
        <f t="array" ref="D247">SUM($B$7:$B242*$F$1009*EXP(-$F$1009*($A247-$A$7:$A242)))*$F$1010</f>
        <v>7773111.696574077</v>
      </c>
      <c r="E247" s="67">
        <f t="shared" si="23"/>
        <v>14.818751238744657</v>
      </c>
      <c r="F247" s="70">
        <f t="shared" si="27"/>
        <v>0.89979457521657558</v>
      </c>
      <c r="G247" s="67">
        <f>E247/'Lookup Tables'!$C$48</f>
        <v>29.637502477489313</v>
      </c>
      <c r="H247" s="70">
        <f t="shared" si="24"/>
        <v>7.4992669165116793E-2</v>
      </c>
      <c r="I247" s="71">
        <f t="shared" si="28"/>
        <v>4.2678003567584617E-2</v>
      </c>
      <c r="L247" s="74"/>
      <c r="M247" s="74"/>
      <c r="N247" s="74"/>
      <c r="O247" s="74"/>
      <c r="P247" s="74"/>
      <c r="Q247" s="74"/>
      <c r="R247" s="74"/>
      <c r="S247" s="74"/>
      <c r="T247" s="74"/>
      <c r="U247" s="74"/>
      <c r="V247" s="74"/>
      <c r="W247" s="74"/>
      <c r="X247" s="74"/>
      <c r="Y247" s="74"/>
      <c r="Z247" s="74"/>
    </row>
    <row r="248" spans="1:26" x14ac:dyDescent="0.3">
      <c r="A248" s="66">
        <f t="shared" si="26"/>
        <v>2014.0999999999781</v>
      </c>
      <c r="B248" s="67">
        <f>LOOKUP(A248+0.01,Amounts!$A$4:$A$103,Amounts!$B$4:$B$103)*0.1*$A$2</f>
        <v>567.68229540000004</v>
      </c>
      <c r="C248" s="68">
        <f t="shared" si="25"/>
        <v>104427.64271279985</v>
      </c>
      <c r="D248" s="67">
        <f t="array" ref="D248">SUM($B$7:$B243*$F$1009*EXP(-$F$1009*($A248-$A$7:$A243)))*$F$1010</f>
        <v>7811803.988098436</v>
      </c>
      <c r="E248" s="67">
        <f t="shared" si="23"/>
        <v>14.892514676777996</v>
      </c>
      <c r="F248" s="70">
        <f t="shared" si="27"/>
        <v>0.90427349117395983</v>
      </c>
      <c r="G248" s="67">
        <f>E248/'Lookup Tables'!$C$48</f>
        <v>29.785029353555991</v>
      </c>
      <c r="H248" s="70">
        <f t="shared" si="24"/>
        <v>7.4956261682952705E-2</v>
      </c>
      <c r="I248" s="71">
        <f t="shared" si="28"/>
        <v>4.2890442269120629E-2</v>
      </c>
      <c r="L248" s="74"/>
      <c r="M248" s="74"/>
      <c r="N248" s="74"/>
      <c r="O248" s="74"/>
      <c r="P248" s="74"/>
      <c r="Q248" s="74"/>
      <c r="R248" s="74"/>
      <c r="S248" s="74"/>
      <c r="T248" s="74"/>
      <c r="U248" s="74"/>
      <c r="V248" s="74"/>
      <c r="W248" s="74"/>
      <c r="X248" s="74"/>
      <c r="Y248" s="74"/>
      <c r="Z248" s="74"/>
    </row>
    <row r="249" spans="1:26" x14ac:dyDescent="0.3">
      <c r="A249" s="66">
        <f t="shared" si="26"/>
        <v>2014.199999999978</v>
      </c>
      <c r="B249" s="67">
        <f>LOOKUP(A249+0.01,Amounts!$A$4:$A$103,Amounts!$B$4:$B$103)*0.1*$A$2</f>
        <v>567.68229540000004</v>
      </c>
      <c r="C249" s="68">
        <f t="shared" si="25"/>
        <v>104995.32500819984</v>
      </c>
      <c r="D249" s="67">
        <f t="array" ref="D249">SUM($B$7:$B244*$F$1009*EXP(-$F$1009*($A249-$A$7:$A244)))*$F$1010</f>
        <v>7850442.1483154194</v>
      </c>
      <c r="E249" s="67">
        <f t="shared" si="23"/>
        <v>14.966174918252538</v>
      </c>
      <c r="F249" s="70">
        <f t="shared" si="27"/>
        <v>0.90874614103629403</v>
      </c>
      <c r="G249" s="67">
        <f>E249/'Lookup Tables'!$C$48</f>
        <v>29.932349836505075</v>
      </c>
      <c r="H249" s="70">
        <f t="shared" si="24"/>
        <v>7.4919731296790637E-2</v>
      </c>
      <c r="I249" s="71">
        <f t="shared" si="28"/>
        <v>4.3102583764567312E-2</v>
      </c>
      <c r="L249" s="74"/>
      <c r="M249" s="74"/>
      <c r="N249" s="74"/>
      <c r="O249" s="74"/>
      <c r="P249" s="74"/>
      <c r="Q249" s="74"/>
      <c r="R249" s="74"/>
      <c r="S249" s="74"/>
      <c r="T249" s="74"/>
      <c r="U249" s="74"/>
      <c r="V249" s="74"/>
      <c r="W249" s="74"/>
      <c r="X249" s="74"/>
      <c r="Y249" s="74"/>
      <c r="Z249" s="74"/>
    </row>
    <row r="250" spans="1:26" x14ac:dyDescent="0.3">
      <c r="A250" s="66">
        <f t="shared" si="26"/>
        <v>2014.2999999999779</v>
      </c>
      <c r="B250" s="67">
        <f>LOOKUP(A250+0.01,Amounts!$A$4:$A$103,Amounts!$B$4:$B$103)*0.1*$A$2</f>
        <v>567.68229540000004</v>
      </c>
      <c r="C250" s="68">
        <f t="shared" si="25"/>
        <v>105563.00730359984</v>
      </c>
      <c r="D250" s="67">
        <f t="array" ref="D250">SUM($B$7:$B245*$F$1009*EXP(-$F$1009*($A250-$A$7:$A245)))*$F$1010</f>
        <v>7889026.2529558297</v>
      </c>
      <c r="E250" s="67">
        <f t="shared" si="23"/>
        <v>15.039732107542374</v>
      </c>
      <c r="F250" s="70">
        <f t="shared" si="27"/>
        <v>0.91321253356997301</v>
      </c>
      <c r="G250" s="67">
        <f>E250/'Lookup Tables'!$C$48</f>
        <v>30.079464215084748</v>
      </c>
      <c r="H250" s="70">
        <f t="shared" si="24"/>
        <v>7.4883080708280522E-2</v>
      </c>
      <c r="I250" s="71">
        <f t="shared" si="28"/>
        <v>4.3314428469722041E-2</v>
      </c>
      <c r="L250" s="74"/>
      <c r="M250" s="74"/>
      <c r="N250" s="74"/>
      <c r="O250" s="74"/>
      <c r="P250" s="74"/>
      <c r="Q250" s="74"/>
      <c r="R250" s="74"/>
      <c r="S250" s="74"/>
      <c r="T250" s="74"/>
      <c r="U250" s="74"/>
      <c r="V250" s="74"/>
      <c r="W250" s="74"/>
      <c r="X250" s="74"/>
      <c r="Y250" s="74"/>
      <c r="Z250" s="74"/>
    </row>
    <row r="251" spans="1:26" x14ac:dyDescent="0.3">
      <c r="A251" s="66">
        <f t="shared" si="26"/>
        <v>2014.3999999999778</v>
      </c>
      <c r="B251" s="67">
        <f>LOOKUP(A251+0.01,Amounts!$A$4:$A$103,Amounts!$B$4:$B$103)*0.1*$A$2</f>
        <v>567.68229540000004</v>
      </c>
      <c r="C251" s="68">
        <f t="shared" si="25"/>
        <v>106130.68959899983</v>
      </c>
      <c r="D251" s="67">
        <f t="array" ref="D251">SUM($B$7:$B246*$F$1009*EXP(-$F$1009*($A251-$A$7:$A246)))*$F$1010</f>
        <v>7927556.3776445296</v>
      </c>
      <c r="E251" s="67">
        <f t="shared" si="23"/>
        <v>15.113186388819626</v>
      </c>
      <c r="F251" s="70">
        <f t="shared" si="27"/>
        <v>0.91767267752912773</v>
      </c>
      <c r="G251" s="67">
        <f>E251/'Lookup Tables'!$C$48</f>
        <v>30.226372777639252</v>
      </c>
      <c r="H251" s="70">
        <f t="shared" si="24"/>
        <v>7.4846312560268663E-2</v>
      </c>
      <c r="I251" s="71">
        <f t="shared" si="28"/>
        <v>4.3525976799800525E-2</v>
      </c>
      <c r="L251" s="74"/>
      <c r="M251" s="74"/>
      <c r="N251" s="74"/>
      <c r="O251" s="74"/>
      <c r="P251" s="74"/>
      <c r="Q251" s="74"/>
      <c r="R251" s="74"/>
      <c r="S251" s="74"/>
      <c r="T251" s="74"/>
      <c r="U251" s="74"/>
      <c r="V251" s="74"/>
      <c r="W251" s="74"/>
      <c r="X251" s="74"/>
      <c r="Y251" s="74"/>
      <c r="Z251" s="74"/>
    </row>
    <row r="252" spans="1:26" x14ac:dyDescent="0.3">
      <c r="A252" s="66">
        <f t="shared" si="26"/>
        <v>2014.4999999999777</v>
      </c>
      <c r="B252" s="67">
        <f>LOOKUP(A252+0.01,Amounts!$A$4:$A$103,Amounts!$B$4:$B$103)*0.1*$A$2</f>
        <v>567.68229540000004</v>
      </c>
      <c r="C252" s="68">
        <f t="shared" si="25"/>
        <v>106698.37189439982</v>
      </c>
      <c r="D252" s="67">
        <f t="array" ref="D252">SUM($B$7:$B247*$F$1009*EXP(-$F$1009*($A252-$A$7:$A247)))*$F$1010</f>
        <v>7967023.9385766434</v>
      </c>
      <c r="E252" s="67">
        <f t="shared" si="23"/>
        <v>15.18842780953802</v>
      </c>
      <c r="F252" s="70">
        <f t="shared" si="27"/>
        <v>0.92224133659514851</v>
      </c>
      <c r="G252" s="67">
        <f>E252/'Lookup Tables'!$C$48</f>
        <v>30.376855619076039</v>
      </c>
      <c r="H252" s="70">
        <f t="shared" si="24"/>
        <v>7.4818739170585055E-2</v>
      </c>
      <c r="I252" s="71">
        <f t="shared" si="28"/>
        <v>4.3742672091469495E-2</v>
      </c>
      <c r="L252" s="74"/>
      <c r="M252" s="74"/>
      <c r="N252" s="74"/>
      <c r="O252" s="74"/>
      <c r="P252" s="74"/>
      <c r="Q252" s="74"/>
      <c r="R252" s="74"/>
      <c r="S252" s="74"/>
      <c r="T252" s="74"/>
      <c r="U252" s="74"/>
      <c r="V252" s="74"/>
      <c r="W252" s="74"/>
      <c r="X252" s="74"/>
      <c r="Y252" s="74"/>
      <c r="Z252" s="74"/>
    </row>
    <row r="253" spans="1:26" x14ac:dyDescent="0.3">
      <c r="A253" s="66">
        <f t="shared" si="26"/>
        <v>2014.5999999999776</v>
      </c>
      <c r="B253" s="67">
        <f>LOOKUP(A253+0.01,Amounts!$A$4:$A$103,Amounts!$B$4:$B$103)*0.1*$A$2</f>
        <v>567.68229540000004</v>
      </c>
      <c r="C253" s="68">
        <f t="shared" si="25"/>
        <v>107266.05418979982</v>
      </c>
      <c r="D253" s="67">
        <f t="array" ref="D253">SUM($B$7:$B248*$F$1009*EXP(-$F$1009*($A253-$A$7:$A248)))*$F$1010</f>
        <v>8006436.2835836187</v>
      </c>
      <c r="E253" s="67">
        <f t="shared" si="23"/>
        <v>15.263563965969601</v>
      </c>
      <c r="F253" s="70">
        <f t="shared" si="27"/>
        <v>0.92680360401367412</v>
      </c>
      <c r="G253" s="67">
        <f>E253/'Lookup Tables'!$C$48</f>
        <v>30.527127931939201</v>
      </c>
      <c r="H253" s="70">
        <f t="shared" si="24"/>
        <v>7.4790941841846023E-2</v>
      </c>
      <c r="I253" s="71">
        <f t="shared" si="28"/>
        <v>4.3959064221992451E-2</v>
      </c>
      <c r="L253" s="74"/>
      <c r="M253" s="74"/>
      <c r="N253" s="74"/>
      <c r="O253" s="74"/>
      <c r="P253" s="74"/>
      <c r="Q253" s="74"/>
      <c r="R253" s="74"/>
      <c r="S253" s="74"/>
      <c r="T253" s="74"/>
      <c r="U253" s="74"/>
      <c r="V253" s="74"/>
      <c r="W253" s="74"/>
      <c r="X253" s="74"/>
      <c r="Y253" s="74"/>
      <c r="Z253" s="74"/>
    </row>
    <row r="254" spans="1:26" x14ac:dyDescent="0.3">
      <c r="A254" s="66">
        <f t="shared" si="26"/>
        <v>2014.6999999999775</v>
      </c>
      <c r="B254" s="67">
        <f>LOOKUP(A254+0.01,Amounts!$A$4:$A$103,Amounts!$B$4:$B$103)*0.1*$A$2</f>
        <v>567.68229540000004</v>
      </c>
      <c r="C254" s="68">
        <f t="shared" si="25"/>
        <v>107833.73648519981</v>
      </c>
      <c r="D254" s="67">
        <f t="array" ref="D254">SUM($B$7:$B249*$F$1009*EXP(-$F$1009*($A254-$A$7:$A249)))*$F$1010</f>
        <v>8045793.4899136666</v>
      </c>
      <c r="E254" s="67">
        <f t="shared" si="23"/>
        <v>15.338595005381267</v>
      </c>
      <c r="F254" s="70">
        <f t="shared" si="27"/>
        <v>0.93135948872675045</v>
      </c>
      <c r="G254" s="67">
        <f>E254/'Lookup Tables'!$C$48</f>
        <v>30.677190010762533</v>
      </c>
      <c r="H254" s="70">
        <f t="shared" si="24"/>
        <v>7.4762924828584584E-2</v>
      </c>
      <c r="I254" s="71">
        <f t="shared" si="28"/>
        <v>4.4175153615498043E-2</v>
      </c>
      <c r="L254" s="74"/>
      <c r="M254" s="74"/>
      <c r="N254" s="74"/>
      <c r="O254" s="74"/>
      <c r="P254" s="74"/>
      <c r="Q254" s="74"/>
      <c r="R254" s="74"/>
      <c r="S254" s="74"/>
      <c r="T254" s="74"/>
      <c r="U254" s="74"/>
      <c r="V254" s="74"/>
      <c r="W254" s="74"/>
      <c r="X254" s="74"/>
      <c r="Y254" s="74"/>
      <c r="Z254" s="74"/>
    </row>
    <row r="255" spans="1:26" x14ac:dyDescent="0.3">
      <c r="A255" s="66">
        <f t="shared" si="26"/>
        <v>2014.7999999999774</v>
      </c>
      <c r="B255" s="67">
        <f>LOOKUP(A255+0.01,Amounts!$A$4:$A$103,Amounts!$B$4:$B$103)*0.1*$A$2</f>
        <v>567.68229540000004</v>
      </c>
      <c r="C255" s="68">
        <f t="shared" si="25"/>
        <v>108401.41878059981</v>
      </c>
      <c r="D255" s="67">
        <f t="array" ref="D255">SUM($B$7:$B250*$F$1009*EXP(-$F$1009*($A255-$A$7:$A250)))*$F$1010</f>
        <v>8085095.6347069209</v>
      </c>
      <c r="E255" s="67">
        <f t="shared" si="23"/>
        <v>15.41352107483387</v>
      </c>
      <c r="F255" s="70">
        <f t="shared" si="27"/>
        <v>0.93590899966391261</v>
      </c>
      <c r="G255" s="67">
        <f>E255/'Lookup Tables'!$C$48</f>
        <v>30.82704214966774</v>
      </c>
      <c r="H255" s="70">
        <f t="shared" si="24"/>
        <v>7.4734692295213304E-2</v>
      </c>
      <c r="I255" s="71">
        <f t="shared" si="28"/>
        <v>4.4390940695521547E-2</v>
      </c>
      <c r="L255" s="74"/>
      <c r="M255" s="74"/>
      <c r="N255" s="74"/>
      <c r="O255" s="74"/>
      <c r="P255" s="74"/>
      <c r="Q255" s="74"/>
      <c r="R255" s="74"/>
      <c r="S255" s="74"/>
      <c r="T255" s="74"/>
      <c r="U255" s="74"/>
      <c r="V255" s="74"/>
      <c r="W255" s="74"/>
      <c r="X255" s="74"/>
      <c r="Y255" s="74"/>
      <c r="Z255" s="74"/>
    </row>
    <row r="256" spans="1:26" x14ac:dyDescent="0.3">
      <c r="A256" s="66">
        <f t="shared" si="26"/>
        <v>2014.8999999999774</v>
      </c>
      <c r="B256" s="67">
        <f>LOOKUP(A256+0.01,Amounts!$A$4:$A$103,Amounts!$B$4:$B$103)*0.1*$A$2</f>
        <v>567.68229540000004</v>
      </c>
      <c r="C256" s="68">
        <f t="shared" si="25"/>
        <v>108969.1010759998</v>
      </c>
      <c r="D256" s="67">
        <f t="array" ref="D256">SUM($B$7:$B251*$F$1009*EXP(-$F$1009*($A256-$A$7:$A251)))*$F$1010</f>
        <v>8124342.7949955994</v>
      </c>
      <c r="E256" s="67">
        <f t="shared" si="23"/>
        <v>15.488342321182536</v>
      </c>
      <c r="F256" s="70">
        <f t="shared" si="27"/>
        <v>0.94045214574220359</v>
      </c>
      <c r="G256" s="67">
        <f>E256/'Lookup Tables'!$C$48</f>
        <v>30.976684642365072</v>
      </c>
      <c r="H256" s="70">
        <f t="shared" si="24"/>
        <v>7.4706248318373136E-2</v>
      </c>
      <c r="I256" s="71">
        <f t="shared" si="28"/>
        <v>4.4606425885005706E-2</v>
      </c>
      <c r="L256" s="74"/>
      <c r="M256" s="74"/>
      <c r="N256" s="74"/>
      <c r="O256" s="74"/>
      <c r="P256" s="74"/>
      <c r="Q256" s="74"/>
      <c r="R256" s="74"/>
      <c r="S256" s="74"/>
      <c r="T256" s="74"/>
      <c r="U256" s="74"/>
      <c r="V256" s="74"/>
      <c r="W256" s="74"/>
      <c r="X256" s="74"/>
      <c r="Y256" s="74"/>
      <c r="Z256" s="74"/>
    </row>
    <row r="257" spans="1:26" x14ac:dyDescent="0.3">
      <c r="A257" s="66">
        <f t="shared" si="26"/>
        <v>2014.9999999999773</v>
      </c>
      <c r="B257" s="67">
        <f>LOOKUP(A257+0.01,Amounts!$A$4:$A$103,Amounts!$B$4:$B$103)*0.1*$A$2</f>
        <v>579.03157620000002</v>
      </c>
      <c r="C257" s="68">
        <f t="shared" si="25"/>
        <v>109548.1326521998</v>
      </c>
      <c r="D257" s="67">
        <f t="array" ref="D257">SUM($B$7:$B252*$F$1009*EXP(-$F$1009*($A257-$A$7:$A252)))*$F$1010</f>
        <v>8163535.04770415</v>
      </c>
      <c r="E257" s="67">
        <f t="shared" si="23"/>
        <v>15.563058891076933</v>
      </c>
      <c r="F257" s="70">
        <f t="shared" si="27"/>
        <v>0.94498893586619137</v>
      </c>
      <c r="G257" s="67">
        <f>E257/'Lookup Tables'!$C$48</f>
        <v>31.126117782153866</v>
      </c>
      <c r="H257" s="70">
        <f t="shared" si="24"/>
        <v>7.4669860225917567E-2</v>
      </c>
      <c r="I257" s="71">
        <f t="shared" si="28"/>
        <v>4.4821609606301563E-2</v>
      </c>
      <c r="L257" s="74"/>
      <c r="M257" s="74"/>
      <c r="N257" s="74"/>
      <c r="O257" s="74"/>
      <c r="P257" s="74"/>
      <c r="Q257" s="74"/>
      <c r="R257" s="74"/>
      <c r="S257" s="74"/>
      <c r="T257" s="74"/>
      <c r="U257" s="74"/>
      <c r="V257" s="74"/>
      <c r="W257" s="74"/>
      <c r="X257" s="74"/>
      <c r="Y257" s="74"/>
      <c r="Z257" s="74"/>
    </row>
    <row r="258" spans="1:26" x14ac:dyDescent="0.3">
      <c r="A258" s="66">
        <f t="shared" si="26"/>
        <v>2015.0999999999772</v>
      </c>
      <c r="B258" s="67">
        <f>LOOKUP(A258+0.01,Amounts!$A$4:$A$103,Amounts!$B$4:$B$103)*0.1*$A$2</f>
        <v>579.03157620000002</v>
      </c>
      <c r="C258" s="68">
        <f t="shared" si="25"/>
        <v>110127.16422839979</v>
      </c>
      <c r="D258" s="67">
        <f t="array" ref="D258">SUM($B$7:$B253*$F$1009*EXP(-$F$1009*($A258-$A$7:$A253)))*$F$1010</f>
        <v>8202672.4696493968</v>
      </c>
      <c r="E258" s="67">
        <f t="shared" si="23"/>
        <v>15.637670930961555</v>
      </c>
      <c r="F258" s="70">
        <f t="shared" si="27"/>
        <v>0.94951937892798566</v>
      </c>
      <c r="G258" s="67">
        <f>E258/'Lookup Tables'!$C$48</f>
        <v>31.27534186192311</v>
      </c>
      <c r="H258" s="70">
        <f t="shared" si="24"/>
        <v>7.4633355892712819E-2</v>
      </c>
      <c r="I258" s="71">
        <f t="shared" si="28"/>
        <v>4.503649228116928E-2</v>
      </c>
      <c r="L258" s="74"/>
      <c r="M258" s="74"/>
      <c r="N258" s="74"/>
      <c r="O258" s="74"/>
      <c r="P258" s="74"/>
      <c r="Q258" s="74"/>
      <c r="R258" s="74"/>
      <c r="S258" s="74"/>
      <c r="T258" s="74"/>
      <c r="U258" s="74"/>
      <c r="V258" s="74"/>
      <c r="W258" s="74"/>
      <c r="X258" s="74"/>
      <c r="Y258" s="74"/>
      <c r="Z258" s="74"/>
    </row>
    <row r="259" spans="1:26" x14ac:dyDescent="0.3">
      <c r="A259" s="66">
        <f t="shared" si="26"/>
        <v>2015.1999999999771</v>
      </c>
      <c r="B259" s="67">
        <f>LOOKUP(A259+0.01,Amounts!$A$4:$A$103,Amounts!$B$4:$B$103)*0.1*$A$2</f>
        <v>579.03157620000002</v>
      </c>
      <c r="C259" s="68">
        <f t="shared" si="25"/>
        <v>110706.19580459979</v>
      </c>
      <c r="D259" s="67">
        <f t="array" ref="D259">SUM($B$7:$B254*$F$1009*EXP(-$F$1009*($A259-$A$7:$A254)))*$F$1010</f>
        <v>8241755.1375407018</v>
      </c>
      <c r="E259" s="67">
        <f t="shared" si="23"/>
        <v>15.712178587076027</v>
      </c>
      <c r="F259" s="70">
        <f t="shared" si="27"/>
        <v>0.95404348380725634</v>
      </c>
      <c r="G259" s="67">
        <f>E259/'Lookup Tables'!$C$48</f>
        <v>31.424357174152053</v>
      </c>
      <c r="H259" s="70">
        <f t="shared" si="24"/>
        <v>7.4596737836998536E-2</v>
      </c>
      <c r="I259" s="71">
        <f t="shared" si="28"/>
        <v>4.5251074330778955E-2</v>
      </c>
      <c r="L259" s="74"/>
      <c r="M259" s="74"/>
      <c r="N259" s="74"/>
      <c r="O259" s="74"/>
      <c r="P259" s="74"/>
      <c r="Q259" s="74"/>
      <c r="R259" s="74"/>
      <c r="S259" s="74"/>
      <c r="T259" s="74"/>
      <c r="U259" s="74"/>
      <c r="V259" s="74"/>
      <c r="W259" s="74"/>
      <c r="X259" s="74"/>
      <c r="Y259" s="74"/>
      <c r="Z259" s="74"/>
    </row>
    <row r="260" spans="1:26" x14ac:dyDescent="0.3">
      <c r="A260" s="66">
        <f t="shared" si="26"/>
        <v>2015.299999999977</v>
      </c>
      <c r="B260" s="67">
        <f>LOOKUP(A260+0.01,Amounts!$A$4:$A$103,Amounts!$B$4:$B$103)*0.1*$A$2</f>
        <v>579.03157620000002</v>
      </c>
      <c r="C260" s="68">
        <f t="shared" si="25"/>
        <v>111285.22738079978</v>
      </c>
      <c r="D260" s="67">
        <f t="array" ref="D260">SUM($B$7:$B255*$F$1009*EXP(-$F$1009*($A260-$A$7:$A255)))*$F$1010</f>
        <v>8280783.1279801074</v>
      </c>
      <c r="E260" s="67">
        <f t="shared" si="23"/>
        <v>15.786582005455381</v>
      </c>
      <c r="F260" s="70">
        <f t="shared" si="27"/>
        <v>0.95856125937125081</v>
      </c>
      <c r="G260" s="67">
        <f>E260/'Lookup Tables'!$C$48</f>
        <v>31.573164010910762</v>
      </c>
      <c r="H260" s="70">
        <f t="shared" si="24"/>
        <v>7.4560008523637311E-2</v>
      </c>
      <c r="I260" s="71">
        <f t="shared" si="28"/>
        <v>4.5465356175711492E-2</v>
      </c>
      <c r="L260" s="74"/>
      <c r="M260" s="74"/>
      <c r="N260" s="74"/>
      <c r="O260" s="74"/>
      <c r="P260" s="74"/>
      <c r="Q260" s="74"/>
      <c r="R260" s="74"/>
      <c r="S260" s="74"/>
      <c r="T260" s="74"/>
      <c r="U260" s="74"/>
      <c r="V260" s="74"/>
      <c r="W260" s="74"/>
      <c r="X260" s="74"/>
      <c r="Y260" s="74"/>
      <c r="Z260" s="74"/>
    </row>
    <row r="261" spans="1:26" x14ac:dyDescent="0.3">
      <c r="A261" s="66">
        <f t="shared" si="26"/>
        <v>2015.3999999999769</v>
      </c>
      <c r="B261" s="67">
        <f>LOOKUP(A261+0.01,Amounts!$A$4:$A$103,Amounts!$B$4:$B$103)*0.1*$A$2</f>
        <v>579.03157620000002</v>
      </c>
      <c r="C261" s="68">
        <f t="shared" si="25"/>
        <v>111864.25895699978</v>
      </c>
      <c r="D261" s="67">
        <f t="array" ref="D261">SUM($B$7:$B256*$F$1009*EXP(-$F$1009*($A261-$A$7:$A256)))*$F$1010</f>
        <v>8319756.5174624817</v>
      </c>
      <c r="E261" s="67">
        <f t="shared" si="23"/>
        <v>15.860881331930329</v>
      </c>
      <c r="F261" s="70">
        <f t="shared" si="27"/>
        <v>0.96307271447480958</v>
      </c>
      <c r="G261" s="67">
        <f>E261/'Lookup Tables'!$C$48</f>
        <v>31.721762663860659</v>
      </c>
      <c r="H261" s="70">
        <f t="shared" si="24"/>
        <v>7.4523170365497118E-2</v>
      </c>
      <c r="I261" s="71">
        <f t="shared" si="28"/>
        <v>4.5679338235959349E-2</v>
      </c>
      <c r="L261" s="74"/>
      <c r="M261" s="74"/>
      <c r="N261" s="74"/>
      <c r="O261" s="74"/>
      <c r="P261" s="74"/>
      <c r="Q261" s="74"/>
      <c r="R261" s="74"/>
      <c r="S261" s="74"/>
      <c r="T261" s="74"/>
      <c r="U261" s="74"/>
      <c r="V261" s="74"/>
      <c r="W261" s="74"/>
      <c r="X261" s="74"/>
      <c r="Y261" s="74"/>
      <c r="Z261" s="74"/>
    </row>
    <row r="262" spans="1:26" x14ac:dyDescent="0.3">
      <c r="A262" s="66">
        <f t="shared" si="26"/>
        <v>2015.4999999999768</v>
      </c>
      <c r="B262" s="67">
        <f>LOOKUP(A262+0.01,Amounts!$A$4:$A$103,Amounts!$B$4:$B$103)*0.1*$A$2</f>
        <v>579.03157620000002</v>
      </c>
      <c r="C262" s="68">
        <f t="shared" si="25"/>
        <v>112443.29053319978</v>
      </c>
      <c r="D262" s="67">
        <f t="array" ref="D262">SUM($B$7:$B257*$F$1009*EXP(-$F$1009*($A262-$A$7:$A257)))*$F$1010</f>
        <v>8359686.1611042321</v>
      </c>
      <c r="E262" s="67">
        <f t="shared" si="23"/>
        <v>15.937003672541957</v>
      </c>
      <c r="F262" s="70">
        <f t="shared" si="27"/>
        <v>0.96769486299674767</v>
      </c>
      <c r="G262" s="67">
        <f>E262/'Lookup Tables'!$C$48</f>
        <v>31.874007345083914</v>
      </c>
      <c r="H262" s="70">
        <f t="shared" si="24"/>
        <v>7.449523302428461E-2</v>
      </c>
      <c r="I262" s="71">
        <f t="shared" si="28"/>
        <v>4.5898570576920837E-2</v>
      </c>
      <c r="L262" s="74"/>
      <c r="M262" s="74"/>
      <c r="N262" s="74"/>
      <c r="O262" s="74"/>
      <c r="P262" s="74"/>
      <c r="Q262" s="74"/>
      <c r="R262" s="74"/>
      <c r="S262" s="74"/>
      <c r="T262" s="74"/>
      <c r="U262" s="74"/>
      <c r="V262" s="74"/>
      <c r="W262" s="74"/>
      <c r="X262" s="74"/>
      <c r="Y262" s="74"/>
      <c r="Z262" s="74"/>
    </row>
    <row r="263" spans="1:26" x14ac:dyDescent="0.3">
      <c r="A263" s="66">
        <f t="shared" si="26"/>
        <v>2015.5999999999767</v>
      </c>
      <c r="B263" s="67">
        <f>LOOKUP(A263+0.01,Amounts!$A$4:$A$103,Amounts!$B$4:$B$103)*0.1*$A$2</f>
        <v>579.03157620000002</v>
      </c>
      <c r="C263" s="68">
        <f t="shared" si="25"/>
        <v>113022.32210939977</v>
      </c>
      <c r="D263" s="67">
        <f t="array" ref="D263">SUM($B$7:$B258*$F$1009*EXP(-$F$1009*($A263-$A$7:$A258)))*$F$1010</f>
        <v>8399559.9423576817</v>
      </c>
      <c r="E263" s="67">
        <f t="shared" ref="E263:E326" si="29">D263/(365*24*60)*1.00201</f>
        <v>16.013019516441819</v>
      </c>
      <c r="F263" s="70">
        <f t="shared" si="27"/>
        <v>0.97231054503834724</v>
      </c>
      <c r="G263" s="67">
        <f>E263/'Lookup Tables'!$C$48</f>
        <v>32.026039032883638</v>
      </c>
      <c r="H263" s="70">
        <f t="shared" ref="H263:H326" si="30">G263*60*24*365/(C263*2000)</f>
        <v>7.4467086684833261E-2</v>
      </c>
      <c r="I263" s="71">
        <f t="shared" si="28"/>
        <v>4.6117496207352435E-2</v>
      </c>
      <c r="L263" s="74"/>
      <c r="M263" s="74"/>
      <c r="N263" s="74"/>
      <c r="O263" s="74"/>
      <c r="P263" s="74"/>
      <c r="Q263" s="74"/>
      <c r="R263" s="74"/>
      <c r="S263" s="74"/>
      <c r="T263" s="74"/>
      <c r="U263" s="74"/>
      <c r="V263" s="74"/>
      <c r="W263" s="74"/>
      <c r="X263" s="74"/>
      <c r="Y263" s="74"/>
      <c r="Z263" s="74"/>
    </row>
    <row r="264" spans="1:26" x14ac:dyDescent="0.3">
      <c r="A264" s="66">
        <f t="shared" si="26"/>
        <v>2015.6999999999766</v>
      </c>
      <c r="B264" s="67">
        <f>LOOKUP(A264+0.01,Amounts!$A$4:$A$103,Amounts!$B$4:$B$103)*0.1*$A$2</f>
        <v>579.03157620000002</v>
      </c>
      <c r="C264" s="68">
        <f t="shared" si="25"/>
        <v>113601.35368559977</v>
      </c>
      <c r="D264" s="67">
        <f t="array" ref="D264">SUM($B$7:$B259*$F$1009*EXP(-$F$1009*($A264-$A$7:$A259)))*$F$1010</f>
        <v>8439377.9393754546</v>
      </c>
      <c r="E264" s="67">
        <f t="shared" si="29"/>
        <v>16.088929012621005</v>
      </c>
      <c r="F264" s="70">
        <f t="shared" si="27"/>
        <v>0.97691976964634741</v>
      </c>
      <c r="G264" s="67">
        <f>E264/'Lookup Tables'!$C$48</f>
        <v>32.17785802524201</v>
      </c>
      <c r="H264" s="70">
        <f t="shared" si="30"/>
        <v>7.4438735232303266E-2</v>
      </c>
      <c r="I264" s="71">
        <f t="shared" si="28"/>
        <v>4.6336115556348492E-2</v>
      </c>
      <c r="L264" s="74"/>
      <c r="M264" s="74"/>
      <c r="N264" s="74"/>
      <c r="O264" s="74"/>
      <c r="P264" s="74"/>
      <c r="Q264" s="74"/>
      <c r="R264" s="74"/>
      <c r="S264" s="74"/>
      <c r="T264" s="74"/>
      <c r="U264" s="74"/>
      <c r="V264" s="74"/>
      <c r="W264" s="74"/>
      <c r="X264" s="74"/>
      <c r="Y264" s="74"/>
      <c r="Z264" s="74"/>
    </row>
    <row r="265" spans="1:26" x14ac:dyDescent="0.3">
      <c r="A265" s="66">
        <f t="shared" si="26"/>
        <v>2015.7999999999765</v>
      </c>
      <c r="B265" s="67">
        <f>LOOKUP(A265+0.01,Amounts!$A$4:$A$103,Amounts!$B$4:$B$103)*0.1*$A$2</f>
        <v>579.03157620000002</v>
      </c>
      <c r="C265" s="68">
        <f t="shared" ref="C265:C328" si="31">C264+B265</f>
        <v>114180.38526179976</v>
      </c>
      <c r="D265" s="67">
        <f t="array" ref="D265">SUM($B$7:$B260*$F$1009*EXP(-$F$1009*($A265-$A$7:$A260)))*$F$1010</f>
        <v>8479140.2302008383</v>
      </c>
      <c r="E265" s="67">
        <f t="shared" si="29"/>
        <v>16.164732309862146</v>
      </c>
      <c r="F265" s="70">
        <f t="shared" si="27"/>
        <v>0.98152254585482945</v>
      </c>
      <c r="G265" s="67">
        <f>E265/'Lookup Tables'!$C$48</f>
        <v>32.329464619724291</v>
      </c>
      <c r="H265" s="70">
        <f t="shared" si="30"/>
        <v>7.4410182472085501E-2</v>
      </c>
      <c r="I265" s="71">
        <f t="shared" si="28"/>
        <v>4.6554429052402979E-2</v>
      </c>
      <c r="L265" s="74"/>
      <c r="M265" s="74"/>
      <c r="N265" s="74"/>
      <c r="O265" s="74"/>
      <c r="P265" s="74"/>
      <c r="Q265" s="74"/>
      <c r="R265" s="74"/>
      <c r="S265" s="74"/>
      <c r="T265" s="74"/>
      <c r="U265" s="74"/>
      <c r="V265" s="74"/>
      <c r="W265" s="74"/>
      <c r="X265" s="74"/>
      <c r="Y265" s="74"/>
      <c r="Z265" s="74"/>
    </row>
    <row r="266" spans="1:26" x14ac:dyDescent="0.3">
      <c r="A266" s="66">
        <f t="shared" si="26"/>
        <v>2015.8999999999764</v>
      </c>
      <c r="B266" s="67">
        <f>LOOKUP(A266+0.01,Amounts!$A$4:$A$103,Amounts!$B$4:$B$103)*0.1*$A$2</f>
        <v>579.03157620000002</v>
      </c>
      <c r="C266" s="68">
        <f t="shared" si="31"/>
        <v>114759.41683799976</v>
      </c>
      <c r="D266" s="67">
        <f t="array" ref="D266">SUM($B$7:$B261*$F$1009*EXP(-$F$1009*($A266-$A$7:$A261)))*$F$1010</f>
        <v>8518846.8927679304</v>
      </c>
      <c r="E266" s="67">
        <f t="shared" si="29"/>
        <v>16.240429556739716</v>
      </c>
      <c r="F266" s="70">
        <f t="shared" si="27"/>
        <v>0.98611888268523562</v>
      </c>
      <c r="G266" s="67">
        <f>E266/'Lookup Tables'!$C$48</f>
        <v>32.480859113479433</v>
      </c>
      <c r="H266" s="70">
        <f t="shared" si="30"/>
        <v>7.4381432131815417E-2</v>
      </c>
      <c r="I266" s="71">
        <f t="shared" si="28"/>
        <v>4.6772437123410379E-2</v>
      </c>
      <c r="L266" s="74"/>
      <c r="M266" s="74"/>
      <c r="N266" s="74"/>
      <c r="O266" s="74"/>
      <c r="P266" s="74"/>
      <c r="Q266" s="74"/>
      <c r="R266" s="74"/>
      <c r="S266" s="74"/>
      <c r="T266" s="74"/>
      <c r="U266" s="74"/>
      <c r="V266" s="74"/>
      <c r="W266" s="74"/>
      <c r="X266" s="74"/>
      <c r="Y266" s="74"/>
      <c r="Z266" s="74"/>
    </row>
    <row r="267" spans="1:26" x14ac:dyDescent="0.3">
      <c r="A267" s="66">
        <f t="shared" si="26"/>
        <v>2015.9999999999764</v>
      </c>
      <c r="B267" s="67">
        <f>LOOKUP(A267+0.01,Amounts!$A$4:$A$103,Amounts!$B$4:$B$103)*0.1*$A$2</f>
        <v>590.61123770000006</v>
      </c>
      <c r="C267" s="68">
        <f t="shared" si="31"/>
        <v>115350.02807569975</v>
      </c>
      <c r="D267" s="67">
        <f t="array" ref="D267">SUM($B$7:$B262*$F$1009*EXP(-$F$1009*($A267-$A$7:$A262)))*$F$1010</f>
        <v>8558498.0049018003</v>
      </c>
      <c r="E267" s="67">
        <f t="shared" si="29"/>
        <v>16.316020901620345</v>
      </c>
      <c r="F267" s="70">
        <f t="shared" si="27"/>
        <v>0.99070878914638738</v>
      </c>
      <c r="G267" s="67">
        <f>E267/'Lookup Tables'!$C$48</f>
        <v>32.632041803240689</v>
      </c>
      <c r="H267" s="70">
        <f t="shared" si="30"/>
        <v>7.4345023828375253E-2</v>
      </c>
      <c r="I267" s="71">
        <f t="shared" si="28"/>
        <v>4.6990140196666592E-2</v>
      </c>
      <c r="L267" s="74"/>
      <c r="M267" s="74"/>
      <c r="N267" s="74"/>
      <c r="O267" s="74"/>
      <c r="P267" s="74"/>
      <c r="Q267" s="74"/>
      <c r="R267" s="74"/>
      <c r="S267" s="74"/>
      <c r="T267" s="74"/>
      <c r="U267" s="74"/>
      <c r="V267" s="74"/>
      <c r="W267" s="74"/>
      <c r="X267" s="74"/>
      <c r="Y267" s="74"/>
      <c r="Z267" s="74"/>
    </row>
    <row r="268" spans="1:26" x14ac:dyDescent="0.3">
      <c r="A268" s="66">
        <f t="shared" si="26"/>
        <v>2016.0999999999763</v>
      </c>
      <c r="B268" s="67">
        <f>LOOKUP(A268+0.01,Amounts!$A$4:$A$103,Amounts!$B$4:$B$103)*0.1*$A$2</f>
        <v>590.61123770000006</v>
      </c>
      <c r="C268" s="68">
        <f t="shared" si="31"/>
        <v>115940.63931339975</v>
      </c>
      <c r="D268" s="67">
        <f t="array" ref="D268">SUM($B$7:$B263*$F$1009*EXP(-$F$1009*($A268-$A$7:$A263)))*$F$1010</f>
        <v>8598093.644318644</v>
      </c>
      <c r="E268" s="67">
        <f t="shared" si="29"/>
        <v>16.391506492663098</v>
      </c>
      <c r="F268" s="70">
        <f t="shared" si="27"/>
        <v>0.99529227423450328</v>
      </c>
      <c r="G268" s="67">
        <f>E268/'Lookup Tables'!$C$48</f>
        <v>32.783012985326195</v>
      </c>
      <c r="H268" s="70">
        <f t="shared" si="30"/>
        <v>7.430850703915351E-2</v>
      </c>
      <c r="I268" s="71">
        <f t="shared" si="28"/>
        <v>4.7207538698869719E-2</v>
      </c>
      <c r="L268" s="74"/>
      <c r="M268" s="74"/>
      <c r="N268" s="74"/>
      <c r="O268" s="74"/>
      <c r="P268" s="74"/>
      <c r="Q268" s="74"/>
      <c r="R268" s="74"/>
      <c r="S268" s="74"/>
      <c r="T268" s="74"/>
      <c r="U268" s="74"/>
      <c r="V268" s="74"/>
      <c r="W268" s="74"/>
      <c r="X268" s="74"/>
      <c r="Y268" s="74"/>
      <c r="Z268" s="74"/>
    </row>
    <row r="269" spans="1:26" x14ac:dyDescent="0.3">
      <c r="A269" s="66">
        <f t="shared" si="26"/>
        <v>2016.1999999999762</v>
      </c>
      <c r="B269" s="67">
        <f>LOOKUP(A269+0.01,Amounts!$A$4:$A$103,Amounts!$B$4:$B$103)*0.1*$A$2</f>
        <v>590.61123770000006</v>
      </c>
      <c r="C269" s="68">
        <f t="shared" si="31"/>
        <v>116531.25055109974</v>
      </c>
      <c r="D269" s="67">
        <f t="array" ref="D269">SUM($B$7:$B264*$F$1009*EXP(-$F$1009*($A269-$A$7:$A264)))*$F$1010</f>
        <v>8637633.8886259347</v>
      </c>
      <c r="E269" s="67">
        <f t="shared" si="29"/>
        <v>16.466886477819777</v>
      </c>
      <c r="F269" s="70">
        <f t="shared" si="27"/>
        <v>0.99986934693321694</v>
      </c>
      <c r="G269" s="67">
        <f>E269/'Lookup Tables'!$C$48</f>
        <v>32.933772955639554</v>
      </c>
      <c r="H269" s="70">
        <f t="shared" si="30"/>
        <v>7.427188408097278E-2</v>
      </c>
      <c r="I269" s="71">
        <f t="shared" si="28"/>
        <v>4.7424633056120963E-2</v>
      </c>
      <c r="L269" s="74"/>
      <c r="M269" s="74"/>
      <c r="N269" s="74"/>
      <c r="O269" s="74"/>
      <c r="P269" s="74"/>
      <c r="Q269" s="74"/>
      <c r="R269" s="74"/>
      <c r="S269" s="74"/>
      <c r="T269" s="74"/>
      <c r="U269" s="74"/>
      <c r="V269" s="74"/>
      <c r="W269" s="74"/>
      <c r="X269" s="74"/>
      <c r="Y269" s="74"/>
      <c r="Z269" s="74"/>
    </row>
    <row r="270" spans="1:26" x14ac:dyDescent="0.3">
      <c r="A270" s="66">
        <f t="shared" si="26"/>
        <v>2016.2999999999761</v>
      </c>
      <c r="B270" s="67">
        <f>LOOKUP(A270+0.01,Amounts!$A$4:$A$103,Amounts!$B$4:$B$103)*0.1*$A$2</f>
        <v>590.61123770000006</v>
      </c>
      <c r="C270" s="68">
        <f t="shared" si="31"/>
        <v>117121.86178879974</v>
      </c>
      <c r="D270" s="67">
        <f t="array" ref="D270">SUM($B$7:$B265*$F$1009*EXP(-$F$1009*($A270-$A$7:$A265)))*$F$1010</f>
        <v>8677118.8153225556</v>
      </c>
      <c r="E270" s="67">
        <f t="shared" si="29"/>
        <v>16.542161004835151</v>
      </c>
      <c r="F270" s="70">
        <f t="shared" si="27"/>
        <v>1.0044400162135905</v>
      </c>
      <c r="G270" s="67">
        <f>E270/'Lookup Tables'!$C$48</f>
        <v>33.084322009670302</v>
      </c>
      <c r="H270" s="70">
        <f t="shared" si="30"/>
        <v>7.4235157222994286E-2</v>
      </c>
      <c r="I270" s="71">
        <f t="shared" si="28"/>
        <v>4.7641423693925239E-2</v>
      </c>
      <c r="L270" s="74"/>
      <c r="M270" s="74"/>
      <c r="N270" s="74"/>
      <c r="O270" s="74"/>
      <c r="P270" s="74"/>
      <c r="Q270" s="74"/>
      <c r="R270" s="74"/>
      <c r="S270" s="74"/>
      <c r="T270" s="74"/>
      <c r="U270" s="74"/>
      <c r="V270" s="74"/>
      <c r="W270" s="74"/>
      <c r="X270" s="74"/>
      <c r="Y270" s="74"/>
      <c r="Z270" s="74"/>
    </row>
    <row r="271" spans="1:26" x14ac:dyDescent="0.3">
      <c r="A271" s="66">
        <f t="shared" si="26"/>
        <v>2016.399999999976</v>
      </c>
      <c r="B271" s="67">
        <f>LOOKUP(A271+0.01,Amounts!$A$4:$A$103,Amounts!$B$4:$B$103)*0.1*$A$2</f>
        <v>590.61123770000006</v>
      </c>
      <c r="C271" s="68">
        <f t="shared" si="31"/>
        <v>117712.47302649973</v>
      </c>
      <c r="D271" s="67">
        <f t="array" ref="D271">SUM($B$7:$B266*$F$1009*EXP(-$F$1009*($A271-$A$7:$A266)))*$F$1010</f>
        <v>8716548.5017989799</v>
      </c>
      <c r="E271" s="67">
        <f t="shared" si="29"/>
        <v>16.617330221247329</v>
      </c>
      <c r="F271" s="70">
        <f t="shared" si="27"/>
        <v>1.0090042910341379</v>
      </c>
      <c r="G271" s="67">
        <f>E271/'Lookup Tables'!$C$48</f>
        <v>33.234660442494658</v>
      </c>
      <c r="H271" s="70">
        <f t="shared" si="30"/>
        <v>7.4198328687915344E-2</v>
      </c>
      <c r="I271" s="71">
        <f t="shared" si="28"/>
        <v>4.7857911037192308E-2</v>
      </c>
      <c r="L271" s="74"/>
      <c r="M271" s="74"/>
      <c r="N271" s="74"/>
      <c r="O271" s="74"/>
      <c r="P271" s="74"/>
      <c r="Q271" s="74"/>
      <c r="R271" s="74"/>
      <c r="S271" s="74"/>
      <c r="T271" s="74"/>
      <c r="U271" s="74"/>
      <c r="V271" s="74"/>
      <c r="W271" s="74"/>
      <c r="X271" s="74"/>
      <c r="Y271" s="74"/>
      <c r="Z271" s="74"/>
    </row>
    <row r="272" spans="1:26" x14ac:dyDescent="0.3">
      <c r="A272" s="66">
        <f t="shared" si="26"/>
        <v>2016.4999999999759</v>
      </c>
      <c r="B272" s="67">
        <f>LOOKUP(A272+0.01,Amounts!$A$4:$A$103,Amounts!$B$4:$B$103)*0.1*$A$2</f>
        <v>590.61123770000006</v>
      </c>
      <c r="C272" s="68">
        <f t="shared" si="31"/>
        <v>118303.08426419973</v>
      </c>
      <c r="D272" s="67">
        <f t="array" ref="D272">SUM($B$7:$B267*$F$1009*EXP(-$F$1009*($A272-$A$7:$A267)))*$F$1010</f>
        <v>8756954.3220102284</v>
      </c>
      <c r="E272" s="67">
        <f t="shared" si="29"/>
        <v>16.694360350451806</v>
      </c>
      <c r="F272" s="70">
        <f t="shared" si="27"/>
        <v>1.0136815604794336</v>
      </c>
      <c r="G272" s="67">
        <f>E272/'Lookup Tables'!$C$48</f>
        <v>33.388720700903612</v>
      </c>
      <c r="H272" s="70">
        <f t="shared" si="30"/>
        <v>7.4170135586674471E-2</v>
      </c>
      <c r="I272" s="71">
        <f t="shared" si="28"/>
        <v>4.8079757809301196E-2</v>
      </c>
      <c r="L272" s="74"/>
      <c r="M272" s="74"/>
      <c r="N272" s="74"/>
      <c r="O272" s="74"/>
      <c r="P272" s="74"/>
      <c r="Q272" s="74"/>
      <c r="R272" s="74"/>
      <c r="S272" s="74"/>
      <c r="T272" s="74"/>
      <c r="U272" s="74"/>
      <c r="V272" s="74"/>
      <c r="W272" s="74"/>
      <c r="X272" s="74"/>
      <c r="Y272" s="74"/>
      <c r="Z272" s="74"/>
    </row>
    <row r="273" spans="1:26" x14ac:dyDescent="0.3">
      <c r="A273" s="66">
        <f t="shared" si="26"/>
        <v>2016.5999999999758</v>
      </c>
      <c r="B273" s="67">
        <f>LOOKUP(A273+0.01,Amounts!$A$4:$A$103,Amounts!$B$4:$B$103)*0.1*$A$2</f>
        <v>590.61123770000006</v>
      </c>
      <c r="C273" s="68">
        <f t="shared" si="31"/>
        <v>118893.69550189973</v>
      </c>
      <c r="D273" s="67">
        <f t="array" ref="D273">SUM($B$7:$B268*$F$1009*EXP(-$F$1009*($A273-$A$7:$A268)))*$F$1010</f>
        <v>8797303.6136524118</v>
      </c>
      <c r="E273" s="67">
        <f t="shared" si="29"/>
        <v>16.771282712929704</v>
      </c>
      <c r="F273" s="70">
        <f t="shared" si="27"/>
        <v>1.0183522863290917</v>
      </c>
      <c r="G273" s="67">
        <f>E273/'Lookup Tables'!$C$48</f>
        <v>33.542565425859408</v>
      </c>
      <c r="H273" s="70">
        <f t="shared" si="30"/>
        <v>7.4141746176734857E-2</v>
      </c>
      <c r="I273" s="71">
        <f t="shared" si="28"/>
        <v>4.8301294213237547E-2</v>
      </c>
      <c r="L273" s="74"/>
      <c r="M273" s="74"/>
      <c r="N273" s="74"/>
      <c r="O273" s="74"/>
      <c r="P273" s="74"/>
      <c r="Q273" s="74"/>
      <c r="R273" s="74"/>
      <c r="S273" s="74"/>
      <c r="T273" s="74"/>
      <c r="U273" s="74"/>
      <c r="V273" s="74"/>
      <c r="W273" s="74"/>
      <c r="X273" s="74"/>
      <c r="Y273" s="74"/>
      <c r="Z273" s="74"/>
    </row>
    <row r="274" spans="1:26" x14ac:dyDescent="0.3">
      <c r="A274" s="66">
        <f t="shared" si="26"/>
        <v>2016.6999999999757</v>
      </c>
      <c r="B274" s="67">
        <f>LOOKUP(A274+0.01,Amounts!$A$4:$A$103,Amounts!$B$4:$B$103)*0.1*$A$2</f>
        <v>590.61123770000006</v>
      </c>
      <c r="C274" s="68">
        <f t="shared" si="31"/>
        <v>119484.30673959972</v>
      </c>
      <c r="D274" s="67">
        <f t="array" ref="D274">SUM($B$7:$B269*$F$1009*EXP(-$F$1009*($A274-$A$7:$A269)))*$F$1010</f>
        <v>8837596.4558101576</v>
      </c>
      <c r="E274" s="67">
        <f t="shared" si="29"/>
        <v>16.848097459448891</v>
      </c>
      <c r="F274" s="70">
        <f t="shared" si="27"/>
        <v>1.0230164777377366</v>
      </c>
      <c r="G274" s="67">
        <f>E274/'Lookup Tables'!$C$48</f>
        <v>33.696194918897781</v>
      </c>
      <c r="H274" s="70">
        <f t="shared" si="30"/>
        <v>7.4113164032373099E-2</v>
      </c>
      <c r="I274" s="71">
        <f t="shared" si="28"/>
        <v>4.8522520683212805E-2</v>
      </c>
      <c r="L274" s="74"/>
      <c r="M274" s="74"/>
      <c r="N274" s="74"/>
      <c r="O274" s="74"/>
      <c r="P274" s="74"/>
      <c r="Q274" s="74"/>
      <c r="R274" s="74"/>
      <c r="S274" s="74"/>
      <c r="T274" s="74"/>
      <c r="U274" s="74"/>
      <c r="V274" s="74"/>
      <c r="W274" s="74"/>
      <c r="X274" s="74"/>
      <c r="Y274" s="74"/>
      <c r="Z274" s="74"/>
    </row>
    <row r="275" spans="1:26" x14ac:dyDescent="0.3">
      <c r="A275" s="66">
        <f t="shared" ref="A275:A338" si="32">A274+0.1</f>
        <v>2016.7999999999756</v>
      </c>
      <c r="B275" s="67">
        <f>LOOKUP(A275+0.01,Amounts!$A$4:$A$103,Amounts!$B$4:$B$103)*0.1*$A$2</f>
        <v>590.61123770000006</v>
      </c>
      <c r="C275" s="68">
        <f t="shared" si="31"/>
        <v>120074.91797729972</v>
      </c>
      <c r="D275" s="67">
        <f t="array" ref="D275">SUM($B$7:$B270*$F$1009*EXP(-$F$1009*($A275-$A$7:$A270)))*$F$1010</f>
        <v>8877832.9274574425</v>
      </c>
      <c r="E275" s="67">
        <f t="shared" si="29"/>
        <v>16.924804740566273</v>
      </c>
      <c r="F275" s="70">
        <f t="shared" ref="F275:F338" si="33">E275*60*1012/1000000</f>
        <v>1.0276741438471839</v>
      </c>
      <c r="G275" s="67">
        <f>E275/'Lookup Tables'!$C$48</f>
        <v>33.849609481132546</v>
      </c>
      <c r="H275" s="70">
        <f t="shared" si="30"/>
        <v>7.4084392656619327E-2</v>
      </c>
      <c r="I275" s="71">
        <f t="shared" ref="I275:I338" si="34">G275*60*24/1000000</f>
        <v>4.8743437652830866E-2</v>
      </c>
      <c r="L275" s="74"/>
      <c r="M275" s="74"/>
      <c r="N275" s="74"/>
      <c r="O275" s="74"/>
      <c r="P275" s="74"/>
      <c r="Q275" s="74"/>
      <c r="R275" s="74"/>
      <c r="S275" s="74"/>
      <c r="T275" s="74"/>
      <c r="U275" s="74"/>
      <c r="V275" s="74"/>
      <c r="W275" s="74"/>
      <c r="X275" s="74"/>
      <c r="Y275" s="74"/>
      <c r="Z275" s="74"/>
    </row>
    <row r="276" spans="1:26" x14ac:dyDescent="0.3">
      <c r="A276" s="66">
        <f t="shared" si="32"/>
        <v>2016.8999999999755</v>
      </c>
      <c r="B276" s="67">
        <f>LOOKUP(A276+0.01,Amounts!$A$4:$A$103,Amounts!$B$4:$B$103)*0.1*$A$2</f>
        <v>590.61123770000006</v>
      </c>
      <c r="C276" s="68">
        <f t="shared" si="31"/>
        <v>120665.52921499971</v>
      </c>
      <c r="D276" s="67">
        <f t="array" ref="D276">SUM($B$7:$B271*$F$1009*EXP(-$F$1009*($A276-$A$7:$A271)))*$F$1010</f>
        <v>8918013.1074577719</v>
      </c>
      <c r="E276" s="67">
        <f t="shared" si="29"/>
        <v>17.001404706628165</v>
      </c>
      <c r="F276" s="70">
        <f t="shared" si="33"/>
        <v>1.0323252937864622</v>
      </c>
      <c r="G276" s="67">
        <f>E276/'Lookup Tables'!$C$48</f>
        <v>34.00280941325633</v>
      </c>
      <c r="H276" s="70">
        <f t="shared" si="30"/>
        <v>7.4055435483002488E-2</v>
      </c>
      <c r="I276" s="71">
        <f t="shared" si="34"/>
        <v>4.8964045555089111E-2</v>
      </c>
      <c r="L276" s="74"/>
      <c r="M276" s="74"/>
      <c r="N276" s="74"/>
      <c r="O276" s="74"/>
      <c r="P276" s="74"/>
      <c r="Q276" s="74"/>
      <c r="R276" s="74"/>
      <c r="S276" s="74"/>
      <c r="T276" s="74"/>
      <c r="U276" s="74"/>
      <c r="V276" s="74"/>
      <c r="W276" s="74"/>
      <c r="X276" s="74"/>
      <c r="Y276" s="74"/>
      <c r="Z276" s="74"/>
    </row>
    <row r="277" spans="1:26" x14ac:dyDescent="0.3">
      <c r="A277" s="66">
        <f t="shared" si="32"/>
        <v>2016.9999999999754</v>
      </c>
      <c r="B277" s="67">
        <f>LOOKUP(A277+0.01,Amounts!$A$4:$A$103,Amounts!$B$4:$B$103)*0.1*$A$2</f>
        <v>0</v>
      </c>
      <c r="C277" s="68">
        <f t="shared" si="31"/>
        <v>120665.52921499971</v>
      </c>
      <c r="D277" s="67">
        <f t="array" ref="D277">SUM($B$7:$B272*$F$1009*EXP(-$F$1009*($A277-$A$7:$A272)))*$F$1010</f>
        <v>8958137.0745643079</v>
      </c>
      <c r="E277" s="67">
        <f t="shared" si="29"/>
        <v>17.077897507770516</v>
      </c>
      <c r="F277" s="70">
        <f t="shared" si="33"/>
        <v>1.0369699366718257</v>
      </c>
      <c r="G277" s="67">
        <f>E277/'Lookup Tables'!$C$48</f>
        <v>34.155795015541031</v>
      </c>
      <c r="H277" s="70">
        <f t="shared" si="30"/>
        <v>7.4388626051526699E-2</v>
      </c>
      <c r="I277" s="71">
        <f t="shared" si="34"/>
        <v>4.9184344822379093E-2</v>
      </c>
      <c r="L277" s="74"/>
      <c r="M277" s="74"/>
      <c r="N277" s="74"/>
      <c r="O277" s="74"/>
      <c r="P277" s="74"/>
      <c r="Q277" s="74"/>
      <c r="R277" s="74"/>
      <c r="S277" s="74"/>
      <c r="T277" s="74"/>
      <c r="U277" s="74"/>
      <c r="V277" s="74"/>
      <c r="W277" s="74"/>
      <c r="X277" s="74"/>
      <c r="Y277" s="74"/>
      <c r="Z277" s="74"/>
    </row>
    <row r="278" spans="1:26" x14ac:dyDescent="0.3">
      <c r="A278" s="66">
        <f t="shared" si="32"/>
        <v>2017.0999999999754</v>
      </c>
      <c r="B278" s="67">
        <f>LOOKUP(A278+0.01,Amounts!$A$4:$A$103,Amounts!$B$4:$B$103)*0.1*$A$2</f>
        <v>0</v>
      </c>
      <c r="C278" s="68">
        <f t="shared" si="31"/>
        <v>120665.52921499971</v>
      </c>
      <c r="D278" s="67">
        <f t="array" ref="D278">SUM($B$7:$B273*$F$1009*EXP(-$F$1009*($A278-$A$7:$A273)))*$F$1010</f>
        <v>8998204.9074200355</v>
      </c>
      <c r="E278" s="67">
        <f t="shared" si="29"/>
        <v>17.154283293919239</v>
      </c>
      <c r="F278" s="70">
        <f t="shared" si="33"/>
        <v>1.0416080816067761</v>
      </c>
      <c r="G278" s="67">
        <f>E278/'Lookup Tables'!$C$48</f>
        <v>34.308566587838477</v>
      </c>
      <c r="H278" s="70">
        <f t="shared" si="30"/>
        <v>7.4721350479629384E-2</v>
      </c>
      <c r="I278" s="71">
        <f t="shared" si="34"/>
        <v>4.9404335886487405E-2</v>
      </c>
      <c r="L278" s="74"/>
      <c r="M278" s="74"/>
      <c r="N278" s="74"/>
      <c r="O278" s="74"/>
      <c r="P278" s="74"/>
      <c r="Q278" s="74"/>
      <c r="R278" s="74"/>
      <c r="S278" s="74"/>
      <c r="T278" s="74"/>
      <c r="U278" s="74"/>
      <c r="V278" s="74"/>
      <c r="W278" s="74"/>
      <c r="X278" s="74"/>
      <c r="Y278" s="74"/>
      <c r="Z278" s="74"/>
    </row>
    <row r="279" spans="1:26" x14ac:dyDescent="0.3">
      <c r="A279" s="66">
        <f t="shared" si="32"/>
        <v>2017.1999999999753</v>
      </c>
      <c r="B279" s="67">
        <f>LOOKUP(A279+0.01,Amounts!$A$4:$A$103,Amounts!$B$4:$B$103)*0.1*$A$2</f>
        <v>0</v>
      </c>
      <c r="C279" s="68">
        <f t="shared" si="31"/>
        <v>120665.52921499971</v>
      </c>
      <c r="D279" s="67">
        <f t="array" ref="D279">SUM($B$7:$B274*$F$1009*EXP(-$F$1009*($A279-$A$7:$A274)))*$F$1010</f>
        <v>9038216.6845579259</v>
      </c>
      <c r="E279" s="67">
        <f t="shared" si="29"/>
        <v>17.230562214790503</v>
      </c>
      <c r="F279" s="70">
        <f t="shared" si="33"/>
        <v>1.0462397376820793</v>
      </c>
      <c r="G279" s="67">
        <f>E279/'Lookup Tables'!$C$48</f>
        <v>34.461124429581005</v>
      </c>
      <c r="H279" s="70">
        <f t="shared" si="30"/>
        <v>7.5053609419450565E-2</v>
      </c>
      <c r="I279" s="71">
        <f t="shared" si="34"/>
        <v>4.9624019178596643E-2</v>
      </c>
      <c r="L279" s="74"/>
      <c r="M279" s="74"/>
      <c r="N279" s="74"/>
      <c r="O279" s="74"/>
      <c r="P279" s="74"/>
      <c r="Q279" s="74"/>
      <c r="R279" s="74"/>
      <c r="S279" s="74"/>
      <c r="T279" s="74"/>
      <c r="U279" s="74"/>
      <c r="V279" s="74"/>
      <c r="W279" s="74"/>
      <c r="X279" s="74"/>
      <c r="Y279" s="74"/>
      <c r="Z279" s="74"/>
    </row>
    <row r="280" spans="1:26" x14ac:dyDescent="0.3">
      <c r="A280" s="66">
        <f t="shared" si="32"/>
        <v>2017.2999999999752</v>
      </c>
      <c r="B280" s="67">
        <f>LOOKUP(A280+0.01,Amounts!$A$4:$A$103,Amounts!$B$4:$B$103)*0.1*$A$2</f>
        <v>0</v>
      </c>
      <c r="C280" s="68">
        <f t="shared" si="31"/>
        <v>120665.52921499971</v>
      </c>
      <c r="D280" s="67">
        <f t="array" ref="D280">SUM($B$7:$B275*$F$1009*EXP(-$F$1009*($A280-$A$7:$A275)))*$F$1010</f>
        <v>9078172.4844010696</v>
      </c>
      <c r="E280" s="67">
        <f t="shared" si="29"/>
        <v>17.306734419891015</v>
      </c>
      <c r="F280" s="70">
        <f t="shared" si="33"/>
        <v>1.0508649139757824</v>
      </c>
      <c r="G280" s="67">
        <f>E280/'Lookup Tables'!$C$48</f>
        <v>34.61346883978203</v>
      </c>
      <c r="H280" s="70">
        <f t="shared" si="30"/>
        <v>7.5385403522217828E-2</v>
      </c>
      <c r="I280" s="71">
        <f t="shared" si="34"/>
        <v>4.9843395129286115E-2</v>
      </c>
      <c r="L280" s="74"/>
      <c r="M280" s="74"/>
      <c r="N280" s="74"/>
      <c r="O280" s="74"/>
      <c r="P280" s="74"/>
      <c r="Q280" s="74"/>
      <c r="R280" s="74"/>
      <c r="S280" s="74"/>
      <c r="T280" s="74"/>
      <c r="U280" s="74"/>
      <c r="V280" s="74"/>
      <c r="W280" s="74"/>
      <c r="X280" s="74"/>
      <c r="Y280" s="74"/>
      <c r="Z280" s="74"/>
    </row>
    <row r="281" spans="1:26" x14ac:dyDescent="0.3">
      <c r="A281" s="66">
        <f t="shared" si="32"/>
        <v>2017.3999999999751</v>
      </c>
      <c r="B281" s="67">
        <f>LOOKUP(A281+0.01,Amounts!$A$4:$A$103,Amounts!$B$4:$B$103)*0.1*$A$2</f>
        <v>0</v>
      </c>
      <c r="C281" s="68">
        <f t="shared" si="31"/>
        <v>120665.52921499971</v>
      </c>
      <c r="D281" s="67">
        <f t="array" ref="D281">SUM($B$7:$B276*$F$1009*EXP(-$F$1009*($A281-$A$7:$A276)))*$F$1010</f>
        <v>9118072.3852628507</v>
      </c>
      <c r="E281" s="67">
        <f t="shared" si="29"/>
        <v>17.38280005851832</v>
      </c>
      <c r="F281" s="70">
        <f t="shared" si="33"/>
        <v>1.0554836195532322</v>
      </c>
      <c r="G281" s="67">
        <f>E281/'Lookup Tables'!$C$48</f>
        <v>34.765600117036641</v>
      </c>
      <c r="H281" s="70">
        <f t="shared" si="30"/>
        <v>7.5716733438247738E-2</v>
      </c>
      <c r="I281" s="71">
        <f t="shared" si="34"/>
        <v>5.0062464168532758E-2</v>
      </c>
      <c r="L281" s="74"/>
      <c r="M281" s="74"/>
      <c r="N281" s="74"/>
      <c r="O281" s="74"/>
      <c r="P281" s="74"/>
      <c r="Q281" s="74"/>
      <c r="R281" s="74"/>
      <c r="S281" s="74"/>
      <c r="T281" s="74"/>
      <c r="U281" s="74"/>
      <c r="V281" s="74"/>
      <c r="W281" s="74"/>
      <c r="X281" s="74"/>
      <c r="Y281" s="74"/>
      <c r="Z281" s="74"/>
    </row>
    <row r="282" spans="1:26" x14ac:dyDescent="0.3">
      <c r="A282" s="66">
        <f t="shared" si="32"/>
        <v>2017.499999999975</v>
      </c>
      <c r="B282" s="67">
        <f>LOOKUP(A282+0.01,Amounts!$A$4:$A$103,Amounts!$B$4:$B$103)*0.1*$A$2</f>
        <v>0</v>
      </c>
      <c r="C282" s="68">
        <f t="shared" si="31"/>
        <v>120665.52921499971</v>
      </c>
      <c r="D282" s="67">
        <f t="array" ref="D282">SUM($B$7:$B277*$F$1009*EXP(-$F$1009*($A282-$A$7:$A277)))*$F$1010</f>
        <v>9105316.0154658929</v>
      </c>
      <c r="E282" s="67">
        <f t="shared" si="29"/>
        <v>17.358481165633524</v>
      </c>
      <c r="F282" s="70">
        <f t="shared" si="33"/>
        <v>1.0540069763772677</v>
      </c>
      <c r="G282" s="67">
        <f>E282/'Lookup Tables'!$C$48</f>
        <v>34.716962331267048</v>
      </c>
      <c r="H282" s="70">
        <f t="shared" si="30"/>
        <v>7.5610804179217408E-2</v>
      </c>
      <c r="I282" s="71">
        <f t="shared" si="34"/>
        <v>4.9992425757024554E-2</v>
      </c>
      <c r="L282" s="74"/>
      <c r="M282" s="74"/>
      <c r="N282" s="74"/>
      <c r="O282" s="74"/>
      <c r="P282" s="74"/>
      <c r="Q282" s="74"/>
      <c r="R282" s="74"/>
      <c r="S282" s="74"/>
      <c r="T282" s="74"/>
      <c r="U282" s="74"/>
      <c r="V282" s="74"/>
      <c r="W282" s="74"/>
      <c r="X282" s="74"/>
      <c r="Y282" s="74"/>
      <c r="Z282" s="74"/>
    </row>
    <row r="283" spans="1:26" x14ac:dyDescent="0.3">
      <c r="A283" s="66">
        <f t="shared" si="32"/>
        <v>2017.5999999999749</v>
      </c>
      <c r="B283" s="67">
        <f>LOOKUP(A283+0.01,Amounts!$A$4:$A$103,Amounts!$B$4:$B$103)*0.1*$A$2</f>
        <v>0</v>
      </c>
      <c r="C283" s="68">
        <f t="shared" si="31"/>
        <v>120665.52921499971</v>
      </c>
      <c r="D283" s="67">
        <f t="array" ref="D283">SUM($B$7:$B278*$F$1009*EXP(-$F$1009*($A283-$A$7:$A278)))*$F$1010</f>
        <v>9092577.4920912422</v>
      </c>
      <c r="E283" s="67">
        <f t="shared" si="29"/>
        <v>17.334196295377371</v>
      </c>
      <c r="F283" s="70">
        <f t="shared" si="33"/>
        <v>1.0525323990553139</v>
      </c>
      <c r="G283" s="67">
        <f>E283/'Lookup Tables'!$C$48</f>
        <v>34.668392590754742</v>
      </c>
      <c r="H283" s="70">
        <f t="shared" si="30"/>
        <v>7.5505023117387479E-2</v>
      </c>
      <c r="I283" s="71">
        <f t="shared" si="34"/>
        <v>4.9922485330686835E-2</v>
      </c>
      <c r="L283" s="74"/>
      <c r="M283" s="74"/>
      <c r="N283" s="74"/>
      <c r="O283" s="74"/>
      <c r="P283" s="74"/>
      <c r="Q283" s="74"/>
      <c r="R283" s="74"/>
      <c r="S283" s="74"/>
      <c r="T283" s="74"/>
      <c r="U283" s="74"/>
      <c r="V283" s="74"/>
      <c r="W283" s="74"/>
      <c r="X283" s="74"/>
      <c r="Y283" s="74"/>
      <c r="Z283" s="74"/>
    </row>
    <row r="284" spans="1:26" x14ac:dyDescent="0.3">
      <c r="A284" s="66">
        <f t="shared" si="32"/>
        <v>2017.6999999999748</v>
      </c>
      <c r="B284" s="67">
        <f>LOOKUP(A284+0.01,Amounts!$A$4:$A$103,Amounts!$B$4:$B$103)*0.1*$A$2</f>
        <v>0</v>
      </c>
      <c r="C284" s="68">
        <f t="shared" si="31"/>
        <v>120665.52921499971</v>
      </c>
      <c r="D284" s="67">
        <f t="array" ref="D284">SUM($B$7:$B279*$F$1009*EXP(-$F$1009*($A284-$A$7:$A279)))*$F$1010</f>
        <v>9079856.7901713811</v>
      </c>
      <c r="E284" s="67">
        <f t="shared" si="29"/>
        <v>17.309945400151495</v>
      </c>
      <c r="F284" s="70">
        <f t="shared" si="33"/>
        <v>1.0510598846971988</v>
      </c>
      <c r="G284" s="67">
        <f>E284/'Lookup Tables'!$C$48</f>
        <v>34.61989080030299</v>
      </c>
      <c r="H284" s="70">
        <f t="shared" si="30"/>
        <v>7.5399390045426978E-2</v>
      </c>
      <c r="I284" s="71">
        <f t="shared" si="34"/>
        <v>4.985264275243631E-2</v>
      </c>
      <c r="L284" s="74"/>
      <c r="M284" s="74"/>
      <c r="N284" s="74"/>
      <c r="O284" s="74"/>
      <c r="P284" s="74"/>
      <c r="Q284" s="74"/>
      <c r="R284" s="74"/>
      <c r="S284" s="74"/>
      <c r="T284" s="74"/>
      <c r="U284" s="74"/>
      <c r="V284" s="74"/>
      <c r="W284" s="74"/>
      <c r="X284" s="74"/>
      <c r="Y284" s="74"/>
      <c r="Z284" s="74"/>
    </row>
    <row r="285" spans="1:26" x14ac:dyDescent="0.3">
      <c r="A285" s="66">
        <f t="shared" si="32"/>
        <v>2017.7999999999747</v>
      </c>
      <c r="B285" s="67">
        <f>LOOKUP(A285+0.01,Amounts!$A$4:$A$103,Amounts!$B$4:$B$103)*0.1*$A$2</f>
        <v>0</v>
      </c>
      <c r="C285" s="68">
        <f t="shared" si="31"/>
        <v>120665.52921499971</v>
      </c>
      <c r="D285" s="67">
        <f t="array" ref="D285">SUM($B$7:$B280*$F$1009*EXP(-$F$1009*($A285-$A$7:$A280)))*$F$1010</f>
        <v>9067153.884773735</v>
      </c>
      <c r="E285" s="67">
        <f t="shared" si="29"/>
        <v>17.285728432424143</v>
      </c>
      <c r="F285" s="70">
        <f t="shared" si="33"/>
        <v>1.0495894304167941</v>
      </c>
      <c r="G285" s="67">
        <f>E285/'Lookup Tables'!$C$48</f>
        <v>34.571456864848287</v>
      </c>
      <c r="H285" s="70">
        <f t="shared" si="30"/>
        <v>7.5293904756295077E-2</v>
      </c>
      <c r="I285" s="71">
        <f t="shared" si="34"/>
        <v>4.9782897885381538E-2</v>
      </c>
      <c r="L285" s="74"/>
      <c r="M285" s="74"/>
      <c r="N285" s="74"/>
      <c r="O285" s="74"/>
      <c r="P285" s="74"/>
      <c r="Q285" s="74"/>
      <c r="R285" s="74"/>
      <c r="S285" s="74"/>
      <c r="T285" s="74"/>
      <c r="U285" s="74"/>
      <c r="V285" s="74"/>
      <c r="W285" s="74"/>
      <c r="X285" s="74"/>
      <c r="Y285" s="74"/>
      <c r="Z285" s="74"/>
    </row>
    <row r="286" spans="1:26" x14ac:dyDescent="0.3">
      <c r="A286" s="66">
        <f t="shared" si="32"/>
        <v>2017.8999999999746</v>
      </c>
      <c r="B286" s="67">
        <f>LOOKUP(A286+0.01,Amounts!$A$4:$A$103,Amounts!$B$4:$B$103)*0.1*$A$2</f>
        <v>0</v>
      </c>
      <c r="C286" s="68">
        <f t="shared" si="31"/>
        <v>120665.52921499971</v>
      </c>
      <c r="D286" s="67">
        <f t="array" ref="D286">SUM($B$7:$B281*$F$1009*EXP(-$F$1009*($A286-$A$7:$A281)))*$F$1010</f>
        <v>9054468.7510006111</v>
      </c>
      <c r="E286" s="67">
        <f t="shared" si="29"/>
        <v>17.261545344730067</v>
      </c>
      <c r="F286" s="70">
        <f t="shared" si="33"/>
        <v>1.0481210333320097</v>
      </c>
      <c r="G286" s="67">
        <f>E286/'Lookup Tables'!$C$48</f>
        <v>34.523090689460133</v>
      </c>
      <c r="H286" s="70">
        <f t="shared" si="30"/>
        <v>7.5188567043240687E-2</v>
      </c>
      <c r="I286" s="71">
        <f t="shared" si="34"/>
        <v>4.9713250592822597E-2</v>
      </c>
      <c r="L286" s="74"/>
      <c r="M286" s="74"/>
      <c r="N286" s="74"/>
      <c r="O286" s="74"/>
      <c r="P286" s="74"/>
      <c r="Q286" s="74"/>
      <c r="R286" s="74"/>
      <c r="S286" s="74"/>
      <c r="T286" s="74"/>
      <c r="U286" s="74"/>
      <c r="V286" s="74"/>
      <c r="W286" s="74"/>
      <c r="X286" s="74"/>
      <c r="Y286" s="74"/>
      <c r="Z286" s="74"/>
    </row>
    <row r="287" spans="1:26" x14ac:dyDescent="0.3">
      <c r="A287" s="66">
        <f t="shared" si="32"/>
        <v>2017.9999999999745</v>
      </c>
      <c r="B287" s="67">
        <f>LOOKUP(A287+0.01,Amounts!$A$4:$A$103,Amounts!$B$4:$B$103)*0.1*$A$2</f>
        <v>0</v>
      </c>
      <c r="C287" s="68">
        <f t="shared" si="31"/>
        <v>120665.52921499971</v>
      </c>
      <c r="D287" s="67">
        <f t="array" ref="D287">SUM($B$7:$B282*$F$1009*EXP(-$F$1009*($A287-$A$7:$A282)))*$F$1010</f>
        <v>9041801.3639891353</v>
      </c>
      <c r="E287" s="67">
        <f t="shared" si="29"/>
        <v>17.237396089670384</v>
      </c>
      <c r="F287" s="70">
        <f t="shared" si="33"/>
        <v>1.0466546905647858</v>
      </c>
      <c r="G287" s="67">
        <f>E287/'Lookup Tables'!$C$48</f>
        <v>34.474792179340767</v>
      </c>
      <c r="H287" s="70">
        <f t="shared" si="30"/>
        <v>7.5083376699801738E-2</v>
      </c>
      <c r="I287" s="71">
        <f t="shared" si="34"/>
        <v>4.964370073825071E-2</v>
      </c>
      <c r="L287" s="74"/>
      <c r="M287" s="74"/>
      <c r="N287" s="74"/>
      <c r="O287" s="74"/>
      <c r="P287" s="74"/>
      <c r="Q287" s="74"/>
      <c r="R287" s="74"/>
      <c r="S287" s="74"/>
      <c r="T287" s="74"/>
      <c r="U287" s="74"/>
      <c r="V287" s="74"/>
      <c r="W287" s="74"/>
      <c r="X287" s="74"/>
      <c r="Y287" s="74"/>
      <c r="Z287" s="74"/>
    </row>
    <row r="288" spans="1:26" x14ac:dyDescent="0.3">
      <c r="A288" s="66">
        <f t="shared" si="32"/>
        <v>2018.0999999999744</v>
      </c>
      <c r="B288" s="67">
        <f>LOOKUP(A288+0.01,Amounts!$A$4:$A$103,Amounts!$B$4:$B$103)*0.1*$A$2</f>
        <v>0</v>
      </c>
      <c r="C288" s="68">
        <f t="shared" si="31"/>
        <v>120665.52921499971</v>
      </c>
      <c r="D288" s="67">
        <f t="array" ref="D288">SUM($B$7:$B283*$F$1009*EXP(-$F$1009*($A288-$A$7:$A283)))*$F$1010</f>
        <v>9029151.698911231</v>
      </c>
      <c r="E288" s="67">
        <f t="shared" si="29"/>
        <v>17.213280619912563</v>
      </c>
      <c r="F288" s="70">
        <f t="shared" si="33"/>
        <v>1.0451903992410909</v>
      </c>
      <c r="G288" s="67">
        <f>E288/'Lookup Tables'!$C$48</f>
        <v>34.426561239825126</v>
      </c>
      <c r="H288" s="70">
        <f t="shared" si="30"/>
        <v>7.4978333519805179E-2</v>
      </c>
      <c r="I288" s="71">
        <f t="shared" si="34"/>
        <v>4.9574248185348189E-2</v>
      </c>
      <c r="L288" s="74"/>
      <c r="M288" s="74"/>
      <c r="N288" s="74"/>
      <c r="O288" s="74"/>
      <c r="P288" s="74"/>
      <c r="Q288" s="74"/>
      <c r="R288" s="74"/>
      <c r="S288" s="74"/>
      <c r="T288" s="74"/>
      <c r="U288" s="74"/>
      <c r="V288" s="74"/>
      <c r="W288" s="74"/>
      <c r="X288" s="74"/>
      <c r="Y288" s="74"/>
      <c r="Z288" s="74"/>
    </row>
    <row r="289" spans="1:26" x14ac:dyDescent="0.3">
      <c r="A289" s="66">
        <f t="shared" si="32"/>
        <v>2018.1999999999744</v>
      </c>
      <c r="B289" s="67">
        <f>LOOKUP(A289+0.01,Amounts!$A$4:$A$103,Amounts!$B$4:$B$103)*0.1*$A$2</f>
        <v>0</v>
      </c>
      <c r="C289" s="68">
        <f t="shared" si="31"/>
        <v>120665.52921499971</v>
      </c>
      <c r="D289" s="67">
        <f t="array" ref="D289">SUM($B$7:$B284*$F$1009*EXP(-$F$1009*($A289-$A$7:$A284)))*$F$1010</f>
        <v>9016519.7309735417</v>
      </c>
      <c r="E289" s="67">
        <f t="shared" si="29"/>
        <v>17.189198888190255</v>
      </c>
      <c r="F289" s="70">
        <f t="shared" si="33"/>
        <v>1.0437281564909122</v>
      </c>
      <c r="G289" s="67">
        <f>E289/'Lookup Tables'!$C$48</f>
        <v>34.37839777638051</v>
      </c>
      <c r="H289" s="70">
        <f t="shared" si="30"/>
        <v>7.4873437297366258E-2</v>
      </c>
      <c r="I289" s="71">
        <f t="shared" si="34"/>
        <v>4.9504892797987927E-2</v>
      </c>
      <c r="L289" s="74"/>
      <c r="M289" s="74"/>
      <c r="N289" s="74"/>
      <c r="O289" s="74"/>
      <c r="P289" s="74"/>
      <c r="Q289" s="74"/>
      <c r="R289" s="74"/>
      <c r="S289" s="74"/>
      <c r="T289" s="74"/>
      <c r="U289" s="74"/>
      <c r="V289" s="74"/>
      <c r="W289" s="74"/>
      <c r="X289" s="74"/>
      <c r="Y289" s="74"/>
      <c r="Z289" s="74"/>
    </row>
    <row r="290" spans="1:26" x14ac:dyDescent="0.3">
      <c r="A290" s="66">
        <f t="shared" si="32"/>
        <v>2018.2999999999743</v>
      </c>
      <c r="B290" s="67">
        <f>LOOKUP(A290+0.01,Amounts!$A$4:$A$103,Amounts!$B$4:$B$103)*0.1*$A$2</f>
        <v>0</v>
      </c>
      <c r="C290" s="68">
        <f t="shared" si="31"/>
        <v>120665.52921499971</v>
      </c>
      <c r="D290" s="67">
        <f t="array" ref="D290">SUM($B$7:$B285*$F$1009*EXP(-$F$1009*($A290-$A$7:$A285)))*$F$1010</f>
        <v>9003905.4354174156</v>
      </c>
      <c r="E290" s="67">
        <f t="shared" si="29"/>
        <v>17.165150847303284</v>
      </c>
      <c r="F290" s="70">
        <f t="shared" si="33"/>
        <v>1.0422679594482556</v>
      </c>
      <c r="G290" s="67">
        <f>E290/'Lookup Tables'!$C$48</f>
        <v>34.330301694606568</v>
      </c>
      <c r="H290" s="70">
        <f t="shared" si="30"/>
        <v>7.4768687826888502E-2</v>
      </c>
      <c r="I290" s="71">
        <f t="shared" si="34"/>
        <v>4.9435634440233467E-2</v>
      </c>
      <c r="L290" s="74"/>
      <c r="M290" s="74"/>
      <c r="N290" s="74"/>
      <c r="O290" s="74"/>
      <c r="P290" s="74"/>
      <c r="Q290" s="74"/>
      <c r="R290" s="74"/>
      <c r="S290" s="74"/>
      <c r="T290" s="74"/>
      <c r="U290" s="74"/>
      <c r="V290" s="74"/>
      <c r="W290" s="74"/>
      <c r="X290" s="74"/>
      <c r="Y290" s="74"/>
      <c r="Z290" s="74"/>
    </row>
    <row r="291" spans="1:26" x14ac:dyDescent="0.3">
      <c r="A291" s="66">
        <f t="shared" si="32"/>
        <v>2018.3999999999742</v>
      </c>
      <c r="B291" s="67">
        <f>LOOKUP(A291+0.01,Amounts!$A$4:$A$103,Amounts!$B$4:$B$103)*0.1*$A$2</f>
        <v>0</v>
      </c>
      <c r="C291" s="68">
        <f t="shared" si="31"/>
        <v>120665.52921499971</v>
      </c>
      <c r="D291" s="67">
        <f t="array" ref="D291">SUM($B$7:$B286*$F$1009*EXP(-$F$1009*($A291-$A$7:$A286)))*$F$1010</f>
        <v>8991308.7875188254</v>
      </c>
      <c r="E291" s="67">
        <f t="shared" si="29"/>
        <v>17.141136450117465</v>
      </c>
      <c r="F291" s="70">
        <f t="shared" si="33"/>
        <v>1.0408098052511325</v>
      </c>
      <c r="G291" s="67">
        <f>E291/'Lookup Tables'!$C$48</f>
        <v>34.282272900234929</v>
      </c>
      <c r="H291" s="70">
        <f t="shared" si="30"/>
        <v>7.4664084903062769E-2</v>
      </c>
      <c r="I291" s="71">
        <f t="shared" si="34"/>
        <v>4.936647297633829E-2</v>
      </c>
      <c r="L291" s="74"/>
      <c r="M291" s="74"/>
      <c r="N291" s="74"/>
      <c r="O291" s="74"/>
      <c r="P291" s="74"/>
      <c r="Q291" s="74"/>
      <c r="R291" s="74"/>
      <c r="S291" s="74"/>
      <c r="T291" s="74"/>
      <c r="U291" s="74"/>
      <c r="V291" s="74"/>
      <c r="W291" s="74"/>
      <c r="X291" s="74"/>
      <c r="Y291" s="74"/>
      <c r="Z291" s="74"/>
    </row>
    <row r="292" spans="1:26" x14ac:dyDescent="0.3">
      <c r="A292" s="66">
        <f t="shared" si="32"/>
        <v>2018.4999999999741</v>
      </c>
      <c r="B292" s="67">
        <f>LOOKUP(A292+0.01,Amounts!$A$4:$A$103,Amounts!$B$4:$B$103)*0.1*$A$2</f>
        <v>0</v>
      </c>
      <c r="C292" s="68">
        <f t="shared" si="31"/>
        <v>120665.52921499971</v>
      </c>
      <c r="D292" s="67">
        <f t="array" ref="D292">SUM($B$7:$B287*$F$1009*EXP(-$F$1009*($A292-$A$7:$A287)))*$F$1010</f>
        <v>8978729.7625883371</v>
      </c>
      <c r="E292" s="67">
        <f t="shared" si="29"/>
        <v>17.117155649564577</v>
      </c>
      <c r="F292" s="70">
        <f t="shared" si="33"/>
        <v>1.0393536910415613</v>
      </c>
      <c r="G292" s="67">
        <f>E292/'Lookup Tables'!$C$48</f>
        <v>34.234311299129153</v>
      </c>
      <c r="H292" s="70">
        <f t="shared" si="30"/>
        <v>7.4559628320867391E-2</v>
      </c>
      <c r="I292" s="71">
        <f t="shared" si="34"/>
        <v>4.9297408270745989E-2</v>
      </c>
      <c r="L292" s="74"/>
      <c r="M292" s="74"/>
      <c r="N292" s="74"/>
      <c r="O292" s="74"/>
      <c r="P292" s="74"/>
      <c r="Q292" s="74"/>
      <c r="R292" s="74"/>
      <c r="S292" s="74"/>
      <c r="T292" s="74"/>
      <c r="U292" s="74"/>
      <c r="V292" s="74"/>
      <c r="W292" s="74"/>
      <c r="X292" s="74"/>
      <c r="Y292" s="74"/>
      <c r="Z292" s="74"/>
    </row>
    <row r="293" spans="1:26" x14ac:dyDescent="0.3">
      <c r="A293" s="66">
        <f t="shared" si="32"/>
        <v>2018.599999999974</v>
      </c>
      <c r="B293" s="67">
        <f>LOOKUP(A293+0.01,Amounts!$A$4:$A$103,Amounts!$B$4:$B$103)*0.1*$A$2</f>
        <v>0</v>
      </c>
      <c r="C293" s="68">
        <f t="shared" si="31"/>
        <v>120665.52921499971</v>
      </c>
      <c r="D293" s="67">
        <f t="array" ref="D293">SUM($B$7:$B288*$F$1009*EXP(-$F$1009*($A293-$A$7:$A288)))*$F$1010</f>
        <v>8966168.3359710556</v>
      </c>
      <c r="E293" s="67">
        <f t="shared" si="29"/>
        <v>17.093208398642233</v>
      </c>
      <c r="F293" s="70">
        <f t="shared" si="33"/>
        <v>1.0378996139655563</v>
      </c>
      <c r="G293" s="67">
        <f>E293/'Lookup Tables'!$C$48</f>
        <v>34.186416797284465</v>
      </c>
      <c r="H293" s="70">
        <f t="shared" si="30"/>
        <v>7.445531787556732E-2</v>
      </c>
      <c r="I293" s="71">
        <f t="shared" si="34"/>
        <v>4.9228440188089632E-2</v>
      </c>
      <c r="L293" s="74"/>
      <c r="M293" s="74"/>
      <c r="N293" s="74"/>
      <c r="O293" s="74"/>
      <c r="P293" s="74"/>
      <c r="Q293" s="74"/>
      <c r="R293" s="74"/>
      <c r="S293" s="74"/>
      <c r="T293" s="74"/>
      <c r="U293" s="74"/>
      <c r="V293" s="74"/>
      <c r="W293" s="74"/>
      <c r="X293" s="74"/>
      <c r="Y293" s="74"/>
      <c r="Z293" s="74"/>
    </row>
    <row r="294" spans="1:26" x14ac:dyDescent="0.3">
      <c r="A294" s="66">
        <f t="shared" si="32"/>
        <v>2018.6999999999739</v>
      </c>
      <c r="B294" s="67">
        <f>LOOKUP(A294+0.01,Amounts!$A$4:$A$103,Amounts!$B$4:$B$103)*0.1*$A$2</f>
        <v>0</v>
      </c>
      <c r="C294" s="68">
        <f t="shared" si="31"/>
        <v>120665.52921499971</v>
      </c>
      <c r="D294" s="67">
        <f t="array" ref="D294">SUM($B$7:$B289*$F$1009*EXP(-$F$1009*($A294-$A$7:$A289)))*$F$1010</f>
        <v>8953624.4830465857</v>
      </c>
      <c r="E294" s="67">
        <f t="shared" si="29"/>
        <v>17.069294650413834</v>
      </c>
      <c r="F294" s="70">
        <f t="shared" si="33"/>
        <v>1.036447571173128</v>
      </c>
      <c r="G294" s="67">
        <f>E294/'Lookup Tables'!$C$48</f>
        <v>34.138589300827668</v>
      </c>
      <c r="H294" s="70">
        <f t="shared" si="30"/>
        <v>7.4351153362714181E-2</v>
      </c>
      <c r="I294" s="71">
        <f t="shared" si="34"/>
        <v>4.9159568593191844E-2</v>
      </c>
      <c r="L294" s="74"/>
      <c r="M294" s="74"/>
      <c r="N294" s="74"/>
      <c r="O294" s="74"/>
      <c r="P294" s="74"/>
      <c r="Q294" s="74"/>
      <c r="R294" s="74"/>
      <c r="S294" s="74"/>
      <c r="T294" s="74"/>
      <c r="U294" s="74"/>
      <c r="V294" s="74"/>
      <c r="W294" s="74"/>
      <c r="X294" s="74"/>
      <c r="Y294" s="74"/>
      <c r="Z294" s="74"/>
    </row>
    <row r="295" spans="1:26" x14ac:dyDescent="0.3">
      <c r="A295" s="66">
        <f t="shared" si="32"/>
        <v>2018.7999999999738</v>
      </c>
      <c r="B295" s="67">
        <f>LOOKUP(A295+0.01,Amounts!$A$4:$A$103,Amounts!$B$4:$B$103)*0.1*$A$2</f>
        <v>0</v>
      </c>
      <c r="C295" s="68">
        <f t="shared" si="31"/>
        <v>120665.52921499971</v>
      </c>
      <c r="D295" s="67">
        <f t="array" ref="D295">SUM($B$7:$B290*$F$1009*EXP(-$F$1009*($A295-$A$7:$A290)))*$F$1010</f>
        <v>8941098.1792289652</v>
      </c>
      <c r="E295" s="67">
        <f t="shared" si="29"/>
        <v>17.045414358008401</v>
      </c>
      <c r="F295" s="70">
        <f t="shared" si="33"/>
        <v>1.0349975598182701</v>
      </c>
      <c r="G295" s="67">
        <f>E295/'Lookup Tables'!$C$48</f>
        <v>34.090828716016802</v>
      </c>
      <c r="H295" s="70">
        <f t="shared" si="30"/>
        <v>7.4247134578145371E-2</v>
      </c>
      <c r="I295" s="71">
        <f t="shared" si="34"/>
        <v>4.9090793351064199E-2</v>
      </c>
      <c r="L295" s="74"/>
      <c r="M295" s="74"/>
      <c r="N295" s="74"/>
      <c r="O295" s="74"/>
      <c r="P295" s="74"/>
      <c r="Q295" s="74"/>
      <c r="R295" s="74"/>
      <c r="S295" s="74"/>
      <c r="T295" s="74"/>
      <c r="U295" s="74"/>
      <c r="V295" s="74"/>
      <c r="W295" s="74"/>
      <c r="X295" s="74"/>
      <c r="Y295" s="74"/>
      <c r="Z295" s="74"/>
    </row>
    <row r="296" spans="1:26" x14ac:dyDescent="0.3">
      <c r="A296" s="66">
        <f t="shared" si="32"/>
        <v>2018.8999999999737</v>
      </c>
      <c r="B296" s="67">
        <f>LOOKUP(A296+0.01,Amounts!$A$4:$A$103,Amounts!$B$4:$B$103)*0.1*$A$2</f>
        <v>0</v>
      </c>
      <c r="C296" s="68">
        <f t="shared" si="31"/>
        <v>120665.52921499971</v>
      </c>
      <c r="D296" s="67">
        <f t="array" ref="D296">SUM($B$7:$B291*$F$1009*EXP(-$F$1009*($A296-$A$7:$A291)))*$F$1010</f>
        <v>8928589.3999666404</v>
      </c>
      <c r="E296" s="67">
        <f t="shared" si="29"/>
        <v>17.021567474620575</v>
      </c>
      <c r="F296" s="70">
        <f t="shared" si="33"/>
        <v>1.0335495770589613</v>
      </c>
      <c r="G296" s="67">
        <f>E296/'Lookup Tables'!$C$48</f>
        <v>34.04313494924115</v>
      </c>
      <c r="H296" s="70">
        <f t="shared" si="30"/>
        <v>7.4143261317984155E-2</v>
      </c>
      <c r="I296" s="71">
        <f t="shared" si="34"/>
        <v>4.9022114326907257E-2</v>
      </c>
      <c r="L296" s="74"/>
      <c r="M296" s="74"/>
      <c r="N296" s="74"/>
      <c r="O296" s="74"/>
      <c r="P296" s="74"/>
      <c r="Q296" s="74"/>
      <c r="R296" s="74"/>
      <c r="S296" s="74"/>
      <c r="T296" s="74"/>
      <c r="U296" s="74"/>
      <c r="V296" s="74"/>
      <c r="W296" s="74"/>
      <c r="X296" s="74"/>
      <c r="Y296" s="74"/>
      <c r="Z296" s="74"/>
    </row>
    <row r="297" spans="1:26" x14ac:dyDescent="0.3">
      <c r="A297" s="66">
        <f t="shared" si="32"/>
        <v>2018.9999999999736</v>
      </c>
      <c r="B297" s="67">
        <f>LOOKUP(A297+0.01,Amounts!$A$4:$A$103,Amounts!$B$4:$B$103)*0.1*$A$2</f>
        <v>0</v>
      </c>
      <c r="C297" s="68">
        <f t="shared" si="31"/>
        <v>120665.52921499971</v>
      </c>
      <c r="D297" s="67">
        <f t="array" ref="D297">SUM($B$7:$B292*$F$1009*EXP(-$F$1009*($A297-$A$7:$A292)))*$F$1010</f>
        <v>8916098.1207423992</v>
      </c>
      <c r="E297" s="67">
        <f t="shared" si="29"/>
        <v>16.99775395351045</v>
      </c>
      <c r="F297" s="70">
        <f t="shared" si="33"/>
        <v>1.0321036200571545</v>
      </c>
      <c r="G297" s="67">
        <f>E297/'Lookup Tables'!$C$48</f>
        <v>33.995507907020901</v>
      </c>
      <c r="H297" s="70">
        <f t="shared" si="30"/>
        <v>7.4039533378638847E-2</v>
      </c>
      <c r="I297" s="71">
        <f t="shared" si="34"/>
        <v>4.8953531386110097E-2</v>
      </c>
      <c r="L297" s="74"/>
      <c r="M297" s="74"/>
      <c r="N297" s="74"/>
      <c r="O297" s="74"/>
      <c r="P297" s="74"/>
      <c r="Q297" s="74"/>
      <c r="R297" s="74"/>
      <c r="S297" s="74"/>
      <c r="T297" s="74"/>
      <c r="U297" s="74"/>
      <c r="V297" s="74"/>
      <c r="W297" s="74"/>
      <c r="X297" s="74"/>
      <c r="Y297" s="74"/>
      <c r="Z297" s="74"/>
    </row>
    <row r="298" spans="1:26" x14ac:dyDescent="0.3">
      <c r="A298" s="66">
        <f t="shared" si="32"/>
        <v>2019.0999999999735</v>
      </c>
      <c r="B298" s="67">
        <f>LOOKUP(A298+0.01,Amounts!$A$4:$A$103,Amounts!$B$4:$B$103)*0.1*$A$2</f>
        <v>0</v>
      </c>
      <c r="C298" s="68">
        <f t="shared" si="31"/>
        <v>120665.52921499971</v>
      </c>
      <c r="D298" s="67">
        <f t="array" ref="D298">SUM($B$7:$B293*$F$1009*EXP(-$F$1009*($A298-$A$7:$A293)))*$F$1010</f>
        <v>8903624.3170733284</v>
      </c>
      <c r="E298" s="67">
        <f t="shared" si="29"/>
        <v>16.973973748003512</v>
      </c>
      <c r="F298" s="70">
        <f t="shared" si="33"/>
        <v>1.0306596859787733</v>
      </c>
      <c r="G298" s="67">
        <f>E298/'Lookup Tables'!$C$48</f>
        <v>33.947947496007025</v>
      </c>
      <c r="H298" s="70">
        <f t="shared" si="30"/>
        <v>7.393595055680266E-2</v>
      </c>
      <c r="I298" s="71">
        <f t="shared" si="34"/>
        <v>4.8885044394250114E-2</v>
      </c>
      <c r="L298" s="74"/>
      <c r="M298" s="74"/>
      <c r="N298" s="74"/>
      <c r="O298" s="74"/>
      <c r="P298" s="74"/>
      <c r="Q298" s="74"/>
      <c r="R298" s="74"/>
      <c r="S298" s="74"/>
      <c r="T298" s="74"/>
      <c r="U298" s="74"/>
      <c r="V298" s="74"/>
      <c r="W298" s="74"/>
      <c r="X298" s="74"/>
      <c r="Y298" s="74"/>
      <c r="Z298" s="74"/>
    </row>
    <row r="299" spans="1:26" x14ac:dyDescent="0.3">
      <c r="A299" s="66">
        <f t="shared" si="32"/>
        <v>2019.1999999999734</v>
      </c>
      <c r="B299" s="67">
        <f>LOOKUP(A299+0.01,Amounts!$A$4:$A$103,Amounts!$B$4:$B$103)*0.1*$A$2</f>
        <v>0</v>
      </c>
      <c r="C299" s="68">
        <f t="shared" si="31"/>
        <v>120665.52921499971</v>
      </c>
      <c r="D299" s="67">
        <f t="array" ref="D299">SUM($B$7:$B294*$F$1009*EXP(-$F$1009*($A299-$A$7:$A294)))*$F$1010</f>
        <v>8891167.9645107687</v>
      </c>
      <c r="E299" s="67">
        <f t="shared" si="29"/>
        <v>16.950226811490555</v>
      </c>
      <c r="F299" s="70">
        <f t="shared" si="33"/>
        <v>1.0292177719937066</v>
      </c>
      <c r="G299" s="67">
        <f>E299/'Lookup Tables'!$C$48</f>
        <v>33.900453622981111</v>
      </c>
      <c r="H299" s="70">
        <f t="shared" si="30"/>
        <v>7.3832512649453244E-2</v>
      </c>
      <c r="I299" s="71">
        <f t="shared" si="34"/>
        <v>4.8816653217092797E-2</v>
      </c>
      <c r="L299" s="74"/>
      <c r="M299" s="74"/>
      <c r="N299" s="74"/>
      <c r="O299" s="74"/>
      <c r="P299" s="74"/>
      <c r="Q299" s="74"/>
      <c r="R299" s="74"/>
      <c r="S299" s="74"/>
      <c r="T299" s="74"/>
      <c r="U299" s="74"/>
      <c r="V299" s="74"/>
      <c r="W299" s="74"/>
      <c r="X299" s="74"/>
      <c r="Y299" s="74"/>
      <c r="Z299" s="74"/>
    </row>
    <row r="300" spans="1:26" x14ac:dyDescent="0.3">
      <c r="A300" s="66">
        <f t="shared" si="32"/>
        <v>2019.2999999999734</v>
      </c>
      <c r="B300" s="67">
        <f>LOOKUP(A300+0.01,Amounts!$A$4:$A$103,Amounts!$B$4:$B$103)*0.1*$A$2</f>
        <v>0</v>
      </c>
      <c r="C300" s="68">
        <f t="shared" si="31"/>
        <v>120665.52921499971</v>
      </c>
      <c r="D300" s="67">
        <f t="array" ref="D300">SUM($B$7:$B295*$F$1009*EXP(-$F$1009*($A300-$A$7:$A295)))*$F$1010</f>
        <v>8878729.0386402681</v>
      </c>
      <c r="E300" s="67">
        <f t="shared" si="29"/>
        <v>16.926513097427577</v>
      </c>
      <c r="F300" s="70">
        <f t="shared" si="33"/>
        <v>1.0277778752758024</v>
      </c>
      <c r="G300" s="67">
        <f>E300/'Lookup Tables'!$C$48</f>
        <v>33.853026194855154</v>
      </c>
      <c r="H300" s="70">
        <f t="shared" si="30"/>
        <v>7.372921945385226E-2</v>
      </c>
      <c r="I300" s="71">
        <f t="shared" si="34"/>
        <v>4.8748357720591419E-2</v>
      </c>
      <c r="L300" s="74"/>
      <c r="M300" s="74"/>
      <c r="N300" s="74"/>
      <c r="O300" s="74"/>
      <c r="P300" s="74"/>
      <c r="Q300" s="74"/>
      <c r="R300" s="74"/>
      <c r="S300" s="74"/>
      <c r="T300" s="74"/>
      <c r="U300" s="74"/>
      <c r="V300" s="74"/>
      <c r="W300" s="74"/>
      <c r="X300" s="74"/>
      <c r="Y300" s="74"/>
      <c r="Z300" s="74"/>
    </row>
    <row r="301" spans="1:26" x14ac:dyDescent="0.3">
      <c r="A301" s="66">
        <f t="shared" si="32"/>
        <v>2019.3999999999733</v>
      </c>
      <c r="B301" s="67">
        <f>LOOKUP(A301+0.01,Amounts!$A$4:$A$103,Amounts!$B$4:$B$103)*0.1*$A$2</f>
        <v>0</v>
      </c>
      <c r="C301" s="68">
        <f t="shared" si="31"/>
        <v>120665.52921499971</v>
      </c>
      <c r="D301" s="67">
        <f t="array" ref="D301">SUM($B$7:$B296*$F$1009*EXP(-$F$1009*($A301-$A$7:$A296)))*$F$1010</f>
        <v>8866307.5150815211</v>
      </c>
      <c r="E301" s="67">
        <f t="shared" si="29"/>
        <v>16.902832559335685</v>
      </c>
      <c r="F301" s="70">
        <f t="shared" si="33"/>
        <v>1.0263399930028629</v>
      </c>
      <c r="G301" s="67">
        <f>E301/'Lookup Tables'!$C$48</f>
        <v>33.805665118671371</v>
      </c>
      <c r="H301" s="70">
        <f t="shared" si="30"/>
        <v>7.3626070767544988E-2</v>
      </c>
      <c r="I301" s="71">
        <f t="shared" si="34"/>
        <v>4.868015777088678E-2</v>
      </c>
      <c r="L301" s="74"/>
      <c r="M301" s="74"/>
      <c r="N301" s="74"/>
      <c r="O301" s="74"/>
      <c r="P301" s="74"/>
      <c r="Q301" s="74"/>
      <c r="R301" s="74"/>
      <c r="S301" s="74"/>
      <c r="T301" s="74"/>
      <c r="U301" s="74"/>
      <c r="V301" s="74"/>
      <c r="W301" s="74"/>
      <c r="X301" s="74"/>
      <c r="Y301" s="74"/>
      <c r="Z301" s="74"/>
    </row>
    <row r="302" spans="1:26" x14ac:dyDescent="0.3">
      <c r="A302" s="66">
        <f t="shared" si="32"/>
        <v>2019.4999999999732</v>
      </c>
      <c r="B302" s="67">
        <f>LOOKUP(A302+0.01,Amounts!$A$4:$A$103,Amounts!$B$4:$B$103)*0.1*$A$2</f>
        <v>0</v>
      </c>
      <c r="C302" s="68">
        <f t="shared" si="31"/>
        <v>120665.52921499971</v>
      </c>
      <c r="D302" s="67">
        <f t="array" ref="D302">SUM($B$7:$B297*$F$1009*EXP(-$F$1009*($A302-$A$7:$A297)))*$F$1010</f>
        <v>8853903.3694883473</v>
      </c>
      <c r="E302" s="67">
        <f t="shared" si="29"/>
        <v>16.879185150801025</v>
      </c>
      <c r="F302" s="70">
        <f t="shared" si="33"/>
        <v>1.0249041223566382</v>
      </c>
      <c r="G302" s="67">
        <f>E302/'Lookup Tables'!$C$48</f>
        <v>33.758370301602049</v>
      </c>
      <c r="H302" s="70">
        <f t="shared" si="30"/>
        <v>7.3523066388360009E-2</v>
      </c>
      <c r="I302" s="71">
        <f t="shared" si="34"/>
        <v>4.8612053234306951E-2</v>
      </c>
      <c r="L302" s="74"/>
      <c r="M302" s="74"/>
      <c r="N302" s="74"/>
      <c r="O302" s="74"/>
      <c r="P302" s="74"/>
      <c r="Q302" s="74"/>
      <c r="R302" s="74"/>
      <c r="S302" s="74"/>
      <c r="T302" s="74"/>
      <c r="U302" s="74"/>
      <c r="V302" s="74"/>
      <c r="W302" s="74"/>
      <c r="X302" s="74"/>
      <c r="Y302" s="74"/>
      <c r="Z302" s="74"/>
    </row>
    <row r="303" spans="1:26" x14ac:dyDescent="0.3">
      <c r="A303" s="66">
        <f t="shared" si="32"/>
        <v>2019.5999999999731</v>
      </c>
      <c r="B303" s="67">
        <f>LOOKUP(A303+0.01,Amounts!$A$4:$A$103,Amounts!$B$4:$B$103)*0.1*$A$2</f>
        <v>0</v>
      </c>
      <c r="C303" s="68">
        <f t="shared" si="31"/>
        <v>120665.52921499971</v>
      </c>
      <c r="D303" s="67">
        <f t="array" ref="D303">SUM($B$7:$B298*$F$1009*EXP(-$F$1009*($A303-$A$7:$A298)))*$F$1010</f>
        <v>8841516.5775486045</v>
      </c>
      <c r="E303" s="67">
        <f t="shared" si="29"/>
        <v>16.855570825474654</v>
      </c>
      <c r="F303" s="70">
        <f t="shared" si="33"/>
        <v>1.023470260522821</v>
      </c>
      <c r="G303" s="67">
        <f>E303/'Lookup Tables'!$C$48</f>
        <v>33.711141650949308</v>
      </c>
      <c r="H303" s="70">
        <f t="shared" si="30"/>
        <v>7.3420206114408665E-2</v>
      </c>
      <c r="I303" s="71">
        <f t="shared" si="34"/>
        <v>4.8544043977367009E-2</v>
      </c>
      <c r="L303" s="74"/>
      <c r="M303" s="74"/>
      <c r="N303" s="74"/>
      <c r="O303" s="74"/>
      <c r="P303" s="74"/>
      <c r="Q303" s="74"/>
      <c r="R303" s="74"/>
      <c r="S303" s="74"/>
      <c r="T303" s="74"/>
      <c r="U303" s="74"/>
      <c r="V303" s="74"/>
      <c r="W303" s="74"/>
      <c r="X303" s="74"/>
      <c r="Y303" s="74"/>
      <c r="Z303" s="74"/>
    </row>
    <row r="304" spans="1:26" x14ac:dyDescent="0.3">
      <c r="A304" s="66">
        <f t="shared" si="32"/>
        <v>2019.699999999973</v>
      </c>
      <c r="B304" s="67">
        <f>LOOKUP(A304+0.01,Amounts!$A$4:$A$103,Amounts!$B$4:$B$103)*0.1*$A$2</f>
        <v>0</v>
      </c>
      <c r="C304" s="68">
        <f t="shared" si="31"/>
        <v>120665.52921499971</v>
      </c>
      <c r="D304" s="67">
        <f t="array" ref="D304">SUM($B$7:$B299*$F$1009*EXP(-$F$1009*($A304-$A$7:$A299)))*$F$1010</f>
        <v>8829147.1149841882</v>
      </c>
      <c r="E304" s="67">
        <f t="shared" si="29"/>
        <v>16.831989537072499</v>
      </c>
      <c r="F304" s="70">
        <f t="shared" si="33"/>
        <v>1.0220384046910422</v>
      </c>
      <c r="G304" s="67">
        <f>E304/'Lookup Tables'!$C$48</f>
        <v>33.663979074144997</v>
      </c>
      <c r="H304" s="70">
        <f t="shared" si="30"/>
        <v>7.3317489744084793E-2</v>
      </c>
      <c r="I304" s="71">
        <f t="shared" si="34"/>
        <v>4.8476129866768795E-2</v>
      </c>
      <c r="L304" s="74"/>
      <c r="M304" s="74"/>
      <c r="N304" s="74"/>
      <c r="O304" s="74"/>
      <c r="P304" s="74"/>
      <c r="Q304" s="74"/>
      <c r="R304" s="74"/>
      <c r="S304" s="74"/>
      <c r="T304" s="74"/>
      <c r="U304" s="74"/>
      <c r="V304" s="74"/>
      <c r="W304" s="74"/>
      <c r="X304" s="74"/>
      <c r="Y304" s="74"/>
      <c r="Z304" s="74"/>
    </row>
    <row r="305" spans="1:26" x14ac:dyDescent="0.3">
      <c r="A305" s="66">
        <f t="shared" si="32"/>
        <v>2019.7999999999729</v>
      </c>
      <c r="B305" s="67">
        <f>LOOKUP(A305+0.01,Amounts!$A$4:$A$103,Amounts!$B$4:$B$103)*0.1*$A$2</f>
        <v>0</v>
      </c>
      <c r="C305" s="68">
        <f t="shared" si="31"/>
        <v>120665.52921499971</v>
      </c>
      <c r="D305" s="67">
        <f t="array" ref="D305">SUM($B$7:$B300*$F$1009*EXP(-$F$1009*($A305-$A$7:$A300)))*$F$1010</f>
        <v>8816794.9575509448</v>
      </c>
      <c r="E305" s="67">
        <f t="shared" si="29"/>
        <v>16.808441239375234</v>
      </c>
      <c r="F305" s="70">
        <f t="shared" si="33"/>
        <v>1.0206085520548642</v>
      </c>
      <c r="G305" s="67">
        <f>E305/'Lookup Tables'!$C$48</f>
        <v>33.616882478750469</v>
      </c>
      <c r="H305" s="70">
        <f t="shared" si="30"/>
        <v>7.321491707606434E-2</v>
      </c>
      <c r="I305" s="71">
        <f t="shared" si="34"/>
        <v>4.8408310769400678E-2</v>
      </c>
      <c r="L305" s="74"/>
      <c r="M305" s="74"/>
      <c r="N305" s="74"/>
      <c r="O305" s="74"/>
      <c r="P305" s="74"/>
      <c r="Q305" s="74"/>
      <c r="R305" s="74"/>
      <c r="S305" s="74"/>
      <c r="T305" s="74"/>
      <c r="U305" s="74"/>
      <c r="V305" s="74"/>
      <c r="W305" s="74"/>
      <c r="X305" s="74"/>
      <c r="Y305" s="74"/>
      <c r="Z305" s="74"/>
    </row>
    <row r="306" spans="1:26" x14ac:dyDescent="0.3">
      <c r="A306" s="66">
        <f t="shared" si="32"/>
        <v>2019.8999999999728</v>
      </c>
      <c r="B306" s="67">
        <f>LOOKUP(A306+0.01,Amounts!$A$4:$A$103,Amounts!$B$4:$B$103)*0.1*$A$2</f>
        <v>0</v>
      </c>
      <c r="C306" s="68">
        <f t="shared" si="31"/>
        <v>120665.52921499971</v>
      </c>
      <c r="D306" s="67">
        <f t="array" ref="D306">SUM($B$7:$B301*$F$1009*EXP(-$F$1009*($A306-$A$7:$A301)))*$F$1010</f>
        <v>8804460.0810386389</v>
      </c>
      <c r="E306" s="67">
        <f t="shared" si="29"/>
        <v>16.784925886228169</v>
      </c>
      <c r="F306" s="70">
        <f t="shared" si="33"/>
        <v>1.0191806998117745</v>
      </c>
      <c r="G306" s="67">
        <f>E306/'Lookup Tables'!$C$48</f>
        <v>33.569851772456339</v>
      </c>
      <c r="H306" s="70">
        <f t="shared" si="30"/>
        <v>7.311248790930476E-2</v>
      </c>
      <c r="I306" s="71">
        <f t="shared" si="34"/>
        <v>4.8340586552337132E-2</v>
      </c>
      <c r="L306" s="74"/>
      <c r="M306" s="74"/>
      <c r="N306" s="74"/>
      <c r="O306" s="74"/>
      <c r="P306" s="74"/>
      <c r="Q306" s="74"/>
      <c r="R306" s="74"/>
      <c r="S306" s="74"/>
      <c r="T306" s="74"/>
      <c r="U306" s="74"/>
      <c r="V306" s="74"/>
      <c r="W306" s="74"/>
      <c r="X306" s="74"/>
      <c r="Y306" s="74"/>
      <c r="Z306" s="74"/>
    </row>
    <row r="307" spans="1:26" x14ac:dyDescent="0.3">
      <c r="A307" s="66">
        <f t="shared" si="32"/>
        <v>2019.9999999999727</v>
      </c>
      <c r="B307" s="67">
        <f>LOOKUP(A307+0.01,Amounts!$A$4:$A$103,Amounts!$B$4:$B$103)*0.1*$A$2</f>
        <v>0</v>
      </c>
      <c r="C307" s="68">
        <f t="shared" si="31"/>
        <v>120665.52921499971</v>
      </c>
      <c r="D307" s="67">
        <f t="array" ref="D307">SUM($B$7:$B302*$F$1009*EXP(-$F$1009*($A307-$A$7:$A302)))*$F$1010</f>
        <v>8792142.4612709098</v>
      </c>
      <c r="E307" s="67">
        <f t="shared" si="29"/>
        <v>16.761443431541217</v>
      </c>
      <c r="F307" s="70">
        <f t="shared" si="33"/>
        <v>1.0177548451631826</v>
      </c>
      <c r="G307" s="67">
        <f>E307/'Lookup Tables'!$C$48</f>
        <v>33.522886863082434</v>
      </c>
      <c r="H307" s="70">
        <f t="shared" si="30"/>
        <v>7.3010202043044883E-2</v>
      </c>
      <c r="I307" s="71">
        <f t="shared" si="34"/>
        <v>4.8272957082838706E-2</v>
      </c>
      <c r="L307" s="74"/>
      <c r="M307" s="74"/>
      <c r="N307" s="74"/>
      <c r="O307" s="74"/>
      <c r="P307" s="74"/>
      <c r="Q307" s="74"/>
      <c r="R307" s="74"/>
      <c r="S307" s="74"/>
      <c r="T307" s="74"/>
      <c r="U307" s="74"/>
      <c r="V307" s="74"/>
      <c r="W307" s="74"/>
      <c r="X307" s="74"/>
      <c r="Y307" s="74"/>
      <c r="Z307" s="74"/>
    </row>
    <row r="308" spans="1:26" x14ac:dyDescent="0.3">
      <c r="A308" s="66">
        <f t="shared" si="32"/>
        <v>2020.0999999999726</v>
      </c>
      <c r="B308" s="67">
        <f>LOOKUP(A308+0.01,Amounts!$A$4:$A$103,Amounts!$B$4:$B$103)*0.1*$A$2</f>
        <v>0</v>
      </c>
      <c r="C308" s="68">
        <f t="shared" si="31"/>
        <v>120665.52921499971</v>
      </c>
      <c r="D308" s="67">
        <f t="array" ref="D308">SUM($B$7:$B303*$F$1009*EXP(-$F$1009*($A308-$A$7:$A303)))*$F$1010</f>
        <v>8779842.0741052181</v>
      </c>
      <c r="E308" s="67">
        <f t="shared" si="29"/>
        <v>16.737993829288758</v>
      </c>
      <c r="F308" s="70">
        <f t="shared" si="33"/>
        <v>1.0163309853144133</v>
      </c>
      <c r="G308" s="67">
        <f>E308/'Lookup Tables'!$C$48</f>
        <v>33.475987658577516</v>
      </c>
      <c r="H308" s="70">
        <f t="shared" si="30"/>
        <v>7.2908059276804396E-2</v>
      </c>
      <c r="I308" s="71">
        <f t="shared" si="34"/>
        <v>4.820542222835162E-2</v>
      </c>
      <c r="L308" s="74"/>
      <c r="M308" s="74"/>
      <c r="N308" s="74"/>
      <c r="O308" s="74"/>
      <c r="P308" s="74"/>
      <c r="Q308" s="74"/>
      <c r="R308" s="74"/>
      <c r="S308" s="74"/>
      <c r="T308" s="74"/>
      <c r="U308" s="74"/>
      <c r="V308" s="74"/>
      <c r="W308" s="74"/>
      <c r="X308" s="74"/>
      <c r="Y308" s="74"/>
      <c r="Z308" s="74"/>
    </row>
    <row r="309" spans="1:26" x14ac:dyDescent="0.3">
      <c r="A309" s="66">
        <f t="shared" si="32"/>
        <v>2020.1999999999725</v>
      </c>
      <c r="B309" s="67">
        <f>LOOKUP(A309+0.01,Amounts!$A$4:$A$103,Amounts!$B$4:$B$103)*0.1*$A$2</f>
        <v>0</v>
      </c>
      <c r="C309" s="68">
        <f t="shared" si="31"/>
        <v>120665.52921499971</v>
      </c>
      <c r="D309" s="67">
        <f t="array" ref="D309">SUM($B$7:$B304*$F$1009*EXP(-$F$1009*($A309-$A$7:$A304)))*$F$1010</f>
        <v>8767558.8954328038</v>
      </c>
      <c r="E309" s="67">
        <f t="shared" si="29"/>
        <v>16.71457703350956</v>
      </c>
      <c r="F309" s="70">
        <f t="shared" si="33"/>
        <v>1.0149091174747005</v>
      </c>
      <c r="G309" s="67">
        <f>E309/'Lookup Tables'!$C$48</f>
        <v>33.42915406701912</v>
      </c>
      <c r="H309" s="70">
        <f t="shared" si="30"/>
        <v>7.2806059410383414E-2</v>
      </c>
      <c r="I309" s="71">
        <f t="shared" si="34"/>
        <v>4.8137981856507535E-2</v>
      </c>
      <c r="L309" s="74"/>
      <c r="M309" s="74"/>
      <c r="N309" s="74"/>
      <c r="O309" s="74"/>
      <c r="P309" s="74"/>
      <c r="Q309" s="74"/>
      <c r="R309" s="74"/>
      <c r="S309" s="74"/>
      <c r="T309" s="74"/>
      <c r="U309" s="74"/>
      <c r="V309" s="74"/>
      <c r="W309" s="74"/>
      <c r="X309" s="74"/>
      <c r="Y309" s="74"/>
      <c r="Z309" s="74"/>
    </row>
    <row r="310" spans="1:26" x14ac:dyDescent="0.3">
      <c r="A310" s="66">
        <f t="shared" si="32"/>
        <v>2020.2999999999724</v>
      </c>
      <c r="B310" s="67">
        <f>LOOKUP(A310+0.01,Amounts!$A$4:$A$103,Amounts!$B$4:$B$103)*0.1*$A$2</f>
        <v>0</v>
      </c>
      <c r="C310" s="68">
        <f t="shared" si="31"/>
        <v>120665.52921499971</v>
      </c>
      <c r="D310" s="67">
        <f t="array" ref="D310">SUM($B$7:$B305*$F$1009*EXP(-$F$1009*($A310-$A$7:$A305)))*$F$1010</f>
        <v>8755292.9011786301</v>
      </c>
      <c r="E310" s="67">
        <f t="shared" si="29"/>
        <v>16.691192998306697</v>
      </c>
      <c r="F310" s="70">
        <f t="shared" si="33"/>
        <v>1.0134892388571828</v>
      </c>
      <c r="G310" s="67">
        <f>E310/'Lookup Tables'!$C$48</f>
        <v>33.382385996613394</v>
      </c>
      <c r="H310" s="70">
        <f t="shared" si="30"/>
        <v>7.2704202243862204E-2</v>
      </c>
      <c r="I310" s="71">
        <f t="shared" si="34"/>
        <v>4.807063583512329E-2</v>
      </c>
      <c r="L310" s="74"/>
      <c r="M310" s="74"/>
      <c r="N310" s="74"/>
      <c r="O310" s="74"/>
      <c r="P310" s="74"/>
      <c r="Q310" s="74"/>
      <c r="R310" s="74"/>
      <c r="S310" s="74"/>
      <c r="T310" s="74"/>
      <c r="U310" s="74"/>
      <c r="V310" s="74"/>
      <c r="W310" s="74"/>
      <c r="X310" s="74"/>
      <c r="Y310" s="74"/>
      <c r="Z310" s="74"/>
    </row>
    <row r="311" spans="1:26" x14ac:dyDescent="0.3">
      <c r="A311" s="66">
        <f t="shared" si="32"/>
        <v>2020.3999999999724</v>
      </c>
      <c r="B311" s="67">
        <f>LOOKUP(A311+0.01,Amounts!$A$4:$A$103,Amounts!$B$4:$B$103)*0.1*$A$2</f>
        <v>0</v>
      </c>
      <c r="C311" s="68">
        <f t="shared" si="31"/>
        <v>120665.52921499971</v>
      </c>
      <c r="D311" s="67">
        <f t="array" ref="D311">SUM($B$7:$B306*$F$1009*EXP(-$F$1009*($A311-$A$7:$A306)))*$F$1010</f>
        <v>8743044.0673013479</v>
      </c>
      <c r="E311" s="67">
        <f t="shared" si="29"/>
        <v>16.667841677847459</v>
      </c>
      <c r="F311" s="70">
        <f t="shared" si="33"/>
        <v>1.0120713466788978</v>
      </c>
      <c r="G311" s="67">
        <f>E311/'Lookup Tables'!$C$48</f>
        <v>33.335683355694918</v>
      </c>
      <c r="H311" s="70">
        <f t="shared" si="30"/>
        <v>7.2602487577600641E-2</v>
      </c>
      <c r="I311" s="71">
        <f t="shared" si="34"/>
        <v>4.8003384032200683E-2</v>
      </c>
      <c r="L311" s="74"/>
      <c r="M311" s="74"/>
      <c r="N311" s="74"/>
      <c r="O311" s="74"/>
      <c r="P311" s="74"/>
      <c r="Q311" s="74"/>
      <c r="R311" s="74"/>
      <c r="S311" s="74"/>
      <c r="T311" s="74"/>
      <c r="U311" s="74"/>
      <c r="V311" s="74"/>
      <c r="W311" s="74"/>
      <c r="X311" s="74"/>
      <c r="Y311" s="74"/>
      <c r="Z311" s="74"/>
    </row>
    <row r="312" spans="1:26" x14ac:dyDescent="0.3">
      <c r="A312" s="66">
        <f t="shared" si="32"/>
        <v>2020.4999999999723</v>
      </c>
      <c r="B312" s="67">
        <f>LOOKUP(A312+0.01,Amounts!$A$4:$A$103,Amounts!$B$4:$B$103)*0.1*$A$2</f>
        <v>0</v>
      </c>
      <c r="C312" s="68">
        <f t="shared" si="31"/>
        <v>120665.52921499971</v>
      </c>
      <c r="D312" s="67">
        <f t="array" ref="D312">SUM($B$7:$B307*$F$1009*EXP(-$F$1009*($A312-$A$7:$A307)))*$F$1010</f>
        <v>8730812.3697932363</v>
      </c>
      <c r="E312" s="67">
        <f t="shared" si="29"/>
        <v>16.644523026363245</v>
      </c>
      <c r="F312" s="70">
        <f t="shared" si="33"/>
        <v>1.0106554381607762</v>
      </c>
      <c r="G312" s="67">
        <f>E312/'Lookup Tables'!$C$48</f>
        <v>33.289046052726491</v>
      </c>
      <c r="H312" s="70">
        <f t="shared" si="30"/>
        <v>7.2500915212238004E-2</v>
      </c>
      <c r="I312" s="71">
        <f t="shared" si="34"/>
        <v>4.7936226315926152E-2</v>
      </c>
      <c r="L312" s="74"/>
      <c r="M312" s="74"/>
      <c r="N312" s="74"/>
      <c r="O312" s="74"/>
      <c r="P312" s="74"/>
      <c r="Q312" s="74"/>
      <c r="R312" s="74"/>
      <c r="S312" s="74"/>
      <c r="T312" s="74"/>
      <c r="U312" s="74"/>
      <c r="V312" s="74"/>
      <c r="W312" s="74"/>
      <c r="X312" s="74"/>
      <c r="Y312" s="74"/>
      <c r="Z312" s="74"/>
    </row>
    <row r="313" spans="1:26" x14ac:dyDescent="0.3">
      <c r="A313" s="66">
        <f t="shared" si="32"/>
        <v>2020.5999999999722</v>
      </c>
      <c r="B313" s="67">
        <f>LOOKUP(A313+0.01,Amounts!$A$4:$A$103,Amounts!$B$4:$B$103)*0.1*$A$2</f>
        <v>0</v>
      </c>
      <c r="C313" s="68">
        <f t="shared" si="31"/>
        <v>120665.52921499971</v>
      </c>
      <c r="D313" s="67">
        <f t="array" ref="D313">SUM($B$7:$B308*$F$1009*EXP(-$F$1009*($A313-$A$7:$A308)))*$F$1010</f>
        <v>8718597.7846801654</v>
      </c>
      <c r="E313" s="67">
        <f t="shared" si="29"/>
        <v>16.621236998149492</v>
      </c>
      <c r="F313" s="70">
        <f t="shared" si="33"/>
        <v>1.0092415105276371</v>
      </c>
      <c r="G313" s="67">
        <f>E313/'Lookup Tables'!$C$48</f>
        <v>33.242473996298983</v>
      </c>
      <c r="H313" s="70">
        <f t="shared" si="30"/>
        <v>7.2399484948692389E-2</v>
      </c>
      <c r="I313" s="71">
        <f t="shared" si="34"/>
        <v>4.7869162554670532E-2</v>
      </c>
      <c r="L313" s="74"/>
      <c r="M313" s="74"/>
      <c r="N313" s="74"/>
      <c r="O313" s="74"/>
      <c r="P313" s="74"/>
      <c r="Q313" s="74"/>
      <c r="R313" s="74"/>
      <c r="S313" s="74"/>
      <c r="T313" s="74"/>
      <c r="U313" s="74"/>
      <c r="V313" s="74"/>
      <c r="W313" s="74"/>
      <c r="X313" s="74"/>
      <c r="Y313" s="74"/>
      <c r="Z313" s="74"/>
    </row>
    <row r="314" spans="1:26" x14ac:dyDescent="0.3">
      <c r="A314" s="66">
        <f t="shared" si="32"/>
        <v>2020.6999999999721</v>
      </c>
      <c r="B314" s="67">
        <f>LOOKUP(A314+0.01,Amounts!$A$4:$A$103,Amounts!$B$4:$B$103)*0.1*$A$2</f>
        <v>0</v>
      </c>
      <c r="C314" s="68">
        <f t="shared" si="31"/>
        <v>120665.52921499971</v>
      </c>
      <c r="D314" s="67">
        <f t="array" ref="D314">SUM($B$7:$B309*$F$1009*EXP(-$F$1009*($A314-$A$7:$A309)))*$F$1010</f>
        <v>8706400.2880215496</v>
      </c>
      <c r="E314" s="67">
        <f t="shared" si="29"/>
        <v>16.597983547565587</v>
      </c>
      <c r="F314" s="70">
        <f t="shared" si="33"/>
        <v>1.0078295610081824</v>
      </c>
      <c r="G314" s="67">
        <f>E314/'Lookup Tables'!$C$48</f>
        <v>33.195967095131174</v>
      </c>
      <c r="H314" s="70">
        <f t="shared" si="30"/>
        <v>7.2298196588160502E-2</v>
      </c>
      <c r="I314" s="71">
        <f t="shared" si="34"/>
        <v>4.7802192616988891E-2</v>
      </c>
      <c r="L314" s="74"/>
      <c r="M314" s="74"/>
      <c r="N314" s="74"/>
      <c r="O314" s="74"/>
      <c r="P314" s="74"/>
      <c r="Q314" s="74"/>
      <c r="R314" s="74"/>
      <c r="S314" s="74"/>
      <c r="T314" s="74"/>
      <c r="U314" s="74"/>
      <c r="V314" s="74"/>
      <c r="W314" s="74"/>
      <c r="X314" s="74"/>
      <c r="Y314" s="74"/>
      <c r="Z314" s="74"/>
    </row>
    <row r="315" spans="1:26" x14ac:dyDescent="0.3">
      <c r="A315" s="66">
        <f t="shared" si="32"/>
        <v>2020.799999999972</v>
      </c>
      <c r="B315" s="67">
        <f>LOOKUP(A315+0.01,Amounts!$A$4:$A$103,Amounts!$B$4:$B$103)*0.1*$A$2</f>
        <v>0</v>
      </c>
      <c r="C315" s="68">
        <f t="shared" si="31"/>
        <v>120665.52921499971</v>
      </c>
      <c r="D315" s="67">
        <f t="array" ref="D315">SUM($B$7:$B310*$F$1009*EXP(-$F$1009*($A315-$A$7:$A310)))*$F$1010</f>
        <v>8694219.8559102789</v>
      </c>
      <c r="E315" s="67">
        <f t="shared" si="29"/>
        <v>16.574762629034741</v>
      </c>
      <c r="F315" s="70">
        <f t="shared" si="33"/>
        <v>1.0064195868349894</v>
      </c>
      <c r="G315" s="67">
        <f>E315/'Lookup Tables'!$C$48</f>
        <v>33.149525258069481</v>
      </c>
      <c r="H315" s="70">
        <f t="shared" si="30"/>
        <v>7.2197049932117022E-2</v>
      </c>
      <c r="I315" s="71">
        <f t="shared" si="34"/>
        <v>4.7735316371620054E-2</v>
      </c>
      <c r="L315" s="74"/>
      <c r="M315" s="74"/>
      <c r="N315" s="74"/>
      <c r="O315" s="74"/>
      <c r="P315" s="74"/>
      <c r="Q315" s="74"/>
      <c r="R315" s="74"/>
      <c r="S315" s="74"/>
      <c r="T315" s="74"/>
      <c r="U315" s="74"/>
      <c r="V315" s="74"/>
      <c r="W315" s="74"/>
      <c r="X315" s="74"/>
      <c r="Y315" s="74"/>
      <c r="Z315" s="74"/>
    </row>
    <row r="316" spans="1:26" x14ac:dyDescent="0.3">
      <c r="A316" s="66">
        <f t="shared" si="32"/>
        <v>2020.8999999999719</v>
      </c>
      <c r="B316" s="67">
        <f>LOOKUP(A316+0.01,Amounts!$A$4:$A$103,Amounts!$B$4:$B$103)*0.1*$A$2</f>
        <v>0</v>
      </c>
      <c r="C316" s="68">
        <f t="shared" si="31"/>
        <v>120665.52921499971</v>
      </c>
      <c r="D316" s="67">
        <f t="array" ref="D316">SUM($B$7:$B311*$F$1009*EXP(-$F$1009*($A316-$A$7:$A311)))*$F$1010</f>
        <v>8682056.4644727111</v>
      </c>
      <c r="E316" s="67">
        <f t="shared" si="29"/>
        <v>16.551574197043955</v>
      </c>
      <c r="F316" s="70">
        <f t="shared" si="33"/>
        <v>1.005011585244509</v>
      </c>
      <c r="G316" s="67">
        <f>E316/'Lookup Tables'!$C$48</f>
        <v>33.10314839408791</v>
      </c>
      <c r="H316" s="70">
        <f t="shared" si="30"/>
        <v>7.2096044782314544E-2</v>
      </c>
      <c r="I316" s="71">
        <f t="shared" si="34"/>
        <v>4.7668533687486588E-2</v>
      </c>
      <c r="L316" s="74"/>
      <c r="M316" s="74"/>
      <c r="N316" s="74"/>
      <c r="O316" s="74"/>
      <c r="P316" s="74"/>
      <c r="Q316" s="74"/>
      <c r="R316" s="74"/>
      <c r="S316" s="74"/>
      <c r="T316" s="74"/>
      <c r="U316" s="74"/>
      <c r="V316" s="74"/>
      <c r="W316" s="74"/>
      <c r="X316" s="74"/>
      <c r="Y316" s="74"/>
      <c r="Z316" s="74"/>
    </row>
    <row r="317" spans="1:26" x14ac:dyDescent="0.3">
      <c r="A317" s="66">
        <f t="shared" si="32"/>
        <v>2020.9999999999718</v>
      </c>
      <c r="B317" s="67">
        <f>LOOKUP(A317+0.01,Amounts!$A$4:$A$103,Amounts!$B$4:$B$103)*0.1*$A$2</f>
        <v>0</v>
      </c>
      <c r="C317" s="68">
        <f t="shared" si="31"/>
        <v>120665.52921499971</v>
      </c>
      <c r="D317" s="67">
        <f t="array" ref="D317">SUM($B$7:$B312*$F$1009*EXP(-$F$1009*($A317-$A$7:$A312)))*$F$1010</f>
        <v>8669910.0898685884</v>
      </c>
      <c r="E317" s="67">
        <f t="shared" si="29"/>
        <v>16.528418206143883</v>
      </c>
      <c r="F317" s="70">
        <f t="shared" si="33"/>
        <v>1.0036055534770565</v>
      </c>
      <c r="G317" s="67">
        <f>E317/'Lookup Tables'!$C$48</f>
        <v>33.056836412287765</v>
      </c>
      <c r="H317" s="70">
        <f t="shared" si="30"/>
        <v>7.1995180940782874E-2</v>
      </c>
      <c r="I317" s="71">
        <f t="shared" si="34"/>
        <v>4.7601844433694376E-2</v>
      </c>
      <c r="L317" s="74"/>
      <c r="M317" s="74"/>
      <c r="N317" s="74"/>
      <c r="O317" s="74"/>
      <c r="P317" s="74"/>
      <c r="Q317" s="74"/>
      <c r="R317" s="74"/>
      <c r="S317" s="74"/>
      <c r="T317" s="74"/>
      <c r="U317" s="74"/>
      <c r="V317" s="74"/>
      <c r="W317" s="74"/>
      <c r="X317" s="74"/>
      <c r="Y317" s="74"/>
      <c r="Z317" s="74"/>
    </row>
    <row r="318" spans="1:26" x14ac:dyDescent="0.3">
      <c r="A318" s="66">
        <f t="shared" si="32"/>
        <v>2021.0999999999717</v>
      </c>
      <c r="B318" s="67">
        <f>LOOKUP(A318+0.01,Amounts!$A$4:$A$103,Amounts!$B$4:$B$103)*0.1*$A$2</f>
        <v>0</v>
      </c>
      <c r="C318" s="68">
        <f t="shared" si="31"/>
        <v>120665.52921499971</v>
      </c>
      <c r="D318" s="67">
        <f t="array" ref="D318">SUM($B$7:$B313*$F$1009*EXP(-$F$1009*($A318-$A$7:$A313)))*$F$1010</f>
        <v>8657780.7082910221</v>
      </c>
      <c r="E318" s="67">
        <f t="shared" si="29"/>
        <v>16.505294610948798</v>
      </c>
      <c r="F318" s="70">
        <f t="shared" si="33"/>
        <v>1.0022014887768111</v>
      </c>
      <c r="G318" s="67">
        <f>E318/'Lookup Tables'!$C$48</f>
        <v>33.010589221897597</v>
      </c>
      <c r="H318" s="70">
        <f t="shared" si="30"/>
        <v>7.189445820982894E-2</v>
      </c>
      <c r="I318" s="71">
        <f t="shared" si="34"/>
        <v>4.7535248479532541E-2</v>
      </c>
      <c r="L318" s="74"/>
      <c r="M318" s="74"/>
      <c r="N318" s="74"/>
      <c r="O318" s="74"/>
      <c r="P318" s="74"/>
      <c r="Q318" s="74"/>
      <c r="R318" s="74"/>
      <c r="S318" s="74"/>
      <c r="T318" s="74"/>
      <c r="U318" s="74"/>
      <c r="V318" s="74"/>
      <c r="W318" s="74"/>
      <c r="X318" s="74"/>
      <c r="Y318" s="74"/>
      <c r="Z318" s="74"/>
    </row>
    <row r="319" spans="1:26" x14ac:dyDescent="0.3">
      <c r="A319" s="66">
        <f t="shared" si="32"/>
        <v>2021.1999999999716</v>
      </c>
      <c r="B319" s="67">
        <f>LOOKUP(A319+0.01,Amounts!$A$4:$A$103,Amounts!$B$4:$B$103)*0.1*$A$2</f>
        <v>0</v>
      </c>
      <c r="C319" s="68">
        <f t="shared" si="31"/>
        <v>120665.52921499971</v>
      </c>
      <c r="D319" s="67">
        <f t="array" ref="D319">SUM($B$7:$B314*$F$1009*EXP(-$F$1009*($A319-$A$7:$A314)))*$F$1010</f>
        <v>8645668.295966411</v>
      </c>
      <c r="E319" s="67">
        <f t="shared" si="29"/>
        <v>16.482203366136424</v>
      </c>
      <c r="F319" s="70">
        <f t="shared" si="33"/>
        <v>1.0007993883918038</v>
      </c>
      <c r="G319" s="67">
        <f>E319/'Lookup Tables'!$C$48</f>
        <v>32.964406732272849</v>
      </c>
      <c r="H319" s="70">
        <f t="shared" si="30"/>
        <v>7.1793876392036063E-2</v>
      </c>
      <c r="I319" s="71">
        <f t="shared" si="34"/>
        <v>4.7468745694472902E-2</v>
      </c>
      <c r="L319" s="74"/>
      <c r="M319" s="74"/>
      <c r="N319" s="74"/>
      <c r="O319" s="74"/>
      <c r="P319" s="74"/>
      <c r="Q319" s="74"/>
      <c r="R319" s="74"/>
      <c r="S319" s="74"/>
      <c r="T319" s="74"/>
      <c r="U319" s="74"/>
      <c r="V319" s="74"/>
      <c r="W319" s="74"/>
      <c r="X319" s="74"/>
      <c r="Y319" s="74"/>
      <c r="Z319" s="74"/>
    </row>
    <row r="320" spans="1:26" x14ac:dyDescent="0.3">
      <c r="A320" s="66">
        <f t="shared" si="32"/>
        <v>2021.2999999999715</v>
      </c>
      <c r="B320" s="67">
        <f>LOOKUP(A320+0.01,Amounts!$A$4:$A$103,Amounts!$B$4:$B$103)*0.1*$A$2</f>
        <v>0</v>
      </c>
      <c r="C320" s="68">
        <f t="shared" si="31"/>
        <v>120665.52921499971</v>
      </c>
      <c r="D320" s="67">
        <f t="array" ref="D320">SUM($B$7:$B315*$F$1009*EXP(-$F$1009*($A320-$A$7:$A315)))*$F$1010</f>
        <v>8633572.8291544281</v>
      </c>
      <c r="E320" s="67">
        <f t="shared" si="29"/>
        <v>16.459144426447924</v>
      </c>
      <c r="F320" s="70">
        <f t="shared" si="33"/>
        <v>0.9993992495739179</v>
      </c>
      <c r="G320" s="67">
        <f>E320/'Lookup Tables'!$C$48</f>
        <v>32.918288852895849</v>
      </c>
      <c r="H320" s="70">
        <f t="shared" si="30"/>
        <v>7.169343529026391E-2</v>
      </c>
      <c r="I320" s="71">
        <f t="shared" si="34"/>
        <v>4.7402335948170025E-2</v>
      </c>
      <c r="L320" s="74"/>
      <c r="M320" s="74"/>
      <c r="N320" s="74"/>
      <c r="O320" s="74"/>
      <c r="P320" s="74"/>
      <c r="Q320" s="74"/>
      <c r="R320" s="74"/>
      <c r="S320" s="74"/>
      <c r="T320" s="74"/>
      <c r="U320" s="74"/>
      <c r="V320" s="74"/>
      <c r="W320" s="74"/>
      <c r="X320" s="74"/>
      <c r="Y320" s="74"/>
      <c r="Z320" s="74"/>
    </row>
    <row r="321" spans="1:26" x14ac:dyDescent="0.3">
      <c r="A321" s="66">
        <f t="shared" si="32"/>
        <v>2021.3999999999714</v>
      </c>
      <c r="B321" s="67">
        <f>LOOKUP(A321+0.01,Amounts!$A$4:$A$103,Amounts!$B$4:$B$103)*0.1*$A$2</f>
        <v>0</v>
      </c>
      <c r="C321" s="68">
        <f t="shared" si="31"/>
        <v>120665.52921499971</v>
      </c>
      <c r="D321" s="67">
        <f t="array" ref="D321">SUM($B$7:$B316*$F$1009*EXP(-$F$1009*($A321-$A$7:$A316)))*$F$1010</f>
        <v>8621494.2841479573</v>
      </c>
      <c r="E321" s="67">
        <f t="shared" si="29"/>
        <v>16.436117746687774</v>
      </c>
      <c r="F321" s="70">
        <f t="shared" si="33"/>
        <v>0.99800106957888157</v>
      </c>
      <c r="G321" s="67">
        <f>E321/'Lookup Tables'!$C$48</f>
        <v>32.872235493375548</v>
      </c>
      <c r="H321" s="70">
        <f t="shared" si="30"/>
        <v>7.159313470764786E-2</v>
      </c>
      <c r="I321" s="71">
        <f t="shared" si="34"/>
        <v>4.7336019110460786E-2</v>
      </c>
      <c r="L321" s="74"/>
      <c r="M321" s="74"/>
      <c r="N321" s="74"/>
      <c r="O321" s="74"/>
      <c r="P321" s="74"/>
      <c r="Q321" s="74"/>
      <c r="R321" s="74"/>
      <c r="S321" s="74"/>
      <c r="T321" s="74"/>
      <c r="U321" s="74"/>
      <c r="V321" s="74"/>
      <c r="W321" s="74"/>
      <c r="X321" s="74"/>
      <c r="Y321" s="74"/>
      <c r="Z321" s="74"/>
    </row>
    <row r="322" spans="1:26" x14ac:dyDescent="0.3">
      <c r="A322" s="66">
        <f t="shared" si="32"/>
        <v>2021.4999999999714</v>
      </c>
      <c r="B322" s="67">
        <f>LOOKUP(A322+0.01,Amounts!$A$4:$A$103,Amounts!$B$4:$B$103)*0.1*$A$2</f>
        <v>0</v>
      </c>
      <c r="C322" s="68">
        <f t="shared" si="31"/>
        <v>120665.52921499971</v>
      </c>
      <c r="D322" s="67">
        <f t="array" ref="D322">SUM($B$7:$B317*$F$1009*EXP(-$F$1009*($A322-$A$7:$A317)))*$F$1010</f>
        <v>8609432.6372730397</v>
      </c>
      <c r="E322" s="67">
        <f t="shared" si="29"/>
        <v>16.413123281723667</v>
      </c>
      <c r="F322" s="70">
        <f t="shared" si="33"/>
        <v>0.99660484566626106</v>
      </c>
      <c r="G322" s="67">
        <f>E322/'Lookup Tables'!$C$48</f>
        <v>32.826246563447334</v>
      </c>
      <c r="H322" s="70">
        <f t="shared" si="30"/>
        <v>7.1492974447598792E-2</v>
      </c>
      <c r="I322" s="71">
        <f t="shared" si="34"/>
        <v>4.7269795051364159E-2</v>
      </c>
      <c r="L322" s="74"/>
      <c r="M322" s="74"/>
      <c r="N322" s="74"/>
      <c r="O322" s="74"/>
      <c r="P322" s="74"/>
      <c r="Q322" s="74"/>
      <c r="R322" s="74"/>
      <c r="S322" s="74"/>
      <c r="T322" s="74"/>
      <c r="U322" s="74"/>
      <c r="V322" s="74"/>
      <c r="W322" s="74"/>
      <c r="X322" s="74"/>
      <c r="Y322" s="74"/>
      <c r="Z322" s="74"/>
    </row>
    <row r="323" spans="1:26" x14ac:dyDescent="0.3">
      <c r="A323" s="66">
        <f t="shared" si="32"/>
        <v>2021.5999999999713</v>
      </c>
      <c r="B323" s="67">
        <f>LOOKUP(A323+0.01,Amounts!$A$4:$A$103,Amounts!$B$4:$B$103)*0.1*$A$2</f>
        <v>0</v>
      </c>
      <c r="C323" s="68">
        <f t="shared" si="31"/>
        <v>120665.52921499971</v>
      </c>
      <c r="D323" s="67">
        <f t="array" ref="D323">SUM($B$7:$B318*$F$1009*EXP(-$F$1009*($A323-$A$7:$A318)))*$F$1010</f>
        <v>8597387.8648888525</v>
      </c>
      <c r="E323" s="67">
        <f t="shared" si="29"/>
        <v>16.390160986486453</v>
      </c>
      <c r="F323" s="70">
        <f t="shared" si="33"/>
        <v>0.99521057509945743</v>
      </c>
      <c r="G323" s="67">
        <f>E323/'Lookup Tables'!$C$48</f>
        <v>32.780321972972907</v>
      </c>
      <c r="H323" s="70">
        <f t="shared" si="30"/>
        <v>7.1392954313802534E-2</v>
      </c>
      <c r="I323" s="71">
        <f t="shared" si="34"/>
        <v>4.7203663641080987E-2</v>
      </c>
      <c r="L323" s="74"/>
      <c r="M323" s="74"/>
      <c r="N323" s="74"/>
      <c r="O323" s="74"/>
      <c r="P323" s="74"/>
      <c r="Q323" s="74"/>
      <c r="R323" s="74"/>
      <c r="S323" s="74"/>
      <c r="T323" s="74"/>
      <c r="U323" s="74"/>
      <c r="V323" s="74"/>
      <c r="W323" s="74"/>
      <c r="X323" s="74"/>
      <c r="Y323" s="74"/>
      <c r="Z323" s="74"/>
    </row>
    <row r="324" spans="1:26" x14ac:dyDescent="0.3">
      <c r="A324" s="66">
        <f t="shared" si="32"/>
        <v>2021.6999999999712</v>
      </c>
      <c r="B324" s="67">
        <f>LOOKUP(A324+0.01,Amounts!$A$4:$A$103,Amounts!$B$4:$B$103)*0.1*$A$2</f>
        <v>0</v>
      </c>
      <c r="C324" s="68">
        <f t="shared" si="31"/>
        <v>120665.52921499971</v>
      </c>
      <c r="D324" s="67">
        <f t="array" ref="D324">SUM($B$7:$B319*$F$1009*EXP(-$F$1009*($A324-$A$7:$A319)))*$F$1010</f>
        <v>8585359.9433876295</v>
      </c>
      <c r="E324" s="67">
        <f t="shared" si="29"/>
        <v>16.367230815970014</v>
      </c>
      <c r="F324" s="70">
        <f t="shared" si="33"/>
        <v>0.99381825514569933</v>
      </c>
      <c r="G324" s="67">
        <f>E324/'Lookup Tables'!$C$48</f>
        <v>32.734461631940029</v>
      </c>
      <c r="H324" s="70">
        <f t="shared" si="30"/>
        <v>7.1293074110219581E-2</v>
      </c>
      <c r="I324" s="71">
        <f t="shared" si="34"/>
        <v>4.7137624749993647E-2</v>
      </c>
      <c r="L324" s="74"/>
      <c r="M324" s="74"/>
      <c r="N324" s="74"/>
      <c r="O324" s="74"/>
      <c r="P324" s="74"/>
      <c r="Q324" s="74"/>
      <c r="R324" s="74"/>
      <c r="S324" s="74"/>
      <c r="T324" s="74"/>
      <c r="U324" s="74"/>
      <c r="V324" s="74"/>
      <c r="W324" s="74"/>
      <c r="X324" s="74"/>
      <c r="Y324" s="74"/>
      <c r="Z324" s="74"/>
    </row>
    <row r="325" spans="1:26" x14ac:dyDescent="0.3">
      <c r="A325" s="66">
        <f t="shared" si="32"/>
        <v>2021.7999999999711</v>
      </c>
      <c r="B325" s="67">
        <f>LOOKUP(A325+0.01,Amounts!$A$4:$A$103,Amounts!$B$4:$B$103)*0.1*$A$2</f>
        <v>0</v>
      </c>
      <c r="C325" s="68">
        <f t="shared" si="31"/>
        <v>120665.52921499971</v>
      </c>
      <c r="D325" s="67">
        <f t="array" ref="D325">SUM($B$7:$B320*$F$1009*EXP(-$F$1009*($A325-$A$7:$A320)))*$F$1010</f>
        <v>8573348.8491946477</v>
      </c>
      <c r="E325" s="67">
        <f t="shared" si="29"/>
        <v>16.344332725231222</v>
      </c>
      <c r="F325" s="70">
        <f t="shared" si="33"/>
        <v>0.9924278830760398</v>
      </c>
      <c r="G325" s="67">
        <f>E325/'Lookup Tables'!$C$48</f>
        <v>32.688665450462445</v>
      </c>
      <c r="H325" s="70">
        <f t="shared" si="30"/>
        <v>7.1193333641084725E-2</v>
      </c>
      <c r="I325" s="71">
        <f t="shared" si="34"/>
        <v>4.707167824866592E-2</v>
      </c>
      <c r="L325" s="74"/>
      <c r="M325" s="74"/>
      <c r="N325" s="74"/>
      <c r="O325" s="74"/>
      <c r="P325" s="74"/>
      <c r="Q325" s="74"/>
      <c r="R325" s="74"/>
      <c r="S325" s="74"/>
      <c r="T325" s="74"/>
      <c r="U325" s="74"/>
      <c r="V325" s="74"/>
      <c r="W325" s="74"/>
      <c r="X325" s="74"/>
      <c r="Y325" s="74"/>
      <c r="Z325" s="74"/>
    </row>
    <row r="326" spans="1:26" x14ac:dyDescent="0.3">
      <c r="A326" s="66">
        <f t="shared" si="32"/>
        <v>2021.899999999971</v>
      </c>
      <c r="B326" s="67">
        <f>LOOKUP(A326+0.01,Amounts!$A$4:$A$103,Amounts!$B$4:$B$103)*0.1*$A$2</f>
        <v>0</v>
      </c>
      <c r="C326" s="68">
        <f t="shared" si="31"/>
        <v>120665.52921499971</v>
      </c>
      <c r="D326" s="67">
        <f t="array" ref="D326">SUM($B$7:$B321*$F$1009*EXP(-$F$1009*($A326-$A$7:$A321)))*$F$1010</f>
        <v>8561354.5587681476</v>
      </c>
      <c r="E326" s="67">
        <f t="shared" si="29"/>
        <v>16.321466669389789</v>
      </c>
      <c r="F326" s="70">
        <f t="shared" si="33"/>
        <v>0.99103945616534794</v>
      </c>
      <c r="G326" s="67">
        <f>E326/'Lookup Tables'!$C$48</f>
        <v>32.642933338779578</v>
      </c>
      <c r="H326" s="70">
        <f t="shared" si="30"/>
        <v>7.1093732710906535E-2</v>
      </c>
      <c r="I326" s="71">
        <f t="shared" si="34"/>
        <v>4.7005824007842589E-2</v>
      </c>
      <c r="L326" s="74"/>
      <c r="M326" s="74"/>
      <c r="N326" s="74"/>
      <c r="O326" s="74"/>
      <c r="P326" s="74"/>
      <c r="Q326" s="74"/>
      <c r="R326" s="74"/>
      <c r="S326" s="74"/>
      <c r="T326" s="74"/>
      <c r="U326" s="74"/>
      <c r="V326" s="74"/>
      <c r="W326" s="74"/>
      <c r="X326" s="74"/>
      <c r="Y326" s="74"/>
      <c r="Z326" s="74"/>
    </row>
    <row r="327" spans="1:26" x14ac:dyDescent="0.3">
      <c r="A327" s="66">
        <f t="shared" si="32"/>
        <v>2021.9999999999709</v>
      </c>
      <c r="B327" s="67">
        <f>LOOKUP(A327+0.01,Amounts!$A$4:$A$103,Amounts!$B$4:$B$103)*0.1*$A$2</f>
        <v>0</v>
      </c>
      <c r="C327" s="68">
        <f t="shared" si="31"/>
        <v>120665.52921499971</v>
      </c>
      <c r="D327" s="67">
        <f t="array" ref="D327">SUM($B$7:$B322*$F$1009*EXP(-$F$1009*($A327-$A$7:$A322)))*$F$1010</f>
        <v>8549377.0485993307</v>
      </c>
      <c r="E327" s="67">
        <f t="shared" ref="E327:E390" si="35">D327/(365*24*60)*1.00201</f>
        <v>16.298632603628267</v>
      </c>
      <c r="F327" s="70">
        <f t="shared" si="33"/>
        <v>0.98965297169230837</v>
      </c>
      <c r="G327" s="67">
        <f>E327/'Lookup Tables'!$C$48</f>
        <v>32.597265207256534</v>
      </c>
      <c r="H327" s="70">
        <f t="shared" ref="H327:H390" si="36">G327*60*24*365/(C327*2000)</f>
        <v>7.0994271124467281E-2</v>
      </c>
      <c r="I327" s="71">
        <f t="shared" si="34"/>
        <v>4.6940061898449403E-2</v>
      </c>
      <c r="L327" s="74"/>
      <c r="M327" s="74"/>
      <c r="N327" s="74"/>
      <c r="O327" s="74"/>
      <c r="P327" s="74"/>
      <c r="Q327" s="74"/>
      <c r="R327" s="74"/>
      <c r="S327" s="74"/>
      <c r="T327" s="74"/>
      <c r="U327" s="74"/>
      <c r="V327" s="74"/>
      <c r="W327" s="74"/>
      <c r="X327" s="74"/>
      <c r="Y327" s="74"/>
      <c r="Z327" s="74"/>
    </row>
    <row r="328" spans="1:26" x14ac:dyDescent="0.3">
      <c r="A328" s="66">
        <f t="shared" si="32"/>
        <v>2022.0999999999708</v>
      </c>
      <c r="B328" s="67">
        <f>LOOKUP(A328+0.01,Amounts!$A$4:$A$103,Amounts!$B$4:$B$103)*0.1*$A$2</f>
        <v>0</v>
      </c>
      <c r="C328" s="68">
        <f t="shared" si="31"/>
        <v>120665.52921499971</v>
      </c>
      <c r="D328" s="67">
        <f t="array" ref="D328">SUM($B$7:$B323*$F$1009*EXP(-$F$1009*($A328-$A$7:$A323)))*$F$1010</f>
        <v>8537416.2952122651</v>
      </c>
      <c r="E328" s="67">
        <f t="shared" si="35"/>
        <v>16.275830483191864</v>
      </c>
      <c r="F328" s="70">
        <f t="shared" si="33"/>
        <v>0.98826842693941008</v>
      </c>
      <c r="G328" s="67">
        <f>E328/'Lookup Tables'!$C$48</f>
        <v>32.551660966383729</v>
      </c>
      <c r="H328" s="70">
        <f t="shared" si="36"/>
        <v>7.0894948686822154E-2</v>
      </c>
      <c r="I328" s="71">
        <f t="shared" si="34"/>
        <v>4.6874391791592571E-2</v>
      </c>
      <c r="L328" s="74"/>
      <c r="M328" s="74"/>
      <c r="N328" s="74"/>
      <c r="O328" s="74"/>
      <c r="P328" s="74"/>
      <c r="Q328" s="74"/>
      <c r="R328" s="74"/>
      <c r="S328" s="74"/>
      <c r="T328" s="74"/>
      <c r="U328" s="74"/>
      <c r="V328" s="74"/>
      <c r="W328" s="74"/>
      <c r="X328" s="74"/>
      <c r="Y328" s="74"/>
      <c r="Z328" s="74"/>
    </row>
    <row r="329" spans="1:26" x14ac:dyDescent="0.3">
      <c r="A329" s="66">
        <f t="shared" si="32"/>
        <v>2022.1999999999707</v>
      </c>
      <c r="B329" s="67">
        <f>LOOKUP(A329+0.01,Amounts!$A$4:$A$103,Amounts!$B$4:$B$103)*0.1*$A$2</f>
        <v>0</v>
      </c>
      <c r="C329" s="68">
        <f t="shared" ref="C329:C392" si="37">C328+B329</f>
        <v>120665.52921499971</v>
      </c>
      <c r="D329" s="67">
        <f t="array" ref="D329">SUM($B$7:$B324*$F$1009*EXP(-$F$1009*($A329-$A$7:$A324)))*$F$1010</f>
        <v>8525472.2751638666</v>
      </c>
      <c r="E329" s="67">
        <f t="shared" si="35"/>
        <v>16.253060263388409</v>
      </c>
      <c r="F329" s="70">
        <f t="shared" si="33"/>
        <v>0.98688581919294416</v>
      </c>
      <c r="G329" s="67">
        <f>E329/'Lookup Tables'!$C$48</f>
        <v>32.506120526776819</v>
      </c>
      <c r="H329" s="70">
        <f t="shared" si="36"/>
        <v>7.0795765203299096E-2</v>
      </c>
      <c r="I329" s="71">
        <f t="shared" si="34"/>
        <v>4.6808813558558614E-2</v>
      </c>
      <c r="L329" s="74"/>
      <c r="M329" s="74"/>
      <c r="N329" s="74"/>
      <c r="O329" s="74"/>
      <c r="P329" s="74"/>
      <c r="Q329" s="74"/>
      <c r="R329" s="74"/>
      <c r="S329" s="74"/>
      <c r="T329" s="74"/>
      <c r="U329" s="74"/>
      <c r="V329" s="74"/>
      <c r="W329" s="74"/>
      <c r="X329" s="74"/>
      <c r="Y329" s="74"/>
      <c r="Z329" s="74"/>
    </row>
    <row r="330" spans="1:26" x14ac:dyDescent="0.3">
      <c r="A330" s="66">
        <f t="shared" si="32"/>
        <v>2022.2999999999706</v>
      </c>
      <c r="B330" s="67">
        <f>LOOKUP(A330+0.01,Amounts!$A$4:$A$103,Amounts!$B$4:$B$103)*0.1*$A$2</f>
        <v>0</v>
      </c>
      <c r="C330" s="68">
        <f t="shared" si="37"/>
        <v>120665.52921499971</v>
      </c>
      <c r="D330" s="67">
        <f t="array" ref="D330">SUM($B$7:$B325*$F$1009*EXP(-$F$1009*($A330-$A$7:$A325)))*$F$1010</f>
        <v>8513544.9650438614</v>
      </c>
      <c r="E330" s="67">
        <f t="shared" si="35"/>
        <v>16.230321899588279</v>
      </c>
      <c r="F330" s="70">
        <f t="shared" si="33"/>
        <v>0.9855051457430003</v>
      </c>
      <c r="G330" s="67">
        <f>E330/'Lookup Tables'!$C$48</f>
        <v>32.460643799176559</v>
      </c>
      <c r="H330" s="70">
        <f t="shared" si="36"/>
        <v>7.0696720479498557E-2</v>
      </c>
      <c r="I330" s="71">
        <f t="shared" si="34"/>
        <v>4.6743327070814245E-2</v>
      </c>
      <c r="L330" s="74"/>
      <c r="M330" s="74"/>
      <c r="N330" s="74"/>
      <c r="O330" s="74"/>
      <c r="P330" s="74"/>
      <c r="Q330" s="74"/>
      <c r="R330" s="74"/>
      <c r="S330" s="74"/>
      <c r="T330" s="74"/>
      <c r="U330" s="74"/>
      <c r="V330" s="74"/>
      <c r="W330" s="74"/>
      <c r="X330" s="74"/>
      <c r="Y330" s="74"/>
      <c r="Z330" s="74"/>
    </row>
    <row r="331" spans="1:26" x14ac:dyDescent="0.3">
      <c r="A331" s="66">
        <f t="shared" si="32"/>
        <v>2022.3999999999705</v>
      </c>
      <c r="B331" s="67">
        <f>LOOKUP(A331+0.01,Amounts!$A$4:$A$103,Amounts!$B$4:$B$103)*0.1*$A$2</f>
        <v>0</v>
      </c>
      <c r="C331" s="68">
        <f t="shared" si="37"/>
        <v>120665.52921499971</v>
      </c>
      <c r="D331" s="67">
        <f t="array" ref="D331">SUM($B$7:$B326*$F$1009*EXP(-$F$1009*($A331-$A$7:$A326)))*$F$1010</f>
        <v>8501634.3414747119</v>
      </c>
      <c r="E331" s="67">
        <f t="shared" si="35"/>
        <v>16.207615347224273</v>
      </c>
      <c r="F331" s="70">
        <f t="shared" si="33"/>
        <v>0.98412640388345785</v>
      </c>
      <c r="G331" s="67">
        <f>E331/'Lookup Tables'!$C$48</f>
        <v>32.415230694448546</v>
      </c>
      <c r="H331" s="70">
        <f t="shared" si="36"/>
        <v>7.0597814321292779E-2</v>
      </c>
      <c r="I331" s="71">
        <f t="shared" si="34"/>
        <v>4.6677932200005906E-2</v>
      </c>
      <c r="L331" s="74"/>
      <c r="M331" s="74"/>
      <c r="N331" s="74"/>
      <c r="O331" s="74"/>
      <c r="P331" s="74"/>
      <c r="Q331" s="74"/>
      <c r="R331" s="74"/>
      <c r="S331" s="74"/>
      <c r="T331" s="74"/>
      <c r="U331" s="74"/>
      <c r="V331" s="74"/>
      <c r="W331" s="74"/>
      <c r="X331" s="74"/>
      <c r="Y331" s="74"/>
      <c r="Z331" s="74"/>
    </row>
    <row r="332" spans="1:26" x14ac:dyDescent="0.3">
      <c r="A332" s="66">
        <f t="shared" si="32"/>
        <v>2022.4999999999704</v>
      </c>
      <c r="B332" s="67">
        <f>LOOKUP(A332+0.01,Amounts!$A$4:$A$103,Amounts!$B$4:$B$103)*0.1*$A$2</f>
        <v>0</v>
      </c>
      <c r="C332" s="68">
        <f t="shared" si="37"/>
        <v>120665.52921499971</v>
      </c>
      <c r="D332" s="67">
        <f t="array" ref="D332">SUM($B$7:$B327*$F$1009*EXP(-$F$1009*($A332-$A$7:$A327)))*$F$1010</f>
        <v>8489740.3811115921</v>
      </c>
      <c r="E332" s="67">
        <f t="shared" si="35"/>
        <v>16.184940561791528</v>
      </c>
      <c r="F332" s="70">
        <f t="shared" si="33"/>
        <v>0.98274959091198155</v>
      </c>
      <c r="G332" s="67">
        <f>E332/'Lookup Tables'!$C$48</f>
        <v>32.369881123583056</v>
      </c>
      <c r="H332" s="70">
        <f t="shared" si="36"/>
        <v>7.0499046534825638E-2</v>
      </c>
      <c r="I332" s="71">
        <f t="shared" si="34"/>
        <v>4.6612628817959599E-2</v>
      </c>
      <c r="L332" s="74"/>
      <c r="M332" s="74"/>
      <c r="N332" s="74"/>
      <c r="O332" s="74"/>
      <c r="P332" s="74"/>
      <c r="Q332" s="74"/>
      <c r="R332" s="74"/>
      <c r="S332" s="74"/>
      <c r="T332" s="74"/>
      <c r="U332" s="74"/>
      <c r="V332" s="74"/>
      <c r="W332" s="74"/>
      <c r="X332" s="74"/>
      <c r="Y332" s="74"/>
      <c r="Z332" s="74"/>
    </row>
    <row r="333" spans="1:26" x14ac:dyDescent="0.3">
      <c r="A333" s="66">
        <f t="shared" si="32"/>
        <v>2022.5999999999704</v>
      </c>
      <c r="B333" s="67">
        <f>LOOKUP(A333+0.01,Amounts!$A$4:$A$103,Amounts!$B$4:$B$103)*0.1*$A$2</f>
        <v>0</v>
      </c>
      <c r="C333" s="68">
        <f t="shared" si="37"/>
        <v>120665.52921499971</v>
      </c>
      <c r="D333" s="67">
        <f t="array" ref="D333">SUM($B$7:$B328*$F$1009*EXP(-$F$1009*($A333-$A$7:$A328)))*$F$1010</f>
        <v>8477863.0606423393</v>
      </c>
      <c r="E333" s="67">
        <f t="shared" si="35"/>
        <v>16.162297498847472</v>
      </c>
      <c r="F333" s="70">
        <f t="shared" si="33"/>
        <v>0.98137470413001859</v>
      </c>
      <c r="G333" s="67">
        <f>E333/'Lookup Tables'!$C$48</f>
        <v>32.324594997694945</v>
      </c>
      <c r="H333" s="70">
        <f t="shared" si="36"/>
        <v>7.0400416926512319E-2</v>
      </c>
      <c r="I333" s="71">
        <f t="shared" si="34"/>
        <v>4.6547416796680723E-2</v>
      </c>
      <c r="L333" s="74"/>
      <c r="M333" s="74"/>
      <c r="N333" s="74"/>
      <c r="O333" s="74"/>
      <c r="P333" s="74"/>
      <c r="Q333" s="74"/>
      <c r="R333" s="74"/>
      <c r="S333" s="74"/>
      <c r="T333" s="74"/>
      <c r="U333" s="74"/>
      <c r="V333" s="74"/>
      <c r="W333" s="74"/>
      <c r="X333" s="74"/>
      <c r="Y333" s="74"/>
      <c r="Z333" s="74"/>
    </row>
    <row r="334" spans="1:26" x14ac:dyDescent="0.3">
      <c r="A334" s="66">
        <f t="shared" si="32"/>
        <v>2022.6999999999703</v>
      </c>
      <c r="B334" s="67">
        <f>LOOKUP(A334+0.01,Amounts!$A$4:$A$103,Amounts!$B$4:$B$103)*0.1*$A$2</f>
        <v>0</v>
      </c>
      <c r="C334" s="68">
        <f t="shared" si="37"/>
        <v>120665.52921499971</v>
      </c>
      <c r="D334" s="67">
        <f t="array" ref="D334">SUM($B$7:$B329*$F$1009*EXP(-$F$1009*($A334-$A$7:$A329)))*$F$1010</f>
        <v>8466002.3567873947</v>
      </c>
      <c r="E334" s="67">
        <f t="shared" si="35"/>
        <v>16.139686114011678</v>
      </c>
      <c r="F334" s="70">
        <f t="shared" si="33"/>
        <v>0.98000174084278902</v>
      </c>
      <c r="G334" s="67">
        <f>E334/'Lookup Tables'!$C$48</f>
        <v>32.279372228023355</v>
      </c>
      <c r="H334" s="70">
        <f t="shared" si="36"/>
        <v>7.0301925303038651E-2</v>
      </c>
      <c r="I334" s="71">
        <f t="shared" si="34"/>
        <v>4.648229600835363E-2</v>
      </c>
      <c r="L334" s="74"/>
      <c r="M334" s="74"/>
      <c r="N334" s="74"/>
      <c r="O334" s="74"/>
      <c r="P334" s="74"/>
      <c r="Q334" s="74"/>
      <c r="R334" s="74"/>
      <c r="S334" s="74"/>
      <c r="T334" s="74"/>
      <c r="U334" s="74"/>
      <c r="V334" s="74"/>
      <c r="W334" s="74"/>
      <c r="X334" s="74"/>
      <c r="Y334" s="74"/>
      <c r="Z334" s="74"/>
    </row>
    <row r="335" spans="1:26" x14ac:dyDescent="0.3">
      <c r="A335" s="66">
        <f t="shared" si="32"/>
        <v>2022.7999999999702</v>
      </c>
      <c r="B335" s="67">
        <f>LOOKUP(A335+0.01,Amounts!$A$4:$A$103,Amounts!$B$4:$B$103)*0.1*$A$2</f>
        <v>0</v>
      </c>
      <c r="C335" s="68">
        <f t="shared" si="37"/>
        <v>120665.52921499971</v>
      </c>
      <c r="D335" s="67">
        <f t="array" ref="D335">SUM($B$7:$B330*$F$1009*EXP(-$F$1009*($A335-$A$7:$A330)))*$F$1010</f>
        <v>8454158.2462997865</v>
      </c>
      <c r="E335" s="67">
        <f t="shared" si="35"/>
        <v>16.117106362965846</v>
      </c>
      <c r="F335" s="70">
        <f t="shared" si="33"/>
        <v>0.97863069835928618</v>
      </c>
      <c r="G335" s="67">
        <f>E335/'Lookup Tables'!$C$48</f>
        <v>32.234212725931691</v>
      </c>
      <c r="H335" s="70">
        <f t="shared" si="36"/>
        <v>7.0203571471361151E-2</v>
      </c>
      <c r="I335" s="71">
        <f t="shared" si="34"/>
        <v>4.6417266325341641E-2</v>
      </c>
      <c r="L335" s="74"/>
      <c r="M335" s="74"/>
      <c r="N335" s="74"/>
      <c r="O335" s="74"/>
      <c r="P335" s="74"/>
      <c r="Q335" s="74"/>
      <c r="R335" s="74"/>
      <c r="S335" s="74"/>
      <c r="T335" s="74"/>
      <c r="U335" s="74"/>
      <c r="V335" s="74"/>
      <c r="W335" s="74"/>
      <c r="X335" s="74"/>
      <c r="Y335" s="74"/>
      <c r="Z335" s="74"/>
    </row>
    <row r="336" spans="1:26" x14ac:dyDescent="0.3">
      <c r="A336" s="66">
        <f t="shared" si="32"/>
        <v>2022.8999999999701</v>
      </c>
      <c r="B336" s="67">
        <f>LOOKUP(A336+0.01,Amounts!$A$4:$A$103,Amounts!$B$4:$B$103)*0.1*$A$2</f>
        <v>0</v>
      </c>
      <c r="C336" s="68">
        <f t="shared" si="37"/>
        <v>120665.52921499971</v>
      </c>
      <c r="D336" s="67">
        <f t="array" ref="D336">SUM($B$7:$B331*$F$1009*EXP(-$F$1009*($A336-$A$7:$A331)))*$F$1010</f>
        <v>8442330.7059650421</v>
      </c>
      <c r="E336" s="67">
        <f t="shared" si="35"/>
        <v>16.094558201453637</v>
      </c>
      <c r="F336" s="70">
        <f t="shared" si="33"/>
        <v>0.97726157399226476</v>
      </c>
      <c r="G336" s="67">
        <f>E336/'Lookup Tables'!$C$48</f>
        <v>32.189116402907274</v>
      </c>
      <c r="H336" s="70">
        <f t="shared" si="36"/>
        <v>7.010535523870616E-2</v>
      </c>
      <c r="I336" s="71">
        <f t="shared" si="34"/>
        <v>4.635232762018647E-2</v>
      </c>
      <c r="L336" s="74"/>
      <c r="M336" s="74"/>
      <c r="N336" s="74"/>
      <c r="O336" s="74"/>
      <c r="P336" s="74"/>
      <c r="Q336" s="74"/>
      <c r="R336" s="74"/>
      <c r="S336" s="74"/>
      <c r="T336" s="74"/>
      <c r="U336" s="74"/>
      <c r="V336" s="74"/>
      <c r="W336" s="74"/>
      <c r="X336" s="74"/>
      <c r="Y336" s="74"/>
      <c r="Z336" s="74"/>
    </row>
    <row r="337" spans="1:26" x14ac:dyDescent="0.3">
      <c r="A337" s="66">
        <f t="shared" si="32"/>
        <v>2022.99999999997</v>
      </c>
      <c r="B337" s="67">
        <f>LOOKUP(A337+0.01,Amounts!$A$4:$A$103,Amounts!$B$4:$B$103)*0.1*$A$2</f>
        <v>0</v>
      </c>
      <c r="C337" s="68">
        <f t="shared" si="37"/>
        <v>120665.52921499971</v>
      </c>
      <c r="D337" s="67">
        <f t="array" ref="D337">SUM($B$7:$B332*$F$1009*EXP(-$F$1009*($A337-$A$7:$A332)))*$F$1010</f>
        <v>8430519.7126011848</v>
      </c>
      <c r="E337" s="67">
        <f t="shared" si="35"/>
        <v>16.072041585280658</v>
      </c>
      <c r="F337" s="70">
        <f t="shared" si="33"/>
        <v>0.97589436505824156</v>
      </c>
      <c r="G337" s="67">
        <f>E337/'Lookup Tables'!$C$48</f>
        <v>32.144083170561316</v>
      </c>
      <c r="H337" s="70">
        <f t="shared" si="36"/>
        <v>7.0007276412569902E-2</v>
      </c>
      <c r="I337" s="71">
        <f t="shared" si="34"/>
        <v>4.6287479765608298E-2</v>
      </c>
      <c r="L337" s="74"/>
      <c r="M337" s="74"/>
      <c r="N337" s="74"/>
      <c r="O337" s="74"/>
      <c r="P337" s="74"/>
      <c r="Q337" s="74"/>
      <c r="R337" s="74"/>
      <c r="S337" s="74"/>
      <c r="T337" s="74"/>
      <c r="U337" s="74"/>
      <c r="V337" s="74"/>
      <c r="W337" s="74"/>
      <c r="X337" s="74"/>
      <c r="Y337" s="74"/>
      <c r="Z337" s="74"/>
    </row>
    <row r="338" spans="1:26" x14ac:dyDescent="0.3">
      <c r="A338" s="66">
        <f t="shared" si="32"/>
        <v>2023.0999999999699</v>
      </c>
      <c r="B338" s="67">
        <f>LOOKUP(A338+0.01,Amounts!$A$4:$A$103,Amounts!$B$4:$B$103)*0.1*$A$2</f>
        <v>0</v>
      </c>
      <c r="C338" s="68">
        <f t="shared" si="37"/>
        <v>120665.52921499971</v>
      </c>
      <c r="D338" s="67">
        <f t="array" ref="D338">SUM($B$7:$B333*$F$1009*EXP(-$F$1009*($A338-$A$7:$A333)))*$F$1010</f>
        <v>8418725.2430586647</v>
      </c>
      <c r="E338" s="67">
        <f t="shared" si="35"/>
        <v>16.049556470314332</v>
      </c>
      <c r="F338" s="70">
        <f t="shared" si="33"/>
        <v>0.97452906887748614</v>
      </c>
      <c r="G338" s="67">
        <f>E338/'Lookup Tables'!$C$48</f>
        <v>32.099112940628665</v>
      </c>
      <c r="H338" s="70">
        <f t="shared" si="36"/>
        <v>6.9909334800717829E-2</v>
      </c>
      <c r="I338" s="71">
        <f t="shared" si="34"/>
        <v>4.6222722634505276E-2</v>
      </c>
      <c r="L338" s="74"/>
      <c r="M338" s="74"/>
      <c r="N338" s="74"/>
      <c r="O338" s="74"/>
      <c r="P338" s="74"/>
      <c r="Q338" s="74"/>
      <c r="R338" s="74"/>
      <c r="S338" s="74"/>
      <c r="T338" s="74"/>
      <c r="U338" s="74"/>
      <c r="V338" s="74"/>
      <c r="W338" s="74"/>
      <c r="X338" s="74"/>
      <c r="Y338" s="74"/>
      <c r="Z338" s="74"/>
    </row>
    <row r="339" spans="1:26" x14ac:dyDescent="0.3">
      <c r="A339" s="66">
        <f t="shared" ref="A339:A402" si="38">A338+0.1</f>
        <v>2023.1999999999698</v>
      </c>
      <c r="B339" s="67">
        <f>LOOKUP(A339+0.01,Amounts!$A$4:$A$103,Amounts!$B$4:$B$103)*0.1*$A$2</f>
        <v>0</v>
      </c>
      <c r="C339" s="68">
        <f t="shared" si="37"/>
        <v>120665.52921499971</v>
      </c>
      <c r="D339" s="67">
        <f t="array" ref="D339">SUM($B$7:$B334*$F$1009*EXP(-$F$1009*($A339-$A$7:$A334)))*$F$1010</f>
        <v>8406947.2742203157</v>
      </c>
      <c r="E339" s="67">
        <f t="shared" si="35"/>
        <v>16.027102812483825</v>
      </c>
      <c r="F339" s="70">
        <f t="shared" ref="F339:F402" si="39">E339*60*1012/1000000</f>
        <v>0.97316568277401783</v>
      </c>
      <c r="G339" s="67">
        <f>E339/'Lookup Tables'!$C$48</f>
        <v>32.054205624967651</v>
      </c>
      <c r="H339" s="70">
        <f t="shared" si="36"/>
        <v>6.9811530211184331E-2</v>
      </c>
      <c r="I339" s="71">
        <f t="shared" ref="I339:I402" si="40">G339*60*24/1000000</f>
        <v>4.6158056099953416E-2</v>
      </c>
      <c r="L339" s="74"/>
      <c r="M339" s="74"/>
      <c r="N339" s="74"/>
      <c r="O339" s="74"/>
      <c r="P339" s="74"/>
      <c r="Q339" s="74"/>
      <c r="R339" s="74"/>
      <c r="S339" s="74"/>
      <c r="T339" s="74"/>
      <c r="U339" s="74"/>
      <c r="V339" s="74"/>
      <c r="W339" s="74"/>
      <c r="X339" s="74"/>
      <c r="Y339" s="74"/>
      <c r="Z339" s="74"/>
    </row>
    <row r="340" spans="1:26" x14ac:dyDescent="0.3">
      <c r="A340" s="66">
        <f t="shared" si="38"/>
        <v>2023.2999999999697</v>
      </c>
      <c r="B340" s="67">
        <f>LOOKUP(A340+0.01,Amounts!$A$4:$A$103,Amounts!$B$4:$B$103)*0.1*$A$2</f>
        <v>0</v>
      </c>
      <c r="C340" s="68">
        <f t="shared" si="37"/>
        <v>120665.52921499971</v>
      </c>
      <c r="D340" s="67">
        <f t="array" ref="D340">SUM($B$7:$B335*$F$1009*EXP(-$F$1009*($A340-$A$7:$A335)))*$F$1010</f>
        <v>8395185.7830013167</v>
      </c>
      <c r="E340" s="67">
        <f t="shared" si="35"/>
        <v>16.004680567779964</v>
      </c>
      <c r="F340" s="70">
        <f t="shared" si="39"/>
        <v>0.97180420407559942</v>
      </c>
      <c r="G340" s="67">
        <f>E340/'Lookup Tables'!$C$48</f>
        <v>32.009361135559928</v>
      </c>
      <c r="H340" s="70">
        <f t="shared" si="36"/>
        <v>6.9713862452272429E-2</v>
      </c>
      <c r="I340" s="71">
        <f t="shared" si="40"/>
        <v>4.6093480035206295E-2</v>
      </c>
      <c r="L340" s="74"/>
      <c r="M340" s="74"/>
      <c r="N340" s="74"/>
      <c r="O340" s="74"/>
      <c r="P340" s="74"/>
      <c r="Q340" s="74"/>
      <c r="R340" s="74"/>
      <c r="S340" s="74"/>
      <c r="T340" s="74"/>
      <c r="U340" s="74"/>
      <c r="V340" s="74"/>
      <c r="W340" s="74"/>
      <c r="X340" s="74"/>
      <c r="Y340" s="74"/>
      <c r="Z340" s="74"/>
    </row>
    <row r="341" spans="1:26" x14ac:dyDescent="0.3">
      <c r="A341" s="66">
        <f t="shared" si="38"/>
        <v>2023.3999999999696</v>
      </c>
      <c r="B341" s="67">
        <f>LOOKUP(A341+0.01,Amounts!$A$4:$A$103,Amounts!$B$4:$B$103)*0.1*$A$2</f>
        <v>0</v>
      </c>
      <c r="C341" s="68">
        <f t="shared" si="37"/>
        <v>120665.52921499971</v>
      </c>
      <c r="D341" s="67">
        <f t="array" ref="D341">SUM($B$7:$B336*$F$1009*EXP(-$F$1009*($A341-$A$7:$A336)))*$F$1010</f>
        <v>8383440.7463491373</v>
      </c>
      <c r="E341" s="67">
        <f t="shared" si="35"/>
        <v>15.982289692255137</v>
      </c>
      <c r="F341" s="70">
        <f t="shared" si="39"/>
        <v>0.97044463011373183</v>
      </c>
      <c r="G341" s="67">
        <f>E341/'Lookup Tables'!$C$48</f>
        <v>31.964579384510273</v>
      </c>
      <c r="H341" s="70">
        <f t="shared" si="36"/>
        <v>6.9616331332553211E-2</v>
      </c>
      <c r="I341" s="71">
        <f t="shared" si="40"/>
        <v>4.6028994313694789E-2</v>
      </c>
      <c r="L341" s="74"/>
      <c r="M341" s="74"/>
      <c r="N341" s="74"/>
      <c r="O341" s="74"/>
      <c r="P341" s="74"/>
      <c r="Q341" s="74"/>
      <c r="R341" s="74"/>
      <c r="S341" s="74"/>
      <c r="T341" s="74"/>
      <c r="U341" s="74"/>
      <c r="V341" s="74"/>
      <c r="W341" s="74"/>
      <c r="X341" s="74"/>
      <c r="Y341" s="74"/>
      <c r="Z341" s="74"/>
    </row>
    <row r="342" spans="1:26" x14ac:dyDescent="0.3">
      <c r="A342" s="66">
        <f t="shared" si="38"/>
        <v>2023.4999999999695</v>
      </c>
      <c r="B342" s="67">
        <f>LOOKUP(A342+0.01,Amounts!$A$4:$A$103,Amounts!$B$4:$B$103)*0.1*$A$2</f>
        <v>0</v>
      </c>
      <c r="C342" s="68">
        <f t="shared" si="37"/>
        <v>120665.52921499971</v>
      </c>
      <c r="D342" s="67">
        <f t="array" ref="D342">SUM($B$7:$B337*$F$1009*EXP(-$F$1009*($A342-$A$7:$A337)))*$F$1010</f>
        <v>8371712.1412435016</v>
      </c>
      <c r="E342" s="67">
        <f t="shared" si="35"/>
        <v>15.959930142023214</v>
      </c>
      <c r="F342" s="70">
        <f t="shared" si="39"/>
        <v>0.96908695822364965</v>
      </c>
      <c r="G342" s="67">
        <f>E342/'Lookup Tables'!$C$48</f>
        <v>31.919860284046429</v>
      </c>
      <c r="H342" s="70">
        <f t="shared" si="36"/>
        <v>6.9518936660865685E-2</v>
      </c>
      <c r="I342" s="71">
        <f t="shared" si="40"/>
        <v>4.5964598809026862E-2</v>
      </c>
      <c r="L342" s="74"/>
      <c r="M342" s="74"/>
      <c r="N342" s="74"/>
      <c r="O342" s="74"/>
      <c r="P342" s="74"/>
      <c r="Q342" s="74"/>
      <c r="R342" s="74"/>
      <c r="S342" s="74"/>
      <c r="T342" s="74"/>
      <c r="U342" s="74"/>
      <c r="V342" s="74"/>
      <c r="W342" s="74"/>
      <c r="X342" s="74"/>
      <c r="Y342" s="74"/>
      <c r="Z342" s="74"/>
    </row>
    <row r="343" spans="1:26" x14ac:dyDescent="0.3">
      <c r="A343" s="66">
        <f t="shared" si="38"/>
        <v>2023.5999999999694</v>
      </c>
      <c r="B343" s="67">
        <f>LOOKUP(A343+0.01,Amounts!$A$4:$A$103,Amounts!$B$4:$B$103)*0.1*$A$2</f>
        <v>0</v>
      </c>
      <c r="C343" s="68">
        <f t="shared" si="37"/>
        <v>120665.52921499971</v>
      </c>
      <c r="D343" s="67">
        <f t="array" ref="D343">SUM($B$7:$B338*$F$1009*EXP(-$F$1009*($A343-$A$7:$A338)))*$F$1010</f>
        <v>8359999.9446963482</v>
      </c>
      <c r="E343" s="67">
        <f t="shared" si="35"/>
        <v>15.937601873259492</v>
      </c>
      <c r="F343" s="70">
        <f t="shared" si="39"/>
        <v>0.96773118574431627</v>
      </c>
      <c r="G343" s="67">
        <f>E343/'Lookup Tables'!$C$48</f>
        <v>31.875203746518984</v>
      </c>
      <c r="H343" s="70">
        <f t="shared" si="36"/>
        <v>6.9421678246316301E-2</v>
      </c>
      <c r="I343" s="71">
        <f t="shared" si="40"/>
        <v>4.5900293394987343E-2</v>
      </c>
      <c r="L343" s="74"/>
      <c r="M343" s="74"/>
      <c r="N343" s="74"/>
      <c r="O343" s="74"/>
      <c r="P343" s="74"/>
      <c r="Q343" s="74"/>
      <c r="R343" s="74"/>
      <c r="S343" s="74"/>
      <c r="T343" s="74"/>
      <c r="U343" s="74"/>
      <c r="V343" s="74"/>
      <c r="W343" s="74"/>
      <c r="X343" s="74"/>
      <c r="Y343" s="74"/>
      <c r="Z343" s="74"/>
    </row>
    <row r="344" spans="1:26" x14ac:dyDescent="0.3">
      <c r="A344" s="66">
        <f t="shared" si="38"/>
        <v>2023.6999999999694</v>
      </c>
      <c r="B344" s="67">
        <f>LOOKUP(A344+0.01,Amounts!$A$4:$A$103,Amounts!$B$4:$B$103)*0.1*$A$2</f>
        <v>0</v>
      </c>
      <c r="C344" s="68">
        <f t="shared" si="37"/>
        <v>120665.52921499971</v>
      </c>
      <c r="D344" s="67">
        <f t="array" ref="D344">SUM($B$7:$B339*$F$1009*EXP(-$F$1009*($A344-$A$7:$A339)))*$F$1010</f>
        <v>8348304.1337517593</v>
      </c>
      <c r="E344" s="67">
        <f t="shared" si="35"/>
        <v>15.915304842200534</v>
      </c>
      <c r="F344" s="70">
        <f t="shared" si="39"/>
        <v>0.96637731001841654</v>
      </c>
      <c r="G344" s="67">
        <f>E344/'Lookup Tables'!$C$48</f>
        <v>31.830609684401068</v>
      </c>
      <c r="H344" s="70">
        <f t="shared" si="36"/>
        <v>6.9324555898278475E-2</v>
      </c>
      <c r="I344" s="71">
        <f t="shared" si="40"/>
        <v>4.583607794553754E-2</v>
      </c>
      <c r="L344" s="74"/>
      <c r="M344" s="74"/>
      <c r="N344" s="74"/>
      <c r="O344" s="74"/>
      <c r="P344" s="74"/>
      <c r="Q344" s="74"/>
      <c r="R344" s="74"/>
      <c r="S344" s="74"/>
      <c r="T344" s="74"/>
      <c r="U344" s="74"/>
      <c r="V344" s="74"/>
      <c r="W344" s="74"/>
      <c r="X344" s="74"/>
      <c r="Y344" s="74"/>
      <c r="Z344" s="74"/>
    </row>
    <row r="345" spans="1:26" x14ac:dyDescent="0.3">
      <c r="A345" s="66">
        <f t="shared" si="38"/>
        <v>2023.7999999999693</v>
      </c>
      <c r="B345" s="67">
        <f>LOOKUP(A345+0.01,Amounts!$A$4:$A$103,Amounts!$B$4:$B$103)*0.1*$A$2</f>
        <v>0</v>
      </c>
      <c r="C345" s="68">
        <f t="shared" si="37"/>
        <v>120665.52921499971</v>
      </c>
      <c r="D345" s="67">
        <f t="array" ref="D345">SUM($B$7:$B340*$F$1009*EXP(-$F$1009*($A345-$A$7:$A340)))*$F$1010</f>
        <v>8336624.6854859432</v>
      </c>
      <c r="E345" s="67">
        <f t="shared" si="35"/>
        <v>15.893039005144161</v>
      </c>
      <c r="F345" s="70">
        <f t="shared" si="39"/>
        <v>0.96502532839235344</v>
      </c>
      <c r="G345" s="67">
        <f>E345/'Lookup Tables'!$C$48</f>
        <v>31.786078010288321</v>
      </c>
      <c r="H345" s="70">
        <f t="shared" si="36"/>
        <v>6.9227569426392396E-2</v>
      </c>
      <c r="I345" s="71">
        <f t="shared" si="40"/>
        <v>4.5771952334815187E-2</v>
      </c>
      <c r="L345" s="74"/>
      <c r="M345" s="74"/>
      <c r="N345" s="74"/>
      <c r="O345" s="74"/>
      <c r="P345" s="74"/>
      <c r="Q345" s="74"/>
      <c r="R345" s="74"/>
      <c r="S345" s="74"/>
      <c r="T345" s="74"/>
      <c r="U345" s="74"/>
      <c r="V345" s="74"/>
      <c r="W345" s="74"/>
      <c r="X345" s="74"/>
      <c r="Y345" s="74"/>
      <c r="Z345" s="74"/>
    </row>
    <row r="346" spans="1:26" x14ac:dyDescent="0.3">
      <c r="A346" s="66">
        <f t="shared" si="38"/>
        <v>2023.8999999999692</v>
      </c>
      <c r="B346" s="67">
        <f>LOOKUP(A346+0.01,Amounts!$A$4:$A$103,Amounts!$B$4:$B$103)*0.1*$A$2</f>
        <v>0</v>
      </c>
      <c r="C346" s="68">
        <f t="shared" si="37"/>
        <v>120665.52921499971</v>
      </c>
      <c r="D346" s="67">
        <f t="array" ref="D346">SUM($B$7:$B341*$F$1009*EXP(-$F$1009*($A346-$A$7:$A341)))*$F$1010</f>
        <v>8324961.5770071838</v>
      </c>
      <c r="E346" s="67">
        <f t="shared" si="35"/>
        <v>15.870804318449332</v>
      </c>
      <c r="F346" s="70">
        <f t="shared" si="39"/>
        <v>0.96367523821624346</v>
      </c>
      <c r="G346" s="67">
        <f>E346/'Lookup Tables'!$C$48</f>
        <v>31.741608636898665</v>
      </c>
      <c r="H346" s="70">
        <f t="shared" si="36"/>
        <v>6.9130718640564567E-2</v>
      </c>
      <c r="I346" s="71">
        <f t="shared" si="40"/>
        <v>4.5707916437134073E-2</v>
      </c>
      <c r="L346" s="74"/>
      <c r="M346" s="74"/>
      <c r="N346" s="74"/>
      <c r="O346" s="74"/>
      <c r="P346" s="74"/>
      <c r="Q346" s="74"/>
      <c r="R346" s="74"/>
      <c r="S346" s="74"/>
      <c r="T346" s="74"/>
      <c r="U346" s="74"/>
      <c r="V346" s="74"/>
      <c r="W346" s="74"/>
      <c r="X346" s="74"/>
      <c r="Y346" s="74"/>
      <c r="Z346" s="74"/>
    </row>
    <row r="347" spans="1:26" x14ac:dyDescent="0.3">
      <c r="A347" s="66">
        <f t="shared" si="38"/>
        <v>2023.9999999999691</v>
      </c>
      <c r="B347" s="67">
        <f>LOOKUP(A347+0.01,Amounts!$A$4:$A$103,Amounts!$B$4:$B$103)*0.1*$A$2</f>
        <v>0</v>
      </c>
      <c r="C347" s="68">
        <f t="shared" si="37"/>
        <v>120665.52921499971</v>
      </c>
      <c r="D347" s="67">
        <f t="array" ref="D347">SUM($B$7:$B342*$F$1009*EXP(-$F$1009*($A347-$A$7:$A342)))*$F$1010</f>
        <v>8313314.7854557782</v>
      </c>
      <c r="E347" s="67">
        <f t="shared" si="35"/>
        <v>15.848600738536044</v>
      </c>
      <c r="F347" s="70">
        <f t="shared" si="39"/>
        <v>0.96232703684390863</v>
      </c>
      <c r="G347" s="67">
        <f>E347/'Lookup Tables'!$C$48</f>
        <v>31.697201477072088</v>
      </c>
      <c r="H347" s="70">
        <f t="shared" si="36"/>
        <v>6.9034003350967404E-2</v>
      </c>
      <c r="I347" s="71">
        <f t="shared" si="40"/>
        <v>4.5643970126983804E-2</v>
      </c>
      <c r="L347" s="74"/>
      <c r="M347" s="74"/>
      <c r="N347" s="74"/>
      <c r="O347" s="74"/>
      <c r="P347" s="74"/>
      <c r="Q347" s="74"/>
      <c r="R347" s="74"/>
      <c r="S347" s="74"/>
      <c r="T347" s="74"/>
      <c r="U347" s="74"/>
      <c r="V347" s="74"/>
      <c r="W347" s="74"/>
      <c r="X347" s="74"/>
      <c r="Y347" s="74"/>
      <c r="Z347" s="74"/>
    </row>
    <row r="348" spans="1:26" x14ac:dyDescent="0.3">
      <c r="A348" s="66">
        <f t="shared" si="38"/>
        <v>2024.099999999969</v>
      </c>
      <c r="B348" s="67">
        <f>LOOKUP(A348+0.01,Amounts!$A$4:$A$103,Amounts!$B$4:$B$103)*0.1*$A$2</f>
        <v>0</v>
      </c>
      <c r="C348" s="68">
        <f t="shared" si="37"/>
        <v>120665.52921499971</v>
      </c>
      <c r="D348" s="67">
        <f t="array" ref="D348">SUM($B$7:$B343*$F$1009*EXP(-$F$1009*($A348-$A$7:$A343)))*$F$1010</f>
        <v>8301684.2880040184</v>
      </c>
      <c r="E348" s="67">
        <f t="shared" si="35"/>
        <v>15.826428221885289</v>
      </c>
      <c r="F348" s="70">
        <f t="shared" si="39"/>
        <v>0.96098072163287473</v>
      </c>
      <c r="G348" s="67">
        <f>E348/'Lookup Tables'!$C$48</f>
        <v>31.652856443770577</v>
      </c>
      <c r="H348" s="70">
        <f t="shared" si="36"/>
        <v>6.8937423368038958E-2</v>
      </c>
      <c r="I348" s="71">
        <f t="shared" si="40"/>
        <v>4.5580113279029631E-2</v>
      </c>
      <c r="L348" s="74"/>
      <c r="M348" s="74"/>
      <c r="N348" s="74"/>
      <c r="O348" s="74"/>
      <c r="P348" s="74"/>
      <c r="Q348" s="74"/>
      <c r="R348" s="74"/>
      <c r="S348" s="74"/>
      <c r="T348" s="74"/>
      <c r="U348" s="74"/>
      <c r="V348" s="74"/>
      <c r="W348" s="74"/>
      <c r="X348" s="74"/>
      <c r="Y348" s="74"/>
      <c r="Z348" s="74"/>
    </row>
    <row r="349" spans="1:26" x14ac:dyDescent="0.3">
      <c r="A349" s="66">
        <f t="shared" si="38"/>
        <v>2024.1999999999689</v>
      </c>
      <c r="B349" s="67">
        <f>LOOKUP(A349+0.01,Amounts!$A$4:$A$103,Amounts!$B$4:$B$103)*0.1*$A$2</f>
        <v>0</v>
      </c>
      <c r="C349" s="68">
        <f t="shared" si="37"/>
        <v>120665.52921499971</v>
      </c>
      <c r="D349" s="67">
        <f t="array" ref="D349">SUM($B$7:$B344*$F$1009*EXP(-$F$1009*($A349-$A$7:$A344)))*$F$1010</f>
        <v>8290070.0618561171</v>
      </c>
      <c r="E349" s="67">
        <f t="shared" si="35"/>
        <v>15.804286725038905</v>
      </c>
      <c r="F349" s="70">
        <f t="shared" si="39"/>
        <v>0.95963628994436223</v>
      </c>
      <c r="G349" s="67">
        <f>E349/'Lookup Tables'!$C$48</f>
        <v>31.608573450077809</v>
      </c>
      <c r="H349" s="70">
        <f t="shared" si="36"/>
        <v>6.8840978502482345E-2</v>
      </c>
      <c r="I349" s="71">
        <f t="shared" si="40"/>
        <v>4.5516345768112046E-2</v>
      </c>
      <c r="L349" s="74"/>
      <c r="M349" s="74"/>
      <c r="N349" s="74"/>
      <c r="O349" s="74"/>
      <c r="P349" s="74"/>
      <c r="Q349" s="74"/>
      <c r="R349" s="74"/>
      <c r="S349" s="74"/>
      <c r="T349" s="74"/>
      <c r="U349" s="74"/>
      <c r="V349" s="74"/>
      <c r="W349" s="74"/>
      <c r="X349" s="74"/>
      <c r="Y349" s="74"/>
      <c r="Z349" s="74"/>
    </row>
    <row r="350" spans="1:26" x14ac:dyDescent="0.3">
      <c r="A350" s="66">
        <f t="shared" si="38"/>
        <v>2024.2999999999688</v>
      </c>
      <c r="B350" s="67">
        <f>LOOKUP(A350+0.01,Amounts!$A$4:$A$103,Amounts!$B$4:$B$103)*0.1*$A$2</f>
        <v>0</v>
      </c>
      <c r="C350" s="68">
        <f t="shared" si="37"/>
        <v>120665.52921499971</v>
      </c>
      <c r="D350" s="67">
        <f t="array" ref="D350">SUM($B$7:$B345*$F$1009*EXP(-$F$1009*($A350-$A$7:$A345)))*$F$1010</f>
        <v>8278472.084248187</v>
      </c>
      <c r="E350" s="67">
        <f t="shared" si="35"/>
        <v>15.782176204599557</v>
      </c>
      <c r="F350" s="70">
        <f t="shared" si="39"/>
        <v>0.95829373914328508</v>
      </c>
      <c r="G350" s="67">
        <f>E350/'Lookup Tables'!$C$48</f>
        <v>31.564352409199113</v>
      </c>
      <c r="H350" s="70">
        <f t="shared" si="36"/>
        <v>6.8744668565265593E-2</v>
      </c>
      <c r="I350" s="71">
        <f t="shared" si="40"/>
        <v>4.545266746924672E-2</v>
      </c>
      <c r="L350" s="74"/>
      <c r="M350" s="74"/>
      <c r="N350" s="74"/>
      <c r="O350" s="74"/>
      <c r="P350" s="74"/>
      <c r="Q350" s="74"/>
      <c r="R350" s="74"/>
      <c r="S350" s="74"/>
      <c r="T350" s="74"/>
      <c r="U350" s="74"/>
      <c r="V350" s="74"/>
      <c r="W350" s="74"/>
      <c r="X350" s="74"/>
      <c r="Y350" s="74"/>
      <c r="Z350" s="74"/>
    </row>
    <row r="351" spans="1:26" x14ac:dyDescent="0.3">
      <c r="A351" s="66">
        <f t="shared" si="38"/>
        <v>2024.3999999999687</v>
      </c>
      <c r="B351" s="67">
        <f>LOOKUP(A351+0.01,Amounts!$A$4:$A$103,Amounts!$B$4:$B$103)*0.1*$A$2</f>
        <v>0</v>
      </c>
      <c r="C351" s="68">
        <f t="shared" si="37"/>
        <v>120665.52921499971</v>
      </c>
      <c r="D351" s="67">
        <f t="array" ref="D351">SUM($B$7:$B346*$F$1009*EXP(-$F$1009*($A351-$A$7:$A346)))*$F$1010</f>
        <v>8266890.3324481938</v>
      </c>
      <c r="E351" s="67">
        <f t="shared" si="35"/>
        <v>15.760096617230623</v>
      </c>
      <c r="F351" s="70">
        <f t="shared" si="39"/>
        <v>0.95695306659824342</v>
      </c>
      <c r="G351" s="67">
        <f>E351/'Lookup Tables'!$C$48</f>
        <v>31.520193234461246</v>
      </c>
      <c r="H351" s="70">
        <f t="shared" si="36"/>
        <v>6.8648493367621244E-2</v>
      </c>
      <c r="I351" s="71">
        <f t="shared" si="40"/>
        <v>4.5389078257624192E-2</v>
      </c>
      <c r="L351" s="74"/>
      <c r="M351" s="74"/>
      <c r="N351" s="74"/>
      <c r="O351" s="74"/>
      <c r="P351" s="74"/>
      <c r="Q351" s="74"/>
      <c r="R351" s="74"/>
      <c r="S351" s="74"/>
      <c r="T351" s="74"/>
      <c r="U351" s="74"/>
      <c r="V351" s="74"/>
      <c r="W351" s="74"/>
      <c r="X351" s="74"/>
      <c r="Y351" s="74"/>
      <c r="Z351" s="74"/>
    </row>
    <row r="352" spans="1:26" x14ac:dyDescent="0.3">
      <c r="A352" s="66">
        <f t="shared" si="38"/>
        <v>2024.4999999999686</v>
      </c>
      <c r="B352" s="67">
        <f>LOOKUP(A352+0.01,Amounts!$A$4:$A$103,Amounts!$B$4:$B$103)*0.1*$A$2</f>
        <v>0</v>
      </c>
      <c r="C352" s="68">
        <f t="shared" si="37"/>
        <v>120665.52921499971</v>
      </c>
      <c r="D352" s="67">
        <f t="array" ref="D352">SUM($B$7:$B347*$F$1009*EXP(-$F$1009*($A352-$A$7:$A347)))*$F$1010</f>
        <v>8255324.7837559041</v>
      </c>
      <c r="E352" s="67">
        <f t="shared" si="35"/>
        <v>15.738047919656115</v>
      </c>
      <c r="F352" s="70">
        <f t="shared" si="39"/>
        <v>0.9556142696815193</v>
      </c>
      <c r="G352" s="67">
        <f>E352/'Lookup Tables'!$C$48</f>
        <v>31.476095839312229</v>
      </c>
      <c r="H352" s="70">
        <f t="shared" si="36"/>
        <v>6.8552452721045931E-2</v>
      </c>
      <c r="I352" s="71">
        <f t="shared" si="40"/>
        <v>4.5325578008609611E-2</v>
      </c>
      <c r="L352" s="74"/>
      <c r="M352" s="74"/>
      <c r="N352" s="74"/>
      <c r="O352" s="74"/>
      <c r="P352" s="74"/>
      <c r="Q352" s="74"/>
      <c r="R352" s="74"/>
      <c r="S352" s="74"/>
      <c r="T352" s="74"/>
      <c r="U352" s="74"/>
      <c r="V352" s="74"/>
      <c r="W352" s="74"/>
      <c r="X352" s="74"/>
      <c r="Y352" s="74"/>
      <c r="Z352" s="74"/>
    </row>
    <row r="353" spans="1:26" x14ac:dyDescent="0.3">
      <c r="A353" s="66">
        <f t="shared" si="38"/>
        <v>2024.5999999999685</v>
      </c>
      <c r="B353" s="67">
        <f>LOOKUP(A353+0.01,Amounts!$A$4:$A$103,Amounts!$B$4:$B$103)*0.1*$A$2</f>
        <v>0</v>
      </c>
      <c r="C353" s="68">
        <f t="shared" si="37"/>
        <v>120665.52921499971</v>
      </c>
      <c r="D353" s="67">
        <f t="array" ref="D353">SUM($B$7:$B348*$F$1009*EXP(-$F$1009*($A353-$A$7:$A348)))*$F$1010</f>
        <v>8243775.4155028267</v>
      </c>
      <c r="E353" s="67">
        <f t="shared" si="35"/>
        <v>15.716030068660555</v>
      </c>
      <c r="F353" s="70">
        <f t="shared" si="39"/>
        <v>0.95427734576906886</v>
      </c>
      <c r="G353" s="67">
        <f>E353/'Lookup Tables'!$C$48</f>
        <v>31.432060137321109</v>
      </c>
      <c r="H353" s="70">
        <f t="shared" si="36"/>
        <v>6.8456546437299842E-2</v>
      </c>
      <c r="I353" s="71">
        <f t="shared" si="40"/>
        <v>4.5262166597742397E-2</v>
      </c>
      <c r="L353" s="74"/>
      <c r="M353" s="74"/>
      <c r="N353" s="74"/>
      <c r="O353" s="74"/>
      <c r="P353" s="74"/>
      <c r="Q353" s="74"/>
      <c r="R353" s="74"/>
      <c r="S353" s="74"/>
      <c r="T353" s="74"/>
      <c r="U353" s="74"/>
      <c r="V353" s="74"/>
      <c r="W353" s="74"/>
      <c r="X353" s="74"/>
      <c r="Y353" s="74"/>
      <c r="Z353" s="74"/>
    </row>
    <row r="354" spans="1:26" x14ac:dyDescent="0.3">
      <c r="A354" s="66">
        <f t="shared" si="38"/>
        <v>2024.6999999999684</v>
      </c>
      <c r="B354" s="67">
        <f>LOOKUP(A354+0.01,Amounts!$A$4:$A$103,Amounts!$B$4:$B$103)*0.1*$A$2</f>
        <v>0</v>
      </c>
      <c r="C354" s="68">
        <f t="shared" si="37"/>
        <v>120665.52921499971</v>
      </c>
      <c r="D354" s="67">
        <f t="array" ref="D354">SUM($B$7:$B349*$F$1009*EXP(-$F$1009*($A354-$A$7:$A349)))*$F$1010</f>
        <v>8232242.2050522072</v>
      </c>
      <c r="E354" s="67">
        <f t="shared" si="35"/>
        <v>15.694043021088969</v>
      </c>
      <c r="F354" s="70">
        <f t="shared" si="39"/>
        <v>0.95294229224052218</v>
      </c>
      <c r="G354" s="67">
        <f>E354/'Lookup Tables'!$C$48</f>
        <v>31.388086042177939</v>
      </c>
      <c r="H354" s="70">
        <f t="shared" si="36"/>
        <v>6.8360774328406718E-2</v>
      </c>
      <c r="I354" s="71">
        <f t="shared" si="40"/>
        <v>4.5198843900736231E-2</v>
      </c>
      <c r="L354" s="74"/>
      <c r="M354" s="74"/>
      <c r="N354" s="74"/>
      <c r="O354" s="74"/>
      <c r="P354" s="74"/>
      <c r="Q354" s="74"/>
      <c r="R354" s="74"/>
      <c r="S354" s="74"/>
      <c r="T354" s="74"/>
      <c r="U354" s="74"/>
      <c r="V354" s="74"/>
      <c r="W354" s="74"/>
      <c r="X354" s="74"/>
      <c r="Y354" s="74"/>
      <c r="Z354" s="74"/>
    </row>
    <row r="355" spans="1:26" x14ac:dyDescent="0.3">
      <c r="A355" s="66">
        <f t="shared" si="38"/>
        <v>2024.7999999999683</v>
      </c>
      <c r="B355" s="67">
        <f>LOOKUP(A355+0.01,Amounts!$A$4:$A$103,Amounts!$B$4:$B$103)*0.1*$A$2</f>
        <v>0</v>
      </c>
      <c r="C355" s="68">
        <f t="shared" si="37"/>
        <v>120665.52921499971</v>
      </c>
      <c r="D355" s="67">
        <f t="array" ref="D355">SUM($B$7:$B350*$F$1009*EXP(-$F$1009*($A355-$A$7:$A350)))*$F$1010</f>
        <v>8220725.1297989441</v>
      </c>
      <c r="E355" s="67">
        <f t="shared" si="35"/>
        <v>15.672086733846728</v>
      </c>
      <c r="F355" s="70">
        <f t="shared" si="39"/>
        <v>0.95160910647917329</v>
      </c>
      <c r="G355" s="67">
        <f>E355/'Lookup Tables'!$C$48</f>
        <v>31.344173467693455</v>
      </c>
      <c r="H355" s="70">
        <f t="shared" si="36"/>
        <v>6.8265136206653157E-2</v>
      </c>
      <c r="I355" s="71">
        <f t="shared" si="40"/>
        <v>4.5135609793478582E-2</v>
      </c>
      <c r="L355" s="74"/>
      <c r="M355" s="74"/>
      <c r="N355" s="74"/>
      <c r="O355" s="74"/>
      <c r="P355" s="74"/>
      <c r="Q355" s="74"/>
      <c r="R355" s="74"/>
      <c r="S355" s="74"/>
      <c r="T355" s="74"/>
      <c r="U355" s="74"/>
      <c r="V355" s="74"/>
      <c r="W355" s="74"/>
      <c r="X355" s="74"/>
      <c r="Y355" s="74"/>
      <c r="Z355" s="74"/>
    </row>
    <row r="356" spans="1:26" x14ac:dyDescent="0.3">
      <c r="A356" s="66">
        <f t="shared" si="38"/>
        <v>2024.8999999999683</v>
      </c>
      <c r="B356" s="67">
        <f>LOOKUP(A356+0.01,Amounts!$A$4:$A$103,Amounts!$B$4:$B$103)*0.1*$A$2</f>
        <v>0</v>
      </c>
      <c r="C356" s="68">
        <f t="shared" si="37"/>
        <v>120665.52921499971</v>
      </c>
      <c r="D356" s="67">
        <f t="array" ref="D356">SUM($B$7:$B351*$F$1009*EXP(-$F$1009*($A356-$A$7:$A351)))*$F$1010</f>
        <v>8209224.1671695635</v>
      </c>
      <c r="E356" s="67">
        <f t="shared" si="35"/>
        <v>15.650161163899496</v>
      </c>
      <c r="F356" s="70">
        <f t="shared" si="39"/>
        <v>0.95027778587197731</v>
      </c>
      <c r="G356" s="67">
        <f>E356/'Lookup Tables'!$C$48</f>
        <v>31.300322327798991</v>
      </c>
      <c r="H356" s="70">
        <f t="shared" si="36"/>
        <v>6.8169631884588383E-2</v>
      </c>
      <c r="I356" s="71">
        <f t="shared" si="40"/>
        <v>4.5072464152030547E-2</v>
      </c>
      <c r="L356" s="74"/>
      <c r="M356" s="74"/>
      <c r="N356" s="74"/>
      <c r="O356" s="74"/>
      <c r="P356" s="74"/>
      <c r="Q356" s="74"/>
      <c r="R356" s="74"/>
      <c r="S356" s="74"/>
      <c r="T356" s="74"/>
      <c r="U356" s="74"/>
      <c r="V356" s="74"/>
      <c r="W356" s="74"/>
      <c r="X356" s="74"/>
      <c r="Y356" s="74"/>
      <c r="Z356" s="74"/>
    </row>
    <row r="357" spans="1:26" x14ac:dyDescent="0.3">
      <c r="A357" s="66">
        <f t="shared" si="38"/>
        <v>2024.9999999999682</v>
      </c>
      <c r="B357" s="67">
        <f>LOOKUP(A357+0.01,Amounts!$A$4:$A$103,Amounts!$B$4:$B$103)*0.1*$A$2</f>
        <v>0</v>
      </c>
      <c r="C357" s="68">
        <f t="shared" si="37"/>
        <v>120665.52921499971</v>
      </c>
      <c r="D357" s="67">
        <f t="array" ref="D357">SUM($B$7:$B352*$F$1009*EXP(-$F$1009*($A357-$A$7:$A352)))*$F$1010</f>
        <v>8197739.2946221838</v>
      </c>
      <c r="E357" s="67">
        <f t="shared" si="35"/>
        <v>15.628266268273164</v>
      </c>
      <c r="F357" s="70">
        <f t="shared" si="39"/>
        <v>0.94894832780954652</v>
      </c>
      <c r="G357" s="67">
        <f>E357/'Lookup Tables'!$C$48</f>
        <v>31.256532536546327</v>
      </c>
      <c r="H357" s="70">
        <f t="shared" si="36"/>
        <v>6.8074261175023965E-2</v>
      </c>
      <c r="I357" s="71">
        <f t="shared" si="40"/>
        <v>4.5009406852626707E-2</v>
      </c>
      <c r="L357" s="74"/>
      <c r="M357" s="74"/>
      <c r="N357" s="74"/>
      <c r="O357" s="74"/>
      <c r="P357" s="74"/>
      <c r="Q357" s="74"/>
      <c r="R357" s="74"/>
      <c r="S357" s="74"/>
      <c r="T357" s="74"/>
      <c r="U357" s="74"/>
      <c r="V357" s="74"/>
      <c r="W357" s="74"/>
      <c r="X357" s="74"/>
      <c r="Y357" s="74"/>
      <c r="Z357" s="74"/>
    </row>
    <row r="358" spans="1:26" x14ac:dyDescent="0.3">
      <c r="A358" s="66">
        <f t="shared" si="38"/>
        <v>2025.0999999999681</v>
      </c>
      <c r="B358" s="67">
        <f>LOOKUP(A358+0.01,Amounts!$A$4:$A$103,Amounts!$B$4:$B$103)*0.1*$A$2</f>
        <v>0</v>
      </c>
      <c r="C358" s="68">
        <f t="shared" si="37"/>
        <v>120665.52921499971</v>
      </c>
      <c r="D358" s="67">
        <f t="array" ref="D358">SUM($B$7:$B353*$F$1009*EXP(-$F$1009*($A358-$A$7:$A353)))*$F$1010</f>
        <v>8186270.4896464469</v>
      </c>
      <c r="E358" s="67">
        <f t="shared" si="35"/>
        <v>15.606402004053724</v>
      </c>
      <c r="F358" s="70">
        <f t="shared" si="39"/>
        <v>0.94762072968614208</v>
      </c>
      <c r="G358" s="67">
        <f>E358/'Lookup Tables'!$C$48</f>
        <v>31.212804008107447</v>
      </c>
      <c r="H358" s="70">
        <f t="shared" si="36"/>
        <v>6.7979023891033261E-2</v>
      </c>
      <c r="I358" s="71">
        <f t="shared" si="40"/>
        <v>4.4946437771674723E-2</v>
      </c>
      <c r="L358" s="74"/>
      <c r="M358" s="74"/>
      <c r="N358" s="74"/>
      <c r="O358" s="74"/>
      <c r="P358" s="74"/>
      <c r="Q358" s="74"/>
      <c r="R358" s="74"/>
      <c r="S358" s="74"/>
      <c r="T358" s="74"/>
      <c r="U358" s="74"/>
      <c r="V358" s="74"/>
      <c r="W358" s="74"/>
      <c r="X358" s="74"/>
      <c r="Y358" s="74"/>
      <c r="Z358" s="74"/>
    </row>
    <row r="359" spans="1:26" x14ac:dyDescent="0.3">
      <c r="A359" s="66">
        <f t="shared" si="38"/>
        <v>2025.199999999968</v>
      </c>
      <c r="B359" s="67">
        <f>LOOKUP(A359+0.01,Amounts!$A$4:$A$103,Amounts!$B$4:$B$103)*0.1*$A$2</f>
        <v>0</v>
      </c>
      <c r="C359" s="68">
        <f t="shared" si="37"/>
        <v>120665.52921499971</v>
      </c>
      <c r="D359" s="67">
        <f t="array" ref="D359">SUM($B$7:$B354*$F$1009*EXP(-$F$1009*($A359-$A$7:$A354)))*$F$1010</f>
        <v>8174817.7297634846</v>
      </c>
      <c r="E359" s="67">
        <f t="shared" si="35"/>
        <v>15.584568328387196</v>
      </c>
      <c r="F359" s="70">
        <f t="shared" si="39"/>
        <v>0.94629498889967045</v>
      </c>
      <c r="G359" s="67">
        <f>E359/'Lookup Tables'!$C$48</f>
        <v>31.169136656774391</v>
      </c>
      <c r="H359" s="70">
        <f t="shared" si="36"/>
        <v>6.7883919845951088E-2</v>
      </c>
      <c r="I359" s="71">
        <f t="shared" si="40"/>
        <v>4.4883556785755119E-2</v>
      </c>
      <c r="L359" s="74"/>
      <c r="M359" s="74"/>
      <c r="N359" s="74"/>
      <c r="O359" s="74"/>
      <c r="P359" s="74"/>
      <c r="Q359" s="74"/>
      <c r="R359" s="74"/>
      <c r="S359" s="74"/>
      <c r="T359" s="74"/>
      <c r="U359" s="74"/>
      <c r="V359" s="74"/>
      <c r="W359" s="74"/>
      <c r="X359" s="74"/>
      <c r="Y359" s="74"/>
      <c r="Z359" s="74"/>
    </row>
    <row r="360" spans="1:26" x14ac:dyDescent="0.3">
      <c r="A360" s="66">
        <f t="shared" si="38"/>
        <v>2025.2999999999679</v>
      </c>
      <c r="B360" s="67">
        <f>LOOKUP(A360+0.01,Amounts!$A$4:$A$103,Amounts!$B$4:$B$103)*0.1*$A$2</f>
        <v>0</v>
      </c>
      <c r="C360" s="68">
        <f t="shared" si="37"/>
        <v>120665.52921499971</v>
      </c>
      <c r="D360" s="67">
        <f t="array" ref="D360">SUM($B$7:$B355*$F$1009*EXP(-$F$1009*($A360-$A$7:$A355)))*$F$1010</f>
        <v>8163380.9925258933</v>
      </c>
      <c r="E360" s="67">
        <f t="shared" si="35"/>
        <v>15.562765198479587</v>
      </c>
      <c r="F360" s="70">
        <f t="shared" si="39"/>
        <v>0.94497110285168062</v>
      </c>
      <c r="G360" s="67">
        <f>E360/'Lookup Tables'!$C$48</f>
        <v>31.125530396959174</v>
      </c>
      <c r="H360" s="70">
        <f t="shared" si="36"/>
        <v>6.7788948853373596E-2</v>
      </c>
      <c r="I360" s="71">
        <f t="shared" si="40"/>
        <v>4.4820763771621211E-2</v>
      </c>
      <c r="L360" s="74"/>
      <c r="M360" s="74"/>
      <c r="N360" s="74"/>
      <c r="O360" s="74"/>
      <c r="P360" s="74"/>
      <c r="Q360" s="74"/>
      <c r="R360" s="74"/>
      <c r="S360" s="74"/>
      <c r="T360" s="74"/>
      <c r="U360" s="74"/>
      <c r="V360" s="74"/>
      <c r="W360" s="74"/>
      <c r="X360" s="74"/>
      <c r="Y360" s="74"/>
      <c r="Z360" s="74"/>
    </row>
    <row r="361" spans="1:26" x14ac:dyDescent="0.3">
      <c r="A361" s="66">
        <f t="shared" si="38"/>
        <v>2025.3999999999678</v>
      </c>
      <c r="B361" s="67">
        <f>LOOKUP(A361+0.01,Amounts!$A$4:$A$103,Amounts!$B$4:$B$103)*0.1*$A$2</f>
        <v>0</v>
      </c>
      <c r="C361" s="68">
        <f t="shared" si="37"/>
        <v>120665.52921499971</v>
      </c>
      <c r="D361" s="67">
        <f t="array" ref="D361">SUM($B$7:$B356*$F$1009*EXP(-$F$1009*($A361-$A$7:$A356)))*$F$1010</f>
        <v>8151960.2555176625</v>
      </c>
      <c r="E361" s="67">
        <f t="shared" si="35"/>
        <v>15.540992571596753</v>
      </c>
      <c r="F361" s="70">
        <f t="shared" si="39"/>
        <v>0.9436490689473549</v>
      </c>
      <c r="G361" s="67">
        <f>E361/'Lookup Tables'!$C$48</f>
        <v>31.081985143193506</v>
      </c>
      <c r="H361" s="70">
        <f t="shared" si="36"/>
        <v>6.7694110727157558E-2</v>
      </c>
      <c r="I361" s="71">
        <f t="shared" si="40"/>
        <v>4.4758058606198657E-2</v>
      </c>
      <c r="L361" s="74"/>
      <c r="M361" s="74"/>
      <c r="N361" s="74"/>
      <c r="O361" s="74"/>
      <c r="P361" s="74"/>
      <c r="Q361" s="74"/>
      <c r="R361" s="74"/>
      <c r="S361" s="74"/>
      <c r="T361" s="74"/>
      <c r="U361" s="74"/>
      <c r="V361" s="74"/>
      <c r="W361" s="74"/>
      <c r="X361" s="74"/>
      <c r="Y361" s="74"/>
      <c r="Z361" s="74"/>
    </row>
    <row r="362" spans="1:26" x14ac:dyDescent="0.3">
      <c r="A362" s="66">
        <f t="shared" si="38"/>
        <v>2025.4999999999677</v>
      </c>
      <c r="B362" s="67">
        <f>LOOKUP(A362+0.01,Amounts!$A$4:$A$103,Amounts!$B$4:$B$103)*0.1*$A$2</f>
        <v>0</v>
      </c>
      <c r="C362" s="68">
        <f t="shared" si="37"/>
        <v>120665.52921499971</v>
      </c>
      <c r="D362" s="67">
        <f t="array" ref="D362">SUM($B$7:$B357*$F$1009*EXP(-$F$1009*($A362-$A$7:$A357)))*$F$1010</f>
        <v>8140555.4963541394</v>
      </c>
      <c r="E362" s="67">
        <f t="shared" si="35"/>
        <v>15.51925040506433</v>
      </c>
      <c r="F362" s="70">
        <f t="shared" si="39"/>
        <v>0.94232888459550612</v>
      </c>
      <c r="G362" s="67">
        <f>E362/'Lookup Tables'!$C$48</f>
        <v>31.03850081012866</v>
      </c>
      <c r="H362" s="70">
        <f t="shared" si="36"/>
        <v>6.7599405281420166E-2</v>
      </c>
      <c r="I362" s="71">
        <f t="shared" si="40"/>
        <v>4.4695441166585269E-2</v>
      </c>
      <c r="L362" s="74"/>
      <c r="M362" s="74"/>
      <c r="N362" s="74"/>
      <c r="O362" s="74"/>
      <c r="P362" s="74"/>
      <c r="Q362" s="74"/>
      <c r="R362" s="74"/>
      <c r="S362" s="74"/>
      <c r="T362" s="74"/>
      <c r="U362" s="74"/>
      <c r="V362" s="74"/>
      <c r="W362" s="74"/>
      <c r="X362" s="74"/>
      <c r="Y362" s="74"/>
      <c r="Z362" s="74"/>
    </row>
    <row r="363" spans="1:26" x14ac:dyDescent="0.3">
      <c r="A363" s="66">
        <f t="shared" si="38"/>
        <v>2025.5999999999676</v>
      </c>
      <c r="B363" s="67">
        <f>LOOKUP(A363+0.01,Amounts!$A$4:$A$103,Amounts!$B$4:$B$103)*0.1*$A$2</f>
        <v>0</v>
      </c>
      <c r="C363" s="68">
        <f t="shared" si="37"/>
        <v>120665.52921499971</v>
      </c>
      <c r="D363" s="67">
        <f t="array" ref="D363">SUM($B$7:$B358*$F$1009*EXP(-$F$1009*($A363-$A$7:$A358)))*$F$1010</f>
        <v>8129166.6926819971</v>
      </c>
      <c r="E363" s="67">
        <f t="shared" si="35"/>
        <v>15.497538656267672</v>
      </c>
      <c r="F363" s="70">
        <f t="shared" si="39"/>
        <v>0.94101054720857313</v>
      </c>
      <c r="G363" s="67">
        <f>E363/'Lookup Tables'!$C$48</f>
        <v>30.995077312535344</v>
      </c>
      <c r="H363" s="70">
        <f t="shared" si="36"/>
        <v>6.7504832330538819E-2</v>
      </c>
      <c r="I363" s="71">
        <f t="shared" si="40"/>
        <v>4.4632911330050901E-2</v>
      </c>
      <c r="L363" s="74"/>
      <c r="M363" s="74"/>
      <c r="N363" s="74"/>
      <c r="O363" s="74"/>
      <c r="P363" s="74"/>
      <c r="Q363" s="74"/>
      <c r="R363" s="74"/>
      <c r="S363" s="74"/>
      <c r="T363" s="74"/>
      <c r="U363" s="74"/>
      <c r="V363" s="74"/>
      <c r="W363" s="74"/>
      <c r="X363" s="74"/>
      <c r="Y363" s="74"/>
      <c r="Z363" s="74"/>
    </row>
    <row r="364" spans="1:26" x14ac:dyDescent="0.3">
      <c r="A364" s="66">
        <f t="shared" si="38"/>
        <v>2025.6999999999675</v>
      </c>
      <c r="B364" s="67">
        <f>LOOKUP(A364+0.01,Amounts!$A$4:$A$103,Amounts!$B$4:$B$103)*0.1*$A$2</f>
        <v>0</v>
      </c>
      <c r="C364" s="68">
        <f t="shared" si="37"/>
        <v>120665.52921499971</v>
      </c>
      <c r="D364" s="67">
        <f t="array" ref="D364">SUM($B$7:$B359*$F$1009*EXP(-$F$1009*($A364-$A$7:$A359)))*$F$1010</f>
        <v>8117793.8221791703</v>
      </c>
      <c r="E364" s="67">
        <f t="shared" si="35"/>
        <v>15.475857282651733</v>
      </c>
      <c r="F364" s="70">
        <f t="shared" si="39"/>
        <v>0.9396940542026132</v>
      </c>
      <c r="G364" s="67">
        <f>E364/'Lookup Tables'!$C$48</f>
        <v>30.951714565303465</v>
      </c>
      <c r="H364" s="70">
        <f t="shared" si="36"/>
        <v>6.7410391689150403E-2</v>
      </c>
      <c r="I364" s="71">
        <f t="shared" si="40"/>
        <v>4.4570468974036992E-2</v>
      </c>
      <c r="L364" s="74"/>
      <c r="M364" s="74"/>
      <c r="N364" s="74"/>
      <c r="O364" s="74"/>
      <c r="P364" s="74"/>
      <c r="Q364" s="74"/>
      <c r="R364" s="74"/>
      <c r="S364" s="74"/>
      <c r="T364" s="74"/>
      <c r="U364" s="74"/>
      <c r="V364" s="74"/>
      <c r="W364" s="74"/>
      <c r="X364" s="74"/>
      <c r="Y364" s="74"/>
      <c r="Z364" s="74"/>
    </row>
    <row r="365" spans="1:26" x14ac:dyDescent="0.3">
      <c r="A365" s="66">
        <f t="shared" si="38"/>
        <v>2025.7999999999674</v>
      </c>
      <c r="B365" s="67">
        <f>LOOKUP(A365+0.01,Amounts!$A$4:$A$103,Amounts!$B$4:$B$103)*0.1*$A$2</f>
        <v>0</v>
      </c>
      <c r="C365" s="68">
        <f t="shared" si="37"/>
        <v>120665.52921499971</v>
      </c>
      <c r="D365" s="67">
        <f t="array" ref="D365">SUM($B$7:$B360*$F$1009*EXP(-$F$1009*($A365-$A$7:$A360)))*$F$1010</f>
        <v>8106436.8625548352</v>
      </c>
      <c r="E365" s="67">
        <f t="shared" si="35"/>
        <v>15.454206241721025</v>
      </c>
      <c r="F365" s="70">
        <f t="shared" si="39"/>
        <v>0.93837940299730072</v>
      </c>
      <c r="G365" s="67">
        <f>E365/'Lookup Tables'!$C$48</f>
        <v>30.908412483442049</v>
      </c>
      <c r="H365" s="70">
        <f t="shared" si="36"/>
        <v>6.7316083172151292E-2</v>
      </c>
      <c r="I365" s="71">
        <f t="shared" si="40"/>
        <v>4.450811397615656E-2</v>
      </c>
      <c r="L365" s="74"/>
      <c r="M365" s="74"/>
      <c r="N365" s="74"/>
      <c r="O365" s="74"/>
      <c r="P365" s="74"/>
      <c r="Q365" s="74"/>
      <c r="R365" s="74"/>
      <c r="S365" s="74"/>
      <c r="T365" s="74"/>
      <c r="U365" s="74"/>
      <c r="V365" s="74"/>
      <c r="W365" s="74"/>
      <c r="X365" s="74"/>
      <c r="Y365" s="74"/>
      <c r="Z365" s="74"/>
    </row>
    <row r="366" spans="1:26" x14ac:dyDescent="0.3">
      <c r="A366" s="66">
        <f t="shared" si="38"/>
        <v>2025.8999999999673</v>
      </c>
      <c r="B366" s="67">
        <f>LOOKUP(A366+0.01,Amounts!$A$4:$A$103,Amounts!$B$4:$B$103)*0.1*$A$2</f>
        <v>0</v>
      </c>
      <c r="C366" s="68">
        <f t="shared" si="37"/>
        <v>120665.52921499971</v>
      </c>
      <c r="D366" s="67">
        <f t="array" ref="D366">SUM($B$7:$B361*$F$1009*EXP(-$F$1009*($A366-$A$7:$A361)))*$F$1010</f>
        <v>8095095.7915493473</v>
      </c>
      <c r="E366" s="67">
        <f t="shared" si="35"/>
        <v>15.432585491039502</v>
      </c>
      <c r="F366" s="70">
        <f t="shared" si="39"/>
        <v>0.93706659101591849</v>
      </c>
      <c r="G366" s="67">
        <f>E366/'Lookup Tables'!$C$48</f>
        <v>30.865170982079004</v>
      </c>
      <c r="H366" s="70">
        <f t="shared" si="36"/>
        <v>6.7221906594696748E-2</v>
      </c>
      <c r="I366" s="71">
        <f t="shared" si="40"/>
        <v>4.4445846214193764E-2</v>
      </c>
      <c r="L366" s="74"/>
      <c r="M366" s="74"/>
      <c r="N366" s="74"/>
      <c r="O366" s="74"/>
      <c r="P366" s="74"/>
      <c r="Q366" s="74"/>
      <c r="R366" s="74"/>
      <c r="S366" s="74"/>
      <c r="T366" s="74"/>
      <c r="U366" s="74"/>
      <c r="V366" s="74"/>
      <c r="W366" s="74"/>
      <c r="X366" s="74"/>
      <c r="Y366" s="74"/>
      <c r="Z366" s="74"/>
    </row>
    <row r="367" spans="1:26" x14ac:dyDescent="0.3">
      <c r="A367" s="66">
        <f t="shared" si="38"/>
        <v>2025.9999999999673</v>
      </c>
      <c r="B367" s="67">
        <f>LOOKUP(A367+0.01,Amounts!$A$4:$A$103,Amounts!$B$4:$B$103)*0.1*$A$2</f>
        <v>0</v>
      </c>
      <c r="C367" s="68">
        <f t="shared" si="37"/>
        <v>120665.52921499971</v>
      </c>
      <c r="D367" s="67">
        <f t="array" ref="D367">SUM($B$7:$B362*$F$1009*EXP(-$F$1009*($A367-$A$7:$A362)))*$F$1010</f>
        <v>8083770.5869342033</v>
      </c>
      <c r="E367" s="67">
        <f t="shared" si="35"/>
        <v>15.410994988230483</v>
      </c>
      <c r="F367" s="70">
        <f t="shared" si="39"/>
        <v>0.93575561568535492</v>
      </c>
      <c r="G367" s="67">
        <f>E367/'Lookup Tables'!$C$48</f>
        <v>30.821989976460966</v>
      </c>
      <c r="H367" s="70">
        <f t="shared" si="36"/>
        <v>6.7127861772200675E-2</v>
      </c>
      <c r="I367" s="71">
        <f t="shared" si="40"/>
        <v>4.4383665566103792E-2</v>
      </c>
      <c r="L367" s="74"/>
      <c r="M367" s="74"/>
      <c r="N367" s="74"/>
      <c r="O367" s="74"/>
      <c r="P367" s="74"/>
      <c r="Q367" s="74"/>
      <c r="R367" s="74"/>
      <c r="S367" s="74"/>
      <c r="T367" s="74"/>
      <c r="U367" s="74"/>
      <c r="V367" s="74"/>
      <c r="W367" s="74"/>
      <c r="X367" s="74"/>
      <c r="Y367" s="74"/>
      <c r="Z367" s="74"/>
    </row>
    <row r="368" spans="1:26" x14ac:dyDescent="0.3">
      <c r="A368" s="66">
        <f t="shared" si="38"/>
        <v>2026.0999999999672</v>
      </c>
      <c r="B368" s="67">
        <f>LOOKUP(A368+0.01,Amounts!$A$4:$A$103,Amounts!$B$4:$B$103)*0.1*$A$2</f>
        <v>0</v>
      </c>
      <c r="C368" s="68">
        <f t="shared" si="37"/>
        <v>120665.52921499971</v>
      </c>
      <c r="D368" s="67">
        <f t="array" ref="D368">SUM($B$7:$B363*$F$1009*EXP(-$F$1009*($A368-$A$7:$A363)))*$F$1010</f>
        <v>8072461.2265119962</v>
      </c>
      <c r="E368" s="67">
        <f t="shared" si="35"/>
        <v>15.389434690976572</v>
      </c>
      <c r="F368" s="70">
        <f t="shared" si="39"/>
        <v>0.93444647443609741</v>
      </c>
      <c r="G368" s="67">
        <f>E368/'Lookup Tables'!$C$48</f>
        <v>30.778869381953143</v>
      </c>
      <c r="H368" s="70">
        <f t="shared" si="36"/>
        <v>6.7033948520335146E-2</v>
      </c>
      <c r="I368" s="71">
        <f t="shared" si="40"/>
        <v>4.4321571910012528E-2</v>
      </c>
      <c r="L368" s="74"/>
      <c r="M368" s="74"/>
      <c r="N368" s="74"/>
      <c r="O368" s="74"/>
      <c r="P368" s="74"/>
      <c r="Q368" s="74"/>
      <c r="R368" s="74"/>
      <c r="S368" s="74"/>
      <c r="T368" s="74"/>
      <c r="U368" s="74"/>
      <c r="V368" s="74"/>
      <c r="W368" s="74"/>
      <c r="X368" s="74"/>
      <c r="Y368" s="74"/>
      <c r="Z368" s="74"/>
    </row>
    <row r="369" spans="1:26" x14ac:dyDescent="0.3">
      <c r="A369" s="66">
        <f t="shared" si="38"/>
        <v>2026.1999999999671</v>
      </c>
      <c r="B369" s="67">
        <f>LOOKUP(A369+0.01,Amounts!$A$4:$A$103,Amounts!$B$4:$B$103)*0.1*$A$2</f>
        <v>0</v>
      </c>
      <c r="C369" s="68">
        <f t="shared" si="37"/>
        <v>120665.52921499971</v>
      </c>
      <c r="D369" s="67">
        <f t="array" ref="D369">SUM($B$7:$B364*$F$1009*EXP(-$F$1009*($A369-$A$7:$A364)))*$F$1010</f>
        <v>8061167.6881163763</v>
      </c>
      <c r="E369" s="67">
        <f t="shared" si="35"/>
        <v>15.36790455701958</v>
      </c>
      <c r="F369" s="70">
        <f t="shared" si="39"/>
        <v>0.93313916470222891</v>
      </c>
      <c r="G369" s="67">
        <f>E369/'Lookup Tables'!$C$48</f>
        <v>30.73580911403916</v>
      </c>
      <c r="H369" s="70">
        <f t="shared" si="36"/>
        <v>6.6940166655030164E-2</v>
      </c>
      <c r="I369" s="71">
        <f t="shared" si="40"/>
        <v>4.4259565124216388E-2</v>
      </c>
      <c r="L369" s="74"/>
      <c r="M369" s="74"/>
      <c r="N369" s="74"/>
      <c r="O369" s="74"/>
      <c r="P369" s="74"/>
      <c r="Q369" s="74"/>
      <c r="R369" s="74"/>
      <c r="S369" s="74"/>
      <c r="T369" s="74"/>
      <c r="U369" s="74"/>
      <c r="V369" s="74"/>
      <c r="W369" s="74"/>
      <c r="X369" s="74"/>
      <c r="Y369" s="74"/>
      <c r="Z369" s="74"/>
    </row>
    <row r="370" spans="1:26" x14ac:dyDescent="0.3">
      <c r="A370" s="66">
        <f t="shared" si="38"/>
        <v>2026.299999999967</v>
      </c>
      <c r="B370" s="67">
        <f>LOOKUP(A370+0.01,Amounts!$A$4:$A$103,Amounts!$B$4:$B$103)*0.1*$A$2</f>
        <v>0</v>
      </c>
      <c r="C370" s="68">
        <f t="shared" si="37"/>
        <v>120665.52921499971</v>
      </c>
      <c r="D370" s="67">
        <f t="array" ref="D370">SUM($B$7:$B365*$F$1009*EXP(-$F$1009*($A370-$A$7:$A365)))*$F$1010</f>
        <v>8049889.9496120093</v>
      </c>
      <c r="E370" s="67">
        <f t="shared" si="35"/>
        <v>15.346404544160446</v>
      </c>
      <c r="F370" s="70">
        <f t="shared" si="39"/>
        <v>0.9318336839214223</v>
      </c>
      <c r="G370" s="67">
        <f>E370/'Lookup Tables'!$C$48</f>
        <v>30.692809088320892</v>
      </c>
      <c r="H370" s="70">
        <f t="shared" si="36"/>
        <v>6.6846515992473279E-2</v>
      </c>
      <c r="I370" s="71">
        <f t="shared" si="40"/>
        <v>4.4197645087182089E-2</v>
      </c>
      <c r="L370" s="74"/>
      <c r="M370" s="74"/>
      <c r="N370" s="74"/>
      <c r="O370" s="74"/>
      <c r="P370" s="74"/>
      <c r="Q370" s="74"/>
      <c r="R370" s="74"/>
      <c r="S370" s="74"/>
      <c r="T370" s="74"/>
      <c r="U370" s="74"/>
      <c r="V370" s="74"/>
      <c r="W370" s="74"/>
      <c r="X370" s="74"/>
      <c r="Y370" s="74"/>
      <c r="Z370" s="74"/>
    </row>
    <row r="371" spans="1:26" x14ac:dyDescent="0.3">
      <c r="A371" s="66">
        <f t="shared" si="38"/>
        <v>2026.3999999999669</v>
      </c>
      <c r="B371" s="67">
        <f>LOOKUP(A371+0.01,Amounts!$A$4:$A$103,Amounts!$B$4:$B$103)*0.1*$A$2</f>
        <v>0</v>
      </c>
      <c r="C371" s="68">
        <f t="shared" si="37"/>
        <v>120665.52921499971</v>
      </c>
      <c r="D371" s="67">
        <f t="array" ref="D371">SUM($B$7:$B366*$F$1009*EXP(-$F$1009*($A371-$A$7:$A366)))*$F$1010</f>
        <v>8038627.9888945157</v>
      </c>
      <c r="E371" s="67">
        <f t="shared" si="35"/>
        <v>15.32493461025912</v>
      </c>
      <c r="F371" s="70">
        <f t="shared" si="39"/>
        <v>0.93053002953493391</v>
      </c>
      <c r="G371" s="67">
        <f>E371/'Lookup Tables'!$C$48</f>
        <v>30.649869220518241</v>
      </c>
      <c r="H371" s="70">
        <f t="shared" si="36"/>
        <v>6.6752996349109112E-2</v>
      </c>
      <c r="I371" s="71">
        <f t="shared" si="40"/>
        <v>4.4135811677546266E-2</v>
      </c>
      <c r="L371" s="74"/>
      <c r="M371" s="74"/>
      <c r="N371" s="74"/>
      <c r="O371" s="74"/>
      <c r="P371" s="74"/>
      <c r="Q371" s="74"/>
      <c r="R371" s="74"/>
      <c r="S371" s="74"/>
      <c r="T371" s="74"/>
      <c r="U371" s="74"/>
      <c r="V371" s="74"/>
      <c r="W371" s="74"/>
      <c r="X371" s="74"/>
      <c r="Y371" s="74"/>
      <c r="Z371" s="74"/>
    </row>
    <row r="372" spans="1:26" x14ac:dyDescent="0.3">
      <c r="A372" s="66">
        <f t="shared" si="38"/>
        <v>2026.4999999999668</v>
      </c>
      <c r="B372" s="67">
        <f>LOOKUP(A372+0.01,Amounts!$A$4:$A$103,Amounts!$B$4:$B$103)*0.1*$A$2</f>
        <v>0</v>
      </c>
      <c r="C372" s="68">
        <f t="shared" si="37"/>
        <v>120665.52921499971</v>
      </c>
      <c r="D372" s="67">
        <f t="array" ref="D372">SUM($B$7:$B367*$F$1009*EXP(-$F$1009*($A372-$A$7:$A367)))*$F$1010</f>
        <v>8027381.7838904578</v>
      </c>
      <c r="E372" s="67">
        <f t="shared" si="35"/>
        <v>15.303494713234548</v>
      </c>
      <c r="F372" s="70">
        <f t="shared" si="39"/>
        <v>0.92922819898760167</v>
      </c>
      <c r="G372" s="67">
        <f>E372/'Lookup Tables'!$C$48</f>
        <v>30.606989426469095</v>
      </c>
      <c r="H372" s="70">
        <f t="shared" si="36"/>
        <v>6.6659607541639188E-2</v>
      </c>
      <c r="I372" s="71">
        <f t="shared" si="40"/>
        <v>4.4074064774115497E-2</v>
      </c>
      <c r="L372" s="74"/>
      <c r="M372" s="74"/>
      <c r="N372" s="74"/>
      <c r="O372" s="74"/>
      <c r="P372" s="74"/>
      <c r="Q372" s="74"/>
      <c r="R372" s="74"/>
      <c r="S372" s="74"/>
      <c r="T372" s="74"/>
      <c r="U372" s="74"/>
      <c r="V372" s="74"/>
      <c r="W372" s="74"/>
      <c r="X372" s="74"/>
      <c r="Y372" s="74"/>
      <c r="Z372" s="74"/>
    </row>
    <row r="373" spans="1:26" x14ac:dyDescent="0.3">
      <c r="A373" s="66">
        <f t="shared" si="38"/>
        <v>2026.5999999999667</v>
      </c>
      <c r="B373" s="67">
        <f>LOOKUP(A373+0.01,Amounts!$A$4:$A$103,Amounts!$B$4:$B$103)*0.1*$A$2</f>
        <v>0</v>
      </c>
      <c r="C373" s="68">
        <f t="shared" si="37"/>
        <v>120665.52921499971</v>
      </c>
      <c r="D373" s="67">
        <f t="array" ref="D373">SUM($B$7:$B368*$F$1009*EXP(-$F$1009*($A373-$A$7:$A368)))*$F$1010</f>
        <v>8016151.3125572661</v>
      </c>
      <c r="E373" s="67">
        <f t="shared" si="35"/>
        <v>15.282084811064509</v>
      </c>
      <c r="F373" s="70">
        <f t="shared" si="39"/>
        <v>0.92792818972783697</v>
      </c>
      <c r="G373" s="67">
        <f>E373/'Lookup Tables'!$C$48</f>
        <v>30.564169622129018</v>
      </c>
      <c r="H373" s="70">
        <f t="shared" si="36"/>
        <v>6.656634938702137E-2</v>
      </c>
      <c r="I373" s="71">
        <f t="shared" si="40"/>
        <v>4.4012404255865785E-2</v>
      </c>
      <c r="L373" s="74"/>
      <c r="M373" s="74"/>
      <c r="N373" s="74"/>
      <c r="O373" s="74"/>
      <c r="P373" s="74"/>
      <c r="Q373" s="74"/>
      <c r="R373" s="74"/>
      <c r="S373" s="74"/>
      <c r="T373" s="74"/>
      <c r="U373" s="74"/>
      <c r="V373" s="74"/>
      <c r="W373" s="74"/>
      <c r="X373" s="74"/>
      <c r="Y373" s="74"/>
      <c r="Z373" s="74"/>
    </row>
    <row r="374" spans="1:26" x14ac:dyDescent="0.3">
      <c r="A374" s="66">
        <f t="shared" si="38"/>
        <v>2026.6999999999666</v>
      </c>
      <c r="B374" s="67">
        <f>LOOKUP(A374+0.01,Amounts!$A$4:$A$103,Amounts!$B$4:$B$103)*0.1*$A$2</f>
        <v>0</v>
      </c>
      <c r="C374" s="68">
        <f t="shared" si="37"/>
        <v>120665.52921499971</v>
      </c>
      <c r="D374" s="67">
        <f t="array" ref="D374">SUM($B$7:$B369*$F$1009*EXP(-$F$1009*($A374-$A$7:$A369)))*$F$1010</f>
        <v>8004936.5528832143</v>
      </c>
      <c r="E374" s="67">
        <f t="shared" si="35"/>
        <v>15.260704861785596</v>
      </c>
      <c r="F374" s="70">
        <f t="shared" si="39"/>
        <v>0.92662999920762146</v>
      </c>
      <c r="G374" s="67">
        <f>E374/'Lookup Tables'!$C$48</f>
        <v>30.521409723571193</v>
      </c>
      <c r="H374" s="70">
        <f t="shared" si="36"/>
        <v>6.6473221702469693E-2</v>
      </c>
      <c r="I374" s="71">
        <f t="shared" si="40"/>
        <v>4.3950830001942512E-2</v>
      </c>
      <c r="L374" s="74"/>
      <c r="M374" s="74"/>
      <c r="N374" s="74"/>
      <c r="O374" s="74"/>
      <c r="P374" s="74"/>
      <c r="Q374" s="74"/>
      <c r="R374" s="74"/>
      <c r="S374" s="74"/>
      <c r="T374" s="74"/>
      <c r="U374" s="74"/>
      <c r="V374" s="74"/>
      <c r="W374" s="74"/>
      <c r="X374" s="74"/>
      <c r="Y374" s="74"/>
      <c r="Z374" s="74"/>
    </row>
    <row r="375" spans="1:26" x14ac:dyDescent="0.3">
      <c r="A375" s="66">
        <f t="shared" si="38"/>
        <v>2026.7999999999665</v>
      </c>
      <c r="B375" s="67">
        <f>LOOKUP(A375+0.01,Amounts!$A$4:$A$103,Amounts!$B$4:$B$103)*0.1*$A$2</f>
        <v>0</v>
      </c>
      <c r="C375" s="68">
        <f t="shared" si="37"/>
        <v>120665.52921499971</v>
      </c>
      <c r="D375" s="67">
        <f t="array" ref="D375">SUM($B$7:$B370*$F$1009*EXP(-$F$1009*($A375-$A$7:$A370)))*$F$1010</f>
        <v>7993737.4828873696</v>
      </c>
      <c r="E375" s="67">
        <f t="shared" si="35"/>
        <v>15.239354823493102</v>
      </c>
      <c r="F375" s="70">
        <f t="shared" si="39"/>
        <v>0.92533362488250104</v>
      </c>
      <c r="G375" s="67">
        <f>E375/'Lookup Tables'!$C$48</f>
        <v>30.478709646986204</v>
      </c>
      <c r="H375" s="70">
        <f t="shared" si="36"/>
        <v>6.6380224305453844E-2</v>
      </c>
      <c r="I375" s="71">
        <f t="shared" si="40"/>
        <v>4.388934189166014E-2</v>
      </c>
      <c r="L375" s="74"/>
      <c r="M375" s="74"/>
      <c r="N375" s="74"/>
      <c r="O375" s="74"/>
      <c r="P375" s="74"/>
      <c r="Q375" s="74"/>
      <c r="R375" s="74"/>
      <c r="S375" s="74"/>
      <c r="T375" s="74"/>
      <c r="U375" s="74"/>
      <c r="V375" s="74"/>
      <c r="W375" s="74"/>
      <c r="X375" s="74"/>
      <c r="Y375" s="74"/>
      <c r="Z375" s="74"/>
    </row>
    <row r="376" spans="1:26" x14ac:dyDescent="0.3">
      <c r="A376" s="66">
        <f t="shared" si="38"/>
        <v>2026.8999999999664</v>
      </c>
      <c r="B376" s="67">
        <f>LOOKUP(A376+0.01,Amounts!$A$4:$A$103,Amounts!$B$4:$B$103)*0.1*$A$2</f>
        <v>0</v>
      </c>
      <c r="C376" s="68">
        <f t="shared" si="37"/>
        <v>120665.52921499971</v>
      </c>
      <c r="D376" s="67">
        <f t="array" ref="D376">SUM($B$7:$B371*$F$1009*EXP(-$F$1009*($A376-$A$7:$A371)))*$F$1010</f>
        <v>7982554.0806195457</v>
      </c>
      <c r="E376" s="67">
        <f t="shared" si="35"/>
        <v>15.218034654340928</v>
      </c>
      <c r="F376" s="70">
        <f t="shared" si="39"/>
        <v>0.92403906421158111</v>
      </c>
      <c r="G376" s="67">
        <f>E376/'Lookup Tables'!$C$48</f>
        <v>30.436069308681855</v>
      </c>
      <c r="H376" s="70">
        <f t="shared" si="36"/>
        <v>6.6287357013698839E-2</v>
      </c>
      <c r="I376" s="71">
        <f t="shared" si="40"/>
        <v>4.3827939804501878E-2</v>
      </c>
      <c r="L376" s="74"/>
      <c r="M376" s="74"/>
      <c r="N376" s="74"/>
      <c r="O376" s="74"/>
      <c r="P376" s="74"/>
      <c r="Q376" s="74"/>
      <c r="R376" s="74"/>
      <c r="S376" s="74"/>
      <c r="T376" s="74"/>
      <c r="U376" s="74"/>
      <c r="V376" s="74"/>
      <c r="W376" s="74"/>
      <c r="X376" s="74"/>
      <c r="Y376" s="74"/>
      <c r="Z376" s="74"/>
    </row>
    <row r="377" spans="1:26" x14ac:dyDescent="0.3">
      <c r="A377" s="66">
        <f t="shared" si="38"/>
        <v>2026.9999999999663</v>
      </c>
      <c r="B377" s="67">
        <f>LOOKUP(A377+0.01,Amounts!$A$4:$A$103,Amounts!$B$4:$B$103)*0.1*$A$2</f>
        <v>0</v>
      </c>
      <c r="C377" s="68">
        <f t="shared" si="37"/>
        <v>120665.52921499971</v>
      </c>
      <c r="D377" s="67">
        <f t="array" ref="D377">SUM($B$7:$B372*$F$1009*EXP(-$F$1009*($A377-$A$7:$A372)))*$F$1010</f>
        <v>7971386.3241602778</v>
      </c>
      <c r="E377" s="67">
        <f t="shared" si="35"/>
        <v>15.196744312541554</v>
      </c>
      <c r="F377" s="70">
        <f t="shared" si="39"/>
        <v>0.9227463146575231</v>
      </c>
      <c r="G377" s="67">
        <f>E377/'Lookup Tables'!$C$48</f>
        <v>30.393488625083108</v>
      </c>
      <c r="H377" s="70">
        <f t="shared" si="36"/>
        <v>6.6194619645184805E-2</v>
      </c>
      <c r="I377" s="71">
        <f t="shared" si="40"/>
        <v>4.3766623620119675E-2</v>
      </c>
      <c r="L377" s="74"/>
      <c r="M377" s="74"/>
      <c r="N377" s="74"/>
      <c r="O377" s="74"/>
      <c r="P377" s="74"/>
      <c r="Q377" s="74"/>
      <c r="R377" s="74"/>
      <c r="S377" s="74"/>
      <c r="T377" s="74"/>
      <c r="U377" s="74"/>
      <c r="V377" s="74"/>
      <c r="W377" s="74"/>
      <c r="X377" s="74"/>
      <c r="Y377" s="74"/>
      <c r="Z377" s="74"/>
    </row>
    <row r="378" spans="1:26" x14ac:dyDescent="0.3">
      <c r="A378" s="66">
        <f t="shared" si="38"/>
        <v>2027.0999999999663</v>
      </c>
      <c r="B378" s="67">
        <f>LOOKUP(A378+0.01,Amounts!$A$4:$A$103,Amounts!$B$4:$B$103)*0.1*$A$2</f>
        <v>0</v>
      </c>
      <c r="C378" s="68">
        <f t="shared" si="37"/>
        <v>120665.52921499971</v>
      </c>
      <c r="D378" s="67">
        <f t="array" ref="D378">SUM($B$7:$B373*$F$1009*EXP(-$F$1009*($A378-$A$7:$A373)))*$F$1010</f>
        <v>7960234.1916207559</v>
      </c>
      <c r="E378" s="67">
        <f t="shared" si="35"/>
        <v>15.175483756365894</v>
      </c>
      <c r="F378" s="70">
        <f t="shared" si="39"/>
        <v>0.92145537368653707</v>
      </c>
      <c r="G378" s="67">
        <f>E378/'Lookup Tables'!$C$48</f>
        <v>30.350967512731788</v>
      </c>
      <c r="H378" s="70">
        <f t="shared" si="36"/>
        <v>6.6102012018146458E-2</v>
      </c>
      <c r="I378" s="71">
        <f t="shared" si="40"/>
        <v>4.3705393218333777E-2</v>
      </c>
      <c r="L378" s="74"/>
      <c r="M378" s="74"/>
      <c r="N378" s="74"/>
      <c r="O378" s="74"/>
      <c r="P378" s="74"/>
      <c r="Q378" s="74"/>
      <c r="R378" s="74"/>
      <c r="S378" s="74"/>
      <c r="T378" s="74"/>
      <c r="U378" s="74"/>
      <c r="V378" s="74"/>
      <c r="W378" s="74"/>
      <c r="X378" s="74"/>
      <c r="Y378" s="74"/>
      <c r="Z378" s="74"/>
    </row>
    <row r="379" spans="1:26" x14ac:dyDescent="0.3">
      <c r="A379" s="66">
        <f t="shared" si="38"/>
        <v>2027.1999999999662</v>
      </c>
      <c r="B379" s="67">
        <f>LOOKUP(A379+0.01,Amounts!$A$4:$A$103,Amounts!$B$4:$B$103)*0.1*$A$2</f>
        <v>0</v>
      </c>
      <c r="C379" s="68">
        <f t="shared" si="37"/>
        <v>120665.52921499971</v>
      </c>
      <c r="D379" s="67">
        <f t="array" ref="D379">SUM($B$7:$B374*$F$1009*EXP(-$F$1009*($A379-$A$7:$A374)))*$F$1010</f>
        <v>7949097.6611428</v>
      </c>
      <c r="E379" s="67">
        <f t="shared" si="35"/>
        <v>15.154252944143261</v>
      </c>
      <c r="F379" s="70">
        <f t="shared" si="39"/>
        <v>0.92016623876837889</v>
      </c>
      <c r="G379" s="67">
        <f>E379/'Lookup Tables'!$C$48</f>
        <v>30.308505888286522</v>
      </c>
      <c r="H379" s="70">
        <f t="shared" si="36"/>
        <v>6.6009533951072868E-2</v>
      </c>
      <c r="I379" s="71">
        <f t="shared" si="40"/>
        <v>4.3644248479132591E-2</v>
      </c>
      <c r="L379" s="74"/>
      <c r="M379" s="74"/>
      <c r="N379" s="74"/>
      <c r="O379" s="74"/>
      <c r="P379" s="74"/>
      <c r="Q379" s="74"/>
      <c r="R379" s="74"/>
      <c r="S379" s="74"/>
      <c r="T379" s="74"/>
      <c r="U379" s="74"/>
      <c r="V379" s="74"/>
      <c r="W379" s="74"/>
      <c r="X379" s="74"/>
      <c r="Y379" s="74"/>
      <c r="Z379" s="74"/>
    </row>
    <row r="380" spans="1:26" x14ac:dyDescent="0.3">
      <c r="A380" s="66">
        <f t="shared" si="38"/>
        <v>2027.2999999999661</v>
      </c>
      <c r="B380" s="67">
        <f>LOOKUP(A380+0.01,Amounts!$A$4:$A$103,Amounts!$B$4:$B$103)*0.1*$A$2</f>
        <v>0</v>
      </c>
      <c r="C380" s="68">
        <f t="shared" si="37"/>
        <v>120665.52921499971</v>
      </c>
      <c r="D380" s="67">
        <f t="array" ref="D380">SUM($B$7:$B375*$F$1009*EXP(-$F$1009*($A380-$A$7:$A375)))*$F$1010</f>
        <v>7937976.7108988026</v>
      </c>
      <c r="E380" s="67">
        <f t="shared" si="35"/>
        <v>15.133051834261245</v>
      </c>
      <c r="F380" s="70">
        <f t="shared" si="39"/>
        <v>0.91887890737634281</v>
      </c>
      <c r="G380" s="67">
        <f>E380/'Lookup Tables'!$C$48</f>
        <v>30.26610366852249</v>
      </c>
      <c r="H380" s="70">
        <f t="shared" si="36"/>
        <v>6.5917185262706915E-2</v>
      </c>
      <c r="I380" s="71">
        <f t="shared" si="40"/>
        <v>4.3583189282672387E-2</v>
      </c>
      <c r="L380" s="74"/>
      <c r="M380" s="74"/>
      <c r="N380" s="74"/>
      <c r="O380" s="74"/>
      <c r="P380" s="74"/>
      <c r="Q380" s="74"/>
      <c r="R380" s="74"/>
      <c r="S380" s="74"/>
      <c r="T380" s="74"/>
      <c r="U380" s="74"/>
      <c r="V380" s="74"/>
      <c r="W380" s="74"/>
      <c r="X380" s="74"/>
      <c r="Y380" s="74"/>
      <c r="Z380" s="74"/>
    </row>
    <row r="381" spans="1:26" x14ac:dyDescent="0.3">
      <c r="A381" s="66">
        <f t="shared" si="38"/>
        <v>2027.399999999966</v>
      </c>
      <c r="B381" s="67">
        <f>LOOKUP(A381+0.01,Amounts!$A$4:$A$103,Amounts!$B$4:$B$103)*0.1*$A$2</f>
        <v>0</v>
      </c>
      <c r="C381" s="68">
        <f t="shared" si="37"/>
        <v>120665.52921499971</v>
      </c>
      <c r="D381" s="67">
        <f t="array" ref="D381">SUM($B$7:$B376*$F$1009*EXP(-$F$1009*($A381-$A$7:$A376)))*$F$1010</f>
        <v>7926871.3190917028</v>
      </c>
      <c r="E381" s="67">
        <f t="shared" si="35"/>
        <v>15.111880385165673</v>
      </c>
      <c r="F381" s="70">
        <f t="shared" si="39"/>
        <v>0.91759337698725962</v>
      </c>
      <c r="G381" s="67">
        <f>E381/'Lookup Tables'!$C$48</f>
        <v>30.223760770331346</v>
      </c>
      <c r="H381" s="70">
        <f t="shared" si="36"/>
        <v>6.5824965772045205E-2</v>
      </c>
      <c r="I381" s="71">
        <f t="shared" si="40"/>
        <v>4.3522215509277137E-2</v>
      </c>
      <c r="L381" s="74"/>
      <c r="M381" s="74"/>
      <c r="N381" s="74"/>
      <c r="O381" s="74"/>
      <c r="P381" s="74"/>
      <c r="Q381" s="74"/>
      <c r="R381" s="74"/>
      <c r="S381" s="74"/>
      <c r="T381" s="74"/>
      <c r="U381" s="74"/>
      <c r="V381" s="74"/>
      <c r="W381" s="74"/>
      <c r="X381" s="74"/>
      <c r="Y381" s="74"/>
      <c r="Z381" s="74"/>
    </row>
    <row r="382" spans="1:26" x14ac:dyDescent="0.3">
      <c r="A382" s="66">
        <f t="shared" si="38"/>
        <v>2027.4999999999659</v>
      </c>
      <c r="B382" s="67">
        <f>LOOKUP(A382+0.01,Amounts!$A$4:$A$103,Amounts!$B$4:$B$103)*0.1*$A$2</f>
        <v>0</v>
      </c>
      <c r="C382" s="68">
        <f t="shared" si="37"/>
        <v>120665.52921499971</v>
      </c>
      <c r="D382" s="67">
        <f t="array" ref="D382">SUM($B$7:$B377*$F$1009*EXP(-$F$1009*($A382-$A$7:$A377)))*$F$1010</f>
        <v>7915781.4639549218</v>
      </c>
      <c r="E382" s="67">
        <f t="shared" si="35"/>
        <v>15.090738555360486</v>
      </c>
      <c r="F382" s="70">
        <f t="shared" si="39"/>
        <v>0.91630964508148871</v>
      </c>
      <c r="G382" s="67">
        <f>E382/'Lookup Tables'!$C$48</f>
        <v>30.181477110720973</v>
      </c>
      <c r="H382" s="70">
        <f t="shared" si="36"/>
        <v>6.5732875298337476E-2</v>
      </c>
      <c r="I382" s="71">
        <f t="shared" si="40"/>
        <v>4.3461327039438204E-2</v>
      </c>
      <c r="L382" s="74"/>
      <c r="M382" s="74"/>
      <c r="N382" s="74"/>
      <c r="O382" s="74"/>
      <c r="P382" s="74"/>
      <c r="Q382" s="74"/>
      <c r="R382" s="74"/>
      <c r="S382" s="74"/>
      <c r="T382" s="74"/>
      <c r="U382" s="74"/>
      <c r="V382" s="74"/>
      <c r="W382" s="74"/>
      <c r="X382" s="74"/>
      <c r="Y382" s="74"/>
      <c r="Z382" s="74"/>
    </row>
    <row r="383" spans="1:26" x14ac:dyDescent="0.3">
      <c r="A383" s="66">
        <f t="shared" si="38"/>
        <v>2027.5999999999658</v>
      </c>
      <c r="B383" s="67">
        <f>LOOKUP(A383+0.01,Amounts!$A$4:$A$103,Amounts!$B$4:$B$103)*0.1*$A$2</f>
        <v>0</v>
      </c>
      <c r="C383" s="68">
        <f t="shared" si="37"/>
        <v>120665.52921499971</v>
      </c>
      <c r="D383" s="67">
        <f t="array" ref="D383">SUM($B$7:$B378*$F$1009*EXP(-$F$1009*($A383-$A$7:$A378)))*$F$1010</f>
        <v>7904707.1237523453</v>
      </c>
      <c r="E383" s="67">
        <f t="shared" si="35"/>
        <v>15.069626303407702</v>
      </c>
      <c r="F383" s="70">
        <f t="shared" si="39"/>
        <v>0.91502770914291565</v>
      </c>
      <c r="G383" s="67">
        <f>E383/'Lookup Tables'!$C$48</f>
        <v>30.139252606815404</v>
      </c>
      <c r="H383" s="70">
        <f t="shared" si="36"/>
        <v>6.5640913661086348E-2</v>
      </c>
      <c r="I383" s="71">
        <f t="shared" si="40"/>
        <v>4.3400523753814181E-2</v>
      </c>
      <c r="L383" s="74"/>
      <c r="M383" s="74"/>
      <c r="N383" s="74"/>
      <c r="O383" s="74"/>
      <c r="P383" s="74"/>
      <c r="Q383" s="74"/>
      <c r="R383" s="74"/>
      <c r="S383" s="74"/>
      <c r="T383" s="74"/>
      <c r="U383" s="74"/>
      <c r="V383" s="74"/>
      <c r="W383" s="74"/>
      <c r="X383" s="74"/>
      <c r="Y383" s="74"/>
      <c r="Z383" s="74"/>
    </row>
    <row r="384" spans="1:26" x14ac:dyDescent="0.3">
      <c r="A384" s="66">
        <f t="shared" si="38"/>
        <v>2027.6999999999657</v>
      </c>
      <c r="B384" s="67">
        <f>LOOKUP(A384+0.01,Amounts!$A$4:$A$103,Amounts!$B$4:$B$103)*0.1*$A$2</f>
        <v>0</v>
      </c>
      <c r="C384" s="68">
        <f t="shared" si="37"/>
        <v>120665.52921499971</v>
      </c>
      <c r="D384" s="67">
        <f t="array" ref="D384">SUM($B$7:$B379*$F$1009*EXP(-$F$1009*($A384-$A$7:$A379)))*$F$1010</f>
        <v>7893648.276778263</v>
      </c>
      <c r="E384" s="67">
        <f t="shared" si="35"/>
        <v>15.048543587927298</v>
      </c>
      <c r="F384" s="70">
        <f t="shared" si="39"/>
        <v>0.91374756665894552</v>
      </c>
      <c r="G384" s="67">
        <f>E384/'Lookup Tables'!$C$48</f>
        <v>30.097087175854597</v>
      </c>
      <c r="H384" s="70">
        <f t="shared" si="36"/>
        <v>6.5549080680047028E-2</v>
      </c>
      <c r="I384" s="71">
        <f t="shared" si="40"/>
        <v>4.3339805533230615E-2</v>
      </c>
      <c r="L384" s="74"/>
      <c r="M384" s="74"/>
      <c r="N384" s="74"/>
      <c r="O384" s="74"/>
      <c r="P384" s="74"/>
      <c r="Q384" s="74"/>
      <c r="R384" s="74"/>
      <c r="S384" s="74"/>
      <c r="T384" s="74"/>
      <c r="U384" s="74"/>
      <c r="V384" s="74"/>
      <c r="W384" s="74"/>
      <c r="X384" s="74"/>
      <c r="Y384" s="74"/>
      <c r="Z384" s="74"/>
    </row>
    <row r="385" spans="1:26" x14ac:dyDescent="0.3">
      <c r="A385" s="66">
        <f t="shared" si="38"/>
        <v>2027.7999999999656</v>
      </c>
      <c r="B385" s="67">
        <f>LOOKUP(A385+0.01,Amounts!$A$4:$A$103,Amounts!$B$4:$B$103)*0.1*$A$2</f>
        <v>0</v>
      </c>
      <c r="C385" s="68">
        <f t="shared" si="37"/>
        <v>120665.52921499971</v>
      </c>
      <c r="D385" s="67">
        <f t="array" ref="D385">SUM($B$7:$B380*$F$1009*EXP(-$F$1009*($A385-$A$7:$A380)))*$F$1010</f>
        <v>7882604.9013573295</v>
      </c>
      <c r="E385" s="67">
        <f t="shared" si="35"/>
        <v>15.027490367597142</v>
      </c>
      <c r="F385" s="70">
        <f t="shared" si="39"/>
        <v>0.91246921512049839</v>
      </c>
      <c r="G385" s="67">
        <f>E385/'Lookup Tables'!$C$48</f>
        <v>30.054980735194285</v>
      </c>
      <c r="H385" s="70">
        <f t="shared" si="36"/>
        <v>6.5457376175226817E-2</v>
      </c>
      <c r="I385" s="71">
        <f t="shared" si="40"/>
        <v>4.327917225867977E-2</v>
      </c>
      <c r="L385" s="74"/>
      <c r="M385" s="74"/>
      <c r="N385" s="74"/>
      <c r="O385" s="74"/>
      <c r="P385" s="74"/>
      <c r="Q385" s="74"/>
      <c r="R385" s="74"/>
      <c r="S385" s="74"/>
      <c r="T385" s="74"/>
      <c r="U385" s="74"/>
      <c r="V385" s="74"/>
      <c r="W385" s="74"/>
      <c r="X385" s="74"/>
      <c r="Y385" s="74"/>
      <c r="Z385" s="74"/>
    </row>
    <row r="386" spans="1:26" x14ac:dyDescent="0.3">
      <c r="A386" s="66">
        <f t="shared" si="38"/>
        <v>2027.8999999999655</v>
      </c>
      <c r="B386" s="67">
        <f>LOOKUP(A386+0.01,Amounts!$A$4:$A$103,Amounts!$B$4:$B$103)*0.1*$A$2</f>
        <v>0</v>
      </c>
      <c r="C386" s="68">
        <f t="shared" si="37"/>
        <v>120665.52921499971</v>
      </c>
      <c r="D386" s="67">
        <f t="array" ref="D386">SUM($B$7:$B381*$F$1009*EXP(-$F$1009*($A386-$A$7:$A381)))*$F$1010</f>
        <v>7871576.9758445276</v>
      </c>
      <c r="E386" s="67">
        <f t="shared" si="35"/>
        <v>15.006466601152923</v>
      </c>
      <c r="F386" s="70">
        <f t="shared" si="39"/>
        <v>0.9111926520220055</v>
      </c>
      <c r="G386" s="67">
        <f>E386/'Lookup Tables'!$C$48</f>
        <v>30.012933202305845</v>
      </c>
      <c r="H386" s="70">
        <f t="shared" si="36"/>
        <v>6.5365799966884894E-2</v>
      </c>
      <c r="I386" s="71">
        <f t="shared" si="40"/>
        <v>4.3218623811320418E-2</v>
      </c>
      <c r="L386" s="74"/>
      <c r="M386" s="74"/>
      <c r="N386" s="74"/>
      <c r="O386" s="74"/>
      <c r="P386" s="74"/>
      <c r="Q386" s="74"/>
      <c r="R386" s="74"/>
      <c r="S386" s="74"/>
      <c r="T386" s="74"/>
      <c r="U386" s="74"/>
      <c r="V386" s="74"/>
      <c r="W386" s="74"/>
      <c r="X386" s="74"/>
      <c r="Y386" s="74"/>
      <c r="Z386" s="74"/>
    </row>
    <row r="387" spans="1:26" x14ac:dyDescent="0.3">
      <c r="A387" s="66">
        <f t="shared" si="38"/>
        <v>2027.9999999999654</v>
      </c>
      <c r="B387" s="67">
        <f>LOOKUP(A387+0.01,Amounts!$A$4:$A$103,Amounts!$B$4:$B$103)*0.1*$A$2</f>
        <v>0</v>
      </c>
      <c r="C387" s="68">
        <f t="shared" si="37"/>
        <v>120665.52921499971</v>
      </c>
      <c r="D387" s="67">
        <f t="array" ref="D387">SUM($B$7:$B382*$F$1009*EXP(-$F$1009*($A387-$A$7:$A382)))*$F$1010</f>
        <v>7860564.4786251159</v>
      </c>
      <c r="E387" s="67">
        <f t="shared" si="35"/>
        <v>14.985472247388039</v>
      </c>
      <c r="F387" s="70">
        <f t="shared" si="39"/>
        <v>0.90991787486140174</v>
      </c>
      <c r="G387" s="67">
        <f>E387/'Lookup Tables'!$C$48</f>
        <v>29.970944494776077</v>
      </c>
      <c r="H387" s="70">
        <f t="shared" si="36"/>
        <v>6.5274351875531794E-2</v>
      </c>
      <c r="I387" s="71">
        <f t="shared" si="40"/>
        <v>4.3158160072477546E-2</v>
      </c>
      <c r="L387" s="74"/>
      <c r="M387" s="74"/>
      <c r="N387" s="74"/>
      <c r="O387" s="74"/>
      <c r="P387" s="74"/>
      <c r="Q387" s="74"/>
      <c r="R387" s="74"/>
      <c r="S387" s="74"/>
      <c r="T387" s="74"/>
      <c r="U387" s="74"/>
      <c r="V387" s="74"/>
      <c r="W387" s="74"/>
      <c r="X387" s="74"/>
      <c r="Y387" s="74"/>
      <c r="Z387" s="74"/>
    </row>
    <row r="388" spans="1:26" x14ac:dyDescent="0.3">
      <c r="A388" s="66">
        <f t="shared" si="38"/>
        <v>2028.0999999999653</v>
      </c>
      <c r="B388" s="67">
        <f>LOOKUP(A388+0.01,Amounts!$A$4:$A$103,Amounts!$B$4:$B$103)*0.1*$A$2</f>
        <v>0</v>
      </c>
      <c r="C388" s="68">
        <f t="shared" si="37"/>
        <v>120665.52921499971</v>
      </c>
      <c r="D388" s="67">
        <f t="array" ref="D388">SUM($B$7:$B383*$F$1009*EXP(-$F$1009*($A388-$A$7:$A383)))*$F$1010</f>
        <v>7849567.3881145995</v>
      </c>
      <c r="E388" s="67">
        <f t="shared" si="35"/>
        <v>14.964507265153559</v>
      </c>
      <c r="F388" s="70">
        <f t="shared" si="39"/>
        <v>0.90864488114012409</v>
      </c>
      <c r="G388" s="67">
        <f>E388/'Lookup Tables'!$C$48</f>
        <v>29.929014530307118</v>
      </c>
      <c r="H388" s="70">
        <f t="shared" si="36"/>
        <v>6.5183031721929283E-2</v>
      </c>
      <c r="I388" s="71">
        <f t="shared" si="40"/>
        <v>4.3097780923642248E-2</v>
      </c>
      <c r="L388" s="74"/>
      <c r="M388" s="74"/>
      <c r="N388" s="74"/>
      <c r="O388" s="74"/>
      <c r="P388" s="74"/>
      <c r="Q388" s="74"/>
      <c r="R388" s="74"/>
      <c r="S388" s="74"/>
      <c r="T388" s="74"/>
      <c r="U388" s="74"/>
      <c r="V388" s="74"/>
      <c r="W388" s="74"/>
      <c r="X388" s="74"/>
      <c r="Y388" s="74"/>
      <c r="Z388" s="74"/>
    </row>
    <row r="389" spans="1:26" x14ac:dyDescent="0.3">
      <c r="A389" s="66">
        <f t="shared" si="38"/>
        <v>2028.1999999999653</v>
      </c>
      <c r="B389" s="67">
        <f>LOOKUP(A389+0.01,Amounts!$A$4:$A$103,Amounts!$B$4:$B$103)*0.1*$A$2</f>
        <v>0</v>
      </c>
      <c r="C389" s="68">
        <f t="shared" si="37"/>
        <v>120665.52921499971</v>
      </c>
      <c r="D389" s="67">
        <f t="array" ref="D389">SUM($B$7:$B384*$F$1009*EXP(-$F$1009*($A389-$A$7:$A384)))*$F$1010</f>
        <v>7838585.6827586778</v>
      </c>
      <c r="E389" s="67">
        <f t="shared" si="35"/>
        <v>14.94357161335811</v>
      </c>
      <c r="F389" s="70">
        <f t="shared" si="39"/>
        <v>0.90737366836310451</v>
      </c>
      <c r="G389" s="67">
        <f>E389/'Lookup Tables'!$C$48</f>
        <v>29.887143226716219</v>
      </c>
      <c r="H389" s="70">
        <f t="shared" si="36"/>
        <v>6.5091839327089812E-2</v>
      </c>
      <c r="I389" s="71">
        <f t="shared" si="40"/>
        <v>4.3037486246471357E-2</v>
      </c>
      <c r="L389" s="74"/>
      <c r="M389" s="74"/>
      <c r="N389" s="74"/>
      <c r="O389" s="74"/>
      <c r="P389" s="74"/>
      <c r="Q389" s="74"/>
      <c r="R389" s="74"/>
      <c r="S389" s="74"/>
      <c r="T389" s="74"/>
      <c r="U389" s="74"/>
      <c r="V389" s="74"/>
      <c r="W389" s="74"/>
      <c r="X389" s="74"/>
      <c r="Y389" s="74"/>
      <c r="Z389" s="74"/>
    </row>
    <row r="390" spans="1:26" x14ac:dyDescent="0.3">
      <c r="A390" s="66">
        <f t="shared" si="38"/>
        <v>2028.2999999999652</v>
      </c>
      <c r="B390" s="67">
        <f>LOOKUP(A390+0.01,Amounts!$A$4:$A$103,Amounts!$B$4:$B$103)*0.1*$A$2</f>
        <v>0</v>
      </c>
      <c r="C390" s="68">
        <f t="shared" si="37"/>
        <v>120665.52921499971</v>
      </c>
      <c r="D390" s="67">
        <f t="array" ref="D390">SUM($B$7:$B385*$F$1009*EXP(-$F$1009*($A390-$A$7:$A385)))*$F$1010</f>
        <v>7827619.3410332026</v>
      </c>
      <c r="E390" s="67">
        <f t="shared" si="35"/>
        <v>14.922665250967807</v>
      </c>
      <c r="F390" s="70">
        <f t="shared" si="39"/>
        <v>0.90610423403876517</v>
      </c>
      <c r="G390" s="67">
        <f>E390/'Lookup Tables'!$C$48</f>
        <v>29.845330501935614</v>
      </c>
      <c r="H390" s="70">
        <f t="shared" si="36"/>
        <v>6.500077451227626E-2</v>
      </c>
      <c r="I390" s="71">
        <f t="shared" si="40"/>
        <v>4.2977275922787279E-2</v>
      </c>
      <c r="L390" s="74"/>
      <c r="M390" s="74"/>
      <c r="N390" s="74"/>
      <c r="O390" s="74"/>
      <c r="P390" s="74"/>
      <c r="Q390" s="74"/>
      <c r="R390" s="74"/>
      <c r="S390" s="74"/>
      <c r="T390" s="74"/>
      <c r="U390" s="74"/>
      <c r="V390" s="74"/>
      <c r="W390" s="74"/>
      <c r="X390" s="74"/>
      <c r="Y390" s="74"/>
      <c r="Z390" s="74"/>
    </row>
    <row r="391" spans="1:26" x14ac:dyDescent="0.3">
      <c r="A391" s="66">
        <f t="shared" si="38"/>
        <v>2028.3999999999651</v>
      </c>
      <c r="B391" s="67">
        <f>LOOKUP(A391+0.01,Amounts!$A$4:$A$103,Amounts!$B$4:$B$103)*0.1*$A$2</f>
        <v>0</v>
      </c>
      <c r="C391" s="68">
        <f t="shared" si="37"/>
        <v>120665.52921499971</v>
      </c>
      <c r="D391" s="67">
        <f t="array" ref="D391">SUM($B$7:$B386*$F$1009*EXP(-$F$1009*($A391-$A$7:$A386)))*$F$1010</f>
        <v>7816668.3414441412</v>
      </c>
      <c r="E391" s="67">
        <f t="shared" ref="E391:E454" si="41">D391/(365*24*60)*1.00201</f>
        <v>14.901788137006173</v>
      </c>
      <c r="F391" s="70">
        <f t="shared" si="39"/>
        <v>0.90483657567901477</v>
      </c>
      <c r="G391" s="67">
        <f>E391/'Lookup Tables'!$C$48</f>
        <v>29.803576274012347</v>
      </c>
      <c r="H391" s="70">
        <f t="shared" ref="H391:H454" si="42">G391*60*24*365/(C391*2000)</f>
        <v>6.4909837099001569E-2</v>
      </c>
      <c r="I391" s="71">
        <f t="shared" si="40"/>
        <v>4.2917149834577777E-2</v>
      </c>
      <c r="L391" s="74"/>
      <c r="M391" s="74"/>
      <c r="N391" s="74"/>
      <c r="O391" s="74"/>
      <c r="P391" s="74"/>
      <c r="Q391" s="74"/>
      <c r="R391" s="74"/>
      <c r="S391" s="74"/>
      <c r="T391" s="74"/>
      <c r="U391" s="74"/>
      <c r="V391" s="74"/>
      <c r="W391" s="74"/>
      <c r="X391" s="74"/>
      <c r="Y391" s="74"/>
      <c r="Z391" s="74"/>
    </row>
    <row r="392" spans="1:26" x14ac:dyDescent="0.3">
      <c r="A392" s="66">
        <f t="shared" si="38"/>
        <v>2028.499999999965</v>
      </c>
      <c r="B392" s="67">
        <f>LOOKUP(A392+0.01,Amounts!$A$4:$A$103,Amounts!$B$4:$B$103)*0.1*$A$2</f>
        <v>0</v>
      </c>
      <c r="C392" s="68">
        <f t="shared" si="37"/>
        <v>120665.52921499971</v>
      </c>
      <c r="D392" s="67">
        <f t="array" ref="D392">SUM($B$7:$B387*$F$1009*EXP(-$F$1009*($A392-$A$7:$A387)))*$F$1010</f>
        <v>7805732.6625275295</v>
      </c>
      <c r="E392" s="67">
        <f t="shared" si="41"/>
        <v>14.880940230554053</v>
      </c>
      <c r="F392" s="70">
        <f t="shared" si="39"/>
        <v>0.90357069079924213</v>
      </c>
      <c r="G392" s="67">
        <f>E392/'Lookup Tables'!$C$48</f>
        <v>29.761880461108106</v>
      </c>
      <c r="H392" s="70">
        <f t="shared" si="42"/>
        <v>6.4819026909028341E-2</v>
      </c>
      <c r="I392" s="71">
        <f t="shared" si="40"/>
        <v>4.2857107863995679E-2</v>
      </c>
      <c r="L392" s="74"/>
      <c r="M392" s="74"/>
      <c r="N392" s="74"/>
      <c r="O392" s="74"/>
      <c r="P392" s="74"/>
      <c r="Q392" s="74"/>
      <c r="R392" s="74"/>
      <c r="S392" s="74"/>
      <c r="T392" s="74"/>
      <c r="U392" s="74"/>
      <c r="V392" s="74"/>
      <c r="W392" s="74"/>
      <c r="X392" s="74"/>
      <c r="Y392" s="74"/>
      <c r="Z392" s="74"/>
    </row>
    <row r="393" spans="1:26" x14ac:dyDescent="0.3">
      <c r="A393" s="66">
        <f t="shared" si="38"/>
        <v>2028.5999999999649</v>
      </c>
      <c r="B393" s="67">
        <f>LOOKUP(A393+0.01,Amounts!$A$4:$A$103,Amounts!$B$4:$B$103)*0.1*$A$2</f>
        <v>0</v>
      </c>
      <c r="C393" s="68">
        <f t="shared" ref="C393:C456" si="43">C392+B393</f>
        <v>120665.52921499971</v>
      </c>
      <c r="D393" s="67">
        <f t="array" ref="D393">SUM($B$7:$B388*$F$1009*EXP(-$F$1009*($A393-$A$7:$A388)))*$F$1010</f>
        <v>7794812.2828494376</v>
      </c>
      <c r="E393" s="67">
        <f t="shared" si="41"/>
        <v>14.860121490749554</v>
      </c>
      <c r="F393" s="70">
        <f t="shared" si="39"/>
        <v>0.90230657691831295</v>
      </c>
      <c r="G393" s="67">
        <f>E393/'Lookup Tables'!$C$48</f>
        <v>29.720242981499108</v>
      </c>
      <c r="H393" s="70">
        <f t="shared" si="42"/>
        <v>6.4728343764368618E-2</v>
      </c>
      <c r="I393" s="71">
        <f t="shared" si="40"/>
        <v>4.2797149893358713E-2</v>
      </c>
      <c r="L393" s="74"/>
      <c r="M393" s="74"/>
      <c r="N393" s="74"/>
      <c r="O393" s="74"/>
      <c r="P393" s="74"/>
      <c r="Q393" s="74"/>
      <c r="R393" s="74"/>
      <c r="S393" s="74"/>
      <c r="T393" s="74"/>
      <c r="U393" s="74"/>
      <c r="V393" s="74"/>
      <c r="W393" s="74"/>
      <c r="X393" s="74"/>
      <c r="Y393" s="74"/>
      <c r="Z393" s="74"/>
    </row>
    <row r="394" spans="1:26" x14ac:dyDescent="0.3">
      <c r="A394" s="66">
        <f t="shared" si="38"/>
        <v>2028.6999999999648</v>
      </c>
      <c r="B394" s="67">
        <f>LOOKUP(A394+0.01,Amounts!$A$4:$A$103,Amounts!$B$4:$B$103)*0.1*$A$2</f>
        <v>0</v>
      </c>
      <c r="C394" s="68">
        <f t="shared" si="43"/>
        <v>120665.52921499971</v>
      </c>
      <c r="D394" s="67">
        <f t="array" ref="D394">SUM($B$7:$B389*$F$1009*EXP(-$F$1009*($A394-$A$7:$A389)))*$F$1010</f>
        <v>7783907.1810059147</v>
      </c>
      <c r="E394" s="67">
        <f t="shared" si="41"/>
        <v>14.839331876787933</v>
      </c>
      <c r="F394" s="70">
        <f t="shared" si="39"/>
        <v>0.90104423155856328</v>
      </c>
      <c r="G394" s="67">
        <f>E394/'Lookup Tables'!$C$48</f>
        <v>29.678663753575865</v>
      </c>
      <c r="H394" s="70">
        <f t="shared" si="42"/>
        <v>6.4637787487283396E-2</v>
      </c>
      <c r="I394" s="71">
        <f t="shared" si="40"/>
        <v>4.2737275805149251E-2</v>
      </c>
      <c r="L394" s="74"/>
      <c r="M394" s="74"/>
      <c r="N394" s="74"/>
      <c r="O394" s="74"/>
      <c r="P394" s="74"/>
      <c r="Q394" s="74"/>
      <c r="R394" s="74"/>
      <c r="S394" s="74"/>
      <c r="T394" s="74"/>
      <c r="U394" s="74"/>
      <c r="V394" s="74"/>
      <c r="W394" s="74"/>
      <c r="X394" s="74"/>
      <c r="Y394" s="74"/>
      <c r="Z394" s="74"/>
    </row>
    <row r="395" spans="1:26" x14ac:dyDescent="0.3">
      <c r="A395" s="66">
        <f t="shared" si="38"/>
        <v>2028.7999999999647</v>
      </c>
      <c r="B395" s="67">
        <f>LOOKUP(A395+0.01,Amounts!$A$4:$A$103,Amounts!$B$4:$B$103)*0.1*$A$2</f>
        <v>0</v>
      </c>
      <c r="C395" s="68">
        <f t="shared" si="43"/>
        <v>120665.52921499971</v>
      </c>
      <c r="D395" s="67">
        <f t="array" ref="D395">SUM($B$7:$B390*$F$1009*EXP(-$F$1009*($A395-$A$7:$A390)))*$F$1010</f>
        <v>7773017.335622956</v>
      </c>
      <c r="E395" s="67">
        <f t="shared" si="41"/>
        <v>14.818571347921536</v>
      </c>
      <c r="F395" s="70">
        <f t="shared" si="39"/>
        <v>0.8997836522457956</v>
      </c>
      <c r="G395" s="67">
        <f>E395/'Lookup Tables'!$C$48</f>
        <v>29.637142695843071</v>
      </c>
      <c r="H395" s="70">
        <f t="shared" si="42"/>
        <v>6.4547357900282334E-2</v>
      </c>
      <c r="I395" s="71">
        <f t="shared" si="40"/>
        <v>4.2677485482014027E-2</v>
      </c>
      <c r="L395" s="74"/>
      <c r="M395" s="74"/>
      <c r="N395" s="74"/>
      <c r="O395" s="74"/>
      <c r="P395" s="74"/>
      <c r="Q395" s="74"/>
      <c r="R395" s="74"/>
      <c r="S395" s="74"/>
      <c r="T395" s="74"/>
      <c r="U395" s="74"/>
      <c r="V395" s="74"/>
      <c r="W395" s="74"/>
      <c r="X395" s="74"/>
      <c r="Y395" s="74"/>
      <c r="Z395" s="74"/>
    </row>
    <row r="396" spans="1:26" x14ac:dyDescent="0.3">
      <c r="A396" s="66">
        <f t="shared" si="38"/>
        <v>2028.8999999999646</v>
      </c>
      <c r="B396" s="67">
        <f>LOOKUP(A396+0.01,Amounts!$A$4:$A$103,Amounts!$B$4:$B$103)*0.1*$A$2</f>
        <v>0</v>
      </c>
      <c r="C396" s="68">
        <f t="shared" si="43"/>
        <v>120665.52921499971</v>
      </c>
      <c r="D396" s="67">
        <f t="array" ref="D396">SUM($B$7:$B391*$F$1009*EXP(-$F$1009*($A396-$A$7:$A391)))*$F$1010</f>
        <v>7762142.7253564671</v>
      </c>
      <c r="E396" s="67">
        <f t="shared" si="41"/>
        <v>14.79783986345973</v>
      </c>
      <c r="F396" s="70">
        <f t="shared" si="39"/>
        <v>0.89852483650927484</v>
      </c>
      <c r="G396" s="67">
        <f>E396/'Lookup Tables'!$C$48</f>
        <v>29.59567972691946</v>
      </c>
      <c r="H396" s="70">
        <f t="shared" si="42"/>
        <v>6.4457054826123419E-2</v>
      </c>
      <c r="I396" s="71">
        <f t="shared" si="40"/>
        <v>4.2617778806764019E-2</v>
      </c>
      <c r="L396" s="74"/>
      <c r="M396" s="74"/>
      <c r="N396" s="74"/>
      <c r="O396" s="74"/>
      <c r="P396" s="74"/>
      <c r="Q396" s="74"/>
      <c r="R396" s="74"/>
      <c r="S396" s="74"/>
      <c r="T396" s="74"/>
      <c r="U396" s="74"/>
      <c r="V396" s="74"/>
      <c r="W396" s="74"/>
      <c r="X396" s="74"/>
      <c r="Y396" s="74"/>
      <c r="Z396" s="74"/>
    </row>
    <row r="397" spans="1:26" x14ac:dyDescent="0.3">
      <c r="A397" s="66">
        <f t="shared" si="38"/>
        <v>2028.9999999999645</v>
      </c>
      <c r="B397" s="67">
        <f>LOOKUP(A397+0.01,Amounts!$A$4:$A$103,Amounts!$B$4:$B$103)*0.1*$A$2</f>
        <v>0</v>
      </c>
      <c r="C397" s="68">
        <f t="shared" si="43"/>
        <v>120665.52921499971</v>
      </c>
      <c r="D397" s="67">
        <f t="array" ref="D397">SUM($B$7:$B392*$F$1009*EXP(-$F$1009*($A397-$A$7:$A392)))*$F$1010</f>
        <v>7751283.3288922049</v>
      </c>
      <c r="E397" s="67">
        <f t="shared" si="41"/>
        <v>14.777137382768796</v>
      </c>
      <c r="F397" s="70">
        <f t="shared" si="39"/>
        <v>0.89726778188172129</v>
      </c>
      <c r="G397" s="67">
        <f>E397/'Lookup Tables'!$C$48</f>
        <v>29.554274765537592</v>
      </c>
      <c r="H397" s="70">
        <f t="shared" si="42"/>
        <v>6.4366878087812635E-2</v>
      </c>
      <c r="I397" s="71">
        <f t="shared" si="40"/>
        <v>4.2558155662374135E-2</v>
      </c>
      <c r="L397" s="74"/>
      <c r="M397" s="74"/>
      <c r="N397" s="74"/>
      <c r="O397" s="74"/>
      <c r="P397" s="74"/>
      <c r="Q397" s="74"/>
      <c r="R397" s="74"/>
      <c r="S397" s="74"/>
      <c r="T397" s="74"/>
      <c r="U397" s="74"/>
      <c r="V397" s="74"/>
      <c r="W397" s="74"/>
      <c r="X397" s="74"/>
      <c r="Y397" s="74"/>
      <c r="Z397" s="74"/>
    </row>
    <row r="398" spans="1:26" x14ac:dyDescent="0.3">
      <c r="A398" s="66">
        <f t="shared" si="38"/>
        <v>2029.0999999999644</v>
      </c>
      <c r="B398" s="67">
        <f>LOOKUP(A398+0.01,Amounts!$A$4:$A$103,Amounts!$B$4:$B$103)*0.1*$A$2</f>
        <v>0</v>
      </c>
      <c r="C398" s="68">
        <f t="shared" si="43"/>
        <v>120665.52921499971</v>
      </c>
      <c r="D398" s="67">
        <f t="array" ref="D398">SUM($B$7:$B393*$F$1009*EXP(-$F$1009*($A398-$A$7:$A393)))*$F$1010</f>
        <v>7740439.1249457458</v>
      </c>
      <c r="E398" s="67">
        <f t="shared" si="41"/>
        <v>14.756463865271856</v>
      </c>
      <c r="F398" s="70">
        <f t="shared" si="39"/>
        <v>0.89601248589930704</v>
      </c>
      <c r="G398" s="67">
        <f>E398/'Lookup Tables'!$C$48</f>
        <v>29.512927730543712</v>
      </c>
      <c r="H398" s="70">
        <f t="shared" si="42"/>
        <v>6.427682750860346E-2</v>
      </c>
      <c r="I398" s="71">
        <f t="shared" si="40"/>
        <v>4.2498615931982946E-2</v>
      </c>
      <c r="L398" s="74"/>
      <c r="M398" s="74"/>
      <c r="N398" s="74"/>
      <c r="O398" s="74"/>
      <c r="P398" s="74"/>
      <c r="Q398" s="74"/>
      <c r="R398" s="74"/>
      <c r="S398" s="74"/>
      <c r="T398" s="74"/>
      <c r="U398" s="74"/>
      <c r="V398" s="74"/>
      <c r="W398" s="74"/>
      <c r="X398" s="74"/>
      <c r="Y398" s="74"/>
      <c r="Z398" s="74"/>
    </row>
    <row r="399" spans="1:26" x14ac:dyDescent="0.3">
      <c r="A399" s="66">
        <f t="shared" si="38"/>
        <v>2029.1999999999643</v>
      </c>
      <c r="B399" s="67">
        <f>LOOKUP(A399+0.01,Amounts!$A$4:$A$103,Amounts!$B$4:$B$103)*0.1*$A$2</f>
        <v>0</v>
      </c>
      <c r="C399" s="68">
        <f t="shared" si="43"/>
        <v>120665.52921499971</v>
      </c>
      <c r="D399" s="67">
        <f t="array" ref="D399">SUM($B$7:$B394*$F$1009*EXP(-$F$1009*($A399-$A$7:$A394)))*$F$1010</f>
        <v>7729610.0922624525</v>
      </c>
      <c r="E399" s="67">
        <f t="shared" si="41"/>
        <v>14.735819270448822</v>
      </c>
      <c r="F399" s="70">
        <f t="shared" si="39"/>
        <v>0.89475894610165241</v>
      </c>
      <c r="G399" s="67">
        <f>E399/'Lookup Tables'!$C$48</f>
        <v>29.471638540897644</v>
      </c>
      <c r="H399" s="70">
        <f t="shared" si="42"/>
        <v>6.4186902911996815E-2</v>
      </c>
      <c r="I399" s="71">
        <f t="shared" si="40"/>
        <v>4.2439159498892605E-2</v>
      </c>
      <c r="L399" s="74"/>
      <c r="M399" s="74"/>
      <c r="N399" s="74"/>
      <c r="O399" s="74"/>
      <c r="P399" s="74"/>
      <c r="Q399" s="74"/>
      <c r="R399" s="74"/>
      <c r="S399" s="74"/>
      <c r="T399" s="74"/>
      <c r="U399" s="74"/>
      <c r="V399" s="74"/>
      <c r="W399" s="74"/>
      <c r="X399" s="74"/>
      <c r="Y399" s="74"/>
      <c r="Z399" s="74"/>
    </row>
    <row r="400" spans="1:26" x14ac:dyDescent="0.3">
      <c r="A400" s="66">
        <f t="shared" si="38"/>
        <v>2029.2999999999643</v>
      </c>
      <c r="B400" s="67">
        <f>LOOKUP(A400+0.01,Amounts!$A$4:$A$103,Amounts!$B$4:$B$103)*0.1*$A$2</f>
        <v>0</v>
      </c>
      <c r="C400" s="68">
        <f t="shared" si="43"/>
        <v>120665.52921499971</v>
      </c>
      <c r="D400" s="67">
        <f t="array" ref="D400">SUM($B$7:$B395*$F$1009*EXP(-$F$1009*($A400-$A$7:$A395)))*$F$1010</f>
        <v>7718796.2096174145</v>
      </c>
      <c r="E400" s="67">
        <f t="shared" si="41"/>
        <v>14.715203557836274</v>
      </c>
      <c r="F400" s="70">
        <f t="shared" si="39"/>
        <v>0.89350716003181851</v>
      </c>
      <c r="G400" s="67">
        <f>E400/'Lookup Tables'!$C$48</f>
        <v>29.430407115672548</v>
      </c>
      <c r="H400" s="70">
        <f t="shared" si="42"/>
        <v>6.4097104121740398E-2</v>
      </c>
      <c r="I400" s="71">
        <f t="shared" si="40"/>
        <v>4.237978624656847E-2</v>
      </c>
      <c r="L400" s="74"/>
      <c r="M400" s="74"/>
      <c r="N400" s="74"/>
      <c r="O400" s="74"/>
      <c r="P400" s="74"/>
      <c r="Q400" s="74"/>
      <c r="R400" s="74"/>
      <c r="S400" s="74"/>
      <c r="T400" s="74"/>
      <c r="U400" s="74"/>
      <c r="V400" s="74"/>
      <c r="W400" s="74"/>
      <c r="X400" s="74"/>
      <c r="Y400" s="74"/>
      <c r="Z400" s="74"/>
    </row>
    <row r="401" spans="1:26" x14ac:dyDescent="0.3">
      <c r="A401" s="66">
        <f t="shared" si="38"/>
        <v>2029.3999999999642</v>
      </c>
      <c r="B401" s="67">
        <f>LOOKUP(A401+0.01,Amounts!$A$4:$A$103,Amounts!$B$4:$B$103)*0.1*$A$2</f>
        <v>0</v>
      </c>
      <c r="C401" s="68">
        <f t="shared" si="43"/>
        <v>120665.52921499971</v>
      </c>
      <c r="D401" s="67">
        <f t="array" ref="D401">SUM($B$7:$B396*$F$1009*EXP(-$F$1009*($A401-$A$7:$A396)))*$F$1010</f>
        <v>7707997.4558154177</v>
      </c>
      <c r="E401" s="67">
        <f t="shared" si="41"/>
        <v>14.694616687027411</v>
      </c>
      <c r="F401" s="70">
        <f t="shared" si="39"/>
        <v>0.8922571252363044</v>
      </c>
      <c r="G401" s="67">
        <f>E401/'Lookup Tables'!$C$48</f>
        <v>29.389233374054822</v>
      </c>
      <c r="H401" s="70">
        <f t="shared" si="42"/>
        <v>6.4007430961828621E-2</v>
      </c>
      <c r="I401" s="71">
        <f t="shared" si="40"/>
        <v>4.232049605863894E-2</v>
      </c>
      <c r="L401" s="74"/>
      <c r="M401" s="74"/>
      <c r="N401" s="74"/>
      <c r="O401" s="74"/>
      <c r="P401" s="74"/>
      <c r="Q401" s="74"/>
      <c r="R401" s="74"/>
      <c r="S401" s="74"/>
      <c r="T401" s="74"/>
      <c r="U401" s="74"/>
      <c r="V401" s="74"/>
      <c r="W401" s="74"/>
      <c r="X401" s="74"/>
      <c r="Y401" s="74"/>
      <c r="Z401" s="74"/>
    </row>
    <row r="402" spans="1:26" x14ac:dyDescent="0.3">
      <c r="A402" s="66">
        <f t="shared" si="38"/>
        <v>2029.4999999999641</v>
      </c>
      <c r="B402" s="67">
        <f>LOOKUP(A402+0.01,Amounts!$A$4:$A$103,Amounts!$B$4:$B$103)*0.1*$A$2</f>
        <v>0</v>
      </c>
      <c r="C402" s="68">
        <f t="shared" si="43"/>
        <v>120665.52921499971</v>
      </c>
      <c r="D402" s="67">
        <f t="array" ref="D402">SUM($B$7:$B397*$F$1009*EXP(-$F$1009*($A402-$A$7:$A397)))*$F$1010</f>
        <v>7697213.8096909011</v>
      </c>
      <c r="E402" s="67">
        <f t="shared" si="41"/>
        <v>14.674058617671957</v>
      </c>
      <c r="F402" s="70">
        <f t="shared" si="39"/>
        <v>0.89100883926504115</v>
      </c>
      <c r="G402" s="67">
        <f>E402/'Lookup Tables'!$C$48</f>
        <v>29.348117235343913</v>
      </c>
      <c r="H402" s="70">
        <f t="shared" si="42"/>
        <v>6.3917883256501981E-2</v>
      </c>
      <c r="I402" s="71">
        <f t="shared" si="40"/>
        <v>4.2261288818895237E-2</v>
      </c>
      <c r="L402" s="74"/>
      <c r="M402" s="74"/>
      <c r="N402" s="74"/>
      <c r="O402" s="74"/>
      <c r="P402" s="74"/>
      <c r="Q402" s="74"/>
      <c r="R402" s="74"/>
      <c r="S402" s="74"/>
      <c r="T402" s="74"/>
      <c r="U402" s="74"/>
      <c r="V402" s="74"/>
      <c r="W402" s="74"/>
      <c r="X402" s="74"/>
      <c r="Y402" s="74"/>
      <c r="Z402" s="74"/>
    </row>
    <row r="403" spans="1:26" x14ac:dyDescent="0.3">
      <c r="A403" s="66">
        <f t="shared" ref="A403:A466" si="44">A402+0.1</f>
        <v>2029.599999999964</v>
      </c>
      <c r="B403" s="67">
        <f>LOOKUP(A403+0.01,Amounts!$A$4:$A$103,Amounts!$B$4:$B$103)*0.1*$A$2</f>
        <v>0</v>
      </c>
      <c r="C403" s="68">
        <f t="shared" si="43"/>
        <v>120665.52921499971</v>
      </c>
      <c r="D403" s="67">
        <f t="array" ref="D403">SUM($B$7:$B398*$F$1009*EXP(-$F$1009*($A403-$A$7:$A398)))*$F$1010</f>
        <v>7686445.2501079189</v>
      </c>
      <c r="E403" s="67">
        <f t="shared" si="41"/>
        <v>14.653529309476095</v>
      </c>
      <c r="F403" s="70">
        <f t="shared" ref="F403:F466" si="45">E403*60*1012/1000000</f>
        <v>0.88976229967138853</v>
      </c>
      <c r="G403" s="67">
        <f>E403/'Lookup Tables'!$C$48</f>
        <v>29.30705861895219</v>
      </c>
      <c r="H403" s="70">
        <f t="shared" si="42"/>
        <v>6.3828460830247027E-2</v>
      </c>
      <c r="I403" s="71">
        <f t="shared" ref="I403:I466" si="46">G403*60*24/1000000</f>
        <v>4.2202164411291161E-2</v>
      </c>
      <c r="L403" s="74"/>
      <c r="M403" s="74"/>
      <c r="N403" s="74"/>
      <c r="O403" s="74"/>
      <c r="P403" s="74"/>
      <c r="Q403" s="74"/>
      <c r="R403" s="74"/>
      <c r="S403" s="74"/>
      <c r="T403" s="74"/>
      <c r="U403" s="74"/>
      <c r="V403" s="74"/>
      <c r="W403" s="74"/>
      <c r="X403" s="74"/>
      <c r="Y403" s="74"/>
      <c r="Z403" s="74"/>
    </row>
    <row r="404" spans="1:26" x14ac:dyDescent="0.3">
      <c r="A404" s="66">
        <f t="shared" si="44"/>
        <v>2029.6999999999639</v>
      </c>
      <c r="B404" s="67">
        <f>LOOKUP(A404+0.01,Amounts!$A$4:$A$103,Amounts!$B$4:$B$103)*0.1*$A$2</f>
        <v>0</v>
      </c>
      <c r="C404" s="68">
        <f t="shared" si="43"/>
        <v>120665.52921499971</v>
      </c>
      <c r="D404" s="67">
        <f t="array" ref="D404">SUM($B$7:$B399*$F$1009*EXP(-$F$1009*($A404-$A$7:$A399)))*$F$1010</f>
        <v>7675691.7559600864</v>
      </c>
      <c r="E404" s="67">
        <f t="shared" si="41"/>
        <v>14.633028722202372</v>
      </c>
      <c r="F404" s="70">
        <f t="shared" si="45"/>
        <v>0.88851750401212803</v>
      </c>
      <c r="G404" s="67">
        <f>E404/'Lookup Tables'!$C$48</f>
        <v>29.266057444404744</v>
      </c>
      <c r="H404" s="70">
        <f t="shared" si="42"/>
        <v>6.3739163507795724E-2</v>
      </c>
      <c r="I404" s="71">
        <f t="shared" si="46"/>
        <v>4.2143122719942833E-2</v>
      </c>
      <c r="L404" s="74"/>
      <c r="M404" s="74"/>
      <c r="N404" s="74"/>
      <c r="O404" s="74"/>
      <c r="P404" s="74"/>
      <c r="Q404" s="74"/>
      <c r="R404" s="74"/>
      <c r="S404" s="74"/>
      <c r="T404" s="74"/>
      <c r="U404" s="74"/>
      <c r="V404" s="74"/>
      <c r="W404" s="74"/>
      <c r="X404" s="74"/>
      <c r="Y404" s="74"/>
      <c r="Z404" s="74"/>
    </row>
    <row r="405" spans="1:26" x14ac:dyDescent="0.3">
      <c r="A405" s="66">
        <f t="shared" si="44"/>
        <v>2029.7999999999638</v>
      </c>
      <c r="B405" s="67">
        <f>LOOKUP(A405+0.01,Amounts!$A$4:$A$103,Amounts!$B$4:$B$103)*0.1*$A$2</f>
        <v>0</v>
      </c>
      <c r="C405" s="68">
        <f t="shared" si="43"/>
        <v>120665.52921499971</v>
      </c>
      <c r="D405" s="67">
        <f t="array" ref="D405">SUM($B$7:$B400*$F$1009*EXP(-$F$1009*($A405-$A$7:$A400)))*$F$1010</f>
        <v>7664953.3061705539</v>
      </c>
      <c r="E405" s="67">
        <f t="shared" si="41"/>
        <v>14.612556815669629</v>
      </c>
      <c r="F405" s="70">
        <f t="shared" si="45"/>
        <v>0.88727444984745996</v>
      </c>
      <c r="G405" s="67">
        <f>E405/'Lookup Tables'!$C$48</f>
        <v>29.225113631339259</v>
      </c>
      <c r="H405" s="70">
        <f t="shared" si="42"/>
        <v>6.3649991114125296E-2</v>
      </c>
      <c r="I405" s="71">
        <f t="shared" si="46"/>
        <v>4.2084163629128535E-2</v>
      </c>
      <c r="L405" s="74"/>
      <c r="M405" s="74"/>
      <c r="N405" s="74"/>
      <c r="O405" s="74"/>
      <c r="P405" s="74"/>
      <c r="Q405" s="74"/>
      <c r="R405" s="74"/>
      <c r="S405" s="74"/>
      <c r="T405" s="74"/>
      <c r="U405" s="74"/>
      <c r="V405" s="74"/>
      <c r="W405" s="74"/>
      <c r="X405" s="74"/>
      <c r="Y405" s="74"/>
      <c r="Z405" s="74"/>
    </row>
    <row r="406" spans="1:26" x14ac:dyDescent="0.3">
      <c r="A406" s="66">
        <f t="shared" si="44"/>
        <v>2029.8999999999637</v>
      </c>
      <c r="B406" s="67">
        <f>LOOKUP(A406+0.01,Amounts!$A$4:$A$103,Amounts!$B$4:$B$103)*0.1*$A$2</f>
        <v>0</v>
      </c>
      <c r="C406" s="68">
        <f t="shared" si="43"/>
        <v>120665.52921499971</v>
      </c>
      <c r="D406" s="67">
        <f t="array" ref="D406">SUM($B$7:$B401*$F$1009*EXP(-$F$1009*($A406-$A$7:$A401)))*$F$1010</f>
        <v>7654229.8796919519</v>
      </c>
      <c r="E406" s="67">
        <f t="shared" si="41"/>
        <v>14.592113549752918</v>
      </c>
      <c r="F406" s="70">
        <f t="shared" si="45"/>
        <v>0.88603313474099721</v>
      </c>
      <c r="G406" s="67">
        <f>E406/'Lookup Tables'!$C$48</f>
        <v>29.184227099505836</v>
      </c>
      <c r="H406" s="70">
        <f t="shared" si="42"/>
        <v>6.3560943474457801E-2</v>
      </c>
      <c r="I406" s="71">
        <f t="shared" si="46"/>
        <v>4.20252870232884E-2</v>
      </c>
      <c r="L406" s="74"/>
      <c r="M406" s="74"/>
      <c r="N406" s="74"/>
      <c r="O406" s="74"/>
      <c r="P406" s="74"/>
      <c r="Q406" s="74"/>
      <c r="R406" s="74"/>
      <c r="S406" s="74"/>
      <c r="T406" s="74"/>
      <c r="U406" s="74"/>
      <c r="V406" s="74"/>
      <c r="W406" s="74"/>
      <c r="X406" s="74"/>
      <c r="Y406" s="74"/>
      <c r="Z406" s="74"/>
    </row>
    <row r="407" spans="1:26" x14ac:dyDescent="0.3">
      <c r="A407" s="66">
        <f t="shared" si="44"/>
        <v>2029.9999999999636</v>
      </c>
      <c r="B407" s="67">
        <f>LOOKUP(A407+0.01,Amounts!$A$4:$A$103,Amounts!$B$4:$B$103)*0.1*$A$2</f>
        <v>0</v>
      </c>
      <c r="C407" s="68">
        <f t="shared" si="43"/>
        <v>120665.52921499971</v>
      </c>
      <c r="D407" s="67">
        <f t="array" ref="D407">SUM($B$7:$B402*$F$1009*EXP(-$F$1009*($A407-$A$7:$A402)))*$F$1010</f>
        <v>7643521.4555063648</v>
      </c>
      <c r="E407" s="67">
        <f t="shared" si="41"/>
        <v>14.571698884383435</v>
      </c>
      <c r="F407" s="70">
        <f t="shared" si="45"/>
        <v>0.88479355625976219</v>
      </c>
      <c r="G407" s="67">
        <f>E407/'Lookup Tables'!$C$48</f>
        <v>29.143397768766871</v>
      </c>
      <c r="H407" s="70">
        <f t="shared" si="42"/>
        <v>6.3472020414259894E-2</v>
      </c>
      <c r="I407" s="71">
        <f t="shared" si="46"/>
        <v>4.1966492787024294E-2</v>
      </c>
      <c r="L407" s="74"/>
      <c r="M407" s="74"/>
      <c r="N407" s="74"/>
      <c r="O407" s="74"/>
      <c r="P407" s="74"/>
      <c r="Q407" s="74"/>
      <c r="R407" s="74"/>
      <c r="S407" s="74"/>
      <c r="T407" s="74"/>
      <c r="U407" s="74"/>
      <c r="V407" s="74"/>
      <c r="W407" s="74"/>
      <c r="X407" s="74"/>
      <c r="Y407" s="74"/>
      <c r="Z407" s="74"/>
    </row>
    <row r="408" spans="1:26" x14ac:dyDescent="0.3">
      <c r="A408" s="66">
        <f t="shared" si="44"/>
        <v>2030.0999999999635</v>
      </c>
      <c r="B408" s="67">
        <f>LOOKUP(A408+0.01,Amounts!$A$4:$A$103,Amounts!$B$4:$B$103)*0.1*$A$2</f>
        <v>0</v>
      </c>
      <c r="C408" s="68">
        <f t="shared" si="43"/>
        <v>120665.52921499971</v>
      </c>
      <c r="D408" s="67">
        <f t="array" ref="D408">SUM($B$7:$B403*$F$1009*EXP(-$F$1009*($A408-$A$7:$A403)))*$F$1010</f>
        <v>7632828.0126252789</v>
      </c>
      <c r="E408" s="67">
        <f t="shared" si="41"/>
        <v>14.551312779548434</v>
      </c>
      <c r="F408" s="70">
        <f t="shared" si="45"/>
        <v>0.88355571197418104</v>
      </c>
      <c r="G408" s="67">
        <f>E408/'Lookup Tables'!$C$48</f>
        <v>29.102625559096868</v>
      </c>
      <c r="H408" s="70">
        <f t="shared" si="42"/>
        <v>6.3383221759242311E-2</v>
      </c>
      <c r="I408" s="71">
        <f t="shared" si="46"/>
        <v>4.1907780805099493E-2</v>
      </c>
      <c r="L408" s="74"/>
      <c r="M408" s="74"/>
      <c r="N408" s="74"/>
      <c r="O408" s="74"/>
      <c r="P408" s="74"/>
      <c r="Q408" s="74"/>
      <c r="R408" s="74"/>
      <c r="S408" s="74"/>
      <c r="T408" s="74"/>
      <c r="U408" s="74"/>
      <c r="V408" s="74"/>
      <c r="W408" s="74"/>
      <c r="X408" s="74"/>
      <c r="Y408" s="74"/>
      <c r="Z408" s="74"/>
    </row>
    <row r="409" spans="1:26" x14ac:dyDescent="0.3">
      <c r="A409" s="66">
        <f t="shared" si="44"/>
        <v>2030.1999999999634</v>
      </c>
      <c r="B409" s="67">
        <f>LOOKUP(A409+0.01,Amounts!$A$4:$A$103,Amounts!$B$4:$B$103)*0.1*$A$2</f>
        <v>0</v>
      </c>
      <c r="C409" s="68">
        <f t="shared" si="43"/>
        <v>120665.52921499971</v>
      </c>
      <c r="D409" s="67">
        <f t="array" ref="D409">SUM($B$7:$B404*$F$1009*EXP(-$F$1009*($A409-$A$7:$A404)))*$F$1010</f>
        <v>7622149.5300895432</v>
      </c>
      <c r="E409" s="67">
        <f t="shared" si="41"/>
        <v>14.53095519529114</v>
      </c>
      <c r="F409" s="70">
        <f t="shared" si="45"/>
        <v>0.88231959945807803</v>
      </c>
      <c r="G409" s="67">
        <f>E409/'Lookup Tables'!$C$48</f>
        <v>29.06191039058228</v>
      </c>
      <c r="H409" s="70">
        <f t="shared" si="42"/>
        <v>6.3294547335359663E-2</v>
      </c>
      <c r="I409" s="71">
        <f t="shared" si="46"/>
        <v>4.1849150962438485E-2</v>
      </c>
      <c r="L409" s="74"/>
      <c r="M409" s="74"/>
      <c r="N409" s="74"/>
      <c r="O409" s="74"/>
      <c r="P409" s="74"/>
      <c r="Q409" s="74"/>
      <c r="R409" s="74"/>
      <c r="S409" s="74"/>
      <c r="T409" s="74"/>
      <c r="U409" s="74"/>
      <c r="V409" s="74"/>
      <c r="W409" s="74"/>
      <c r="X409" s="74"/>
      <c r="Y409" s="74"/>
      <c r="Z409" s="74"/>
    </row>
    <row r="410" spans="1:26" x14ac:dyDescent="0.3">
      <c r="A410" s="66">
        <f t="shared" si="44"/>
        <v>2030.2999999999633</v>
      </c>
      <c r="B410" s="67">
        <f>LOOKUP(A410+0.01,Amounts!$A$4:$A$103,Amounts!$B$4:$B$103)*0.1*$A$2</f>
        <v>0</v>
      </c>
      <c r="C410" s="68">
        <f t="shared" si="43"/>
        <v>120665.52921499971</v>
      </c>
      <c r="D410" s="67">
        <f t="array" ref="D410">SUM($B$7:$B405*$F$1009*EXP(-$F$1009*($A410-$A$7:$A405)))*$F$1010</f>
        <v>7611485.9869693192</v>
      </c>
      <c r="E410" s="67">
        <f t="shared" si="41"/>
        <v>14.510626091710671</v>
      </c>
      <c r="F410" s="70">
        <f t="shared" si="45"/>
        <v>0.88108521628867198</v>
      </c>
      <c r="G410" s="67">
        <f>E410/'Lookup Tables'!$C$48</f>
        <v>29.021252183421343</v>
      </c>
      <c r="H410" s="70">
        <f t="shared" si="42"/>
        <v>6.3205996968810019E-2</v>
      </c>
      <c r="I410" s="71">
        <f t="shared" si="46"/>
        <v>4.1790603144126734E-2</v>
      </c>
      <c r="L410" s="74"/>
      <c r="M410" s="74"/>
      <c r="N410" s="74"/>
      <c r="O410" s="74"/>
      <c r="P410" s="74"/>
      <c r="Q410" s="74"/>
      <c r="R410" s="74"/>
      <c r="S410" s="74"/>
      <c r="T410" s="74"/>
      <c r="U410" s="74"/>
      <c r="V410" s="74"/>
      <c r="W410" s="74"/>
      <c r="X410" s="74"/>
      <c r="Y410" s="74"/>
      <c r="Z410" s="74"/>
    </row>
    <row r="411" spans="1:26" x14ac:dyDescent="0.3">
      <c r="A411" s="66">
        <f t="shared" si="44"/>
        <v>2030.3999999999633</v>
      </c>
      <c r="B411" s="67">
        <f>LOOKUP(A411+0.01,Amounts!$A$4:$A$103,Amounts!$B$4:$B$103)*0.1*$A$2</f>
        <v>0</v>
      </c>
      <c r="C411" s="68">
        <f t="shared" si="43"/>
        <v>120665.52921499971</v>
      </c>
      <c r="D411" s="67">
        <f t="array" ref="D411">SUM($B$7:$B406*$F$1009*EXP(-$F$1009*($A411-$A$7:$A406)))*$F$1010</f>
        <v>7600837.3623640705</v>
      </c>
      <c r="E411" s="67">
        <f t="shared" si="41"/>
        <v>14.490325428961992</v>
      </c>
      <c r="F411" s="70">
        <f t="shared" si="45"/>
        <v>0.87985256004657209</v>
      </c>
      <c r="G411" s="67">
        <f>E411/'Lookup Tables'!$C$48</f>
        <v>28.980650857923983</v>
      </c>
      <c r="H411" s="70">
        <f t="shared" si="42"/>
        <v>6.3117570486034696E-2</v>
      </c>
      <c r="I411" s="71">
        <f t="shared" si="46"/>
        <v>4.1732137235410534E-2</v>
      </c>
      <c r="L411" s="74"/>
      <c r="M411" s="74"/>
      <c r="N411" s="74"/>
      <c r="O411" s="74"/>
      <c r="P411" s="74"/>
      <c r="Q411" s="74"/>
      <c r="R411" s="74"/>
      <c r="S411" s="74"/>
      <c r="T411" s="74"/>
      <c r="U411" s="74"/>
      <c r="V411" s="74"/>
      <c r="W411" s="74"/>
      <c r="X411" s="74"/>
      <c r="Y411" s="74"/>
      <c r="Z411" s="74"/>
    </row>
    <row r="412" spans="1:26" x14ac:dyDescent="0.3">
      <c r="A412" s="66">
        <f t="shared" si="44"/>
        <v>2030.4999999999632</v>
      </c>
      <c r="B412" s="67">
        <f>LOOKUP(A412+0.01,Amounts!$A$4:$A$103,Amounts!$B$4:$B$103)*0.1*$A$2</f>
        <v>0</v>
      </c>
      <c r="C412" s="68">
        <f t="shared" si="43"/>
        <v>120665.52921499971</v>
      </c>
      <c r="D412" s="67">
        <f t="array" ref="D412">SUM($B$7:$B407*$F$1009*EXP(-$F$1009*($A412-$A$7:$A407)))*$F$1010</f>
        <v>7590203.6354024839</v>
      </c>
      <c r="E412" s="67">
        <f t="shared" si="41"/>
        <v>14.47005316725579</v>
      </c>
      <c r="F412" s="70">
        <f t="shared" si="45"/>
        <v>0.87862162831577151</v>
      </c>
      <c r="G412" s="67">
        <f>E412/'Lookup Tables'!$C$48</f>
        <v>28.940106334511579</v>
      </c>
      <c r="H412" s="70">
        <f t="shared" si="42"/>
        <v>6.302926771371771E-2</v>
      </c>
      <c r="I412" s="71">
        <f t="shared" si="46"/>
        <v>4.1673753121696674E-2</v>
      </c>
      <c r="L412" s="74"/>
      <c r="M412" s="74"/>
      <c r="N412" s="74"/>
      <c r="O412" s="74"/>
      <c r="P412" s="74"/>
      <c r="Q412" s="74"/>
      <c r="R412" s="74"/>
      <c r="S412" s="74"/>
      <c r="T412" s="74"/>
      <c r="U412" s="74"/>
      <c r="V412" s="74"/>
      <c r="W412" s="74"/>
      <c r="X412" s="74"/>
      <c r="Y412" s="74"/>
      <c r="Z412" s="74"/>
    </row>
    <row r="413" spans="1:26" x14ac:dyDescent="0.3">
      <c r="A413" s="66">
        <f t="shared" si="44"/>
        <v>2030.5999999999631</v>
      </c>
      <c r="B413" s="67">
        <f>LOOKUP(A413+0.01,Amounts!$A$4:$A$103,Amounts!$B$4:$B$103)*0.1*$A$2</f>
        <v>0</v>
      </c>
      <c r="C413" s="68">
        <f t="shared" si="43"/>
        <v>120665.52921499971</v>
      </c>
      <c r="D413" s="67">
        <f t="array" ref="D413">SUM($B$7:$B408*$F$1009*EXP(-$F$1009*($A413-$A$7:$A408)))*$F$1010</f>
        <v>7579584.7852424541</v>
      </c>
      <c r="E413" s="67">
        <f t="shared" si="41"/>
        <v>14.449809266858432</v>
      </c>
      <c r="F413" s="70">
        <f t="shared" si="45"/>
        <v>0.87739241868364404</v>
      </c>
      <c r="G413" s="67">
        <f>E413/'Lookup Tables'!$C$48</f>
        <v>28.899618533716865</v>
      </c>
      <c r="H413" s="70">
        <f t="shared" si="42"/>
        <v>6.2941088478785656E-2</v>
      </c>
      <c r="I413" s="71">
        <f t="shared" si="46"/>
        <v>4.1615450688552283E-2</v>
      </c>
      <c r="L413" s="74"/>
      <c r="M413" s="74"/>
      <c r="N413" s="74"/>
      <c r="O413" s="74"/>
      <c r="P413" s="74"/>
      <c r="Q413" s="74"/>
      <c r="R413" s="74"/>
      <c r="S413" s="74"/>
      <c r="T413" s="74"/>
      <c r="U413" s="74"/>
      <c r="V413" s="74"/>
      <c r="W413" s="74"/>
      <c r="X413" s="74"/>
      <c r="Y413" s="74"/>
      <c r="Z413" s="74"/>
    </row>
    <row r="414" spans="1:26" x14ac:dyDescent="0.3">
      <c r="A414" s="66">
        <f t="shared" si="44"/>
        <v>2030.699999999963</v>
      </c>
      <c r="B414" s="67">
        <f>LOOKUP(A414+0.01,Amounts!$A$4:$A$103,Amounts!$B$4:$B$103)*0.1*$A$2</f>
        <v>0</v>
      </c>
      <c r="C414" s="68">
        <f t="shared" si="43"/>
        <v>120665.52921499971</v>
      </c>
      <c r="D414" s="67">
        <f t="array" ref="D414">SUM($B$7:$B409*$F$1009*EXP(-$F$1009*($A414-$A$7:$A409)))*$F$1010</f>
        <v>7568980.7910710294</v>
      </c>
      <c r="E414" s="67">
        <f t="shared" si="41"/>
        <v>14.429593688091861</v>
      </c>
      <c r="F414" s="70">
        <f t="shared" si="45"/>
        <v>0.87616492874093788</v>
      </c>
      <c r="G414" s="67">
        <f>E414/'Lookup Tables'!$C$48</f>
        <v>28.859187376183723</v>
      </c>
      <c r="H414" s="70">
        <f t="shared" si="42"/>
        <v>6.2853032608407161E-2</v>
      </c>
      <c r="I414" s="71">
        <f t="shared" si="46"/>
        <v>4.155722982170456E-2</v>
      </c>
      <c r="L414" s="74"/>
      <c r="M414" s="74"/>
      <c r="N414" s="74"/>
      <c r="O414" s="74"/>
      <c r="P414" s="74"/>
      <c r="Q414" s="74"/>
      <c r="R414" s="74"/>
      <c r="S414" s="74"/>
      <c r="T414" s="74"/>
      <c r="U414" s="74"/>
      <c r="V414" s="74"/>
      <c r="W414" s="74"/>
      <c r="X414" s="74"/>
      <c r="Y414" s="74"/>
      <c r="Z414" s="74"/>
    </row>
    <row r="415" spans="1:26" x14ac:dyDescent="0.3">
      <c r="A415" s="66">
        <f t="shared" si="44"/>
        <v>2030.7999999999629</v>
      </c>
      <c r="B415" s="67">
        <f>LOOKUP(A415+0.01,Amounts!$A$4:$A$103,Amounts!$B$4:$B$103)*0.1*$A$2</f>
        <v>0</v>
      </c>
      <c r="C415" s="68">
        <f t="shared" si="43"/>
        <v>120665.52921499971</v>
      </c>
      <c r="D415" s="67">
        <f t="array" ref="D415">SUM($B$7:$B410*$F$1009*EXP(-$F$1009*($A415-$A$7:$A410)))*$F$1010</f>
        <v>7558391.6321043782</v>
      </c>
      <c r="E415" s="67">
        <f t="shared" si="41"/>
        <v>14.40940639133354</v>
      </c>
      <c r="F415" s="70">
        <f t="shared" si="45"/>
        <v>0.87493915608177264</v>
      </c>
      <c r="G415" s="67">
        <f>E415/'Lookup Tables'!$C$48</f>
        <v>28.818812782667081</v>
      </c>
      <c r="H415" s="70">
        <f t="shared" si="42"/>
        <v>6.2765099929992685E-2</v>
      </c>
      <c r="I415" s="71">
        <f t="shared" si="46"/>
        <v>4.1499090407040598E-2</v>
      </c>
      <c r="L415" s="74"/>
      <c r="M415" s="74"/>
      <c r="N415" s="74"/>
      <c r="O415" s="74"/>
      <c r="P415" s="74"/>
      <c r="Q415" s="74"/>
      <c r="R415" s="74"/>
      <c r="S415" s="74"/>
      <c r="T415" s="74"/>
      <c r="U415" s="74"/>
      <c r="V415" s="74"/>
      <c r="W415" s="74"/>
      <c r="X415" s="74"/>
      <c r="Y415" s="74"/>
      <c r="Z415" s="74"/>
    </row>
    <row r="416" spans="1:26" x14ac:dyDescent="0.3">
      <c r="A416" s="66">
        <f t="shared" si="44"/>
        <v>2030.8999999999628</v>
      </c>
      <c r="B416" s="67">
        <f>LOOKUP(A416+0.01,Amounts!$A$4:$A$103,Amounts!$B$4:$B$103)*0.1*$A$2</f>
        <v>0</v>
      </c>
      <c r="C416" s="68">
        <f t="shared" si="43"/>
        <v>120665.52921499971</v>
      </c>
      <c r="D416" s="67">
        <f t="array" ref="D416">SUM($B$7:$B411*$F$1009*EXP(-$F$1009*($A416-$A$7:$A411)))*$F$1010</f>
        <v>7547817.2875877451</v>
      </c>
      <c r="E416" s="67">
        <f t="shared" si="41"/>
        <v>14.389247337016355</v>
      </c>
      <c r="F416" s="70">
        <f t="shared" si="45"/>
        <v>0.87371509830363314</v>
      </c>
      <c r="G416" s="67">
        <f>E416/'Lookup Tables'!$C$48</f>
        <v>28.778494674032711</v>
      </c>
      <c r="H416" s="70">
        <f t="shared" si="42"/>
        <v>6.2677290271194175E-2</v>
      </c>
      <c r="I416" s="71">
        <f t="shared" si="46"/>
        <v>4.1441032330607107E-2</v>
      </c>
      <c r="L416" s="74"/>
      <c r="M416" s="74"/>
      <c r="N416" s="74"/>
      <c r="O416" s="74"/>
      <c r="P416" s="74"/>
      <c r="Q416" s="74"/>
      <c r="R416" s="74"/>
      <c r="S416" s="74"/>
      <c r="T416" s="74"/>
      <c r="U416" s="74"/>
      <c r="V416" s="74"/>
      <c r="W416" s="74"/>
      <c r="X416" s="74"/>
      <c r="Y416" s="74"/>
      <c r="Z416" s="74"/>
    </row>
    <row r="417" spans="1:26" x14ac:dyDescent="0.3">
      <c r="A417" s="66">
        <f t="shared" si="44"/>
        <v>2030.9999999999627</v>
      </c>
      <c r="B417" s="67">
        <f>LOOKUP(A417+0.01,Amounts!$A$4:$A$103,Amounts!$B$4:$B$103)*0.1*$A$2</f>
        <v>0</v>
      </c>
      <c r="C417" s="68">
        <f t="shared" si="43"/>
        <v>120665.52921499971</v>
      </c>
      <c r="D417" s="67">
        <f t="array" ref="D417">SUM($B$7:$B412*$F$1009*EXP(-$F$1009*($A417-$A$7:$A412)))*$F$1010</f>
        <v>7537257.7367954124</v>
      </c>
      <c r="E417" s="67">
        <f t="shared" si="41"/>
        <v>14.36911648562856</v>
      </c>
      <c r="F417" s="70">
        <f t="shared" si="45"/>
        <v>0.87249275300736617</v>
      </c>
      <c r="G417" s="67">
        <f>E417/'Lookup Tables'!$C$48</f>
        <v>28.738232971257119</v>
      </c>
      <c r="H417" s="70">
        <f t="shared" si="42"/>
        <v>6.258960345990465E-2</v>
      </c>
      <c r="I417" s="71">
        <f t="shared" si="46"/>
        <v>4.1383055478610251E-2</v>
      </c>
      <c r="L417" s="74"/>
      <c r="M417" s="74"/>
      <c r="N417" s="74"/>
      <c r="O417" s="74"/>
      <c r="P417" s="74"/>
      <c r="Q417" s="74"/>
      <c r="R417" s="74"/>
      <c r="S417" s="74"/>
      <c r="T417" s="74"/>
      <c r="U417" s="74"/>
      <c r="V417" s="74"/>
      <c r="W417" s="74"/>
      <c r="X417" s="74"/>
      <c r="Y417" s="74"/>
      <c r="Z417" s="74"/>
    </row>
    <row r="418" spans="1:26" x14ac:dyDescent="0.3">
      <c r="A418" s="66">
        <f t="shared" si="44"/>
        <v>2031.0999999999626</v>
      </c>
      <c r="B418" s="67">
        <f>LOOKUP(A418+0.01,Amounts!$A$4:$A$103,Amounts!$B$4:$B$103)*0.1*$A$2</f>
        <v>0</v>
      </c>
      <c r="C418" s="68">
        <f t="shared" si="43"/>
        <v>120665.52921499971</v>
      </c>
      <c r="D418" s="67">
        <f t="array" ref="D418">SUM($B$7:$B413*$F$1009*EXP(-$F$1009*($A418-$A$7:$A413)))*$F$1010</f>
        <v>7526712.9590306552</v>
      </c>
      <c r="E418" s="67">
        <f t="shared" si="41"/>
        <v>14.349013797713676</v>
      </c>
      <c r="F418" s="70">
        <f t="shared" si="45"/>
        <v>0.87127211779717439</v>
      </c>
      <c r="G418" s="67">
        <f>E418/'Lookup Tables'!$C$48</f>
        <v>28.698027595427352</v>
      </c>
      <c r="H418" s="70">
        <f t="shared" si="42"/>
        <v>6.2502039324257949E-2</v>
      </c>
      <c r="I418" s="71">
        <f t="shared" si="46"/>
        <v>4.1325159737415386E-2</v>
      </c>
      <c r="L418" s="74"/>
      <c r="M418" s="74"/>
      <c r="N418" s="74"/>
      <c r="O418" s="74"/>
      <c r="P418" s="74"/>
      <c r="Q418" s="74"/>
      <c r="R418" s="74"/>
      <c r="S418" s="74"/>
      <c r="T418" s="74"/>
      <c r="U418" s="74"/>
      <c r="V418" s="74"/>
      <c r="W418" s="74"/>
      <c r="X418" s="74"/>
      <c r="Y418" s="74"/>
      <c r="Z418" s="74"/>
    </row>
    <row r="419" spans="1:26" x14ac:dyDescent="0.3">
      <c r="A419" s="66">
        <f t="shared" si="44"/>
        <v>2031.1999999999625</v>
      </c>
      <c r="B419" s="67">
        <f>LOOKUP(A419+0.01,Amounts!$A$4:$A$103,Amounts!$B$4:$B$103)*0.1*$A$2</f>
        <v>0</v>
      </c>
      <c r="C419" s="68">
        <f t="shared" si="43"/>
        <v>120665.52921499971</v>
      </c>
      <c r="D419" s="67">
        <f t="array" ref="D419">SUM($B$7:$B414*$F$1009*EXP(-$F$1009*($A419-$A$7:$A414)))*$F$1010</f>
        <v>7516182.9336257083</v>
      </c>
      <c r="E419" s="67">
        <f t="shared" si="41"/>
        <v>14.328939233870427</v>
      </c>
      <c r="F419" s="70">
        <f t="shared" si="45"/>
        <v>0.87005319028061245</v>
      </c>
      <c r="G419" s="67">
        <f>E419/'Lookup Tables'!$C$48</f>
        <v>28.657878467740854</v>
      </c>
      <c r="H419" s="70">
        <f t="shared" si="42"/>
        <v>6.2414597692628325E-2</v>
      </c>
      <c r="I419" s="71">
        <f t="shared" si="46"/>
        <v>4.1267344993546833E-2</v>
      </c>
      <c r="L419" s="74"/>
      <c r="M419" s="74"/>
      <c r="N419" s="74"/>
      <c r="O419" s="74"/>
      <c r="P419" s="74"/>
      <c r="Q419" s="74"/>
      <c r="R419" s="74"/>
      <c r="S419" s="74"/>
      <c r="T419" s="74"/>
      <c r="U419" s="74"/>
      <c r="V419" s="74"/>
      <c r="W419" s="74"/>
      <c r="X419" s="74"/>
      <c r="Y419" s="74"/>
      <c r="Z419" s="74"/>
    </row>
    <row r="420" spans="1:26" x14ac:dyDescent="0.3">
      <c r="A420" s="66">
        <f t="shared" si="44"/>
        <v>2031.2999999999624</v>
      </c>
      <c r="B420" s="67">
        <f>LOOKUP(A420+0.01,Amounts!$A$4:$A$103,Amounts!$B$4:$B$103)*0.1*$A$2</f>
        <v>0</v>
      </c>
      <c r="C420" s="68">
        <f t="shared" si="43"/>
        <v>120665.52921499971</v>
      </c>
      <c r="D420" s="67">
        <f t="array" ref="D420">SUM($B$7:$B415*$F$1009*EXP(-$F$1009*($A420-$A$7:$A415)))*$F$1010</f>
        <v>7505667.6399417184</v>
      </c>
      <c r="E420" s="67">
        <f t="shared" si="41"/>
        <v>14.308892754752668</v>
      </c>
      <c r="F420" s="70">
        <f t="shared" si="45"/>
        <v>0.86883596806858199</v>
      </c>
      <c r="G420" s="67">
        <f>E420/'Lookup Tables'!$C$48</f>
        <v>28.617785509505335</v>
      </c>
      <c r="H420" s="70">
        <f t="shared" si="42"/>
        <v>6.2327278393630184E-2</v>
      </c>
      <c r="I420" s="71">
        <f t="shared" si="46"/>
        <v>4.1209611133687686E-2</v>
      </c>
      <c r="L420" s="74"/>
      <c r="M420" s="74"/>
      <c r="N420" s="74"/>
      <c r="O420" s="74"/>
      <c r="P420" s="74"/>
      <c r="Q420" s="74"/>
      <c r="R420" s="74"/>
      <c r="S420" s="74"/>
      <c r="T420" s="74"/>
      <c r="U420" s="74"/>
      <c r="V420" s="74"/>
      <c r="W420" s="74"/>
      <c r="X420" s="74"/>
      <c r="Y420" s="74"/>
      <c r="Z420" s="74"/>
    </row>
    <row r="421" spans="1:26" x14ac:dyDescent="0.3">
      <c r="A421" s="66">
        <f t="shared" si="44"/>
        <v>2031.3999999999623</v>
      </c>
      <c r="B421" s="67">
        <f>LOOKUP(A421+0.01,Amounts!$A$4:$A$103,Amounts!$B$4:$B$103)*0.1*$A$2</f>
        <v>0</v>
      </c>
      <c r="C421" s="68">
        <f t="shared" si="43"/>
        <v>120665.52921499971</v>
      </c>
      <c r="D421" s="67">
        <f t="array" ref="D421">SUM($B$7:$B416*$F$1009*EXP(-$F$1009*($A421-$A$7:$A416)))*$F$1010</f>
        <v>7495167.0573687097</v>
      </c>
      <c r="E421" s="67">
        <f t="shared" si="41"/>
        <v>14.288874321069294</v>
      </c>
      <c r="F421" s="70">
        <f t="shared" si="45"/>
        <v>0.86762044877532751</v>
      </c>
      <c r="G421" s="67">
        <f>E421/'Lookup Tables'!$C$48</f>
        <v>28.577748642138587</v>
      </c>
      <c r="H421" s="70">
        <f t="shared" si="42"/>
        <v>6.2240081256117658E-2</v>
      </c>
      <c r="I421" s="71">
        <f t="shared" si="46"/>
        <v>4.1151958044679568E-2</v>
      </c>
      <c r="L421" s="74"/>
      <c r="M421" s="74"/>
      <c r="N421" s="74"/>
      <c r="O421" s="74"/>
      <c r="P421" s="74"/>
      <c r="Q421" s="74"/>
      <c r="R421" s="74"/>
      <c r="S421" s="74"/>
      <c r="T421" s="74"/>
      <c r="U421" s="74"/>
      <c r="V421" s="74"/>
      <c r="W421" s="74"/>
      <c r="X421" s="74"/>
      <c r="Y421" s="74"/>
      <c r="Z421" s="74"/>
    </row>
    <row r="422" spans="1:26" x14ac:dyDescent="0.3">
      <c r="A422" s="66">
        <f t="shared" si="44"/>
        <v>2031.4999999999623</v>
      </c>
      <c r="B422" s="67">
        <f>LOOKUP(A422+0.01,Amounts!$A$4:$A$103,Amounts!$B$4:$B$103)*0.1*$A$2</f>
        <v>0</v>
      </c>
      <c r="C422" s="68">
        <f t="shared" si="43"/>
        <v>120665.52921499971</v>
      </c>
      <c r="D422" s="67">
        <f t="array" ref="D422">SUM($B$7:$B417*$F$1009*EXP(-$F$1009*($A422-$A$7:$A417)))*$F$1010</f>
        <v>7484681.1653255308</v>
      </c>
      <c r="E422" s="67">
        <f t="shared" si="41"/>
        <v>14.268883893584164</v>
      </c>
      <c r="F422" s="70">
        <f t="shared" si="45"/>
        <v>0.86640663001843043</v>
      </c>
      <c r="G422" s="67">
        <f>E422/'Lookup Tables'!$C$48</f>
        <v>28.537767787168328</v>
      </c>
      <c r="H422" s="70">
        <f t="shared" si="42"/>
        <v>6.2153006109184325E-2</v>
      </c>
      <c r="I422" s="71">
        <f t="shared" si="46"/>
        <v>4.109438561352239E-2</v>
      </c>
      <c r="L422" s="74"/>
      <c r="M422" s="74"/>
      <c r="N422" s="74"/>
      <c r="O422" s="74"/>
      <c r="P422" s="74"/>
      <c r="Q422" s="74"/>
      <c r="R422" s="74"/>
      <c r="S422" s="74"/>
      <c r="T422" s="74"/>
      <c r="U422" s="74"/>
      <c r="V422" s="74"/>
      <c r="W422" s="74"/>
      <c r="X422" s="74"/>
      <c r="Y422" s="74"/>
      <c r="Z422" s="74"/>
    </row>
    <row r="423" spans="1:26" x14ac:dyDescent="0.3">
      <c r="A423" s="66">
        <f t="shared" si="44"/>
        <v>2031.5999999999622</v>
      </c>
      <c r="B423" s="67">
        <f>LOOKUP(A423+0.01,Amounts!$A$4:$A$103,Amounts!$B$4:$B$103)*0.1*$A$2</f>
        <v>0</v>
      </c>
      <c r="C423" s="68">
        <f t="shared" si="43"/>
        <v>120665.52921499971</v>
      </c>
      <c r="D423" s="67">
        <f t="array" ref="D423">SUM($B$7:$B418*$F$1009*EXP(-$F$1009*($A423-$A$7:$A418)))*$F$1010</f>
        <v>7474209.9432598306</v>
      </c>
      <c r="E423" s="67">
        <f t="shared" si="41"/>
        <v>14.248921433116026</v>
      </c>
      <c r="F423" s="70">
        <f t="shared" si="45"/>
        <v>0.86519450941880505</v>
      </c>
      <c r="G423" s="67">
        <f>E423/'Lookup Tables'!$C$48</f>
        <v>28.497842866232052</v>
      </c>
      <c r="H423" s="70">
        <f t="shared" si="42"/>
        <v>6.2066052782162831E-2</v>
      </c>
      <c r="I423" s="71">
        <f t="shared" si="46"/>
        <v>4.1036893727374152E-2</v>
      </c>
      <c r="L423" s="74"/>
      <c r="M423" s="74"/>
      <c r="N423" s="74"/>
      <c r="O423" s="74"/>
      <c r="P423" s="74"/>
      <c r="Q423" s="74"/>
      <c r="R423" s="74"/>
      <c r="S423" s="74"/>
      <c r="T423" s="74"/>
      <c r="U423" s="74"/>
      <c r="V423" s="74"/>
      <c r="W423" s="74"/>
      <c r="X423" s="74"/>
      <c r="Y423" s="74"/>
      <c r="Z423" s="74"/>
    </row>
    <row r="424" spans="1:26" x14ac:dyDescent="0.3">
      <c r="A424" s="66">
        <f t="shared" si="44"/>
        <v>2031.6999999999621</v>
      </c>
      <c r="B424" s="67">
        <f>LOOKUP(A424+0.01,Amounts!$A$4:$A$103,Amounts!$B$4:$B$103)*0.1*$A$2</f>
        <v>0</v>
      </c>
      <c r="C424" s="68">
        <f t="shared" si="43"/>
        <v>120665.52921499971</v>
      </c>
      <c r="D424" s="67">
        <f t="array" ref="D424">SUM($B$7:$B419*$F$1009*EXP(-$F$1009*($A424-$A$7:$A419)))*$F$1010</f>
        <v>7463753.3706480116</v>
      </c>
      <c r="E424" s="67">
        <f t="shared" si="41"/>
        <v>14.228986900538459</v>
      </c>
      <c r="F424" s="70">
        <f t="shared" si="45"/>
        <v>0.8639840846006952</v>
      </c>
      <c r="G424" s="67">
        <f>E424/'Lookup Tables'!$C$48</f>
        <v>28.457973801076918</v>
      </c>
      <c r="H424" s="70">
        <f t="shared" si="42"/>
        <v>6.1979221104624664E-2</v>
      </c>
      <c r="I424" s="71">
        <f t="shared" si="46"/>
        <v>4.0979482273550763E-2</v>
      </c>
      <c r="L424" s="74"/>
      <c r="M424" s="74"/>
      <c r="N424" s="74"/>
      <c r="O424" s="74"/>
      <c r="P424" s="74"/>
      <c r="Q424" s="74"/>
      <c r="R424" s="74"/>
      <c r="S424" s="74"/>
      <c r="T424" s="74"/>
      <c r="U424" s="74"/>
      <c r="V424" s="74"/>
      <c r="W424" s="74"/>
      <c r="X424" s="74"/>
      <c r="Y424" s="74"/>
      <c r="Z424" s="74"/>
    </row>
    <row r="425" spans="1:26" x14ac:dyDescent="0.3">
      <c r="A425" s="66">
        <f t="shared" si="44"/>
        <v>2031.799999999962</v>
      </c>
      <c r="B425" s="67">
        <f>LOOKUP(A425+0.01,Amounts!$A$4:$A$103,Amounts!$B$4:$B$103)*0.1*$A$2</f>
        <v>0</v>
      </c>
      <c r="C425" s="68">
        <f t="shared" si="43"/>
        <v>120665.52921499971</v>
      </c>
      <c r="D425" s="67">
        <f t="array" ref="D425">SUM($B$7:$B420*$F$1009*EXP(-$F$1009*($A425-$A$7:$A420)))*$F$1010</f>
        <v>7453311.4269951871</v>
      </c>
      <c r="E425" s="67">
        <f t="shared" si="41"/>
        <v>14.209080256779773</v>
      </c>
      <c r="F425" s="70">
        <f t="shared" si="45"/>
        <v>0.86277535319166787</v>
      </c>
      <c r="G425" s="67">
        <f>E425/'Lookup Tables'!$C$48</f>
        <v>28.418160513559545</v>
      </c>
      <c r="H425" s="70">
        <f t="shared" si="42"/>
        <v>6.1892510906379712E-2</v>
      </c>
      <c r="I425" s="71">
        <f t="shared" si="46"/>
        <v>4.0922151139525749E-2</v>
      </c>
      <c r="L425" s="74"/>
      <c r="M425" s="74"/>
      <c r="N425" s="74"/>
      <c r="O425" s="74"/>
      <c r="P425" s="74"/>
      <c r="Q425" s="74"/>
      <c r="R425" s="74"/>
      <c r="S425" s="74"/>
      <c r="T425" s="74"/>
      <c r="U425" s="74"/>
      <c r="V425" s="74"/>
      <c r="W425" s="74"/>
      <c r="X425" s="74"/>
      <c r="Y425" s="74"/>
      <c r="Z425" s="74"/>
    </row>
    <row r="426" spans="1:26" x14ac:dyDescent="0.3">
      <c r="A426" s="66">
        <f t="shared" si="44"/>
        <v>2031.8999999999619</v>
      </c>
      <c r="B426" s="67">
        <f>LOOKUP(A426+0.01,Amounts!$A$4:$A$103,Amounts!$B$4:$B$103)*0.1*$A$2</f>
        <v>0</v>
      </c>
      <c r="C426" s="68">
        <f t="shared" si="43"/>
        <v>120665.52921499971</v>
      </c>
      <c r="D426" s="67">
        <f t="array" ref="D426">SUM($B$7:$B421*$F$1009*EXP(-$F$1009*($A426-$A$7:$A421)))*$F$1010</f>
        <v>7442884.0918351514</v>
      </c>
      <c r="E426" s="67">
        <f t="shared" si="41"/>
        <v>14.189201462822947</v>
      </c>
      <c r="F426" s="70">
        <f t="shared" si="45"/>
        <v>0.86156831282260937</v>
      </c>
      <c r="G426" s="67">
        <f>E426/'Lookup Tables'!$C$48</f>
        <v>28.378402925645894</v>
      </c>
      <c r="H426" s="70">
        <f t="shared" si="42"/>
        <v>6.1805922017475978E-2</v>
      </c>
      <c r="I426" s="71">
        <f t="shared" si="46"/>
        <v>4.0864900212930086E-2</v>
      </c>
      <c r="L426" s="74"/>
      <c r="M426" s="74"/>
      <c r="N426" s="74"/>
      <c r="O426" s="74"/>
      <c r="P426" s="74"/>
      <c r="Q426" s="74"/>
      <c r="R426" s="74"/>
      <c r="S426" s="74"/>
      <c r="T426" s="74"/>
      <c r="U426" s="74"/>
      <c r="V426" s="74"/>
      <c r="W426" s="74"/>
      <c r="X426" s="74"/>
      <c r="Y426" s="74"/>
      <c r="Z426" s="74"/>
    </row>
    <row r="427" spans="1:26" x14ac:dyDescent="0.3">
      <c r="A427" s="66">
        <f t="shared" si="44"/>
        <v>2031.9999999999618</v>
      </c>
      <c r="B427" s="67">
        <f>LOOKUP(A427+0.01,Amounts!$A$4:$A$103,Amounts!$B$4:$B$103)*0.1*$A$2</f>
        <v>0</v>
      </c>
      <c r="C427" s="68">
        <f t="shared" si="43"/>
        <v>120665.52921499971</v>
      </c>
      <c r="D427" s="67">
        <f t="array" ref="D427">SUM($B$7:$B422*$F$1009*EXP(-$F$1009*($A427-$A$7:$A422)))*$F$1010</f>
        <v>7432471.3447303129</v>
      </c>
      <c r="E427" s="67">
        <f t="shared" si="41"/>
        <v>14.169350479705521</v>
      </c>
      <c r="F427" s="70">
        <f t="shared" si="45"/>
        <v>0.86036296112771926</v>
      </c>
      <c r="G427" s="67">
        <f>E427/'Lookup Tables'!$C$48</f>
        <v>28.338700959411042</v>
      </c>
      <c r="H427" s="70">
        <f t="shared" si="42"/>
        <v>6.1719454268199143E-2</v>
      </c>
      <c r="I427" s="71">
        <f t="shared" si="46"/>
        <v>4.0807729381551902E-2</v>
      </c>
      <c r="L427" s="74"/>
      <c r="M427" s="74"/>
      <c r="N427" s="74"/>
      <c r="O427" s="74"/>
      <c r="P427" s="74"/>
      <c r="Q427" s="74"/>
      <c r="R427" s="74"/>
      <c r="S427" s="74"/>
      <c r="T427" s="74"/>
      <c r="U427" s="74"/>
      <c r="V427" s="74"/>
      <c r="W427" s="74"/>
      <c r="X427" s="74"/>
      <c r="Y427" s="74"/>
      <c r="Z427" s="74"/>
    </row>
    <row r="428" spans="1:26" x14ac:dyDescent="0.3">
      <c r="A428" s="66">
        <f t="shared" si="44"/>
        <v>2032.0999999999617</v>
      </c>
      <c r="B428" s="67">
        <f>LOOKUP(A428+0.01,Amounts!$A$4:$A$103,Amounts!$B$4:$B$103)*0.1*$A$2</f>
        <v>0</v>
      </c>
      <c r="C428" s="68">
        <f t="shared" si="43"/>
        <v>120665.52921499971</v>
      </c>
      <c r="D428" s="67">
        <f t="array" ref="D428">SUM($B$7:$B423*$F$1009*EXP(-$F$1009*($A428-$A$7:$A423)))*$F$1010</f>
        <v>7422073.1652716883</v>
      </c>
      <c r="E428" s="67">
        <f t="shared" si="41"/>
        <v>14.149527268519567</v>
      </c>
      <c r="F428" s="70">
        <f t="shared" si="45"/>
        <v>0.859159295744508</v>
      </c>
      <c r="G428" s="67">
        <f>E428/'Lookup Tables'!$C$48</f>
        <v>28.299054537039133</v>
      </c>
      <c r="H428" s="70">
        <f t="shared" si="42"/>
        <v>6.1633107489072414E-2</v>
      </c>
      <c r="I428" s="71">
        <f t="shared" si="46"/>
        <v>4.0750638533336353E-2</v>
      </c>
      <c r="L428" s="74"/>
      <c r="M428" s="74"/>
      <c r="N428" s="74"/>
      <c r="O428" s="74"/>
      <c r="P428" s="74"/>
      <c r="Q428" s="74"/>
      <c r="R428" s="74"/>
      <c r="S428" s="74"/>
      <c r="T428" s="74"/>
      <c r="U428" s="74"/>
      <c r="V428" s="74"/>
      <c r="W428" s="74"/>
      <c r="X428" s="74"/>
      <c r="Y428" s="74"/>
      <c r="Z428" s="74"/>
    </row>
    <row r="429" spans="1:26" x14ac:dyDescent="0.3">
      <c r="A429" s="66">
        <f t="shared" si="44"/>
        <v>2032.1999999999616</v>
      </c>
      <c r="B429" s="67">
        <f>LOOKUP(A429+0.01,Amounts!$A$4:$A$103,Amounts!$B$4:$B$103)*0.1*$A$2</f>
        <v>0</v>
      </c>
      <c r="C429" s="68">
        <f t="shared" si="43"/>
        <v>120665.52921499971</v>
      </c>
      <c r="D429" s="67">
        <f t="array" ref="D429">SUM($B$7:$B424*$F$1009*EXP(-$F$1009*($A429-$A$7:$A424)))*$F$1010</f>
        <v>7411689.5330788456</v>
      </c>
      <c r="E429" s="67">
        <f t="shared" si="41"/>
        <v>14.129731790411595</v>
      </c>
      <c r="F429" s="70">
        <f t="shared" si="45"/>
        <v>0.85795731431379207</v>
      </c>
      <c r="G429" s="67">
        <f>E429/'Lookup Tables'!$C$48</f>
        <v>28.259463580823191</v>
      </c>
      <c r="H429" s="70">
        <f t="shared" si="42"/>
        <v>6.1546881510856112E-2</v>
      </c>
      <c r="I429" s="71">
        <f t="shared" si="46"/>
        <v>4.0693627556385392E-2</v>
      </c>
      <c r="L429" s="74"/>
      <c r="M429" s="74"/>
      <c r="N429" s="74"/>
      <c r="O429" s="74"/>
      <c r="P429" s="74"/>
      <c r="Q429" s="74"/>
      <c r="R429" s="74"/>
      <c r="S429" s="74"/>
      <c r="T429" s="74"/>
      <c r="U429" s="74"/>
      <c r="V429" s="74"/>
      <c r="W429" s="74"/>
      <c r="X429" s="74"/>
      <c r="Y429" s="74"/>
      <c r="Z429" s="74"/>
    </row>
    <row r="430" spans="1:26" x14ac:dyDescent="0.3">
      <c r="A430" s="66">
        <f t="shared" si="44"/>
        <v>2032.2999999999615</v>
      </c>
      <c r="B430" s="67">
        <f>LOOKUP(A430+0.01,Amounts!$A$4:$A$103,Amounts!$B$4:$B$103)*0.1*$A$2</f>
        <v>0</v>
      </c>
      <c r="C430" s="68">
        <f t="shared" si="43"/>
        <v>120665.52921499971</v>
      </c>
      <c r="D430" s="67">
        <f t="array" ref="D430">SUM($B$7:$B425*$F$1009*EXP(-$F$1009*($A430-$A$7:$A425)))*$F$1010</f>
        <v>7401320.4277998619</v>
      </c>
      <c r="E430" s="67">
        <f t="shared" si="41"/>
        <v>14.109964006582457</v>
      </c>
      <c r="F430" s="70">
        <f t="shared" si="45"/>
        <v>0.85675701447968677</v>
      </c>
      <c r="G430" s="67">
        <f>E430/'Lookup Tables'!$C$48</f>
        <v>28.219928013164914</v>
      </c>
      <c r="H430" s="70">
        <f t="shared" si="42"/>
        <v>6.1460776164547287E-2</v>
      </c>
      <c r="I430" s="71">
        <f t="shared" si="46"/>
        <v>4.0636696338957473E-2</v>
      </c>
      <c r="L430" s="74"/>
      <c r="M430" s="74"/>
      <c r="N430" s="74"/>
      <c r="O430" s="74"/>
      <c r="P430" s="74"/>
      <c r="Q430" s="74"/>
      <c r="R430" s="74"/>
      <c r="S430" s="74"/>
      <c r="T430" s="74"/>
      <c r="U430" s="74"/>
      <c r="V430" s="74"/>
      <c r="W430" s="74"/>
      <c r="X430" s="74"/>
      <c r="Y430" s="74"/>
      <c r="Z430" s="74"/>
    </row>
    <row r="431" spans="1:26" x14ac:dyDescent="0.3">
      <c r="A431" s="66">
        <f t="shared" si="44"/>
        <v>2032.3999999999614</v>
      </c>
      <c r="B431" s="67">
        <f>LOOKUP(A431+0.01,Amounts!$A$4:$A$103,Amounts!$B$4:$B$103)*0.1*$A$2</f>
        <v>0</v>
      </c>
      <c r="C431" s="68">
        <f t="shared" si="43"/>
        <v>120665.52921499971</v>
      </c>
      <c r="D431" s="67">
        <f t="array" ref="D431">SUM($B$7:$B426*$F$1009*EXP(-$F$1009*($A431-$A$7:$A426)))*$F$1010</f>
        <v>7390965.8291112827</v>
      </c>
      <c r="E431" s="67">
        <f t="shared" si="41"/>
        <v>14.090223878287285</v>
      </c>
      <c r="F431" s="70">
        <f t="shared" si="45"/>
        <v>0.85555839388960386</v>
      </c>
      <c r="G431" s="67">
        <f>E431/'Lookup Tables'!$C$48</f>
        <v>28.180447756574569</v>
      </c>
      <c r="H431" s="70">
        <f t="shared" si="42"/>
        <v>6.1374791281379418E-2</v>
      </c>
      <c r="I431" s="71">
        <f t="shared" si="46"/>
        <v>4.0579844769467383E-2</v>
      </c>
      <c r="L431" s="74"/>
      <c r="M431" s="74"/>
      <c r="N431" s="74"/>
      <c r="O431" s="74"/>
      <c r="P431" s="74"/>
      <c r="Q431" s="74"/>
      <c r="R431" s="74"/>
      <c r="S431" s="74"/>
      <c r="T431" s="74"/>
      <c r="U431" s="74"/>
      <c r="V431" s="74"/>
      <c r="W431" s="74"/>
      <c r="X431" s="74"/>
      <c r="Y431" s="74"/>
      <c r="Z431" s="74"/>
    </row>
    <row r="432" spans="1:26" x14ac:dyDescent="0.3">
      <c r="A432" s="66">
        <f t="shared" si="44"/>
        <v>2032.4999999999613</v>
      </c>
      <c r="B432" s="67">
        <f>LOOKUP(A432+0.01,Amounts!$A$4:$A$103,Amounts!$B$4:$B$103)*0.1*$A$2</f>
        <v>0</v>
      </c>
      <c r="C432" s="68">
        <f t="shared" si="43"/>
        <v>120665.52921499971</v>
      </c>
      <c r="D432" s="67">
        <f t="array" ref="D432">SUM($B$7:$B427*$F$1009*EXP(-$F$1009*($A432-$A$7:$A427)))*$F$1010</f>
        <v>7380625.7167180963</v>
      </c>
      <c r="E432" s="67">
        <f t="shared" si="41"/>
        <v>14.070511366835426</v>
      </c>
      <c r="F432" s="70">
        <f t="shared" si="45"/>
        <v>0.85436145019424703</v>
      </c>
      <c r="G432" s="67">
        <f>E432/'Lookup Tables'!$C$48</f>
        <v>28.141022733670852</v>
      </c>
      <c r="H432" s="70">
        <f t="shared" si="42"/>
        <v>6.1288926692822092E-2</v>
      </c>
      <c r="I432" s="71">
        <f t="shared" si="46"/>
        <v>4.0523072736486018E-2</v>
      </c>
      <c r="L432" s="74"/>
      <c r="M432" s="74"/>
      <c r="N432" s="74"/>
      <c r="O432" s="74"/>
      <c r="P432" s="74"/>
      <c r="Q432" s="74"/>
      <c r="R432" s="74"/>
      <c r="S432" s="74"/>
      <c r="T432" s="74"/>
      <c r="U432" s="74"/>
      <c r="V432" s="74"/>
      <c r="W432" s="74"/>
      <c r="X432" s="74"/>
      <c r="Y432" s="74"/>
      <c r="Z432" s="74"/>
    </row>
    <row r="433" spans="1:26" x14ac:dyDescent="0.3">
      <c r="A433" s="66">
        <f t="shared" si="44"/>
        <v>2032.5999999999613</v>
      </c>
      <c r="B433" s="67">
        <f>LOOKUP(A433+0.01,Amounts!$A$4:$A$103,Amounts!$B$4:$B$103)*0.1*$A$2</f>
        <v>0</v>
      </c>
      <c r="C433" s="68">
        <f t="shared" si="43"/>
        <v>120665.52921499971</v>
      </c>
      <c r="D433" s="67">
        <f t="array" ref="D433">SUM($B$7:$B428*$F$1009*EXP(-$F$1009*($A433-$A$7:$A428)))*$F$1010</f>
        <v>7370300.0703536803</v>
      </c>
      <c r="E433" s="67">
        <f t="shared" si="41"/>
        <v>14.050826433590357</v>
      </c>
      <c r="F433" s="70">
        <f t="shared" si="45"/>
        <v>0.85316618104760655</v>
      </c>
      <c r="G433" s="67">
        <f>E433/'Lookup Tables'!$C$48</f>
        <v>28.101652867180714</v>
      </c>
      <c r="H433" s="70">
        <f t="shared" si="42"/>
        <v>6.1203182230580751E-2</v>
      </c>
      <c r="I433" s="71">
        <f t="shared" si="46"/>
        <v>4.046638012874023E-2</v>
      </c>
      <c r="L433" s="74"/>
      <c r="M433" s="74"/>
      <c r="N433" s="74"/>
      <c r="O433" s="74"/>
      <c r="P433" s="74"/>
      <c r="Q433" s="74"/>
      <c r="R433" s="74"/>
      <c r="S433" s="74"/>
      <c r="T433" s="74"/>
      <c r="U433" s="74"/>
      <c r="V433" s="74"/>
      <c r="W433" s="74"/>
      <c r="X433" s="74"/>
      <c r="Y433" s="74"/>
      <c r="Z433" s="74"/>
    </row>
    <row r="434" spans="1:26" x14ac:dyDescent="0.3">
      <c r="A434" s="66">
        <f t="shared" si="44"/>
        <v>2032.6999999999612</v>
      </c>
      <c r="B434" s="67">
        <f>LOOKUP(A434+0.01,Amounts!$A$4:$A$103,Amounts!$B$4:$B$103)*0.1*$A$2</f>
        <v>0</v>
      </c>
      <c r="C434" s="68">
        <f t="shared" si="43"/>
        <v>120665.52921499971</v>
      </c>
      <c r="D434" s="67">
        <f t="array" ref="D434">SUM($B$7:$B429*$F$1009*EXP(-$F$1009*($A434-$A$7:$A429)))*$F$1010</f>
        <v>7359988.86977976</v>
      </c>
      <c r="E434" s="67">
        <f t="shared" si="41"/>
        <v>14.031169039969592</v>
      </c>
      <c r="F434" s="70">
        <f t="shared" si="45"/>
        <v>0.85197258410695353</v>
      </c>
      <c r="G434" s="67">
        <f>E434/'Lookup Tables'!$C$48</f>
        <v>28.062338079939185</v>
      </c>
      <c r="H434" s="70">
        <f t="shared" si="42"/>
        <v>6.1117557726596133E-2</v>
      </c>
      <c r="I434" s="71">
        <f t="shared" si="46"/>
        <v>4.0409766835112423E-2</v>
      </c>
      <c r="L434" s="74"/>
      <c r="M434" s="74"/>
      <c r="N434" s="74"/>
      <c r="O434" s="74"/>
      <c r="P434" s="74"/>
      <c r="Q434" s="74"/>
      <c r="R434" s="74"/>
      <c r="S434" s="74"/>
      <c r="T434" s="74"/>
      <c r="U434" s="74"/>
      <c r="V434" s="74"/>
      <c r="W434" s="74"/>
      <c r="X434" s="74"/>
      <c r="Y434" s="74"/>
      <c r="Z434" s="74"/>
    </row>
    <row r="435" spans="1:26" x14ac:dyDescent="0.3">
      <c r="A435" s="66">
        <f t="shared" si="44"/>
        <v>2032.7999999999611</v>
      </c>
      <c r="B435" s="67">
        <f>LOOKUP(A435+0.01,Amounts!$A$4:$A$103,Amounts!$B$4:$B$103)*0.1*$A$2</f>
        <v>0</v>
      </c>
      <c r="C435" s="68">
        <f t="shared" si="43"/>
        <v>120665.52921499971</v>
      </c>
      <c r="D435" s="67">
        <f t="array" ref="D435">SUM($B$7:$B430*$F$1009*EXP(-$F$1009*($A435-$A$7:$A430)))*$F$1010</f>
        <v>7349692.0947863804</v>
      </c>
      <c r="E435" s="67">
        <f t="shared" si="41"/>
        <v>14.011539147444639</v>
      </c>
      <c r="F435" s="70">
        <f t="shared" si="45"/>
        <v>0.85078065703283845</v>
      </c>
      <c r="G435" s="67">
        <f>E435/'Lookup Tables'!$C$48</f>
        <v>28.023078294889277</v>
      </c>
      <c r="H435" s="70">
        <f t="shared" si="42"/>
        <v>6.1032053013044256E-2</v>
      </c>
      <c r="I435" s="71">
        <f t="shared" si="46"/>
        <v>4.035323274464056E-2</v>
      </c>
      <c r="L435" s="74"/>
      <c r="M435" s="74"/>
      <c r="N435" s="74"/>
      <c r="O435" s="74"/>
      <c r="P435" s="74"/>
      <c r="Q435" s="74"/>
      <c r="R435" s="74"/>
      <c r="S435" s="74"/>
      <c r="T435" s="74"/>
      <c r="U435" s="74"/>
      <c r="V435" s="74"/>
      <c r="W435" s="74"/>
      <c r="X435" s="74"/>
      <c r="Y435" s="74"/>
      <c r="Z435" s="74"/>
    </row>
    <row r="436" spans="1:26" x14ac:dyDescent="0.3">
      <c r="A436" s="66">
        <f t="shared" si="44"/>
        <v>2032.899999999961</v>
      </c>
      <c r="B436" s="67">
        <f>LOOKUP(A436+0.01,Amounts!$A$4:$A$103,Amounts!$B$4:$B$103)*0.1*$A$2</f>
        <v>0</v>
      </c>
      <c r="C436" s="68">
        <f t="shared" si="43"/>
        <v>120665.52921499971</v>
      </c>
      <c r="D436" s="67">
        <f t="array" ref="D436">SUM($B$7:$B431*$F$1009*EXP(-$F$1009*($A436-$A$7:$A431)))*$F$1010</f>
        <v>7339409.7251918595</v>
      </c>
      <c r="E436" s="67">
        <f t="shared" si="41"/>
        <v>13.991936717540899</v>
      </c>
      <c r="F436" s="70">
        <f t="shared" si="45"/>
        <v>0.84959039748908338</v>
      </c>
      <c r="G436" s="67">
        <f>E436/'Lookup Tables'!$C$48</f>
        <v>27.983873435081797</v>
      </c>
      <c r="H436" s="70">
        <f t="shared" si="42"/>
        <v>6.0946667922335801E-2</v>
      </c>
      <c r="I436" s="71">
        <f t="shared" si="46"/>
        <v>4.0296777746517784E-2</v>
      </c>
      <c r="L436" s="74"/>
      <c r="M436" s="74"/>
      <c r="N436" s="74"/>
      <c r="O436" s="74"/>
      <c r="P436" s="74"/>
      <c r="Q436" s="74"/>
      <c r="R436" s="74"/>
      <c r="S436" s="74"/>
      <c r="T436" s="74"/>
      <c r="U436" s="74"/>
      <c r="V436" s="74"/>
      <c r="W436" s="74"/>
      <c r="X436" s="74"/>
      <c r="Y436" s="74"/>
      <c r="Z436" s="74"/>
    </row>
    <row r="437" spans="1:26" x14ac:dyDescent="0.3">
      <c r="A437" s="66">
        <f t="shared" si="44"/>
        <v>2032.9999999999609</v>
      </c>
      <c r="B437" s="67">
        <f>LOOKUP(A437+0.01,Amounts!$A$4:$A$103,Amounts!$B$4:$B$103)*0.1*$A$2</f>
        <v>0</v>
      </c>
      <c r="C437" s="68">
        <f t="shared" si="43"/>
        <v>120665.52921499971</v>
      </c>
      <c r="D437" s="67">
        <f t="array" ref="D437">SUM($B$7:$B432*$F$1009*EXP(-$F$1009*($A437-$A$7:$A432)))*$F$1010</f>
        <v>7329141.7408427475</v>
      </c>
      <c r="E437" s="67">
        <f t="shared" si="41"/>
        <v>13.972361711837598</v>
      </c>
      <c r="F437" s="70">
        <f t="shared" si="45"/>
        <v>0.84840180314277891</v>
      </c>
      <c r="G437" s="67">
        <f>E437/'Lookup Tables'!$C$48</f>
        <v>27.944723423675196</v>
      </c>
      <c r="H437" s="70">
        <f t="shared" si="42"/>
        <v>6.0861402287115958E-2</v>
      </c>
      <c r="I437" s="71">
        <f t="shared" si="46"/>
        <v>4.024040173009228E-2</v>
      </c>
      <c r="L437" s="74"/>
      <c r="M437" s="74"/>
      <c r="N437" s="74"/>
      <c r="O437" s="74"/>
      <c r="P437" s="74"/>
      <c r="Q437" s="74"/>
      <c r="R437" s="74"/>
      <c r="S437" s="74"/>
      <c r="T437" s="74"/>
      <c r="U437" s="74"/>
      <c r="V437" s="74"/>
      <c r="W437" s="74"/>
      <c r="X437" s="74"/>
      <c r="Y437" s="74"/>
      <c r="Z437" s="74"/>
    </row>
    <row r="438" spans="1:26" x14ac:dyDescent="0.3">
      <c r="A438" s="66">
        <f t="shared" si="44"/>
        <v>2033.0999999999608</v>
      </c>
      <c r="B438" s="67">
        <f>LOOKUP(A438+0.01,Amounts!$A$4:$A$103,Amounts!$B$4:$B$103)*0.1*$A$2</f>
        <v>0</v>
      </c>
      <c r="C438" s="68">
        <f t="shared" si="43"/>
        <v>120665.52921499971</v>
      </c>
      <c r="D438" s="67">
        <f t="array" ref="D438">SUM($B$7:$B433*$F$1009*EXP(-$F$1009*($A438-$A$7:$A433)))*$F$1010</f>
        <v>7318888.1216137968</v>
      </c>
      <c r="E438" s="67">
        <f t="shared" si="41"/>
        <v>13.952814091967733</v>
      </c>
      <c r="F438" s="70">
        <f t="shared" si="45"/>
        <v>0.84721487166428078</v>
      </c>
      <c r="G438" s="67">
        <f>E438/'Lookup Tables'!$C$48</f>
        <v>27.905628183935466</v>
      </c>
      <c r="H438" s="70">
        <f t="shared" si="42"/>
        <v>6.0776255940264139E-2</v>
      </c>
      <c r="I438" s="71">
        <f t="shared" si="46"/>
        <v>4.0184104584867077E-2</v>
      </c>
      <c r="L438" s="74"/>
      <c r="M438" s="74"/>
      <c r="N438" s="74"/>
      <c r="O438" s="74"/>
      <c r="P438" s="74"/>
      <c r="Q438" s="74"/>
      <c r="R438" s="74"/>
      <c r="S438" s="74"/>
      <c r="T438" s="74"/>
      <c r="U438" s="74"/>
      <c r="V438" s="74"/>
      <c r="W438" s="74"/>
      <c r="X438" s="74"/>
      <c r="Y438" s="74"/>
      <c r="Z438" s="74"/>
    </row>
    <row r="439" spans="1:26" x14ac:dyDescent="0.3">
      <c r="A439" s="66">
        <f t="shared" si="44"/>
        <v>2033.1999999999607</v>
      </c>
      <c r="B439" s="67">
        <f>LOOKUP(A439+0.01,Amounts!$A$4:$A$103,Amounts!$B$4:$B$103)*0.1*$A$2</f>
        <v>0</v>
      </c>
      <c r="C439" s="68">
        <f t="shared" si="43"/>
        <v>120665.52921499971</v>
      </c>
      <c r="D439" s="67">
        <f t="array" ref="D439">SUM($B$7:$B434*$F$1009*EXP(-$F$1009*($A439-$A$7:$A434)))*$F$1010</f>
        <v>7308648.8474079035</v>
      </c>
      <c r="E439" s="67">
        <f t="shared" si="41"/>
        <v>13.933293819617948</v>
      </c>
      <c r="F439" s="70">
        <f t="shared" si="45"/>
        <v>0.84602960072720179</v>
      </c>
      <c r="G439" s="67">
        <f>E439/'Lookup Tables'!$C$48</f>
        <v>27.866587639235895</v>
      </c>
      <c r="H439" s="70">
        <f t="shared" si="42"/>
        <v>6.069122871489336E-2</v>
      </c>
      <c r="I439" s="71">
        <f t="shared" si="46"/>
        <v>4.0127886200499695E-2</v>
      </c>
      <c r="L439" s="74"/>
      <c r="M439" s="74"/>
      <c r="N439" s="74"/>
      <c r="O439" s="74"/>
      <c r="P439" s="74"/>
      <c r="Q439" s="74"/>
      <c r="R439" s="74"/>
      <c r="S439" s="74"/>
      <c r="T439" s="74"/>
      <c r="U439" s="74"/>
      <c r="V439" s="74"/>
      <c r="W439" s="74"/>
      <c r="X439" s="74"/>
      <c r="Y439" s="74"/>
      <c r="Z439" s="74"/>
    </row>
    <row r="440" spans="1:26" x14ac:dyDescent="0.3">
      <c r="A440" s="66">
        <f t="shared" si="44"/>
        <v>2033.2999999999606</v>
      </c>
      <c r="B440" s="67">
        <f>LOOKUP(A440+0.01,Amounts!$A$4:$A$103,Amounts!$B$4:$B$103)*0.1*$A$2</f>
        <v>0</v>
      </c>
      <c r="C440" s="68">
        <f t="shared" si="43"/>
        <v>120665.52921499971</v>
      </c>
      <c r="D440" s="67">
        <f t="array" ref="D440">SUM($B$7:$B435*$F$1009*EXP(-$F$1009*($A440-$A$7:$A435)))*$F$1010</f>
        <v>7298423.8981560916</v>
      </c>
      <c r="E440" s="67">
        <f t="shared" si="41"/>
        <v>13.913800856528512</v>
      </c>
      <c r="F440" s="70">
        <f t="shared" si="45"/>
        <v>0.84484598800841126</v>
      </c>
      <c r="G440" s="67">
        <f>E440/'Lookup Tables'!$C$48</f>
        <v>27.827601713057025</v>
      </c>
      <c r="H440" s="70">
        <f t="shared" si="42"/>
        <v>6.0606320444350305E-2</v>
      </c>
      <c r="I440" s="71">
        <f t="shared" si="46"/>
        <v>4.0071746466802116E-2</v>
      </c>
      <c r="L440" s="74"/>
      <c r="M440" s="74"/>
      <c r="N440" s="74"/>
      <c r="O440" s="74"/>
      <c r="P440" s="74"/>
      <c r="Q440" s="74"/>
      <c r="R440" s="74"/>
      <c r="S440" s="74"/>
      <c r="T440" s="74"/>
      <c r="U440" s="74"/>
      <c r="V440" s="74"/>
      <c r="W440" s="74"/>
      <c r="X440" s="74"/>
      <c r="Y440" s="74"/>
      <c r="Z440" s="74"/>
    </row>
    <row r="441" spans="1:26" x14ac:dyDescent="0.3">
      <c r="A441" s="66">
        <f t="shared" si="44"/>
        <v>2033.3999999999605</v>
      </c>
      <c r="B441" s="67">
        <f>LOOKUP(A441+0.01,Amounts!$A$4:$A$103,Amounts!$B$4:$B$103)*0.1*$A$2</f>
        <v>0</v>
      </c>
      <c r="C441" s="68">
        <f t="shared" si="43"/>
        <v>120665.52921499971</v>
      </c>
      <c r="D441" s="67">
        <f t="array" ref="D441">SUM($B$7:$B436*$F$1009*EXP(-$F$1009*($A441-$A$7:$A436)))*$F$1010</f>
        <v>7288213.2538174586</v>
      </c>
      <c r="E441" s="67">
        <f t="shared" si="41"/>
        <v>13.894335164493212</v>
      </c>
      <c r="F441" s="70">
        <f t="shared" si="45"/>
        <v>0.8436640311880278</v>
      </c>
      <c r="G441" s="67">
        <f>E441/'Lookup Tables'!$C$48</f>
        <v>27.788670328986424</v>
      </c>
      <c r="H441" s="70">
        <f t="shared" si="42"/>
        <v>6.0521530962214735E-2</v>
      </c>
      <c r="I441" s="71">
        <f t="shared" si="46"/>
        <v>4.0015685273740449E-2</v>
      </c>
      <c r="L441" s="74"/>
      <c r="M441" s="74"/>
      <c r="N441" s="74"/>
      <c r="O441" s="74"/>
      <c r="P441" s="74"/>
      <c r="Q441" s="74"/>
      <c r="R441" s="74"/>
      <c r="S441" s="74"/>
      <c r="T441" s="74"/>
      <c r="U441" s="74"/>
      <c r="V441" s="74"/>
      <c r="W441" s="74"/>
      <c r="X441" s="74"/>
      <c r="Y441" s="74"/>
      <c r="Z441" s="74"/>
    </row>
    <row r="442" spans="1:26" x14ac:dyDescent="0.3">
      <c r="A442" s="66">
        <f t="shared" si="44"/>
        <v>2033.4999999999604</v>
      </c>
      <c r="B442" s="67">
        <f>LOOKUP(A442+0.01,Amounts!$A$4:$A$103,Amounts!$B$4:$B$103)*0.1*$A$2</f>
        <v>0</v>
      </c>
      <c r="C442" s="68">
        <f t="shared" si="43"/>
        <v>120665.52921499971</v>
      </c>
      <c r="D442" s="67">
        <f t="array" ref="D442">SUM($B$7:$B437*$F$1009*EXP(-$F$1009*($A442-$A$7:$A437)))*$F$1010</f>
        <v>7278016.8943791315</v>
      </c>
      <c r="E442" s="67">
        <f t="shared" si="41"/>
        <v>13.874896705359273</v>
      </c>
      <c r="F442" s="70">
        <f t="shared" si="45"/>
        <v>0.84248372794941495</v>
      </c>
      <c r="G442" s="67">
        <f>E442/'Lookup Tables'!$C$48</f>
        <v>27.749793410718546</v>
      </c>
      <c r="H442" s="70">
        <f t="shared" si="42"/>
        <v>6.0436860102299199E-2</v>
      </c>
      <c r="I442" s="71">
        <f t="shared" si="46"/>
        <v>3.9959702511434707E-2</v>
      </c>
      <c r="L442" s="74"/>
      <c r="M442" s="74"/>
      <c r="N442" s="74"/>
      <c r="O442" s="74"/>
      <c r="P442" s="74"/>
      <c r="Q442" s="74"/>
      <c r="R442" s="74"/>
      <c r="S442" s="74"/>
      <c r="T442" s="74"/>
      <c r="U442" s="74"/>
      <c r="V442" s="74"/>
      <c r="W442" s="74"/>
      <c r="X442" s="74"/>
      <c r="Y442" s="74"/>
      <c r="Z442" s="74"/>
    </row>
    <row r="443" spans="1:26" x14ac:dyDescent="0.3">
      <c r="A443" s="66">
        <f t="shared" si="44"/>
        <v>2033.5999999999603</v>
      </c>
      <c r="B443" s="67">
        <f>LOOKUP(A443+0.01,Amounts!$A$4:$A$103,Amounts!$B$4:$B$103)*0.1*$A$2</f>
        <v>0</v>
      </c>
      <c r="C443" s="68">
        <f t="shared" si="43"/>
        <v>120665.52921499971</v>
      </c>
      <c r="D443" s="67">
        <f t="array" ref="D443">SUM($B$7:$B438*$F$1009*EXP(-$F$1009*($A443-$A$7:$A438)))*$F$1010</f>
        <v>7267834.7998562511</v>
      </c>
      <c r="E443" s="67">
        <f t="shared" si="41"/>
        <v>13.855485441027325</v>
      </c>
      <c r="F443" s="70">
        <f t="shared" si="45"/>
        <v>0.84130507597917914</v>
      </c>
      <c r="G443" s="67">
        <f>E443/'Lookup Tables'!$C$48</f>
        <v>27.710970882054649</v>
      </c>
      <c r="H443" s="70">
        <f t="shared" si="42"/>
        <v>6.0352307698648827E-2</v>
      </c>
      <c r="I443" s="71">
        <f t="shared" si="46"/>
        <v>3.9903798070158696E-2</v>
      </c>
      <c r="L443" s="74"/>
      <c r="M443" s="74"/>
      <c r="N443" s="74"/>
      <c r="O443" s="74"/>
      <c r="P443" s="74"/>
      <c r="Q443" s="74"/>
      <c r="R443" s="74"/>
      <c r="S443" s="74"/>
      <c r="T443" s="74"/>
      <c r="U443" s="74"/>
      <c r="V443" s="74"/>
      <c r="W443" s="74"/>
      <c r="X443" s="74"/>
      <c r="Y443" s="74"/>
      <c r="Z443" s="74"/>
    </row>
    <row r="444" spans="1:26" x14ac:dyDescent="0.3">
      <c r="A444" s="66">
        <f t="shared" si="44"/>
        <v>2033.6999999999603</v>
      </c>
      <c r="B444" s="67">
        <f>LOOKUP(A444+0.01,Amounts!$A$4:$A$103,Amounts!$B$4:$B$103)*0.1*$A$2</f>
        <v>0</v>
      </c>
      <c r="C444" s="68">
        <f t="shared" si="43"/>
        <v>120665.52921499971</v>
      </c>
      <c r="D444" s="67">
        <f t="array" ref="D444">SUM($B$7:$B439*$F$1009*EXP(-$F$1009*($A444-$A$7:$A439)))*$F$1010</f>
        <v>7257666.9502919046</v>
      </c>
      <c r="E444" s="67">
        <f t="shared" si="41"/>
        <v>13.836101333451277</v>
      </c>
      <c r="F444" s="70">
        <f t="shared" si="45"/>
        <v>0.84012807296716152</v>
      </c>
      <c r="G444" s="67">
        <f>E444/'Lookup Tables'!$C$48</f>
        <v>27.672202666902553</v>
      </c>
      <c r="H444" s="70">
        <f t="shared" si="42"/>
        <v>6.0267873585540865E-2</v>
      </c>
      <c r="I444" s="71">
        <f t="shared" si="46"/>
        <v>3.9847971840339676E-2</v>
      </c>
      <c r="L444" s="74"/>
      <c r="M444" s="74"/>
      <c r="N444" s="74"/>
      <c r="O444" s="74"/>
      <c r="P444" s="74"/>
      <c r="Q444" s="74"/>
      <c r="R444" s="74"/>
      <c r="S444" s="74"/>
      <c r="T444" s="74"/>
      <c r="U444" s="74"/>
      <c r="V444" s="74"/>
      <c r="W444" s="74"/>
      <c r="X444" s="74"/>
      <c r="Y444" s="74"/>
      <c r="Z444" s="74"/>
    </row>
    <row r="445" spans="1:26" x14ac:dyDescent="0.3">
      <c r="A445" s="66">
        <f t="shared" si="44"/>
        <v>2033.7999999999602</v>
      </c>
      <c r="B445" s="67">
        <f>LOOKUP(A445+0.01,Amounts!$A$4:$A$103,Amounts!$B$4:$B$103)*0.1*$A$2</f>
        <v>0</v>
      </c>
      <c r="C445" s="68">
        <f t="shared" si="43"/>
        <v>120665.52921499971</v>
      </c>
      <c r="D445" s="67">
        <f t="array" ref="D445">SUM($B$7:$B440*$F$1009*EXP(-$F$1009*($A445-$A$7:$A440)))*$F$1010</f>
        <v>7247513.3257571012</v>
      </c>
      <c r="E445" s="67">
        <f t="shared" si="41"/>
        <v>13.816744344638268</v>
      </c>
      <c r="F445" s="70">
        <f t="shared" si="45"/>
        <v>0.83895271660643556</v>
      </c>
      <c r="G445" s="67">
        <f>E445/'Lookup Tables'!$C$48</f>
        <v>27.633488689276536</v>
      </c>
      <c r="H445" s="70">
        <f t="shared" si="42"/>
        <v>6.0183557597484422E-2</v>
      </c>
      <c r="I445" s="71">
        <f t="shared" si="46"/>
        <v>3.9792223712558208E-2</v>
      </c>
      <c r="L445" s="74"/>
      <c r="M445" s="74"/>
      <c r="N445" s="74"/>
      <c r="O445" s="74"/>
      <c r="P445" s="74"/>
      <c r="Q445" s="74"/>
      <c r="R445" s="74"/>
      <c r="S445" s="74"/>
      <c r="T445" s="74"/>
      <c r="U445" s="74"/>
      <c r="V445" s="74"/>
      <c r="W445" s="74"/>
      <c r="X445" s="74"/>
      <c r="Y445" s="74"/>
      <c r="Z445" s="74"/>
    </row>
    <row r="446" spans="1:26" x14ac:dyDescent="0.3">
      <c r="A446" s="66">
        <f t="shared" si="44"/>
        <v>2033.8999999999601</v>
      </c>
      <c r="B446" s="67">
        <f>LOOKUP(A446+0.01,Amounts!$A$4:$A$103,Amounts!$B$4:$B$103)*0.1*$A$2</f>
        <v>0</v>
      </c>
      <c r="C446" s="68">
        <f t="shared" si="43"/>
        <v>120665.52921499971</v>
      </c>
      <c r="D446" s="67">
        <f t="array" ref="D446">SUM($B$7:$B441*$F$1009*EXP(-$F$1009*($A446-$A$7:$A441)))*$F$1010</f>
        <v>7237373.9063507393</v>
      </c>
      <c r="E446" s="67">
        <f t="shared" si="41"/>
        <v>13.797414436648602</v>
      </c>
      <c r="F446" s="70">
        <f t="shared" si="45"/>
        <v>0.83777900459330312</v>
      </c>
      <c r="G446" s="67">
        <f>E446/'Lookup Tables'!$C$48</f>
        <v>27.594828873297203</v>
      </c>
      <c r="H446" s="70">
        <f t="shared" si="42"/>
        <v>6.0099359569220141E-2</v>
      </c>
      <c r="I446" s="71">
        <f t="shared" si="46"/>
        <v>3.9736553577547976E-2</v>
      </c>
      <c r="L446" s="74"/>
      <c r="M446" s="74"/>
      <c r="N446" s="74"/>
      <c r="O446" s="74"/>
      <c r="P446" s="74"/>
      <c r="Q446" s="74"/>
      <c r="R446" s="74"/>
      <c r="S446" s="74"/>
      <c r="T446" s="74"/>
      <c r="U446" s="74"/>
      <c r="V446" s="74"/>
      <c r="W446" s="74"/>
      <c r="X446" s="74"/>
      <c r="Y446" s="74"/>
      <c r="Z446" s="74"/>
    </row>
    <row r="447" spans="1:26" x14ac:dyDescent="0.3">
      <c r="A447" s="66">
        <f t="shared" si="44"/>
        <v>2033.99999999996</v>
      </c>
      <c r="B447" s="67">
        <f>LOOKUP(A447+0.01,Amounts!$A$4:$A$103,Amounts!$B$4:$B$103)*0.1*$A$2</f>
        <v>0</v>
      </c>
      <c r="C447" s="68">
        <f t="shared" si="43"/>
        <v>120665.52921499971</v>
      </c>
      <c r="D447" s="67">
        <f t="array" ref="D447">SUM($B$7:$B442*$F$1009*EXP(-$F$1009*($A447-$A$7:$A442)))*$F$1010</f>
        <v>7227248.6721995538</v>
      </c>
      <c r="E447" s="67">
        <f t="shared" si="41"/>
        <v>13.778111571595653</v>
      </c>
      <c r="F447" s="70">
        <f t="shared" si="45"/>
        <v>0.83660693462728819</v>
      </c>
      <c r="G447" s="67">
        <f>E447/'Lookup Tables'!$C$48</f>
        <v>27.556223143191307</v>
      </c>
      <c r="H447" s="70">
        <f t="shared" si="42"/>
        <v>6.0015279335719873E-2</v>
      </c>
      <c r="I447" s="71">
        <f t="shared" si="46"/>
        <v>3.9680961326195481E-2</v>
      </c>
      <c r="L447" s="74"/>
      <c r="M447" s="74"/>
      <c r="N447" s="74"/>
      <c r="O447" s="74"/>
      <c r="P447" s="74"/>
      <c r="Q447" s="74"/>
      <c r="R447" s="74"/>
      <c r="S447" s="74"/>
      <c r="T447" s="74"/>
      <c r="U447" s="74"/>
      <c r="V447" s="74"/>
      <c r="W447" s="74"/>
      <c r="X447" s="74"/>
      <c r="Y447" s="74"/>
      <c r="Z447" s="74"/>
    </row>
    <row r="448" spans="1:26" x14ac:dyDescent="0.3">
      <c r="A448" s="66">
        <f t="shared" si="44"/>
        <v>2034.0999999999599</v>
      </c>
      <c r="B448" s="67">
        <f>LOOKUP(A448+0.01,Amounts!$A$4:$A$103,Amounts!$B$4:$B$103)*0.1*$A$2</f>
        <v>0</v>
      </c>
      <c r="C448" s="68">
        <f t="shared" si="43"/>
        <v>120665.52921499971</v>
      </c>
      <c r="D448" s="67">
        <f t="array" ref="D448">SUM($B$7:$B443*$F$1009*EXP(-$F$1009*($A448-$A$7:$A443)))*$F$1010</f>
        <v>7217137.6034580767</v>
      </c>
      <c r="E448" s="67">
        <f t="shared" si="41"/>
        <v>13.758835711645792</v>
      </c>
      <c r="F448" s="70">
        <f t="shared" si="45"/>
        <v>0.83543650441113249</v>
      </c>
      <c r="G448" s="67">
        <f>E448/'Lookup Tables'!$C$48</f>
        <v>27.517671423291585</v>
      </c>
      <c r="H448" s="70">
        <f t="shared" si="42"/>
        <v>5.9931316732186317E-2</v>
      </c>
      <c r="I448" s="71">
        <f t="shared" si="46"/>
        <v>3.9625446849539885E-2</v>
      </c>
      <c r="L448" s="74"/>
      <c r="M448" s="74"/>
      <c r="N448" s="74"/>
      <c r="O448" s="74"/>
      <c r="P448" s="74"/>
      <c r="Q448" s="74"/>
      <c r="R448" s="74"/>
      <c r="S448" s="74"/>
      <c r="T448" s="74"/>
      <c r="U448" s="74"/>
      <c r="V448" s="74"/>
      <c r="W448" s="74"/>
      <c r="X448" s="74"/>
      <c r="Y448" s="74"/>
      <c r="Z448" s="74"/>
    </row>
    <row r="449" spans="1:26" x14ac:dyDescent="0.3">
      <c r="A449" s="66">
        <f t="shared" si="44"/>
        <v>2034.1999999999598</v>
      </c>
      <c r="B449" s="67">
        <f>LOOKUP(A449+0.01,Amounts!$A$4:$A$103,Amounts!$B$4:$B$103)*0.1*$A$2</f>
        <v>0</v>
      </c>
      <c r="C449" s="68">
        <f t="shared" si="43"/>
        <v>120665.52921499971</v>
      </c>
      <c r="D449" s="67">
        <f t="array" ref="D449">SUM($B$7:$B444*$F$1009*EXP(-$F$1009*($A449-$A$7:$A444)))*$F$1010</f>
        <v>7207040.6803086121</v>
      </c>
      <c r="E449" s="67">
        <f t="shared" si="41"/>
        <v>13.739586819018328</v>
      </c>
      <c r="F449" s="70">
        <f t="shared" si="45"/>
        <v>0.83426771165079294</v>
      </c>
      <c r="G449" s="67">
        <f>E449/'Lookup Tables'!$C$48</f>
        <v>27.479173638036656</v>
      </c>
      <c r="H449" s="70">
        <f t="shared" si="42"/>
        <v>5.9847471594052723E-2</v>
      </c>
      <c r="I449" s="71">
        <f t="shared" si="46"/>
        <v>3.9570010038772786E-2</v>
      </c>
      <c r="L449" s="74"/>
      <c r="M449" s="74"/>
      <c r="N449" s="74"/>
      <c r="O449" s="74"/>
      <c r="P449" s="74"/>
      <c r="Q449" s="74"/>
      <c r="R449" s="74"/>
      <c r="S449" s="74"/>
      <c r="T449" s="74"/>
      <c r="U449" s="74"/>
      <c r="V449" s="74"/>
      <c r="W449" s="74"/>
      <c r="X449" s="74"/>
      <c r="Y449" s="74"/>
      <c r="Z449" s="74"/>
    </row>
    <row r="450" spans="1:26" x14ac:dyDescent="0.3">
      <c r="A450" s="66">
        <f t="shared" si="44"/>
        <v>2034.2999999999597</v>
      </c>
      <c r="B450" s="67">
        <f>LOOKUP(A450+0.01,Amounts!$A$4:$A$103,Amounts!$B$4:$B$103)*0.1*$A$2</f>
        <v>0</v>
      </c>
      <c r="C450" s="68">
        <f t="shared" si="43"/>
        <v>120665.52921499971</v>
      </c>
      <c r="D450" s="67">
        <f t="array" ref="D450">SUM($B$7:$B445*$F$1009*EXP(-$F$1009*($A450-$A$7:$A445)))*$F$1010</f>
        <v>7196957.8829611894</v>
      </c>
      <c r="E450" s="67">
        <f t="shared" si="41"/>
        <v>13.72036485598543</v>
      </c>
      <c r="F450" s="70">
        <f t="shared" si="45"/>
        <v>0.83310055405543537</v>
      </c>
      <c r="G450" s="67">
        <f>E450/'Lookup Tables'!$C$48</f>
        <v>27.44072971197086</v>
      </c>
      <c r="H450" s="70">
        <f t="shared" si="42"/>
        <v>5.9763743756982617E-2</v>
      </c>
      <c r="I450" s="71">
        <f t="shared" si="46"/>
        <v>3.951465078523804E-2</v>
      </c>
      <c r="L450" s="74"/>
      <c r="M450" s="74"/>
      <c r="N450" s="74"/>
      <c r="O450" s="74"/>
      <c r="P450" s="74"/>
      <c r="Q450" s="74"/>
      <c r="R450" s="74"/>
      <c r="S450" s="74"/>
      <c r="T450" s="74"/>
      <c r="U450" s="74"/>
      <c r="V450" s="74"/>
      <c r="W450" s="74"/>
      <c r="X450" s="74"/>
      <c r="Y450" s="74"/>
      <c r="Z450" s="74"/>
    </row>
    <row r="451" spans="1:26" x14ac:dyDescent="0.3">
      <c r="A451" s="66">
        <f t="shared" si="44"/>
        <v>2034.3999999999596</v>
      </c>
      <c r="B451" s="67">
        <f>LOOKUP(A451+0.01,Amounts!$A$4:$A$103,Amounts!$B$4:$B$103)*0.1*$A$2</f>
        <v>0</v>
      </c>
      <c r="C451" s="68">
        <f t="shared" si="43"/>
        <v>120665.52921499971</v>
      </c>
      <c r="D451" s="67">
        <f t="array" ref="D451">SUM($B$7:$B446*$F$1009*EXP(-$F$1009*($A451-$A$7:$A446)))*$F$1010</f>
        <v>7186889.1916535217</v>
      </c>
      <c r="E451" s="67">
        <f t="shared" si="41"/>
        <v>13.701169784872043</v>
      </c>
      <c r="F451" s="70">
        <f t="shared" si="45"/>
        <v>0.83193502933743047</v>
      </c>
      <c r="G451" s="67">
        <f>E451/'Lookup Tables'!$C$48</f>
        <v>27.402339569744086</v>
      </c>
      <c r="H451" s="70">
        <f t="shared" si="42"/>
        <v>5.9680133056869415E-2</v>
      </c>
      <c r="I451" s="71">
        <f t="shared" si="46"/>
        <v>3.9459368980431488E-2</v>
      </c>
      <c r="L451" s="74"/>
      <c r="M451" s="74"/>
      <c r="N451" s="74"/>
      <c r="O451" s="74"/>
      <c r="P451" s="74"/>
      <c r="Q451" s="74"/>
      <c r="R451" s="74"/>
      <c r="S451" s="74"/>
      <c r="T451" s="74"/>
      <c r="U451" s="74"/>
      <c r="V451" s="74"/>
      <c r="W451" s="74"/>
      <c r="X451" s="74"/>
      <c r="Y451" s="74"/>
      <c r="Z451" s="74"/>
    </row>
    <row r="452" spans="1:26" x14ac:dyDescent="0.3">
      <c r="A452" s="66">
        <f t="shared" si="44"/>
        <v>2034.4999999999595</v>
      </c>
      <c r="B452" s="67">
        <f>LOOKUP(A452+0.01,Amounts!$A$4:$A$103,Amounts!$B$4:$B$103)*0.1*$A$2</f>
        <v>0</v>
      </c>
      <c r="C452" s="68">
        <f t="shared" si="43"/>
        <v>120665.52921499971</v>
      </c>
      <c r="D452" s="67">
        <f t="array" ref="D452">SUM($B$7:$B447*$F$1009*EXP(-$F$1009*($A452-$A$7:$A447)))*$F$1010</f>
        <v>7176834.5866509723</v>
      </c>
      <c r="E452" s="67">
        <f t="shared" si="41"/>
        <v>13.682001568055824</v>
      </c>
      <c r="F452" s="70">
        <f t="shared" si="45"/>
        <v>0.83077113521234969</v>
      </c>
      <c r="G452" s="67">
        <f>E452/'Lookup Tables'!$C$48</f>
        <v>27.364003136111648</v>
      </c>
      <c r="H452" s="70">
        <f t="shared" si="42"/>
        <v>5.959663932983613E-2</v>
      </c>
      <c r="I452" s="71">
        <f t="shared" si="46"/>
        <v>3.9404164516000775E-2</v>
      </c>
      <c r="L452" s="74"/>
      <c r="M452" s="74"/>
      <c r="N452" s="74"/>
      <c r="O452" s="74"/>
      <c r="P452" s="74"/>
      <c r="Q452" s="74"/>
      <c r="R452" s="74"/>
      <c r="S452" s="74"/>
      <c r="T452" s="74"/>
      <c r="U452" s="74"/>
      <c r="V452" s="74"/>
      <c r="W452" s="74"/>
      <c r="X452" s="74"/>
      <c r="Y452" s="74"/>
      <c r="Z452" s="74"/>
    </row>
    <row r="453" spans="1:26" x14ac:dyDescent="0.3">
      <c r="A453" s="66">
        <f t="shared" si="44"/>
        <v>2034.5999999999594</v>
      </c>
      <c r="B453" s="67">
        <f>LOOKUP(A453+0.01,Amounts!$A$4:$A$103,Amounts!$B$4:$B$103)*0.1*$A$2</f>
        <v>0</v>
      </c>
      <c r="C453" s="68">
        <f t="shared" si="43"/>
        <v>120665.52921499971</v>
      </c>
      <c r="D453" s="67">
        <f t="array" ref="D453">SUM($B$7:$B448*$F$1009*EXP(-$F$1009*($A453-$A$7:$A448)))*$F$1010</f>
        <v>7166794.0482465094</v>
      </c>
      <c r="E453" s="67">
        <f t="shared" si="41"/>
        <v>13.662860167967057</v>
      </c>
      <c r="F453" s="70">
        <f t="shared" si="45"/>
        <v>0.82960886939895973</v>
      </c>
      <c r="G453" s="67">
        <f>E453/'Lookup Tables'!$C$48</f>
        <v>27.325720335934115</v>
      </c>
      <c r="H453" s="70">
        <f t="shared" si="42"/>
        <v>5.9513262412234987E-2</v>
      </c>
      <c r="I453" s="71">
        <f t="shared" si="46"/>
        <v>3.9349037283745121E-2</v>
      </c>
      <c r="L453" s="74"/>
      <c r="M453" s="74"/>
      <c r="N453" s="74"/>
      <c r="O453" s="74"/>
      <c r="P453" s="74"/>
      <c r="Q453" s="74"/>
      <c r="R453" s="74"/>
      <c r="S453" s="74"/>
      <c r="T453" s="74"/>
      <c r="U453" s="74"/>
      <c r="V453" s="74"/>
      <c r="W453" s="74"/>
      <c r="X453" s="74"/>
      <c r="Y453" s="74"/>
      <c r="Z453" s="74"/>
    </row>
    <row r="454" spans="1:26" x14ac:dyDescent="0.3">
      <c r="A454" s="66">
        <f t="shared" si="44"/>
        <v>2034.6999999999593</v>
      </c>
      <c r="B454" s="67">
        <f>LOOKUP(A454+0.01,Amounts!$A$4:$A$103,Amounts!$B$4:$B$103)*0.1*$A$2</f>
        <v>0</v>
      </c>
      <c r="C454" s="68">
        <f t="shared" si="43"/>
        <v>120665.52921499971</v>
      </c>
      <c r="D454" s="67">
        <f t="array" ref="D454">SUM($B$7:$B449*$F$1009*EXP(-$F$1009*($A454-$A$7:$A449)))*$F$1010</f>
        <v>7156767.5567606762</v>
      </c>
      <c r="E454" s="67">
        <f t="shared" si="41"/>
        <v>13.643745547088594</v>
      </c>
      <c r="F454" s="70">
        <f t="shared" si="45"/>
        <v>0.82844822961921938</v>
      </c>
      <c r="G454" s="67">
        <f>E454/'Lookup Tables'!$C$48</f>
        <v>27.287491094177188</v>
      </c>
      <c r="H454" s="70">
        <f t="shared" si="42"/>
        <v>5.943000214064724E-2</v>
      </c>
      <c r="I454" s="71">
        <f t="shared" si="46"/>
        <v>3.929398717561515E-2</v>
      </c>
      <c r="L454" s="74"/>
      <c r="M454" s="74"/>
      <c r="N454" s="74"/>
      <c r="O454" s="74"/>
      <c r="P454" s="74"/>
      <c r="Q454" s="74"/>
      <c r="R454" s="74"/>
      <c r="S454" s="74"/>
      <c r="T454" s="74"/>
      <c r="U454" s="74"/>
      <c r="V454" s="74"/>
      <c r="W454" s="74"/>
      <c r="X454" s="74"/>
      <c r="Y454" s="74"/>
      <c r="Z454" s="74"/>
    </row>
    <row r="455" spans="1:26" x14ac:dyDescent="0.3">
      <c r="A455" s="66">
        <f t="shared" si="44"/>
        <v>2034.7999999999593</v>
      </c>
      <c r="B455" s="67">
        <f>LOOKUP(A455+0.01,Amounts!$A$4:$A$103,Amounts!$B$4:$B$103)*0.1*$A$2</f>
        <v>0</v>
      </c>
      <c r="C455" s="68">
        <f t="shared" si="43"/>
        <v>120665.52921499971</v>
      </c>
      <c r="D455" s="67">
        <f t="array" ref="D455">SUM($B$7:$B450*$F$1009*EXP(-$F$1009*($A455-$A$7:$A450)))*$F$1010</f>
        <v>7146755.09254154</v>
      </c>
      <c r="E455" s="67">
        <f t="shared" ref="E455:E518" si="47">D455/(365*24*60)*1.00201</f>
        <v>13.624657667955763</v>
      </c>
      <c r="F455" s="70">
        <f t="shared" si="45"/>
        <v>0.8272892135982739</v>
      </c>
      <c r="G455" s="67">
        <f>E455/'Lookup Tables'!$C$48</f>
        <v>27.249315335911525</v>
      </c>
      <c r="H455" s="70">
        <f t="shared" ref="H455:H518" si="48">G455*60*24*365/(C455*2000)</f>
        <v>5.9346858351882678E-2</v>
      </c>
      <c r="I455" s="71">
        <f t="shared" si="46"/>
        <v>3.9239014083712595E-2</v>
      </c>
      <c r="L455" s="74"/>
      <c r="M455" s="74"/>
      <c r="N455" s="74"/>
      <c r="O455" s="74"/>
      <c r="P455" s="74"/>
      <c r="Q455" s="74"/>
      <c r="R455" s="74"/>
      <c r="S455" s="74"/>
      <c r="T455" s="74"/>
      <c r="U455" s="74"/>
      <c r="V455" s="74"/>
      <c r="W455" s="74"/>
      <c r="X455" s="74"/>
      <c r="Y455" s="74"/>
      <c r="Z455" s="74"/>
    </row>
    <row r="456" spans="1:26" x14ac:dyDescent="0.3">
      <c r="A456" s="66">
        <f t="shared" si="44"/>
        <v>2034.8999999999592</v>
      </c>
      <c r="B456" s="67">
        <f>LOOKUP(A456+0.01,Amounts!$A$4:$A$103,Amounts!$B$4:$B$103)*0.1*$A$2</f>
        <v>0</v>
      </c>
      <c r="C456" s="68">
        <f t="shared" si="43"/>
        <v>120665.52921499971</v>
      </c>
      <c r="D456" s="67">
        <f t="array" ref="D456">SUM($B$7:$B451*$F$1009*EXP(-$F$1009*($A456-$A$7:$A451)))*$F$1010</f>
        <v>7136756.6359646739</v>
      </c>
      <c r="E456" s="67">
        <f t="shared" si="47"/>
        <v>13.605596493156323</v>
      </c>
      <c r="F456" s="70">
        <f t="shared" si="45"/>
        <v>0.82613181906445199</v>
      </c>
      <c r="G456" s="67">
        <f>E456/'Lookup Tables'!$C$48</f>
        <v>27.211192986312646</v>
      </c>
      <c r="H456" s="70">
        <f t="shared" si="48"/>
        <v>5.9263830882979485E-2</v>
      </c>
      <c r="I456" s="71">
        <f t="shared" si="46"/>
        <v>3.9184117900290208E-2</v>
      </c>
      <c r="L456" s="74"/>
      <c r="M456" s="74"/>
      <c r="N456" s="74"/>
      <c r="O456" s="74"/>
      <c r="P456" s="74"/>
      <c r="Q456" s="74"/>
      <c r="R456" s="74"/>
      <c r="S456" s="74"/>
      <c r="T456" s="74"/>
      <c r="U456" s="74"/>
      <c r="V456" s="74"/>
      <c r="W456" s="74"/>
      <c r="X456" s="74"/>
      <c r="Y456" s="74"/>
      <c r="Z456" s="74"/>
    </row>
    <row r="457" spans="1:26" x14ac:dyDescent="0.3">
      <c r="A457" s="66">
        <f t="shared" si="44"/>
        <v>2034.9999999999591</v>
      </c>
      <c r="B457" s="67">
        <f>LOOKUP(A457+0.01,Amounts!$A$4:$A$103,Amounts!$B$4:$B$103)*0.1*$A$2</f>
        <v>0</v>
      </c>
      <c r="C457" s="68">
        <f t="shared" ref="C457:C520" si="49">C456+B457</f>
        <v>120665.52921499971</v>
      </c>
      <c r="D457" s="67">
        <f t="array" ref="D457">SUM($B$7:$B452*$F$1009*EXP(-$F$1009*($A457-$A$7:$A452)))*$F$1010</f>
        <v>7126772.1674331017</v>
      </c>
      <c r="E457" s="67">
        <f t="shared" si="47"/>
        <v>13.586561985330372</v>
      </c>
      <c r="F457" s="70">
        <f t="shared" si="45"/>
        <v>0.82497604374926015</v>
      </c>
      <c r="G457" s="67">
        <f>E457/'Lookup Tables'!$C$48</f>
        <v>27.173123970660743</v>
      </c>
      <c r="H457" s="70">
        <f t="shared" si="48"/>
        <v>5.9180919571203826E-2</v>
      </c>
      <c r="I457" s="71">
        <f t="shared" si="46"/>
        <v>3.9129298517751473E-2</v>
      </c>
      <c r="L457" s="74"/>
      <c r="M457" s="74"/>
      <c r="N457" s="74"/>
      <c r="O457" s="74"/>
      <c r="P457" s="74"/>
      <c r="Q457" s="74"/>
      <c r="R457" s="74"/>
      <c r="S457" s="74"/>
      <c r="T457" s="74"/>
      <c r="U457" s="74"/>
      <c r="V457" s="74"/>
      <c r="W457" s="74"/>
      <c r="X457" s="74"/>
      <c r="Y457" s="74"/>
      <c r="Z457" s="74"/>
    </row>
    <row r="458" spans="1:26" x14ac:dyDescent="0.3">
      <c r="A458" s="66">
        <f t="shared" si="44"/>
        <v>2035.099999999959</v>
      </c>
      <c r="B458" s="67">
        <f>LOOKUP(A458+0.01,Amounts!$A$4:$A$103,Amounts!$B$4:$B$103)*0.1*$A$2</f>
        <v>0</v>
      </c>
      <c r="C458" s="68">
        <f t="shared" si="49"/>
        <v>120665.52921499971</v>
      </c>
      <c r="D458" s="67">
        <f t="array" ref="D458">SUM($B$7:$B453*$F$1009*EXP(-$F$1009*($A458-$A$7:$A453)))*$F$1010</f>
        <v>7116801.6673772614</v>
      </c>
      <c r="E458" s="67">
        <f t="shared" si="47"/>
        <v>13.567554107170263</v>
      </c>
      <c r="F458" s="70">
        <f t="shared" si="45"/>
        <v>0.82382188538737844</v>
      </c>
      <c r="G458" s="67">
        <f>E458/'Lookup Tables'!$C$48</f>
        <v>27.135108214340526</v>
      </c>
      <c r="H458" s="70">
        <f t="shared" si="48"/>
        <v>5.9098124254049478E-2</v>
      </c>
      <c r="I458" s="71">
        <f t="shared" si="46"/>
        <v>3.9074555828650361E-2</v>
      </c>
      <c r="L458" s="74"/>
      <c r="M458" s="74"/>
      <c r="N458" s="74"/>
      <c r="O458" s="74"/>
      <c r="P458" s="74"/>
      <c r="Q458" s="74"/>
      <c r="R458" s="74"/>
      <c r="S458" s="74"/>
      <c r="T458" s="74"/>
      <c r="U458" s="74"/>
      <c r="V458" s="74"/>
      <c r="W458" s="74"/>
      <c r="X458" s="74"/>
      <c r="Y458" s="74"/>
      <c r="Z458" s="74"/>
    </row>
    <row r="459" spans="1:26" x14ac:dyDescent="0.3">
      <c r="A459" s="66">
        <f t="shared" si="44"/>
        <v>2035.1999999999589</v>
      </c>
      <c r="B459" s="67">
        <f>LOOKUP(A459+0.01,Amounts!$A$4:$A$103,Amounts!$B$4:$B$103)*0.1*$A$2</f>
        <v>0</v>
      </c>
      <c r="C459" s="68">
        <f t="shared" si="49"/>
        <v>120665.52921499971</v>
      </c>
      <c r="D459" s="67">
        <f t="array" ref="D459">SUM($B$7:$B454*$F$1009*EXP(-$F$1009*($A459-$A$7:$A454)))*$F$1010</f>
        <v>7106845.1162549667</v>
      </c>
      <c r="E459" s="67">
        <f t="shared" si="47"/>
        <v>13.548572821420548</v>
      </c>
      <c r="F459" s="70">
        <f t="shared" si="45"/>
        <v>0.82266934171665562</v>
      </c>
      <c r="G459" s="67">
        <f>E459/'Lookup Tables'!$C$48</f>
        <v>27.097145642841095</v>
      </c>
      <c r="H459" s="70">
        <f t="shared" si="48"/>
        <v>5.9015444769237584E-2</v>
      </c>
      <c r="I459" s="71">
        <f t="shared" si="46"/>
        <v>3.9019889725691176E-2</v>
      </c>
      <c r="L459" s="74"/>
      <c r="M459" s="74"/>
      <c r="N459" s="74"/>
      <c r="O459" s="74"/>
      <c r="P459" s="74"/>
      <c r="Q459" s="74"/>
      <c r="R459" s="74"/>
      <c r="S459" s="74"/>
      <c r="T459" s="74"/>
      <c r="U459" s="74"/>
      <c r="V459" s="74"/>
      <c r="W459" s="74"/>
      <c r="X459" s="74"/>
      <c r="Y459" s="74"/>
      <c r="Z459" s="74"/>
    </row>
    <row r="460" spans="1:26" x14ac:dyDescent="0.3">
      <c r="A460" s="66">
        <f t="shared" si="44"/>
        <v>2035.2999999999588</v>
      </c>
      <c r="B460" s="67">
        <f>LOOKUP(A460+0.01,Amounts!$A$4:$A$103,Amounts!$B$4:$B$103)*0.1*$A$2</f>
        <v>0</v>
      </c>
      <c r="C460" s="68">
        <f t="shared" si="49"/>
        <v>120665.52921499971</v>
      </c>
      <c r="D460" s="67">
        <f t="array" ref="D460">SUM($B$7:$B455*$F$1009*EXP(-$F$1009*($A460-$A$7:$A455)))*$F$1010</f>
        <v>7096902.4945513746</v>
      </c>
      <c r="E460" s="67">
        <f t="shared" si="47"/>
        <v>13.529618090877898</v>
      </c>
      <c r="F460" s="70">
        <f t="shared" si="45"/>
        <v>0.82151841047810603</v>
      </c>
      <c r="G460" s="67">
        <f>E460/'Lookup Tables'!$C$48</f>
        <v>27.059236181755796</v>
      </c>
      <c r="H460" s="70">
        <f t="shared" si="48"/>
        <v>5.8932880954716327E-2</v>
      </c>
      <c r="I460" s="71">
        <f t="shared" si="46"/>
        <v>3.8965300101728349E-2</v>
      </c>
      <c r="L460" s="74"/>
      <c r="M460" s="74"/>
      <c r="N460" s="74"/>
      <c r="O460" s="74"/>
      <c r="P460" s="74"/>
      <c r="Q460" s="74"/>
      <c r="R460" s="74"/>
      <c r="S460" s="74"/>
      <c r="T460" s="74"/>
      <c r="U460" s="74"/>
      <c r="V460" s="74"/>
      <c r="W460" s="74"/>
      <c r="X460" s="74"/>
      <c r="Y460" s="74"/>
      <c r="Z460" s="74"/>
    </row>
    <row r="461" spans="1:26" x14ac:dyDescent="0.3">
      <c r="A461" s="66">
        <f t="shared" si="44"/>
        <v>2035.3999999999587</v>
      </c>
      <c r="B461" s="67">
        <f>LOOKUP(A461+0.01,Amounts!$A$4:$A$103,Amounts!$B$4:$B$103)*0.1*$A$2</f>
        <v>0</v>
      </c>
      <c r="C461" s="68">
        <f t="shared" si="49"/>
        <v>120665.52921499971</v>
      </c>
      <c r="D461" s="67">
        <f t="array" ref="D461">SUM($B$7:$B456*$F$1009*EXP(-$F$1009*($A461-$A$7:$A456)))*$F$1010</f>
        <v>7086973.7827789392</v>
      </c>
      <c r="E461" s="67">
        <f t="shared" si="47"/>
        <v>13.51068987839103</v>
      </c>
      <c r="F461" s="70">
        <f t="shared" si="45"/>
        <v>0.82036908941590347</v>
      </c>
      <c r="G461" s="67">
        <f>E461/'Lookup Tables'!$C$48</f>
        <v>27.021379756782061</v>
      </c>
      <c r="H461" s="70">
        <f t="shared" si="48"/>
        <v>5.8850432648660578E-2</v>
      </c>
      <c r="I461" s="71">
        <f t="shared" si="46"/>
        <v>3.891078684976617E-2</v>
      </c>
      <c r="L461" s="74"/>
      <c r="M461" s="74"/>
      <c r="N461" s="74"/>
      <c r="O461" s="74"/>
      <c r="P461" s="74"/>
      <c r="Q461" s="74"/>
      <c r="R461" s="74"/>
      <c r="S461" s="74"/>
      <c r="T461" s="74"/>
      <c r="U461" s="74"/>
      <c r="V461" s="74"/>
      <c r="W461" s="74"/>
      <c r="X461" s="74"/>
      <c r="Y461" s="74"/>
      <c r="Z461" s="74"/>
    </row>
    <row r="462" spans="1:26" x14ac:dyDescent="0.3">
      <c r="A462" s="66">
        <f t="shared" si="44"/>
        <v>2035.4999999999586</v>
      </c>
      <c r="B462" s="67">
        <f>LOOKUP(A462+0.01,Amounts!$A$4:$A$103,Amounts!$B$4:$B$103)*0.1*$A$2</f>
        <v>0</v>
      </c>
      <c r="C462" s="68">
        <f t="shared" si="49"/>
        <v>120665.52921499971</v>
      </c>
      <c r="D462" s="67">
        <f t="array" ref="D462">SUM($B$7:$B457*$F$1009*EXP(-$F$1009*($A462-$A$7:$A457)))*$F$1010</f>
        <v>7077058.9614773905</v>
      </c>
      <c r="E462" s="67">
        <f t="shared" si="47"/>
        <v>13.491788146860657</v>
      </c>
      <c r="F462" s="70">
        <f t="shared" si="45"/>
        <v>0.81922137627737912</v>
      </c>
      <c r="G462" s="67">
        <f>E462/'Lookup Tables'!$C$48</f>
        <v>26.983576293721313</v>
      </c>
      <c r="H462" s="70">
        <f t="shared" si="48"/>
        <v>5.8768099689471692E-2</v>
      </c>
      <c r="I462" s="71">
        <f t="shared" si="46"/>
        <v>3.8856349862958696E-2</v>
      </c>
      <c r="L462" s="74"/>
      <c r="M462" s="74"/>
      <c r="N462" s="74"/>
      <c r="O462" s="74"/>
      <c r="P462" s="74"/>
      <c r="Q462" s="74"/>
      <c r="R462" s="74"/>
      <c r="S462" s="74"/>
      <c r="T462" s="74"/>
      <c r="U462" s="74"/>
      <c r="V462" s="74"/>
      <c r="W462" s="74"/>
      <c r="X462" s="74"/>
      <c r="Y462" s="74"/>
      <c r="Z462" s="74"/>
    </row>
    <row r="463" spans="1:26" x14ac:dyDescent="0.3">
      <c r="A463" s="66">
        <f t="shared" si="44"/>
        <v>2035.5999999999585</v>
      </c>
      <c r="B463" s="67">
        <f>LOOKUP(A463+0.01,Amounts!$A$4:$A$103,Amounts!$B$4:$B$103)*0.1*$A$2</f>
        <v>0</v>
      </c>
      <c r="C463" s="68">
        <f t="shared" si="49"/>
        <v>120665.52921499971</v>
      </c>
      <c r="D463" s="67">
        <f t="array" ref="D463">SUM($B$7:$B458*$F$1009*EXP(-$F$1009*($A463-$A$7:$A458)))*$F$1010</f>
        <v>7067158.0112136686</v>
      </c>
      <c r="E463" s="67">
        <f t="shared" si="47"/>
        <v>13.472912859239363</v>
      </c>
      <c r="F463" s="70">
        <f t="shared" si="45"/>
        <v>0.81807526881301418</v>
      </c>
      <c r="G463" s="67">
        <f>E463/'Lookup Tables'!$C$48</f>
        <v>26.945825718478726</v>
      </c>
      <c r="H463" s="70">
        <f t="shared" si="48"/>
        <v>5.8685881915776977E-2</v>
      </c>
      <c r="I463" s="71">
        <f t="shared" si="46"/>
        <v>3.8801989034609366E-2</v>
      </c>
      <c r="L463" s="74"/>
      <c r="M463" s="74"/>
      <c r="N463" s="74"/>
      <c r="O463" s="74"/>
      <c r="P463" s="74"/>
      <c r="Q463" s="74"/>
      <c r="R463" s="74"/>
      <c r="S463" s="74"/>
      <c r="T463" s="74"/>
      <c r="U463" s="74"/>
      <c r="V463" s="74"/>
      <c r="W463" s="74"/>
      <c r="X463" s="74"/>
      <c r="Y463" s="74"/>
      <c r="Z463" s="74"/>
    </row>
    <row r="464" spans="1:26" x14ac:dyDescent="0.3">
      <c r="A464" s="66">
        <f t="shared" si="44"/>
        <v>2035.6999999999584</v>
      </c>
      <c r="B464" s="67">
        <f>LOOKUP(A464+0.01,Amounts!$A$4:$A$103,Amounts!$B$4:$B$103)*0.1*$A$2</f>
        <v>0</v>
      </c>
      <c r="C464" s="68">
        <f t="shared" si="49"/>
        <v>120665.52921499971</v>
      </c>
      <c r="D464" s="67">
        <f t="array" ref="D464">SUM($B$7:$B459*$F$1009*EXP(-$F$1009*($A464-$A$7:$A459)))*$F$1010</f>
        <v>7057270.912581915</v>
      </c>
      <c r="E464" s="67">
        <f t="shared" si="47"/>
        <v>13.454063978531593</v>
      </c>
      <c r="F464" s="70">
        <f t="shared" si="45"/>
        <v>0.81693076477643833</v>
      </c>
      <c r="G464" s="67">
        <f>E464/'Lookup Tables'!$C$48</f>
        <v>26.908127957063186</v>
      </c>
      <c r="H464" s="70">
        <f t="shared" si="48"/>
        <v>5.8603779166429629E-2</v>
      </c>
      <c r="I464" s="71">
        <f t="shared" si="46"/>
        <v>3.8747704258170992E-2</v>
      </c>
      <c r="L464" s="74"/>
      <c r="M464" s="74"/>
      <c r="N464" s="74"/>
      <c r="O464" s="74"/>
      <c r="P464" s="74"/>
      <c r="Q464" s="74"/>
      <c r="R464" s="74"/>
      <c r="S464" s="74"/>
      <c r="T464" s="74"/>
      <c r="U464" s="74"/>
      <c r="V464" s="74"/>
      <c r="W464" s="74"/>
      <c r="X464" s="74"/>
      <c r="Y464" s="74"/>
      <c r="Z464" s="74"/>
    </row>
    <row r="465" spans="1:26" x14ac:dyDescent="0.3">
      <c r="A465" s="66">
        <f t="shared" si="44"/>
        <v>2035.7999999999583</v>
      </c>
      <c r="B465" s="67">
        <f>LOOKUP(A465+0.01,Amounts!$A$4:$A$103,Amounts!$B$4:$B$103)*0.1*$A$2</f>
        <v>0</v>
      </c>
      <c r="C465" s="68">
        <f t="shared" si="49"/>
        <v>120665.52921499971</v>
      </c>
      <c r="D465" s="67">
        <f t="array" ref="D465">SUM($B$7:$B460*$F$1009*EXP(-$F$1009*($A465-$A$7:$A460)))*$F$1010</f>
        <v>7047397.646203408</v>
      </c>
      <c r="E465" s="67">
        <f t="shared" si="47"/>
        <v>13.435241467793526</v>
      </c>
      <c r="F465" s="70">
        <f t="shared" si="45"/>
        <v>0.81578786192442287</v>
      </c>
      <c r="G465" s="67">
        <f>E465/'Lookup Tables'!$C$48</f>
        <v>26.870482935587052</v>
      </c>
      <c r="H465" s="70">
        <f t="shared" si="48"/>
        <v>5.8521791280508204E-2</v>
      </c>
      <c r="I465" s="71">
        <f t="shared" si="46"/>
        <v>3.8693495427245352E-2</v>
      </c>
      <c r="L465" s="74"/>
      <c r="M465" s="74"/>
      <c r="N465" s="74"/>
      <c r="O465" s="74"/>
      <c r="P465" s="74"/>
      <c r="Q465" s="74"/>
      <c r="R465" s="74"/>
      <c r="S465" s="74"/>
      <c r="T465" s="74"/>
      <c r="U465" s="74"/>
      <c r="V465" s="74"/>
      <c r="W465" s="74"/>
      <c r="X465" s="74"/>
      <c r="Y465" s="74"/>
      <c r="Z465" s="74"/>
    </row>
    <row r="466" spans="1:26" x14ac:dyDescent="0.3">
      <c r="A466" s="66">
        <f t="shared" si="44"/>
        <v>2035.8999999999583</v>
      </c>
      <c r="B466" s="67">
        <f>LOOKUP(A466+0.01,Amounts!$A$4:$A$103,Amounts!$B$4:$B$103)*0.1*$A$2</f>
        <v>0</v>
      </c>
      <c r="C466" s="68">
        <f t="shared" si="49"/>
        <v>120665.52921499971</v>
      </c>
      <c r="D466" s="67">
        <f t="array" ref="D466">SUM($B$7:$B461*$F$1009*EXP(-$F$1009*($A466-$A$7:$A461)))*$F$1010</f>
        <v>7037538.1927265441</v>
      </c>
      <c r="E466" s="67">
        <f t="shared" si="47"/>
        <v>13.416445290133039</v>
      </c>
      <c r="F466" s="70">
        <f t="shared" si="45"/>
        <v>0.81464655801687824</v>
      </c>
      <c r="G466" s="67">
        <f>E466/'Lookup Tables'!$C$48</f>
        <v>26.832890580266078</v>
      </c>
      <c r="H466" s="70">
        <f t="shared" si="48"/>
        <v>5.8439918097316433E-2</v>
      </c>
      <c r="I466" s="71">
        <f t="shared" si="46"/>
        <v>3.8639362435583156E-2</v>
      </c>
      <c r="L466" s="74"/>
      <c r="M466" s="74"/>
      <c r="N466" s="74"/>
      <c r="O466" s="74"/>
      <c r="P466" s="74"/>
      <c r="Q466" s="74"/>
      <c r="R466" s="74"/>
      <c r="S466" s="74"/>
      <c r="T466" s="74"/>
      <c r="U466" s="74"/>
      <c r="V466" s="74"/>
      <c r="W466" s="74"/>
      <c r="X466" s="74"/>
      <c r="Y466" s="74"/>
      <c r="Z466" s="74"/>
    </row>
    <row r="467" spans="1:26" x14ac:dyDescent="0.3">
      <c r="A467" s="66">
        <f t="shared" ref="A467:A530" si="50">A466+0.1</f>
        <v>2035.9999999999582</v>
      </c>
      <c r="B467" s="67">
        <f>LOOKUP(A467+0.01,Amounts!$A$4:$A$103,Amounts!$B$4:$B$103)*0.1*$A$2</f>
        <v>0</v>
      </c>
      <c r="C467" s="68">
        <f t="shared" si="49"/>
        <v>120665.52921499971</v>
      </c>
      <c r="D467" s="67">
        <f t="array" ref="D467">SUM($B$7:$B462*$F$1009*EXP(-$F$1009*($A467-$A$7:$A462)))*$F$1010</f>
        <v>7027692.5328267887</v>
      </c>
      <c r="E467" s="67">
        <f t="shared" si="47"/>
        <v>13.39767540870961</v>
      </c>
      <c r="F467" s="70">
        <f t="shared" ref="F467:F530" si="51">E467*60*1012/1000000</f>
        <v>0.81350685081684748</v>
      </c>
      <c r="G467" s="67">
        <f>E467/'Lookup Tables'!$C$48</f>
        <v>26.795350817419219</v>
      </c>
      <c r="H467" s="70">
        <f t="shared" si="48"/>
        <v>5.8358159456382806E-2</v>
      </c>
      <c r="I467" s="71">
        <f t="shared" ref="I467:I530" si="52">G467*60*24/1000000</f>
        <v>3.8585305177083674E-2</v>
      </c>
      <c r="L467" s="74"/>
      <c r="M467" s="74"/>
      <c r="N467" s="74"/>
      <c r="O467" s="74"/>
      <c r="P467" s="74"/>
      <c r="Q467" s="74"/>
      <c r="R467" s="74"/>
      <c r="S467" s="74"/>
      <c r="T467" s="74"/>
      <c r="U467" s="74"/>
      <c r="V467" s="74"/>
      <c r="W467" s="74"/>
      <c r="X467" s="74"/>
      <c r="Y467" s="74"/>
      <c r="Z467" s="74"/>
    </row>
    <row r="468" spans="1:26" x14ac:dyDescent="0.3">
      <c r="A468" s="66">
        <f t="shared" si="50"/>
        <v>2036.0999999999581</v>
      </c>
      <c r="B468" s="67">
        <f>LOOKUP(A468+0.01,Amounts!$A$4:$A$103,Amounts!$B$4:$B$103)*0.1*$A$2</f>
        <v>0</v>
      </c>
      <c r="C468" s="68">
        <f t="shared" si="49"/>
        <v>120665.52921499971</v>
      </c>
      <c r="D468" s="67">
        <f t="array" ref="D468">SUM($B$7:$B463*$F$1009*EXP(-$F$1009*($A468-$A$7:$A463)))*$F$1010</f>
        <v>7017860.6472066483</v>
      </c>
      <c r="E468" s="67">
        <f t="shared" si="47"/>
        <v>13.378931786734274</v>
      </c>
      <c r="F468" s="70">
        <f t="shared" si="51"/>
        <v>0.81236873809050503</v>
      </c>
      <c r="G468" s="67">
        <f>E468/'Lookup Tables'!$C$48</f>
        <v>26.757863573468548</v>
      </c>
      <c r="H468" s="70">
        <f t="shared" si="48"/>
        <v>5.8276515197460417E-2</v>
      </c>
      <c r="I468" s="71">
        <f t="shared" si="52"/>
        <v>3.8531323545794707E-2</v>
      </c>
      <c r="L468" s="74"/>
      <c r="M468" s="74"/>
      <c r="N468" s="74"/>
      <c r="O468" s="74"/>
      <c r="P468" s="74"/>
      <c r="Q468" s="74"/>
      <c r="R468" s="74"/>
      <c r="S468" s="74"/>
      <c r="T468" s="74"/>
      <c r="U468" s="74"/>
      <c r="V468" s="74"/>
      <c r="W468" s="74"/>
      <c r="X468" s="74"/>
      <c r="Y468" s="74"/>
      <c r="Z468" s="74"/>
    </row>
    <row r="469" spans="1:26" x14ac:dyDescent="0.3">
      <c r="A469" s="66">
        <f t="shared" si="50"/>
        <v>2036.199999999958</v>
      </c>
      <c r="B469" s="67">
        <f>LOOKUP(A469+0.01,Amounts!$A$4:$A$103,Amounts!$B$4:$B$103)*0.1*$A$2</f>
        <v>0</v>
      </c>
      <c r="C469" s="68">
        <f t="shared" si="49"/>
        <v>120665.52921499971</v>
      </c>
      <c r="D469" s="67">
        <f t="array" ref="D469">SUM($B$7:$B464*$F$1009*EXP(-$F$1009*($A469-$A$7:$A464)))*$F$1010</f>
        <v>7008042.5165956244</v>
      </c>
      <c r="E469" s="67">
        <f t="shared" si="47"/>
        <v>13.360214387469526</v>
      </c>
      <c r="F469" s="70">
        <f t="shared" si="51"/>
        <v>0.81123221760714959</v>
      </c>
      <c r="G469" s="67">
        <f>E469/'Lookup Tables'!$C$48</f>
        <v>26.720428774939052</v>
      </c>
      <c r="H469" s="70">
        <f t="shared" si="48"/>
        <v>5.8194985160526493E-2</v>
      </c>
      <c r="I469" s="71">
        <f t="shared" si="52"/>
        <v>3.8477417435912244E-2</v>
      </c>
      <c r="L469" s="74"/>
      <c r="M469" s="74"/>
      <c r="N469" s="74"/>
      <c r="O469" s="74"/>
      <c r="P469" s="74"/>
      <c r="Q469" s="74"/>
      <c r="R469" s="74"/>
      <c r="S469" s="74"/>
      <c r="T469" s="74"/>
      <c r="U469" s="74"/>
      <c r="V469" s="74"/>
      <c r="W469" s="74"/>
      <c r="X469" s="74"/>
      <c r="Y469" s="74"/>
      <c r="Z469" s="74"/>
    </row>
    <row r="470" spans="1:26" x14ac:dyDescent="0.3">
      <c r="A470" s="66">
        <f t="shared" si="50"/>
        <v>2036.2999999999579</v>
      </c>
      <c r="B470" s="67">
        <f>LOOKUP(A470+0.01,Amounts!$A$4:$A$103,Amounts!$B$4:$B$103)*0.1*$A$2</f>
        <v>0</v>
      </c>
      <c r="C470" s="68">
        <f t="shared" si="49"/>
        <v>120665.52921499971</v>
      </c>
      <c r="D470" s="67">
        <f t="array" ref="D470">SUM($B$7:$B465*$F$1009*EXP(-$F$1009*($A470-$A$7:$A465)))*$F$1010</f>
        <v>6998238.1217501741</v>
      </c>
      <c r="E470" s="67">
        <f t="shared" si="47"/>
        <v>13.341523174229247</v>
      </c>
      <c r="F470" s="70">
        <f t="shared" si="51"/>
        <v>0.81009728713919982</v>
      </c>
      <c r="G470" s="67">
        <f>E470/'Lookup Tables'!$C$48</f>
        <v>26.683046348458493</v>
      </c>
      <c r="H470" s="70">
        <f t="shared" si="48"/>
        <v>5.811356918578206E-2</v>
      </c>
      <c r="I470" s="71">
        <f t="shared" si="52"/>
        <v>3.842358674178023E-2</v>
      </c>
      <c r="L470" s="74"/>
      <c r="M470" s="74"/>
      <c r="N470" s="74"/>
      <c r="O470" s="74"/>
      <c r="P470" s="74"/>
      <c r="Q470" s="74"/>
      <c r="R470" s="74"/>
      <c r="S470" s="74"/>
      <c r="T470" s="74"/>
      <c r="U470" s="74"/>
      <c r="V470" s="74"/>
      <c r="W470" s="74"/>
      <c r="X470" s="74"/>
      <c r="Y470" s="74"/>
      <c r="Z470" s="74"/>
    </row>
    <row r="471" spans="1:26" x14ac:dyDescent="0.3">
      <c r="A471" s="66">
        <f t="shared" si="50"/>
        <v>2036.3999999999578</v>
      </c>
      <c r="B471" s="67">
        <f>LOOKUP(A471+0.01,Amounts!$A$4:$A$103,Amounts!$B$4:$B$103)*0.1*$A$2</f>
        <v>0</v>
      </c>
      <c r="C471" s="68">
        <f t="shared" si="49"/>
        <v>120665.52921499971</v>
      </c>
      <c r="D471" s="67">
        <f t="array" ref="D471">SUM($B$7:$B466*$F$1009*EXP(-$F$1009*($A471-$A$7:$A466)))*$F$1010</f>
        <v>6988447.4434536854</v>
      </c>
      <c r="E471" s="67">
        <f t="shared" si="47"/>
        <v>13.322858110378668</v>
      </c>
      <c r="F471" s="70">
        <f t="shared" si="51"/>
        <v>0.80896394446219266</v>
      </c>
      <c r="G471" s="67">
        <f>E471/'Lookup Tables'!$C$48</f>
        <v>26.645716220757336</v>
      </c>
      <c r="H471" s="70">
        <f t="shared" si="48"/>
        <v>5.8032267113651885E-2</v>
      </c>
      <c r="I471" s="71">
        <f t="shared" si="52"/>
        <v>3.8369831357890564E-2</v>
      </c>
      <c r="L471" s="74"/>
      <c r="M471" s="74"/>
      <c r="N471" s="74"/>
      <c r="O471" s="74"/>
      <c r="P471" s="74"/>
      <c r="Q471" s="74"/>
      <c r="R471" s="74"/>
      <c r="S471" s="74"/>
      <c r="T471" s="74"/>
      <c r="U471" s="74"/>
      <c r="V471" s="74"/>
      <c r="W471" s="74"/>
      <c r="X471" s="74"/>
      <c r="Y471" s="74"/>
      <c r="Z471" s="74"/>
    </row>
    <row r="472" spans="1:26" x14ac:dyDescent="0.3">
      <c r="A472" s="66">
        <f t="shared" si="50"/>
        <v>2036.4999999999577</v>
      </c>
      <c r="B472" s="67">
        <f>LOOKUP(A472+0.01,Amounts!$A$4:$A$103,Amounts!$B$4:$B$103)*0.1*$A$2</f>
        <v>0</v>
      </c>
      <c r="C472" s="68">
        <f t="shared" si="49"/>
        <v>120665.52921499971</v>
      </c>
      <c r="D472" s="67">
        <f t="array" ref="D472">SUM($B$7:$B467*$F$1009*EXP(-$F$1009*($A472-$A$7:$A467)))*$F$1010</f>
        <v>6978670.4625164187</v>
      </c>
      <c r="E472" s="67">
        <f t="shared" si="47"/>
        <v>13.304219159334242</v>
      </c>
      <c r="F472" s="70">
        <f t="shared" si="51"/>
        <v>0.80783218735477513</v>
      </c>
      <c r="G472" s="67">
        <f>E472/'Lookup Tables'!$C$48</f>
        <v>26.608438318668483</v>
      </c>
      <c r="H472" s="70">
        <f t="shared" si="48"/>
        <v>5.795107878478379E-2</v>
      </c>
      <c r="I472" s="71">
        <f t="shared" si="52"/>
        <v>3.8316151178882617E-2</v>
      </c>
      <c r="L472" s="74"/>
      <c r="M472" s="74"/>
      <c r="N472" s="74"/>
      <c r="O472" s="74"/>
      <c r="P472" s="74"/>
      <c r="Q472" s="74"/>
      <c r="R472" s="74"/>
      <c r="S472" s="74"/>
      <c r="T472" s="74"/>
      <c r="U472" s="74"/>
      <c r="V472" s="74"/>
      <c r="W472" s="74"/>
      <c r="X472" s="74"/>
      <c r="Y472" s="74"/>
      <c r="Z472" s="74"/>
    </row>
    <row r="473" spans="1:26" x14ac:dyDescent="0.3">
      <c r="A473" s="66">
        <f t="shared" si="50"/>
        <v>2036.5999999999576</v>
      </c>
      <c r="B473" s="67">
        <f>LOOKUP(A473+0.01,Amounts!$A$4:$A$103,Amounts!$B$4:$B$103)*0.1*$A$2</f>
        <v>0</v>
      </c>
      <c r="C473" s="68">
        <f t="shared" si="49"/>
        <v>120665.52921499971</v>
      </c>
      <c r="D473" s="67">
        <f t="array" ref="D473">SUM($B$7:$B468*$F$1009*EXP(-$F$1009*($A473-$A$7:$A468)))*$F$1010</f>
        <v>6968907.1597754983</v>
      </c>
      <c r="E473" s="67">
        <f t="shared" si="47"/>
        <v>13.285606284563636</v>
      </c>
      <c r="F473" s="70">
        <f t="shared" si="51"/>
        <v>0.80670201359870397</v>
      </c>
      <c r="G473" s="67">
        <f>E473/'Lookup Tables'!$C$48</f>
        <v>26.571212569127272</v>
      </c>
      <c r="H473" s="70">
        <f t="shared" si="48"/>
        <v>5.7870004040048703E-2</v>
      </c>
      <c r="I473" s="71">
        <f t="shared" si="52"/>
        <v>3.8262546099543271E-2</v>
      </c>
      <c r="L473" s="74"/>
      <c r="M473" s="74"/>
      <c r="N473" s="74"/>
      <c r="O473" s="74"/>
      <c r="P473" s="74"/>
      <c r="Q473" s="74"/>
      <c r="R473" s="74"/>
      <c r="S473" s="74"/>
      <c r="T473" s="74"/>
      <c r="U473" s="74"/>
      <c r="V473" s="74"/>
      <c r="W473" s="74"/>
      <c r="X473" s="74"/>
      <c r="Y473" s="74"/>
      <c r="Z473" s="74"/>
    </row>
    <row r="474" spans="1:26" x14ac:dyDescent="0.3">
      <c r="A474" s="66">
        <f t="shared" si="50"/>
        <v>2036.6999999999575</v>
      </c>
      <c r="B474" s="67">
        <f>LOOKUP(A474+0.01,Amounts!$A$4:$A$103,Amounts!$B$4:$B$103)*0.1*$A$2</f>
        <v>0</v>
      </c>
      <c r="C474" s="68">
        <f t="shared" si="49"/>
        <v>120665.52921499971</v>
      </c>
      <c r="D474" s="67">
        <f t="array" ref="D474">SUM($B$7:$B469*$F$1009*EXP(-$F$1009*($A474-$A$7:$A469)))*$F$1010</f>
        <v>6959157.5160948401</v>
      </c>
      <c r="E474" s="67">
        <f t="shared" si="47"/>
        <v>13.2670194495856</v>
      </c>
      <c r="F474" s="70">
        <f t="shared" si="51"/>
        <v>0.80557342097883766</v>
      </c>
      <c r="G474" s="67">
        <f>E474/'Lookup Tables'!$C$48</f>
        <v>26.5340388991712</v>
      </c>
      <c r="H474" s="70">
        <f t="shared" si="48"/>
        <v>5.778904272054005E-2</v>
      </c>
      <c r="I474" s="71">
        <f t="shared" si="52"/>
        <v>3.8209016014806529E-2</v>
      </c>
      <c r="L474" s="74"/>
      <c r="M474" s="74"/>
      <c r="N474" s="74"/>
      <c r="O474" s="74"/>
      <c r="P474" s="74"/>
      <c r="Q474" s="74"/>
      <c r="R474" s="74"/>
      <c r="S474" s="74"/>
      <c r="T474" s="74"/>
      <c r="U474" s="74"/>
      <c r="V474" s="74"/>
      <c r="W474" s="74"/>
      <c r="X474" s="74"/>
      <c r="Y474" s="74"/>
      <c r="Z474" s="74"/>
    </row>
    <row r="475" spans="1:26" x14ac:dyDescent="0.3">
      <c r="A475" s="66">
        <f t="shared" si="50"/>
        <v>2036.7999999999574</v>
      </c>
      <c r="B475" s="67">
        <f>LOOKUP(A475+0.01,Amounts!$A$4:$A$103,Amounts!$B$4:$B$103)*0.1*$A$2</f>
        <v>0</v>
      </c>
      <c r="C475" s="68">
        <f t="shared" si="49"/>
        <v>120665.52921499971</v>
      </c>
      <c r="D475" s="67">
        <f t="array" ref="D475">SUM($B$7:$B470*$F$1009*EXP(-$F$1009*($A475-$A$7:$A470)))*$F$1010</f>
        <v>6949421.5123651419</v>
      </c>
      <c r="E475" s="67">
        <f t="shared" si="47"/>
        <v>13.248458617969932</v>
      </c>
      <c r="F475" s="70">
        <f t="shared" si="51"/>
        <v>0.80444640728313432</v>
      </c>
      <c r="G475" s="67">
        <f>E475/'Lookup Tables'!$C$48</f>
        <v>26.496917235939865</v>
      </c>
      <c r="H475" s="70">
        <f t="shared" si="48"/>
        <v>5.7708194667573626E-2</v>
      </c>
      <c r="I475" s="71">
        <f t="shared" si="52"/>
        <v>3.8155560819753402E-2</v>
      </c>
      <c r="L475" s="74"/>
      <c r="M475" s="74"/>
      <c r="N475" s="74"/>
      <c r="O475" s="74"/>
      <c r="P475" s="74"/>
      <c r="Q475" s="74"/>
      <c r="R475" s="74"/>
      <c r="S475" s="74"/>
      <c r="T475" s="74"/>
      <c r="U475" s="74"/>
      <c r="V475" s="74"/>
      <c r="W475" s="74"/>
      <c r="X475" s="74"/>
      <c r="Y475" s="74"/>
      <c r="Z475" s="74"/>
    </row>
    <row r="476" spans="1:26" x14ac:dyDescent="0.3">
      <c r="A476" s="66">
        <f t="shared" si="50"/>
        <v>2036.8999999999573</v>
      </c>
      <c r="B476" s="67">
        <f>LOOKUP(A476+0.01,Amounts!$A$4:$A$103,Amounts!$B$4:$B$103)*0.1*$A$2</f>
        <v>0</v>
      </c>
      <c r="C476" s="68">
        <f t="shared" si="49"/>
        <v>120665.52921499971</v>
      </c>
      <c r="D476" s="67">
        <f t="array" ref="D476">SUM($B$7:$B471*$F$1009*EXP(-$F$1009*($A476-$A$7:$A471)))*$F$1010</f>
        <v>6939699.1295038331</v>
      </c>
      <c r="E476" s="67">
        <f t="shared" si="47"/>
        <v>13.229923753337397</v>
      </c>
      <c r="F476" s="70">
        <f t="shared" si="51"/>
        <v>0.80332097030264671</v>
      </c>
      <c r="G476" s="67">
        <f>E476/'Lookup Tables'!$C$48</f>
        <v>26.459847506674794</v>
      </c>
      <c r="H476" s="70">
        <f t="shared" si="48"/>
        <v>5.7627459722687242E-2</v>
      </c>
      <c r="I476" s="71">
        <f t="shared" si="52"/>
        <v>3.8102180409611705E-2</v>
      </c>
      <c r="L476" s="74"/>
      <c r="M476" s="74"/>
      <c r="N476" s="74"/>
      <c r="O476" s="74"/>
      <c r="P476" s="74"/>
      <c r="Q476" s="74"/>
      <c r="R476" s="74"/>
      <c r="S476" s="74"/>
      <c r="T476" s="74"/>
      <c r="U476" s="74"/>
      <c r="V476" s="74"/>
      <c r="W476" s="74"/>
      <c r="X476" s="74"/>
      <c r="Y476" s="74"/>
      <c r="Z476" s="74"/>
    </row>
    <row r="477" spans="1:26" x14ac:dyDescent="0.3">
      <c r="A477" s="66">
        <f t="shared" si="50"/>
        <v>2036.9999999999573</v>
      </c>
      <c r="B477" s="67">
        <f>LOOKUP(A477+0.01,Amounts!$A$4:$A$103,Amounts!$B$4:$B$103)*0.1*$A$2</f>
        <v>0</v>
      </c>
      <c r="C477" s="68">
        <f t="shared" si="49"/>
        <v>120665.52921499971</v>
      </c>
      <c r="D477" s="67">
        <f t="array" ref="D477">SUM($B$7:$B472*$F$1009*EXP(-$F$1009*($A477-$A$7:$A472)))*$F$1010</f>
        <v>6929990.3484550379</v>
      </c>
      <c r="E477" s="67">
        <f t="shared" si="47"/>
        <v>13.211414819359652</v>
      </c>
      <c r="F477" s="70">
        <f t="shared" si="51"/>
        <v>0.8021971078315181</v>
      </c>
      <c r="G477" s="67">
        <f>E477/'Lookup Tables'!$C$48</f>
        <v>26.422829638719303</v>
      </c>
      <c r="H477" s="70">
        <f t="shared" si="48"/>
        <v>5.754683772764034E-2</v>
      </c>
      <c r="I477" s="71">
        <f t="shared" si="52"/>
        <v>3.8048874679755797E-2</v>
      </c>
      <c r="L477" s="74"/>
      <c r="M477" s="74"/>
      <c r="N477" s="74"/>
      <c r="O477" s="74"/>
      <c r="P477" s="74"/>
      <c r="Q477" s="74"/>
      <c r="R477" s="74"/>
      <c r="S477" s="74"/>
      <c r="T477" s="74"/>
      <c r="U477" s="74"/>
      <c r="V477" s="74"/>
      <c r="W477" s="74"/>
      <c r="X477" s="74"/>
      <c r="Y477" s="74"/>
      <c r="Z477" s="74"/>
    </row>
    <row r="478" spans="1:26" x14ac:dyDescent="0.3">
      <c r="A478" s="66">
        <f t="shared" si="50"/>
        <v>2037.0999999999572</v>
      </c>
      <c r="B478" s="67">
        <f>LOOKUP(A478+0.01,Amounts!$A$4:$A$103,Amounts!$B$4:$B$103)*0.1*$A$2</f>
        <v>0</v>
      </c>
      <c r="C478" s="68">
        <f t="shared" si="49"/>
        <v>120665.52921499971</v>
      </c>
      <c r="D478" s="67">
        <f t="array" ref="D478">SUM($B$7:$B473*$F$1009*EXP(-$F$1009*($A478-$A$7:$A473)))*$F$1010</f>
        <v>6920295.1501895459</v>
      </c>
      <c r="E478" s="67">
        <f t="shared" si="47"/>
        <v>13.192931779759183</v>
      </c>
      <c r="F478" s="70">
        <f t="shared" si="51"/>
        <v>0.80107481766697752</v>
      </c>
      <c r="G478" s="67">
        <f>E478/'Lookup Tables'!$C$48</f>
        <v>26.385863559518366</v>
      </c>
      <c r="H478" s="70">
        <f t="shared" si="48"/>
        <v>5.7466328524413815E-2</v>
      </c>
      <c r="I478" s="71">
        <f t="shared" si="52"/>
        <v>3.7995643525706446E-2</v>
      </c>
      <c r="L478" s="74"/>
      <c r="M478" s="74"/>
      <c r="N478" s="74"/>
      <c r="O478" s="74"/>
      <c r="P478" s="74"/>
      <c r="Q478" s="74"/>
      <c r="R478" s="74"/>
      <c r="S478" s="74"/>
      <c r="T478" s="74"/>
      <c r="U478" s="74"/>
      <c r="V478" s="74"/>
      <c r="W478" s="74"/>
      <c r="X478" s="74"/>
      <c r="Y478" s="74"/>
      <c r="Z478" s="74"/>
    </row>
    <row r="479" spans="1:26" x14ac:dyDescent="0.3">
      <c r="A479" s="66">
        <f t="shared" si="50"/>
        <v>2037.1999999999571</v>
      </c>
      <c r="B479" s="67">
        <f>LOOKUP(A479+0.01,Amounts!$A$4:$A$103,Amounts!$B$4:$B$103)*0.1*$A$2</f>
        <v>0</v>
      </c>
      <c r="C479" s="68">
        <f t="shared" si="49"/>
        <v>120665.52921499971</v>
      </c>
      <c r="D479" s="67">
        <f t="array" ref="D479">SUM($B$7:$B474*$F$1009*EXP(-$F$1009*($A479-$A$7:$A474)))*$F$1010</f>
        <v>6910613.5157047631</v>
      </c>
      <c r="E479" s="67">
        <f t="shared" si="47"/>
        <v>13.174474598309228</v>
      </c>
      <c r="F479" s="70">
        <f t="shared" si="51"/>
        <v>0.79995409760933633</v>
      </c>
      <c r="G479" s="67">
        <f>E479/'Lookup Tables'!$C$48</f>
        <v>26.348949196618456</v>
      </c>
      <c r="H479" s="70">
        <f t="shared" si="48"/>
        <v>5.7385931955209614E-2</v>
      </c>
      <c r="I479" s="71">
        <f t="shared" si="52"/>
        <v>3.7942486843130584E-2</v>
      </c>
      <c r="L479" s="74"/>
      <c r="M479" s="74"/>
      <c r="N479" s="74"/>
      <c r="O479" s="74"/>
      <c r="P479" s="74"/>
      <c r="Q479" s="74"/>
      <c r="R479" s="74"/>
      <c r="S479" s="74"/>
      <c r="T479" s="74"/>
      <c r="U479" s="74"/>
      <c r="V479" s="74"/>
      <c r="W479" s="74"/>
      <c r="X479" s="74"/>
      <c r="Y479" s="74"/>
      <c r="Z479" s="74"/>
    </row>
    <row r="480" spans="1:26" x14ac:dyDescent="0.3">
      <c r="A480" s="66">
        <f t="shared" si="50"/>
        <v>2037.299999999957</v>
      </c>
      <c r="B480" s="67">
        <f>LOOKUP(A480+0.01,Amounts!$A$4:$A$103,Amounts!$B$4:$B$103)*0.1*$A$2</f>
        <v>0</v>
      </c>
      <c r="C480" s="68">
        <f t="shared" si="49"/>
        <v>120665.52921499971</v>
      </c>
      <c r="D480" s="67">
        <f t="array" ref="D480">SUM($B$7:$B475*$F$1009*EXP(-$F$1009*($A480-$A$7:$A475)))*$F$1010</f>
        <v>6900945.4260246828</v>
      </c>
      <c r="E480" s="67">
        <f t="shared" si="47"/>
        <v>13.1560432388337</v>
      </c>
      <c r="F480" s="70">
        <f t="shared" si="51"/>
        <v>0.7988349454619823</v>
      </c>
      <c r="G480" s="67">
        <f>E480/'Lookup Tables'!$C$48</f>
        <v>26.3120864776674</v>
      </c>
      <c r="H480" s="70">
        <f t="shared" si="48"/>
        <v>5.7305647862450383E-2</v>
      </c>
      <c r="I480" s="71">
        <f t="shared" si="52"/>
        <v>3.7889404527841057E-2</v>
      </c>
      <c r="L480" s="74"/>
      <c r="M480" s="74"/>
      <c r="N480" s="74"/>
      <c r="O480" s="74"/>
      <c r="P480" s="74"/>
      <c r="Q480" s="74"/>
      <c r="R480" s="74"/>
      <c r="S480" s="74"/>
      <c r="T480" s="74"/>
      <c r="U480" s="74"/>
      <c r="V480" s="74"/>
      <c r="W480" s="74"/>
      <c r="X480" s="74"/>
      <c r="Y480" s="74"/>
      <c r="Z480" s="74"/>
    </row>
    <row r="481" spans="1:26" x14ac:dyDescent="0.3">
      <c r="A481" s="66">
        <f t="shared" si="50"/>
        <v>2037.3999999999569</v>
      </c>
      <c r="B481" s="67">
        <f>LOOKUP(A481+0.01,Amounts!$A$4:$A$103,Amounts!$B$4:$B$103)*0.1*$A$2</f>
        <v>0</v>
      </c>
      <c r="C481" s="68">
        <f t="shared" si="49"/>
        <v>120665.52921499971</v>
      </c>
      <c r="D481" s="67">
        <f t="array" ref="D481">SUM($B$7:$B476*$F$1009*EXP(-$F$1009*($A481-$A$7:$A476)))*$F$1010</f>
        <v>6891290.8621998467</v>
      </c>
      <c r="E481" s="67">
        <f t="shared" si="47"/>
        <v>13.137637665207132</v>
      </c>
      <c r="F481" s="70">
        <f t="shared" si="51"/>
        <v>0.79771735903137697</v>
      </c>
      <c r="G481" s="67">
        <f>E481/'Lookup Tables'!$C$48</f>
        <v>26.275275330414264</v>
      </c>
      <c r="H481" s="70">
        <f t="shared" si="48"/>
        <v>5.7225476088779322E-2</v>
      </c>
      <c r="I481" s="71">
        <f t="shared" si="52"/>
        <v>3.7836396475796535E-2</v>
      </c>
      <c r="L481" s="74"/>
      <c r="M481" s="74"/>
      <c r="N481" s="74"/>
      <c r="O481" s="74"/>
      <c r="P481" s="74"/>
      <c r="Q481" s="74"/>
      <c r="R481" s="74"/>
      <c r="S481" s="74"/>
      <c r="T481" s="74"/>
      <c r="U481" s="74"/>
      <c r="V481" s="74"/>
      <c r="W481" s="74"/>
      <c r="X481" s="74"/>
      <c r="Y481" s="74"/>
      <c r="Z481" s="74"/>
    </row>
    <row r="482" spans="1:26" x14ac:dyDescent="0.3">
      <c r="A482" s="66">
        <f t="shared" si="50"/>
        <v>2037.4999999999568</v>
      </c>
      <c r="B482" s="67">
        <f>LOOKUP(A482+0.01,Amounts!$A$4:$A$103,Amounts!$B$4:$B$103)*0.1*$A$2</f>
        <v>0</v>
      </c>
      <c r="C482" s="68">
        <f t="shared" si="49"/>
        <v>120665.52921499971</v>
      </c>
      <c r="D482" s="67">
        <f t="array" ref="D482">SUM($B$7:$B477*$F$1009*EXP(-$F$1009*($A482-$A$7:$A477)))*$F$1010</f>
        <v>6881649.8053073054</v>
      </c>
      <c r="E482" s="67">
        <f t="shared" si="47"/>
        <v>13.119257841354592</v>
      </c>
      <c r="F482" s="70">
        <f t="shared" si="51"/>
        <v>0.79660133612705075</v>
      </c>
      <c r="G482" s="67">
        <f>E482/'Lookup Tables'!$C$48</f>
        <v>26.238515682709185</v>
      </c>
      <c r="H482" s="70">
        <f t="shared" si="48"/>
        <v>5.7145416477059709E-2</v>
      </c>
      <c r="I482" s="71">
        <f t="shared" si="52"/>
        <v>3.7783462583101224E-2</v>
      </c>
      <c r="L482" s="74"/>
      <c r="M482" s="74"/>
      <c r="N482" s="74"/>
      <c r="O482" s="74"/>
      <c r="P482" s="74"/>
      <c r="Q482" s="74"/>
      <c r="R482" s="74"/>
      <c r="S482" s="74"/>
      <c r="T482" s="74"/>
      <c r="U482" s="74"/>
      <c r="V482" s="74"/>
      <c r="W482" s="74"/>
      <c r="X482" s="74"/>
      <c r="Y482" s="74"/>
      <c r="Z482" s="74"/>
    </row>
    <row r="483" spans="1:26" x14ac:dyDescent="0.3">
      <c r="A483" s="66">
        <f t="shared" si="50"/>
        <v>2037.5999999999567</v>
      </c>
      <c r="B483" s="67">
        <f>LOOKUP(A483+0.01,Amounts!$A$4:$A$103,Amounts!$B$4:$B$103)*0.1*$A$2</f>
        <v>0</v>
      </c>
      <c r="C483" s="68">
        <f t="shared" si="49"/>
        <v>120665.52921499971</v>
      </c>
      <c r="D483" s="67">
        <f t="array" ref="D483">SUM($B$7:$B478*$F$1009*EXP(-$F$1009*($A483-$A$7:$A478)))*$F$1010</f>
        <v>6872022.2364505865</v>
      </c>
      <c r="E483" s="67">
        <f t="shared" si="47"/>
        <v>13.100903731251623</v>
      </c>
      <c r="F483" s="70">
        <f t="shared" si="51"/>
        <v>0.7954868745615985</v>
      </c>
      <c r="G483" s="67">
        <f>E483/'Lookup Tables'!$C$48</f>
        <v>26.201807462503247</v>
      </c>
      <c r="H483" s="70">
        <f t="shared" si="48"/>
        <v>5.706546887037469E-2</v>
      </c>
      <c r="I483" s="71">
        <f t="shared" si="52"/>
        <v>3.7730602746004677E-2</v>
      </c>
      <c r="L483" s="74"/>
      <c r="M483" s="74"/>
      <c r="N483" s="74"/>
      <c r="O483" s="74"/>
      <c r="P483" s="74"/>
      <c r="Q483" s="74"/>
      <c r="R483" s="74"/>
      <c r="S483" s="74"/>
      <c r="T483" s="74"/>
      <c r="U483" s="74"/>
      <c r="V483" s="74"/>
      <c r="W483" s="74"/>
      <c r="X483" s="74"/>
      <c r="Y483" s="74"/>
      <c r="Z483" s="74"/>
    </row>
    <row r="484" spans="1:26" x14ac:dyDescent="0.3">
      <c r="A484" s="66">
        <f t="shared" si="50"/>
        <v>2037.6999999999566</v>
      </c>
      <c r="B484" s="67">
        <f>LOOKUP(A484+0.01,Amounts!$A$4:$A$103,Amounts!$B$4:$B$103)*0.1*$A$2</f>
        <v>0</v>
      </c>
      <c r="C484" s="68">
        <f t="shared" si="49"/>
        <v>120665.52921499971</v>
      </c>
      <c r="D484" s="67">
        <f t="array" ref="D484">SUM($B$7:$B479*$F$1009*EXP(-$F$1009*($A484-$A$7:$A479)))*$F$1010</f>
        <v>6862408.13675965</v>
      </c>
      <c r="E484" s="67">
        <f t="shared" si="47"/>
        <v>13.082575298924157</v>
      </c>
      <c r="F484" s="70">
        <f t="shared" si="51"/>
        <v>0.79437397215067473</v>
      </c>
      <c r="G484" s="67">
        <f>E484/'Lookup Tables'!$C$48</f>
        <v>26.165150597848314</v>
      </c>
      <c r="H484" s="70">
        <f t="shared" si="48"/>
        <v>5.6985633112026902E-2</v>
      </c>
      <c r="I484" s="71">
        <f t="shared" si="52"/>
        <v>3.7677816860901568E-2</v>
      </c>
      <c r="L484" s="74"/>
      <c r="M484" s="74"/>
      <c r="N484" s="74"/>
      <c r="O484" s="74"/>
      <c r="P484" s="74"/>
      <c r="Q484" s="74"/>
      <c r="R484" s="74"/>
      <c r="S484" s="74"/>
      <c r="T484" s="74"/>
      <c r="U484" s="74"/>
      <c r="V484" s="74"/>
      <c r="W484" s="74"/>
      <c r="X484" s="74"/>
      <c r="Y484" s="74"/>
      <c r="Z484" s="74"/>
    </row>
    <row r="485" spans="1:26" x14ac:dyDescent="0.3">
      <c r="A485" s="66">
        <f t="shared" si="50"/>
        <v>2037.7999999999565</v>
      </c>
      <c r="B485" s="67">
        <f>LOOKUP(A485+0.01,Amounts!$A$4:$A$103,Amounts!$B$4:$B$103)*0.1*$A$2</f>
        <v>0</v>
      </c>
      <c r="C485" s="68">
        <f t="shared" si="49"/>
        <v>120665.52921499971</v>
      </c>
      <c r="D485" s="67">
        <f t="array" ref="D485">SUM($B$7:$B480*$F$1009*EXP(-$F$1009*($A485-$A$7:$A480)))*$F$1010</f>
        <v>6852807.4873908591</v>
      </c>
      <c r="E485" s="67">
        <f t="shared" si="47"/>
        <v>13.06427250844847</v>
      </c>
      <c r="F485" s="70">
        <f t="shared" si="51"/>
        <v>0.79326262671299108</v>
      </c>
      <c r="G485" s="67">
        <f>E485/'Lookup Tables'!$C$48</f>
        <v>26.12854501689694</v>
      </c>
      <c r="H485" s="70">
        <f t="shared" si="48"/>
        <v>5.6905909045538272E-2</v>
      </c>
      <c r="I485" s="71">
        <f t="shared" si="52"/>
        <v>3.7625104824331589E-2</v>
      </c>
      <c r="L485" s="74"/>
      <c r="M485" s="74"/>
      <c r="N485" s="74"/>
      <c r="O485" s="74"/>
      <c r="P485" s="74"/>
      <c r="Q485" s="74"/>
      <c r="R485" s="74"/>
      <c r="S485" s="74"/>
      <c r="T485" s="74"/>
      <c r="U485" s="74"/>
      <c r="V485" s="74"/>
      <c r="W485" s="74"/>
      <c r="X485" s="74"/>
      <c r="Y485" s="74"/>
      <c r="Z485" s="74"/>
    </row>
    <row r="486" spans="1:26" x14ac:dyDescent="0.3">
      <c r="A486" s="66">
        <f t="shared" si="50"/>
        <v>2037.8999999999564</v>
      </c>
      <c r="B486" s="67">
        <f>LOOKUP(A486+0.01,Amounts!$A$4:$A$103,Amounts!$B$4:$B$103)*0.1*$A$2</f>
        <v>0</v>
      </c>
      <c r="C486" s="68">
        <f t="shared" si="49"/>
        <v>120665.52921499971</v>
      </c>
      <c r="D486" s="67">
        <f t="array" ref="D486">SUM($B$7:$B481*$F$1009*EXP(-$F$1009*($A486-$A$7:$A481)))*$F$1010</f>
        <v>6843220.269526937</v>
      </c>
      <c r="E486" s="67">
        <f t="shared" si="47"/>
        <v>13.045995323951079</v>
      </c>
      <c r="F486" s="70">
        <f t="shared" si="51"/>
        <v>0.79215283607030951</v>
      </c>
      <c r="G486" s="67">
        <f>E486/'Lookup Tables'!$C$48</f>
        <v>26.091990647902158</v>
      </c>
      <c r="H486" s="70">
        <f t="shared" si="48"/>
        <v>5.6826296514649599E-2</v>
      </c>
      <c r="I486" s="71">
        <f t="shared" si="52"/>
        <v>3.7572466532979111E-2</v>
      </c>
      <c r="L486" s="74"/>
      <c r="M486" s="74"/>
      <c r="N486" s="74"/>
      <c r="O486" s="74"/>
      <c r="P486" s="74"/>
      <c r="Q486" s="74"/>
      <c r="R486" s="74"/>
      <c r="S486" s="74"/>
      <c r="T486" s="74"/>
      <c r="U486" s="74"/>
      <c r="V486" s="74"/>
      <c r="W486" s="74"/>
      <c r="X486" s="74"/>
      <c r="Y486" s="74"/>
      <c r="Z486" s="74"/>
    </row>
    <row r="487" spans="1:26" x14ac:dyDescent="0.3">
      <c r="A487" s="66">
        <f t="shared" si="50"/>
        <v>2037.9999999999563</v>
      </c>
      <c r="B487" s="67">
        <f>LOOKUP(A487+0.01,Amounts!$A$4:$A$103,Amounts!$B$4:$B$103)*0.1*$A$2</f>
        <v>0</v>
      </c>
      <c r="C487" s="68">
        <f t="shared" si="49"/>
        <v>120665.52921499971</v>
      </c>
      <c r="D487" s="67">
        <f t="array" ref="D487">SUM($B$7:$B482*$F$1009*EXP(-$F$1009*($A487-$A$7:$A482)))*$F$1010</f>
        <v>6833646.4643769329</v>
      </c>
      <c r="E487" s="67">
        <f t="shared" si="47"/>
        <v>13.027743709608696</v>
      </c>
      <c r="F487" s="70">
        <f t="shared" si="51"/>
        <v>0.7910445980474401</v>
      </c>
      <c r="G487" s="67">
        <f>E487/'Lookup Tables'!$C$48</f>
        <v>26.055487419217393</v>
      </c>
      <c r="H487" s="70">
        <f t="shared" si="48"/>
        <v>5.6746795363320258E-2</v>
      </c>
      <c r="I487" s="71">
        <f t="shared" si="52"/>
        <v>3.7519901883673046E-2</v>
      </c>
      <c r="L487" s="74"/>
      <c r="M487" s="74"/>
      <c r="N487" s="74"/>
      <c r="O487" s="74"/>
      <c r="P487" s="74"/>
      <c r="Q487" s="74"/>
      <c r="R487" s="74"/>
      <c r="S487" s="74"/>
      <c r="T487" s="74"/>
      <c r="U487" s="74"/>
      <c r="V487" s="74"/>
      <c r="W487" s="74"/>
      <c r="X487" s="74"/>
      <c r="Y487" s="74"/>
      <c r="Z487" s="74"/>
    </row>
    <row r="488" spans="1:26" x14ac:dyDescent="0.3">
      <c r="A488" s="66">
        <f t="shared" si="50"/>
        <v>2038.0999999999563</v>
      </c>
      <c r="B488" s="67">
        <f>LOOKUP(A488+0.01,Amounts!$A$4:$A$103,Amounts!$B$4:$B$103)*0.1*$A$2</f>
        <v>0</v>
      </c>
      <c r="C488" s="68">
        <f t="shared" si="49"/>
        <v>120665.52921499971</v>
      </c>
      <c r="D488" s="67">
        <f t="array" ref="D488">SUM($B$7:$B483*$F$1009*EXP(-$F$1009*($A488-$A$7:$A483)))*$F$1010</f>
        <v>6824086.0531761888</v>
      </c>
      <c r="E488" s="67">
        <f t="shared" si="47"/>
        <v>13.009517629648162</v>
      </c>
      <c r="F488" s="70">
        <f t="shared" si="51"/>
        <v>0.78993791047223638</v>
      </c>
      <c r="G488" s="67">
        <f>E488/'Lookup Tables'!$C$48</f>
        <v>26.019035259296324</v>
      </c>
      <c r="H488" s="70">
        <f t="shared" si="48"/>
        <v>5.6667405435728027E-2</v>
      </c>
      <c r="I488" s="71">
        <f t="shared" si="52"/>
        <v>3.7467410773386708E-2</v>
      </c>
      <c r="L488" s="74"/>
      <c r="M488" s="74"/>
      <c r="N488" s="74"/>
      <c r="O488" s="74"/>
      <c r="P488" s="74"/>
      <c r="Q488" s="74"/>
      <c r="R488" s="74"/>
      <c r="S488" s="74"/>
      <c r="T488" s="74"/>
      <c r="U488" s="74"/>
      <c r="V488" s="74"/>
      <c r="W488" s="74"/>
      <c r="X488" s="74"/>
      <c r="Y488" s="74"/>
      <c r="Z488" s="74"/>
    </row>
    <row r="489" spans="1:26" x14ac:dyDescent="0.3">
      <c r="A489" s="66">
        <f t="shared" si="50"/>
        <v>2038.1999999999562</v>
      </c>
      <c r="B489" s="67">
        <f>LOOKUP(A489+0.01,Amounts!$A$4:$A$103,Amounts!$B$4:$B$103)*0.1*$A$2</f>
        <v>0</v>
      </c>
      <c r="C489" s="68">
        <f t="shared" si="49"/>
        <v>120665.52921499971</v>
      </c>
      <c r="D489" s="67">
        <f t="array" ref="D489">SUM($B$7:$B484*$F$1009*EXP(-$F$1009*($A489-$A$7:$A484)))*$F$1010</f>
        <v>6814539.0171862924</v>
      </c>
      <c r="E489" s="67">
        <f t="shared" si="47"/>
        <v>12.991317048346341</v>
      </c>
      <c r="F489" s="70">
        <f t="shared" si="51"/>
        <v>0.78883277117558992</v>
      </c>
      <c r="G489" s="67">
        <f>E489/'Lookup Tables'!$C$48</f>
        <v>25.982634096692681</v>
      </c>
      <c r="H489" s="70">
        <f t="shared" si="48"/>
        <v>5.6588126576268577E-2</v>
      </c>
      <c r="I489" s="71">
        <f t="shared" si="52"/>
        <v>3.7414993099237466E-2</v>
      </c>
      <c r="L489" s="74"/>
      <c r="M489" s="74"/>
      <c r="N489" s="74"/>
      <c r="O489" s="74"/>
      <c r="P489" s="74"/>
      <c r="Q489" s="74"/>
      <c r="R489" s="74"/>
      <c r="S489" s="74"/>
      <c r="T489" s="74"/>
      <c r="U489" s="74"/>
      <c r="V489" s="74"/>
      <c r="W489" s="74"/>
      <c r="X489" s="74"/>
      <c r="Y489" s="74"/>
      <c r="Z489" s="74"/>
    </row>
    <row r="490" spans="1:26" x14ac:dyDescent="0.3">
      <c r="A490" s="66">
        <f t="shared" si="50"/>
        <v>2038.2999999999561</v>
      </c>
      <c r="B490" s="67">
        <f>LOOKUP(A490+0.01,Amounts!$A$4:$A$103,Amounts!$B$4:$B$103)*0.1*$A$2</f>
        <v>0</v>
      </c>
      <c r="C490" s="68">
        <f t="shared" si="49"/>
        <v>120665.52921499971</v>
      </c>
      <c r="D490" s="67">
        <f t="array" ref="D490">SUM($B$7:$B485*$F$1009*EXP(-$F$1009*($A490-$A$7:$A485)))*$F$1010</f>
        <v>6805005.3376950519</v>
      </c>
      <c r="E490" s="67">
        <f t="shared" si="47"/>
        <v>12.973141930030097</v>
      </c>
      <c r="F490" s="70">
        <f t="shared" si="51"/>
        <v>0.7877291779914275</v>
      </c>
      <c r="G490" s="67">
        <f>E490/'Lookup Tables'!$C$48</f>
        <v>25.946283860060195</v>
      </c>
      <c r="H490" s="70">
        <f t="shared" si="48"/>
        <v>5.6508958629555343E-2</v>
      </c>
      <c r="I490" s="71">
        <f t="shared" si="52"/>
        <v>3.7362648758486681E-2</v>
      </c>
      <c r="L490" s="74"/>
      <c r="M490" s="74"/>
      <c r="N490" s="74"/>
      <c r="O490" s="74"/>
      <c r="P490" s="74"/>
      <c r="Q490" s="74"/>
      <c r="R490" s="74"/>
      <c r="S490" s="74"/>
      <c r="T490" s="74"/>
      <c r="U490" s="74"/>
      <c r="V490" s="74"/>
      <c r="W490" s="74"/>
      <c r="X490" s="74"/>
      <c r="Y490" s="74"/>
      <c r="Z490" s="74"/>
    </row>
    <row r="491" spans="1:26" x14ac:dyDescent="0.3">
      <c r="A491" s="66">
        <f t="shared" si="50"/>
        <v>2038.399999999956</v>
      </c>
      <c r="B491" s="67">
        <f>LOOKUP(A491+0.01,Amounts!$A$4:$A$103,Amounts!$B$4:$B$103)*0.1*$A$2</f>
        <v>0</v>
      </c>
      <c r="C491" s="68">
        <f t="shared" si="49"/>
        <v>120665.52921499971</v>
      </c>
      <c r="D491" s="67">
        <f t="array" ref="D491">SUM($B$7:$B486*$F$1009*EXP(-$F$1009*($A491-$A$7:$A486)))*$F$1010</f>
        <v>6795484.9960164521</v>
      </c>
      <c r="E491" s="67">
        <f t="shared" si="47"/>
        <v>12.954992239076189</v>
      </c>
      <c r="F491" s="70">
        <f t="shared" si="51"/>
        <v>0.78662712875670626</v>
      </c>
      <c r="G491" s="67">
        <f>E491/'Lookup Tables'!$C$48</f>
        <v>25.909984478152378</v>
      </c>
      <c r="H491" s="70">
        <f t="shared" si="48"/>
        <v>5.6429901440419108E-2</v>
      </c>
      <c r="I491" s="71">
        <f t="shared" si="52"/>
        <v>3.7310377648539429E-2</v>
      </c>
      <c r="L491" s="74"/>
      <c r="M491" s="74"/>
      <c r="N491" s="74"/>
      <c r="O491" s="74"/>
      <c r="P491" s="74"/>
      <c r="Q491" s="74"/>
      <c r="R491" s="74"/>
      <c r="S491" s="74"/>
      <c r="T491" s="74"/>
      <c r="U491" s="74"/>
      <c r="V491" s="74"/>
      <c r="W491" s="74"/>
      <c r="X491" s="74"/>
      <c r="Y491" s="74"/>
      <c r="Z491" s="74"/>
    </row>
    <row r="492" spans="1:26" x14ac:dyDescent="0.3">
      <c r="A492" s="66">
        <f t="shared" si="50"/>
        <v>2038.4999999999559</v>
      </c>
      <c r="B492" s="67">
        <f>LOOKUP(A492+0.01,Amounts!$A$4:$A$103,Amounts!$B$4:$B$103)*0.1*$A$2</f>
        <v>0</v>
      </c>
      <c r="C492" s="68">
        <f t="shared" si="49"/>
        <v>120665.52921499971</v>
      </c>
      <c r="D492" s="67">
        <f t="array" ref="D492">SUM($B$7:$B487*$F$1009*EXP(-$F$1009*($A492-$A$7:$A487)))*$F$1010</f>
        <v>6785977.97349062</v>
      </c>
      <c r="E492" s="67">
        <f t="shared" si="47"/>
        <v>12.936867939911219</v>
      </c>
      <c r="F492" s="70">
        <f t="shared" si="51"/>
        <v>0.78552662131140916</v>
      </c>
      <c r="G492" s="67">
        <f>E492/'Lookup Tables'!$C$48</f>
        <v>25.873735879822437</v>
      </c>
      <c r="H492" s="70">
        <f t="shared" si="48"/>
        <v>5.6350954853907759E-2</v>
      </c>
      <c r="I492" s="71">
        <f t="shared" si="52"/>
        <v>3.7258179666944308E-2</v>
      </c>
      <c r="L492" s="74"/>
      <c r="M492" s="74"/>
      <c r="N492" s="74"/>
      <c r="O492" s="74"/>
      <c r="P492" s="74"/>
      <c r="Q492" s="74"/>
      <c r="R492" s="74"/>
      <c r="S492" s="74"/>
      <c r="T492" s="74"/>
      <c r="U492" s="74"/>
      <c r="V492" s="74"/>
      <c r="W492" s="74"/>
      <c r="X492" s="74"/>
      <c r="Y492" s="74"/>
      <c r="Z492" s="74"/>
    </row>
    <row r="493" spans="1:26" x14ac:dyDescent="0.3">
      <c r="A493" s="66">
        <f t="shared" si="50"/>
        <v>2038.5999999999558</v>
      </c>
      <c r="B493" s="67">
        <f>LOOKUP(A493+0.01,Amounts!$A$4:$A$103,Amounts!$B$4:$B$103)*0.1*$A$2</f>
        <v>0</v>
      </c>
      <c r="C493" s="68">
        <f t="shared" si="49"/>
        <v>120665.52921499971</v>
      </c>
      <c r="D493" s="67">
        <f t="array" ref="D493">SUM($B$7:$B488*$F$1009*EXP(-$F$1009*($A493-$A$7:$A488)))*$F$1010</f>
        <v>6776484.2514837887</v>
      </c>
      <c r="E493" s="67">
        <f t="shared" si="47"/>
        <v>12.918768997011552</v>
      </c>
      <c r="F493" s="70">
        <f t="shared" si="51"/>
        <v>0.7844276534985416</v>
      </c>
      <c r="G493" s="67">
        <f>E493/'Lookup Tables'!$C$48</f>
        <v>25.837537994023105</v>
      </c>
      <c r="H493" s="70">
        <f t="shared" si="48"/>
        <v>5.6272118715285979E-2</v>
      </c>
      <c r="I493" s="71">
        <f t="shared" si="52"/>
        <v>3.7206054711393273E-2</v>
      </c>
      <c r="L493" s="74"/>
      <c r="M493" s="74"/>
      <c r="N493" s="74"/>
      <c r="O493" s="74"/>
      <c r="P493" s="74"/>
      <c r="Q493" s="74"/>
      <c r="R493" s="74"/>
      <c r="S493" s="74"/>
      <c r="T493" s="74"/>
      <c r="U493" s="74"/>
      <c r="V493" s="74"/>
      <c r="W493" s="74"/>
      <c r="X493" s="74"/>
      <c r="Y493" s="74"/>
      <c r="Z493" s="74"/>
    </row>
    <row r="494" spans="1:26" x14ac:dyDescent="0.3">
      <c r="A494" s="66">
        <f t="shared" si="50"/>
        <v>2038.6999999999557</v>
      </c>
      <c r="B494" s="67">
        <f>LOOKUP(A494+0.01,Amounts!$A$4:$A$103,Amounts!$B$4:$B$103)*0.1*$A$2</f>
        <v>0</v>
      </c>
      <c r="C494" s="68">
        <f t="shared" si="49"/>
        <v>120665.52921499971</v>
      </c>
      <c r="D494" s="67">
        <f t="array" ref="D494">SUM($B$7:$B489*$F$1009*EXP(-$F$1009*($A494-$A$7:$A489)))*$F$1010</f>
        <v>6767003.811388257</v>
      </c>
      <c r="E494" s="67">
        <f t="shared" si="47"/>
        <v>12.900695374903249</v>
      </c>
      <c r="F494" s="70">
        <f t="shared" si="51"/>
        <v>0.78333022316412526</v>
      </c>
      <c r="G494" s="67">
        <f>E494/'Lookup Tables'!$C$48</f>
        <v>25.801390749806497</v>
      </c>
      <c r="H494" s="70">
        <f t="shared" si="48"/>
        <v>5.6193392870034865E-2</v>
      </c>
      <c r="I494" s="71">
        <f t="shared" si="52"/>
        <v>3.7154002679721361E-2</v>
      </c>
      <c r="L494" s="74"/>
      <c r="M494" s="74"/>
      <c r="N494" s="74"/>
      <c r="O494" s="74"/>
      <c r="P494" s="74"/>
      <c r="Q494" s="74"/>
      <c r="R494" s="74"/>
      <c r="S494" s="74"/>
      <c r="T494" s="74"/>
      <c r="U494" s="74"/>
      <c r="V494" s="74"/>
      <c r="W494" s="74"/>
      <c r="X494" s="74"/>
      <c r="Y494" s="74"/>
      <c r="Z494" s="74"/>
    </row>
    <row r="495" spans="1:26" x14ac:dyDescent="0.3">
      <c r="A495" s="66">
        <f t="shared" si="50"/>
        <v>2038.7999999999556</v>
      </c>
      <c r="B495" s="67">
        <f>LOOKUP(A495+0.01,Amounts!$A$4:$A$103,Amounts!$B$4:$B$103)*0.1*$A$2</f>
        <v>0</v>
      </c>
      <c r="C495" s="68">
        <f t="shared" si="49"/>
        <v>120665.52921499971</v>
      </c>
      <c r="D495" s="67">
        <f t="array" ref="D495">SUM($B$7:$B490*$F$1009*EXP(-$F$1009*($A495-$A$7:$A490)))*$F$1010</f>
        <v>6757536.6346223652</v>
      </c>
      <c r="E495" s="67">
        <f t="shared" si="47"/>
        <v>12.882647038162018</v>
      </c>
      <c r="F495" s="70">
        <f t="shared" si="51"/>
        <v>0.78223432815719773</v>
      </c>
      <c r="G495" s="67">
        <f>E495/'Lookup Tables'!$C$48</f>
        <v>25.765294076324036</v>
      </c>
      <c r="H495" s="70">
        <f t="shared" si="48"/>
        <v>5.6114777163851791E-2</v>
      </c>
      <c r="I495" s="71">
        <f t="shared" si="52"/>
        <v>3.7102023469906611E-2</v>
      </c>
      <c r="L495" s="74"/>
      <c r="M495" s="74"/>
      <c r="N495" s="74"/>
      <c r="O495" s="74"/>
      <c r="P495" s="74"/>
      <c r="Q495" s="74"/>
      <c r="R495" s="74"/>
      <c r="S495" s="74"/>
      <c r="T495" s="74"/>
      <c r="U495" s="74"/>
      <c r="V495" s="74"/>
      <c r="W495" s="74"/>
      <c r="X495" s="74"/>
      <c r="Y495" s="74"/>
      <c r="Z495" s="74"/>
    </row>
    <row r="496" spans="1:26" x14ac:dyDescent="0.3">
      <c r="A496" s="66">
        <f t="shared" si="50"/>
        <v>2038.8999999999555</v>
      </c>
      <c r="B496" s="67">
        <f>LOOKUP(A496+0.01,Amounts!$A$4:$A$103,Amounts!$B$4:$B$103)*0.1*$A$2</f>
        <v>0</v>
      </c>
      <c r="C496" s="68">
        <f t="shared" si="49"/>
        <v>120665.52921499971</v>
      </c>
      <c r="D496" s="67">
        <f t="array" ref="D496">SUM($B$7:$B491*$F$1009*EXP(-$F$1009*($A496-$A$7:$A491)))*$F$1010</f>
        <v>6748082.7026304388</v>
      </c>
      <c r="E496" s="67">
        <f t="shared" si="47"/>
        <v>12.864623951413103</v>
      </c>
      <c r="F496" s="70">
        <f t="shared" si="51"/>
        <v>0.78113996632980354</v>
      </c>
      <c r="G496" s="67">
        <f>E496/'Lookup Tables'!$C$48</f>
        <v>25.729247902826206</v>
      </c>
      <c r="H496" s="70">
        <f t="shared" si="48"/>
        <v>5.6036271442649915E-2</v>
      </c>
      <c r="I496" s="71">
        <f t="shared" si="52"/>
        <v>3.7050116980069742E-2</v>
      </c>
      <c r="L496" s="74"/>
      <c r="M496" s="74"/>
      <c r="N496" s="74"/>
      <c r="O496" s="74"/>
      <c r="P496" s="74"/>
      <c r="Q496" s="74"/>
      <c r="R496" s="74"/>
      <c r="S496" s="74"/>
      <c r="T496" s="74"/>
      <c r="U496" s="74"/>
      <c r="V496" s="74"/>
      <c r="W496" s="74"/>
      <c r="X496" s="74"/>
      <c r="Y496" s="74"/>
      <c r="Z496" s="74"/>
    </row>
    <row r="497" spans="1:26" x14ac:dyDescent="0.3">
      <c r="A497" s="66">
        <f t="shared" si="50"/>
        <v>2038.9999999999554</v>
      </c>
      <c r="B497" s="67">
        <f>LOOKUP(A497+0.01,Amounts!$A$4:$A$103,Amounts!$B$4:$B$103)*0.1*$A$2</f>
        <v>0</v>
      </c>
      <c r="C497" s="68">
        <f t="shared" si="49"/>
        <v>120665.52921499971</v>
      </c>
      <c r="D497" s="67">
        <f t="array" ref="D497">SUM($B$7:$B492*$F$1009*EXP(-$F$1009*($A497-$A$7:$A492)))*$F$1010</f>
        <v>6738641.9968827702</v>
      </c>
      <c r="E497" s="67">
        <f t="shared" si="47"/>
        <v>12.84662607933125</v>
      </c>
      <c r="F497" s="70">
        <f t="shared" si="51"/>
        <v>0.78004713553699334</v>
      </c>
      <c r="G497" s="67">
        <f>E497/'Lookup Tables'!$C$48</f>
        <v>25.693252158662499</v>
      </c>
      <c r="H497" s="70">
        <f t="shared" si="48"/>
        <v>5.5957875552557997E-2</v>
      </c>
      <c r="I497" s="71">
        <f t="shared" si="52"/>
        <v>3.6998283108473994E-2</v>
      </c>
      <c r="L497" s="74"/>
      <c r="M497" s="74"/>
      <c r="N497" s="74"/>
      <c r="O497" s="74"/>
      <c r="P497" s="74"/>
      <c r="Q497" s="74"/>
      <c r="R497" s="74"/>
      <c r="S497" s="74"/>
      <c r="T497" s="74"/>
      <c r="U497" s="74"/>
      <c r="V497" s="74"/>
      <c r="W497" s="74"/>
      <c r="X497" s="74"/>
      <c r="Y497" s="74"/>
      <c r="Z497" s="74"/>
    </row>
    <row r="498" spans="1:26" x14ac:dyDescent="0.3">
      <c r="A498" s="66">
        <f t="shared" si="50"/>
        <v>2039.0999999999553</v>
      </c>
      <c r="B498" s="67">
        <f>LOOKUP(A498+0.01,Amounts!$A$4:$A$103,Amounts!$B$4:$B$103)*0.1*$A$2</f>
        <v>0</v>
      </c>
      <c r="C498" s="68">
        <f t="shared" si="49"/>
        <v>120665.52921499971</v>
      </c>
      <c r="D498" s="67">
        <f t="array" ref="D498">SUM($B$7:$B493*$F$1009*EXP(-$F$1009*($A498-$A$7:$A493)))*$F$1010</f>
        <v>6729214.4988755723</v>
      </c>
      <c r="E498" s="67">
        <f t="shared" si="47"/>
        <v>12.828653386640626</v>
      </c>
      <c r="F498" s="70">
        <f t="shared" si="51"/>
        <v>0.77895583363681875</v>
      </c>
      <c r="G498" s="67">
        <f>E498/'Lookup Tables'!$C$48</f>
        <v>25.657306773281253</v>
      </c>
      <c r="H498" s="70">
        <f t="shared" si="48"/>
        <v>5.5879589339920079E-2</v>
      </c>
      <c r="I498" s="71">
        <f t="shared" si="52"/>
        <v>3.6946521753524995E-2</v>
      </c>
      <c r="L498" s="74"/>
      <c r="M498" s="74"/>
      <c r="N498" s="74"/>
      <c r="O498" s="74"/>
      <c r="P498" s="74"/>
      <c r="Q498" s="74"/>
      <c r="R498" s="74"/>
      <c r="S498" s="74"/>
      <c r="T498" s="74"/>
      <c r="U498" s="74"/>
      <c r="V498" s="74"/>
      <c r="W498" s="74"/>
      <c r="X498" s="74"/>
      <c r="Y498" s="74"/>
      <c r="Z498" s="74"/>
    </row>
    <row r="499" spans="1:26" x14ac:dyDescent="0.3">
      <c r="A499" s="66">
        <f t="shared" si="50"/>
        <v>2039.1999999999553</v>
      </c>
      <c r="B499" s="67">
        <f>LOOKUP(A499+0.01,Amounts!$A$4:$A$103,Amounts!$B$4:$B$103)*0.1*$A$2</f>
        <v>0</v>
      </c>
      <c r="C499" s="68">
        <f t="shared" si="49"/>
        <v>120665.52921499971</v>
      </c>
      <c r="D499" s="67">
        <f t="array" ref="D499">SUM($B$7:$B494*$F$1009*EXP(-$F$1009*($A499-$A$7:$A494)))*$F$1010</f>
        <v>6719800.1901309462</v>
      </c>
      <c r="E499" s="67">
        <f t="shared" si="47"/>
        <v>12.810705838114746</v>
      </c>
      <c r="F499" s="70">
        <f t="shared" si="51"/>
        <v>0.77786605849032731</v>
      </c>
      <c r="G499" s="67">
        <f>E499/'Lookup Tables'!$C$48</f>
        <v>25.621411676229492</v>
      </c>
      <c r="H499" s="70">
        <f t="shared" si="48"/>
        <v>5.5801412651295158E-2</v>
      </c>
      <c r="I499" s="71">
        <f t="shared" si="52"/>
        <v>3.6894832813770463E-2</v>
      </c>
      <c r="L499" s="74"/>
      <c r="M499" s="74"/>
      <c r="N499" s="74"/>
      <c r="O499" s="74"/>
      <c r="P499" s="74"/>
      <c r="Q499" s="74"/>
      <c r="R499" s="74"/>
      <c r="S499" s="74"/>
      <c r="T499" s="74"/>
      <c r="U499" s="74"/>
      <c r="V499" s="74"/>
      <c r="W499" s="74"/>
      <c r="X499" s="74"/>
      <c r="Y499" s="74"/>
      <c r="Z499" s="74"/>
    </row>
    <row r="500" spans="1:26" x14ac:dyDescent="0.3">
      <c r="A500" s="66">
        <f t="shared" si="50"/>
        <v>2039.2999999999552</v>
      </c>
      <c r="B500" s="67">
        <f>LOOKUP(A500+0.01,Amounts!$A$4:$A$103,Amounts!$B$4:$B$103)*0.1*$A$2</f>
        <v>0</v>
      </c>
      <c r="C500" s="68">
        <f t="shared" si="49"/>
        <v>120665.52921499971</v>
      </c>
      <c r="D500" s="67">
        <f t="array" ref="D500">SUM($B$7:$B495*$F$1009*EXP(-$F$1009*($A500-$A$7:$A495)))*$F$1010</f>
        <v>6710399.0521968435</v>
      </c>
      <c r="E500" s="67">
        <f t="shared" si="47"/>
        <v>12.792783398576406</v>
      </c>
      <c r="F500" s="70">
        <f t="shared" si="51"/>
        <v>0.77677780796155937</v>
      </c>
      <c r="G500" s="67">
        <f>E500/'Lookup Tables'!$C$48</f>
        <v>25.585566797152811</v>
      </c>
      <c r="H500" s="70">
        <f t="shared" si="48"/>
        <v>5.5723345333456881E-2</v>
      </c>
      <c r="I500" s="71">
        <f t="shared" si="52"/>
        <v>3.6843216187900048E-2</v>
      </c>
      <c r="L500" s="74"/>
      <c r="M500" s="74"/>
      <c r="N500" s="74"/>
      <c r="O500" s="74"/>
      <c r="P500" s="74"/>
      <c r="Q500" s="74"/>
      <c r="R500" s="74"/>
      <c r="S500" s="74"/>
      <c r="T500" s="74"/>
      <c r="U500" s="74"/>
      <c r="V500" s="74"/>
      <c r="W500" s="74"/>
      <c r="X500" s="74"/>
      <c r="Y500" s="74"/>
      <c r="Z500" s="74"/>
    </row>
    <row r="501" spans="1:26" x14ac:dyDescent="0.3">
      <c r="A501" s="66">
        <f t="shared" si="50"/>
        <v>2039.3999999999551</v>
      </c>
      <c r="B501" s="67">
        <f>LOOKUP(A501+0.01,Amounts!$A$4:$A$103,Amounts!$B$4:$B$103)*0.1*$A$2</f>
        <v>0</v>
      </c>
      <c r="C501" s="68">
        <f t="shared" si="49"/>
        <v>120665.52921499971</v>
      </c>
      <c r="D501" s="67">
        <f t="array" ref="D501">SUM($B$7:$B496*$F$1009*EXP(-$F$1009*($A501-$A$7:$A496)))*$F$1010</f>
        <v>6701011.0666470313</v>
      </c>
      <c r="E501" s="67">
        <f t="shared" si="47"/>
        <v>12.774886032897626</v>
      </c>
      <c r="F501" s="70">
        <f t="shared" si="51"/>
        <v>0.77569107991754394</v>
      </c>
      <c r="G501" s="67">
        <f>E501/'Lookup Tables'!$C$48</f>
        <v>25.549772065795253</v>
      </c>
      <c r="H501" s="70">
        <f t="shared" si="48"/>
        <v>5.5645387233393309E-2</v>
      </c>
      <c r="I501" s="71">
        <f t="shared" si="52"/>
        <v>3.6791671774745162E-2</v>
      </c>
      <c r="L501" s="74"/>
      <c r="M501" s="74"/>
      <c r="N501" s="74"/>
      <c r="O501" s="74"/>
      <c r="P501" s="74"/>
      <c r="Q501" s="74"/>
      <c r="R501" s="74"/>
      <c r="S501" s="74"/>
      <c r="T501" s="74"/>
      <c r="U501" s="74"/>
      <c r="V501" s="74"/>
      <c r="W501" s="74"/>
      <c r="X501" s="74"/>
      <c r="Y501" s="74"/>
      <c r="Z501" s="74"/>
    </row>
    <row r="502" spans="1:26" x14ac:dyDescent="0.3">
      <c r="A502" s="66">
        <f t="shared" si="50"/>
        <v>2039.499999999955</v>
      </c>
      <c r="B502" s="67">
        <f>LOOKUP(A502+0.01,Amounts!$A$4:$A$103,Amounts!$B$4:$B$103)*0.1*$A$2</f>
        <v>0</v>
      </c>
      <c r="C502" s="68">
        <f t="shared" si="49"/>
        <v>120665.52921499971</v>
      </c>
      <c r="D502" s="67">
        <f t="array" ref="D502">SUM($B$7:$B497*$F$1009*EXP(-$F$1009*($A502-$A$7:$A497)))*$F$1010</f>
        <v>6691636.2150810547</v>
      </c>
      <c r="E502" s="67">
        <f t="shared" si="47"/>
        <v>12.757013705999558</v>
      </c>
      <c r="F502" s="70">
        <f t="shared" si="51"/>
        <v>0.77460587222829325</v>
      </c>
      <c r="G502" s="67">
        <f>E502/'Lookup Tables'!$C$48</f>
        <v>25.514027411999116</v>
      </c>
      <c r="H502" s="70">
        <f t="shared" si="48"/>
        <v>5.5567538198306524E-2</v>
      </c>
      <c r="I502" s="71">
        <f t="shared" si="52"/>
        <v>3.674019947327873E-2</v>
      </c>
      <c r="L502" s="74"/>
      <c r="M502" s="74"/>
      <c r="N502" s="74"/>
      <c r="O502" s="74"/>
      <c r="P502" s="74"/>
      <c r="Q502" s="74"/>
      <c r="R502" s="74"/>
      <c r="S502" s="74"/>
      <c r="T502" s="74"/>
      <c r="U502" s="74"/>
      <c r="V502" s="74"/>
      <c r="W502" s="74"/>
      <c r="X502" s="74"/>
      <c r="Y502" s="74"/>
      <c r="Z502" s="74"/>
    </row>
    <row r="503" spans="1:26" x14ac:dyDescent="0.3">
      <c r="A503" s="66">
        <f t="shared" si="50"/>
        <v>2039.5999999999549</v>
      </c>
      <c r="B503" s="67">
        <f>LOOKUP(A503+0.01,Amounts!$A$4:$A$103,Amounts!$B$4:$B$103)*0.1*$A$2</f>
        <v>0</v>
      </c>
      <c r="C503" s="68">
        <f t="shared" si="49"/>
        <v>120665.52921499971</v>
      </c>
      <c r="D503" s="67">
        <f t="array" ref="D503">SUM($B$7:$B498*$F$1009*EXP(-$F$1009*($A503-$A$7:$A498)))*$F$1010</f>
        <v>6682274.4791241996</v>
      </c>
      <c r="E503" s="67">
        <f t="shared" si="47"/>
        <v>12.739166382852435</v>
      </c>
      <c r="F503" s="70">
        <f t="shared" si="51"/>
        <v>0.77352218276679985</v>
      </c>
      <c r="G503" s="67">
        <f>E503/'Lookup Tables'!$C$48</f>
        <v>25.47833276570487</v>
      </c>
      <c r="H503" s="70">
        <f t="shared" si="48"/>
        <v>5.5489798075612377E-2</v>
      </c>
      <c r="I503" s="71">
        <f t="shared" si="52"/>
        <v>3.6688799182615008E-2</v>
      </c>
      <c r="L503" s="74"/>
      <c r="M503" s="74"/>
      <c r="N503" s="74"/>
      <c r="O503" s="74"/>
      <c r="P503" s="74"/>
      <c r="Q503" s="74"/>
      <c r="R503" s="74"/>
      <c r="S503" s="74"/>
      <c r="T503" s="74"/>
      <c r="U503" s="74"/>
      <c r="V503" s="74"/>
      <c r="W503" s="74"/>
      <c r="X503" s="74"/>
      <c r="Y503" s="74"/>
      <c r="Z503" s="74"/>
    </row>
    <row r="504" spans="1:26" x14ac:dyDescent="0.3">
      <c r="A504" s="66">
        <f t="shared" si="50"/>
        <v>2039.6999999999548</v>
      </c>
      <c r="B504" s="67">
        <f>LOOKUP(A504+0.01,Amounts!$A$4:$A$103,Amounts!$B$4:$B$103)*0.1*$A$2</f>
        <v>0</v>
      </c>
      <c r="C504" s="68">
        <f t="shared" si="49"/>
        <v>120665.52921499971</v>
      </c>
      <c r="D504" s="67">
        <f t="array" ref="D504">SUM($B$7:$B499*$F$1009*EXP(-$F$1009*($A504-$A$7:$A499)))*$F$1010</f>
        <v>6672925.8404274676</v>
      </c>
      <c r="E504" s="67">
        <f t="shared" si="47"/>
        <v>12.721344028475508</v>
      </c>
      <c r="F504" s="70">
        <f t="shared" si="51"/>
        <v>0.7724400094090329</v>
      </c>
      <c r="G504" s="67">
        <f>E504/'Lookup Tables'!$C$48</f>
        <v>25.442688056951017</v>
      </c>
      <c r="H504" s="70">
        <f t="shared" si="48"/>
        <v>5.5412166712940268E-2</v>
      </c>
      <c r="I504" s="71">
        <f t="shared" si="52"/>
        <v>3.6637470802009471E-2</v>
      </c>
      <c r="L504" s="74"/>
      <c r="M504" s="74"/>
      <c r="N504" s="74"/>
      <c r="O504" s="74"/>
      <c r="P504" s="74"/>
      <c r="Q504" s="74"/>
      <c r="R504" s="74"/>
      <c r="S504" s="74"/>
      <c r="T504" s="74"/>
      <c r="U504" s="74"/>
      <c r="V504" s="74"/>
      <c r="W504" s="74"/>
      <c r="X504" s="74"/>
      <c r="Y504" s="74"/>
      <c r="Z504" s="74"/>
    </row>
    <row r="505" spans="1:26" x14ac:dyDescent="0.3">
      <c r="A505" s="66">
        <f t="shared" si="50"/>
        <v>2039.7999999999547</v>
      </c>
      <c r="B505" s="67">
        <f>LOOKUP(A505+0.01,Amounts!$A$4:$A$103,Amounts!$B$4:$B$103)*0.1*$A$2</f>
        <v>0</v>
      </c>
      <c r="C505" s="68">
        <f t="shared" si="49"/>
        <v>120665.52921499971</v>
      </c>
      <c r="D505" s="67">
        <f t="array" ref="D505">SUM($B$7:$B500*$F$1009*EXP(-$F$1009*($A505-$A$7:$A500)))*$F$1010</f>
        <v>6663590.2806675192</v>
      </c>
      <c r="E505" s="67">
        <f t="shared" si="47"/>
        <v>12.70354660793695</v>
      </c>
      <c r="F505" s="70">
        <f t="shared" si="51"/>
        <v>0.77135935003393163</v>
      </c>
      <c r="G505" s="67">
        <f>E505/'Lookup Tables'!$C$48</f>
        <v>25.4070932158739</v>
      </c>
      <c r="H505" s="70">
        <f t="shared" si="48"/>
        <v>5.5334643958132639E-2</v>
      </c>
      <c r="I505" s="71">
        <f t="shared" si="52"/>
        <v>3.6586214230858415E-2</v>
      </c>
      <c r="L505" s="74"/>
      <c r="M505" s="74"/>
      <c r="N505" s="74"/>
      <c r="O505" s="74"/>
      <c r="P505" s="74"/>
      <c r="Q505" s="74"/>
      <c r="R505" s="74"/>
      <c r="S505" s="74"/>
      <c r="T505" s="74"/>
      <c r="U505" s="74"/>
      <c r="V505" s="74"/>
      <c r="W505" s="74"/>
      <c r="X505" s="74"/>
      <c r="Y505" s="74"/>
      <c r="Z505" s="74"/>
    </row>
    <row r="506" spans="1:26" x14ac:dyDescent="0.3">
      <c r="A506" s="66">
        <f t="shared" si="50"/>
        <v>2039.8999999999546</v>
      </c>
      <c r="B506" s="67">
        <f>LOOKUP(A506+0.01,Amounts!$A$4:$A$103,Amounts!$B$4:$B$103)*0.1*$A$2</f>
        <v>0</v>
      </c>
      <c r="C506" s="68">
        <f t="shared" si="49"/>
        <v>120665.52921499971</v>
      </c>
      <c r="D506" s="67">
        <f t="array" ref="D506">SUM($B$7:$B501*$F$1009*EXP(-$F$1009*($A506-$A$7:$A501)))*$F$1010</f>
        <v>6654267.7815466514</v>
      </c>
      <c r="E506" s="67">
        <f t="shared" si="47"/>
        <v>12.685774086353806</v>
      </c>
      <c r="F506" s="70">
        <f t="shared" si="51"/>
        <v>0.77028020252340312</v>
      </c>
      <c r="G506" s="67">
        <f>E506/'Lookup Tables'!$C$48</f>
        <v>25.371548172707612</v>
      </c>
      <c r="H506" s="70">
        <f t="shared" si="48"/>
        <v>5.5257229659244872E-2</v>
      </c>
      <c r="I506" s="71">
        <f t="shared" si="52"/>
        <v>3.6535029368698964E-2</v>
      </c>
      <c r="L506" s="74"/>
      <c r="M506" s="74"/>
      <c r="N506" s="74"/>
      <c r="O506" s="74"/>
      <c r="P506" s="74"/>
      <c r="Q506" s="74"/>
      <c r="R506" s="74"/>
      <c r="S506" s="74"/>
      <c r="T506" s="74"/>
      <c r="U506" s="74"/>
      <c r="V506" s="74"/>
      <c r="W506" s="74"/>
      <c r="X506" s="74"/>
      <c r="Y506" s="74"/>
      <c r="Z506" s="74"/>
    </row>
    <row r="507" spans="1:26" x14ac:dyDescent="0.3">
      <c r="A507" s="66">
        <f t="shared" si="50"/>
        <v>2039.9999999999545</v>
      </c>
      <c r="B507" s="67">
        <f>LOOKUP(A507+0.01,Amounts!$A$4:$A$103,Amounts!$B$4:$B$103)*0.1*$A$2</f>
        <v>0</v>
      </c>
      <c r="C507" s="68">
        <f t="shared" si="49"/>
        <v>120665.52921499971</v>
      </c>
      <c r="D507" s="67">
        <f t="array" ref="D507">SUM($B$7:$B502*$F$1009*EXP(-$F$1009*($A507-$A$7:$A502)))*$F$1010</f>
        <v>6644958.3247927688</v>
      </c>
      <c r="E507" s="67">
        <f t="shared" si="47"/>
        <v>12.668026428891938</v>
      </c>
      <c r="F507" s="70">
        <f t="shared" si="51"/>
        <v>0.76920256476231841</v>
      </c>
      <c r="G507" s="67">
        <f>E507/'Lookup Tables'!$C$48</f>
        <v>25.336052857783876</v>
      </c>
      <c r="H507" s="70">
        <f t="shared" si="48"/>
        <v>5.5179923664544946E-2</v>
      </c>
      <c r="I507" s="71">
        <f t="shared" si="52"/>
        <v>3.6483916115208778E-2</v>
      </c>
      <c r="L507" s="74"/>
      <c r="M507" s="74"/>
      <c r="N507" s="74"/>
      <c r="O507" s="74"/>
      <c r="P507" s="74"/>
      <c r="Q507" s="74"/>
      <c r="R507" s="74"/>
      <c r="S507" s="74"/>
      <c r="T507" s="74"/>
      <c r="U507" s="74"/>
      <c r="V507" s="74"/>
      <c r="W507" s="74"/>
      <c r="X507" s="74"/>
      <c r="Y507" s="74"/>
      <c r="Z507" s="74"/>
    </row>
    <row r="508" spans="1:26" x14ac:dyDescent="0.3">
      <c r="A508" s="66">
        <f t="shared" si="50"/>
        <v>2040.0999999999544</v>
      </c>
      <c r="B508" s="67">
        <f>LOOKUP(A508+0.01,Amounts!$A$4:$A$103,Amounts!$B$4:$B$103)*0.1*$A$2</f>
        <v>0</v>
      </c>
      <c r="C508" s="68">
        <f t="shared" si="49"/>
        <v>120665.52921499971</v>
      </c>
      <c r="D508" s="67">
        <f t="array" ref="D508">SUM($B$7:$B503*$F$1009*EXP(-$F$1009*($A508-$A$7:$A503)))*$F$1010</f>
        <v>6635661.8921593297</v>
      </c>
      <c r="E508" s="67">
        <f t="shared" si="47"/>
        <v>12.650303600765925</v>
      </c>
      <c r="F508" s="70">
        <f t="shared" si="51"/>
        <v>0.76812643463850694</v>
      </c>
      <c r="G508" s="67">
        <f>E508/'Lookup Tables'!$C$48</f>
        <v>25.30060720153185</v>
      </c>
      <c r="H508" s="70">
        <f t="shared" si="48"/>
        <v>5.510272582251307E-2</v>
      </c>
      <c r="I508" s="71">
        <f t="shared" si="52"/>
        <v>3.6432874370205863E-2</v>
      </c>
      <c r="L508" s="74"/>
      <c r="M508" s="74"/>
      <c r="N508" s="74"/>
      <c r="O508" s="74"/>
      <c r="P508" s="74"/>
      <c r="Q508" s="74"/>
      <c r="R508" s="74"/>
      <c r="S508" s="74"/>
      <c r="T508" s="74"/>
      <c r="U508" s="74"/>
      <c r="V508" s="74"/>
      <c r="W508" s="74"/>
      <c r="X508" s="74"/>
      <c r="Y508" s="74"/>
      <c r="Z508" s="74"/>
    </row>
    <row r="509" spans="1:26" x14ac:dyDescent="0.3">
      <c r="A509" s="66">
        <f t="shared" si="50"/>
        <v>2040.1999999999543</v>
      </c>
      <c r="B509" s="67">
        <f>LOOKUP(A509+0.01,Amounts!$A$4:$A$103,Amounts!$B$4:$B$103)*0.1*$A$2</f>
        <v>0</v>
      </c>
      <c r="C509" s="68">
        <f t="shared" si="49"/>
        <v>120665.52921499971</v>
      </c>
      <c r="D509" s="67">
        <f t="array" ref="D509">SUM($B$7:$B504*$F$1009*EXP(-$F$1009*($A509-$A$7:$A504)))*$F$1010</f>
        <v>6626378.4654253237</v>
      </c>
      <c r="E509" s="67">
        <f t="shared" si="47"/>
        <v>12.63260556723902</v>
      </c>
      <c r="F509" s="70">
        <f t="shared" si="51"/>
        <v>0.76705181004275336</v>
      </c>
      <c r="G509" s="67">
        <f>E509/'Lookup Tables'!$C$48</f>
        <v>25.26521113447804</v>
      </c>
      <c r="H509" s="70">
        <f t="shared" si="48"/>
        <v>5.5025635981841459E-2</v>
      </c>
      <c r="I509" s="71">
        <f t="shared" si="52"/>
        <v>3.6381904033648382E-2</v>
      </c>
      <c r="L509" s="74"/>
      <c r="M509" s="74"/>
      <c r="N509" s="74"/>
      <c r="O509" s="74"/>
      <c r="P509" s="74"/>
      <c r="Q509" s="74"/>
      <c r="R509" s="74"/>
      <c r="S509" s="74"/>
      <c r="T509" s="74"/>
      <c r="U509" s="74"/>
      <c r="V509" s="74"/>
      <c r="W509" s="74"/>
      <c r="X509" s="74"/>
      <c r="Y509" s="74"/>
      <c r="Z509" s="74"/>
    </row>
    <row r="510" spans="1:26" x14ac:dyDescent="0.3">
      <c r="A510" s="66">
        <f t="shared" si="50"/>
        <v>2040.2999999999543</v>
      </c>
      <c r="B510" s="67">
        <f>LOOKUP(A510+0.01,Amounts!$A$4:$A$103,Amounts!$B$4:$B$103)*0.1*$A$2</f>
        <v>0</v>
      </c>
      <c r="C510" s="68">
        <f t="shared" si="49"/>
        <v>120665.52921499971</v>
      </c>
      <c r="D510" s="67">
        <f t="array" ref="D510">SUM($B$7:$B505*$F$1009*EXP(-$F$1009*($A510-$A$7:$A505)))*$F$1010</f>
        <v>6617108.0263952287</v>
      </c>
      <c r="E510" s="67">
        <f t="shared" si="47"/>
        <v>12.614932293623067</v>
      </c>
      <c r="F510" s="70">
        <f t="shared" si="51"/>
        <v>0.76597868886879261</v>
      </c>
      <c r="G510" s="67">
        <f>E510/'Lookup Tables'!$C$48</f>
        <v>25.229864587246134</v>
      </c>
      <c r="H510" s="70">
        <f t="shared" si="48"/>
        <v>5.4948653991433956E-2</v>
      </c>
      <c r="I510" s="71">
        <f t="shared" si="52"/>
        <v>3.6331005005634437E-2</v>
      </c>
      <c r="L510" s="74"/>
      <c r="M510" s="74"/>
      <c r="N510" s="74"/>
      <c r="O510" s="74"/>
      <c r="P510" s="74"/>
      <c r="Q510" s="74"/>
      <c r="R510" s="74"/>
      <c r="S510" s="74"/>
      <c r="T510" s="74"/>
      <c r="U510" s="74"/>
      <c r="V510" s="74"/>
      <c r="W510" s="74"/>
      <c r="X510" s="74"/>
      <c r="Y510" s="74"/>
      <c r="Z510" s="74"/>
    </row>
    <row r="511" spans="1:26" x14ac:dyDescent="0.3">
      <c r="A511" s="66">
        <f t="shared" si="50"/>
        <v>2040.3999999999542</v>
      </c>
      <c r="B511" s="67">
        <f>LOOKUP(A511+0.01,Amounts!$A$4:$A$103,Amounts!$B$4:$B$103)*0.1*$A$2</f>
        <v>0</v>
      </c>
      <c r="C511" s="68">
        <f t="shared" si="49"/>
        <v>120665.52921499971</v>
      </c>
      <c r="D511" s="67">
        <f t="array" ref="D511">SUM($B$7:$B506*$F$1009*EXP(-$F$1009*($A511-$A$7:$A506)))*$F$1010</f>
        <v>6607850.5568989841</v>
      </c>
      <c r="E511" s="67">
        <f t="shared" si="47"/>
        <v>12.597283745278446</v>
      </c>
      <c r="F511" s="70">
        <f t="shared" si="51"/>
        <v>0.76490706901330718</v>
      </c>
      <c r="G511" s="67">
        <f>E511/'Lookup Tables'!$C$48</f>
        <v>25.194567490556892</v>
      </c>
      <c r="H511" s="70">
        <f t="shared" si="48"/>
        <v>5.4871779700405861E-2</v>
      </c>
      <c r="I511" s="71">
        <f t="shared" si="52"/>
        <v>3.6280177186401925E-2</v>
      </c>
      <c r="L511" s="74"/>
      <c r="M511" s="74"/>
      <c r="N511" s="74"/>
      <c r="O511" s="74"/>
      <c r="P511" s="74"/>
      <c r="Q511" s="74"/>
      <c r="R511" s="74"/>
      <c r="S511" s="74"/>
      <c r="T511" s="74"/>
      <c r="U511" s="74"/>
      <c r="V511" s="74"/>
      <c r="W511" s="74"/>
      <c r="X511" s="74"/>
      <c r="Y511" s="74"/>
      <c r="Z511" s="74"/>
    </row>
    <row r="512" spans="1:26" x14ac:dyDescent="0.3">
      <c r="A512" s="66">
        <f t="shared" si="50"/>
        <v>2040.4999999999541</v>
      </c>
      <c r="B512" s="67">
        <f>LOOKUP(A512+0.01,Amounts!$A$4:$A$103,Amounts!$B$4:$B$103)*0.1*$A$2</f>
        <v>0</v>
      </c>
      <c r="C512" s="68">
        <f t="shared" si="49"/>
        <v>120665.52921499971</v>
      </c>
      <c r="D512" s="67">
        <f t="array" ref="D512">SUM($B$7:$B507*$F$1009*EXP(-$F$1009*($A512-$A$7:$A507)))*$F$1010</f>
        <v>6598606.0387919471</v>
      </c>
      <c r="E512" s="67">
        <f t="shared" si="47"/>
        <v>12.579659887614001</v>
      </c>
      <c r="F512" s="70">
        <f t="shared" si="51"/>
        <v>0.7638369483759222</v>
      </c>
      <c r="G512" s="67">
        <f>E512/'Lookup Tables'!$C$48</f>
        <v>25.159319775228003</v>
      </c>
      <c r="H512" s="70">
        <f t="shared" si="48"/>
        <v>5.4795012958083554E-2</v>
      </c>
      <c r="I512" s="71">
        <f t="shared" si="52"/>
        <v>3.6229420476328322E-2</v>
      </c>
      <c r="L512" s="74"/>
      <c r="M512" s="74"/>
      <c r="N512" s="74"/>
      <c r="O512" s="74"/>
      <c r="P512" s="74"/>
      <c r="Q512" s="74"/>
      <c r="R512" s="74"/>
      <c r="S512" s="74"/>
      <c r="T512" s="74"/>
      <c r="U512" s="74"/>
      <c r="V512" s="74"/>
      <c r="W512" s="74"/>
      <c r="X512" s="74"/>
      <c r="Y512" s="74"/>
      <c r="Z512" s="74"/>
    </row>
    <row r="513" spans="1:26" x14ac:dyDescent="0.3">
      <c r="A513" s="66">
        <f t="shared" si="50"/>
        <v>2040.599999999954</v>
      </c>
      <c r="B513" s="67">
        <f>LOOKUP(A513+0.01,Amounts!$A$4:$A$103,Amounts!$B$4:$B$103)*0.1*$A$2</f>
        <v>0</v>
      </c>
      <c r="C513" s="68">
        <f t="shared" si="49"/>
        <v>120665.52921499971</v>
      </c>
      <c r="D513" s="67">
        <f t="array" ref="D513">SUM($B$7:$B508*$F$1009*EXP(-$F$1009*($A513-$A$7:$A508)))*$F$1010</f>
        <v>6589374.4539548587</v>
      </c>
      <c r="E513" s="67">
        <f t="shared" si="47"/>
        <v>12.562060686086964</v>
      </c>
      <c r="F513" s="70">
        <f t="shared" si="51"/>
        <v>0.76276832485920043</v>
      </c>
      <c r="G513" s="67">
        <f>E513/'Lookup Tables'!$C$48</f>
        <v>25.124121372173928</v>
      </c>
      <c r="H513" s="70">
        <f t="shared" si="48"/>
        <v>5.4718353614004192E-2</v>
      </c>
      <c r="I513" s="71">
        <f t="shared" si="52"/>
        <v>3.6178734775930456E-2</v>
      </c>
      <c r="L513" s="74"/>
      <c r="M513" s="74"/>
      <c r="N513" s="74"/>
      <c r="O513" s="74"/>
      <c r="P513" s="74"/>
      <c r="Q513" s="74"/>
      <c r="R513" s="74"/>
      <c r="S513" s="74"/>
      <c r="T513" s="74"/>
      <c r="U513" s="74"/>
      <c r="V513" s="74"/>
      <c r="W513" s="74"/>
      <c r="X513" s="74"/>
      <c r="Y513" s="74"/>
      <c r="Z513" s="74"/>
    </row>
    <row r="514" spans="1:26" x14ac:dyDescent="0.3">
      <c r="A514" s="66">
        <f t="shared" si="50"/>
        <v>2040.6999999999539</v>
      </c>
      <c r="B514" s="67">
        <f>LOOKUP(A514+0.01,Amounts!$A$4:$A$103,Amounts!$B$4:$B$103)*0.1*$A$2</f>
        <v>0</v>
      </c>
      <c r="C514" s="68">
        <f t="shared" si="49"/>
        <v>120665.52921499971</v>
      </c>
      <c r="D514" s="67">
        <f t="array" ref="D514">SUM($B$7:$B509*$F$1009*EXP(-$F$1009*($A514-$A$7:$A509)))*$F$1010</f>
        <v>6580155.784293808</v>
      </c>
      <c r="E514" s="67">
        <f t="shared" si="47"/>
        <v>12.544486106202889</v>
      </c>
      <c r="F514" s="70">
        <f t="shared" si="51"/>
        <v>0.76170119636863931</v>
      </c>
      <c r="G514" s="67">
        <f>E514/'Lookup Tables'!$C$48</f>
        <v>25.088972212405778</v>
      </c>
      <c r="H514" s="70">
        <f t="shared" si="48"/>
        <v>5.4641801517915423E-2</v>
      </c>
      <c r="I514" s="71">
        <f t="shared" si="52"/>
        <v>3.6128119985864321E-2</v>
      </c>
      <c r="L514" s="74"/>
      <c r="M514" s="74"/>
      <c r="N514" s="74"/>
      <c r="O514" s="74"/>
      <c r="P514" s="74"/>
      <c r="Q514" s="74"/>
      <c r="R514" s="74"/>
      <c r="S514" s="74"/>
      <c r="T514" s="74"/>
      <c r="U514" s="74"/>
      <c r="V514" s="74"/>
      <c r="W514" s="74"/>
      <c r="X514" s="74"/>
      <c r="Y514" s="74"/>
      <c r="Z514" s="74"/>
    </row>
    <row r="515" spans="1:26" x14ac:dyDescent="0.3">
      <c r="A515" s="66">
        <f t="shared" si="50"/>
        <v>2040.7999999999538</v>
      </c>
      <c r="B515" s="67">
        <f>LOOKUP(A515+0.01,Amounts!$A$4:$A$103,Amounts!$B$4:$B$103)*0.1*$A$2</f>
        <v>0</v>
      </c>
      <c r="C515" s="68">
        <f t="shared" si="49"/>
        <v>120665.52921499971</v>
      </c>
      <c r="D515" s="67">
        <f t="array" ref="D515">SUM($B$7:$B510*$F$1009*EXP(-$F$1009*($A515-$A$7:$A510)))*$F$1010</f>
        <v>6570950.0117402002</v>
      </c>
      <c r="E515" s="67">
        <f t="shared" si="47"/>
        <v>12.526936113515598</v>
      </c>
      <c r="F515" s="70">
        <f t="shared" si="51"/>
        <v>0.76063556081266714</v>
      </c>
      <c r="G515" s="67">
        <f>E515/'Lookup Tables'!$C$48</f>
        <v>25.053872227031196</v>
      </c>
      <c r="H515" s="70">
        <f t="shared" si="48"/>
        <v>5.4565356519775114E-2</v>
      </c>
      <c r="I515" s="71">
        <f t="shared" si="52"/>
        <v>3.6077576006924926E-2</v>
      </c>
      <c r="L515" s="74"/>
      <c r="M515" s="74"/>
      <c r="N515" s="74"/>
      <c r="O515" s="74"/>
      <c r="P515" s="74"/>
      <c r="Q515" s="74"/>
      <c r="R515" s="74"/>
      <c r="S515" s="74"/>
      <c r="T515" s="74"/>
      <c r="U515" s="74"/>
      <c r="V515" s="74"/>
      <c r="W515" s="74"/>
      <c r="X515" s="74"/>
      <c r="Y515" s="74"/>
      <c r="Z515" s="74"/>
    </row>
    <row r="516" spans="1:26" x14ac:dyDescent="0.3">
      <c r="A516" s="66">
        <f t="shared" si="50"/>
        <v>2040.8999999999537</v>
      </c>
      <c r="B516" s="67">
        <f>LOOKUP(A516+0.01,Amounts!$A$4:$A$103,Amounts!$B$4:$B$103)*0.1*$A$2</f>
        <v>0</v>
      </c>
      <c r="C516" s="68">
        <f t="shared" si="49"/>
        <v>120665.52921499971</v>
      </c>
      <c r="D516" s="67">
        <f t="array" ref="D516">SUM($B$7:$B511*$F$1009*EXP(-$F$1009*($A516-$A$7:$A511)))*$F$1010</f>
        <v>6561757.1182507211</v>
      </c>
      <c r="E516" s="67">
        <f t="shared" si="47"/>
        <v>12.509410673627103</v>
      </c>
      <c r="F516" s="70">
        <f t="shared" si="51"/>
        <v>0.75957141610263768</v>
      </c>
      <c r="G516" s="67">
        <f>E516/'Lookup Tables'!$C$48</f>
        <v>25.018821347254207</v>
      </c>
      <c r="H516" s="70">
        <f t="shared" si="48"/>
        <v>5.4489018469751065E-2</v>
      </c>
      <c r="I516" s="71">
        <f t="shared" si="52"/>
        <v>3.6027102740046058E-2</v>
      </c>
      <c r="L516" s="74"/>
      <c r="M516" s="74"/>
      <c r="N516" s="74"/>
      <c r="O516" s="74"/>
      <c r="P516" s="74"/>
      <c r="Q516" s="74"/>
      <c r="R516" s="74"/>
      <c r="S516" s="74"/>
      <c r="T516" s="74"/>
      <c r="U516" s="74"/>
      <c r="V516" s="74"/>
      <c r="W516" s="74"/>
      <c r="X516" s="74"/>
      <c r="Y516" s="74"/>
      <c r="Z516" s="74"/>
    </row>
    <row r="517" spans="1:26" x14ac:dyDescent="0.3">
      <c r="A517" s="66">
        <f t="shared" si="50"/>
        <v>2040.9999999999536</v>
      </c>
      <c r="B517" s="67">
        <f>LOOKUP(A517+0.01,Amounts!$A$4:$A$103,Amounts!$B$4:$B$103)*0.1*$A$2</f>
        <v>0</v>
      </c>
      <c r="C517" s="68">
        <f t="shared" si="49"/>
        <v>120665.52921499971</v>
      </c>
      <c r="D517" s="67">
        <f t="array" ref="D517">SUM($B$7:$B512*$F$1009*EXP(-$F$1009*($A517-$A$7:$A512)))*$F$1010</f>
        <v>6552577.0858072937</v>
      </c>
      <c r="E517" s="67">
        <f t="shared" si="47"/>
        <v>12.491909752187532</v>
      </c>
      <c r="F517" s="70">
        <f t="shared" si="51"/>
        <v>0.75850876015282687</v>
      </c>
      <c r="G517" s="67">
        <f>E517/'Lookup Tables'!$C$48</f>
        <v>24.983819504375063</v>
      </c>
      <c r="H517" s="70">
        <f t="shared" si="48"/>
        <v>5.4412787218220661E-2</v>
      </c>
      <c r="I517" s="71">
        <f t="shared" si="52"/>
        <v>3.5976700086300092E-2</v>
      </c>
      <c r="L517" s="74"/>
      <c r="M517" s="74"/>
      <c r="N517" s="74"/>
      <c r="O517" s="74"/>
      <c r="P517" s="74"/>
      <c r="Q517" s="74"/>
      <c r="R517" s="74"/>
      <c r="S517" s="74"/>
      <c r="T517" s="74"/>
      <c r="U517" s="74"/>
      <c r="V517" s="74"/>
      <c r="W517" s="74"/>
      <c r="X517" s="74"/>
      <c r="Y517" s="74"/>
      <c r="Z517" s="74"/>
    </row>
    <row r="518" spans="1:26" x14ac:dyDescent="0.3">
      <c r="A518" s="66">
        <f t="shared" si="50"/>
        <v>2041.0999999999535</v>
      </c>
      <c r="B518" s="67">
        <f>LOOKUP(A518+0.01,Amounts!$A$4:$A$103,Amounts!$B$4:$B$103)*0.1*$A$2</f>
        <v>0</v>
      </c>
      <c r="C518" s="68">
        <f t="shared" si="49"/>
        <v>120665.52921499971</v>
      </c>
      <c r="D518" s="67">
        <f t="array" ref="D518">SUM($B$7:$B513*$F$1009*EXP(-$F$1009*($A518-$A$7:$A513)))*$F$1010</f>
        <v>6543409.8964170506</v>
      </c>
      <c r="E518" s="67">
        <f t="shared" si="47"/>
        <v>12.474433314895071</v>
      </c>
      <c r="F518" s="70">
        <f t="shared" si="51"/>
        <v>0.75744759088042879</v>
      </c>
      <c r="G518" s="67">
        <f>E518/'Lookup Tables'!$C$48</f>
        <v>24.948866629790142</v>
      </c>
      <c r="H518" s="70">
        <f t="shared" si="48"/>
        <v>5.4336662615770602E-2</v>
      </c>
      <c r="I518" s="71">
        <f t="shared" si="52"/>
        <v>3.5926367946897811E-2</v>
      </c>
      <c r="L518" s="74"/>
      <c r="M518" s="74"/>
      <c r="N518" s="74"/>
      <c r="O518" s="74"/>
      <c r="P518" s="74"/>
      <c r="Q518" s="74"/>
      <c r="R518" s="74"/>
      <c r="S518" s="74"/>
      <c r="T518" s="74"/>
      <c r="U518" s="74"/>
      <c r="V518" s="74"/>
      <c r="W518" s="74"/>
      <c r="X518" s="74"/>
      <c r="Y518" s="74"/>
      <c r="Z518" s="74"/>
    </row>
    <row r="519" spans="1:26" x14ac:dyDescent="0.3">
      <c r="A519" s="66">
        <f t="shared" si="50"/>
        <v>2041.1999999999534</v>
      </c>
      <c r="B519" s="67">
        <f>LOOKUP(A519+0.01,Amounts!$A$4:$A$103,Amounts!$B$4:$B$103)*0.1*$A$2</f>
        <v>0</v>
      </c>
      <c r="C519" s="68">
        <f t="shared" si="49"/>
        <v>120665.52921499971</v>
      </c>
      <c r="D519" s="67">
        <f t="array" ref="D519">SUM($B$7:$B514*$F$1009*EXP(-$F$1009*($A519-$A$7:$A514)))*$F$1010</f>
        <v>6534255.5321122995</v>
      </c>
      <c r="E519" s="67">
        <f t="shared" ref="E519:E582" si="53">D519/(365*24*60)*1.00201</f>
        <v>12.456981327495901</v>
      </c>
      <c r="F519" s="70">
        <f t="shared" si="51"/>
        <v>0.75638790620555107</v>
      </c>
      <c r="G519" s="67">
        <f>E519/'Lookup Tables'!$C$48</f>
        <v>24.913962654991803</v>
      </c>
      <c r="H519" s="70">
        <f t="shared" ref="H519:H582" si="54">G519*60*24*365/(C519*2000)</f>
        <v>5.4260644513196662E-2</v>
      </c>
      <c r="I519" s="71">
        <f t="shared" si="52"/>
        <v>3.5876106223188195E-2</v>
      </c>
      <c r="L519" s="74"/>
      <c r="M519" s="74"/>
      <c r="N519" s="74"/>
      <c r="O519" s="74"/>
      <c r="P519" s="74"/>
      <c r="Q519" s="74"/>
      <c r="R519" s="74"/>
      <c r="S519" s="74"/>
      <c r="T519" s="74"/>
      <c r="U519" s="74"/>
      <c r="V519" s="74"/>
      <c r="W519" s="74"/>
      <c r="X519" s="74"/>
      <c r="Y519" s="74"/>
      <c r="Z519" s="74"/>
    </row>
    <row r="520" spans="1:26" x14ac:dyDescent="0.3">
      <c r="A520" s="66">
        <f t="shared" si="50"/>
        <v>2041.2999999999533</v>
      </c>
      <c r="B520" s="67">
        <f>LOOKUP(A520+0.01,Amounts!$A$4:$A$103,Amounts!$B$4:$B$103)*0.1*$A$2</f>
        <v>0</v>
      </c>
      <c r="C520" s="68">
        <f t="shared" si="49"/>
        <v>120665.52921499971</v>
      </c>
      <c r="D520" s="67">
        <f t="array" ref="D520">SUM($B$7:$B515*$F$1009*EXP(-$F$1009*($A520-$A$7:$A515)))*$F$1010</f>
        <v>6525113.9749504859</v>
      </c>
      <c r="E520" s="67">
        <f t="shared" si="53"/>
        <v>12.439553755784127</v>
      </c>
      <c r="F520" s="70">
        <f t="shared" si="51"/>
        <v>0.75532970405121214</v>
      </c>
      <c r="G520" s="67">
        <f>E520/'Lookup Tables'!$C$48</f>
        <v>24.879107511568254</v>
      </c>
      <c r="H520" s="70">
        <f t="shared" si="54"/>
        <v>5.4184732761503381E-2</v>
      </c>
      <c r="I520" s="71">
        <f t="shared" si="52"/>
        <v>3.582591481665829E-2</v>
      </c>
      <c r="L520" s="74"/>
      <c r="M520" s="74"/>
      <c r="N520" s="74"/>
      <c r="O520" s="74"/>
      <c r="P520" s="74"/>
      <c r="Q520" s="74"/>
      <c r="R520" s="74"/>
      <c r="S520" s="74"/>
      <c r="T520" s="74"/>
      <c r="U520" s="74"/>
      <c r="V520" s="74"/>
      <c r="W520" s="74"/>
      <c r="X520" s="74"/>
      <c r="Y520" s="74"/>
      <c r="Z520" s="74"/>
    </row>
    <row r="521" spans="1:26" x14ac:dyDescent="0.3">
      <c r="A521" s="66">
        <f t="shared" si="50"/>
        <v>2041.3999999999533</v>
      </c>
      <c r="B521" s="67">
        <f>LOOKUP(A521+0.01,Amounts!$A$4:$A$103,Amounts!$B$4:$B$103)*0.1*$A$2</f>
        <v>0</v>
      </c>
      <c r="C521" s="68">
        <f t="shared" ref="C521:C584" si="55">C520+B521</f>
        <v>120665.52921499971</v>
      </c>
      <c r="D521" s="67">
        <f t="array" ref="D521">SUM($B$7:$B516*$F$1009*EXP(-$F$1009*($A521-$A$7:$A516)))*$F$1010</f>
        <v>6515985.2070141509</v>
      </c>
      <c r="E521" s="67">
        <f t="shared" si="53"/>
        <v>12.422150565601694</v>
      </c>
      <c r="F521" s="70">
        <f t="shared" si="51"/>
        <v>0.75427298234333484</v>
      </c>
      <c r="G521" s="67">
        <f>E521/'Lookup Tables'!$C$48</f>
        <v>24.844301131203387</v>
      </c>
      <c r="H521" s="70">
        <f t="shared" si="54"/>
        <v>5.4108927211903628E-2</v>
      </c>
      <c r="I521" s="71">
        <f t="shared" si="52"/>
        <v>3.5775793628932878E-2</v>
      </c>
      <c r="L521" s="74"/>
      <c r="M521" s="74"/>
      <c r="N521" s="74"/>
      <c r="O521" s="74"/>
      <c r="P521" s="74"/>
      <c r="Q521" s="74"/>
      <c r="R521" s="74"/>
      <c r="S521" s="74"/>
      <c r="T521" s="74"/>
      <c r="U521" s="74"/>
      <c r="V521" s="74"/>
      <c r="W521" s="74"/>
      <c r="X521" s="74"/>
      <c r="Y521" s="74"/>
      <c r="Z521" s="74"/>
    </row>
    <row r="522" spans="1:26" x14ac:dyDescent="0.3">
      <c r="A522" s="66">
        <f t="shared" si="50"/>
        <v>2041.4999999999532</v>
      </c>
      <c r="B522" s="67">
        <f>LOOKUP(A522+0.01,Amounts!$A$4:$A$103,Amounts!$B$4:$B$103)*0.1*$A$2</f>
        <v>0</v>
      </c>
      <c r="C522" s="68">
        <f t="shared" si="55"/>
        <v>120665.52921499971</v>
      </c>
      <c r="D522" s="67">
        <f t="array" ref="D522">SUM($B$7:$B517*$F$1009*EXP(-$F$1009*($A522-$A$7:$A517)))*$F$1010</f>
        <v>6506869.2104109088</v>
      </c>
      <c r="E522" s="67">
        <f t="shared" si="53"/>
        <v>12.404771722838348</v>
      </c>
      <c r="F522" s="70">
        <f t="shared" si="51"/>
        <v>0.75321773901074451</v>
      </c>
      <c r="G522" s="67">
        <f>E522/'Lookup Tables'!$C$48</f>
        <v>24.809543445676695</v>
      </c>
      <c r="H522" s="70">
        <f t="shared" si="54"/>
        <v>5.403322771581856E-2</v>
      </c>
      <c r="I522" s="71">
        <f t="shared" si="52"/>
        <v>3.5725742561774444E-2</v>
      </c>
      <c r="L522" s="74"/>
      <c r="M522" s="74"/>
      <c r="N522" s="74"/>
      <c r="O522" s="74"/>
      <c r="P522" s="74"/>
      <c r="Q522" s="74"/>
      <c r="R522" s="74"/>
      <c r="S522" s="74"/>
      <c r="T522" s="74"/>
      <c r="U522" s="74"/>
      <c r="V522" s="74"/>
      <c r="W522" s="74"/>
      <c r="X522" s="74"/>
      <c r="Y522" s="74"/>
      <c r="Z522" s="74"/>
    </row>
    <row r="523" spans="1:26" x14ac:dyDescent="0.3">
      <c r="A523" s="66">
        <f t="shared" si="50"/>
        <v>2041.5999999999531</v>
      </c>
      <c r="B523" s="67">
        <f>LOOKUP(A523+0.01,Amounts!$A$4:$A$103,Amounts!$B$4:$B$103)*0.1*$A$2</f>
        <v>0</v>
      </c>
      <c r="C523" s="68">
        <f t="shared" si="55"/>
        <v>120665.52921499971</v>
      </c>
      <c r="D523" s="67">
        <f t="array" ref="D523">SUM($B$7:$B518*$F$1009*EXP(-$F$1009*($A523-$A$7:$A518)))*$F$1010</f>
        <v>6497765.9672734002</v>
      </c>
      <c r="E523" s="67">
        <f t="shared" si="53"/>
        <v>12.387417193431544</v>
      </c>
      <c r="F523" s="70">
        <f t="shared" si="51"/>
        <v>0.75216397198516338</v>
      </c>
      <c r="G523" s="67">
        <f>E523/'Lookup Tables'!$C$48</f>
        <v>24.774834386863088</v>
      </c>
      <c r="H523" s="70">
        <f t="shared" si="54"/>
        <v>5.3957634124877078E-2</v>
      </c>
      <c r="I523" s="71">
        <f t="shared" si="52"/>
        <v>3.5675761517082849E-2</v>
      </c>
      <c r="L523" s="74"/>
      <c r="M523" s="74"/>
      <c r="N523" s="74"/>
      <c r="O523" s="74"/>
      <c r="P523" s="74"/>
      <c r="Q523" s="74"/>
      <c r="R523" s="74"/>
      <c r="S523" s="74"/>
      <c r="T523" s="74"/>
      <c r="U523" s="74"/>
      <c r="V523" s="74"/>
      <c r="W523" s="74"/>
      <c r="X523" s="74"/>
      <c r="Y523" s="74"/>
      <c r="Z523" s="74"/>
    </row>
    <row r="524" spans="1:26" x14ac:dyDescent="0.3">
      <c r="A524" s="66">
        <f t="shared" si="50"/>
        <v>2041.699999999953</v>
      </c>
      <c r="B524" s="67">
        <f>LOOKUP(A524+0.01,Amounts!$A$4:$A$103,Amounts!$B$4:$B$103)*0.1*$A$2</f>
        <v>0</v>
      </c>
      <c r="C524" s="68">
        <f t="shared" si="55"/>
        <v>120665.52921499971</v>
      </c>
      <c r="D524" s="67">
        <f t="array" ref="D524">SUM($B$7:$B519*$F$1009*EXP(-$F$1009*($A524-$A$7:$A519)))*$F$1010</f>
        <v>6488675.4597592708</v>
      </c>
      <c r="E524" s="67">
        <f t="shared" si="53"/>
        <v>12.370086943366415</v>
      </c>
      <c r="F524" s="70">
        <f t="shared" si="51"/>
        <v>0.7511116792012088</v>
      </c>
      <c r="G524" s="67">
        <f>E524/'Lookup Tables'!$C$48</f>
        <v>24.74017388673283</v>
      </c>
      <c r="H524" s="70">
        <f t="shared" si="54"/>
        <v>5.3882146290915804E-2</v>
      </c>
      <c r="I524" s="71">
        <f t="shared" si="52"/>
        <v>3.5625850396895281E-2</v>
      </c>
      <c r="L524" s="74"/>
      <c r="M524" s="74"/>
      <c r="N524" s="74"/>
      <c r="O524" s="74"/>
      <c r="P524" s="74"/>
      <c r="Q524" s="74"/>
      <c r="R524" s="74"/>
      <c r="S524" s="74"/>
      <c r="T524" s="74"/>
      <c r="U524" s="74"/>
      <c r="V524" s="74"/>
      <c r="W524" s="74"/>
      <c r="X524" s="74"/>
      <c r="Y524" s="74"/>
      <c r="Z524" s="74"/>
    </row>
    <row r="525" spans="1:26" x14ac:dyDescent="0.3">
      <c r="A525" s="66">
        <f t="shared" si="50"/>
        <v>2041.7999999999529</v>
      </c>
      <c r="B525" s="67">
        <f>LOOKUP(A525+0.01,Amounts!$A$4:$A$103,Amounts!$B$4:$B$103)*0.1*$A$2</f>
        <v>0</v>
      </c>
      <c r="C525" s="68">
        <f t="shared" si="55"/>
        <v>120665.52921499971</v>
      </c>
      <c r="D525" s="67">
        <f t="array" ref="D525">SUM($B$7:$B520*$F$1009*EXP(-$F$1009*($A525-$A$7:$A520)))*$F$1010</f>
        <v>6479597.6700511184</v>
      </c>
      <c r="E525" s="67">
        <f t="shared" si="53"/>
        <v>12.35278093867565</v>
      </c>
      <c r="F525" s="70">
        <f t="shared" si="51"/>
        <v>0.75006085859638549</v>
      </c>
      <c r="G525" s="67">
        <f>E525/'Lookup Tables'!$C$48</f>
        <v>24.7055618773513</v>
      </c>
      <c r="H525" s="70">
        <f t="shared" si="54"/>
        <v>5.3806764065978466E-2</v>
      </c>
      <c r="I525" s="71">
        <f t="shared" si="52"/>
        <v>3.5576009103385868E-2</v>
      </c>
      <c r="L525" s="74"/>
      <c r="M525" s="74"/>
      <c r="N525" s="74"/>
      <c r="O525" s="74"/>
      <c r="P525" s="74"/>
      <c r="Q525" s="74"/>
      <c r="R525" s="74"/>
      <c r="S525" s="74"/>
      <c r="T525" s="74"/>
      <c r="U525" s="74"/>
      <c r="V525" s="74"/>
      <c r="W525" s="74"/>
      <c r="X525" s="74"/>
      <c r="Y525" s="74"/>
      <c r="Z525" s="74"/>
    </row>
    <row r="526" spans="1:26" x14ac:dyDescent="0.3">
      <c r="A526" s="66">
        <f t="shared" si="50"/>
        <v>2041.8999999999528</v>
      </c>
      <c r="B526" s="67">
        <f>LOOKUP(A526+0.01,Amounts!$A$4:$A$103,Amounts!$B$4:$B$103)*0.1*$A$2</f>
        <v>0</v>
      </c>
      <c r="C526" s="68">
        <f t="shared" si="55"/>
        <v>120665.52921499971</v>
      </c>
      <c r="D526" s="67">
        <f t="array" ref="D526">SUM($B$7:$B521*$F$1009*EXP(-$F$1009*($A526-$A$7:$A521)))*$F$1010</f>
        <v>6470532.5803564731</v>
      </c>
      <c r="E526" s="67">
        <f t="shared" si="53"/>
        <v>12.33549914543948</v>
      </c>
      <c r="F526" s="70">
        <f t="shared" si="51"/>
        <v>0.74901150811108519</v>
      </c>
      <c r="G526" s="67">
        <f>E526/'Lookup Tables'!$C$48</f>
        <v>24.670998290878959</v>
      </c>
      <c r="H526" s="70">
        <f t="shared" si="54"/>
        <v>5.3731487302315951E-2</v>
      </c>
      <c r="I526" s="71">
        <f t="shared" si="52"/>
        <v>3.5526237538865704E-2</v>
      </c>
      <c r="L526" s="74"/>
      <c r="M526" s="74"/>
      <c r="N526" s="74"/>
      <c r="O526" s="74"/>
      <c r="P526" s="74"/>
      <c r="Q526" s="74"/>
      <c r="R526" s="74"/>
      <c r="S526" s="74"/>
      <c r="T526" s="74"/>
      <c r="U526" s="74"/>
      <c r="V526" s="74"/>
      <c r="W526" s="74"/>
      <c r="X526" s="74"/>
      <c r="Y526" s="74"/>
      <c r="Z526" s="74"/>
    </row>
    <row r="527" spans="1:26" x14ac:dyDescent="0.3">
      <c r="A527" s="66">
        <f t="shared" si="50"/>
        <v>2041.9999999999527</v>
      </c>
      <c r="B527" s="67">
        <f>LOOKUP(A527+0.01,Amounts!$A$4:$A$103,Amounts!$B$4:$B$103)*0.1*$A$2</f>
        <v>0</v>
      </c>
      <c r="C527" s="68">
        <f t="shared" si="55"/>
        <v>120665.52921499971</v>
      </c>
      <c r="D527" s="67">
        <f t="array" ref="D527">SUM($B$7:$B522*$F$1009*EXP(-$F$1009*($A527-$A$7:$A522)))*$F$1010</f>
        <v>6461480.1729077557</v>
      </c>
      <c r="E527" s="67">
        <f t="shared" si="53"/>
        <v>12.318241529785579</v>
      </c>
      <c r="F527" s="70">
        <f t="shared" si="51"/>
        <v>0.74796362568858032</v>
      </c>
      <c r="G527" s="67">
        <f>E527/'Lookup Tables'!$C$48</f>
        <v>24.636483059571159</v>
      </c>
      <c r="H527" s="70">
        <f t="shared" si="54"/>
        <v>5.3656315852385721E-2</v>
      </c>
      <c r="I527" s="71">
        <f t="shared" si="52"/>
        <v>3.5476535605782469E-2</v>
      </c>
      <c r="L527" s="74"/>
      <c r="M527" s="74"/>
      <c r="N527" s="74"/>
      <c r="O527" s="74"/>
      <c r="P527" s="74"/>
      <c r="Q527" s="74"/>
      <c r="R527" s="74"/>
      <c r="S527" s="74"/>
      <c r="T527" s="74"/>
      <c r="U527" s="74"/>
      <c r="V527" s="74"/>
      <c r="W527" s="74"/>
      <c r="X527" s="74"/>
      <c r="Y527" s="74"/>
      <c r="Z527" s="74"/>
    </row>
    <row r="528" spans="1:26" x14ac:dyDescent="0.3">
      <c r="A528" s="66">
        <f t="shared" si="50"/>
        <v>2042.0999999999526</v>
      </c>
      <c r="B528" s="67">
        <f>LOOKUP(A528+0.01,Amounts!$A$4:$A$103,Amounts!$B$4:$B$103)*0.1*$A$2</f>
        <v>0</v>
      </c>
      <c r="C528" s="68">
        <f t="shared" si="55"/>
        <v>120665.52921499971</v>
      </c>
      <c r="D528" s="67">
        <f t="array" ref="D528">SUM($B$7:$B523*$F$1009*EXP(-$F$1009*($A528-$A$7:$A523)))*$F$1010</f>
        <v>6452440.4299622476</v>
      </c>
      <c r="E528" s="67">
        <f t="shared" si="53"/>
        <v>12.301008057889026</v>
      </c>
      <c r="F528" s="70">
        <f t="shared" si="51"/>
        <v>0.7469172092750217</v>
      </c>
      <c r="G528" s="67">
        <f>E528/'Lookup Tables'!$C$48</f>
        <v>24.602016115778053</v>
      </c>
      <c r="H528" s="70">
        <f t="shared" si="54"/>
        <v>5.3581249568851762E-2</v>
      </c>
      <c r="I528" s="71">
        <f t="shared" si="52"/>
        <v>3.5426903206720393E-2</v>
      </c>
      <c r="L528" s="74"/>
      <c r="M528" s="74"/>
      <c r="N528" s="74"/>
      <c r="O528" s="74"/>
      <c r="P528" s="74"/>
      <c r="Q528" s="74"/>
      <c r="R528" s="74"/>
      <c r="S528" s="74"/>
      <c r="T528" s="74"/>
      <c r="U528" s="74"/>
      <c r="V528" s="74"/>
      <c r="W528" s="74"/>
      <c r="X528" s="74"/>
      <c r="Y528" s="74"/>
      <c r="Z528" s="74"/>
    </row>
    <row r="529" spans="1:26" x14ac:dyDescent="0.3">
      <c r="A529" s="66">
        <f t="shared" si="50"/>
        <v>2042.1999999999525</v>
      </c>
      <c r="B529" s="67">
        <f>LOOKUP(A529+0.01,Amounts!$A$4:$A$103,Amounts!$B$4:$B$103)*0.1*$A$2</f>
        <v>0</v>
      </c>
      <c r="C529" s="68">
        <f t="shared" si="55"/>
        <v>120665.52921499971</v>
      </c>
      <c r="D529" s="67">
        <f t="array" ref="D529">SUM($B$7:$B524*$F$1009*EXP(-$F$1009*($A529-$A$7:$A524)))*$F$1010</f>
        <v>6443413.3338020472</v>
      </c>
      <c r="E529" s="67">
        <f t="shared" si="53"/>
        <v>12.283798695972202</v>
      </c>
      <c r="F529" s="70">
        <f t="shared" si="51"/>
        <v>0.74587225681943214</v>
      </c>
      <c r="G529" s="67">
        <f>E529/'Lookup Tables'!$C$48</f>
        <v>24.567597391944403</v>
      </c>
      <c r="H529" s="70">
        <f t="shared" si="54"/>
        <v>5.35062883045841E-2</v>
      </c>
      <c r="I529" s="71">
        <f t="shared" si="52"/>
        <v>3.5377340244399945E-2</v>
      </c>
      <c r="L529" s="74"/>
      <c r="M529" s="74"/>
      <c r="N529" s="74"/>
      <c r="O529" s="74"/>
      <c r="P529" s="74"/>
      <c r="Q529" s="74"/>
      <c r="R529" s="74"/>
      <c r="S529" s="74"/>
      <c r="T529" s="74"/>
      <c r="U529" s="74"/>
      <c r="V529" s="74"/>
      <c r="W529" s="74"/>
      <c r="X529" s="74"/>
      <c r="Y529" s="74"/>
      <c r="Z529" s="74"/>
    </row>
    <row r="530" spans="1:26" x14ac:dyDescent="0.3">
      <c r="A530" s="66">
        <f t="shared" si="50"/>
        <v>2042.2999999999524</v>
      </c>
      <c r="B530" s="67">
        <f>LOOKUP(A530+0.01,Amounts!$A$4:$A$103,Amounts!$B$4:$B$103)*0.1*$A$2</f>
        <v>0</v>
      </c>
      <c r="C530" s="68">
        <f t="shared" si="55"/>
        <v>120665.52921499971</v>
      </c>
      <c r="D530" s="67">
        <f t="array" ref="D530">SUM($B$7:$B525*$F$1009*EXP(-$F$1009*($A530-$A$7:$A525)))*$F$1010</f>
        <v>6434398.8667340418</v>
      </c>
      <c r="E530" s="67">
        <f t="shared" si="53"/>
        <v>12.266613410304751</v>
      </c>
      <c r="F530" s="70">
        <f t="shared" si="51"/>
        <v>0.74482876627370442</v>
      </c>
      <c r="G530" s="67">
        <f>E530/'Lookup Tables'!$C$48</f>
        <v>24.533226820609503</v>
      </c>
      <c r="H530" s="70">
        <f t="shared" si="54"/>
        <v>5.3431431912658631E-2</v>
      </c>
      <c r="I530" s="71">
        <f t="shared" si="52"/>
        <v>3.5327846621677685E-2</v>
      </c>
      <c r="L530" s="74"/>
      <c r="M530" s="74"/>
      <c r="N530" s="74"/>
      <c r="O530" s="74"/>
      <c r="P530" s="74"/>
      <c r="Q530" s="74"/>
      <c r="R530" s="74"/>
      <c r="S530" s="74"/>
      <c r="T530" s="74"/>
      <c r="U530" s="74"/>
      <c r="V530" s="74"/>
      <c r="W530" s="74"/>
      <c r="X530" s="74"/>
      <c r="Y530" s="74"/>
      <c r="Z530" s="74"/>
    </row>
    <row r="531" spans="1:26" x14ac:dyDescent="0.3">
      <c r="A531" s="66">
        <f t="shared" ref="A531:A594" si="56">A530+0.1</f>
        <v>2042.3999999999523</v>
      </c>
      <c r="B531" s="67">
        <f>LOOKUP(A531+0.01,Amounts!$A$4:$A$103,Amounts!$B$4:$B$103)*0.1*$A$2</f>
        <v>0</v>
      </c>
      <c r="C531" s="68">
        <f t="shared" si="55"/>
        <v>120665.52921499971</v>
      </c>
      <c r="D531" s="67">
        <f t="array" ref="D531">SUM($B$7:$B526*$F$1009*EXP(-$F$1009*($A531-$A$7:$A526)))*$F$1010</f>
        <v>6425397.0110898782</v>
      </c>
      <c r="E531" s="67">
        <f t="shared" si="53"/>
        <v>12.249452167203518</v>
      </c>
      <c r="F531" s="70">
        <f t="shared" ref="F531:F594" si="57">E531*60*1012/1000000</f>
        <v>0.74378673559259767</v>
      </c>
      <c r="G531" s="67">
        <f>E531/'Lookup Tables'!$C$48</f>
        <v>24.498904334407037</v>
      </c>
      <c r="H531" s="70">
        <f t="shared" si="54"/>
        <v>5.3356680246356841E-2</v>
      </c>
      <c r="I531" s="71">
        <f t="shared" ref="I531:I594" si="58">G531*60*24/1000000</f>
        <v>3.5278422241546134E-2</v>
      </c>
      <c r="L531" s="74"/>
      <c r="M531" s="74"/>
      <c r="N531" s="74"/>
      <c r="O531" s="74"/>
      <c r="P531" s="74"/>
      <c r="Q531" s="74"/>
      <c r="R531" s="74"/>
      <c r="S531" s="74"/>
      <c r="T531" s="74"/>
      <c r="U531" s="74"/>
      <c r="V531" s="74"/>
      <c r="W531" s="74"/>
      <c r="X531" s="74"/>
      <c r="Y531" s="74"/>
      <c r="Z531" s="74"/>
    </row>
    <row r="532" spans="1:26" x14ac:dyDescent="0.3">
      <c r="A532" s="66">
        <f t="shared" si="56"/>
        <v>2042.4999999999523</v>
      </c>
      <c r="B532" s="67">
        <f>LOOKUP(A532+0.01,Amounts!$A$4:$A$103,Amounts!$B$4:$B$103)*0.1*$A$2</f>
        <v>0</v>
      </c>
      <c r="C532" s="68">
        <f t="shared" si="55"/>
        <v>120665.52921499971</v>
      </c>
      <c r="D532" s="67">
        <f t="array" ref="D532">SUM($B$7:$B527*$F$1009*EXP(-$F$1009*($A532-$A$7:$A527)))*$F$1010</f>
        <v>6416407.7492259098</v>
      </c>
      <c r="E532" s="67">
        <f t="shared" si="53"/>
        <v>12.232314933032448</v>
      </c>
      <c r="F532" s="70">
        <f t="shared" si="57"/>
        <v>0.74274616273373029</v>
      </c>
      <c r="G532" s="67">
        <f>E532/'Lookup Tables'!$C$48</f>
        <v>24.464629866064897</v>
      </c>
      <c r="H532" s="70">
        <f t="shared" si="54"/>
        <v>5.3282033159165389E-2</v>
      </c>
      <c r="I532" s="71">
        <f t="shared" si="58"/>
        <v>3.5229067007133449E-2</v>
      </c>
      <c r="L532" s="74"/>
      <c r="M532" s="74"/>
      <c r="N532" s="74"/>
      <c r="O532" s="74"/>
      <c r="P532" s="74"/>
      <c r="Q532" s="74"/>
      <c r="R532" s="74"/>
      <c r="S532" s="74"/>
      <c r="T532" s="74"/>
      <c r="U532" s="74"/>
      <c r="V532" s="74"/>
      <c r="W532" s="74"/>
      <c r="X532" s="74"/>
      <c r="Y532" s="74"/>
      <c r="Z532" s="74"/>
    </row>
    <row r="533" spans="1:26" x14ac:dyDescent="0.3">
      <c r="A533" s="66">
        <f t="shared" si="56"/>
        <v>2042.5999999999522</v>
      </c>
      <c r="B533" s="67">
        <f>LOOKUP(A533+0.01,Amounts!$A$4:$A$103,Amounts!$B$4:$B$103)*0.1*$A$2</f>
        <v>0</v>
      </c>
      <c r="C533" s="68">
        <f t="shared" si="55"/>
        <v>120665.52921499971</v>
      </c>
      <c r="D533" s="67">
        <f t="array" ref="D533">SUM($B$7:$B528*$F$1009*EXP(-$F$1009*($A533-$A$7:$A528)))*$F$1010</f>
        <v>6407431.0635231826</v>
      </c>
      <c r="E533" s="67">
        <f t="shared" si="53"/>
        <v>12.215201674202557</v>
      </c>
      <c r="F533" s="70">
        <f t="shared" si="57"/>
        <v>0.74170704565757928</v>
      </c>
      <c r="G533" s="67">
        <f>E533/'Lookup Tables'!$C$48</f>
        <v>24.430403348405115</v>
      </c>
      <c r="H533" s="70">
        <f t="shared" si="54"/>
        <v>5.3207490504775974E-2</v>
      </c>
      <c r="I533" s="71">
        <f t="shared" si="58"/>
        <v>3.5179780821703366E-2</v>
      </c>
      <c r="L533" s="74"/>
      <c r="M533" s="74"/>
      <c r="N533" s="74"/>
      <c r="O533" s="74"/>
      <c r="P533" s="74"/>
      <c r="Q533" s="74"/>
      <c r="R533" s="74"/>
      <c r="S533" s="74"/>
      <c r="T533" s="74"/>
      <c r="U533" s="74"/>
      <c r="V533" s="74"/>
      <c r="W533" s="74"/>
      <c r="X533" s="74"/>
      <c r="Y533" s="74"/>
      <c r="Z533" s="74"/>
    </row>
    <row r="534" spans="1:26" x14ac:dyDescent="0.3">
      <c r="A534" s="66">
        <f t="shared" si="56"/>
        <v>2042.6999999999521</v>
      </c>
      <c r="B534" s="67">
        <f>LOOKUP(A534+0.01,Amounts!$A$4:$A$103,Amounts!$B$4:$B$103)*0.1*$A$2</f>
        <v>0</v>
      </c>
      <c r="C534" s="68">
        <f t="shared" si="55"/>
        <v>120665.52921499971</v>
      </c>
      <c r="D534" s="67">
        <f t="array" ref="D534">SUM($B$7:$B529*$F$1009*EXP(-$F$1009*($A534-$A$7:$A529)))*$F$1010</f>
        <v>6398466.9363873946</v>
      </c>
      <c r="E534" s="67">
        <f t="shared" si="53"/>
        <v>12.198112357171867</v>
      </c>
      <c r="F534" s="70">
        <f t="shared" si="57"/>
        <v>0.7406693823274757</v>
      </c>
      <c r="G534" s="67">
        <f>E534/'Lookup Tables'!$C$48</f>
        <v>24.396224714343735</v>
      </c>
      <c r="H534" s="70">
        <f t="shared" si="54"/>
        <v>5.3133052137084996E-2</v>
      </c>
      <c r="I534" s="71">
        <f t="shared" si="58"/>
        <v>3.5130563588654969E-2</v>
      </c>
      <c r="L534" s="74"/>
      <c r="M534" s="74"/>
      <c r="N534" s="74"/>
      <c r="O534" s="74"/>
      <c r="P534" s="74"/>
      <c r="Q534" s="74"/>
      <c r="R534" s="74"/>
      <c r="S534" s="74"/>
      <c r="T534" s="74"/>
      <c r="U534" s="74"/>
      <c r="V534" s="74"/>
      <c r="W534" s="74"/>
      <c r="X534" s="74"/>
      <c r="Y534" s="74"/>
      <c r="Z534" s="74"/>
    </row>
    <row r="535" spans="1:26" x14ac:dyDescent="0.3">
      <c r="A535" s="66">
        <f t="shared" si="56"/>
        <v>2042.799999999952</v>
      </c>
      <c r="B535" s="67">
        <f>LOOKUP(A535+0.01,Amounts!$A$4:$A$103,Amounts!$B$4:$B$103)*0.1*$A$2</f>
        <v>0</v>
      </c>
      <c r="C535" s="68">
        <f t="shared" si="55"/>
        <v>120665.52921499971</v>
      </c>
      <c r="D535" s="67">
        <f t="array" ref="D535">SUM($B$7:$B530*$F$1009*EXP(-$F$1009*($A535-$A$7:$A530)))*$F$1010</f>
        <v>6389515.3502488472</v>
      </c>
      <c r="E535" s="67">
        <f t="shared" si="53"/>
        <v>12.181046948445296</v>
      </c>
      <c r="F535" s="70">
        <f t="shared" si="57"/>
        <v>0.73963317070959833</v>
      </c>
      <c r="G535" s="67">
        <f>E535/'Lookup Tables'!$C$48</f>
        <v>24.362093896890592</v>
      </c>
      <c r="H535" s="70">
        <f t="shared" si="54"/>
        <v>5.3058717910193218E-2</v>
      </c>
      <c r="I535" s="71">
        <f t="shared" si="58"/>
        <v>3.508141521152245E-2</v>
      </c>
      <c r="L535" s="74"/>
      <c r="M535" s="74"/>
      <c r="N535" s="74"/>
      <c r="O535" s="74"/>
      <c r="P535" s="74"/>
      <c r="Q535" s="74"/>
      <c r="R535" s="74"/>
      <c r="S535" s="74"/>
      <c r="T535" s="74"/>
      <c r="U535" s="74"/>
      <c r="V535" s="74"/>
      <c r="W535" s="74"/>
      <c r="X535" s="74"/>
      <c r="Y535" s="74"/>
      <c r="Z535" s="74"/>
    </row>
    <row r="536" spans="1:26" x14ac:dyDescent="0.3">
      <c r="A536" s="66">
        <f t="shared" si="56"/>
        <v>2042.8999999999519</v>
      </c>
      <c r="B536" s="67">
        <f>LOOKUP(A536+0.01,Amounts!$A$4:$A$103,Amounts!$B$4:$B$103)*0.1*$A$2</f>
        <v>0</v>
      </c>
      <c r="C536" s="68">
        <f t="shared" si="55"/>
        <v>120665.52921499971</v>
      </c>
      <c r="D536" s="67">
        <f t="array" ref="D536">SUM($B$7:$B531*$F$1009*EXP(-$F$1009*($A536-$A$7:$A531)))*$F$1010</f>
        <v>6380576.2875624336</v>
      </c>
      <c r="E536" s="67">
        <f t="shared" si="53"/>
        <v>12.164005414574646</v>
      </c>
      <c r="F536" s="70">
        <f t="shared" si="57"/>
        <v>0.73859840877297245</v>
      </c>
      <c r="G536" s="67">
        <f>E536/'Lookup Tables'!$C$48</f>
        <v>24.328010829149292</v>
      </c>
      <c r="H536" s="70">
        <f t="shared" si="54"/>
        <v>5.2984487678405516E-2</v>
      </c>
      <c r="I536" s="71">
        <f t="shared" si="58"/>
        <v>3.5032335593974971E-2</v>
      </c>
      <c r="L536" s="74"/>
      <c r="M536" s="74"/>
      <c r="N536" s="74"/>
      <c r="O536" s="74"/>
      <c r="P536" s="74"/>
      <c r="Q536" s="74"/>
      <c r="R536" s="74"/>
      <c r="S536" s="74"/>
      <c r="T536" s="74"/>
      <c r="U536" s="74"/>
      <c r="V536" s="74"/>
      <c r="W536" s="74"/>
      <c r="X536" s="74"/>
      <c r="Y536" s="74"/>
      <c r="Z536" s="74"/>
    </row>
    <row r="537" spans="1:26" x14ac:dyDescent="0.3">
      <c r="A537" s="66">
        <f t="shared" si="56"/>
        <v>2042.9999999999518</v>
      </c>
      <c r="B537" s="67">
        <f>LOOKUP(A537+0.01,Amounts!$A$4:$A$103,Amounts!$B$4:$B$103)*0.1*$A$2</f>
        <v>0</v>
      </c>
      <c r="C537" s="68">
        <f t="shared" si="55"/>
        <v>120665.52921499971</v>
      </c>
      <c r="D537" s="67">
        <f t="array" ref="D537">SUM($B$7:$B532*$F$1009*EXP(-$F$1009*($A537-$A$7:$A532)))*$F$1010</f>
        <v>6371649.7308075866</v>
      </c>
      <c r="E537" s="67">
        <f t="shared" si="53"/>
        <v>12.146987722158507</v>
      </c>
      <c r="F537" s="70">
        <f t="shared" si="57"/>
        <v>0.7375650944894645</v>
      </c>
      <c r="G537" s="67">
        <f>E537/'Lookup Tables'!$C$48</f>
        <v>24.293975444317013</v>
      </c>
      <c r="H537" s="70">
        <f t="shared" si="54"/>
        <v>5.2910361296230668E-2</v>
      </c>
      <c r="I537" s="71">
        <f t="shared" si="58"/>
        <v>3.4983324639816502E-2</v>
      </c>
      <c r="L537" s="74"/>
      <c r="M537" s="74"/>
      <c r="N537" s="74"/>
      <c r="O537" s="74"/>
      <c r="P537" s="74"/>
      <c r="Q537" s="74"/>
      <c r="R537" s="74"/>
      <c r="S537" s="74"/>
      <c r="T537" s="74"/>
      <c r="U537" s="74"/>
      <c r="V537" s="74"/>
      <c r="W537" s="74"/>
      <c r="X537" s="74"/>
      <c r="Y537" s="74"/>
      <c r="Z537" s="74"/>
    </row>
    <row r="538" spans="1:26" x14ac:dyDescent="0.3">
      <c r="A538" s="66">
        <f t="shared" si="56"/>
        <v>2043.0999999999517</v>
      </c>
      <c r="B538" s="67">
        <f>LOOKUP(A538+0.01,Amounts!$A$4:$A$103,Amounts!$B$4:$B$103)*0.1*$A$2</f>
        <v>0</v>
      </c>
      <c r="C538" s="68">
        <f t="shared" si="55"/>
        <v>120665.52921499971</v>
      </c>
      <c r="D538" s="67">
        <f t="array" ref="D538">SUM($B$7:$B533*$F$1009*EXP(-$F$1009*($A538-$A$7:$A533)))*$F$1010</f>
        <v>6362735.6624882529</v>
      </c>
      <c r="E538" s="67">
        <f t="shared" si="53"/>
        <v>12.129993837842189</v>
      </c>
      <c r="F538" s="70">
        <f t="shared" si="57"/>
        <v>0.73653322583377767</v>
      </c>
      <c r="G538" s="67">
        <f>E538/'Lookup Tables'!$C$48</f>
        <v>24.259987675684378</v>
      </c>
      <c r="H538" s="70">
        <f t="shared" si="54"/>
        <v>5.2836338618380871E-2</v>
      </c>
      <c r="I538" s="71">
        <f t="shared" si="58"/>
        <v>3.4934382252985501E-2</v>
      </c>
      <c r="L538" s="74"/>
      <c r="M538" s="74"/>
      <c r="N538" s="74"/>
      <c r="O538" s="74"/>
      <c r="P538" s="74"/>
      <c r="Q538" s="74"/>
      <c r="R538" s="74"/>
      <c r="S538" s="74"/>
      <c r="T538" s="74"/>
      <c r="U538" s="74"/>
      <c r="V538" s="74"/>
      <c r="W538" s="74"/>
      <c r="X538" s="74"/>
      <c r="Y538" s="74"/>
      <c r="Z538" s="74"/>
    </row>
    <row r="539" spans="1:26" x14ac:dyDescent="0.3">
      <c r="A539" s="66">
        <f t="shared" si="56"/>
        <v>2043.1999999999516</v>
      </c>
      <c r="B539" s="67">
        <f>LOOKUP(A539+0.01,Amounts!$A$4:$A$103,Amounts!$B$4:$B$103)*0.1*$A$2</f>
        <v>0</v>
      </c>
      <c r="C539" s="68">
        <f t="shared" si="55"/>
        <v>120665.52921499971</v>
      </c>
      <c r="D539" s="67">
        <f t="array" ref="D539">SUM($B$7:$B534*$F$1009*EXP(-$F$1009*($A539-$A$7:$A534)))*$F$1010</f>
        <v>6353834.0651328536</v>
      </c>
      <c r="E539" s="67">
        <f t="shared" si="53"/>
        <v>12.113023728317676</v>
      </c>
      <c r="F539" s="70">
        <f t="shared" si="57"/>
        <v>0.73550280078344932</v>
      </c>
      <c r="G539" s="67">
        <f>E539/'Lookup Tables'!$C$48</f>
        <v>24.226047456635353</v>
      </c>
      <c r="H539" s="70">
        <f t="shared" si="54"/>
        <v>5.2762419499771687E-2</v>
      </c>
      <c r="I539" s="71">
        <f t="shared" si="58"/>
        <v>3.488550833755491E-2</v>
      </c>
      <c r="L539" s="74"/>
      <c r="M539" s="74"/>
      <c r="N539" s="74"/>
      <c r="O539" s="74"/>
      <c r="P539" s="74"/>
      <c r="Q539" s="74"/>
      <c r="R539" s="74"/>
      <c r="S539" s="74"/>
      <c r="T539" s="74"/>
      <c r="U539" s="74"/>
      <c r="V539" s="74"/>
      <c r="W539" s="74"/>
      <c r="X539" s="74"/>
      <c r="Y539" s="74"/>
      <c r="Z539" s="74"/>
    </row>
    <row r="540" spans="1:26" x14ac:dyDescent="0.3">
      <c r="A540" s="66">
        <f t="shared" si="56"/>
        <v>2043.2999999999515</v>
      </c>
      <c r="B540" s="67">
        <f>LOOKUP(A540+0.01,Amounts!$A$4:$A$103,Amounts!$B$4:$B$103)*0.1*$A$2</f>
        <v>0</v>
      </c>
      <c r="C540" s="68">
        <f t="shared" si="55"/>
        <v>120665.52921499971</v>
      </c>
      <c r="D540" s="67">
        <f t="array" ref="D540">SUM($B$7:$B535*$F$1009*EXP(-$F$1009*($A540-$A$7:$A535)))*$F$1010</f>
        <v>6344944.9212942561</v>
      </c>
      <c r="E540" s="67">
        <f t="shared" si="53"/>
        <v>12.09607736032355</v>
      </c>
      <c r="F540" s="70">
        <f t="shared" si="57"/>
        <v>0.73447381731884587</v>
      </c>
      <c r="G540" s="67">
        <f>E540/'Lookup Tables'!$C$48</f>
        <v>24.1921547206471</v>
      </c>
      <c r="H540" s="70">
        <f t="shared" si="54"/>
        <v>5.2688603795521614E-2</v>
      </c>
      <c r="I540" s="71">
        <f t="shared" si="58"/>
        <v>3.4836702797731822E-2</v>
      </c>
      <c r="L540" s="74"/>
      <c r="M540" s="74"/>
      <c r="N540" s="74"/>
      <c r="O540" s="74"/>
      <c r="P540" s="74"/>
      <c r="Q540" s="74"/>
      <c r="R540" s="74"/>
      <c r="S540" s="74"/>
      <c r="T540" s="74"/>
      <c r="U540" s="74"/>
      <c r="V540" s="74"/>
      <c r="W540" s="74"/>
      <c r="X540" s="74"/>
      <c r="Y540" s="74"/>
      <c r="Z540" s="74"/>
    </row>
    <row r="541" spans="1:26" x14ac:dyDescent="0.3">
      <c r="A541" s="66">
        <f t="shared" si="56"/>
        <v>2043.3999999999514</v>
      </c>
      <c r="B541" s="67">
        <f>LOOKUP(A541+0.01,Amounts!$A$4:$A$103,Amounts!$B$4:$B$103)*0.1*$A$2</f>
        <v>0</v>
      </c>
      <c r="C541" s="68">
        <f t="shared" si="55"/>
        <v>120665.52921499971</v>
      </c>
      <c r="D541" s="67">
        <f t="array" ref="D541">SUM($B$7:$B536*$F$1009*EXP(-$F$1009*($A541-$A$7:$A536)))*$F$1010</f>
        <v>6336068.213549736</v>
      </c>
      <c r="E541" s="67">
        <f t="shared" si="53"/>
        <v>12.079154700644922</v>
      </c>
      <c r="F541" s="70">
        <f t="shared" si="57"/>
        <v>0.73344627342315971</v>
      </c>
      <c r="G541" s="67">
        <f>E541/'Lookup Tables'!$C$48</f>
        <v>24.158309401289845</v>
      </c>
      <c r="H541" s="70">
        <f t="shared" si="54"/>
        <v>5.2614891360951856E-2</v>
      </c>
      <c r="I541" s="71">
        <f t="shared" si="58"/>
        <v>3.4787965537857381E-2</v>
      </c>
      <c r="L541" s="74"/>
      <c r="M541" s="74"/>
      <c r="N541" s="74"/>
      <c r="O541" s="74"/>
      <c r="P541" s="74"/>
      <c r="Q541" s="74"/>
      <c r="R541" s="74"/>
      <c r="S541" s="74"/>
      <c r="T541" s="74"/>
      <c r="U541" s="74"/>
      <c r="V541" s="74"/>
      <c r="W541" s="74"/>
      <c r="X541" s="74"/>
      <c r="Y541" s="74"/>
      <c r="Z541" s="74"/>
    </row>
    <row r="542" spans="1:26" x14ac:dyDescent="0.3">
      <c r="A542" s="66">
        <f t="shared" si="56"/>
        <v>2043.4999999999513</v>
      </c>
      <c r="B542" s="67">
        <f>LOOKUP(A542+0.01,Amounts!$A$4:$A$103,Amounts!$B$4:$B$103)*0.1*$A$2</f>
        <v>0</v>
      </c>
      <c r="C542" s="68">
        <f t="shared" si="55"/>
        <v>120665.52921499971</v>
      </c>
      <c r="D542" s="67">
        <f t="array" ref="D542">SUM($B$7:$B537*$F$1009*EXP(-$F$1009*($A542-$A$7:$A537)))*$F$1010</f>
        <v>6327203.9245009422</v>
      </c>
      <c r="E542" s="67">
        <f t="shared" si="53"/>
        <v>12.062255716113373</v>
      </c>
      <c r="F542" s="70">
        <f t="shared" si="57"/>
        <v>0.73242016708240398</v>
      </c>
      <c r="G542" s="67">
        <f>E542/'Lookup Tables'!$C$48</f>
        <v>24.124511432226747</v>
      </c>
      <c r="H542" s="70">
        <f t="shared" si="54"/>
        <v>5.2541282051585987E-2</v>
      </c>
      <c r="I542" s="71">
        <f t="shared" si="58"/>
        <v>3.4739296462406512E-2</v>
      </c>
      <c r="L542" s="74"/>
      <c r="M542" s="74"/>
      <c r="N542" s="74"/>
      <c r="O542" s="74"/>
      <c r="P542" s="74"/>
      <c r="Q542" s="74"/>
      <c r="R542" s="74"/>
      <c r="S542" s="74"/>
      <c r="T542" s="74"/>
      <c r="U542" s="74"/>
      <c r="V542" s="74"/>
      <c r="W542" s="74"/>
      <c r="X542" s="74"/>
      <c r="Y542" s="74"/>
      <c r="Z542" s="74"/>
    </row>
    <row r="543" spans="1:26" x14ac:dyDescent="0.3">
      <c r="A543" s="66">
        <f t="shared" si="56"/>
        <v>2043.5999999999513</v>
      </c>
      <c r="B543" s="67">
        <f>LOOKUP(A543+0.01,Amounts!$A$4:$A$103,Amounts!$B$4:$B$103)*0.1*$A$2</f>
        <v>0</v>
      </c>
      <c r="C543" s="68">
        <f t="shared" si="55"/>
        <v>120665.52921499971</v>
      </c>
      <c r="D543" s="67">
        <f t="array" ref="D543">SUM($B$7:$B538*$F$1009*EXP(-$F$1009*($A543-$A$7:$A538)))*$F$1010</f>
        <v>6318352.036773867</v>
      </c>
      <c r="E543" s="67">
        <f t="shared" si="53"/>
        <v>12.045380373606893</v>
      </c>
      <c r="F543" s="70">
        <f t="shared" si="57"/>
        <v>0.73139549628541056</v>
      </c>
      <c r="G543" s="67">
        <f>E543/'Lookup Tables'!$C$48</f>
        <v>24.090760747213785</v>
      </c>
      <c r="H543" s="70">
        <f t="shared" si="54"/>
        <v>5.2467775723149784E-2</v>
      </c>
      <c r="I543" s="71">
        <f t="shared" si="58"/>
        <v>3.4690695475987847E-2</v>
      </c>
      <c r="L543" s="74"/>
      <c r="M543" s="74"/>
      <c r="N543" s="74"/>
      <c r="O543" s="74"/>
      <c r="P543" s="74"/>
      <c r="Q543" s="74"/>
      <c r="R543" s="74"/>
      <c r="S543" s="74"/>
      <c r="T543" s="74"/>
      <c r="U543" s="74"/>
      <c r="V543" s="74"/>
      <c r="W543" s="74"/>
      <c r="X543" s="74"/>
      <c r="Y543" s="74"/>
      <c r="Z543" s="74"/>
    </row>
    <row r="544" spans="1:26" x14ac:dyDescent="0.3">
      <c r="A544" s="66">
        <f t="shared" si="56"/>
        <v>2043.6999999999512</v>
      </c>
      <c r="B544" s="67">
        <f>LOOKUP(A544+0.01,Amounts!$A$4:$A$103,Amounts!$B$4:$B$103)*0.1*$A$2</f>
        <v>0</v>
      </c>
      <c r="C544" s="68">
        <f t="shared" si="55"/>
        <v>120665.52921499971</v>
      </c>
      <c r="D544" s="67">
        <f t="array" ref="D544">SUM($B$7:$B539*$F$1009*EXP(-$F$1009*($A544-$A$7:$A539)))*$F$1010</f>
        <v>6309512.533018806</v>
      </c>
      <c r="E544" s="67">
        <f t="shared" si="53"/>
        <v>12.028528640049799</v>
      </c>
      <c r="F544" s="70">
        <f t="shared" si="57"/>
        <v>0.73037225902382386</v>
      </c>
      <c r="G544" s="67">
        <f>E544/'Lookup Tables'!$C$48</f>
        <v>24.057057280099599</v>
      </c>
      <c r="H544" s="70">
        <f t="shared" si="54"/>
        <v>5.2394372231570799E-2</v>
      </c>
      <c r="I544" s="71">
        <f t="shared" si="58"/>
        <v>3.4642162483343425E-2</v>
      </c>
      <c r="L544" s="74"/>
      <c r="M544" s="74"/>
      <c r="N544" s="74"/>
      <c r="O544" s="74"/>
      <c r="P544" s="74"/>
      <c r="Q544" s="74"/>
      <c r="R544" s="74"/>
      <c r="S544" s="74"/>
      <c r="T544" s="74"/>
      <c r="U544" s="74"/>
      <c r="V544" s="74"/>
      <c r="W544" s="74"/>
      <c r="X544" s="74"/>
      <c r="Y544" s="74"/>
      <c r="Z544" s="74"/>
    </row>
    <row r="545" spans="1:26" x14ac:dyDescent="0.3">
      <c r="A545" s="66">
        <f t="shared" si="56"/>
        <v>2043.7999999999511</v>
      </c>
      <c r="B545" s="67">
        <f>LOOKUP(A545+0.01,Amounts!$A$4:$A$103,Amounts!$B$4:$B$103)*0.1*$A$2</f>
        <v>0</v>
      </c>
      <c r="C545" s="68">
        <f t="shared" si="55"/>
        <v>120665.52921499971</v>
      </c>
      <c r="D545" s="67">
        <f t="array" ref="D545">SUM($B$7:$B540*$F$1009*EXP(-$F$1009*($A545-$A$7:$A540)))*$F$1010</f>
        <v>6300685.3959103301</v>
      </c>
      <c r="E545" s="67">
        <f t="shared" si="53"/>
        <v>12.011700482412691</v>
      </c>
      <c r="F545" s="70">
        <f t="shared" si="57"/>
        <v>0.72935045329209858</v>
      </c>
      <c r="G545" s="67">
        <f>E545/'Lookup Tables'!$C$48</f>
        <v>24.023400964825381</v>
      </c>
      <c r="H545" s="70">
        <f t="shared" si="54"/>
        <v>5.2321071432978143E-2</v>
      </c>
      <c r="I545" s="71">
        <f t="shared" si="58"/>
        <v>3.4593697389348546E-2</v>
      </c>
      <c r="L545" s="74"/>
      <c r="M545" s="74"/>
      <c r="N545" s="74"/>
      <c r="O545" s="74"/>
      <c r="P545" s="74"/>
      <c r="Q545" s="74"/>
      <c r="R545" s="74"/>
      <c r="S545" s="74"/>
      <c r="T545" s="74"/>
      <c r="U545" s="74"/>
      <c r="V545" s="74"/>
      <c r="W545" s="74"/>
      <c r="X545" s="74"/>
      <c r="Y545" s="74"/>
      <c r="Z545" s="74"/>
    </row>
    <row r="546" spans="1:26" x14ac:dyDescent="0.3">
      <c r="A546" s="66">
        <f t="shared" si="56"/>
        <v>2043.899999999951</v>
      </c>
      <c r="B546" s="67">
        <f>LOOKUP(A546+0.01,Amounts!$A$4:$A$103,Amounts!$B$4:$B$103)*0.1*$A$2</f>
        <v>0</v>
      </c>
      <c r="C546" s="68">
        <f t="shared" si="55"/>
        <v>120665.52921499971</v>
      </c>
      <c r="D546" s="67">
        <f t="array" ref="D546">SUM($B$7:$B541*$F$1009*EXP(-$F$1009*($A546-$A$7:$A541)))*$F$1010</f>
        <v>6291870.6081472468</v>
      </c>
      <c r="E546" s="67">
        <f t="shared" si="53"/>
        <v>11.994895867712373</v>
      </c>
      <c r="F546" s="70">
        <f t="shared" si="57"/>
        <v>0.7283300770874952</v>
      </c>
      <c r="G546" s="67">
        <f>E546/'Lookup Tables'!$C$48</f>
        <v>23.989791735424745</v>
      </c>
      <c r="H546" s="70">
        <f t="shared" si="54"/>
        <v>5.2247873183702241E-2</v>
      </c>
      <c r="I546" s="71">
        <f t="shared" si="58"/>
        <v>3.4545300099011626E-2</v>
      </c>
      <c r="L546" s="74"/>
      <c r="M546" s="74"/>
      <c r="N546" s="74"/>
      <c r="O546" s="74"/>
      <c r="P546" s="74"/>
      <c r="Q546" s="74"/>
      <c r="R546" s="74"/>
      <c r="S546" s="74"/>
      <c r="T546" s="74"/>
      <c r="U546" s="74"/>
      <c r="V546" s="74"/>
      <c r="W546" s="74"/>
      <c r="X546" s="74"/>
      <c r="Y546" s="74"/>
      <c r="Z546" s="74"/>
    </row>
    <row r="547" spans="1:26" x14ac:dyDescent="0.3">
      <c r="A547" s="66">
        <f t="shared" si="56"/>
        <v>2043.9999999999509</v>
      </c>
      <c r="B547" s="67">
        <f>LOOKUP(A547+0.01,Amounts!$A$4:$A$103,Amounts!$B$4:$B$103)*0.1*$A$2</f>
        <v>0</v>
      </c>
      <c r="C547" s="68">
        <f t="shared" si="55"/>
        <v>120665.52921499971</v>
      </c>
      <c r="D547" s="67">
        <f t="array" ref="D547">SUM($B$7:$B542*$F$1009*EXP(-$F$1009*($A547-$A$7:$A542)))*$F$1010</f>
        <v>6283068.1524525695</v>
      </c>
      <c r="E547" s="67">
        <f t="shared" si="53"/>
        <v>11.978114763011796</v>
      </c>
      <c r="F547" s="70">
        <f t="shared" si="57"/>
        <v>0.72731112841007628</v>
      </c>
      <c r="G547" s="67">
        <f>E547/'Lookup Tables'!$C$48</f>
        <v>23.956229526023591</v>
      </c>
      <c r="H547" s="70">
        <f t="shared" si="54"/>
        <v>5.2174777340274522E-2</v>
      </c>
      <c r="I547" s="71">
        <f t="shared" si="58"/>
        <v>3.4496970517473975E-2</v>
      </c>
      <c r="L547" s="74"/>
      <c r="M547" s="74"/>
      <c r="N547" s="74"/>
      <c r="O547" s="74"/>
      <c r="P547" s="74"/>
      <c r="Q547" s="74"/>
      <c r="R547" s="74"/>
      <c r="S547" s="74"/>
      <c r="T547" s="74"/>
      <c r="U547" s="74"/>
      <c r="V547" s="74"/>
      <c r="W547" s="74"/>
      <c r="X547" s="74"/>
      <c r="Y547" s="74"/>
      <c r="Z547" s="74"/>
    </row>
    <row r="548" spans="1:26" x14ac:dyDescent="0.3">
      <c r="A548" s="66">
        <f t="shared" si="56"/>
        <v>2044.0999999999508</v>
      </c>
      <c r="B548" s="67">
        <f>LOOKUP(A548+0.01,Amounts!$A$4:$A$103,Amounts!$B$4:$B$103)*0.1*$A$2</f>
        <v>0</v>
      </c>
      <c r="C548" s="68">
        <f t="shared" si="55"/>
        <v>120665.52921499971</v>
      </c>
      <c r="D548" s="67">
        <f t="array" ref="D548">SUM($B$7:$B543*$F$1009*EXP(-$F$1009*($A548-$A$7:$A543)))*$F$1010</f>
        <v>6274278.0115734823</v>
      </c>
      <c r="E548" s="67">
        <f t="shared" si="53"/>
        <v>11.961357135419986</v>
      </c>
      <c r="F548" s="70">
        <f t="shared" si="57"/>
        <v>0.72629360526270159</v>
      </c>
      <c r="G548" s="67">
        <f>E548/'Lookup Tables'!$C$48</f>
        <v>23.922714270839972</v>
      </c>
      <c r="H548" s="70">
        <f t="shared" si="54"/>
        <v>5.2101783759427082E-2</v>
      </c>
      <c r="I548" s="71">
        <f t="shared" si="58"/>
        <v>3.444870855000956E-2</v>
      </c>
      <c r="L548" s="74"/>
      <c r="M548" s="74"/>
      <c r="N548" s="74"/>
      <c r="O548" s="74"/>
      <c r="P548" s="74"/>
      <c r="Q548" s="74"/>
      <c r="R548" s="74"/>
      <c r="S548" s="74"/>
      <c r="T548" s="74"/>
      <c r="U548" s="74"/>
      <c r="V548" s="74"/>
      <c r="W548" s="74"/>
      <c r="X548" s="74"/>
      <c r="Y548" s="74"/>
      <c r="Z548" s="74"/>
    </row>
    <row r="549" spans="1:26" x14ac:dyDescent="0.3">
      <c r="A549" s="66">
        <f t="shared" si="56"/>
        <v>2044.1999999999507</v>
      </c>
      <c r="B549" s="67">
        <f>LOOKUP(A549+0.01,Amounts!$A$4:$A$103,Amounts!$B$4:$B$103)*0.1*$A$2</f>
        <v>0</v>
      </c>
      <c r="C549" s="68">
        <f t="shared" si="55"/>
        <v>120665.52921499971</v>
      </c>
      <c r="D549" s="67">
        <f t="array" ref="D549">SUM($B$7:$B544*$F$1009*EXP(-$F$1009*($A549-$A$7:$A544)))*$F$1010</f>
        <v>6265500.1682813065</v>
      </c>
      <c r="E549" s="67">
        <f t="shared" si="53"/>
        <v>11.944622952091995</v>
      </c>
      <c r="F549" s="70">
        <f t="shared" si="57"/>
        <v>0.72527750565102589</v>
      </c>
      <c r="G549" s="67">
        <f>E549/'Lookup Tables'!$C$48</f>
        <v>23.889245904183991</v>
      </c>
      <c r="H549" s="70">
        <f t="shared" si="54"/>
        <v>5.2028892298092488E-2</v>
      </c>
      <c r="I549" s="71">
        <f t="shared" si="58"/>
        <v>3.4400514102024944E-2</v>
      </c>
      <c r="L549" s="74"/>
      <c r="M549" s="74"/>
      <c r="N549" s="74"/>
      <c r="O549" s="74"/>
      <c r="P549" s="74"/>
      <c r="Q549" s="74"/>
      <c r="R549" s="74"/>
      <c r="S549" s="74"/>
      <c r="T549" s="74"/>
      <c r="U549" s="74"/>
      <c r="V549" s="74"/>
      <c r="W549" s="74"/>
      <c r="X549" s="74"/>
      <c r="Y549" s="74"/>
      <c r="Z549" s="74"/>
    </row>
    <row r="550" spans="1:26" x14ac:dyDescent="0.3">
      <c r="A550" s="66">
        <f t="shared" si="56"/>
        <v>2044.2999999999506</v>
      </c>
      <c r="B550" s="67">
        <f>LOOKUP(A550+0.01,Amounts!$A$4:$A$103,Amounts!$B$4:$B$103)*0.1*$A$2</f>
        <v>0</v>
      </c>
      <c r="C550" s="68">
        <f t="shared" si="55"/>
        <v>120665.52921499971</v>
      </c>
      <c r="D550" s="67">
        <f t="array" ref="D550">SUM($B$7:$B545*$F$1009*EXP(-$F$1009*($A550-$A$7:$A545)))*$F$1010</f>
        <v>6256734.605371465</v>
      </c>
      <c r="E550" s="67">
        <f t="shared" si="53"/>
        <v>11.927912180228809</v>
      </c>
      <c r="F550" s="70">
        <f t="shared" si="57"/>
        <v>0.72426282758349325</v>
      </c>
      <c r="G550" s="67">
        <f>E550/'Lookup Tables'!$C$48</f>
        <v>23.855824360457618</v>
      </c>
      <c r="H550" s="70">
        <f t="shared" si="54"/>
        <v>5.1956102813403446E-2</v>
      </c>
      <c r="I550" s="71">
        <f t="shared" si="58"/>
        <v>3.4352387079058973E-2</v>
      </c>
      <c r="L550" s="74"/>
      <c r="M550" s="74"/>
      <c r="N550" s="74"/>
      <c r="O550" s="74"/>
      <c r="P550" s="74"/>
      <c r="Q550" s="74"/>
      <c r="R550" s="74"/>
      <c r="S550" s="74"/>
      <c r="T550" s="74"/>
      <c r="U550" s="74"/>
      <c r="V550" s="74"/>
      <c r="W550" s="74"/>
      <c r="X550" s="74"/>
      <c r="Y550" s="74"/>
      <c r="Z550" s="74"/>
    </row>
    <row r="551" spans="1:26" x14ac:dyDescent="0.3">
      <c r="A551" s="66">
        <f t="shared" si="56"/>
        <v>2044.3999999999505</v>
      </c>
      <c r="B551" s="67">
        <f>LOOKUP(A551+0.01,Amounts!$A$4:$A$103,Amounts!$B$4:$B$103)*0.1*$A$2</f>
        <v>0</v>
      </c>
      <c r="C551" s="68">
        <f t="shared" si="55"/>
        <v>120665.52921499971</v>
      </c>
      <c r="D551" s="67">
        <f t="array" ref="D551">SUM($B$7:$B546*$F$1009*EXP(-$F$1009*($A551-$A$7:$A546)))*$F$1010</f>
        <v>6247981.3056634543</v>
      </c>
      <c r="E551" s="67">
        <f t="shared" si="53"/>
        <v>11.911224787077318</v>
      </c>
      <c r="F551" s="70">
        <f t="shared" si="57"/>
        <v>0.72324956907133475</v>
      </c>
      <c r="G551" s="67">
        <f>E551/'Lookup Tables'!$C$48</f>
        <v>23.822449574154636</v>
      </c>
      <c r="H551" s="70">
        <f t="shared" si="54"/>
        <v>5.188341516269257E-2</v>
      </c>
      <c r="I551" s="71">
        <f t="shared" si="58"/>
        <v>3.4304327386782678E-2</v>
      </c>
      <c r="L551" s="74"/>
      <c r="M551" s="74"/>
      <c r="N551" s="74"/>
      <c r="O551" s="74"/>
      <c r="P551" s="74"/>
      <c r="Q551" s="74"/>
      <c r="R551" s="74"/>
      <c r="S551" s="74"/>
      <c r="T551" s="74"/>
      <c r="U551" s="74"/>
      <c r="V551" s="74"/>
      <c r="W551" s="74"/>
      <c r="X551" s="74"/>
      <c r="Y551" s="74"/>
      <c r="Z551" s="74"/>
    </row>
    <row r="552" spans="1:26" x14ac:dyDescent="0.3">
      <c r="A552" s="66">
        <f t="shared" si="56"/>
        <v>2044.4999999999504</v>
      </c>
      <c r="B552" s="67">
        <f>LOOKUP(A552+0.01,Amounts!$A$4:$A$103,Amounts!$B$4:$B$103)*0.1*$A$2</f>
        <v>0</v>
      </c>
      <c r="C552" s="68">
        <f t="shared" si="55"/>
        <v>120665.52921499971</v>
      </c>
      <c r="D552" s="67">
        <f t="array" ref="D552">SUM($B$7:$B547*$F$1009*EXP(-$F$1009*($A552-$A$7:$A547)))*$F$1010</f>
        <v>6239240.2520008031</v>
      </c>
      <c r="E552" s="67">
        <f t="shared" si="53"/>
        <v>11.894560739930222</v>
      </c>
      <c r="F552" s="70">
        <f t="shared" si="57"/>
        <v>0.72223772812856302</v>
      </c>
      <c r="G552" s="67">
        <f>E552/'Lookup Tables'!$C$48</f>
        <v>23.789121479860444</v>
      </c>
      <c r="H552" s="70">
        <f t="shared" si="54"/>
        <v>5.1810829203492004E-2</v>
      </c>
      <c r="I552" s="71">
        <f t="shared" si="58"/>
        <v>3.4256334930999034E-2</v>
      </c>
      <c r="L552" s="74"/>
      <c r="M552" s="74"/>
      <c r="N552" s="74"/>
      <c r="O552" s="74"/>
      <c r="P552" s="74"/>
      <c r="Q552" s="74"/>
      <c r="R552" s="74"/>
      <c r="S552" s="74"/>
      <c r="T552" s="74"/>
      <c r="U552" s="74"/>
      <c r="V552" s="74"/>
      <c r="W552" s="74"/>
      <c r="X552" s="74"/>
      <c r="Y552" s="74"/>
      <c r="Z552" s="74"/>
    </row>
    <row r="553" spans="1:26" x14ac:dyDescent="0.3">
      <c r="A553" s="66">
        <f t="shared" si="56"/>
        <v>2044.5999999999503</v>
      </c>
      <c r="B553" s="67">
        <f>LOOKUP(A553+0.01,Amounts!$A$4:$A$103,Amounts!$B$4:$B$103)*0.1*$A$2</f>
        <v>0</v>
      </c>
      <c r="C553" s="68">
        <f t="shared" si="55"/>
        <v>120665.52921499971</v>
      </c>
      <c r="D553" s="67">
        <f t="array" ref="D553">SUM($B$7:$B548*$F$1009*EXP(-$F$1009*($A553-$A$7:$A548)))*$F$1010</f>
        <v>6230511.4272510419</v>
      </c>
      <c r="E553" s="67">
        <f t="shared" si="53"/>
        <v>11.877920006125983</v>
      </c>
      <c r="F553" s="70">
        <f t="shared" si="57"/>
        <v>0.72122730277196967</v>
      </c>
      <c r="G553" s="67">
        <f>E553/'Lookup Tables'!$C$48</f>
        <v>23.755840012251966</v>
      </c>
      <c r="H553" s="70">
        <f t="shared" si="54"/>
        <v>5.1738344793533265E-2</v>
      </c>
      <c r="I553" s="71">
        <f t="shared" si="58"/>
        <v>3.4208409617642828E-2</v>
      </c>
      <c r="L553" s="74"/>
      <c r="M553" s="74"/>
      <c r="N553" s="74"/>
      <c r="O553" s="74"/>
      <c r="P553" s="74"/>
      <c r="Q553" s="74"/>
      <c r="R553" s="74"/>
      <c r="S553" s="74"/>
      <c r="T553" s="74"/>
      <c r="U553" s="74"/>
      <c r="V553" s="74"/>
      <c r="W553" s="74"/>
      <c r="X553" s="74"/>
      <c r="Y553" s="74"/>
      <c r="Z553" s="74"/>
    </row>
    <row r="554" spans="1:26" x14ac:dyDescent="0.3">
      <c r="A554" s="66">
        <f t="shared" si="56"/>
        <v>2044.6999999999503</v>
      </c>
      <c r="B554" s="67">
        <f>LOOKUP(A554+0.01,Amounts!$A$4:$A$103,Amounts!$B$4:$B$103)*0.1*$A$2</f>
        <v>0</v>
      </c>
      <c r="C554" s="68">
        <f t="shared" si="55"/>
        <v>120665.52921499971</v>
      </c>
      <c r="D554" s="67">
        <f t="array" ref="D554">SUM($B$7:$B549*$F$1009*EXP(-$F$1009*($A554-$A$7:$A549)))*$F$1010</f>
        <v>6221794.8143056743</v>
      </c>
      <c r="E554" s="67">
        <f t="shared" si="53"/>
        <v>11.861302553048763</v>
      </c>
      <c r="F554" s="70">
        <f t="shared" si="57"/>
        <v>0.72021829102112089</v>
      </c>
      <c r="G554" s="67">
        <f>E554/'Lookup Tables'!$C$48</f>
        <v>23.722605106097525</v>
      </c>
      <c r="H554" s="70">
        <f t="shared" si="54"/>
        <v>5.1665961790746909E-2</v>
      </c>
      <c r="I554" s="71">
        <f t="shared" si="58"/>
        <v>3.4160551352780434E-2</v>
      </c>
      <c r="L554" s="74"/>
      <c r="M554" s="74"/>
      <c r="N554" s="74"/>
      <c r="O554" s="74"/>
      <c r="P554" s="74"/>
      <c r="Q554" s="74"/>
      <c r="R554" s="74"/>
      <c r="S554" s="74"/>
      <c r="T554" s="74"/>
      <c r="U554" s="74"/>
      <c r="V554" s="74"/>
      <c r="W554" s="74"/>
      <c r="X554" s="74"/>
      <c r="Y554" s="74"/>
      <c r="Z554" s="74"/>
    </row>
    <row r="555" spans="1:26" x14ac:dyDescent="0.3">
      <c r="A555" s="66">
        <f t="shared" si="56"/>
        <v>2044.7999999999502</v>
      </c>
      <c r="B555" s="67">
        <f>LOOKUP(A555+0.01,Amounts!$A$4:$A$103,Amounts!$B$4:$B$103)*0.1*$A$2</f>
        <v>0</v>
      </c>
      <c r="C555" s="68">
        <f t="shared" si="55"/>
        <v>120665.52921499971</v>
      </c>
      <c r="D555" s="67">
        <f t="array" ref="D555">SUM($B$7:$B550*$F$1009*EXP(-$F$1009*($A555-$A$7:$A550)))*$F$1010</f>
        <v>6213090.3960801354</v>
      </c>
      <c r="E555" s="67">
        <f t="shared" si="53"/>
        <v>11.844708348128343</v>
      </c>
      <c r="F555" s="70">
        <f t="shared" si="57"/>
        <v>0.71921069089835299</v>
      </c>
      <c r="G555" s="67">
        <f>E555/'Lookup Tables'!$C$48</f>
        <v>23.689416696256686</v>
      </c>
      <c r="H555" s="70">
        <f t="shared" si="54"/>
        <v>5.1593680053262203E-2</v>
      </c>
      <c r="I555" s="71">
        <f t="shared" si="58"/>
        <v>3.411276004260963E-2</v>
      </c>
      <c r="L555" s="74"/>
      <c r="M555" s="74"/>
      <c r="N555" s="74"/>
      <c r="O555" s="74"/>
      <c r="P555" s="74"/>
      <c r="Q555" s="74"/>
      <c r="R555" s="74"/>
      <c r="S555" s="74"/>
      <c r="T555" s="74"/>
      <c r="U555" s="74"/>
      <c r="V555" s="74"/>
      <c r="W555" s="74"/>
      <c r="X555" s="74"/>
      <c r="Y555" s="74"/>
      <c r="Z555" s="74"/>
    </row>
    <row r="556" spans="1:26" x14ac:dyDescent="0.3">
      <c r="A556" s="66">
        <f t="shared" si="56"/>
        <v>2044.8999999999501</v>
      </c>
      <c r="B556" s="67">
        <f>LOOKUP(A556+0.01,Amounts!$A$4:$A$103,Amounts!$B$4:$B$103)*0.1*$A$2</f>
        <v>0</v>
      </c>
      <c r="C556" s="68">
        <f t="shared" si="55"/>
        <v>120665.52921499971</v>
      </c>
      <c r="D556" s="67">
        <f t="array" ref="D556">SUM($B$7:$B551*$F$1009*EXP(-$F$1009*($A556-$A$7:$A551)))*$F$1010</f>
        <v>6204398.1555137606</v>
      </c>
      <c r="E556" s="67">
        <f t="shared" si="53"/>
        <v>11.828137358840076</v>
      </c>
      <c r="F556" s="70">
        <f t="shared" si="57"/>
        <v>0.71820450042876938</v>
      </c>
      <c r="G556" s="67">
        <f>E556/'Lookup Tables'!$C$48</f>
        <v>23.656274717680152</v>
      </c>
      <c r="H556" s="70">
        <f t="shared" si="54"/>
        <v>5.1521499439406898E-2</v>
      </c>
      <c r="I556" s="71">
        <f t="shared" si="58"/>
        <v>3.4065035593459421E-2</v>
      </c>
      <c r="L556" s="74"/>
      <c r="M556" s="74"/>
      <c r="N556" s="74"/>
      <c r="O556" s="74"/>
      <c r="P556" s="74"/>
      <c r="Q556" s="74"/>
      <c r="R556" s="74"/>
      <c r="S556" s="74"/>
      <c r="T556" s="74"/>
      <c r="U556" s="74"/>
      <c r="V556" s="74"/>
      <c r="W556" s="74"/>
      <c r="X556" s="74"/>
      <c r="Y556" s="74"/>
      <c r="Z556" s="74"/>
    </row>
    <row r="557" spans="1:26" x14ac:dyDescent="0.3">
      <c r="A557" s="66">
        <f t="shared" si="56"/>
        <v>2044.99999999995</v>
      </c>
      <c r="B557" s="67">
        <f>LOOKUP(A557+0.01,Amounts!$A$4:$A$103,Amounts!$B$4:$B$103)*0.1*$A$2</f>
        <v>0</v>
      </c>
      <c r="C557" s="68">
        <f t="shared" si="55"/>
        <v>120665.52921499971</v>
      </c>
      <c r="D557" s="67">
        <f t="array" ref="D557">SUM($B$7:$B552*$F$1009*EXP(-$F$1009*($A557-$A$7:$A552)))*$F$1010</f>
        <v>6195718.0755697563</v>
      </c>
      <c r="E557" s="67">
        <f t="shared" si="53"/>
        <v>11.811589552704818</v>
      </c>
      <c r="F557" s="70">
        <f t="shared" si="57"/>
        <v>0.7171997176402366</v>
      </c>
      <c r="G557" s="67">
        <f>E557/'Lookup Tables'!$C$48</f>
        <v>23.623179105409637</v>
      </c>
      <c r="H557" s="70">
        <f t="shared" si="54"/>
        <v>5.1449419807707002E-2</v>
      </c>
      <c r="I557" s="71">
        <f t="shared" si="58"/>
        <v>3.4017377911789881E-2</v>
      </c>
      <c r="L557" s="74"/>
      <c r="M557" s="74"/>
      <c r="N557" s="74"/>
      <c r="O557" s="74"/>
      <c r="P557" s="74"/>
      <c r="Q557" s="74"/>
      <c r="R557" s="74"/>
      <c r="S557" s="74"/>
      <c r="T557" s="74"/>
      <c r="U557" s="74"/>
      <c r="V557" s="74"/>
      <c r="W557" s="74"/>
      <c r="X557" s="74"/>
      <c r="Y557" s="74"/>
      <c r="Z557" s="74"/>
    </row>
    <row r="558" spans="1:26" x14ac:dyDescent="0.3">
      <c r="A558" s="66">
        <f t="shared" si="56"/>
        <v>2045.0999999999499</v>
      </c>
      <c r="B558" s="67">
        <f>LOOKUP(A558+0.01,Amounts!$A$4:$A$103,Amounts!$B$4:$B$103)*0.1*$A$2</f>
        <v>0</v>
      </c>
      <c r="C558" s="68">
        <f t="shared" si="55"/>
        <v>120665.52921499971</v>
      </c>
      <c r="D558" s="67">
        <f t="array" ref="D558">SUM($B$7:$B553*$F$1009*EXP(-$F$1009*($A558-$A$7:$A553)))*$F$1010</f>
        <v>6187050.1392351631</v>
      </c>
      <c r="E558" s="67">
        <f t="shared" si="53"/>
        <v>11.795064897288864</v>
      </c>
      <c r="F558" s="70">
        <f t="shared" si="57"/>
        <v>0.71619634056337977</v>
      </c>
      <c r="G558" s="67">
        <f>E558/'Lookup Tables'!$C$48</f>
        <v>23.590129794577727</v>
      </c>
      <c r="H558" s="70">
        <f t="shared" si="54"/>
        <v>5.1377441016886384E-2</v>
      </c>
      <c r="I558" s="71">
        <f t="shared" si="58"/>
        <v>3.3969786904191931E-2</v>
      </c>
      <c r="L558" s="74"/>
      <c r="M558" s="74"/>
      <c r="N558" s="74"/>
      <c r="O558" s="74"/>
      <c r="P558" s="74"/>
      <c r="Q558" s="74"/>
      <c r="R558" s="74"/>
      <c r="S558" s="74"/>
      <c r="T558" s="74"/>
      <c r="U558" s="74"/>
      <c r="V558" s="74"/>
      <c r="W558" s="74"/>
      <c r="X558" s="74"/>
      <c r="Y558" s="74"/>
      <c r="Z558" s="74"/>
    </row>
    <row r="559" spans="1:26" x14ac:dyDescent="0.3">
      <c r="A559" s="66">
        <f t="shared" si="56"/>
        <v>2045.1999999999498</v>
      </c>
      <c r="B559" s="67">
        <f>LOOKUP(A559+0.01,Amounts!$A$4:$A$103,Amounts!$B$4:$B$103)*0.1*$A$2</f>
        <v>0</v>
      </c>
      <c r="C559" s="68">
        <f t="shared" si="55"/>
        <v>120665.52921499971</v>
      </c>
      <c r="D559" s="67">
        <f t="array" ref="D559">SUM($B$7:$B554*$F$1009*EXP(-$F$1009*($A559-$A$7:$A554)))*$F$1010</f>
        <v>6178394.3295208234</v>
      </c>
      <c r="E559" s="67">
        <f t="shared" si="53"/>
        <v>11.778563360203883</v>
      </c>
      <c r="F559" s="70">
        <f t="shared" si="57"/>
        <v>0.7151943672315797</v>
      </c>
      <c r="G559" s="67">
        <f>E559/'Lookup Tables'!$C$48</f>
        <v>23.557126720407766</v>
      </c>
      <c r="H559" s="70">
        <f t="shared" si="54"/>
        <v>5.1305562925866591E-2</v>
      </c>
      <c r="I559" s="71">
        <f t="shared" si="58"/>
        <v>3.392226247738718E-2</v>
      </c>
      <c r="L559" s="74"/>
      <c r="M559" s="74"/>
      <c r="N559" s="74"/>
      <c r="O559" s="74"/>
      <c r="P559" s="74"/>
      <c r="Q559" s="74"/>
      <c r="R559" s="74"/>
      <c r="S559" s="74"/>
      <c r="T559" s="74"/>
      <c r="U559" s="74"/>
      <c r="V559" s="74"/>
      <c r="W559" s="74"/>
      <c r="X559" s="74"/>
      <c r="Y559" s="74"/>
      <c r="Z559" s="74"/>
    </row>
    <row r="560" spans="1:26" x14ac:dyDescent="0.3">
      <c r="A560" s="66">
        <f t="shared" si="56"/>
        <v>2045.2999999999497</v>
      </c>
      <c r="B560" s="67">
        <f>LOOKUP(A560+0.01,Amounts!$A$4:$A$103,Amounts!$B$4:$B$103)*0.1*$A$2</f>
        <v>0</v>
      </c>
      <c r="C560" s="68">
        <f t="shared" si="55"/>
        <v>120665.52921499971</v>
      </c>
      <c r="D560" s="67">
        <f t="array" ref="D560">SUM($B$7:$B555*$F$1009*EXP(-$F$1009*($A560-$A$7:$A555)))*$F$1010</f>
        <v>6169750.629461349</v>
      </c>
      <c r="E560" s="67">
        <f t="shared" si="53"/>
        <v>11.762084909106862</v>
      </c>
      <c r="F560" s="70">
        <f t="shared" si="57"/>
        <v>0.71419379568096863</v>
      </c>
      <c r="G560" s="67">
        <f>E560/'Lookup Tables'!$C$48</f>
        <v>23.524169818213725</v>
      </c>
      <c r="H560" s="70">
        <f t="shared" si="54"/>
        <v>5.1233785393766586E-2</v>
      </c>
      <c r="I560" s="71">
        <f t="shared" si="58"/>
        <v>3.3874804538227762E-2</v>
      </c>
      <c r="L560" s="74"/>
      <c r="M560" s="74"/>
      <c r="N560" s="74"/>
      <c r="O560" s="74"/>
      <c r="P560" s="74"/>
      <c r="Q560" s="74"/>
      <c r="R560" s="74"/>
      <c r="S560" s="74"/>
      <c r="T560" s="74"/>
      <c r="U560" s="74"/>
      <c r="V560" s="74"/>
      <c r="W560" s="74"/>
      <c r="X560" s="74"/>
      <c r="Y560" s="74"/>
      <c r="Z560" s="74"/>
    </row>
    <row r="561" spans="1:26" x14ac:dyDescent="0.3">
      <c r="A561" s="66">
        <f t="shared" si="56"/>
        <v>2045.3999999999496</v>
      </c>
      <c r="B561" s="67">
        <f>LOOKUP(A561+0.01,Amounts!$A$4:$A$103,Amounts!$B$4:$B$103)*0.1*$A$2</f>
        <v>0</v>
      </c>
      <c r="C561" s="68">
        <f t="shared" si="55"/>
        <v>120665.52921499971</v>
      </c>
      <c r="D561" s="67">
        <f t="array" ref="D561">SUM($B$7:$B556*$F$1009*EXP(-$F$1009*($A561-$A$7:$A556)))*$F$1010</f>
        <v>6161119.0221150825</v>
      </c>
      <c r="E561" s="67">
        <f t="shared" si="53"/>
        <v>11.745629511700027</v>
      </c>
      <c r="F561" s="70">
        <f t="shared" si="57"/>
        <v>0.71319462395042565</v>
      </c>
      <c r="G561" s="67">
        <f>E561/'Lookup Tables'!$C$48</f>
        <v>23.491259023400055</v>
      </c>
      <c r="H561" s="70">
        <f t="shared" si="54"/>
        <v>5.1162108279902349E-2</v>
      </c>
      <c r="I561" s="71">
        <f t="shared" si="58"/>
        <v>3.3827412993696085E-2</v>
      </c>
      <c r="L561" s="74"/>
      <c r="M561" s="74"/>
      <c r="N561" s="74"/>
      <c r="O561" s="74"/>
      <c r="P561" s="74"/>
      <c r="Q561" s="74"/>
      <c r="R561" s="74"/>
      <c r="S561" s="74"/>
      <c r="T561" s="74"/>
      <c r="U561" s="74"/>
      <c r="V561" s="74"/>
      <c r="W561" s="74"/>
      <c r="X561" s="74"/>
      <c r="Y561" s="74"/>
      <c r="Z561" s="74"/>
    </row>
    <row r="562" spans="1:26" x14ac:dyDescent="0.3">
      <c r="A562" s="66">
        <f t="shared" si="56"/>
        <v>2045.4999999999495</v>
      </c>
      <c r="B562" s="67">
        <f>LOOKUP(A562+0.01,Amounts!$A$4:$A$103,Amounts!$B$4:$B$103)*0.1*$A$2</f>
        <v>0</v>
      </c>
      <c r="C562" s="68">
        <f t="shared" si="55"/>
        <v>120665.52921499971</v>
      </c>
      <c r="D562" s="67">
        <f t="array" ref="D562">SUM($B$7:$B557*$F$1009*EXP(-$F$1009*($A562-$A$7:$A557)))*$F$1010</f>
        <v>6152499.4905640706</v>
      </c>
      <c r="E562" s="67">
        <f t="shared" si="53"/>
        <v>11.729197135730793</v>
      </c>
      <c r="F562" s="70">
        <f t="shared" si="57"/>
        <v>0.71219685008157374</v>
      </c>
      <c r="G562" s="67">
        <f>E562/'Lookup Tables'!$C$48</f>
        <v>23.458394271461586</v>
      </c>
      <c r="H562" s="70">
        <f t="shared" si="54"/>
        <v>5.1090531443786703E-2</v>
      </c>
      <c r="I562" s="71">
        <f t="shared" si="58"/>
        <v>3.3780087750904686E-2</v>
      </c>
      <c r="L562" s="74"/>
      <c r="M562" s="74"/>
      <c r="N562" s="74"/>
      <c r="O562" s="74"/>
      <c r="P562" s="74"/>
      <c r="Q562" s="74"/>
      <c r="R562" s="74"/>
      <c r="S562" s="74"/>
      <c r="T562" s="74"/>
      <c r="U562" s="74"/>
      <c r="V562" s="74"/>
      <c r="W562" s="74"/>
      <c r="X562" s="74"/>
      <c r="Y562" s="74"/>
      <c r="Z562" s="74"/>
    </row>
    <row r="563" spans="1:26" x14ac:dyDescent="0.3">
      <c r="A563" s="66">
        <f t="shared" si="56"/>
        <v>2045.5999999999494</v>
      </c>
      <c r="B563" s="67">
        <f>LOOKUP(A563+0.01,Amounts!$A$4:$A$103,Amounts!$B$4:$B$103)*0.1*$A$2</f>
        <v>0</v>
      </c>
      <c r="C563" s="68">
        <f t="shared" si="55"/>
        <v>120665.52921499971</v>
      </c>
      <c r="D563" s="67">
        <f t="array" ref="D563">SUM($B$7:$B558*$F$1009*EXP(-$F$1009*($A563-$A$7:$A558)))*$F$1010</f>
        <v>6143892.0179140335</v>
      </c>
      <c r="E563" s="67">
        <f t="shared" si="53"/>
        <v>11.712787748991708</v>
      </c>
      <c r="F563" s="70">
        <f t="shared" si="57"/>
        <v>0.71120047211877657</v>
      </c>
      <c r="G563" s="67">
        <f>E563/'Lookup Tables'!$C$48</f>
        <v>23.425575497983417</v>
      </c>
      <c r="H563" s="70">
        <f t="shared" si="54"/>
        <v>5.1019054745129078E-2</v>
      </c>
      <c r="I563" s="71">
        <f t="shared" si="58"/>
        <v>3.3732828717096118E-2</v>
      </c>
      <c r="L563" s="74"/>
      <c r="M563" s="74"/>
      <c r="N563" s="74"/>
      <c r="O563" s="74"/>
      <c r="P563" s="74"/>
      <c r="Q563" s="74"/>
      <c r="R563" s="74"/>
      <c r="S563" s="74"/>
      <c r="T563" s="74"/>
      <c r="U563" s="74"/>
      <c r="V563" s="74"/>
      <c r="W563" s="74"/>
      <c r="X563" s="74"/>
      <c r="Y563" s="74"/>
      <c r="Z563" s="74"/>
    </row>
    <row r="564" spans="1:26" x14ac:dyDescent="0.3">
      <c r="A564" s="66">
        <f t="shared" si="56"/>
        <v>2045.6999999999493</v>
      </c>
      <c r="B564" s="67">
        <f>LOOKUP(A564+0.01,Amounts!$A$4:$A$103,Amounts!$B$4:$B$103)*0.1*$A$2</f>
        <v>0</v>
      </c>
      <c r="C564" s="68">
        <f t="shared" si="55"/>
        <v>120665.52921499971</v>
      </c>
      <c r="D564" s="67">
        <f t="array" ref="D564">SUM($B$7:$B559*$F$1009*EXP(-$F$1009*($A564-$A$7:$A559)))*$F$1010</f>
        <v>6135296.587294315</v>
      </c>
      <c r="E564" s="67">
        <f t="shared" si="53"/>
        <v>11.696401319320351</v>
      </c>
      <c r="F564" s="70">
        <f t="shared" si="57"/>
        <v>0.71020548810913164</v>
      </c>
      <c r="G564" s="67">
        <f>E564/'Lookup Tables'!$C$48</f>
        <v>23.392802638640703</v>
      </c>
      <c r="H564" s="70">
        <f t="shared" si="54"/>
        <v>5.0947678043835036E-2</v>
      </c>
      <c r="I564" s="71">
        <f t="shared" si="58"/>
        <v>3.3685635799642608E-2</v>
      </c>
      <c r="L564" s="74"/>
      <c r="M564" s="74"/>
      <c r="N564" s="74"/>
      <c r="O564" s="74"/>
      <c r="P564" s="74"/>
      <c r="Q564" s="74"/>
      <c r="R564" s="74"/>
      <c r="S564" s="74"/>
      <c r="T564" s="74"/>
      <c r="U564" s="74"/>
      <c r="V564" s="74"/>
      <c r="W564" s="74"/>
      <c r="X564" s="74"/>
      <c r="Y564" s="74"/>
      <c r="Z564" s="74"/>
    </row>
    <row r="565" spans="1:26" x14ac:dyDescent="0.3">
      <c r="A565" s="66">
        <f t="shared" si="56"/>
        <v>2045.7999999999493</v>
      </c>
      <c r="B565" s="67">
        <f>LOOKUP(A565+0.01,Amounts!$A$4:$A$103,Amounts!$B$4:$B$103)*0.1*$A$2</f>
        <v>0</v>
      </c>
      <c r="C565" s="68">
        <f t="shared" si="55"/>
        <v>120665.52921499971</v>
      </c>
      <c r="D565" s="67">
        <f t="array" ref="D565">SUM($B$7:$B560*$F$1009*EXP(-$F$1009*($A565-$A$7:$A560)))*$F$1010</f>
        <v>6126713.18185787</v>
      </c>
      <c r="E565" s="67">
        <f t="shared" si="53"/>
        <v>11.680037814599325</v>
      </c>
      <c r="F565" s="70">
        <f t="shared" si="57"/>
        <v>0.70921189610247104</v>
      </c>
      <c r="G565" s="67">
        <f>E565/'Lookup Tables'!$C$48</f>
        <v>23.360075629198651</v>
      </c>
      <c r="H565" s="70">
        <f t="shared" si="54"/>
        <v>5.0876401200006298E-2</v>
      </c>
      <c r="I565" s="71">
        <f t="shared" si="58"/>
        <v>3.3638508906046062E-2</v>
      </c>
      <c r="L565" s="74"/>
      <c r="M565" s="74"/>
      <c r="N565" s="74"/>
      <c r="O565" s="74"/>
      <c r="P565" s="74"/>
      <c r="Q565" s="74"/>
      <c r="R565" s="74"/>
      <c r="S565" s="74"/>
      <c r="T565" s="74"/>
      <c r="U565" s="74"/>
      <c r="V565" s="74"/>
      <c r="W565" s="74"/>
      <c r="X565" s="74"/>
      <c r="Y565" s="74"/>
      <c r="Z565" s="74"/>
    </row>
    <row r="566" spans="1:26" x14ac:dyDescent="0.3">
      <c r="A566" s="66">
        <f t="shared" si="56"/>
        <v>2045.8999999999492</v>
      </c>
      <c r="B566" s="67">
        <f>LOOKUP(A566+0.01,Amounts!$A$4:$A$103,Amounts!$B$4:$B$103)*0.1*$A$2</f>
        <v>0</v>
      </c>
      <c r="C566" s="68">
        <f t="shared" si="55"/>
        <v>120665.52921499971</v>
      </c>
      <c r="D566" s="67">
        <f t="array" ref="D566">SUM($B$7:$B561*$F$1009*EXP(-$F$1009*($A566-$A$7:$A561)))*$F$1010</f>
        <v>6118141.784781226</v>
      </c>
      <c r="E566" s="67">
        <f t="shared" si="53"/>
        <v>11.663697202756158</v>
      </c>
      <c r="F566" s="70">
        <f t="shared" si="57"/>
        <v>0.70821969415135377</v>
      </c>
      <c r="G566" s="67">
        <f>E566/'Lookup Tables'!$C$48</f>
        <v>23.327394405512315</v>
      </c>
      <c r="H566" s="70">
        <f t="shared" si="54"/>
        <v>5.080522407394019E-2</v>
      </c>
      <c r="I566" s="71">
        <f t="shared" si="58"/>
        <v>3.359144794393773E-2</v>
      </c>
      <c r="L566" s="74"/>
      <c r="M566" s="74"/>
      <c r="N566" s="74"/>
      <c r="O566" s="74"/>
      <c r="P566" s="74"/>
      <c r="Q566" s="74"/>
      <c r="R566" s="74"/>
      <c r="S566" s="74"/>
      <c r="T566" s="74"/>
      <c r="U566" s="74"/>
      <c r="V566" s="74"/>
      <c r="W566" s="74"/>
      <c r="X566" s="74"/>
      <c r="Y566" s="74"/>
      <c r="Z566" s="74"/>
    </row>
    <row r="567" spans="1:26" x14ac:dyDescent="0.3">
      <c r="A567" s="66">
        <f t="shared" si="56"/>
        <v>2045.9999999999491</v>
      </c>
      <c r="B567" s="67">
        <f>LOOKUP(A567+0.01,Amounts!$A$4:$A$103,Amounts!$B$4:$B$103)*0.1*$A$2</f>
        <v>0</v>
      </c>
      <c r="C567" s="68">
        <f t="shared" si="55"/>
        <v>120665.52921499971</v>
      </c>
      <c r="D567" s="67">
        <f t="array" ref="D567">SUM($B$7:$B562*$F$1009*EXP(-$F$1009*($A567-$A$7:$A562)))*$F$1010</f>
        <v>6109582.3792644395</v>
      </c>
      <c r="E567" s="67">
        <f t="shared" si="53"/>
        <v>11.647379451763245</v>
      </c>
      <c r="F567" s="70">
        <f t="shared" si="57"/>
        <v>0.70722888031106423</v>
      </c>
      <c r="G567" s="67">
        <f>E567/'Lookup Tables'!$C$48</f>
        <v>23.294758903526489</v>
      </c>
      <c r="H567" s="70">
        <f t="shared" si="54"/>
        <v>5.073414652612955E-2</v>
      </c>
      <c r="I567" s="71">
        <f t="shared" si="58"/>
        <v>3.3544452821078145E-2</v>
      </c>
      <c r="L567" s="74"/>
      <c r="M567" s="74"/>
      <c r="N567" s="74"/>
      <c r="O567" s="74"/>
      <c r="P567" s="74"/>
      <c r="Q567" s="74"/>
      <c r="R567" s="74"/>
      <c r="S567" s="74"/>
      <c r="T567" s="74"/>
      <c r="U567" s="74"/>
      <c r="V567" s="74"/>
      <c r="W567" s="74"/>
      <c r="X567" s="74"/>
      <c r="Y567" s="74"/>
      <c r="Z567" s="74"/>
    </row>
    <row r="568" spans="1:26" x14ac:dyDescent="0.3">
      <c r="A568" s="66">
        <f t="shared" si="56"/>
        <v>2046.099999999949</v>
      </c>
      <c r="B568" s="67">
        <f>LOOKUP(A568+0.01,Amounts!$A$4:$A$103,Amounts!$B$4:$B$103)*0.1*$A$2</f>
        <v>0</v>
      </c>
      <c r="C568" s="68">
        <f t="shared" si="55"/>
        <v>120665.52921499971</v>
      </c>
      <c r="D568" s="67">
        <f t="array" ref="D568">SUM($B$7:$B563*$F$1009*EXP(-$F$1009*($A568-$A$7:$A563)))*$F$1010</f>
        <v>6101034.9485310717</v>
      </c>
      <c r="E568" s="67">
        <f t="shared" si="53"/>
        <v>11.631084529637784</v>
      </c>
      <c r="F568" s="70">
        <f t="shared" si="57"/>
        <v>0.7062394526396063</v>
      </c>
      <c r="G568" s="67">
        <f>E568/'Lookup Tables'!$C$48</f>
        <v>23.262169059275568</v>
      </c>
      <c r="H568" s="70">
        <f t="shared" si="54"/>
        <v>5.0663168417262344E-2</v>
      </c>
      <c r="I568" s="71">
        <f t="shared" si="58"/>
        <v>3.3497523445356822E-2</v>
      </c>
      <c r="L568" s="74"/>
      <c r="M568" s="74"/>
      <c r="N568" s="74"/>
      <c r="O568" s="74"/>
      <c r="P568" s="74"/>
      <c r="Q568" s="74"/>
      <c r="R568" s="74"/>
      <c r="S568" s="74"/>
      <c r="T568" s="74"/>
      <c r="U568" s="74"/>
      <c r="V568" s="74"/>
      <c r="W568" s="74"/>
      <c r="X568" s="74"/>
      <c r="Y568" s="74"/>
      <c r="Z568" s="74"/>
    </row>
    <row r="569" spans="1:26" x14ac:dyDescent="0.3">
      <c r="A569" s="66">
        <f t="shared" si="56"/>
        <v>2046.1999999999489</v>
      </c>
      <c r="B569" s="67">
        <f>LOOKUP(A569+0.01,Amounts!$A$4:$A$103,Amounts!$B$4:$B$103)*0.1*$A$2</f>
        <v>0</v>
      </c>
      <c r="C569" s="68">
        <f t="shared" si="55"/>
        <v>120665.52921499971</v>
      </c>
      <c r="D569" s="67">
        <f t="array" ref="D569">SUM($B$7:$B564*$F$1009*EXP(-$F$1009*($A569-$A$7:$A564)))*$F$1010</f>
        <v>6092499.4758281549</v>
      </c>
      <c r="E569" s="67">
        <f t="shared" si="53"/>
        <v>11.614812404441723</v>
      </c>
      <c r="F569" s="70">
        <f t="shared" si="57"/>
        <v>0.70525140919770146</v>
      </c>
      <c r="G569" s="67">
        <f>E569/'Lookup Tables'!$C$48</f>
        <v>23.229624808883447</v>
      </c>
      <c r="H569" s="70">
        <f t="shared" si="54"/>
        <v>5.059228960822143E-2</v>
      </c>
      <c r="I569" s="71">
        <f t="shared" si="58"/>
        <v>3.3450659724792157E-2</v>
      </c>
      <c r="L569" s="74"/>
      <c r="M569" s="74"/>
      <c r="N569" s="74"/>
      <c r="O569" s="74"/>
      <c r="P569" s="74"/>
      <c r="Q569" s="74"/>
      <c r="R569" s="74"/>
      <c r="S569" s="74"/>
      <c r="T569" s="74"/>
      <c r="U569" s="74"/>
      <c r="V569" s="74"/>
      <c r="W569" s="74"/>
      <c r="X569" s="74"/>
      <c r="Y569" s="74"/>
      <c r="Z569" s="74"/>
    </row>
    <row r="570" spans="1:26" x14ac:dyDescent="0.3">
      <c r="A570" s="66">
        <f t="shared" si="56"/>
        <v>2046.2999999999488</v>
      </c>
      <c r="B570" s="67">
        <f>LOOKUP(A570+0.01,Amounts!$A$4:$A$103,Amounts!$B$4:$B$103)*0.1*$A$2</f>
        <v>0</v>
      </c>
      <c r="C570" s="68">
        <f t="shared" si="55"/>
        <v>120665.52921499971</v>
      </c>
      <c r="D570" s="67">
        <f t="array" ref="D570">SUM($B$7:$B565*$F$1009*EXP(-$F$1009*($A570-$A$7:$A565)))*$F$1010</f>
        <v>6083975.9444261603</v>
      </c>
      <c r="E570" s="67">
        <f t="shared" si="53"/>
        <v>11.598563044281692</v>
      </c>
      <c r="F570" s="70">
        <f t="shared" si="57"/>
        <v>0.70426474804878436</v>
      </c>
      <c r="G570" s="67">
        <f>E570/'Lookup Tables'!$C$48</f>
        <v>23.197126088563383</v>
      </c>
      <c r="H570" s="70">
        <f t="shared" si="54"/>
        <v>5.0521509960084358E-2</v>
      </c>
      <c r="I570" s="71">
        <f t="shared" si="58"/>
        <v>3.3403861567531279E-2</v>
      </c>
      <c r="L570" s="74"/>
      <c r="M570" s="74"/>
      <c r="N570" s="74"/>
      <c r="O570" s="74"/>
      <c r="P570" s="74"/>
      <c r="Q570" s="74"/>
      <c r="R570" s="74"/>
      <c r="S570" s="74"/>
      <c r="T570" s="74"/>
      <c r="U570" s="74"/>
      <c r="V570" s="74"/>
      <c r="W570" s="74"/>
      <c r="X570" s="74"/>
      <c r="Y570" s="74"/>
      <c r="Z570" s="74"/>
    </row>
    <row r="571" spans="1:26" x14ac:dyDescent="0.3">
      <c r="A571" s="66">
        <f t="shared" si="56"/>
        <v>2046.3999999999487</v>
      </c>
      <c r="B571" s="67">
        <f>LOOKUP(A571+0.01,Amounts!$A$4:$A$103,Amounts!$B$4:$B$103)*0.1*$A$2</f>
        <v>0</v>
      </c>
      <c r="C571" s="68">
        <f t="shared" si="55"/>
        <v>120665.52921499971</v>
      </c>
      <c r="D571" s="67">
        <f t="array" ref="D571">SUM($B$7:$B566*$F$1009*EXP(-$F$1009*($A571-$A$7:$A566)))*$F$1010</f>
        <v>6075464.3376189666</v>
      </c>
      <c r="E571" s="67">
        <f t="shared" si="53"/>
        <v>11.582336417308944</v>
      </c>
      <c r="F571" s="70">
        <f t="shared" si="57"/>
        <v>0.70327946725899915</v>
      </c>
      <c r="G571" s="67">
        <f>E571/'Lookup Tables'!$C$48</f>
        <v>23.164672834617889</v>
      </c>
      <c r="H571" s="70">
        <f t="shared" si="54"/>
        <v>5.0450829334122989E-2</v>
      </c>
      <c r="I571" s="71">
        <f t="shared" si="58"/>
        <v>3.3357128881849767E-2</v>
      </c>
      <c r="L571" s="74"/>
      <c r="M571" s="74"/>
      <c r="N571" s="74"/>
      <c r="O571" s="74"/>
      <c r="P571" s="74"/>
      <c r="Q571" s="74"/>
      <c r="R571" s="74"/>
      <c r="S571" s="74"/>
      <c r="T571" s="74"/>
      <c r="U571" s="74"/>
      <c r="V571" s="74"/>
      <c r="W571" s="74"/>
      <c r="X571" s="74"/>
      <c r="Y571" s="74"/>
      <c r="Z571" s="74"/>
    </row>
    <row r="572" spans="1:26" x14ac:dyDescent="0.3">
      <c r="A572" s="66">
        <f t="shared" si="56"/>
        <v>2046.4999999999486</v>
      </c>
      <c r="B572" s="67">
        <f>LOOKUP(A572+0.01,Amounts!$A$4:$A$103,Amounts!$B$4:$B$103)*0.1*$A$2</f>
        <v>0</v>
      </c>
      <c r="C572" s="68">
        <f t="shared" si="55"/>
        <v>120665.52921499971</v>
      </c>
      <c r="D572" s="67">
        <f t="array" ref="D572">SUM($B$7:$B567*$F$1009*EXP(-$F$1009*($A572-$A$7:$A567)))*$F$1010</f>
        <v>6066964.6387238186</v>
      </c>
      <c r="E572" s="67">
        <f t="shared" si="53"/>
        <v>11.56613249171928</v>
      </c>
      <c r="F572" s="70">
        <f t="shared" si="57"/>
        <v>0.70229556489719458</v>
      </c>
      <c r="G572" s="67">
        <f>E572/'Lookup Tables'!$C$48</f>
        <v>23.13226498343856</v>
      </c>
      <c r="H572" s="70">
        <f t="shared" si="54"/>
        <v>5.0380247591803241E-2</v>
      </c>
      <c r="I572" s="71">
        <f t="shared" si="58"/>
        <v>3.3310461576151522E-2</v>
      </c>
      <c r="L572" s="74"/>
      <c r="M572" s="74"/>
      <c r="N572" s="74"/>
      <c r="O572" s="74"/>
      <c r="P572" s="74"/>
      <c r="Q572" s="74"/>
      <c r="R572" s="74"/>
      <c r="S572" s="74"/>
      <c r="T572" s="74"/>
      <c r="U572" s="74"/>
      <c r="V572" s="74"/>
      <c r="W572" s="74"/>
      <c r="X572" s="74"/>
      <c r="Y572" s="74"/>
      <c r="Z572" s="74"/>
    </row>
    <row r="573" spans="1:26" x14ac:dyDescent="0.3">
      <c r="A573" s="66">
        <f t="shared" si="56"/>
        <v>2046.5999999999485</v>
      </c>
      <c r="B573" s="67">
        <f>LOOKUP(A573+0.01,Amounts!$A$4:$A$103,Amounts!$B$4:$B$103)*0.1*$A$2</f>
        <v>0</v>
      </c>
      <c r="C573" s="68">
        <f t="shared" si="55"/>
        <v>120665.52921499971</v>
      </c>
      <c r="D573" s="67">
        <f t="array" ref="D573">SUM($B$7:$B568*$F$1009*EXP(-$F$1009*($A573-$A$7:$A568)))*$F$1010</f>
        <v>6058476.8310813038</v>
      </c>
      <c r="E573" s="67">
        <f t="shared" si="53"/>
        <v>11.549951235753001</v>
      </c>
      <c r="F573" s="70">
        <f t="shared" si="57"/>
        <v>0.70131303903492215</v>
      </c>
      <c r="G573" s="67">
        <f>E573/'Lookup Tables'!$C$48</f>
        <v>23.099902471506002</v>
      </c>
      <c r="H573" s="70">
        <f t="shared" si="54"/>
        <v>5.0309764594784923E-2</v>
      </c>
      <c r="I573" s="71">
        <f t="shared" si="58"/>
        <v>3.3263859558968642E-2</v>
      </c>
      <c r="L573" s="74"/>
      <c r="M573" s="74"/>
      <c r="N573" s="74"/>
      <c r="O573" s="74"/>
      <c r="P573" s="74"/>
      <c r="Q573" s="74"/>
      <c r="R573" s="74"/>
      <c r="S573" s="74"/>
      <c r="T573" s="74"/>
      <c r="U573" s="74"/>
      <c r="V573" s="74"/>
      <c r="W573" s="74"/>
      <c r="X573" s="74"/>
      <c r="Y573" s="74"/>
      <c r="Z573" s="74"/>
    </row>
    <row r="574" spans="1:26" x14ac:dyDescent="0.3">
      <c r="A574" s="66">
        <f t="shared" si="56"/>
        <v>2046.6999999999484</v>
      </c>
      <c r="B574" s="67">
        <f>LOOKUP(A574+0.01,Amounts!$A$4:$A$103,Amounts!$B$4:$B$103)*0.1*$A$2</f>
        <v>0</v>
      </c>
      <c r="C574" s="68">
        <f t="shared" si="55"/>
        <v>120665.52921499971</v>
      </c>
      <c r="D574" s="67">
        <f t="array" ref="D574">SUM($B$7:$B569*$F$1009*EXP(-$F$1009*($A574-$A$7:$A569)))*$F$1010</f>
        <v>6050000.8980553206</v>
      </c>
      <c r="E574" s="67">
        <f t="shared" si="53"/>
        <v>11.533792617694848</v>
      </c>
      <c r="F574" s="70">
        <f t="shared" si="57"/>
        <v>0.70033188774643118</v>
      </c>
      <c r="G574" s="67">
        <f>E574/'Lookup Tables'!$C$48</f>
        <v>23.067585235389696</v>
      </c>
      <c r="H574" s="70">
        <f t="shared" si="54"/>
        <v>5.023938020492133E-2</v>
      </c>
      <c r="I574" s="71">
        <f t="shared" si="58"/>
        <v>3.3217322738961164E-2</v>
      </c>
      <c r="L574" s="74"/>
      <c r="M574" s="74"/>
      <c r="N574" s="74"/>
      <c r="O574" s="74"/>
      <c r="P574" s="74"/>
      <c r="Q574" s="74"/>
      <c r="R574" s="74"/>
      <c r="S574" s="74"/>
      <c r="T574" s="74"/>
      <c r="U574" s="74"/>
      <c r="V574" s="74"/>
      <c r="W574" s="74"/>
      <c r="X574" s="74"/>
      <c r="Y574" s="74"/>
      <c r="Z574" s="74"/>
    </row>
    <row r="575" spans="1:26" x14ac:dyDescent="0.3">
      <c r="A575" s="66">
        <f t="shared" si="56"/>
        <v>2046.7999999999483</v>
      </c>
      <c r="B575" s="67">
        <f>LOOKUP(A575+0.01,Amounts!$A$4:$A$103,Amounts!$B$4:$B$103)*0.1*$A$2</f>
        <v>0</v>
      </c>
      <c r="C575" s="68">
        <f t="shared" si="55"/>
        <v>120665.52921499971</v>
      </c>
      <c r="D575" s="67">
        <f t="array" ref="D575">SUM($B$7:$B570*$F$1009*EXP(-$F$1009*($A575-$A$7:$A570)))*$F$1010</f>
        <v>6041536.8230330311</v>
      </c>
      <c r="E575" s="67">
        <f t="shared" si="53"/>
        <v>11.517656605873912</v>
      </c>
      <c r="F575" s="70">
        <f t="shared" si="57"/>
        <v>0.69935210910866386</v>
      </c>
      <c r="G575" s="67">
        <f>E575/'Lookup Tables'!$C$48</f>
        <v>23.035313211747823</v>
      </c>
      <c r="H575" s="70">
        <f t="shared" si="54"/>
        <v>5.0169094284258982E-2</v>
      </c>
      <c r="I575" s="71">
        <f t="shared" si="58"/>
        <v>3.3170851024916861E-2</v>
      </c>
      <c r="L575" s="74"/>
      <c r="M575" s="74"/>
      <c r="N575" s="74"/>
      <c r="O575" s="74"/>
      <c r="P575" s="74"/>
      <c r="Q575" s="74"/>
      <c r="R575" s="74"/>
      <c r="S575" s="74"/>
      <c r="T575" s="74"/>
      <c r="U575" s="74"/>
      <c r="V575" s="74"/>
      <c r="W575" s="74"/>
      <c r="X575" s="74"/>
      <c r="Y575" s="74"/>
      <c r="Z575" s="74"/>
    </row>
    <row r="576" spans="1:26" x14ac:dyDescent="0.3">
      <c r="A576" s="66">
        <f t="shared" si="56"/>
        <v>2046.8999999999482</v>
      </c>
      <c r="B576" s="67">
        <f>LOOKUP(A576+0.01,Amounts!$A$4:$A$103,Amounts!$B$4:$B$103)*0.1*$A$2</f>
        <v>0</v>
      </c>
      <c r="C576" s="68">
        <f t="shared" si="55"/>
        <v>120665.52921499971</v>
      </c>
      <c r="D576" s="67">
        <f t="array" ref="D576">SUM($B$7:$B571*$F$1009*EXP(-$F$1009*($A576-$A$7:$A571)))*$F$1010</f>
        <v>6033084.5894248495</v>
      </c>
      <c r="E576" s="67">
        <f t="shared" si="53"/>
        <v>11.501543168663611</v>
      </c>
      <c r="F576" s="70">
        <f t="shared" si="57"/>
        <v>0.69837370120125453</v>
      </c>
      <c r="G576" s="67">
        <f>E576/'Lookup Tables'!$C$48</f>
        <v>23.003086337327222</v>
      </c>
      <c r="H576" s="70">
        <f t="shared" si="54"/>
        <v>5.0098906695037526E-2</v>
      </c>
      <c r="I576" s="71">
        <f t="shared" si="58"/>
        <v>3.31244443257512E-2</v>
      </c>
      <c r="L576" s="74"/>
      <c r="M576" s="74"/>
      <c r="N576" s="74"/>
      <c r="O576" s="74"/>
      <c r="P576" s="74"/>
      <c r="Q576" s="74"/>
      <c r="R576" s="74"/>
      <c r="S576" s="74"/>
      <c r="T576" s="74"/>
      <c r="U576" s="74"/>
      <c r="V576" s="74"/>
      <c r="W576" s="74"/>
      <c r="X576" s="74"/>
      <c r="Y576" s="74"/>
      <c r="Z576" s="74"/>
    </row>
    <row r="577" spans="1:26" x14ac:dyDescent="0.3">
      <c r="A577" s="66">
        <f t="shared" si="56"/>
        <v>2046.9999999999482</v>
      </c>
      <c r="B577" s="67">
        <f>LOOKUP(A577+0.01,Amounts!$A$4:$A$103,Amounts!$B$4:$B$103)*0.1*$A$2</f>
        <v>0</v>
      </c>
      <c r="C577" s="68">
        <f t="shared" si="55"/>
        <v>120665.52921499971</v>
      </c>
      <c r="D577" s="67">
        <f t="array" ref="D577">SUM($B$7:$B572*$F$1009*EXP(-$F$1009*($A577-$A$7:$A572)))*$F$1010</f>
        <v>6024644.1806643959</v>
      </c>
      <c r="E577" s="67">
        <f t="shared" si="53"/>
        <v>11.485452274481606</v>
      </c>
      <c r="F577" s="70">
        <f t="shared" si="57"/>
        <v>0.69739666210652307</v>
      </c>
      <c r="G577" s="67">
        <f>E577/'Lookup Tables'!$C$48</f>
        <v>22.970904548963212</v>
      </c>
      <c r="H577" s="70">
        <f t="shared" si="54"/>
        <v>5.0028817299689214E-2</v>
      </c>
      <c r="I577" s="71">
        <f t="shared" si="58"/>
        <v>3.307810255050702E-2</v>
      </c>
      <c r="L577" s="74"/>
      <c r="M577" s="74"/>
      <c r="N577" s="74"/>
      <c r="O577" s="74"/>
      <c r="P577" s="74"/>
      <c r="Q577" s="74"/>
      <c r="R577" s="74"/>
      <c r="S577" s="74"/>
      <c r="T577" s="74"/>
      <c r="U577" s="74"/>
      <c r="V577" s="74"/>
      <c r="W577" s="74"/>
      <c r="X577" s="74"/>
      <c r="Y577" s="74"/>
      <c r="Z577" s="74"/>
    </row>
    <row r="578" spans="1:26" x14ac:dyDescent="0.3">
      <c r="A578" s="66">
        <f t="shared" si="56"/>
        <v>2047.0999999999481</v>
      </c>
      <c r="B578" s="67">
        <f>LOOKUP(A578+0.01,Amounts!$A$4:$A$103,Amounts!$B$4:$B$103)*0.1*$A$2</f>
        <v>0</v>
      </c>
      <c r="C578" s="68">
        <f t="shared" si="55"/>
        <v>120665.52921499971</v>
      </c>
      <c r="D578" s="67">
        <f t="array" ref="D578">SUM($B$7:$B573*$F$1009*EXP(-$F$1009*($A578-$A$7:$A573)))*$F$1010</f>
        <v>6016215.5802084617</v>
      </c>
      <c r="E578" s="67">
        <f t="shared" si="53"/>
        <v>11.469383891789729</v>
      </c>
      <c r="F578" s="70">
        <f t="shared" si="57"/>
        <v>0.69642098990947232</v>
      </c>
      <c r="G578" s="67">
        <f>E578/'Lookup Tables'!$C$48</f>
        <v>22.938767783579458</v>
      </c>
      <c r="H578" s="70">
        <f t="shared" si="54"/>
        <v>4.995882596083881E-2</v>
      </c>
      <c r="I578" s="71">
        <f t="shared" si="58"/>
        <v>3.3031825608354416E-2</v>
      </c>
      <c r="L578" s="74"/>
      <c r="M578" s="74"/>
      <c r="N578" s="74"/>
      <c r="O578" s="74"/>
      <c r="P578" s="74"/>
      <c r="Q578" s="74"/>
      <c r="R578" s="74"/>
      <c r="S578" s="74"/>
      <c r="T578" s="74"/>
      <c r="U578" s="74"/>
      <c r="V578" s="74"/>
      <c r="W578" s="74"/>
      <c r="X578" s="74"/>
      <c r="Y578" s="74"/>
      <c r="Z578" s="74"/>
    </row>
    <row r="579" spans="1:26" x14ac:dyDescent="0.3">
      <c r="A579" s="66">
        <f t="shared" si="56"/>
        <v>2047.199999999948</v>
      </c>
      <c r="B579" s="67">
        <f>LOOKUP(A579+0.01,Amounts!$A$4:$A$103,Amounts!$B$4:$B$103)*0.1*$A$2</f>
        <v>0</v>
      </c>
      <c r="C579" s="68">
        <f t="shared" si="55"/>
        <v>120665.52921499971</v>
      </c>
      <c r="D579" s="67">
        <f t="array" ref="D579">SUM($B$7:$B574*$F$1009*EXP(-$F$1009*($A579-$A$7:$A574)))*$F$1010</f>
        <v>6007798.7715369938</v>
      </c>
      <c r="E579" s="67">
        <f t="shared" si="53"/>
        <v>11.453337989093956</v>
      </c>
      <c r="F579" s="70">
        <f t="shared" si="57"/>
        <v>0.69544668269778498</v>
      </c>
      <c r="G579" s="67">
        <f>E579/'Lookup Tables'!$C$48</f>
        <v>22.906675978187913</v>
      </c>
      <c r="H579" s="70">
        <f t="shared" si="54"/>
        <v>4.9888932541303305E-2</v>
      </c>
      <c r="I579" s="71">
        <f t="shared" si="58"/>
        <v>3.2985613408590596E-2</v>
      </c>
      <c r="L579" s="74"/>
      <c r="M579" s="74"/>
      <c r="N579" s="74"/>
      <c r="O579" s="74"/>
      <c r="P579" s="74"/>
      <c r="Q579" s="74"/>
      <c r="R579" s="74"/>
      <c r="S579" s="74"/>
      <c r="T579" s="74"/>
      <c r="U579" s="74"/>
      <c r="V579" s="74"/>
      <c r="W579" s="74"/>
      <c r="X579" s="74"/>
      <c r="Y579" s="74"/>
      <c r="Z579" s="74"/>
    </row>
    <row r="580" spans="1:26" x14ac:dyDescent="0.3">
      <c r="A580" s="66">
        <f t="shared" si="56"/>
        <v>2047.2999999999479</v>
      </c>
      <c r="B580" s="67">
        <f>LOOKUP(A580+0.01,Amounts!$A$4:$A$103,Amounts!$B$4:$B$103)*0.1*$A$2</f>
        <v>0</v>
      </c>
      <c r="C580" s="68">
        <f t="shared" si="55"/>
        <v>120665.52921499971</v>
      </c>
      <c r="D580" s="67">
        <f t="array" ref="D580">SUM($B$7:$B575*$F$1009*EXP(-$F$1009*($A580-$A$7:$A575)))*$F$1010</f>
        <v>5999393.7381530404</v>
      </c>
      <c r="E580" s="67">
        <f t="shared" si="53"/>
        <v>11.437314534944308</v>
      </c>
      <c r="F580" s="70">
        <f t="shared" si="57"/>
        <v>0.69447373856181838</v>
      </c>
      <c r="G580" s="67">
        <f>E580/'Lookup Tables'!$C$48</f>
        <v>22.874629069888616</v>
      </c>
      <c r="H580" s="70">
        <f t="shared" si="54"/>
        <v>4.9819136904091552E-2</v>
      </c>
      <c r="I580" s="71">
        <f t="shared" si="58"/>
        <v>3.2939465860639609E-2</v>
      </c>
      <c r="L580" s="74"/>
      <c r="M580" s="74"/>
      <c r="N580" s="74"/>
      <c r="O580" s="74"/>
      <c r="P580" s="74"/>
      <c r="Q580" s="74"/>
      <c r="R580" s="74"/>
      <c r="S580" s="74"/>
      <c r="T580" s="74"/>
      <c r="U580" s="74"/>
      <c r="V580" s="74"/>
      <c r="W580" s="74"/>
      <c r="X580" s="74"/>
      <c r="Y580" s="74"/>
      <c r="Z580" s="74"/>
    </row>
    <row r="581" spans="1:26" x14ac:dyDescent="0.3">
      <c r="A581" s="66">
        <f t="shared" si="56"/>
        <v>2047.3999999999478</v>
      </c>
      <c r="B581" s="67">
        <f>LOOKUP(A581+0.01,Amounts!$A$4:$A$103,Amounts!$B$4:$B$103)*0.1*$A$2</f>
        <v>0</v>
      </c>
      <c r="C581" s="68">
        <f t="shared" si="55"/>
        <v>120665.52921499971</v>
      </c>
      <c r="D581" s="67">
        <f t="array" ref="D581">SUM($B$7:$B576*$F$1009*EXP(-$F$1009*($A581-$A$7:$A576)))*$F$1010</f>
        <v>5991000.4635827346</v>
      </c>
      <c r="E581" s="67">
        <f t="shared" si="53"/>
        <v>11.421313497934809</v>
      </c>
      <c r="F581" s="70">
        <f t="shared" si="57"/>
        <v>0.6935021555946016</v>
      </c>
      <c r="G581" s="67">
        <f>E581/'Lookup Tables'!$C$48</f>
        <v>22.842626995869619</v>
      </c>
      <c r="H581" s="70">
        <f t="shared" si="54"/>
        <v>4.9749438912404069E-2</v>
      </c>
      <c r="I581" s="71">
        <f t="shared" si="58"/>
        <v>3.2893382874052253E-2</v>
      </c>
      <c r="L581" s="74"/>
      <c r="M581" s="74"/>
      <c r="N581" s="74"/>
      <c r="O581" s="74"/>
      <c r="P581" s="74"/>
      <c r="Q581" s="74"/>
      <c r="R581" s="74"/>
      <c r="S581" s="74"/>
      <c r="T581" s="74"/>
      <c r="U581" s="74"/>
      <c r="V581" s="74"/>
      <c r="W581" s="74"/>
      <c r="X581" s="74"/>
      <c r="Y581" s="74"/>
      <c r="Z581" s="74"/>
    </row>
    <row r="582" spans="1:26" x14ac:dyDescent="0.3">
      <c r="A582" s="66">
        <f t="shared" si="56"/>
        <v>2047.4999999999477</v>
      </c>
      <c r="B582" s="67">
        <f>LOOKUP(A582+0.01,Amounts!$A$4:$A$103,Amounts!$B$4:$B$103)*0.1*$A$2</f>
        <v>0</v>
      </c>
      <c r="C582" s="68">
        <f t="shared" si="55"/>
        <v>120665.52921499971</v>
      </c>
      <c r="D582" s="67">
        <f t="array" ref="D582">SUM($B$7:$B577*$F$1009*EXP(-$F$1009*($A582-$A$7:$A577)))*$F$1010</f>
        <v>5982618.9313752549</v>
      </c>
      <c r="E582" s="67">
        <f t="shared" si="53"/>
        <v>11.405334846703424</v>
      </c>
      <c r="F582" s="70">
        <f t="shared" si="57"/>
        <v>0.69253193189183193</v>
      </c>
      <c r="G582" s="67">
        <f>E582/'Lookup Tables'!$C$48</f>
        <v>22.810669693406847</v>
      </c>
      <c r="H582" s="70">
        <f t="shared" si="54"/>
        <v>4.9679838429632785E-2</v>
      </c>
      <c r="I582" s="71">
        <f t="shared" si="58"/>
        <v>3.2847364358505861E-2</v>
      </c>
      <c r="L582" s="74"/>
      <c r="M582" s="74"/>
      <c r="N582" s="74"/>
      <c r="O582" s="74"/>
      <c r="P582" s="74"/>
      <c r="Q582" s="74"/>
      <c r="R582" s="74"/>
      <c r="S582" s="74"/>
      <c r="T582" s="74"/>
      <c r="U582" s="74"/>
      <c r="V582" s="74"/>
      <c r="W582" s="74"/>
      <c r="X582" s="74"/>
      <c r="Y582" s="74"/>
      <c r="Z582" s="74"/>
    </row>
    <row r="583" spans="1:26" x14ac:dyDescent="0.3">
      <c r="A583" s="66">
        <f t="shared" si="56"/>
        <v>2047.5999999999476</v>
      </c>
      <c r="B583" s="67">
        <f>LOOKUP(A583+0.01,Amounts!$A$4:$A$103,Amounts!$B$4:$B$103)*0.1*$A$2</f>
        <v>0</v>
      </c>
      <c r="C583" s="68">
        <f t="shared" si="55"/>
        <v>120665.52921499971</v>
      </c>
      <c r="D583" s="67">
        <f t="array" ref="D583">SUM($B$7:$B578*$F$1009*EXP(-$F$1009*($A583-$A$7:$A578)))*$F$1010</f>
        <v>5974249.1251027957</v>
      </c>
      <c r="E583" s="67">
        <f t="shared" ref="E583:E646" si="59">D583/(365*24*60)*1.00201</f>
        <v>11.389378549931987</v>
      </c>
      <c r="F583" s="70">
        <f t="shared" si="57"/>
        <v>0.6915630655518703</v>
      </c>
      <c r="G583" s="67">
        <f>E583/'Lookup Tables'!$C$48</f>
        <v>22.778757099863974</v>
      </c>
      <c r="H583" s="70">
        <f t="shared" ref="H583:H646" si="60">G583*60*24*365/(C583*2000)</f>
        <v>4.9610335319360717E-2</v>
      </c>
      <c r="I583" s="71">
        <f t="shared" si="58"/>
        <v>3.2801410223804124E-2</v>
      </c>
      <c r="L583" s="74"/>
      <c r="M583" s="74"/>
      <c r="N583" s="74"/>
      <c r="O583" s="74"/>
      <c r="P583" s="74"/>
      <c r="Q583" s="74"/>
      <c r="R583" s="74"/>
      <c r="S583" s="74"/>
      <c r="T583" s="74"/>
      <c r="U583" s="74"/>
      <c r="V583" s="74"/>
      <c r="W583" s="74"/>
      <c r="X583" s="74"/>
      <c r="Y583" s="74"/>
      <c r="Z583" s="74"/>
    </row>
    <row r="584" spans="1:26" x14ac:dyDescent="0.3">
      <c r="A584" s="66">
        <f t="shared" si="56"/>
        <v>2047.6999999999475</v>
      </c>
      <c r="B584" s="67">
        <f>LOOKUP(A584+0.01,Amounts!$A$4:$A$103,Amounts!$B$4:$B$103)*0.1*$A$2</f>
        <v>0</v>
      </c>
      <c r="C584" s="68">
        <f t="shared" si="55"/>
        <v>120665.52921499971</v>
      </c>
      <c r="D584" s="67">
        <f t="array" ref="D584">SUM($B$7:$B579*$F$1009*EXP(-$F$1009*($A584-$A$7:$A579)))*$F$1010</f>
        <v>5965891.0283605373</v>
      </c>
      <c r="E584" s="67">
        <f t="shared" si="59"/>
        <v>11.373444576346161</v>
      </c>
      <c r="F584" s="70">
        <f t="shared" si="57"/>
        <v>0.69059555467573885</v>
      </c>
      <c r="G584" s="67">
        <f>E584/'Lookup Tables'!$C$48</f>
        <v>22.746889152692322</v>
      </c>
      <c r="H584" s="70">
        <f t="shared" si="60"/>
        <v>4.9540929445361787E-2</v>
      </c>
      <c r="I584" s="71">
        <f t="shared" si="58"/>
        <v>3.2755520379876946E-2</v>
      </c>
      <c r="L584" s="74"/>
      <c r="M584" s="74"/>
      <c r="N584" s="74"/>
      <c r="O584" s="74"/>
      <c r="P584" s="74"/>
      <c r="Q584" s="74"/>
      <c r="R584" s="74"/>
      <c r="S584" s="74"/>
      <c r="T584" s="74"/>
      <c r="U584" s="74"/>
      <c r="V584" s="74"/>
      <c r="W584" s="74"/>
      <c r="X584" s="74"/>
      <c r="Y584" s="74"/>
      <c r="Z584" s="74"/>
    </row>
    <row r="585" spans="1:26" x14ac:dyDescent="0.3">
      <c r="A585" s="66">
        <f t="shared" si="56"/>
        <v>2047.7999999999474</v>
      </c>
      <c r="B585" s="67">
        <f>LOOKUP(A585+0.01,Amounts!$A$4:$A$103,Amounts!$B$4:$B$103)*0.1*$A$2</f>
        <v>0</v>
      </c>
      <c r="C585" s="68">
        <f t="shared" ref="C585:C648" si="61">C584+B585</f>
        <v>120665.52921499971</v>
      </c>
      <c r="D585" s="67">
        <f t="array" ref="D585">SUM($B$7:$B580*$F$1009*EXP(-$F$1009*($A585-$A$7:$A580)))*$F$1010</f>
        <v>5957544.6247666003</v>
      </c>
      <c r="E585" s="67">
        <f t="shared" si="59"/>
        <v>11.357532894715339</v>
      </c>
      <c r="F585" s="70">
        <f t="shared" si="57"/>
        <v>0.68962939736711537</v>
      </c>
      <c r="G585" s="67">
        <f>E585/'Lookup Tables'!$C$48</f>
        <v>22.715065789430678</v>
      </c>
      <c r="H585" s="70">
        <f t="shared" si="60"/>
        <v>4.9471620671600401E-2</v>
      </c>
      <c r="I585" s="71">
        <f t="shared" si="58"/>
        <v>3.2709694736780176E-2</v>
      </c>
      <c r="L585" s="74"/>
      <c r="M585" s="74"/>
      <c r="N585" s="74"/>
      <c r="O585" s="74"/>
      <c r="P585" s="74"/>
      <c r="Q585" s="74"/>
      <c r="R585" s="74"/>
      <c r="S585" s="74"/>
      <c r="T585" s="74"/>
      <c r="U585" s="74"/>
      <c r="V585" s="74"/>
      <c r="W585" s="74"/>
      <c r="X585" s="74"/>
      <c r="Y585" s="74"/>
      <c r="Z585" s="74"/>
    </row>
    <row r="586" spans="1:26" x14ac:dyDescent="0.3">
      <c r="A586" s="66">
        <f t="shared" si="56"/>
        <v>2047.8999999999473</v>
      </c>
      <c r="B586" s="67">
        <f>LOOKUP(A586+0.01,Amounts!$A$4:$A$103,Amounts!$B$4:$B$103)*0.1*$A$2</f>
        <v>0</v>
      </c>
      <c r="C586" s="68">
        <f t="shared" si="61"/>
        <v>120665.52921499971</v>
      </c>
      <c r="D586" s="67">
        <f t="array" ref="D586">SUM($B$7:$B581*$F$1009*EXP(-$F$1009*($A586-$A$7:$A581)))*$F$1010</f>
        <v>5949209.8979620375</v>
      </c>
      <c r="E586" s="67">
        <f t="shared" si="59"/>
        <v>11.341643473852629</v>
      </c>
      <c r="F586" s="70">
        <f t="shared" si="57"/>
        <v>0.68866459173233163</v>
      </c>
      <c r="G586" s="67">
        <f>E586/'Lookup Tables'!$C$48</f>
        <v>22.683286947705259</v>
      </c>
      <c r="H586" s="70">
        <f t="shared" si="60"/>
        <v>4.9402408862231399E-2</v>
      </c>
      <c r="I586" s="71">
        <f t="shared" si="58"/>
        <v>3.2663933204695572E-2</v>
      </c>
      <c r="L586" s="74"/>
      <c r="M586" s="74"/>
      <c r="N586" s="74"/>
      <c r="O586" s="74"/>
      <c r="P586" s="74"/>
      <c r="Q586" s="74"/>
      <c r="R586" s="74"/>
      <c r="S586" s="74"/>
      <c r="T586" s="74"/>
      <c r="U586" s="74"/>
      <c r="V586" s="74"/>
      <c r="W586" s="74"/>
      <c r="X586" s="74"/>
      <c r="Y586" s="74"/>
      <c r="Z586" s="74"/>
    </row>
    <row r="587" spans="1:26" x14ac:dyDescent="0.3">
      <c r="A587" s="66">
        <f t="shared" si="56"/>
        <v>2047.9999999999472</v>
      </c>
      <c r="B587" s="67">
        <f>LOOKUP(A587+0.01,Amounts!$A$4:$A$103,Amounts!$B$4:$B$103)*0.1*$A$2</f>
        <v>0</v>
      </c>
      <c r="C587" s="68">
        <f t="shared" si="61"/>
        <v>120665.52921499971</v>
      </c>
      <c r="D587" s="67">
        <f t="array" ref="D587">SUM($B$7:$B582*$F$1009*EXP(-$F$1009*($A587-$A$7:$A582)))*$F$1010</f>
        <v>5940886.8316107765</v>
      </c>
      <c r="E587" s="67">
        <f t="shared" si="59"/>
        <v>11.325776282614752</v>
      </c>
      <c r="F587" s="70">
        <f t="shared" si="57"/>
        <v>0.68770113588036774</v>
      </c>
      <c r="G587" s="67">
        <f>E587/'Lookup Tables'!$C$48</f>
        <v>22.651552565229505</v>
      </c>
      <c r="H587" s="70">
        <f t="shared" si="60"/>
        <v>4.933329388159953E-2</v>
      </c>
      <c r="I587" s="71">
        <f t="shared" si="58"/>
        <v>3.2618235693930485E-2</v>
      </c>
      <c r="L587" s="74"/>
      <c r="M587" s="74"/>
      <c r="N587" s="74"/>
      <c r="O587" s="74"/>
      <c r="P587" s="74"/>
      <c r="Q587" s="74"/>
      <c r="R587" s="74"/>
      <c r="S587" s="74"/>
      <c r="T587" s="74"/>
      <c r="U587" s="74"/>
      <c r="V587" s="74"/>
      <c r="W587" s="74"/>
      <c r="X587" s="74"/>
      <c r="Y587" s="74"/>
      <c r="Z587" s="74"/>
    </row>
    <row r="588" spans="1:26" x14ac:dyDescent="0.3">
      <c r="A588" s="66">
        <f t="shared" si="56"/>
        <v>2048.0999999999472</v>
      </c>
      <c r="B588" s="67">
        <f>LOOKUP(A588+0.01,Amounts!$A$4:$A$103,Amounts!$B$4:$B$103)*0.1*$A$2</f>
        <v>0</v>
      </c>
      <c r="C588" s="68">
        <f t="shared" si="61"/>
        <v>120665.52921499971</v>
      </c>
      <c r="D588" s="67">
        <f t="array" ref="D588">SUM($B$7:$B583*$F$1009*EXP(-$F$1009*($A588-$A$7:$A583)))*$F$1010</f>
        <v>5932575.40939961</v>
      </c>
      <c r="E588" s="67">
        <f t="shared" si="59"/>
        <v>11.309931289902023</v>
      </c>
      <c r="F588" s="70">
        <f t="shared" si="57"/>
        <v>0.68673902792285091</v>
      </c>
      <c r="G588" s="67">
        <f>E588/'Lookup Tables'!$C$48</f>
        <v>22.619862579804046</v>
      </c>
      <c r="H588" s="70">
        <f t="shared" si="60"/>
        <v>4.9264275594239501E-2</v>
      </c>
      <c r="I588" s="71">
        <f t="shared" si="58"/>
        <v>3.2572602114917824E-2</v>
      </c>
      <c r="L588" s="74"/>
      <c r="M588" s="74"/>
      <c r="N588" s="74"/>
      <c r="O588" s="74"/>
      <c r="P588" s="74"/>
      <c r="Q588" s="74"/>
      <c r="R588" s="74"/>
      <c r="S588" s="74"/>
      <c r="T588" s="74"/>
      <c r="U588" s="74"/>
      <c r="V588" s="74"/>
      <c r="W588" s="74"/>
      <c r="X588" s="74"/>
      <c r="Y588" s="74"/>
      <c r="Z588" s="74"/>
    </row>
    <row r="589" spans="1:26" x14ac:dyDescent="0.3">
      <c r="A589" s="66">
        <f t="shared" si="56"/>
        <v>2048.1999999999471</v>
      </c>
      <c r="B589" s="67">
        <f>LOOKUP(A589+0.01,Amounts!$A$4:$A$103,Amounts!$B$4:$B$103)*0.1*$A$2</f>
        <v>0</v>
      </c>
      <c r="C589" s="68">
        <f t="shared" si="61"/>
        <v>120665.52921499971</v>
      </c>
      <c r="D589" s="67">
        <f t="array" ref="D589">SUM($B$7:$B584*$F$1009*EXP(-$F$1009*($A589-$A$7:$A584)))*$F$1010</f>
        <v>5924275.6150381444</v>
      </c>
      <c r="E589" s="67">
        <f t="shared" si="59"/>
        <v>11.29410846465824</v>
      </c>
      <c r="F589" s="70">
        <f t="shared" si="57"/>
        <v>0.68577826597404834</v>
      </c>
      <c r="G589" s="67">
        <f>E589/'Lookup Tables'!$C$48</f>
        <v>22.588216929316481</v>
      </c>
      <c r="H589" s="70">
        <f t="shared" si="60"/>
        <v>4.9195353864875398E-2</v>
      </c>
      <c r="I589" s="71">
        <f t="shared" si="58"/>
        <v>3.2527032378215727E-2</v>
      </c>
      <c r="L589" s="74"/>
      <c r="M589" s="74"/>
      <c r="N589" s="74"/>
      <c r="O589" s="74"/>
      <c r="P589" s="74"/>
      <c r="Q589" s="74"/>
      <c r="R589" s="74"/>
      <c r="S589" s="74"/>
      <c r="T589" s="74"/>
      <c r="U589" s="74"/>
      <c r="V589" s="74"/>
      <c r="W589" s="74"/>
      <c r="X589" s="74"/>
      <c r="Y589" s="74"/>
      <c r="Z589" s="74"/>
    </row>
    <row r="590" spans="1:26" x14ac:dyDescent="0.3">
      <c r="A590" s="66">
        <f t="shared" si="56"/>
        <v>2048.299999999947</v>
      </c>
      <c r="B590" s="67">
        <f>LOOKUP(A590+0.01,Amounts!$A$4:$A$103,Amounts!$B$4:$B$103)*0.1*$A$2</f>
        <v>0</v>
      </c>
      <c r="C590" s="68">
        <f t="shared" si="61"/>
        <v>120665.52921499971</v>
      </c>
      <c r="D590" s="67">
        <f t="array" ref="D590">SUM($B$7:$B585*$F$1009*EXP(-$F$1009*($A590-$A$7:$A585)))*$F$1010</f>
        <v>5915987.4322587801</v>
      </c>
      <c r="E590" s="67">
        <f t="shared" si="59"/>
        <v>11.278307775870664</v>
      </c>
      <c r="F590" s="70">
        <f t="shared" si="57"/>
        <v>0.68481884815086669</v>
      </c>
      <c r="G590" s="67">
        <f>E590/'Lookup Tables'!$C$48</f>
        <v>22.556615551741327</v>
      </c>
      <c r="H590" s="70">
        <f t="shared" si="60"/>
        <v>4.9126528558420618E-2</v>
      </c>
      <c r="I590" s="71">
        <f t="shared" si="58"/>
        <v>3.2481526394507507E-2</v>
      </c>
      <c r="L590" s="74"/>
      <c r="M590" s="74"/>
      <c r="N590" s="74"/>
      <c r="O590" s="74"/>
      <c r="P590" s="74"/>
      <c r="Q590" s="74"/>
      <c r="R590" s="74"/>
      <c r="S590" s="74"/>
      <c r="T590" s="74"/>
      <c r="U590" s="74"/>
      <c r="V590" s="74"/>
      <c r="W590" s="74"/>
      <c r="X590" s="74"/>
      <c r="Y590" s="74"/>
      <c r="Z590" s="74"/>
    </row>
    <row r="591" spans="1:26" x14ac:dyDescent="0.3">
      <c r="A591" s="66">
        <f t="shared" si="56"/>
        <v>2048.3999999999469</v>
      </c>
      <c r="B591" s="67">
        <f>LOOKUP(A591+0.01,Amounts!$A$4:$A$103,Amounts!$B$4:$B$103)*0.1*$A$2</f>
        <v>0</v>
      </c>
      <c r="C591" s="68">
        <f t="shared" si="61"/>
        <v>120665.52921499971</v>
      </c>
      <c r="D591" s="67">
        <f t="array" ref="D591">SUM($B$7:$B586*$F$1009*EXP(-$F$1009*($A591-$A$7:$A586)))*$F$1010</f>
        <v>5907710.8448166763</v>
      </c>
      <c r="E591" s="67">
        <f t="shared" si="59"/>
        <v>11.262529192569936</v>
      </c>
      <c r="F591" s="70">
        <f t="shared" si="57"/>
        <v>0.6838607725728465</v>
      </c>
      <c r="G591" s="67">
        <f>E591/'Lookup Tables'!$C$48</f>
        <v>22.525058385139872</v>
      </c>
      <c r="H591" s="70">
        <f t="shared" si="60"/>
        <v>4.9057799539977534E-2</v>
      </c>
      <c r="I591" s="71">
        <f t="shared" si="58"/>
        <v>3.2436084074601412E-2</v>
      </c>
      <c r="L591" s="74"/>
      <c r="M591" s="74"/>
      <c r="N591" s="74"/>
      <c r="O591" s="74"/>
      <c r="P591" s="74"/>
      <c r="Q591" s="74"/>
      <c r="R591" s="74"/>
      <c r="S591" s="74"/>
      <c r="T591" s="74"/>
      <c r="U591" s="74"/>
      <c r="V591" s="74"/>
      <c r="W591" s="74"/>
      <c r="X591" s="74"/>
      <c r="Y591" s="74"/>
      <c r="Z591" s="74"/>
    </row>
    <row r="592" spans="1:26" x14ac:dyDescent="0.3">
      <c r="A592" s="66">
        <f t="shared" si="56"/>
        <v>2048.4999999999468</v>
      </c>
      <c r="B592" s="67">
        <f>LOOKUP(A592+0.01,Amounts!$A$4:$A$103,Amounts!$B$4:$B$103)*0.1*$A$2</f>
        <v>0</v>
      </c>
      <c r="C592" s="68">
        <f t="shared" si="61"/>
        <v>120665.52921499971</v>
      </c>
      <c r="D592" s="67">
        <f t="array" ref="D592">SUM($B$7:$B587*$F$1009*EXP(-$F$1009*($A592-$A$7:$A587)))*$F$1010</f>
        <v>5899445.8364897203</v>
      </c>
      <c r="E592" s="67">
        <f t="shared" si="59"/>
        <v>11.246772683830031</v>
      </c>
      <c r="F592" s="70">
        <f t="shared" si="57"/>
        <v>0.68290403736215943</v>
      </c>
      <c r="G592" s="67">
        <f>E592/'Lookup Tables'!$C$48</f>
        <v>22.493545367660062</v>
      </c>
      <c r="H592" s="70">
        <f t="shared" si="60"/>
        <v>4.8989166674837249E-2</v>
      </c>
      <c r="I592" s="71">
        <f t="shared" si="58"/>
        <v>3.2390705329430489E-2</v>
      </c>
      <c r="L592" s="74"/>
      <c r="M592" s="74"/>
      <c r="N592" s="74"/>
      <c r="O592" s="74"/>
      <c r="P592" s="74"/>
      <c r="Q592" s="74"/>
      <c r="R592" s="74"/>
      <c r="S592" s="74"/>
      <c r="T592" s="74"/>
      <c r="U592" s="74"/>
      <c r="V592" s="74"/>
      <c r="W592" s="74"/>
      <c r="X592" s="74"/>
      <c r="Y592" s="74"/>
      <c r="Z592" s="74"/>
    </row>
    <row r="593" spans="1:26" x14ac:dyDescent="0.3">
      <c r="A593" s="66">
        <f t="shared" si="56"/>
        <v>2048.5999999999467</v>
      </c>
      <c r="B593" s="67">
        <f>LOOKUP(A593+0.01,Amounts!$A$4:$A$103,Amounts!$B$4:$B$103)*0.1*$A$2</f>
        <v>0</v>
      </c>
      <c r="C593" s="68">
        <f t="shared" si="61"/>
        <v>120665.52921499971</v>
      </c>
      <c r="D593" s="67">
        <f t="array" ref="D593">SUM($B$7:$B588*$F$1009*EXP(-$F$1009*($A593-$A$7:$A588)))*$F$1010</f>
        <v>5891192.3910784908</v>
      </c>
      <c r="E593" s="67">
        <f t="shared" si="59"/>
        <v>11.231038218768187</v>
      </c>
      <c r="F593" s="70">
        <f t="shared" si="57"/>
        <v>0.68194864064360439</v>
      </c>
      <c r="G593" s="67">
        <f>E593/'Lookup Tables'!$C$48</f>
        <v>22.462076437536375</v>
      </c>
      <c r="H593" s="70">
        <f t="shared" si="60"/>
        <v>4.8920629828479334E-2</v>
      </c>
      <c r="I593" s="71">
        <f t="shared" si="58"/>
        <v>3.2345390070052382E-2</v>
      </c>
      <c r="L593" s="74"/>
      <c r="M593" s="74"/>
      <c r="N593" s="74"/>
      <c r="O593" s="74"/>
      <c r="P593" s="74"/>
      <c r="Q593" s="74"/>
      <c r="R593" s="74"/>
      <c r="S593" s="74"/>
      <c r="T593" s="74"/>
      <c r="U593" s="74"/>
      <c r="V593" s="74"/>
      <c r="W593" s="74"/>
      <c r="X593" s="74"/>
      <c r="Y593" s="74"/>
      <c r="Z593" s="74"/>
    </row>
    <row r="594" spans="1:26" x14ac:dyDescent="0.3">
      <c r="A594" s="66">
        <f t="shared" si="56"/>
        <v>2048.6999999999466</v>
      </c>
      <c r="B594" s="67">
        <f>LOOKUP(A594+0.01,Amounts!$A$4:$A$103,Amounts!$B$4:$B$103)*0.1*$A$2</f>
        <v>0</v>
      </c>
      <c r="C594" s="68">
        <f t="shared" si="61"/>
        <v>120665.52921499971</v>
      </c>
      <c r="D594" s="67">
        <f t="array" ref="D594">SUM($B$7:$B589*$F$1009*EXP(-$F$1009*($A594-$A$7:$A589)))*$F$1010</f>
        <v>5882950.4924062341</v>
      </c>
      <c r="E594" s="67">
        <f t="shared" si="59"/>
        <v>11.215325766544847</v>
      </c>
      <c r="F594" s="70">
        <f t="shared" si="57"/>
        <v>0.68099458054460305</v>
      </c>
      <c r="G594" s="67">
        <f>E594/'Lookup Tables'!$C$48</f>
        <v>22.430651533089694</v>
      </c>
      <c r="H594" s="70">
        <f t="shared" si="60"/>
        <v>4.8852188866571541E-2</v>
      </c>
      <c r="I594" s="71">
        <f t="shared" si="58"/>
        <v>3.2300138207649154E-2</v>
      </c>
      <c r="L594" s="74"/>
      <c r="M594" s="74"/>
      <c r="N594" s="74"/>
      <c r="O594" s="74"/>
      <c r="P594" s="74"/>
      <c r="Q594" s="74"/>
      <c r="R594" s="74"/>
      <c r="S594" s="74"/>
      <c r="T594" s="74"/>
      <c r="U594" s="74"/>
      <c r="V594" s="74"/>
      <c r="W594" s="74"/>
      <c r="X594" s="74"/>
      <c r="Y594" s="74"/>
      <c r="Z594" s="74"/>
    </row>
    <row r="595" spans="1:26" x14ac:dyDescent="0.3">
      <c r="A595" s="66">
        <f t="shared" ref="A595:A658" si="62">A594+0.1</f>
        <v>2048.7999999999465</v>
      </c>
      <c r="B595" s="67">
        <f>LOOKUP(A595+0.01,Amounts!$A$4:$A$103,Amounts!$B$4:$B$103)*0.1*$A$2</f>
        <v>0</v>
      </c>
      <c r="C595" s="68">
        <f t="shared" si="61"/>
        <v>120665.52921499971</v>
      </c>
      <c r="D595" s="67">
        <f t="array" ref="D595">SUM($B$7:$B590*$F$1009*EXP(-$F$1009*($A595-$A$7:$A590)))*$F$1010</f>
        <v>5874720.1243188279</v>
      </c>
      <c r="E595" s="67">
        <f t="shared" si="59"/>
        <v>11.199635296363601</v>
      </c>
      <c r="F595" s="70">
        <f t="shared" ref="F595:F658" si="63">E595*60*1012/1000000</f>
        <v>0.68004185519519789</v>
      </c>
      <c r="G595" s="67">
        <f>E595/'Lookup Tables'!$C$48</f>
        <v>22.399270592727202</v>
      </c>
      <c r="H595" s="70">
        <f t="shared" si="60"/>
        <v>4.8783843654969572E-2</v>
      </c>
      <c r="I595" s="71">
        <f t="shared" ref="I595:I658" si="64">G595*60*24/1000000</f>
        <v>3.2254949653527175E-2</v>
      </c>
      <c r="L595" s="74"/>
      <c r="M595" s="74"/>
      <c r="N595" s="74"/>
      <c r="O595" s="74"/>
      <c r="P595" s="74"/>
      <c r="Q595" s="74"/>
      <c r="R595" s="74"/>
      <c r="S595" s="74"/>
      <c r="T595" s="74"/>
      <c r="U595" s="74"/>
      <c r="V595" s="74"/>
      <c r="W595" s="74"/>
      <c r="X595" s="74"/>
      <c r="Y595" s="74"/>
      <c r="Z595" s="74"/>
    </row>
    <row r="596" spans="1:26" x14ac:dyDescent="0.3">
      <c r="A596" s="66">
        <f t="shared" si="62"/>
        <v>2048.8999999999464</v>
      </c>
      <c r="B596" s="67">
        <f>LOOKUP(A596+0.01,Amounts!$A$4:$A$103,Amounts!$B$4:$B$103)*0.1*$A$2</f>
        <v>0</v>
      </c>
      <c r="C596" s="68">
        <f t="shared" si="61"/>
        <v>120665.52921499971</v>
      </c>
      <c r="D596" s="67">
        <f t="array" ref="D596">SUM($B$7:$B591*$F$1009*EXP(-$F$1009*($A596-$A$7:$A591)))*$F$1010</f>
        <v>5866501.2706847452</v>
      </c>
      <c r="E596" s="67">
        <f t="shared" si="59"/>
        <v>11.183966777471124</v>
      </c>
      <c r="F596" s="70">
        <f t="shared" si="63"/>
        <v>0.67909046272804674</v>
      </c>
      <c r="G596" s="67">
        <f>E596/'Lookup Tables'!$C$48</f>
        <v>22.367933554942248</v>
      </c>
      <c r="H596" s="70">
        <f t="shared" si="60"/>
        <v>4.8715594059716795E-2</v>
      </c>
      <c r="I596" s="71">
        <f t="shared" si="64"/>
        <v>3.2209824319116835E-2</v>
      </c>
      <c r="L596" s="74"/>
      <c r="M596" s="74"/>
      <c r="N596" s="74"/>
      <c r="O596" s="74"/>
      <c r="P596" s="74"/>
      <c r="Q596" s="74"/>
      <c r="R596" s="74"/>
      <c r="S596" s="74"/>
      <c r="T596" s="74"/>
      <c r="U596" s="74"/>
      <c r="V596" s="74"/>
      <c r="W596" s="74"/>
      <c r="X596" s="74"/>
      <c r="Y596" s="74"/>
      <c r="Z596" s="74"/>
    </row>
    <row r="597" spans="1:26" x14ac:dyDescent="0.3">
      <c r="A597" s="66">
        <f t="shared" si="62"/>
        <v>2048.9999999999463</v>
      </c>
      <c r="B597" s="67">
        <f>LOOKUP(A597+0.01,Amounts!$A$4:$A$103,Amounts!$B$4:$B$103)*0.1*$A$2</f>
        <v>0</v>
      </c>
      <c r="C597" s="68">
        <f t="shared" si="61"/>
        <v>120665.52921499971</v>
      </c>
      <c r="D597" s="67">
        <f t="array" ref="D597">SUM($B$7:$B592*$F$1009*EXP(-$F$1009*($A597-$A$7:$A592)))*$F$1010</f>
        <v>5858293.9153950317</v>
      </c>
      <c r="E597" s="67">
        <f t="shared" si="59"/>
        <v>11.168320179157108</v>
      </c>
      <c r="F597" s="70">
        <f t="shared" si="63"/>
        <v>0.67814040127841957</v>
      </c>
      <c r="G597" s="67">
        <f>E597/'Lookup Tables'!$C$48</f>
        <v>22.336640358314217</v>
      </c>
      <c r="H597" s="70">
        <f t="shared" si="60"/>
        <v>4.8647439947043951E-2</v>
      </c>
      <c r="I597" s="71">
        <f t="shared" si="64"/>
        <v>3.2164762115972467E-2</v>
      </c>
      <c r="L597" s="74"/>
      <c r="M597" s="74"/>
      <c r="N597" s="74"/>
      <c r="O597" s="74"/>
      <c r="P597" s="74"/>
      <c r="Q597" s="74"/>
      <c r="R597" s="74"/>
      <c r="S597" s="74"/>
      <c r="T597" s="74"/>
      <c r="U597" s="74"/>
      <c r="V597" s="74"/>
      <c r="W597" s="74"/>
      <c r="X597" s="74"/>
      <c r="Y597" s="74"/>
      <c r="Z597" s="74"/>
    </row>
    <row r="598" spans="1:26" x14ac:dyDescent="0.3">
      <c r="A598" s="66">
        <f t="shared" si="62"/>
        <v>2049.0999999999462</v>
      </c>
      <c r="B598" s="67">
        <f>LOOKUP(A598+0.01,Amounts!$A$4:$A$103,Amounts!$B$4:$B$103)*0.1*$A$2</f>
        <v>0</v>
      </c>
      <c r="C598" s="68">
        <f t="shared" si="61"/>
        <v>120665.52921499971</v>
      </c>
      <c r="D598" s="67">
        <f t="array" ref="D598">SUM($B$7:$B593*$F$1009*EXP(-$F$1009*($A598-$A$7:$A593)))*$F$1010</f>
        <v>5850098.0423632665</v>
      </c>
      <c r="E598" s="67">
        <f t="shared" si="59"/>
        <v>11.152695470754217</v>
      </c>
      <c r="F598" s="70">
        <f t="shared" si="63"/>
        <v>0.67719166898419603</v>
      </c>
      <c r="G598" s="67">
        <f>E598/'Lookup Tables'!$C$48</f>
        <v>22.305390941508435</v>
      </c>
      <c r="H598" s="70">
        <f t="shared" si="60"/>
        <v>4.8579381183368985E-2</v>
      </c>
      <c r="I598" s="71">
        <f t="shared" si="64"/>
        <v>3.2119762955772145E-2</v>
      </c>
      <c r="L598" s="74"/>
      <c r="M598" s="74"/>
      <c r="N598" s="74"/>
      <c r="O598" s="74"/>
      <c r="P598" s="74"/>
      <c r="Q598" s="74"/>
      <c r="R598" s="74"/>
      <c r="S598" s="74"/>
      <c r="T598" s="74"/>
      <c r="U598" s="74"/>
      <c r="V598" s="74"/>
      <c r="W598" s="74"/>
      <c r="X598" s="74"/>
      <c r="Y598" s="74"/>
      <c r="Z598" s="74"/>
    </row>
    <row r="599" spans="1:26" x14ac:dyDescent="0.3">
      <c r="A599" s="66">
        <f t="shared" si="62"/>
        <v>2049.1999999999462</v>
      </c>
      <c r="B599" s="67">
        <f>LOOKUP(A599+0.01,Amounts!$A$4:$A$103,Amounts!$B$4:$B$103)*0.1*$A$2</f>
        <v>0</v>
      </c>
      <c r="C599" s="68">
        <f t="shared" si="61"/>
        <v>120665.52921499971</v>
      </c>
      <c r="D599" s="67">
        <f t="array" ref="D599">SUM($B$7:$B594*$F$1009*EXP(-$F$1009*($A599-$A$7:$A594)))*$F$1010</f>
        <v>5841913.6355255377</v>
      </c>
      <c r="E599" s="67">
        <f t="shared" si="59"/>
        <v>11.137092621638022</v>
      </c>
      <c r="F599" s="70">
        <f t="shared" si="63"/>
        <v>0.67624426398586057</v>
      </c>
      <c r="G599" s="67">
        <f>E599/'Lookup Tables'!$C$48</f>
        <v>22.274185243276044</v>
      </c>
      <c r="H599" s="70">
        <f t="shared" si="60"/>
        <v>4.8511417635296684E-2</v>
      </c>
      <c r="I599" s="71">
        <f t="shared" si="64"/>
        <v>3.2074826750317503E-2</v>
      </c>
      <c r="L599" s="74"/>
      <c r="M599" s="74"/>
      <c r="N599" s="74"/>
      <c r="O599" s="74"/>
      <c r="P599" s="74"/>
      <c r="Q599" s="74"/>
      <c r="R599" s="74"/>
      <c r="S599" s="74"/>
      <c r="T599" s="74"/>
      <c r="U599" s="74"/>
      <c r="V599" s="74"/>
      <c r="W599" s="74"/>
      <c r="X599" s="74"/>
      <c r="Y599" s="74"/>
      <c r="Z599" s="74"/>
    </row>
    <row r="600" spans="1:26" x14ac:dyDescent="0.3">
      <c r="A600" s="66">
        <f t="shared" si="62"/>
        <v>2049.2999999999461</v>
      </c>
      <c r="B600" s="67">
        <f>LOOKUP(A600+0.01,Amounts!$A$4:$A$103,Amounts!$B$4:$B$103)*0.1*$A$2</f>
        <v>0</v>
      </c>
      <c r="C600" s="68">
        <f t="shared" si="61"/>
        <v>120665.52921499971</v>
      </c>
      <c r="D600" s="67">
        <f t="array" ref="D600">SUM($B$7:$B595*$F$1009*EXP(-$F$1009*($A600-$A$7:$A595)))*$F$1010</f>
        <v>5833740.6788404053</v>
      </c>
      <c r="E600" s="67">
        <f t="shared" si="59"/>
        <v>11.121511601226931</v>
      </c>
      <c r="F600" s="70">
        <f t="shared" si="63"/>
        <v>0.67529818442649925</v>
      </c>
      <c r="G600" s="67">
        <f>E600/'Lookup Tables'!$C$48</f>
        <v>22.243023202453863</v>
      </c>
      <c r="H600" s="70">
        <f t="shared" si="60"/>
        <v>4.8443549169618495E-2</v>
      </c>
      <c r="I600" s="71">
        <f t="shared" si="64"/>
        <v>3.2029953411533564E-2</v>
      </c>
      <c r="L600" s="74"/>
      <c r="M600" s="74"/>
      <c r="N600" s="74"/>
      <c r="O600" s="74"/>
      <c r="P600" s="74"/>
      <c r="Q600" s="74"/>
      <c r="R600" s="74"/>
      <c r="S600" s="74"/>
      <c r="T600" s="74"/>
      <c r="U600" s="74"/>
      <c r="V600" s="74"/>
      <c r="W600" s="74"/>
      <c r="X600" s="74"/>
      <c r="Y600" s="74"/>
      <c r="Z600" s="74"/>
    </row>
    <row r="601" spans="1:26" x14ac:dyDescent="0.3">
      <c r="A601" s="66">
        <f t="shared" si="62"/>
        <v>2049.399999999946</v>
      </c>
      <c r="B601" s="67">
        <f>LOOKUP(A601+0.01,Amounts!$A$4:$A$103,Amounts!$B$4:$B$103)*0.1*$A$2</f>
        <v>0</v>
      </c>
      <c r="C601" s="68">
        <f t="shared" si="61"/>
        <v>120665.52921499971</v>
      </c>
      <c r="D601" s="67">
        <f t="array" ref="D601">SUM($B$7:$B596*$F$1009*EXP(-$F$1009*($A601-$A$7:$A596)))*$F$1010</f>
        <v>5825579.1562888706</v>
      </c>
      <c r="E601" s="67">
        <f t="shared" si="59"/>
        <v>11.105952378982138</v>
      </c>
      <c r="F601" s="70">
        <f t="shared" si="63"/>
        <v>0.67435342845179547</v>
      </c>
      <c r="G601" s="67">
        <f>E601/'Lookup Tables'!$C$48</f>
        <v>22.211904757964277</v>
      </c>
      <c r="H601" s="70">
        <f t="shared" si="60"/>
        <v>4.8375775653312185E-2</v>
      </c>
      <c r="I601" s="71">
        <f t="shared" si="64"/>
        <v>3.1985142851468563E-2</v>
      </c>
      <c r="L601" s="74"/>
      <c r="M601" s="74"/>
      <c r="N601" s="74"/>
      <c r="O601" s="74"/>
      <c r="P601" s="74"/>
      <c r="Q601" s="74"/>
      <c r="R601" s="74"/>
      <c r="S601" s="74"/>
      <c r="T601" s="74"/>
      <c r="U601" s="74"/>
      <c r="V601" s="74"/>
      <c r="W601" s="74"/>
      <c r="X601" s="74"/>
      <c r="Y601" s="74"/>
      <c r="Z601" s="74"/>
    </row>
    <row r="602" spans="1:26" x14ac:dyDescent="0.3">
      <c r="A602" s="66">
        <f t="shared" si="62"/>
        <v>2049.4999999999459</v>
      </c>
      <c r="B602" s="67">
        <f>LOOKUP(A602+0.01,Amounts!$A$4:$A$103,Amounts!$B$4:$B$103)*0.1*$A$2</f>
        <v>0</v>
      </c>
      <c r="C602" s="68">
        <f t="shared" si="61"/>
        <v>120665.52921499971</v>
      </c>
      <c r="D602" s="67">
        <f t="array" ref="D602">SUM($B$7:$B597*$F$1009*EXP(-$F$1009*($A602-$A$7:$A597)))*$F$1010</f>
        <v>5817429.051874347</v>
      </c>
      <c r="E602" s="67">
        <f t="shared" si="59"/>
        <v>11.090414924407563</v>
      </c>
      <c r="F602" s="70">
        <f t="shared" si="63"/>
        <v>0.67340999421002723</v>
      </c>
      <c r="G602" s="67">
        <f>E602/'Lookup Tables'!$C$48</f>
        <v>22.180829848815126</v>
      </c>
      <c r="H602" s="70">
        <f t="shared" si="60"/>
        <v>4.8308096953541629E-2</v>
      </c>
      <c r="I602" s="71">
        <f t="shared" si="64"/>
        <v>3.1940394982293785E-2</v>
      </c>
      <c r="L602" s="74"/>
      <c r="M602" s="74"/>
      <c r="N602" s="74"/>
      <c r="O602" s="74"/>
      <c r="P602" s="74"/>
      <c r="Q602" s="74"/>
      <c r="R602" s="74"/>
      <c r="S602" s="74"/>
      <c r="T602" s="74"/>
      <c r="U602" s="74"/>
      <c r="V602" s="74"/>
      <c r="W602" s="74"/>
      <c r="X602" s="74"/>
      <c r="Y602" s="74"/>
      <c r="Z602" s="74"/>
    </row>
    <row r="603" spans="1:26" x14ac:dyDescent="0.3">
      <c r="A603" s="66">
        <f t="shared" si="62"/>
        <v>2049.5999999999458</v>
      </c>
      <c r="B603" s="67">
        <f>LOOKUP(A603+0.01,Amounts!$A$4:$A$103,Amounts!$B$4:$B$103)*0.1*$A$2</f>
        <v>0</v>
      </c>
      <c r="C603" s="68">
        <f t="shared" si="61"/>
        <v>120665.52921499971</v>
      </c>
      <c r="D603" s="67">
        <f t="array" ref="D603">SUM($B$7:$B598*$F$1009*EXP(-$F$1009*($A603-$A$7:$A598)))*$F$1010</f>
        <v>5809290.3496226277</v>
      </c>
      <c r="E603" s="67">
        <f t="shared" si="59"/>
        <v>11.074899207049789</v>
      </c>
      <c r="F603" s="70">
        <f t="shared" si="63"/>
        <v>0.67246787985206324</v>
      </c>
      <c r="G603" s="67">
        <f>E603/'Lookup Tables'!$C$48</f>
        <v>22.149798414099578</v>
      </c>
      <c r="H603" s="70">
        <f t="shared" si="60"/>
        <v>4.824051293765657E-2</v>
      </c>
      <c r="I603" s="71">
        <f t="shared" si="64"/>
        <v>3.1895709716303393E-2</v>
      </c>
      <c r="L603" s="74"/>
      <c r="M603" s="74"/>
      <c r="N603" s="74"/>
      <c r="O603" s="74"/>
      <c r="P603" s="74"/>
      <c r="Q603" s="74"/>
      <c r="R603" s="74"/>
      <c r="S603" s="74"/>
      <c r="T603" s="74"/>
      <c r="U603" s="74"/>
      <c r="V603" s="74"/>
      <c r="W603" s="74"/>
      <c r="X603" s="74"/>
      <c r="Y603" s="74"/>
      <c r="Z603" s="74"/>
    </row>
    <row r="604" spans="1:26" x14ac:dyDescent="0.3">
      <c r="A604" s="66">
        <f t="shared" si="62"/>
        <v>2049.6999999999457</v>
      </c>
      <c r="B604" s="67">
        <f>LOOKUP(A604+0.01,Amounts!$A$4:$A$103,Amounts!$B$4:$B$103)*0.1*$A$2</f>
        <v>0</v>
      </c>
      <c r="C604" s="68">
        <f t="shared" si="61"/>
        <v>120665.52921499971</v>
      </c>
      <c r="D604" s="67">
        <f t="array" ref="D604">SUM($B$7:$B599*$F$1009*EXP(-$F$1009*($A604-$A$7:$A599)))*$F$1010</f>
        <v>5801163.0335818548</v>
      </c>
      <c r="E604" s="67">
        <f t="shared" si="59"/>
        <v>11.059405196498011</v>
      </c>
      <c r="F604" s="70">
        <f t="shared" si="63"/>
        <v>0.67152708353135926</v>
      </c>
      <c r="G604" s="67">
        <f>E604/'Lookup Tables'!$C$48</f>
        <v>22.118810392996021</v>
      </c>
      <c r="H604" s="70">
        <f t="shared" si="60"/>
        <v>4.8173023473192321E-2</v>
      </c>
      <c r="I604" s="71">
        <f t="shared" si="64"/>
        <v>3.1851086965914273E-2</v>
      </c>
      <c r="L604" s="74"/>
      <c r="M604" s="74"/>
      <c r="N604" s="74"/>
      <c r="O604" s="74"/>
      <c r="P604" s="74"/>
      <c r="Q604" s="74"/>
      <c r="R604" s="74"/>
      <c r="S604" s="74"/>
      <c r="T604" s="74"/>
      <c r="U604" s="74"/>
      <c r="V604" s="74"/>
      <c r="W604" s="74"/>
      <c r="X604" s="74"/>
      <c r="Y604" s="74"/>
      <c r="Z604" s="74"/>
    </row>
    <row r="605" spans="1:26" x14ac:dyDescent="0.3">
      <c r="A605" s="66">
        <f t="shared" si="62"/>
        <v>2049.7999999999456</v>
      </c>
      <c r="B605" s="67">
        <f>LOOKUP(A605+0.01,Amounts!$A$4:$A$103,Amounts!$B$4:$B$103)*0.1*$A$2</f>
        <v>0</v>
      </c>
      <c r="C605" s="68">
        <f t="shared" si="61"/>
        <v>120665.52921499971</v>
      </c>
      <c r="D605" s="67">
        <f t="array" ref="D605">SUM($B$7:$B600*$F$1009*EXP(-$F$1009*($A605-$A$7:$A600)))*$F$1010</f>
        <v>5793047.087822482</v>
      </c>
      <c r="E605" s="67">
        <f t="shared" si="59"/>
        <v>11.043932862383953</v>
      </c>
      <c r="F605" s="70">
        <f t="shared" si="63"/>
        <v>0.67058760340395362</v>
      </c>
      <c r="G605" s="67">
        <f>E605/'Lookup Tables'!$C$48</f>
        <v>22.087865724767905</v>
      </c>
      <c r="H605" s="70">
        <f t="shared" si="60"/>
        <v>4.810562842786948E-2</v>
      </c>
      <c r="I605" s="71">
        <f t="shared" si="64"/>
        <v>3.1806526643665782E-2</v>
      </c>
      <c r="L605" s="74"/>
      <c r="M605" s="74"/>
      <c r="N605" s="74"/>
      <c r="O605" s="74"/>
      <c r="P605" s="74"/>
      <c r="Q605" s="74"/>
      <c r="R605" s="74"/>
      <c r="S605" s="74"/>
      <c r="T605" s="74"/>
      <c r="U605" s="74"/>
      <c r="V605" s="74"/>
      <c r="W605" s="74"/>
      <c r="X605" s="74"/>
      <c r="Y605" s="74"/>
      <c r="Z605" s="74"/>
    </row>
    <row r="606" spans="1:26" x14ac:dyDescent="0.3">
      <c r="A606" s="66">
        <f t="shared" si="62"/>
        <v>2049.8999999999455</v>
      </c>
      <c r="B606" s="67">
        <f>LOOKUP(A606+0.01,Amounts!$A$4:$A$103,Amounts!$B$4:$B$103)*0.1*$A$2</f>
        <v>0</v>
      </c>
      <c r="C606" s="68">
        <f t="shared" si="61"/>
        <v>120665.52921499971</v>
      </c>
      <c r="D606" s="67">
        <f t="array" ref="D606">SUM($B$7:$B601*$F$1009*EXP(-$F$1009*($A606-$A$7:$A601)))*$F$1010</f>
        <v>5784942.496437259</v>
      </c>
      <c r="E606" s="67">
        <f t="shared" si="59"/>
        <v>11.028482174381846</v>
      </c>
      <c r="F606" s="70">
        <f t="shared" si="63"/>
        <v>0.66964943762846574</v>
      </c>
      <c r="G606" s="67">
        <f>E606/'Lookup Tables'!$C$48</f>
        <v>22.056964348763692</v>
      </c>
      <c r="H606" s="70">
        <f t="shared" si="60"/>
        <v>4.8038327669593789E-2</v>
      </c>
      <c r="I606" s="71">
        <f t="shared" si="64"/>
        <v>3.1762028662219714E-2</v>
      </c>
      <c r="L606" s="74"/>
      <c r="M606" s="74"/>
      <c r="N606" s="74"/>
      <c r="O606" s="74"/>
      <c r="P606" s="74"/>
      <c r="Q606" s="74"/>
      <c r="R606" s="74"/>
      <c r="S606" s="74"/>
      <c r="T606" s="74"/>
      <c r="U606" s="74"/>
      <c r="V606" s="74"/>
      <c r="W606" s="74"/>
      <c r="X606" s="74"/>
      <c r="Y606" s="74"/>
      <c r="Z606" s="74"/>
    </row>
    <row r="607" spans="1:26" x14ac:dyDescent="0.3">
      <c r="A607" s="66">
        <f t="shared" si="62"/>
        <v>2049.9999999999454</v>
      </c>
      <c r="B607" s="67">
        <f>LOOKUP(A607+0.01,Amounts!$A$4:$A$103,Amounts!$B$4:$B$103)*0.1*$A$2</f>
        <v>0</v>
      </c>
      <c r="C607" s="68">
        <f t="shared" si="61"/>
        <v>120665.52921499971</v>
      </c>
      <c r="D607" s="67">
        <f t="array" ref="D607">SUM($B$7:$B602*$F$1009*EXP(-$F$1009*($A607-$A$7:$A602)))*$F$1010</f>
        <v>5776849.2435411783</v>
      </c>
      <c r="E607" s="67">
        <f t="shared" si="59"/>
        <v>11.013053102208326</v>
      </c>
      <c r="F607" s="70">
        <f t="shared" si="63"/>
        <v>0.66871258436608971</v>
      </c>
      <c r="G607" s="67">
        <f>E607/'Lookup Tables'!$C$48</f>
        <v>22.026106204416653</v>
      </c>
      <c r="H607" s="70">
        <f t="shared" si="60"/>
        <v>4.7971121066455687E-2</v>
      </c>
      <c r="I607" s="71">
        <f t="shared" si="64"/>
        <v>3.1717592934359981E-2</v>
      </c>
      <c r="L607" s="74"/>
      <c r="M607" s="74"/>
      <c r="N607" s="74"/>
      <c r="O607" s="74"/>
      <c r="P607" s="74"/>
      <c r="Q607" s="74"/>
      <c r="R607" s="74"/>
      <c r="S607" s="74"/>
      <c r="T607" s="74"/>
      <c r="U607" s="74"/>
      <c r="V607" s="74"/>
      <c r="W607" s="74"/>
      <c r="X607" s="74"/>
      <c r="Y607" s="74"/>
      <c r="Z607" s="74"/>
    </row>
    <row r="608" spans="1:26" x14ac:dyDescent="0.3">
      <c r="A608" s="66">
        <f t="shared" si="62"/>
        <v>2050.0999999999453</v>
      </c>
      <c r="B608" s="67">
        <f>LOOKUP(A608+0.01,Amounts!$A$4:$A$103,Amounts!$B$4:$B$103)*0.1*$A$2</f>
        <v>0</v>
      </c>
      <c r="C608" s="68">
        <f t="shared" si="61"/>
        <v>120665.52921499971</v>
      </c>
      <c r="D608" s="67">
        <f t="array" ref="D608">SUM($B$7:$B603*$F$1009*EXP(-$F$1009*($A608-$A$7:$A603)))*$F$1010</f>
        <v>5768767.3132714657</v>
      </c>
      <c r="E608" s="67">
        <f t="shared" si="59"/>
        <v>10.997645615622416</v>
      </c>
      <c r="F608" s="70">
        <f t="shared" si="63"/>
        <v>0.66777704178059316</v>
      </c>
      <c r="G608" s="67">
        <f>E608/'Lookup Tables'!$C$48</f>
        <v>21.995291231244831</v>
      </c>
      <c r="H608" s="70">
        <f t="shared" si="60"/>
        <v>4.7904008486730237E-2</v>
      </c>
      <c r="I608" s="71">
        <f t="shared" si="64"/>
        <v>3.1673219372992556E-2</v>
      </c>
      <c r="L608" s="74"/>
      <c r="M608" s="74"/>
      <c r="N608" s="74"/>
      <c r="O608" s="74"/>
      <c r="P608" s="74"/>
      <c r="Q608" s="74"/>
      <c r="R608" s="74"/>
      <c r="S608" s="74"/>
      <c r="T608" s="74"/>
      <c r="U608" s="74"/>
      <c r="V608" s="74"/>
      <c r="W608" s="74"/>
      <c r="X608" s="74"/>
      <c r="Y608" s="74"/>
      <c r="Z608" s="74"/>
    </row>
    <row r="609" spans="1:26" x14ac:dyDescent="0.3">
      <c r="A609" s="66">
        <f t="shared" si="62"/>
        <v>2050.1999999999452</v>
      </c>
      <c r="B609" s="67">
        <f>LOOKUP(A609+0.01,Amounts!$A$4:$A$103,Amounts!$B$4:$B$103)*0.1*$A$2</f>
        <v>0</v>
      </c>
      <c r="C609" s="68">
        <f t="shared" si="61"/>
        <v>120665.52921499971</v>
      </c>
      <c r="D609" s="67">
        <f t="array" ref="D609">SUM($B$7:$B604*$F$1009*EXP(-$F$1009*($A609-$A$7:$A604)))*$F$1010</f>
        <v>5760696.6897875341</v>
      </c>
      <c r="E609" s="67">
        <f t="shared" si="59"/>
        <v>10.982259684425433</v>
      </c>
      <c r="F609" s="70">
        <f t="shared" si="63"/>
        <v>0.6668428080383122</v>
      </c>
      <c r="G609" s="67">
        <f>E609/'Lookup Tables'!$C$48</f>
        <v>21.964519368850866</v>
      </c>
      <c r="H609" s="70">
        <f t="shared" si="60"/>
        <v>4.7836989798876767E-2</v>
      </c>
      <c r="I609" s="71">
        <f t="shared" si="64"/>
        <v>3.1628907891145246E-2</v>
      </c>
      <c r="L609" s="74"/>
      <c r="M609" s="74"/>
      <c r="N609" s="74"/>
      <c r="O609" s="74"/>
      <c r="P609" s="74"/>
      <c r="Q609" s="74"/>
      <c r="R609" s="74"/>
      <c r="S609" s="74"/>
      <c r="T609" s="74"/>
      <c r="U609" s="74"/>
      <c r="V609" s="74"/>
      <c r="W609" s="74"/>
      <c r="X609" s="74"/>
      <c r="Y609" s="74"/>
      <c r="Z609" s="74"/>
    </row>
    <row r="610" spans="1:26" x14ac:dyDescent="0.3">
      <c r="A610" s="66">
        <f t="shared" si="62"/>
        <v>2050.2999999999452</v>
      </c>
      <c r="B610" s="67">
        <f>LOOKUP(A610+0.01,Amounts!$A$4:$A$103,Amounts!$B$4:$B$103)*0.1*$A$2</f>
        <v>0</v>
      </c>
      <c r="C610" s="68">
        <f t="shared" si="61"/>
        <v>120665.52921499971</v>
      </c>
      <c r="D610" s="67">
        <f t="array" ref="D610">SUM($B$7:$B605*$F$1009*EXP(-$F$1009*($A610-$A$7:$A605)))*$F$1010</f>
        <v>5752637.357270957</v>
      </c>
      <c r="E610" s="67">
        <f t="shared" si="59"/>
        <v>10.966895278460944</v>
      </c>
      <c r="F610" s="70">
        <f t="shared" si="63"/>
        <v>0.66590988130814854</v>
      </c>
      <c r="G610" s="67">
        <f>E610/'Lookup Tables'!$C$48</f>
        <v>21.933790556921888</v>
      </c>
      <c r="H610" s="70">
        <f t="shared" si="60"/>
        <v>4.7770064871538599E-2</v>
      </c>
      <c r="I610" s="71">
        <f t="shared" si="64"/>
        <v>3.1584658401967516E-2</v>
      </c>
      <c r="L610" s="74"/>
      <c r="M610" s="74"/>
      <c r="N610" s="74"/>
      <c r="O610" s="74"/>
      <c r="P610" s="74"/>
      <c r="Q610" s="74"/>
      <c r="R610" s="74"/>
      <c r="S610" s="74"/>
      <c r="T610" s="74"/>
      <c r="U610" s="74"/>
      <c r="V610" s="74"/>
      <c r="W610" s="74"/>
      <c r="X610" s="74"/>
      <c r="Y610" s="74"/>
      <c r="Z610" s="74"/>
    </row>
    <row r="611" spans="1:26" x14ac:dyDescent="0.3">
      <c r="A611" s="66">
        <f t="shared" si="62"/>
        <v>2050.3999999999451</v>
      </c>
      <c r="B611" s="67">
        <f>LOOKUP(A611+0.01,Amounts!$A$4:$A$103,Amounts!$B$4:$B$103)*0.1*$A$2</f>
        <v>0</v>
      </c>
      <c r="C611" s="68">
        <f t="shared" si="61"/>
        <v>120665.52921499971</v>
      </c>
      <c r="D611" s="67">
        <f t="array" ref="D611">SUM($B$7:$B606*$F$1009*EXP(-$F$1009*($A611-$A$7:$A606)))*$F$1010</f>
        <v>5744589.2999254437</v>
      </c>
      <c r="E611" s="67">
        <f t="shared" si="59"/>
        <v>10.951552367614715</v>
      </c>
      <c r="F611" s="70">
        <f t="shared" si="63"/>
        <v>0.66497825976156544</v>
      </c>
      <c r="G611" s="67">
        <f>E611/'Lookup Tables'!$C$48</f>
        <v>21.90310473522943</v>
      </c>
      <c r="H611" s="70">
        <f t="shared" si="60"/>
        <v>4.7703233573542891E-2</v>
      </c>
      <c r="I611" s="71">
        <f t="shared" si="64"/>
        <v>3.1540470818730383E-2</v>
      </c>
      <c r="L611" s="74"/>
      <c r="M611" s="74"/>
      <c r="N611" s="74"/>
      <c r="O611" s="74"/>
      <c r="P611" s="74"/>
      <c r="Q611" s="74"/>
      <c r="R611" s="74"/>
      <c r="S611" s="74"/>
      <c r="T611" s="74"/>
      <c r="U611" s="74"/>
      <c r="V611" s="74"/>
      <c r="W611" s="74"/>
      <c r="X611" s="74"/>
      <c r="Y611" s="74"/>
      <c r="Z611" s="74"/>
    </row>
    <row r="612" spans="1:26" x14ac:dyDescent="0.3">
      <c r="A612" s="66">
        <f t="shared" si="62"/>
        <v>2050.499999999945</v>
      </c>
      <c r="B612" s="67">
        <f>LOOKUP(A612+0.01,Amounts!$A$4:$A$103,Amounts!$B$4:$B$103)*0.1*$A$2</f>
        <v>0</v>
      </c>
      <c r="C612" s="68">
        <f t="shared" si="61"/>
        <v>120665.52921499971</v>
      </c>
      <c r="D612" s="67">
        <f t="array" ref="D612">SUM($B$7:$B607*$F$1009*EXP(-$F$1009*($A612-$A$7:$A607)))*$F$1010</f>
        <v>5736552.5019767964</v>
      </c>
      <c r="E612" s="67">
        <f t="shared" si="59"/>
        <v>10.936230921814632</v>
      </c>
      <c r="F612" s="70">
        <f t="shared" si="63"/>
        <v>0.6640479415725844</v>
      </c>
      <c r="G612" s="67">
        <f>E612/'Lookup Tables'!$C$48</f>
        <v>21.872461843629264</v>
      </c>
      <c r="H612" s="70">
        <f t="shared" si="60"/>
        <v>4.763649577390025E-2</v>
      </c>
      <c r="I612" s="71">
        <f t="shared" si="64"/>
        <v>3.1496345054826139E-2</v>
      </c>
      <c r="L612" s="74"/>
      <c r="M612" s="74"/>
      <c r="N612" s="74"/>
      <c r="O612" s="74"/>
      <c r="P612" s="74"/>
      <c r="Q612" s="74"/>
      <c r="R612" s="74"/>
      <c r="S612" s="74"/>
      <c r="T612" s="74"/>
      <c r="U612" s="74"/>
      <c r="V612" s="74"/>
      <c r="W612" s="74"/>
      <c r="X612" s="74"/>
      <c r="Y612" s="74"/>
      <c r="Z612" s="74"/>
    </row>
    <row r="613" spans="1:26" x14ac:dyDescent="0.3">
      <c r="A613" s="66">
        <f t="shared" si="62"/>
        <v>2050.5999999999449</v>
      </c>
      <c r="B613" s="67">
        <f>LOOKUP(A613+0.01,Amounts!$A$4:$A$103,Amounts!$B$4:$B$103)*0.1*$A$2</f>
        <v>0</v>
      </c>
      <c r="C613" s="68">
        <f t="shared" si="61"/>
        <v>120665.52921499971</v>
      </c>
      <c r="D613" s="67">
        <f t="array" ref="D613">SUM($B$7:$B608*$F$1009*EXP(-$F$1009*($A613-$A$7:$A608)))*$F$1010</f>
        <v>5728526.9476728886</v>
      </c>
      <c r="E613" s="67">
        <f t="shared" si="59"/>
        <v>10.920930911030654</v>
      </c>
      <c r="F613" s="70">
        <f t="shared" si="63"/>
        <v>0.66311892491778124</v>
      </c>
      <c r="G613" s="67">
        <f>E613/'Lookup Tables'!$C$48</f>
        <v>21.841861822061308</v>
      </c>
      <c r="H613" s="70">
        <f t="shared" si="60"/>
        <v>4.756985134180456E-2</v>
      </c>
      <c r="I613" s="71">
        <f t="shared" si="64"/>
        <v>3.1452281023768278E-2</v>
      </c>
      <c r="L613" s="74"/>
      <c r="M613" s="74"/>
      <c r="N613" s="74"/>
      <c r="O613" s="74"/>
      <c r="P613" s="74"/>
      <c r="Q613" s="74"/>
      <c r="R613" s="74"/>
      <c r="S613" s="74"/>
      <c r="T613" s="74"/>
      <c r="U613" s="74"/>
      <c r="V613" s="74"/>
      <c r="W613" s="74"/>
      <c r="X613" s="74"/>
      <c r="Y613" s="74"/>
      <c r="Z613" s="74"/>
    </row>
    <row r="614" spans="1:26" x14ac:dyDescent="0.3">
      <c r="A614" s="66">
        <f t="shared" si="62"/>
        <v>2050.6999999999448</v>
      </c>
      <c r="B614" s="67">
        <f>LOOKUP(A614+0.01,Amounts!$A$4:$A$103,Amounts!$B$4:$B$103)*0.1*$A$2</f>
        <v>0</v>
      </c>
      <c r="C614" s="68">
        <f t="shared" si="61"/>
        <v>120665.52921499971</v>
      </c>
      <c r="D614" s="67">
        <f t="array" ref="D614">SUM($B$7:$B609*$F$1009*EXP(-$F$1009*($A614-$A$7:$A609)))*$F$1010</f>
        <v>5720512.6212836336</v>
      </c>
      <c r="E614" s="67">
        <f t="shared" si="59"/>
        <v>10.90565230527476</v>
      </c>
      <c r="F614" s="70">
        <f t="shared" si="63"/>
        <v>0.66219120797628339</v>
      </c>
      <c r="G614" s="67">
        <f>E614/'Lookup Tables'!$C$48</f>
        <v>21.81130461054952</v>
      </c>
      <c r="H614" s="70">
        <f t="shared" si="60"/>
        <v>4.7503300146632746E-2</v>
      </c>
      <c r="I614" s="71">
        <f t="shared" si="64"/>
        <v>3.1408278639191309E-2</v>
      </c>
      <c r="L614" s="74"/>
      <c r="M614" s="74"/>
      <c r="N614" s="74"/>
      <c r="O614" s="74"/>
      <c r="P614" s="74"/>
      <c r="Q614" s="74"/>
      <c r="R614" s="74"/>
      <c r="S614" s="74"/>
      <c r="T614" s="74"/>
      <c r="U614" s="74"/>
      <c r="V614" s="74"/>
      <c r="W614" s="74"/>
      <c r="X614" s="74"/>
      <c r="Y614" s="74"/>
      <c r="Z614" s="74"/>
    </row>
    <row r="615" spans="1:26" x14ac:dyDescent="0.3">
      <c r="A615" s="66">
        <f t="shared" si="62"/>
        <v>2050.7999999999447</v>
      </c>
      <c r="B615" s="67">
        <f>LOOKUP(A615+0.01,Amounts!$A$4:$A$103,Amounts!$B$4:$B$103)*0.1*$A$2</f>
        <v>0</v>
      </c>
      <c r="C615" s="68">
        <f t="shared" si="61"/>
        <v>120665.52921499971</v>
      </c>
      <c r="D615" s="67">
        <f t="array" ref="D615">SUM($B$7:$B610*$F$1009*EXP(-$F$1009*($A615-$A$7:$A610)))*$F$1010</f>
        <v>5712509.5071009481</v>
      </c>
      <c r="E615" s="67">
        <f t="shared" si="59"/>
        <v>10.890395074600878</v>
      </c>
      <c r="F615" s="70">
        <f t="shared" si="63"/>
        <v>0.66126478892976526</v>
      </c>
      <c r="G615" s="67">
        <f>E615/'Lookup Tables'!$C$48</f>
        <v>21.780790149201756</v>
      </c>
      <c r="H615" s="70">
        <f t="shared" si="60"/>
        <v>4.7436842057944441E-2</v>
      </c>
      <c r="I615" s="71">
        <f t="shared" si="64"/>
        <v>3.1364337814850526E-2</v>
      </c>
      <c r="L615" s="74"/>
      <c r="M615" s="74"/>
      <c r="N615" s="74"/>
      <c r="O615" s="74"/>
      <c r="P615" s="74"/>
      <c r="Q615" s="74"/>
      <c r="R615" s="74"/>
      <c r="S615" s="74"/>
      <c r="T615" s="74"/>
      <c r="U615" s="74"/>
      <c r="V615" s="74"/>
      <c r="W615" s="74"/>
      <c r="X615" s="74"/>
      <c r="Y615" s="74"/>
      <c r="Z615" s="74"/>
    </row>
    <row r="616" spans="1:26" x14ac:dyDescent="0.3">
      <c r="A616" s="66">
        <f t="shared" si="62"/>
        <v>2050.8999999999446</v>
      </c>
      <c r="B616" s="67">
        <f>LOOKUP(A616+0.01,Amounts!$A$4:$A$103,Amounts!$B$4:$B$103)*0.1*$A$2</f>
        <v>0</v>
      </c>
      <c r="C616" s="68">
        <f t="shared" si="61"/>
        <v>120665.52921499971</v>
      </c>
      <c r="D616" s="67">
        <f t="array" ref="D616">SUM($B$7:$B611*$F$1009*EXP(-$F$1009*($A616-$A$7:$A611)))*$F$1010</f>
        <v>5704517.5894387234</v>
      </c>
      <c r="E616" s="67">
        <f t="shared" si="59"/>
        <v>10.875159189104824</v>
      </c>
      <c r="F616" s="70">
        <f t="shared" si="63"/>
        <v>0.66033966596244487</v>
      </c>
      <c r="G616" s="67">
        <f>E616/'Lookup Tables'!$C$48</f>
        <v>21.750318378209649</v>
      </c>
      <c r="H616" s="70">
        <f t="shared" si="60"/>
        <v>4.7370476945481729E-2</v>
      </c>
      <c r="I616" s="71">
        <f t="shared" si="64"/>
        <v>3.1320458464621892E-2</v>
      </c>
      <c r="L616" s="74"/>
      <c r="M616" s="74"/>
      <c r="N616" s="74"/>
      <c r="O616" s="74"/>
      <c r="P616" s="74"/>
      <c r="Q616" s="74"/>
      <c r="R616" s="74"/>
      <c r="S616" s="74"/>
      <c r="T616" s="74"/>
      <c r="U616" s="74"/>
      <c r="V616" s="74"/>
      <c r="W616" s="74"/>
      <c r="X616" s="74"/>
      <c r="Y616" s="74"/>
      <c r="Z616" s="74"/>
    </row>
    <row r="617" spans="1:26" x14ac:dyDescent="0.3">
      <c r="A617" s="66">
        <f t="shared" si="62"/>
        <v>2050.9999999999445</v>
      </c>
      <c r="B617" s="67">
        <f>LOOKUP(A617+0.01,Amounts!$A$4:$A$103,Amounts!$B$4:$B$103)*0.1*$A$2</f>
        <v>0</v>
      </c>
      <c r="C617" s="68">
        <f t="shared" si="61"/>
        <v>120665.52921499971</v>
      </c>
      <c r="D617" s="67">
        <f t="array" ref="D617">SUM($B$7:$B612*$F$1009*EXP(-$F$1009*($A617-$A$7:$A612)))*$F$1010</f>
        <v>5696536.852632802</v>
      </c>
      <c r="E617" s="67">
        <f t="shared" si="59"/>
        <v>10.859944618924265</v>
      </c>
      <c r="F617" s="70">
        <f t="shared" si="63"/>
        <v>0.65941583726108144</v>
      </c>
      <c r="G617" s="67">
        <f>E617/'Lookup Tables'!$C$48</f>
        <v>21.71988923784853</v>
      </c>
      <c r="H617" s="70">
        <f t="shared" si="60"/>
        <v>4.7304204679169008E-2</v>
      </c>
      <c r="I617" s="71">
        <f t="shared" si="64"/>
        <v>3.1276640502501882E-2</v>
      </c>
      <c r="L617" s="74"/>
      <c r="M617" s="74"/>
      <c r="N617" s="74"/>
      <c r="O617" s="74"/>
      <c r="P617" s="74"/>
      <c r="Q617" s="74"/>
      <c r="R617" s="74"/>
      <c r="S617" s="74"/>
      <c r="T617" s="74"/>
      <c r="U617" s="74"/>
      <c r="V617" s="74"/>
      <c r="W617" s="74"/>
      <c r="X617" s="74"/>
      <c r="Y617" s="74"/>
      <c r="Z617" s="74"/>
    </row>
    <row r="618" spans="1:26" x14ac:dyDescent="0.3">
      <c r="A618" s="66">
        <f t="shared" si="62"/>
        <v>2051.0999999999444</v>
      </c>
      <c r="B618" s="67">
        <f>LOOKUP(A618+0.01,Amounts!$A$4:$A$103,Amounts!$B$4:$B$103)*0.1*$A$2</f>
        <v>0</v>
      </c>
      <c r="C618" s="68">
        <f t="shared" si="61"/>
        <v>120665.52921499971</v>
      </c>
      <c r="D618" s="67">
        <f t="array" ref="D618">SUM($B$7:$B613*$F$1009*EXP(-$F$1009*($A618-$A$7:$A613)))*$F$1010</f>
        <v>5688567.2810409348</v>
      </c>
      <c r="E618" s="67">
        <f t="shared" si="59"/>
        <v>10.844751334238637</v>
      </c>
      <c r="F618" s="70">
        <f t="shared" si="63"/>
        <v>0.65849330101496995</v>
      </c>
      <c r="G618" s="67">
        <f>E618/'Lookup Tables'!$C$48</f>
        <v>21.689502668477274</v>
      </c>
      <c r="H618" s="70">
        <f t="shared" si="60"/>
        <v>4.7238025129112605E-2</v>
      </c>
      <c r="I618" s="71">
        <f t="shared" si="64"/>
        <v>3.1232883842607272E-2</v>
      </c>
      <c r="L618" s="74"/>
      <c r="M618" s="74"/>
      <c r="N618" s="74"/>
      <c r="O618" s="74"/>
      <c r="P618" s="74"/>
      <c r="Q618" s="74"/>
      <c r="R618" s="74"/>
      <c r="S618" s="74"/>
      <c r="T618" s="74"/>
      <c r="U618" s="74"/>
      <c r="V618" s="74"/>
      <c r="W618" s="74"/>
      <c r="X618" s="74"/>
      <c r="Y618" s="74"/>
      <c r="Z618" s="74"/>
    </row>
    <row r="619" spans="1:26" x14ac:dyDescent="0.3">
      <c r="A619" s="66">
        <f t="shared" si="62"/>
        <v>2051.1999999999443</v>
      </c>
      <c r="B619" s="67">
        <f>LOOKUP(A619+0.01,Amounts!$A$4:$A$103,Amounts!$B$4:$B$103)*0.1*$A$2</f>
        <v>0</v>
      </c>
      <c r="C619" s="68">
        <f t="shared" si="61"/>
        <v>120665.52921499971</v>
      </c>
      <c r="D619" s="67">
        <f t="array" ref="D619">SUM($B$7:$B614*$F$1009*EXP(-$F$1009*($A619-$A$7:$A614)))*$F$1010</f>
        <v>5680608.8590427609</v>
      </c>
      <c r="E619" s="67">
        <f t="shared" si="59"/>
        <v>10.829579305269096</v>
      </c>
      <c r="F619" s="70">
        <f t="shared" si="63"/>
        <v>0.65757205541593944</v>
      </c>
      <c r="G619" s="67">
        <f>E619/'Lookup Tables'!$C$48</f>
        <v>21.659158610538192</v>
      </c>
      <c r="H619" s="70">
        <f t="shared" si="60"/>
        <v>4.7171938165600578E-2</v>
      </c>
      <c r="I619" s="71">
        <f t="shared" si="64"/>
        <v>3.1189188399174991E-2</v>
      </c>
      <c r="L619" s="74"/>
      <c r="M619" s="74"/>
      <c r="N619" s="74"/>
      <c r="O619" s="74"/>
      <c r="P619" s="74"/>
      <c r="Q619" s="74"/>
      <c r="R619" s="74"/>
      <c r="S619" s="74"/>
      <c r="T619" s="74"/>
      <c r="U619" s="74"/>
      <c r="V619" s="74"/>
      <c r="W619" s="74"/>
      <c r="X619" s="74"/>
      <c r="Y619" s="74"/>
      <c r="Z619" s="74"/>
    </row>
    <row r="620" spans="1:26" x14ac:dyDescent="0.3">
      <c r="A620" s="66">
        <f t="shared" si="62"/>
        <v>2051.2999999999442</v>
      </c>
      <c r="B620" s="67">
        <f>LOOKUP(A620+0.01,Amounts!$A$4:$A$103,Amounts!$B$4:$B$103)*0.1*$A$2</f>
        <v>0</v>
      </c>
      <c r="C620" s="68">
        <f t="shared" si="61"/>
        <v>120665.52921499971</v>
      </c>
      <c r="D620" s="67">
        <f t="array" ref="D620">SUM($B$7:$B615*$F$1009*EXP(-$F$1009*($A620-$A$7:$A615)))*$F$1010</f>
        <v>5672661.5710397679</v>
      </c>
      <c r="E620" s="67">
        <f t="shared" si="59"/>
        <v>10.814428502278458</v>
      </c>
      <c r="F620" s="70">
        <f t="shared" si="63"/>
        <v>0.65665209865834806</v>
      </c>
      <c r="G620" s="67">
        <f>E620/'Lookup Tables'!$C$48</f>
        <v>21.628857004556917</v>
      </c>
      <c r="H620" s="70">
        <f t="shared" si="60"/>
        <v>4.7105943659102457E-2</v>
      </c>
      <c r="I620" s="71">
        <f t="shared" si="64"/>
        <v>3.1145554086561961E-2</v>
      </c>
      <c r="L620" s="74"/>
      <c r="M620" s="74"/>
      <c r="N620" s="74"/>
      <c r="O620" s="74"/>
      <c r="P620" s="74"/>
      <c r="Q620" s="74"/>
      <c r="R620" s="74"/>
      <c r="S620" s="74"/>
      <c r="T620" s="74"/>
      <c r="U620" s="74"/>
      <c r="V620" s="74"/>
      <c r="W620" s="74"/>
      <c r="X620" s="74"/>
      <c r="Y620" s="74"/>
      <c r="Z620" s="74"/>
    </row>
    <row r="621" spans="1:26" x14ac:dyDescent="0.3">
      <c r="A621" s="66">
        <f t="shared" si="62"/>
        <v>2051.3999999999442</v>
      </c>
      <c r="B621" s="67">
        <f>LOOKUP(A621+0.01,Amounts!$A$4:$A$103,Amounts!$B$4:$B$103)*0.1*$A$2</f>
        <v>0</v>
      </c>
      <c r="C621" s="68">
        <f t="shared" si="61"/>
        <v>120665.52921499971</v>
      </c>
      <c r="D621" s="67">
        <f t="array" ref="D621">SUM($B$7:$B616*$F$1009*EXP(-$F$1009*($A621-$A$7:$A616)))*$F$1010</f>
        <v>5664725.4014552701</v>
      </c>
      <c r="E621" s="67">
        <f t="shared" si="59"/>
        <v>10.799298895571148</v>
      </c>
      <c r="F621" s="70">
        <f t="shared" si="63"/>
        <v>0.65573342893908015</v>
      </c>
      <c r="G621" s="67">
        <f>E621/'Lookup Tables'!$C$48</f>
        <v>21.598597791142296</v>
      </c>
      <c r="H621" s="70">
        <f t="shared" si="60"/>
        <v>4.7040041480268989E-2</v>
      </c>
      <c r="I621" s="71">
        <f t="shared" si="64"/>
        <v>3.1101980819244906E-2</v>
      </c>
      <c r="L621" s="74"/>
      <c r="M621" s="74"/>
      <c r="N621" s="74"/>
      <c r="O621" s="74"/>
      <c r="P621" s="74"/>
      <c r="Q621" s="74"/>
      <c r="R621" s="74"/>
      <c r="S621" s="74"/>
      <c r="T621" s="74"/>
      <c r="U621" s="74"/>
      <c r="V621" s="74"/>
      <c r="W621" s="74"/>
      <c r="X621" s="74"/>
      <c r="Y621" s="74"/>
      <c r="Z621" s="74"/>
    </row>
    <row r="622" spans="1:26" x14ac:dyDescent="0.3">
      <c r="A622" s="66">
        <f t="shared" si="62"/>
        <v>2051.4999999999441</v>
      </c>
      <c r="B622" s="67">
        <f>LOOKUP(A622+0.01,Amounts!$A$4:$A$103,Amounts!$B$4:$B$103)*0.1*$A$2</f>
        <v>0</v>
      </c>
      <c r="C622" s="68">
        <f t="shared" si="61"/>
        <v>120665.52921499971</v>
      </c>
      <c r="D622" s="67">
        <f t="array" ref="D622">SUM($B$7:$B617*$F$1009*EXP(-$F$1009*($A622-$A$7:$A617)))*$F$1010</f>
        <v>5656800.3347343709</v>
      </c>
      <c r="E622" s="67">
        <f t="shared" si="59"/>
        <v>10.784190455493126</v>
      </c>
      <c r="F622" s="70">
        <f t="shared" si="63"/>
        <v>0.6548160444575426</v>
      </c>
      <c r="G622" s="67">
        <f>E622/'Lookup Tables'!$C$48</f>
        <v>21.568380910986253</v>
      </c>
      <c r="H622" s="70">
        <f t="shared" si="60"/>
        <v>4.6974231499931858E-2</v>
      </c>
      <c r="I622" s="71">
        <f t="shared" si="64"/>
        <v>3.1058468511820203E-2</v>
      </c>
      <c r="L622" s="74"/>
      <c r="M622" s="74"/>
      <c r="N622" s="74"/>
      <c r="O622" s="74"/>
      <c r="P622" s="74"/>
      <c r="Q622" s="74"/>
      <c r="R622" s="74"/>
      <c r="S622" s="74"/>
      <c r="T622" s="74"/>
      <c r="U622" s="74"/>
      <c r="V622" s="74"/>
      <c r="W622" s="74"/>
      <c r="X622" s="74"/>
      <c r="Y622" s="74"/>
      <c r="Z622" s="74"/>
    </row>
    <row r="623" spans="1:26" x14ac:dyDescent="0.3">
      <c r="A623" s="66">
        <f t="shared" si="62"/>
        <v>2051.599999999944</v>
      </c>
      <c r="B623" s="67">
        <f>LOOKUP(A623+0.01,Amounts!$A$4:$A$103,Amounts!$B$4:$B$103)*0.1*$A$2</f>
        <v>0</v>
      </c>
      <c r="C623" s="68">
        <f t="shared" si="61"/>
        <v>120665.52921499971</v>
      </c>
      <c r="D623" s="67">
        <f t="array" ref="D623">SUM($B$7:$B618*$F$1009*EXP(-$F$1009*($A623-$A$7:$A618)))*$F$1010</f>
        <v>5648886.3553439416</v>
      </c>
      <c r="E623" s="67">
        <f t="shared" si="59"/>
        <v>10.769103152431855</v>
      </c>
      <c r="F623" s="70">
        <f t="shared" si="63"/>
        <v>0.65389994341566227</v>
      </c>
      <c r="G623" s="67">
        <f>E623/'Lookup Tables'!$C$48</f>
        <v>21.53820630486371</v>
      </c>
      <c r="H623" s="70">
        <f t="shared" si="60"/>
        <v>4.6908513589103529E-2</v>
      </c>
      <c r="I623" s="71">
        <f t="shared" si="64"/>
        <v>3.1015017079003743E-2</v>
      </c>
      <c r="L623" s="74"/>
      <c r="M623" s="74"/>
      <c r="N623" s="74"/>
      <c r="O623" s="74"/>
      <c r="P623" s="74"/>
      <c r="Q623" s="74"/>
      <c r="R623" s="74"/>
      <c r="S623" s="74"/>
      <c r="T623" s="74"/>
      <c r="U623" s="74"/>
      <c r="V623" s="74"/>
      <c r="W623" s="74"/>
      <c r="X623" s="74"/>
      <c r="Y623" s="74"/>
      <c r="Z623" s="74"/>
    </row>
    <row r="624" spans="1:26" x14ac:dyDescent="0.3">
      <c r="A624" s="66">
        <f t="shared" si="62"/>
        <v>2051.6999999999439</v>
      </c>
      <c r="B624" s="67">
        <f>LOOKUP(A624+0.01,Amounts!$A$4:$A$103,Amounts!$B$4:$B$103)*0.1*$A$2</f>
        <v>0</v>
      </c>
      <c r="C624" s="68">
        <f t="shared" si="61"/>
        <v>120665.52921499971</v>
      </c>
      <c r="D624" s="67">
        <f t="array" ref="D624">SUM($B$7:$B619*$F$1009*EXP(-$F$1009*($A624-$A$7:$A619)))*$F$1010</f>
        <v>5640983.4477725737</v>
      </c>
      <c r="E624" s="67">
        <f t="shared" si="59"/>
        <v>10.754036956816204</v>
      </c>
      <c r="F624" s="70">
        <f t="shared" si="63"/>
        <v>0.65298512401788</v>
      </c>
      <c r="G624" s="67">
        <f>E624/'Lookup Tables'!$C$48</f>
        <v>21.508073913632408</v>
      </c>
      <c r="H624" s="70">
        <f t="shared" si="60"/>
        <v>4.6842887618976828E-2</v>
      </c>
      <c r="I624" s="71">
        <f t="shared" si="64"/>
        <v>3.0971626435630669E-2</v>
      </c>
      <c r="L624" s="74"/>
      <c r="M624" s="74"/>
      <c r="N624" s="74"/>
      <c r="O624" s="74"/>
      <c r="P624" s="74"/>
      <c r="Q624" s="74"/>
      <c r="R624" s="74"/>
      <c r="S624" s="74"/>
      <c r="T624" s="74"/>
      <c r="U624" s="74"/>
      <c r="V624" s="74"/>
      <c r="W624" s="74"/>
      <c r="X624" s="74"/>
      <c r="Y624" s="74"/>
      <c r="Z624" s="74"/>
    </row>
    <row r="625" spans="1:26" x14ac:dyDescent="0.3">
      <c r="A625" s="66">
        <f t="shared" si="62"/>
        <v>2051.7999999999438</v>
      </c>
      <c r="B625" s="67">
        <f>LOOKUP(A625+0.01,Amounts!$A$4:$A$103,Amounts!$B$4:$B$103)*0.1*$A$2</f>
        <v>0</v>
      </c>
      <c r="C625" s="68">
        <f t="shared" si="61"/>
        <v>120665.52921499971</v>
      </c>
      <c r="D625" s="67">
        <f t="array" ref="D625">SUM($B$7:$B620*$F$1009*EXP(-$F$1009*($A625-$A$7:$A620)))*$F$1010</f>
        <v>5633091.5965305697</v>
      </c>
      <c r="E625" s="67">
        <f t="shared" si="59"/>
        <v>10.738991839116432</v>
      </c>
      <c r="F625" s="70">
        <f t="shared" si="63"/>
        <v>0.65207158447114977</v>
      </c>
      <c r="G625" s="67">
        <f>E625/'Lookup Tables'!$C$48</f>
        <v>21.477983678232864</v>
      </c>
      <c r="H625" s="70">
        <f t="shared" si="60"/>
        <v>4.6777353460924861E-2</v>
      </c>
      <c r="I625" s="71">
        <f t="shared" si="64"/>
        <v>3.0928296496655322E-2</v>
      </c>
      <c r="L625" s="74"/>
      <c r="M625" s="74"/>
      <c r="N625" s="74"/>
      <c r="O625" s="74"/>
      <c r="P625" s="74"/>
      <c r="Q625" s="74"/>
      <c r="R625" s="74"/>
      <c r="S625" s="74"/>
      <c r="T625" s="74"/>
      <c r="U625" s="74"/>
      <c r="V625" s="74"/>
      <c r="W625" s="74"/>
      <c r="X625" s="74"/>
      <c r="Y625" s="74"/>
      <c r="Z625" s="74"/>
    </row>
    <row r="626" spans="1:26" x14ac:dyDescent="0.3">
      <c r="A626" s="66">
        <f t="shared" si="62"/>
        <v>2051.8999999999437</v>
      </c>
      <c r="B626" s="67">
        <f>LOOKUP(A626+0.01,Amounts!$A$4:$A$103,Amounts!$B$4:$B$103)*0.1*$A$2</f>
        <v>0</v>
      </c>
      <c r="C626" s="68">
        <f t="shared" si="61"/>
        <v>120665.52921499971</v>
      </c>
      <c r="D626" s="67">
        <f t="array" ref="D626">SUM($B$7:$B621*$F$1009*EXP(-$F$1009*($A626-$A$7:$A621)))*$F$1010</f>
        <v>5625210.7861499013</v>
      </c>
      <c r="E626" s="67">
        <f t="shared" si="59"/>
        <v>10.723967769844107</v>
      </c>
      <c r="F626" s="70">
        <f t="shared" si="63"/>
        <v>0.65115932298493417</v>
      </c>
      <c r="G626" s="67">
        <f>E626/'Lookup Tables'!$C$48</f>
        <v>21.447935539688213</v>
      </c>
      <c r="H626" s="70">
        <f t="shared" si="60"/>
        <v>4.6711910986500668E-2</v>
      </c>
      <c r="I626" s="71">
        <f t="shared" si="64"/>
        <v>3.0885027177151025E-2</v>
      </c>
      <c r="L626" s="74"/>
      <c r="M626" s="74"/>
      <c r="N626" s="74"/>
      <c r="O626" s="74"/>
      <c r="P626" s="74"/>
      <c r="Q626" s="74"/>
      <c r="R626" s="74"/>
      <c r="S626" s="74"/>
      <c r="T626" s="74"/>
      <c r="U626" s="74"/>
      <c r="V626" s="74"/>
      <c r="W626" s="74"/>
      <c r="X626" s="74"/>
      <c r="Y626" s="74"/>
      <c r="Z626" s="74"/>
    </row>
    <row r="627" spans="1:26" x14ac:dyDescent="0.3">
      <c r="A627" s="66">
        <f t="shared" si="62"/>
        <v>2051.9999999999436</v>
      </c>
      <c r="B627" s="67">
        <f>LOOKUP(A627+0.01,Amounts!$A$4:$A$103,Amounts!$B$4:$B$103)*0.1*$A$2</f>
        <v>0</v>
      </c>
      <c r="C627" s="68">
        <f t="shared" si="61"/>
        <v>120665.52921499971</v>
      </c>
      <c r="D627" s="67">
        <f t="array" ref="D627">SUM($B$7:$B622*$F$1009*EXP(-$F$1009*($A627-$A$7:$A622)))*$F$1010</f>
        <v>5617341.001184172</v>
      </c>
      <c r="E627" s="67">
        <f t="shared" si="59"/>
        <v>10.708964719552041</v>
      </c>
      <c r="F627" s="70">
        <f t="shared" si="63"/>
        <v>0.65024833777119995</v>
      </c>
      <c r="G627" s="67">
        <f>E627/'Lookup Tables'!$C$48</f>
        <v>21.417929439104082</v>
      </c>
      <c r="H627" s="70">
        <f t="shared" si="60"/>
        <v>4.6646560067436955E-2</v>
      </c>
      <c r="I627" s="71">
        <f t="shared" si="64"/>
        <v>3.0841818392309879E-2</v>
      </c>
      <c r="L627" s="74"/>
      <c r="M627" s="74"/>
      <c r="N627" s="74"/>
      <c r="O627" s="74"/>
      <c r="P627" s="74"/>
      <c r="Q627" s="74"/>
      <c r="R627" s="74"/>
      <c r="S627" s="74"/>
      <c r="T627" s="74"/>
      <c r="U627" s="74"/>
      <c r="V627" s="74"/>
      <c r="W627" s="74"/>
      <c r="X627" s="74"/>
      <c r="Y627" s="74"/>
      <c r="Z627" s="74"/>
    </row>
    <row r="628" spans="1:26" x14ac:dyDescent="0.3">
      <c r="A628" s="66">
        <f t="shared" si="62"/>
        <v>2052.0999999999435</v>
      </c>
      <c r="B628" s="67">
        <f>LOOKUP(A628+0.01,Amounts!$A$4:$A$103,Amounts!$B$4:$B$103)*0.1*$A$2</f>
        <v>0</v>
      </c>
      <c r="C628" s="68">
        <f t="shared" si="61"/>
        <v>120665.52921499971</v>
      </c>
      <c r="D628" s="67">
        <f t="array" ref="D628">SUM($B$7:$B623*$F$1009*EXP(-$F$1009*($A628-$A$7:$A623)))*$F$1010</f>
        <v>5609482.2262086021</v>
      </c>
      <c r="E628" s="67">
        <f t="shared" si="59"/>
        <v>10.693982658834249</v>
      </c>
      <c r="F628" s="70">
        <f t="shared" si="63"/>
        <v>0.64933862704441569</v>
      </c>
      <c r="G628" s="67">
        <f>E628/'Lookup Tables'!$C$48</f>
        <v>21.387965317668499</v>
      </c>
      <c r="H628" s="70">
        <f t="shared" si="60"/>
        <v>4.6581300575645891E-2</v>
      </c>
      <c r="I628" s="71">
        <f t="shared" si="64"/>
        <v>3.0798670057442641E-2</v>
      </c>
      <c r="L628" s="74"/>
      <c r="M628" s="74"/>
      <c r="N628" s="74"/>
      <c r="O628" s="74"/>
      <c r="P628" s="74"/>
      <c r="Q628" s="74"/>
      <c r="R628" s="74"/>
      <c r="S628" s="74"/>
      <c r="T628" s="74"/>
      <c r="U628" s="74"/>
      <c r="V628" s="74"/>
      <c r="W628" s="74"/>
      <c r="X628" s="74"/>
      <c r="Y628" s="74"/>
      <c r="Z628" s="74"/>
    </row>
    <row r="629" spans="1:26" x14ac:dyDescent="0.3">
      <c r="A629" s="66">
        <f t="shared" si="62"/>
        <v>2052.1999999999434</v>
      </c>
      <c r="B629" s="67">
        <f>LOOKUP(A629+0.01,Amounts!$A$4:$A$103,Amounts!$B$4:$B$103)*0.1*$A$2</f>
        <v>0</v>
      </c>
      <c r="C629" s="68">
        <f t="shared" si="61"/>
        <v>120665.52921499971</v>
      </c>
      <c r="D629" s="67">
        <f t="array" ref="D629">SUM($B$7:$B624*$F$1009*EXP(-$F$1009*($A629-$A$7:$A624)))*$F$1010</f>
        <v>5601634.4458199944</v>
      </c>
      <c r="E629" s="67">
        <f t="shared" si="59"/>
        <v>10.6790215583259</v>
      </c>
      <c r="F629" s="70">
        <f t="shared" si="63"/>
        <v>0.64843018902154859</v>
      </c>
      <c r="G629" s="67">
        <f>E629/'Lookup Tables'!$C$48</f>
        <v>21.3580431166518</v>
      </c>
      <c r="H629" s="70">
        <f t="shared" si="60"/>
        <v>4.6516132383218889E-2</v>
      </c>
      <c r="I629" s="71">
        <f t="shared" si="64"/>
        <v>3.075558208797859E-2</v>
      </c>
      <c r="L629" s="74"/>
      <c r="M629" s="74"/>
      <c r="N629" s="74"/>
      <c r="O629" s="74"/>
      <c r="P629" s="74"/>
      <c r="Q629" s="74"/>
      <c r="R629" s="74"/>
      <c r="S629" s="74"/>
      <c r="T629" s="74"/>
      <c r="U629" s="74"/>
      <c r="V629" s="74"/>
      <c r="W629" s="74"/>
      <c r="X629" s="74"/>
      <c r="Y629" s="74"/>
      <c r="Z629" s="74"/>
    </row>
    <row r="630" spans="1:26" x14ac:dyDescent="0.3">
      <c r="A630" s="66">
        <f t="shared" si="62"/>
        <v>2052.2999999999433</v>
      </c>
      <c r="B630" s="67">
        <f>LOOKUP(A630+0.01,Amounts!$A$4:$A$103,Amounts!$B$4:$B$103)*0.1*$A$2</f>
        <v>0</v>
      </c>
      <c r="C630" s="68">
        <f t="shared" si="61"/>
        <v>120665.52921499971</v>
      </c>
      <c r="D630" s="67">
        <f t="array" ref="D630">SUM($B$7:$B625*$F$1009*EXP(-$F$1009*($A630-$A$7:$A625)))*$F$1010</f>
        <v>5593797.6446366943</v>
      </c>
      <c r="E630" s="67">
        <f t="shared" si="59"/>
        <v>10.664081388703224</v>
      </c>
      <c r="F630" s="70">
        <f t="shared" si="63"/>
        <v>0.64752302192205979</v>
      </c>
      <c r="G630" s="67">
        <f>E630/'Lookup Tables'!$C$48</f>
        <v>21.328162777406448</v>
      </c>
      <c r="H630" s="70">
        <f t="shared" si="60"/>
        <v>4.6451055362426261E-2</v>
      </c>
      <c r="I630" s="71">
        <f t="shared" si="64"/>
        <v>3.0712554399465287E-2</v>
      </c>
      <c r="L630" s="74"/>
      <c r="M630" s="74"/>
      <c r="N630" s="74"/>
      <c r="O630" s="74"/>
      <c r="P630" s="74"/>
      <c r="Q630" s="74"/>
      <c r="R630" s="74"/>
      <c r="S630" s="74"/>
      <c r="T630" s="74"/>
      <c r="U630" s="74"/>
      <c r="V630" s="74"/>
      <c r="W630" s="74"/>
      <c r="X630" s="74"/>
      <c r="Y630" s="74"/>
      <c r="Z630" s="74"/>
    </row>
    <row r="631" spans="1:26" x14ac:dyDescent="0.3">
      <c r="A631" s="66">
        <f t="shared" si="62"/>
        <v>2052.3999999999432</v>
      </c>
      <c r="B631" s="67">
        <f>LOOKUP(A631+0.01,Amounts!$A$4:$A$103,Amounts!$B$4:$B$103)*0.1*$A$2</f>
        <v>0</v>
      </c>
      <c r="C631" s="68">
        <f t="shared" si="61"/>
        <v>120665.52921499971</v>
      </c>
      <c r="D631" s="67">
        <f t="array" ref="D631">SUM($B$7:$B626*$F$1009*EXP(-$F$1009*($A631-$A$7:$A626)))*$F$1010</f>
        <v>5585971.8072985662</v>
      </c>
      <c r="E631" s="67">
        <f t="shared" si="59"/>
        <v>10.64916212068348</v>
      </c>
      <c r="F631" s="70">
        <f t="shared" si="63"/>
        <v>0.64661712396790083</v>
      </c>
      <c r="G631" s="67">
        <f>E631/'Lookup Tables'!$C$48</f>
        <v>21.298324241366959</v>
      </c>
      <c r="H631" s="70">
        <f t="shared" si="60"/>
        <v>4.6386069385716988E-2</v>
      </c>
      <c r="I631" s="71">
        <f t="shared" si="64"/>
        <v>3.0669586907568422E-2</v>
      </c>
      <c r="L631" s="74"/>
      <c r="M631" s="74"/>
      <c r="N631" s="74"/>
      <c r="O631" s="74"/>
      <c r="P631" s="74"/>
      <c r="Q631" s="74"/>
      <c r="R631" s="74"/>
      <c r="S631" s="74"/>
      <c r="T631" s="74"/>
      <c r="U631" s="74"/>
      <c r="V631" s="74"/>
      <c r="W631" s="74"/>
      <c r="X631" s="74"/>
      <c r="Y631" s="74"/>
      <c r="Z631" s="74"/>
    </row>
    <row r="632" spans="1:26" x14ac:dyDescent="0.3">
      <c r="A632" s="66">
        <f t="shared" si="62"/>
        <v>2052.4999999999432</v>
      </c>
      <c r="B632" s="67">
        <f>LOOKUP(A632+0.01,Amounts!$A$4:$A$103,Amounts!$B$4:$B$103)*0.1*$A$2</f>
        <v>0</v>
      </c>
      <c r="C632" s="68">
        <f t="shared" si="61"/>
        <v>120665.52921499971</v>
      </c>
      <c r="D632" s="67">
        <f t="array" ref="D632">SUM($B$7:$B627*$F$1009*EXP(-$F$1009*($A632-$A$7:$A627)))*$F$1010</f>
        <v>5578156.9184669694</v>
      </c>
      <c r="E632" s="67">
        <f t="shared" si="59"/>
        <v>10.634263725024901</v>
      </c>
      <c r="F632" s="70">
        <f t="shared" si="63"/>
        <v>0.645712493383512</v>
      </c>
      <c r="G632" s="67">
        <f>E632/'Lookup Tables'!$C$48</f>
        <v>21.268527450049802</v>
      </c>
      <c r="H632" s="70">
        <f t="shared" si="60"/>
        <v>4.6321174325718563E-2</v>
      </c>
      <c r="I632" s="71">
        <f t="shared" si="64"/>
        <v>3.0626679528071712E-2</v>
      </c>
      <c r="L632" s="74"/>
      <c r="M632" s="74"/>
      <c r="N632" s="74"/>
      <c r="O632" s="74"/>
      <c r="P632" s="74"/>
      <c r="Q632" s="74"/>
      <c r="R632" s="74"/>
      <c r="S632" s="74"/>
      <c r="T632" s="74"/>
      <c r="U632" s="74"/>
      <c r="V632" s="74"/>
      <c r="W632" s="74"/>
      <c r="X632" s="74"/>
      <c r="Y632" s="74"/>
      <c r="Z632" s="74"/>
    </row>
    <row r="633" spans="1:26" x14ac:dyDescent="0.3">
      <c r="A633" s="66">
        <f t="shared" si="62"/>
        <v>2052.5999999999431</v>
      </c>
      <c r="B633" s="67">
        <f>LOOKUP(A633+0.01,Amounts!$A$4:$A$103,Amounts!$B$4:$B$103)*0.1*$A$2</f>
        <v>0</v>
      </c>
      <c r="C633" s="68">
        <f t="shared" si="61"/>
        <v>120665.52921499971</v>
      </c>
      <c r="D633" s="67">
        <f t="array" ref="D633">SUM($B$7:$B628*$F$1009*EXP(-$F$1009*($A633-$A$7:$A628)))*$F$1010</f>
        <v>5570352.962824719</v>
      </c>
      <c r="E633" s="67">
        <f t="shared" si="59"/>
        <v>10.619386172526632</v>
      </c>
      <c r="F633" s="70">
        <f t="shared" si="63"/>
        <v>0.64480912839581717</v>
      </c>
      <c r="G633" s="67">
        <f>E633/'Lookup Tables'!$C$48</f>
        <v>21.238772345053263</v>
      </c>
      <c r="H633" s="70">
        <f t="shared" si="60"/>
        <v>4.6256370055236667E-2</v>
      </c>
      <c r="I633" s="71">
        <f t="shared" si="64"/>
        <v>3.0583832176876703E-2</v>
      </c>
      <c r="L633" s="74"/>
      <c r="M633" s="74"/>
      <c r="N633" s="74"/>
      <c r="O633" s="74"/>
      <c r="P633" s="74"/>
      <c r="Q633" s="74"/>
      <c r="R633" s="74"/>
      <c r="S633" s="74"/>
      <c r="T633" s="74"/>
      <c r="U633" s="74"/>
      <c r="V633" s="74"/>
      <c r="W633" s="74"/>
      <c r="X633" s="74"/>
      <c r="Y633" s="74"/>
      <c r="Z633" s="74"/>
    </row>
    <row r="634" spans="1:26" x14ac:dyDescent="0.3">
      <c r="A634" s="66">
        <f t="shared" si="62"/>
        <v>2052.699999999943</v>
      </c>
      <c r="B634" s="67">
        <f>LOOKUP(A634+0.01,Amounts!$A$4:$A$103,Amounts!$B$4:$B$103)*0.1*$A$2</f>
        <v>0</v>
      </c>
      <c r="C634" s="68">
        <f t="shared" si="61"/>
        <v>120665.52921499971</v>
      </c>
      <c r="D634" s="67">
        <f t="array" ref="D634">SUM($B$7:$B629*$F$1009*EXP(-$F$1009*($A634-$A$7:$A629)))*$F$1010</f>
        <v>5562559.9250760581</v>
      </c>
      <c r="E634" s="67">
        <f t="shared" si="59"/>
        <v>10.604529434028654</v>
      </c>
      <c r="F634" s="70">
        <f t="shared" si="63"/>
        <v>0.64390702723422</v>
      </c>
      <c r="G634" s="67">
        <f>E634/'Lookup Tables'!$C$48</f>
        <v>21.209058868057308</v>
      </c>
      <c r="H634" s="70">
        <f t="shared" si="60"/>
        <v>4.6191656447254856E-2</v>
      </c>
      <c r="I634" s="71">
        <f t="shared" si="64"/>
        <v>3.0541044770002527E-2</v>
      </c>
      <c r="L634" s="74"/>
      <c r="M634" s="74"/>
      <c r="N634" s="74"/>
      <c r="O634" s="74"/>
      <c r="P634" s="74"/>
      <c r="Q634" s="74"/>
      <c r="R634" s="74"/>
      <c r="S634" s="74"/>
      <c r="T634" s="74"/>
      <c r="U634" s="74"/>
      <c r="V634" s="74"/>
      <c r="W634" s="74"/>
      <c r="X634" s="74"/>
      <c r="Y634" s="74"/>
      <c r="Z634" s="74"/>
    </row>
    <row r="635" spans="1:26" x14ac:dyDescent="0.3">
      <c r="A635" s="66">
        <f t="shared" si="62"/>
        <v>2052.7999999999429</v>
      </c>
      <c r="B635" s="67">
        <f>LOOKUP(A635+0.01,Amounts!$A$4:$A$103,Amounts!$B$4:$B$103)*0.1*$A$2</f>
        <v>0</v>
      </c>
      <c r="C635" s="68">
        <f t="shared" si="61"/>
        <v>120665.52921499971</v>
      </c>
      <c r="D635" s="67">
        <f t="array" ref="D635">SUM($B$7:$B630*$F$1009*EXP(-$F$1009*($A635-$A$7:$A630)))*$F$1010</f>
        <v>5554777.7899466325</v>
      </c>
      <c r="E635" s="67">
        <f t="shared" si="59"/>
        <v>10.589693480411769</v>
      </c>
      <c r="F635" s="70">
        <f t="shared" si="63"/>
        <v>0.64300618813060273</v>
      </c>
      <c r="G635" s="67">
        <f>E635/'Lookup Tables'!$C$48</f>
        <v>21.179386960823539</v>
      </c>
      <c r="H635" s="70">
        <f t="shared" si="60"/>
        <v>4.6127033374934505E-2</v>
      </c>
      <c r="I635" s="71">
        <f t="shared" si="64"/>
        <v>3.0498317223585893E-2</v>
      </c>
      <c r="L635" s="74"/>
      <c r="M635" s="74"/>
      <c r="N635" s="74"/>
      <c r="O635" s="74"/>
      <c r="P635" s="74"/>
      <c r="Q635" s="74"/>
      <c r="R635" s="74"/>
      <c r="S635" s="74"/>
      <c r="T635" s="74"/>
      <c r="U635" s="74"/>
      <c r="V635" s="74"/>
      <c r="W635" s="74"/>
      <c r="X635" s="74"/>
      <c r="Y635" s="74"/>
      <c r="Z635" s="74"/>
    </row>
    <row r="636" spans="1:26" x14ac:dyDescent="0.3">
      <c r="A636" s="66">
        <f t="shared" si="62"/>
        <v>2052.8999999999428</v>
      </c>
      <c r="B636" s="67">
        <f>LOOKUP(A636+0.01,Amounts!$A$4:$A$103,Amounts!$B$4:$B$103)*0.1*$A$2</f>
        <v>0</v>
      </c>
      <c r="C636" s="68">
        <f t="shared" si="61"/>
        <v>120665.52921499971</v>
      </c>
      <c r="D636" s="67">
        <f t="array" ref="D636">SUM($B$7:$B631*$F$1009*EXP(-$F$1009*($A636-$A$7:$A631)))*$F$1010</f>
        <v>5547006.5421834523</v>
      </c>
      <c r="E636" s="67">
        <f t="shared" si="59"/>
        <v>10.57487828259749</v>
      </c>
      <c r="F636" s="70">
        <f t="shared" si="63"/>
        <v>0.64210660931931962</v>
      </c>
      <c r="G636" s="67">
        <f>E636/'Lookup Tables'!$C$48</f>
        <v>21.149756565194981</v>
      </c>
      <c r="H636" s="70">
        <f t="shared" si="60"/>
        <v>4.6062500711614301E-2</v>
      </c>
      <c r="I636" s="71">
        <f t="shared" si="64"/>
        <v>3.0455649453880771E-2</v>
      </c>
      <c r="L636" s="74"/>
      <c r="M636" s="74"/>
      <c r="N636" s="74"/>
      <c r="O636" s="74"/>
      <c r="P636" s="74"/>
      <c r="Q636" s="74"/>
      <c r="R636" s="74"/>
      <c r="S636" s="74"/>
      <c r="T636" s="74"/>
      <c r="U636" s="74"/>
      <c r="V636" s="74"/>
      <c r="W636" s="74"/>
      <c r="X636" s="74"/>
      <c r="Y636" s="74"/>
      <c r="Z636" s="74"/>
    </row>
    <row r="637" spans="1:26" x14ac:dyDescent="0.3">
      <c r="A637" s="66">
        <f t="shared" si="62"/>
        <v>2052.9999999999427</v>
      </c>
      <c r="B637" s="67">
        <f>LOOKUP(A637+0.01,Amounts!$A$4:$A$103,Amounts!$B$4:$B$103)*0.1*$A$2</f>
        <v>0</v>
      </c>
      <c r="C637" s="68">
        <f t="shared" si="61"/>
        <v>120665.52921499971</v>
      </c>
      <c r="D637" s="67">
        <f t="array" ref="D637">SUM($B$7:$B632*$F$1009*EXP(-$F$1009*($A637-$A$7:$A632)))*$F$1010</f>
        <v>5539246.1665548701</v>
      </c>
      <c r="E637" s="67">
        <f t="shared" si="59"/>
        <v>10.560083811548033</v>
      </c>
      <c r="F637" s="70">
        <f t="shared" si="63"/>
        <v>0.64120828903719651</v>
      </c>
      <c r="G637" s="67">
        <f>E637/'Lookup Tables'!$C$48</f>
        <v>21.120167623096066</v>
      </c>
      <c r="H637" s="70">
        <f t="shared" si="60"/>
        <v>4.5998058330810263E-2</v>
      </c>
      <c r="I637" s="71">
        <f t="shared" si="64"/>
        <v>3.0413041377258334E-2</v>
      </c>
      <c r="L637" s="74"/>
      <c r="M637" s="74"/>
      <c r="N637" s="74"/>
      <c r="O637" s="74"/>
      <c r="P637" s="74"/>
      <c r="Q637" s="74"/>
      <c r="R637" s="74"/>
      <c r="S637" s="74"/>
      <c r="T637" s="74"/>
      <c r="U637" s="74"/>
      <c r="V637" s="74"/>
      <c r="W637" s="74"/>
      <c r="X637" s="74"/>
      <c r="Y637" s="74"/>
      <c r="Z637" s="74"/>
    </row>
    <row r="638" spans="1:26" x14ac:dyDescent="0.3">
      <c r="A638" s="66">
        <f t="shared" si="62"/>
        <v>2053.0999999999426</v>
      </c>
      <c r="B638" s="67">
        <f>LOOKUP(A638+0.01,Amounts!$A$4:$A$103,Amounts!$B$4:$B$103)*0.1*$A$2</f>
        <v>0</v>
      </c>
      <c r="C638" s="68">
        <f t="shared" si="61"/>
        <v>120665.52921499971</v>
      </c>
      <c r="D638" s="67">
        <f t="array" ref="D638">SUM($B$7:$B633*$F$1009*EXP(-$F$1009*($A638-$A$7:$A633)))*$F$1010</f>
        <v>5531496.6478505488</v>
      </c>
      <c r="E638" s="67">
        <f t="shared" si="59"/>
        <v>10.545310038266226</v>
      </c>
      <c r="F638" s="70">
        <f t="shared" si="63"/>
        <v>0.64031122552352526</v>
      </c>
      <c r="G638" s="67">
        <f>E638/'Lookup Tables'!$C$48</f>
        <v>21.090620076532453</v>
      </c>
      <c r="H638" s="70">
        <f t="shared" si="60"/>
        <v>4.5933706106215264E-2</v>
      </c>
      <c r="I638" s="71">
        <f t="shared" si="64"/>
        <v>3.0370492910206732E-2</v>
      </c>
      <c r="L638" s="74"/>
      <c r="M638" s="74"/>
      <c r="N638" s="74"/>
      <c r="O638" s="74"/>
      <c r="P638" s="74"/>
      <c r="Q638" s="74"/>
      <c r="R638" s="74"/>
      <c r="S638" s="74"/>
      <c r="T638" s="74"/>
      <c r="U638" s="74"/>
      <c r="V638" s="74"/>
      <c r="W638" s="74"/>
      <c r="X638" s="74"/>
      <c r="Y638" s="74"/>
      <c r="Z638" s="74"/>
    </row>
    <row r="639" spans="1:26" x14ac:dyDescent="0.3">
      <c r="A639" s="66">
        <f t="shared" si="62"/>
        <v>2053.1999999999425</v>
      </c>
      <c r="B639" s="67">
        <f>LOOKUP(A639+0.01,Amounts!$A$4:$A$103,Amounts!$B$4:$B$103)*0.1*$A$2</f>
        <v>0</v>
      </c>
      <c r="C639" s="68">
        <f t="shared" si="61"/>
        <v>120665.52921499971</v>
      </c>
      <c r="D639" s="67">
        <f t="array" ref="D639">SUM($B$7:$B634*$F$1009*EXP(-$F$1009*($A639-$A$7:$A634)))*$F$1010</f>
        <v>5523757.9708814248</v>
      </c>
      <c r="E639" s="67">
        <f t="shared" si="59"/>
        <v>10.530556933795465</v>
      </c>
      <c r="F639" s="70">
        <f t="shared" si="63"/>
        <v>0.63941541702006066</v>
      </c>
      <c r="G639" s="67">
        <f>E639/'Lookup Tables'!$C$48</f>
        <v>21.06111386759093</v>
      </c>
      <c r="H639" s="70">
        <f t="shared" si="60"/>
        <v>4.5869443911698927E-2</v>
      </c>
      <c r="I639" s="71">
        <f t="shared" si="64"/>
        <v>3.0328003969330941E-2</v>
      </c>
      <c r="L639" s="74"/>
      <c r="M639" s="74"/>
      <c r="N639" s="74"/>
      <c r="O639" s="74"/>
      <c r="P639" s="74"/>
      <c r="Q639" s="74"/>
      <c r="R639" s="74"/>
      <c r="S639" s="74"/>
      <c r="T639" s="74"/>
      <c r="U639" s="74"/>
      <c r="V639" s="74"/>
      <c r="W639" s="74"/>
      <c r="X639" s="74"/>
      <c r="Y639" s="74"/>
      <c r="Z639" s="74"/>
    </row>
    <row r="640" spans="1:26" x14ac:dyDescent="0.3">
      <c r="A640" s="66">
        <f t="shared" si="62"/>
        <v>2053.2999999999424</v>
      </c>
      <c r="B640" s="67">
        <f>LOOKUP(A640+0.01,Amounts!$A$4:$A$103,Amounts!$B$4:$B$103)*0.1*$A$2</f>
        <v>0</v>
      </c>
      <c r="C640" s="68">
        <f t="shared" si="61"/>
        <v>120665.52921499971</v>
      </c>
      <c r="D640" s="67">
        <f t="array" ref="D640">SUM($B$7:$B635*$F$1009*EXP(-$F$1009*($A640-$A$7:$A635)))*$F$1010</f>
        <v>5516030.1204796936</v>
      </c>
      <c r="E640" s="67">
        <f t="shared" si="59"/>
        <v>10.51582446921967</v>
      </c>
      <c r="F640" s="70">
        <f t="shared" si="63"/>
        <v>0.63852086177101841</v>
      </c>
      <c r="G640" s="67">
        <f>E640/'Lookup Tables'!$C$48</f>
        <v>21.031648938439339</v>
      </c>
      <c r="H640" s="70">
        <f t="shared" si="60"/>
        <v>4.5805271621307354E-2</v>
      </c>
      <c r="I640" s="71">
        <f t="shared" si="64"/>
        <v>3.028557447135265E-2</v>
      </c>
      <c r="L640" s="74"/>
      <c r="M640" s="74"/>
      <c r="N640" s="74"/>
      <c r="O640" s="74"/>
      <c r="P640" s="74"/>
      <c r="Q640" s="74"/>
      <c r="R640" s="74"/>
      <c r="S640" s="74"/>
      <c r="T640" s="74"/>
      <c r="U640" s="74"/>
      <c r="V640" s="74"/>
      <c r="W640" s="74"/>
      <c r="X640" s="74"/>
      <c r="Y640" s="74"/>
      <c r="Z640" s="74"/>
    </row>
    <row r="641" spans="1:26" x14ac:dyDescent="0.3">
      <c r="A641" s="66">
        <f t="shared" si="62"/>
        <v>2053.3999999999423</v>
      </c>
      <c r="B641" s="67">
        <f>LOOKUP(A641+0.01,Amounts!$A$4:$A$103,Amounts!$B$4:$B$103)*0.1*$A$2</f>
        <v>0</v>
      </c>
      <c r="C641" s="68">
        <f t="shared" si="61"/>
        <v>120665.52921499971</v>
      </c>
      <c r="D641" s="67">
        <f t="array" ref="D641">SUM($B$7:$B636*$F$1009*EXP(-$F$1009*($A641-$A$7:$A636)))*$F$1010</f>
        <v>5508313.0814987663</v>
      </c>
      <c r="E641" s="67">
        <f t="shared" si="59"/>
        <v>10.501112615663203</v>
      </c>
      <c r="F641" s="70">
        <f t="shared" si="63"/>
        <v>0.63762755802306958</v>
      </c>
      <c r="G641" s="67">
        <f>E641/'Lookup Tables'!$C$48</f>
        <v>21.002225231326406</v>
      </c>
      <c r="H641" s="70">
        <f t="shared" si="60"/>
        <v>4.5741189109262823E-2</v>
      </c>
      <c r="I641" s="71">
        <f t="shared" si="64"/>
        <v>3.0243204333110025E-2</v>
      </c>
      <c r="L641" s="74"/>
      <c r="M641" s="74"/>
      <c r="N641" s="74"/>
      <c r="O641" s="74"/>
      <c r="P641" s="74"/>
      <c r="Q641" s="74"/>
      <c r="R641" s="74"/>
      <c r="S641" s="74"/>
      <c r="T641" s="74"/>
      <c r="U641" s="74"/>
      <c r="V641" s="74"/>
      <c r="W641" s="74"/>
      <c r="X641" s="74"/>
      <c r="Y641" s="74"/>
      <c r="Z641" s="74"/>
    </row>
    <row r="642" spans="1:26" x14ac:dyDescent="0.3">
      <c r="A642" s="66">
        <f t="shared" si="62"/>
        <v>2053.4999999999422</v>
      </c>
      <c r="B642" s="67">
        <f>LOOKUP(A642+0.01,Amounts!$A$4:$A$103,Amounts!$B$4:$B$103)*0.1*$A$2</f>
        <v>0</v>
      </c>
      <c r="C642" s="68">
        <f t="shared" si="61"/>
        <v>120665.52921499971</v>
      </c>
      <c r="D642" s="67">
        <f t="array" ref="D642">SUM($B$7:$B637*$F$1009*EXP(-$F$1009*($A642-$A$7:$A637)))*$F$1010</f>
        <v>5500606.8388132397</v>
      </c>
      <c r="E642" s="67">
        <f t="shared" si="59"/>
        <v>10.48642134429082</v>
      </c>
      <c r="F642" s="70">
        <f t="shared" si="63"/>
        <v>0.63673550402533852</v>
      </c>
      <c r="G642" s="67">
        <f>E642/'Lookup Tables'!$C$48</f>
        <v>20.97284268858164</v>
      </c>
      <c r="H642" s="70">
        <f t="shared" si="60"/>
        <v>4.5677196249963574E-2</v>
      </c>
      <c r="I642" s="71">
        <f t="shared" si="64"/>
        <v>3.020089347155756E-2</v>
      </c>
      <c r="L642" s="74"/>
      <c r="M642" s="74"/>
      <c r="N642" s="74"/>
      <c r="O642" s="74"/>
      <c r="P642" s="74"/>
      <c r="Q642" s="74"/>
      <c r="R642" s="74"/>
      <c r="S642" s="74"/>
      <c r="T642" s="74"/>
      <c r="U642" s="74"/>
      <c r="V642" s="74"/>
      <c r="W642" s="74"/>
      <c r="X642" s="74"/>
      <c r="Y642" s="74"/>
      <c r="Z642" s="74"/>
    </row>
    <row r="643" spans="1:26" x14ac:dyDescent="0.3">
      <c r="A643" s="66">
        <f t="shared" si="62"/>
        <v>2053.5999999999422</v>
      </c>
      <c r="B643" s="67">
        <f>LOOKUP(A643+0.01,Amounts!$A$4:$A$103,Amounts!$B$4:$B$103)*0.1*$A$2</f>
        <v>0</v>
      </c>
      <c r="C643" s="68">
        <f t="shared" si="61"/>
        <v>120665.52921499971</v>
      </c>
      <c r="D643" s="67">
        <f t="array" ref="D643">SUM($B$7:$B638*$F$1009*EXP(-$F$1009*($A643-$A$7:$A638)))*$F$1010</f>
        <v>5492911.3773188805</v>
      </c>
      <c r="E643" s="67">
        <f t="shared" si="59"/>
        <v>10.471750626307633</v>
      </c>
      <c r="F643" s="70">
        <f t="shared" si="63"/>
        <v>0.63584469802939947</v>
      </c>
      <c r="G643" s="67">
        <f>E643/'Lookup Tables'!$C$48</f>
        <v>20.943501252615267</v>
      </c>
      <c r="H643" s="70">
        <f t="shared" si="60"/>
        <v>4.5613292917983626E-2</v>
      </c>
      <c r="I643" s="71">
        <f t="shared" si="64"/>
        <v>3.0158641803765984E-2</v>
      </c>
      <c r="L643" s="74"/>
      <c r="M643" s="74"/>
      <c r="N643" s="74"/>
      <c r="O643" s="74"/>
      <c r="P643" s="74"/>
      <c r="Q643" s="74"/>
      <c r="R643" s="74"/>
      <c r="S643" s="74"/>
      <c r="T643" s="74"/>
      <c r="U643" s="74"/>
      <c r="V643" s="74"/>
      <c r="W643" s="74"/>
      <c r="X643" s="74"/>
      <c r="Y643" s="74"/>
      <c r="Z643" s="74"/>
    </row>
    <row r="644" spans="1:26" x14ac:dyDescent="0.3">
      <c r="A644" s="66">
        <f t="shared" si="62"/>
        <v>2053.6999999999421</v>
      </c>
      <c r="B644" s="67">
        <f>LOOKUP(A644+0.01,Amounts!$A$4:$A$103,Amounts!$B$4:$B$103)*0.1*$A$2</f>
        <v>0</v>
      </c>
      <c r="C644" s="68">
        <f t="shared" si="61"/>
        <v>120665.52921499971</v>
      </c>
      <c r="D644" s="67">
        <f t="array" ref="D644">SUM($B$7:$B639*$F$1009*EXP(-$F$1009*($A644-$A$7:$A639)))*$F$1010</f>
        <v>5485226.6819325788</v>
      </c>
      <c r="E644" s="67">
        <f t="shared" si="59"/>
        <v>10.457100432959024</v>
      </c>
      <c r="F644" s="70">
        <f t="shared" si="63"/>
        <v>0.63495513828927197</v>
      </c>
      <c r="G644" s="67">
        <f>E644/'Lookup Tables'!$C$48</f>
        <v>20.914200865918048</v>
      </c>
      <c r="H644" s="70">
        <f t="shared" si="60"/>
        <v>4.5549478988072385E-2</v>
      </c>
      <c r="I644" s="71">
        <f t="shared" si="64"/>
        <v>3.011644924692199E-2</v>
      </c>
      <c r="L644" s="74"/>
      <c r="M644" s="74"/>
      <c r="N644" s="74"/>
      <c r="O644" s="74"/>
      <c r="P644" s="74"/>
      <c r="Q644" s="74"/>
      <c r="R644" s="74"/>
      <c r="S644" s="74"/>
      <c r="T644" s="74"/>
      <c r="U644" s="74"/>
      <c r="V644" s="74"/>
      <c r="W644" s="74"/>
      <c r="X644" s="74"/>
      <c r="Y644" s="74"/>
      <c r="Z644" s="74"/>
    </row>
    <row r="645" spans="1:26" x14ac:dyDescent="0.3">
      <c r="A645" s="66">
        <f t="shared" si="62"/>
        <v>2053.799999999942</v>
      </c>
      <c r="B645" s="67">
        <f>LOOKUP(A645+0.01,Amounts!$A$4:$A$103,Amounts!$B$4:$B$103)*0.1*$A$2</f>
        <v>0</v>
      </c>
      <c r="C645" s="68">
        <f t="shared" si="61"/>
        <v>120665.52921499971</v>
      </c>
      <c r="D645" s="67">
        <f t="array" ref="D645">SUM($B$7:$B640*$F$1009*EXP(-$F$1009*($A645-$A$7:$A640)))*$F$1010</f>
        <v>5477552.7375923293</v>
      </c>
      <c r="E645" s="67">
        <f t="shared" si="59"/>
        <v>10.442470735530613</v>
      </c>
      <c r="F645" s="70">
        <f t="shared" si="63"/>
        <v>0.63406682306141882</v>
      </c>
      <c r="G645" s="67">
        <f>E645/'Lookup Tables'!$C$48</f>
        <v>20.884941471061225</v>
      </c>
      <c r="H645" s="70">
        <f t="shared" si="60"/>
        <v>4.5485754335154546E-2</v>
      </c>
      <c r="I645" s="71">
        <f t="shared" si="64"/>
        <v>3.0074315718328165E-2</v>
      </c>
      <c r="L645" s="74"/>
      <c r="M645" s="74"/>
      <c r="N645" s="74"/>
      <c r="O645" s="74"/>
      <c r="P645" s="74"/>
      <c r="Q645" s="74"/>
      <c r="R645" s="74"/>
      <c r="S645" s="74"/>
      <c r="T645" s="74"/>
      <c r="U645" s="74"/>
      <c r="V645" s="74"/>
      <c r="W645" s="74"/>
      <c r="X645" s="74"/>
      <c r="Y645" s="74"/>
      <c r="Z645" s="74"/>
    </row>
    <row r="646" spans="1:26" x14ac:dyDescent="0.3">
      <c r="A646" s="66">
        <f t="shared" si="62"/>
        <v>2053.8999999999419</v>
      </c>
      <c r="B646" s="67">
        <f>LOOKUP(A646+0.01,Amounts!$A$4:$A$103,Amounts!$B$4:$B$103)*0.1*$A$2</f>
        <v>0</v>
      </c>
      <c r="C646" s="68">
        <f t="shared" si="61"/>
        <v>120665.52921499971</v>
      </c>
      <c r="D646" s="67">
        <f t="array" ref="D646">SUM($B$7:$B641*$F$1009*EXP(-$F$1009*($A646-$A$7:$A641)))*$F$1010</f>
        <v>5469889.5292571997</v>
      </c>
      <c r="E646" s="67">
        <f t="shared" si="59"/>
        <v>10.427861505348186</v>
      </c>
      <c r="F646" s="70">
        <f t="shared" si="63"/>
        <v>0.63317975060474196</v>
      </c>
      <c r="G646" s="67">
        <f>E646/'Lookup Tables'!$C$48</f>
        <v>20.855723010696373</v>
      </c>
      <c r="H646" s="70">
        <f t="shared" si="60"/>
        <v>4.5422118834329769E-2</v>
      </c>
      <c r="I646" s="71">
        <f t="shared" si="64"/>
        <v>3.003224113540278E-2</v>
      </c>
      <c r="L646" s="74"/>
      <c r="M646" s="74"/>
      <c r="N646" s="74"/>
      <c r="O646" s="74"/>
      <c r="P646" s="74"/>
      <c r="Q646" s="74"/>
      <c r="R646" s="74"/>
      <c r="S646" s="74"/>
      <c r="T646" s="74"/>
      <c r="U646" s="74"/>
      <c r="V646" s="74"/>
      <c r="W646" s="74"/>
      <c r="X646" s="74"/>
      <c r="Y646" s="74"/>
      <c r="Z646" s="74"/>
    </row>
    <row r="647" spans="1:26" x14ac:dyDescent="0.3">
      <c r="A647" s="66">
        <f t="shared" si="62"/>
        <v>2053.9999999999418</v>
      </c>
      <c r="B647" s="67">
        <f>LOOKUP(A647+0.01,Amounts!$A$4:$A$103,Amounts!$B$4:$B$103)*0.1*$A$2</f>
        <v>0</v>
      </c>
      <c r="C647" s="68">
        <f t="shared" si="61"/>
        <v>120665.52921499971</v>
      </c>
      <c r="D647" s="67">
        <f t="array" ref="D647">SUM($B$7:$B642*$F$1009*EXP(-$F$1009*($A647-$A$7:$A642)))*$F$1010</f>
        <v>5462237.0419072974</v>
      </c>
      <c r="E647" s="67">
        <f t="shared" ref="E647:E710" si="65">D647/(365*24*60)*1.00201</f>
        <v>10.413272713777648</v>
      </c>
      <c r="F647" s="70">
        <f t="shared" si="63"/>
        <v>0.63229391918057876</v>
      </c>
      <c r="G647" s="67">
        <f>E647/'Lookup Tables'!$C$48</f>
        <v>20.826545427555295</v>
      </c>
      <c r="H647" s="70">
        <f t="shared" ref="H647:H710" si="66">G647*60*24*365/(C647*2000)</f>
        <v>4.5358572360872443E-2</v>
      </c>
      <c r="I647" s="71">
        <f t="shared" si="64"/>
        <v>2.9990225415679625E-2</v>
      </c>
      <c r="L647" s="74"/>
      <c r="M647" s="74"/>
      <c r="N647" s="74"/>
      <c r="O647" s="74"/>
      <c r="P647" s="74"/>
      <c r="Q647" s="74"/>
      <c r="R647" s="74"/>
      <c r="S647" s="74"/>
      <c r="T647" s="74"/>
      <c r="U647" s="74"/>
      <c r="V647" s="74"/>
      <c r="W647" s="74"/>
      <c r="X647" s="74"/>
      <c r="Y647" s="74"/>
      <c r="Z647" s="74"/>
    </row>
    <row r="648" spans="1:26" x14ac:dyDescent="0.3">
      <c r="A648" s="66">
        <f t="shared" si="62"/>
        <v>2054.0999999999417</v>
      </c>
      <c r="B648" s="67">
        <f>LOOKUP(A648+0.01,Amounts!$A$4:$A$103,Amounts!$B$4:$B$103)*0.1*$A$2</f>
        <v>0</v>
      </c>
      <c r="C648" s="68">
        <f t="shared" si="61"/>
        <v>120665.52921499971</v>
      </c>
      <c r="D648" s="67">
        <f t="array" ref="D648">SUM($B$7:$B643*$F$1009*EXP(-$F$1009*($A648-$A$7:$A643)))*$F$1010</f>
        <v>5454595.2605437478</v>
      </c>
      <c r="E648" s="67">
        <f t="shared" si="65"/>
        <v>10.398704332224964</v>
      </c>
      <c r="F648" s="70">
        <f t="shared" si="63"/>
        <v>0.63140932705269992</v>
      </c>
      <c r="G648" s="67">
        <f>E648/'Lookup Tables'!$C$48</f>
        <v>20.797408664449929</v>
      </c>
      <c r="H648" s="70">
        <f t="shared" si="66"/>
        <v>4.5295114790231475E-2</v>
      </c>
      <c r="I648" s="71">
        <f t="shared" si="64"/>
        <v>2.9948268476807899E-2</v>
      </c>
      <c r="L648" s="74"/>
      <c r="M648" s="74"/>
      <c r="N648" s="74"/>
      <c r="O648" s="74"/>
      <c r="P648" s="74"/>
      <c r="Q648" s="74"/>
      <c r="R648" s="74"/>
      <c r="S648" s="74"/>
      <c r="T648" s="74"/>
      <c r="U648" s="74"/>
      <c r="V648" s="74"/>
      <c r="W648" s="74"/>
      <c r="X648" s="74"/>
      <c r="Y648" s="74"/>
      <c r="Z648" s="74"/>
    </row>
    <row r="649" spans="1:26" x14ac:dyDescent="0.3">
      <c r="A649" s="66">
        <f t="shared" si="62"/>
        <v>2054.1999999999416</v>
      </c>
      <c r="B649" s="67">
        <f>LOOKUP(A649+0.01,Amounts!$A$4:$A$103,Amounts!$B$4:$B$103)*0.1*$A$2</f>
        <v>0</v>
      </c>
      <c r="C649" s="68">
        <f t="shared" ref="C649:C712" si="67">C648+B649</f>
        <v>120665.52921499971</v>
      </c>
      <c r="D649" s="67">
        <f t="array" ref="D649">SUM($B$7:$B644*$F$1009*EXP(-$F$1009*($A649-$A$7:$A644)))*$F$1010</f>
        <v>5446964.1701886533</v>
      </c>
      <c r="E649" s="67">
        <f t="shared" si="65"/>
        <v>10.384156332136097</v>
      </c>
      <c r="F649" s="70">
        <f t="shared" si="63"/>
        <v>0.63052597248730391</v>
      </c>
      <c r="G649" s="67">
        <f>E649/'Lookup Tables'!$C$48</f>
        <v>20.768312664272194</v>
      </c>
      <c r="H649" s="70">
        <f t="shared" si="66"/>
        <v>4.5231745998029989E-2</v>
      </c>
      <c r="I649" s="71">
        <f t="shared" si="64"/>
        <v>2.9906370236551964E-2</v>
      </c>
      <c r="L649" s="74"/>
      <c r="M649" s="74"/>
      <c r="N649" s="74"/>
      <c r="O649" s="74"/>
      <c r="P649" s="74"/>
      <c r="Q649" s="74"/>
      <c r="R649" s="74"/>
      <c r="S649" s="74"/>
      <c r="T649" s="74"/>
      <c r="U649" s="74"/>
      <c r="V649" s="74"/>
      <c r="W649" s="74"/>
      <c r="X649" s="74"/>
      <c r="Y649" s="74"/>
      <c r="Z649" s="74"/>
    </row>
    <row r="650" spans="1:26" x14ac:dyDescent="0.3">
      <c r="A650" s="66">
        <f t="shared" si="62"/>
        <v>2054.2999999999415</v>
      </c>
      <c r="B650" s="67">
        <f>LOOKUP(A650+0.01,Amounts!$A$4:$A$103,Amounts!$B$4:$B$103)*0.1*$A$2</f>
        <v>0</v>
      </c>
      <c r="C650" s="68">
        <f t="shared" si="67"/>
        <v>120665.52921499971</v>
      </c>
      <c r="D650" s="67">
        <f t="array" ref="D650">SUM($B$7:$B645*$F$1009*EXP(-$F$1009*($A650-$A$7:$A645)))*$F$1010</f>
        <v>5439343.7558850767</v>
      </c>
      <c r="E650" s="67">
        <f t="shared" si="65"/>
        <v>10.369628684996968</v>
      </c>
      <c r="F650" s="70">
        <f t="shared" si="63"/>
        <v>0.6296438537530159</v>
      </c>
      <c r="G650" s="67">
        <f>E650/'Lookup Tables'!$C$48</f>
        <v>20.739257369993936</v>
      </c>
      <c r="H650" s="70">
        <f t="shared" si="66"/>
        <v>4.5168465860065135E-2</v>
      </c>
      <c r="I650" s="71">
        <f t="shared" si="64"/>
        <v>2.9864530612791269E-2</v>
      </c>
      <c r="L650" s="74"/>
      <c r="M650" s="74"/>
      <c r="N650" s="74"/>
      <c r="O650" s="74"/>
      <c r="P650" s="74"/>
      <c r="Q650" s="74"/>
      <c r="R650" s="74"/>
      <c r="S650" s="74"/>
      <c r="T650" s="74"/>
      <c r="U650" s="74"/>
      <c r="V650" s="74"/>
      <c r="W650" s="74"/>
      <c r="X650" s="74"/>
      <c r="Y650" s="74"/>
      <c r="Z650" s="74"/>
    </row>
    <row r="651" spans="1:26" x14ac:dyDescent="0.3">
      <c r="A651" s="66">
        <f t="shared" si="62"/>
        <v>2054.3999999999414</v>
      </c>
      <c r="B651" s="67">
        <f>LOOKUP(A651+0.01,Amounts!$A$4:$A$103,Amounts!$B$4:$B$103)*0.1*$A$2</f>
        <v>0</v>
      </c>
      <c r="C651" s="68">
        <f t="shared" si="67"/>
        <v>120665.52921499971</v>
      </c>
      <c r="D651" s="67">
        <f t="array" ref="D651">SUM($B$7:$B646*$F$1009*EXP(-$F$1009*($A651-$A$7:$A646)))*$F$1010</f>
        <v>5431734.0026970031</v>
      </c>
      <c r="E651" s="67">
        <f t="shared" si="65"/>
        <v>10.35512136233338</v>
      </c>
      <c r="F651" s="70">
        <f t="shared" si="63"/>
        <v>0.62876296912088281</v>
      </c>
      <c r="G651" s="67">
        <f>E651/'Lookup Tables'!$C$48</f>
        <v>20.71024272466676</v>
      </c>
      <c r="H651" s="70">
        <f t="shared" si="66"/>
        <v>4.5105274252307828E-2</v>
      </c>
      <c r="I651" s="71">
        <f t="shared" si="64"/>
        <v>2.9822749523520133E-2</v>
      </c>
      <c r="L651" s="74"/>
      <c r="M651" s="74"/>
      <c r="N651" s="74"/>
      <c r="O651" s="74"/>
      <c r="P651" s="74"/>
      <c r="Q651" s="74"/>
      <c r="R651" s="74"/>
      <c r="S651" s="74"/>
      <c r="T651" s="74"/>
      <c r="U651" s="74"/>
      <c r="V651" s="74"/>
      <c r="W651" s="74"/>
      <c r="X651" s="74"/>
      <c r="Y651" s="74"/>
      <c r="Z651" s="74"/>
    </row>
    <row r="652" spans="1:26" x14ac:dyDescent="0.3">
      <c r="A652" s="66">
        <f t="shared" si="62"/>
        <v>2054.4999999999413</v>
      </c>
      <c r="B652" s="67">
        <f>LOOKUP(A652+0.01,Amounts!$A$4:$A$103,Amounts!$B$4:$B$103)*0.1*$A$2</f>
        <v>0</v>
      </c>
      <c r="C652" s="68">
        <f t="shared" si="67"/>
        <v>120665.52921499971</v>
      </c>
      <c r="D652" s="67">
        <f t="array" ref="D652">SUM($B$7:$B647*$F$1009*EXP(-$F$1009*($A652-$A$7:$A647)))*$F$1010</f>
        <v>5424134.8957093144</v>
      </c>
      <c r="E652" s="67">
        <f t="shared" si="65"/>
        <v>10.340634335710979</v>
      </c>
      <c r="F652" s="70">
        <f t="shared" si="63"/>
        <v>0.6278833168643706</v>
      </c>
      <c r="G652" s="67">
        <f>E652/'Lookup Tables'!$C$48</f>
        <v>20.681268671421957</v>
      </c>
      <c r="H652" s="70">
        <f t="shared" si="66"/>
        <v>4.504217105090251E-2</v>
      </c>
      <c r="I652" s="71">
        <f t="shared" si="64"/>
        <v>2.9781026886847618E-2</v>
      </c>
      <c r="L652" s="74"/>
      <c r="M652" s="74"/>
      <c r="N652" s="74"/>
      <c r="O652" s="74"/>
      <c r="P652" s="74"/>
      <c r="Q652" s="74"/>
      <c r="R652" s="74"/>
      <c r="S652" s="74"/>
      <c r="T652" s="74"/>
      <c r="U652" s="74"/>
      <c r="V652" s="74"/>
      <c r="W652" s="74"/>
      <c r="X652" s="74"/>
      <c r="Y652" s="74"/>
      <c r="Z652" s="74"/>
    </row>
    <row r="653" spans="1:26" x14ac:dyDescent="0.3">
      <c r="A653" s="66">
        <f t="shared" si="62"/>
        <v>2054.5999999999412</v>
      </c>
      <c r="B653" s="67">
        <f>LOOKUP(A653+0.01,Amounts!$A$4:$A$103,Amounts!$B$4:$B$103)*0.1*$A$2</f>
        <v>0</v>
      </c>
      <c r="C653" s="68">
        <f t="shared" si="67"/>
        <v>120665.52921499971</v>
      </c>
      <c r="D653" s="67">
        <f t="array" ref="D653">SUM($B$7:$B648*$F$1009*EXP(-$F$1009*($A653-$A$7:$A648)))*$F$1010</f>
        <v>5416546.4200277543</v>
      </c>
      <c r="E653" s="67">
        <f t="shared" si="65"/>
        <v>10.326167576735179</v>
      </c>
      <c r="F653" s="70">
        <f t="shared" si="63"/>
        <v>0.6270048952593601</v>
      </c>
      <c r="G653" s="67">
        <f>E653/'Lookup Tables'!$C$48</f>
        <v>20.652335153470357</v>
      </c>
      <c r="H653" s="70">
        <f t="shared" si="66"/>
        <v>4.4979156132166832E-2</v>
      </c>
      <c r="I653" s="71">
        <f t="shared" si="64"/>
        <v>2.9739362620997314E-2</v>
      </c>
      <c r="L653" s="74"/>
      <c r="M653" s="74"/>
      <c r="N653" s="74"/>
      <c r="O653" s="74"/>
      <c r="P653" s="74"/>
      <c r="Q653" s="74"/>
      <c r="R653" s="74"/>
      <c r="S653" s="74"/>
      <c r="T653" s="74"/>
      <c r="U653" s="74"/>
      <c r="V653" s="74"/>
      <c r="W653" s="74"/>
      <c r="X653" s="74"/>
      <c r="Y653" s="74"/>
      <c r="Z653" s="74"/>
    </row>
    <row r="654" spans="1:26" x14ac:dyDescent="0.3">
      <c r="A654" s="66">
        <f t="shared" si="62"/>
        <v>2054.6999999999412</v>
      </c>
      <c r="B654" s="67">
        <f>LOOKUP(A654+0.01,Amounts!$A$4:$A$103,Amounts!$B$4:$B$103)*0.1*$A$2</f>
        <v>0</v>
      </c>
      <c r="C654" s="68">
        <f t="shared" si="67"/>
        <v>120665.52921499971</v>
      </c>
      <c r="D654" s="67">
        <f t="array" ref="D654">SUM($B$7:$B649*$F$1009*EXP(-$F$1009*($A654-$A$7:$A649)))*$F$1010</f>
        <v>5408968.5607789131</v>
      </c>
      <c r="E654" s="67">
        <f t="shared" si="65"/>
        <v>10.311721057051141</v>
      </c>
      <c r="F654" s="70">
        <f t="shared" si="63"/>
        <v>0.62612770258414541</v>
      </c>
      <c r="G654" s="67">
        <f>E654/'Lookup Tables'!$C$48</f>
        <v>20.623442114102282</v>
      </c>
      <c r="H654" s="70">
        <f t="shared" si="66"/>
        <v>4.4916229372591598E-2</v>
      </c>
      <c r="I654" s="71">
        <f t="shared" si="64"/>
        <v>2.9697756644307287E-2</v>
      </c>
      <c r="L654" s="74"/>
      <c r="M654" s="74"/>
      <c r="N654" s="74"/>
      <c r="O654" s="74"/>
      <c r="P654" s="74"/>
      <c r="Q654" s="74"/>
      <c r="R654" s="74"/>
      <c r="S654" s="74"/>
      <c r="T654" s="74"/>
      <c r="U654" s="74"/>
      <c r="V654" s="74"/>
      <c r="W654" s="74"/>
      <c r="X654" s="74"/>
      <c r="Y654" s="74"/>
      <c r="Z654" s="74"/>
    </row>
    <row r="655" spans="1:26" x14ac:dyDescent="0.3">
      <c r="A655" s="66">
        <f t="shared" si="62"/>
        <v>2054.7999999999411</v>
      </c>
      <c r="B655" s="67">
        <f>LOOKUP(A655+0.01,Amounts!$A$4:$A$103,Amounts!$B$4:$B$103)*0.1*$A$2</f>
        <v>0</v>
      </c>
      <c r="C655" s="68">
        <f t="shared" si="67"/>
        <v>120665.52921499971</v>
      </c>
      <c r="D655" s="67">
        <f t="array" ref="D655">SUM($B$7:$B650*$F$1009*EXP(-$F$1009*($A655-$A$7:$A650)))*$F$1010</f>
        <v>5401401.3031101832</v>
      </c>
      <c r="E655" s="67">
        <f t="shared" si="65"/>
        <v>10.297294748343674</v>
      </c>
      <c r="F655" s="70">
        <f t="shared" si="63"/>
        <v>0.62525173711942783</v>
      </c>
      <c r="G655" s="67">
        <f>E655/'Lookup Tables'!$C$48</f>
        <v>20.594589496687348</v>
      </c>
      <c r="H655" s="70">
        <f t="shared" si="66"/>
        <v>4.4853390648840301E-2</v>
      </c>
      <c r="I655" s="71">
        <f t="shared" si="64"/>
        <v>2.9656208875229777E-2</v>
      </c>
      <c r="L655" s="74"/>
      <c r="M655" s="74"/>
      <c r="N655" s="74"/>
      <c r="O655" s="74"/>
      <c r="P655" s="74"/>
      <c r="Q655" s="74"/>
      <c r="R655" s="74"/>
      <c r="S655" s="74"/>
      <c r="T655" s="74"/>
      <c r="U655" s="74"/>
      <c r="V655" s="74"/>
      <c r="W655" s="74"/>
      <c r="X655" s="74"/>
      <c r="Y655" s="74"/>
      <c r="Z655" s="74"/>
    </row>
    <row r="656" spans="1:26" x14ac:dyDescent="0.3">
      <c r="A656" s="66">
        <f t="shared" si="62"/>
        <v>2054.899999999941</v>
      </c>
      <c r="B656" s="67">
        <f>LOOKUP(A656+0.01,Amounts!$A$4:$A$103,Amounts!$B$4:$B$103)*0.1*$A$2</f>
        <v>0</v>
      </c>
      <c r="C656" s="68">
        <f t="shared" si="67"/>
        <v>120665.52921499971</v>
      </c>
      <c r="D656" s="67">
        <f t="array" ref="D656">SUM($B$7:$B651*$F$1009*EXP(-$F$1009*($A656-$A$7:$A651)))*$F$1010</f>
        <v>5393844.6321897358</v>
      </c>
      <c r="E656" s="67">
        <f t="shared" si="65"/>
        <v>10.282888622337211</v>
      </c>
      <c r="F656" s="70">
        <f t="shared" si="63"/>
        <v>0.6243769971483154</v>
      </c>
      <c r="G656" s="67">
        <f>E656/'Lookup Tables'!$C$48</f>
        <v>20.565777244674422</v>
      </c>
      <c r="H656" s="70">
        <f t="shared" si="66"/>
        <v>4.4790639837749051E-2</v>
      </c>
      <c r="I656" s="71">
        <f t="shared" si="64"/>
        <v>2.9614719232331166E-2</v>
      </c>
      <c r="L656" s="74"/>
      <c r="M656" s="74"/>
      <c r="N656" s="74"/>
      <c r="O656" s="74"/>
      <c r="P656" s="74"/>
      <c r="Q656" s="74"/>
      <c r="R656" s="74"/>
      <c r="S656" s="74"/>
      <c r="T656" s="74"/>
      <c r="U656" s="74"/>
      <c r="V656" s="74"/>
      <c r="W656" s="74"/>
      <c r="X656" s="74"/>
      <c r="Y656" s="74"/>
      <c r="Z656" s="74"/>
    </row>
    <row r="657" spans="1:26" x14ac:dyDescent="0.3">
      <c r="A657" s="66">
        <f t="shared" si="62"/>
        <v>2054.9999999999409</v>
      </c>
      <c r="B657" s="67">
        <f>LOOKUP(A657+0.01,Amounts!$A$4:$A$103,Amounts!$B$4:$B$103)*0.1*$A$2</f>
        <v>0</v>
      </c>
      <c r="C657" s="68">
        <f t="shared" si="67"/>
        <v>120665.52921499971</v>
      </c>
      <c r="D657" s="67">
        <f t="array" ref="D657">SUM($B$7:$B652*$F$1009*EXP(-$F$1009*($A657-$A$7:$A652)))*$F$1010</f>
        <v>5386298.5332064927</v>
      </c>
      <c r="E657" s="67">
        <f t="shared" si="65"/>
        <v>10.268502650795735</v>
      </c>
      <c r="F657" s="70">
        <f t="shared" si="63"/>
        <v>0.62350348095631702</v>
      </c>
      <c r="G657" s="67">
        <f>E657/'Lookup Tables'!$C$48</f>
        <v>20.537005301591471</v>
      </c>
      <c r="H657" s="70">
        <f t="shared" si="66"/>
        <v>4.4727976816326197E-2</v>
      </c>
      <c r="I657" s="71">
        <f t="shared" si="64"/>
        <v>2.9573287634291717E-2</v>
      </c>
      <c r="L657" s="74"/>
      <c r="M657" s="74"/>
      <c r="N657" s="74"/>
      <c r="O657" s="74"/>
      <c r="P657" s="74"/>
      <c r="Q657" s="74"/>
      <c r="R657" s="74"/>
      <c r="S657" s="74"/>
      <c r="T657" s="74"/>
      <c r="U657" s="74"/>
      <c r="V657" s="74"/>
      <c r="W657" s="74"/>
      <c r="X657" s="74"/>
      <c r="Y657" s="74"/>
      <c r="Z657" s="74"/>
    </row>
    <row r="658" spans="1:26" x14ac:dyDescent="0.3">
      <c r="A658" s="66">
        <f t="shared" si="62"/>
        <v>2055.0999999999408</v>
      </c>
      <c r="B658" s="67">
        <f>LOOKUP(A658+0.01,Amounts!$A$4:$A$103,Amounts!$B$4:$B$103)*0.1*$A$2</f>
        <v>0</v>
      </c>
      <c r="C658" s="68">
        <f t="shared" si="67"/>
        <v>120665.52921499971</v>
      </c>
      <c r="D658" s="67">
        <f t="array" ref="D658">SUM($B$7:$B653*$F$1009*EXP(-$F$1009*($A658-$A$7:$A653)))*$F$1010</f>
        <v>5378762.9913701024</v>
      </c>
      <c r="E658" s="67">
        <f t="shared" si="65"/>
        <v>10.254136805522748</v>
      </c>
      <c r="F658" s="70">
        <f t="shared" si="63"/>
        <v>0.62263118683134122</v>
      </c>
      <c r="G658" s="67">
        <f>E658/'Lookup Tables'!$C$48</f>
        <v>20.508273611045496</v>
      </c>
      <c r="H658" s="70">
        <f t="shared" si="66"/>
        <v>4.4665401461752248E-2</v>
      </c>
      <c r="I658" s="71">
        <f t="shared" si="64"/>
        <v>2.9531913999905512E-2</v>
      </c>
      <c r="L658" s="74"/>
      <c r="M658" s="74"/>
      <c r="N658" s="74"/>
      <c r="O658" s="74"/>
      <c r="P658" s="74"/>
      <c r="Q658" s="74"/>
      <c r="R658" s="74"/>
      <c r="S658" s="74"/>
      <c r="T658" s="74"/>
      <c r="U658" s="74"/>
      <c r="V658" s="74"/>
      <c r="W658" s="74"/>
      <c r="X658" s="74"/>
      <c r="Y658" s="74"/>
      <c r="Z658" s="74"/>
    </row>
    <row r="659" spans="1:26" x14ac:dyDescent="0.3">
      <c r="A659" s="66">
        <f t="shared" ref="A659:A722" si="68">A658+0.1</f>
        <v>2055.1999999999407</v>
      </c>
      <c r="B659" s="67">
        <f>LOOKUP(A659+0.01,Amounts!$A$4:$A$103,Amounts!$B$4:$B$103)*0.1*$A$2</f>
        <v>0</v>
      </c>
      <c r="C659" s="68">
        <f t="shared" si="67"/>
        <v>120665.52921499971</v>
      </c>
      <c r="D659" s="67">
        <f t="array" ref="D659">SUM($B$7:$B654*$F$1009*EXP(-$F$1009*($A659-$A$7:$A654)))*$F$1010</f>
        <v>5371237.9919108972</v>
      </c>
      <c r="E659" s="67">
        <f t="shared" si="65"/>
        <v>10.239791058361185</v>
      </c>
      <c r="F659" s="70">
        <f t="shared" ref="F659:F722" si="69">E659*60*1012/1000000</f>
        <v>0.62176011306369106</v>
      </c>
      <c r="G659" s="67">
        <f>E659/'Lookup Tables'!$C$48</f>
        <v>20.479582116722369</v>
      </c>
      <c r="H659" s="70">
        <f t="shared" si="66"/>
        <v>4.4602913651379465E-2</v>
      </c>
      <c r="I659" s="71">
        <f t="shared" ref="I659:I722" si="70">G659*60*24/1000000</f>
        <v>2.9490598248080212E-2</v>
      </c>
      <c r="L659" s="74"/>
      <c r="M659" s="74"/>
      <c r="N659" s="74"/>
      <c r="O659" s="74"/>
      <c r="P659" s="74"/>
      <c r="Q659" s="74"/>
      <c r="R659" s="74"/>
      <c r="S659" s="74"/>
      <c r="T659" s="74"/>
      <c r="U659" s="74"/>
      <c r="V659" s="74"/>
      <c r="W659" s="74"/>
      <c r="X659" s="74"/>
      <c r="Y659" s="74"/>
      <c r="Z659" s="74"/>
    </row>
    <row r="660" spans="1:26" x14ac:dyDescent="0.3">
      <c r="A660" s="66">
        <f t="shared" si="68"/>
        <v>2055.2999999999406</v>
      </c>
      <c r="B660" s="67">
        <f>LOOKUP(A660+0.01,Amounts!$A$4:$A$103,Amounts!$B$4:$B$103)*0.1*$A$2</f>
        <v>0</v>
      </c>
      <c r="C660" s="68">
        <f t="shared" si="67"/>
        <v>120665.52921499971</v>
      </c>
      <c r="D660" s="67">
        <f t="array" ref="D660">SUM($B$7:$B655*$F$1009*EXP(-$F$1009*($A660-$A$7:$A655)))*$F$1010</f>
        <v>5363723.5200798735</v>
      </c>
      <c r="E660" s="67">
        <f t="shared" si="65"/>
        <v>10.225465381193368</v>
      </c>
      <c r="F660" s="70">
        <f t="shared" si="69"/>
        <v>0.62089025794606134</v>
      </c>
      <c r="G660" s="67">
        <f>E660/'Lookup Tables'!$C$48</f>
        <v>20.450930762386736</v>
      </c>
      <c r="H660" s="70">
        <f t="shared" si="66"/>
        <v>4.4540513262731701E-2</v>
      </c>
      <c r="I660" s="71">
        <f t="shared" si="70"/>
        <v>2.9449340297836898E-2</v>
      </c>
      <c r="L660" s="74"/>
      <c r="M660" s="74"/>
      <c r="N660" s="74"/>
      <c r="O660" s="74"/>
      <c r="P660" s="74"/>
      <c r="Q660" s="74"/>
      <c r="R660" s="74"/>
      <c r="S660" s="74"/>
      <c r="T660" s="74"/>
      <c r="U660" s="74"/>
      <c r="V660" s="74"/>
      <c r="W660" s="74"/>
      <c r="X660" s="74"/>
      <c r="Y660" s="74"/>
      <c r="Z660" s="74"/>
    </row>
    <row r="661" spans="1:26" x14ac:dyDescent="0.3">
      <c r="A661" s="66">
        <f t="shared" si="68"/>
        <v>2055.3999999999405</v>
      </c>
      <c r="B661" s="67">
        <f>LOOKUP(A661+0.01,Amounts!$A$4:$A$103,Amounts!$B$4:$B$103)*0.1*$A$2</f>
        <v>0</v>
      </c>
      <c r="C661" s="68">
        <f t="shared" si="67"/>
        <v>120665.52921499971</v>
      </c>
      <c r="D661" s="67">
        <f t="array" ref="D661">SUM($B$7:$B656*$F$1009*EXP(-$F$1009*($A661-$A$7:$A656)))*$F$1010</f>
        <v>5356219.5611486658</v>
      </c>
      <c r="E661" s="67">
        <f t="shared" si="65"/>
        <v>10.211159745940973</v>
      </c>
      <c r="F661" s="70">
        <f t="shared" si="69"/>
        <v>0.62002161977353598</v>
      </c>
      <c r="G661" s="67">
        <f>E661/'Lookup Tables'!$C$48</f>
        <v>20.422319491881947</v>
      </c>
      <c r="H661" s="70">
        <f t="shared" si="66"/>
        <v>4.4478200173504207E-2</v>
      </c>
      <c r="I661" s="71">
        <f t="shared" si="70"/>
        <v>2.9408140068310006E-2</v>
      </c>
      <c r="L661" s="74"/>
      <c r="M661" s="74"/>
      <c r="N661" s="74"/>
      <c r="O661" s="74"/>
      <c r="P661" s="74"/>
      <c r="Q661" s="74"/>
      <c r="R661" s="74"/>
      <c r="S661" s="74"/>
      <c r="T661" s="74"/>
      <c r="U661" s="74"/>
      <c r="V661" s="74"/>
      <c r="W661" s="74"/>
      <c r="X661" s="74"/>
      <c r="Y661" s="74"/>
      <c r="Z661" s="74"/>
    </row>
    <row r="662" spans="1:26" x14ac:dyDescent="0.3">
      <c r="A662" s="66">
        <f t="shared" si="68"/>
        <v>2055.4999999999404</v>
      </c>
      <c r="B662" s="67">
        <f>LOOKUP(A662+0.01,Amounts!$A$4:$A$103,Amounts!$B$4:$B$103)*0.1*$A$2</f>
        <v>0</v>
      </c>
      <c r="C662" s="68">
        <f t="shared" si="67"/>
        <v>120665.52921499971</v>
      </c>
      <c r="D662" s="67">
        <f t="array" ref="D662">SUM($B$7:$B657*$F$1009*EXP(-$F$1009*($A662-$A$7:$A657)))*$F$1010</f>
        <v>5348726.1004095124</v>
      </c>
      <c r="E662" s="67">
        <f t="shared" si="65"/>
        <v>10.196874124564946</v>
      </c>
      <c r="F662" s="70">
        <f t="shared" si="69"/>
        <v>0.61915419684358353</v>
      </c>
      <c r="G662" s="67">
        <f>E662/'Lookup Tables'!$C$48</f>
        <v>20.393748249129892</v>
      </c>
      <c r="H662" s="70">
        <f t="shared" si="66"/>
        <v>4.4415974261563254E-2</v>
      </c>
      <c r="I662" s="71">
        <f t="shared" si="70"/>
        <v>2.9366997478747044E-2</v>
      </c>
      <c r="L662" s="74"/>
      <c r="M662" s="74"/>
      <c r="N662" s="74"/>
      <c r="O662" s="74"/>
      <c r="P662" s="74"/>
      <c r="Q662" s="74"/>
      <c r="R662" s="74"/>
      <c r="S662" s="74"/>
      <c r="T662" s="74"/>
      <c r="U662" s="74"/>
      <c r="V662" s="74"/>
      <c r="W662" s="74"/>
      <c r="X662" s="74"/>
      <c r="Y662" s="74"/>
      <c r="Z662" s="74"/>
    </row>
    <row r="663" spans="1:26" x14ac:dyDescent="0.3">
      <c r="A663" s="66">
        <f t="shared" si="68"/>
        <v>2055.5999999999403</v>
      </c>
      <c r="B663" s="67">
        <f>LOOKUP(A663+0.01,Amounts!$A$4:$A$103,Amounts!$B$4:$B$103)*0.1*$A$2</f>
        <v>0</v>
      </c>
      <c r="C663" s="68">
        <f t="shared" si="67"/>
        <v>120665.52921499971</v>
      </c>
      <c r="D663" s="67">
        <f t="array" ref="D663">SUM($B$7:$B658*$F$1009*EXP(-$F$1009*($A663-$A$7:$A658)))*$F$1010</f>
        <v>5341243.1231752299</v>
      </c>
      <c r="E663" s="67">
        <f t="shared" si="65"/>
        <v>10.182608489065473</v>
      </c>
      <c r="F663" s="70">
        <f t="shared" si="69"/>
        <v>0.61828798745605551</v>
      </c>
      <c r="G663" s="67">
        <f>E663/'Lookup Tables'!$C$48</f>
        <v>20.365216978130945</v>
      </c>
      <c r="H663" s="70">
        <f t="shared" si="66"/>
        <v>4.4353835404946106E-2</v>
      </c>
      <c r="I663" s="71">
        <f t="shared" si="70"/>
        <v>2.9325912448508563E-2</v>
      </c>
      <c r="L663" s="74"/>
      <c r="M663" s="74"/>
      <c r="N663" s="74"/>
      <c r="O663" s="74"/>
      <c r="P663" s="74"/>
      <c r="Q663" s="74"/>
      <c r="R663" s="74"/>
      <c r="S663" s="74"/>
      <c r="T663" s="74"/>
      <c r="U663" s="74"/>
      <c r="V663" s="74"/>
      <c r="W663" s="74"/>
      <c r="X663" s="74"/>
      <c r="Y663" s="74"/>
      <c r="Z663" s="74"/>
    </row>
    <row r="664" spans="1:26" x14ac:dyDescent="0.3">
      <c r="A664" s="66">
        <f t="shared" si="68"/>
        <v>2055.6999999999402</v>
      </c>
      <c r="B664" s="67">
        <f>LOOKUP(A664+0.01,Amounts!$A$4:$A$103,Amounts!$B$4:$B$103)*0.1*$A$2</f>
        <v>0</v>
      </c>
      <c r="C664" s="68">
        <f t="shared" si="67"/>
        <v>120665.52921499971</v>
      </c>
      <c r="D664" s="67">
        <f t="array" ref="D664">SUM($B$7:$B659*$F$1009*EXP(-$F$1009*($A664-$A$7:$A659)))*$F$1010</f>
        <v>5333770.614779179</v>
      </c>
      <c r="E664" s="67">
        <f t="shared" si="65"/>
        <v>10.168362811481899</v>
      </c>
      <c r="F664" s="70">
        <f t="shared" si="69"/>
        <v>0.6174229899131809</v>
      </c>
      <c r="G664" s="67">
        <f>E664/'Lookup Tables'!$C$48</f>
        <v>20.336725622963797</v>
      </c>
      <c r="H664" s="70">
        <f t="shared" si="66"/>
        <v>4.4291783481860553E-2</v>
      </c>
      <c r="I664" s="71">
        <f t="shared" si="70"/>
        <v>2.9284884897067865E-2</v>
      </c>
      <c r="L664" s="74"/>
      <c r="M664" s="74"/>
      <c r="N664" s="74"/>
      <c r="O664" s="74"/>
      <c r="P664" s="74"/>
      <c r="Q664" s="74"/>
      <c r="R664" s="74"/>
      <c r="S664" s="74"/>
      <c r="T664" s="74"/>
      <c r="U664" s="74"/>
      <c r="V664" s="74"/>
      <c r="W664" s="74"/>
      <c r="X664" s="74"/>
      <c r="Y664" s="74"/>
      <c r="Z664" s="74"/>
    </row>
    <row r="665" spans="1:26" x14ac:dyDescent="0.3">
      <c r="A665" s="66">
        <f t="shared" si="68"/>
        <v>2055.7999999999402</v>
      </c>
      <c r="B665" s="67">
        <f>LOOKUP(A665+0.01,Amounts!$A$4:$A$103,Amounts!$B$4:$B$103)*0.1*$A$2</f>
        <v>0</v>
      </c>
      <c r="C665" s="68">
        <f t="shared" si="67"/>
        <v>120665.52921499971</v>
      </c>
      <c r="D665" s="67">
        <f t="array" ref="D665">SUM($B$7:$B660*$F$1009*EXP(-$F$1009*($A665-$A$7:$A660)))*$F$1010</f>
        <v>5326308.5605752394</v>
      </c>
      <c r="E665" s="67">
        <f t="shared" si="65"/>
        <v>10.154137063892685</v>
      </c>
      <c r="F665" s="70">
        <f t="shared" si="69"/>
        <v>0.61655920251956386</v>
      </c>
      <c r="G665" s="67">
        <f>E665/'Lookup Tables'!$C$48</f>
        <v>20.308274127785371</v>
      </c>
      <c r="H665" s="70">
        <f t="shared" si="66"/>
        <v>4.4229818370684786E-2</v>
      </c>
      <c r="I665" s="71">
        <f t="shared" si="70"/>
        <v>2.9243914744010939E-2</v>
      </c>
      <c r="L665" s="74"/>
      <c r="M665" s="74"/>
      <c r="N665" s="74"/>
      <c r="O665" s="74"/>
      <c r="P665" s="74"/>
      <c r="Q665" s="74"/>
      <c r="R665" s="74"/>
      <c r="S665" s="74"/>
      <c r="T665" s="74"/>
      <c r="U665" s="74"/>
      <c r="V665" s="74"/>
      <c r="W665" s="74"/>
      <c r="X665" s="74"/>
      <c r="Y665" s="74"/>
      <c r="Z665" s="74"/>
    </row>
    <row r="666" spans="1:26" x14ac:dyDescent="0.3">
      <c r="A666" s="66">
        <f t="shared" si="68"/>
        <v>2055.8999999999401</v>
      </c>
      <c r="B666" s="67">
        <f>LOOKUP(A666+0.01,Amounts!$A$4:$A$103,Amounts!$B$4:$B$103)*0.1*$A$2</f>
        <v>0</v>
      </c>
      <c r="C666" s="68">
        <f t="shared" si="67"/>
        <v>120665.52921499971</v>
      </c>
      <c r="D666" s="67">
        <f t="array" ref="D666">SUM($B$7:$B661*$F$1009*EXP(-$F$1009*($A666-$A$7:$A661)))*$F$1010</f>
        <v>5318856.9459377844</v>
      </c>
      <c r="E666" s="67">
        <f t="shared" si="65"/>
        <v>10.139931218415372</v>
      </c>
      <c r="F666" s="70">
        <f t="shared" si="69"/>
        <v>0.61569662358218136</v>
      </c>
      <c r="G666" s="67">
        <f>E666/'Lookup Tables'!$C$48</f>
        <v>20.279862436830744</v>
      </c>
      <c r="H666" s="70">
        <f t="shared" si="66"/>
        <v>4.4167939949967198E-2</v>
      </c>
      <c r="I666" s="71">
        <f t="shared" si="70"/>
        <v>2.9203001909036269E-2</v>
      </c>
      <c r="L666" s="74"/>
      <c r="M666" s="74"/>
      <c r="N666" s="74"/>
      <c r="O666" s="74"/>
      <c r="P666" s="74"/>
      <c r="Q666" s="74"/>
      <c r="R666" s="74"/>
      <c r="S666" s="74"/>
      <c r="T666" s="74"/>
      <c r="U666" s="74"/>
      <c r="V666" s="74"/>
      <c r="W666" s="74"/>
      <c r="X666" s="74"/>
      <c r="Y666" s="74"/>
      <c r="Z666" s="74"/>
    </row>
    <row r="667" spans="1:26" x14ac:dyDescent="0.3">
      <c r="A667" s="66">
        <f t="shared" si="68"/>
        <v>2055.99999999994</v>
      </c>
      <c r="B667" s="67">
        <f>LOOKUP(A667+0.01,Amounts!$A$4:$A$103,Amounts!$B$4:$B$103)*0.1*$A$2</f>
        <v>0</v>
      </c>
      <c r="C667" s="68">
        <f t="shared" si="67"/>
        <v>120665.52921499971</v>
      </c>
      <c r="D667" s="67">
        <f t="array" ref="D667">SUM($B$7:$B662*$F$1009*EXP(-$F$1009*($A667-$A$7:$A662)))*$F$1010</f>
        <v>5311415.7562616449</v>
      </c>
      <c r="E667" s="67">
        <f t="shared" si="65"/>
        <v>10.12574524720649</v>
      </c>
      <c r="F667" s="70">
        <f t="shared" si="69"/>
        <v>0.61483525141037809</v>
      </c>
      <c r="G667" s="67">
        <f>E667/'Lookup Tables'!$C$48</f>
        <v>20.25149049441298</v>
      </c>
      <c r="H667" s="70">
        <f t="shared" si="66"/>
        <v>4.4106148098426043E-2</v>
      </c>
      <c r="I667" s="71">
        <f t="shared" si="70"/>
        <v>2.9162146311954695E-2</v>
      </c>
      <c r="L667" s="74"/>
      <c r="M667" s="74"/>
      <c r="N667" s="74"/>
      <c r="O667" s="74"/>
      <c r="P667" s="74"/>
      <c r="Q667" s="74"/>
      <c r="R667" s="74"/>
      <c r="S667" s="74"/>
      <c r="T667" s="74"/>
      <c r="U667" s="74"/>
      <c r="V667" s="74"/>
      <c r="W667" s="74"/>
      <c r="X667" s="74"/>
      <c r="Y667" s="74"/>
      <c r="Z667" s="74"/>
    </row>
    <row r="668" spans="1:26" x14ac:dyDescent="0.3">
      <c r="A668" s="66">
        <f t="shared" si="68"/>
        <v>2056.0999999999399</v>
      </c>
      <c r="B668" s="67">
        <f>LOOKUP(A668+0.01,Amounts!$A$4:$A$103,Amounts!$B$4:$B$103)*0.1*$A$2</f>
        <v>0</v>
      </c>
      <c r="C668" s="68">
        <f t="shared" si="67"/>
        <v>120665.52921499971</v>
      </c>
      <c r="D668" s="67">
        <f t="array" ref="D668">SUM($B$7:$B663*$F$1009*EXP(-$F$1009*($A668-$A$7:$A663)))*$F$1010</f>
        <v>5303984.9769620886</v>
      </c>
      <c r="E668" s="67">
        <f t="shared" si="65"/>
        <v>10.111579122461535</v>
      </c>
      <c r="F668" s="70">
        <f t="shared" si="69"/>
        <v>0.61397508431586434</v>
      </c>
      <c r="G668" s="67">
        <f>E668/'Lookup Tables'!$C$48</f>
        <v>20.22315824492307</v>
      </c>
      <c r="H668" s="70">
        <f t="shared" si="66"/>
        <v>4.4044442694949275E-2</v>
      </c>
      <c r="I668" s="71">
        <f t="shared" si="70"/>
        <v>2.9121347872689222E-2</v>
      </c>
      <c r="L668" s="74"/>
      <c r="M668" s="74"/>
      <c r="N668" s="74"/>
      <c r="O668" s="74"/>
      <c r="P668" s="74"/>
      <c r="Q668" s="74"/>
      <c r="R668" s="74"/>
      <c r="S668" s="74"/>
      <c r="T668" s="74"/>
      <c r="U668" s="74"/>
      <c r="V668" s="74"/>
      <c r="W668" s="74"/>
      <c r="X668" s="74"/>
      <c r="Y668" s="74"/>
      <c r="Z668" s="74"/>
    </row>
    <row r="669" spans="1:26" x14ac:dyDescent="0.3">
      <c r="A669" s="66">
        <f t="shared" si="68"/>
        <v>2056.1999999999398</v>
      </c>
      <c r="B669" s="67">
        <f>LOOKUP(A669+0.01,Amounts!$A$4:$A$103,Amounts!$B$4:$B$103)*0.1*$A$2</f>
        <v>0</v>
      </c>
      <c r="C669" s="68">
        <f t="shared" si="67"/>
        <v>120665.52921499971</v>
      </c>
      <c r="D669" s="67">
        <f t="array" ref="D669">SUM($B$7:$B664*$F$1009*EXP(-$F$1009*($A669-$A$7:$A664)))*$F$1010</f>
        <v>5296564.5934747839</v>
      </c>
      <c r="E669" s="67">
        <f t="shared" si="65"/>
        <v>10.097432816414894</v>
      </c>
      <c r="F669" s="70">
        <f t="shared" si="69"/>
        <v>0.61311612061271248</v>
      </c>
      <c r="G669" s="67">
        <f>E669/'Lookup Tables'!$C$48</f>
        <v>20.194865632829789</v>
      </c>
      <c r="H669" s="70">
        <f t="shared" si="66"/>
        <v>4.3982823618594298E-2</v>
      </c>
      <c r="I669" s="71">
        <f t="shared" si="70"/>
        <v>2.9080606511274899E-2</v>
      </c>
      <c r="L669" s="74"/>
      <c r="M669" s="74"/>
      <c r="N669" s="74"/>
      <c r="O669" s="74"/>
      <c r="P669" s="74"/>
      <c r="Q669" s="74"/>
      <c r="R669" s="74"/>
      <c r="S669" s="74"/>
      <c r="T669" s="74"/>
      <c r="U669" s="74"/>
      <c r="V669" s="74"/>
      <c r="W669" s="74"/>
      <c r="X669" s="74"/>
      <c r="Y669" s="74"/>
      <c r="Z669" s="74"/>
    </row>
    <row r="670" spans="1:26" x14ac:dyDescent="0.3">
      <c r="A670" s="66">
        <f t="shared" si="68"/>
        <v>2056.2999999999397</v>
      </c>
      <c r="B670" s="67">
        <f>LOOKUP(A670+0.01,Amounts!$A$4:$A$103,Amounts!$B$4:$B$103)*0.1*$A$2</f>
        <v>0</v>
      </c>
      <c r="C670" s="68">
        <f t="shared" si="67"/>
        <v>120665.52921499971</v>
      </c>
      <c r="D670" s="67">
        <f t="array" ref="D670">SUM($B$7:$B665*$F$1009*EXP(-$F$1009*($A670-$A$7:$A665)))*$F$1010</f>
        <v>5289154.5912557812</v>
      </c>
      <c r="E670" s="67">
        <f t="shared" si="65"/>
        <v>10.083306301339812</v>
      </c>
      <c r="F670" s="70">
        <f t="shared" si="69"/>
        <v>0.61225835861735334</v>
      </c>
      <c r="G670" s="67">
        <f>E670/'Lookup Tables'!$C$48</f>
        <v>20.166612602679624</v>
      </c>
      <c r="H670" s="70">
        <f t="shared" si="66"/>
        <v>4.3921290748587707E-2</v>
      </c>
      <c r="I670" s="71">
        <f t="shared" si="70"/>
        <v>2.9039922147858662E-2</v>
      </c>
      <c r="L670" s="74"/>
      <c r="M670" s="74"/>
      <c r="N670" s="74"/>
      <c r="O670" s="74"/>
      <c r="P670" s="74"/>
      <c r="Q670" s="74"/>
      <c r="R670" s="74"/>
      <c r="S670" s="74"/>
      <c r="T670" s="74"/>
      <c r="U670" s="74"/>
      <c r="V670" s="74"/>
      <c r="W670" s="74"/>
      <c r="X670" s="74"/>
      <c r="Y670" s="74"/>
      <c r="Z670" s="74"/>
    </row>
    <row r="671" spans="1:26" x14ac:dyDescent="0.3">
      <c r="A671" s="66">
        <f t="shared" si="68"/>
        <v>2056.3999999999396</v>
      </c>
      <c r="B671" s="67">
        <f>LOOKUP(A671+0.01,Amounts!$A$4:$A$103,Amounts!$B$4:$B$103)*0.1*$A$2</f>
        <v>0</v>
      </c>
      <c r="C671" s="68">
        <f t="shared" si="67"/>
        <v>120665.52921499971</v>
      </c>
      <c r="D671" s="67">
        <f t="array" ref="D671">SUM($B$7:$B666*$F$1009*EXP(-$F$1009*($A671-$A$7:$A666)))*$F$1010</f>
        <v>5281754.9557814701</v>
      </c>
      <c r="E671" s="67">
        <f t="shared" si="65"/>
        <v>10.069199549548308</v>
      </c>
      <c r="F671" s="70">
        <f t="shared" si="69"/>
        <v>0.61140179664857341</v>
      </c>
      <c r="G671" s="67">
        <f>E671/'Lookup Tables'!$C$48</f>
        <v>20.138399099096617</v>
      </c>
      <c r="H671" s="70">
        <f t="shared" si="66"/>
        <v>4.3859843964325039E-2</v>
      </c>
      <c r="I671" s="71">
        <f t="shared" si="70"/>
        <v>2.899929470269913E-2</v>
      </c>
      <c r="L671" s="74"/>
      <c r="M671" s="74"/>
      <c r="N671" s="74"/>
      <c r="O671" s="74"/>
      <c r="P671" s="74"/>
      <c r="Q671" s="74"/>
      <c r="R671" s="74"/>
      <c r="S671" s="74"/>
      <c r="T671" s="74"/>
      <c r="U671" s="74"/>
      <c r="V671" s="74"/>
      <c r="W671" s="74"/>
      <c r="X671" s="74"/>
      <c r="Y671" s="74"/>
      <c r="Z671" s="74"/>
    </row>
    <row r="672" spans="1:26" x14ac:dyDescent="0.3">
      <c r="A672" s="66">
        <f t="shared" si="68"/>
        <v>2056.4999999999395</v>
      </c>
      <c r="B672" s="67">
        <f>LOOKUP(A672+0.01,Amounts!$A$4:$A$103,Amounts!$B$4:$B$103)*0.1*$A$2</f>
        <v>0</v>
      </c>
      <c r="C672" s="68">
        <f t="shared" si="67"/>
        <v>120665.52921499971</v>
      </c>
      <c r="D672" s="67">
        <f t="array" ref="D672">SUM($B$7:$B667*$F$1009*EXP(-$F$1009*($A672-$A$7:$A667)))*$F$1010</f>
        <v>5274365.6725485623</v>
      </c>
      <c r="E672" s="67">
        <f t="shared" si="65"/>
        <v>10.055112533391144</v>
      </c>
      <c r="F672" s="70">
        <f t="shared" si="69"/>
        <v>0.61054643302751033</v>
      </c>
      <c r="G672" s="67">
        <f>E672/'Lookup Tables'!$C$48</f>
        <v>20.110225066782288</v>
      </c>
      <c r="H672" s="70">
        <f t="shared" si="66"/>
        <v>4.3798483145370576E-2</v>
      </c>
      <c r="I672" s="71">
        <f t="shared" si="70"/>
        <v>2.8958724096166493E-2</v>
      </c>
      <c r="L672" s="74"/>
      <c r="M672" s="74"/>
      <c r="N672" s="74"/>
      <c r="O672" s="74"/>
      <c r="P672" s="74"/>
      <c r="Q672" s="74"/>
      <c r="R672" s="74"/>
      <c r="S672" s="74"/>
      <c r="T672" s="74"/>
      <c r="U672" s="74"/>
      <c r="V672" s="74"/>
      <c r="W672" s="74"/>
      <c r="X672" s="74"/>
      <c r="Y672" s="74"/>
      <c r="Z672" s="74"/>
    </row>
    <row r="673" spans="1:26" x14ac:dyDescent="0.3">
      <c r="A673" s="66">
        <f t="shared" si="68"/>
        <v>2056.5999999999394</v>
      </c>
      <c r="B673" s="67">
        <f>LOOKUP(A673+0.01,Amounts!$A$4:$A$103,Amounts!$B$4:$B$103)*0.1*$A$2</f>
        <v>0</v>
      </c>
      <c r="C673" s="68">
        <f t="shared" si="67"/>
        <v>120665.52921499971</v>
      </c>
      <c r="D673" s="67">
        <f t="array" ref="D673">SUM($B$7:$B668*$F$1009*EXP(-$F$1009*($A673-$A$7:$A668)))*$F$1010</f>
        <v>5266986.7270740606</v>
      </c>
      <c r="E673" s="67">
        <f t="shared" si="65"/>
        <v>10.041045225257763</v>
      </c>
      <c r="F673" s="70">
        <f t="shared" si="69"/>
        <v>0.60969226607765137</v>
      </c>
      <c r="G673" s="67">
        <f>E673/'Lookup Tables'!$C$48</f>
        <v>20.082090450515526</v>
      </c>
      <c r="H673" s="70">
        <f t="shared" si="66"/>
        <v>4.3737208171457098E-2</v>
      </c>
      <c r="I673" s="71">
        <f t="shared" si="70"/>
        <v>2.891821024874236E-2</v>
      </c>
      <c r="L673" s="74"/>
      <c r="M673" s="74"/>
      <c r="N673" s="74"/>
      <c r="O673" s="74"/>
      <c r="P673" s="74"/>
      <c r="Q673" s="74"/>
      <c r="R673" s="74"/>
      <c r="S673" s="74"/>
      <c r="T673" s="74"/>
      <c r="U673" s="74"/>
      <c r="V673" s="74"/>
      <c r="W673" s="74"/>
      <c r="X673" s="74"/>
      <c r="Y673" s="74"/>
      <c r="Z673" s="74"/>
    </row>
    <row r="674" spans="1:26" x14ac:dyDescent="0.3">
      <c r="A674" s="66">
        <f t="shared" si="68"/>
        <v>2056.6999999999393</v>
      </c>
      <c r="B674" s="67">
        <f>LOOKUP(A674+0.01,Amounts!$A$4:$A$103,Amounts!$B$4:$B$103)*0.1*$A$2</f>
        <v>0</v>
      </c>
      <c r="C674" s="68">
        <f t="shared" si="67"/>
        <v>120665.52921499971</v>
      </c>
      <c r="D674" s="67">
        <f t="array" ref="D674">SUM($B$7:$B669*$F$1009*EXP(-$F$1009*($A674-$A$7:$A669)))*$F$1010</f>
        <v>5259618.1048952295</v>
      </c>
      <c r="E674" s="67">
        <f t="shared" si="65"/>
        <v>10.026997597576235</v>
      </c>
      <c r="F674" s="70">
        <f t="shared" si="69"/>
        <v>0.60883929412482896</v>
      </c>
      <c r="G674" s="67">
        <f>E674/'Lookup Tables'!$C$48</f>
        <v>20.053995195152471</v>
      </c>
      <c r="H674" s="70">
        <f t="shared" si="66"/>
        <v>4.367601892248562E-2</v>
      </c>
      <c r="I674" s="71">
        <f t="shared" si="70"/>
        <v>2.8877753081019558E-2</v>
      </c>
      <c r="L674" s="74"/>
      <c r="M674" s="74"/>
      <c r="N674" s="74"/>
      <c r="O674" s="74"/>
      <c r="P674" s="74"/>
      <c r="Q674" s="74"/>
      <c r="R674" s="74"/>
      <c r="S674" s="74"/>
      <c r="T674" s="74"/>
      <c r="U674" s="74"/>
      <c r="V674" s="74"/>
      <c r="W674" s="74"/>
      <c r="X674" s="74"/>
      <c r="Y674" s="74"/>
      <c r="Z674" s="74"/>
    </row>
    <row r="675" spans="1:26" x14ac:dyDescent="0.3">
      <c r="A675" s="66">
        <f t="shared" si="68"/>
        <v>2056.7999999999392</v>
      </c>
      <c r="B675" s="67">
        <f>LOOKUP(A675+0.01,Amounts!$A$4:$A$103,Amounts!$B$4:$B$103)*0.1*$A$2</f>
        <v>0</v>
      </c>
      <c r="C675" s="68">
        <f t="shared" si="67"/>
        <v>120665.52921499971</v>
      </c>
      <c r="D675" s="67">
        <f t="array" ref="D675">SUM($B$7:$B670*$F$1009*EXP(-$F$1009*($A675-$A$7:$A670)))*$F$1010</f>
        <v>5252259.7915695701</v>
      </c>
      <c r="E675" s="67">
        <f t="shared" si="65"/>
        <v>10.012969622813214</v>
      </c>
      <c r="F675" s="70">
        <f t="shared" si="69"/>
        <v>0.6079875154972183</v>
      </c>
      <c r="G675" s="67">
        <f>E675/'Lookup Tables'!$C$48</f>
        <v>20.025939245626429</v>
      </c>
      <c r="H675" s="70">
        <f t="shared" si="66"/>
        <v>4.3614915278525249E-2</v>
      </c>
      <c r="I675" s="71">
        <f t="shared" si="70"/>
        <v>2.8837352513702057E-2</v>
      </c>
      <c r="L675" s="74"/>
      <c r="M675" s="74"/>
      <c r="N675" s="74"/>
      <c r="O675" s="74"/>
      <c r="P675" s="74"/>
      <c r="Q675" s="74"/>
      <c r="R675" s="74"/>
      <c r="S675" s="74"/>
      <c r="T675" s="74"/>
      <c r="U675" s="74"/>
      <c r="V675" s="74"/>
      <c r="W675" s="74"/>
      <c r="X675" s="74"/>
      <c r="Y675" s="74"/>
      <c r="Z675" s="74"/>
    </row>
    <row r="676" spans="1:26" x14ac:dyDescent="0.3">
      <c r="A676" s="66">
        <f t="shared" si="68"/>
        <v>2056.8999999999392</v>
      </c>
      <c r="B676" s="67">
        <f>LOOKUP(A676+0.01,Amounts!$A$4:$A$103,Amounts!$B$4:$B$103)*0.1*$A$2</f>
        <v>0</v>
      </c>
      <c r="C676" s="68">
        <f t="shared" si="67"/>
        <v>120665.52921499971</v>
      </c>
      <c r="D676" s="67">
        <f t="array" ref="D676">SUM($B$7:$B671*$F$1009*EXP(-$F$1009*($A676-$A$7:$A671)))*$F$1010</f>
        <v>5244911.7726747813</v>
      </c>
      <c r="E676" s="67">
        <f t="shared" si="65"/>
        <v>9.9989612734738547</v>
      </c>
      <c r="F676" s="70">
        <f t="shared" si="69"/>
        <v>0.60713692852533241</v>
      </c>
      <c r="G676" s="67">
        <f>E676/'Lookup Tables'!$C$48</f>
        <v>19.997922546947709</v>
      </c>
      <c r="H676" s="70">
        <f t="shared" si="66"/>
        <v>4.3553897119812758E-2</v>
      </c>
      <c r="I676" s="71">
        <f t="shared" si="70"/>
        <v>2.8797008467604697E-2</v>
      </c>
      <c r="L676" s="74"/>
      <c r="M676" s="74"/>
      <c r="N676" s="74"/>
      <c r="O676" s="74"/>
      <c r="P676" s="74"/>
      <c r="Q676" s="74"/>
      <c r="R676" s="74"/>
      <c r="S676" s="74"/>
      <c r="T676" s="74"/>
      <c r="U676" s="74"/>
      <c r="V676" s="74"/>
      <c r="W676" s="74"/>
      <c r="X676" s="74"/>
      <c r="Y676" s="74"/>
      <c r="Z676" s="74"/>
    </row>
    <row r="677" spans="1:26" x14ac:dyDescent="0.3">
      <c r="A677" s="66">
        <f t="shared" si="68"/>
        <v>2056.9999999999391</v>
      </c>
      <c r="B677" s="67">
        <f>LOOKUP(A677+0.01,Amounts!$A$4:$A$103,Amounts!$B$4:$B$103)*0.1*$A$2</f>
        <v>0</v>
      </c>
      <c r="C677" s="68">
        <f t="shared" si="67"/>
        <v>120665.52921499971</v>
      </c>
      <c r="D677" s="67">
        <f t="array" ref="D677">SUM($B$7:$B672*$F$1009*EXP(-$F$1009*($A677-$A$7:$A672)))*$F$1010</f>
        <v>5237574.0338087454</v>
      </c>
      <c r="E677" s="67">
        <f t="shared" si="65"/>
        <v>9.9849725221017902</v>
      </c>
      <c r="F677" s="70">
        <f t="shared" si="69"/>
        <v>0.60628753154202064</v>
      </c>
      <c r="G677" s="67">
        <f>E677/'Lookup Tables'!$C$48</f>
        <v>19.96994504420358</v>
      </c>
      <c r="H677" s="70">
        <f t="shared" si="66"/>
        <v>4.3492964326752558E-2</v>
      </c>
      <c r="I677" s="71">
        <f t="shared" si="70"/>
        <v>2.8756720863653155E-2</v>
      </c>
      <c r="L677" s="74"/>
      <c r="M677" s="74"/>
      <c r="N677" s="74"/>
      <c r="O677" s="74"/>
      <c r="P677" s="74"/>
      <c r="Q677" s="74"/>
      <c r="R677" s="74"/>
      <c r="S677" s="74"/>
      <c r="T677" s="74"/>
      <c r="U677" s="74"/>
      <c r="V677" s="74"/>
      <c r="W677" s="74"/>
      <c r="X677" s="74"/>
      <c r="Y677" s="74"/>
      <c r="Z677" s="74"/>
    </row>
    <row r="678" spans="1:26" x14ac:dyDescent="0.3">
      <c r="A678" s="66">
        <f t="shared" si="68"/>
        <v>2057.099999999939</v>
      </c>
      <c r="B678" s="67">
        <f>LOOKUP(A678+0.01,Amounts!$A$4:$A$103,Amounts!$B$4:$B$103)*0.1*$A$2</f>
        <v>0</v>
      </c>
      <c r="C678" s="68">
        <f t="shared" si="67"/>
        <v>120665.52921499971</v>
      </c>
      <c r="D678" s="67">
        <f t="array" ref="D678">SUM($B$7:$B673*$F$1009*EXP(-$F$1009*($A678-$A$7:$A673)))*$F$1010</f>
        <v>5230246.5605894942</v>
      </c>
      <c r="E678" s="67">
        <f t="shared" si="65"/>
        <v>9.9710033412790704</v>
      </c>
      <c r="F678" s="70">
        <f t="shared" si="69"/>
        <v>0.60543932288246516</v>
      </c>
      <c r="G678" s="67">
        <f>E678/'Lookup Tables'!$C$48</f>
        <v>19.942006682558141</v>
      </c>
      <c r="H678" s="70">
        <f t="shared" si="66"/>
        <v>4.3432116779916388E-2</v>
      </c>
      <c r="I678" s="71">
        <f t="shared" si="70"/>
        <v>2.8716489622883725E-2</v>
      </c>
      <c r="L678" s="74"/>
      <c r="M678" s="74"/>
      <c r="N678" s="74"/>
      <c r="O678" s="74"/>
      <c r="P678" s="74"/>
      <c r="Q678" s="74"/>
      <c r="R678" s="74"/>
      <c r="S678" s="74"/>
      <c r="T678" s="74"/>
      <c r="U678" s="74"/>
      <c r="V678" s="74"/>
      <c r="W678" s="74"/>
      <c r="X678" s="74"/>
      <c r="Y678" s="74"/>
      <c r="Z678" s="74"/>
    </row>
    <row r="679" spans="1:26" x14ac:dyDescent="0.3">
      <c r="A679" s="66">
        <f t="shared" si="68"/>
        <v>2057.1999999999389</v>
      </c>
      <c r="B679" s="67">
        <f>LOOKUP(A679+0.01,Amounts!$A$4:$A$103,Amounts!$B$4:$B$103)*0.1*$A$2</f>
        <v>0</v>
      </c>
      <c r="C679" s="68">
        <f t="shared" si="67"/>
        <v>120665.52921499971</v>
      </c>
      <c r="D679" s="67">
        <f t="array" ref="D679">SUM($B$7:$B674*$F$1009*EXP(-$F$1009*($A679-$A$7:$A674)))*$F$1010</f>
        <v>5222929.3386551766</v>
      </c>
      <c r="E679" s="67">
        <f t="shared" si="65"/>
        <v>9.9570537036260909</v>
      </c>
      <c r="F679" s="70">
        <f t="shared" si="69"/>
        <v>0.60459230088417626</v>
      </c>
      <c r="G679" s="67">
        <f>E679/'Lookup Tables'!$C$48</f>
        <v>19.914107407252182</v>
      </c>
      <c r="H679" s="70">
        <f t="shared" si="66"/>
        <v>4.3371354360042996E-2</v>
      </c>
      <c r="I679" s="71">
        <f t="shared" si="70"/>
        <v>2.8676314666443142E-2</v>
      </c>
      <c r="L679" s="74"/>
      <c r="M679" s="74"/>
      <c r="N679" s="74"/>
      <c r="O679" s="74"/>
      <c r="P679" s="74"/>
      <c r="Q679" s="74"/>
      <c r="R679" s="74"/>
      <c r="S679" s="74"/>
      <c r="T679" s="74"/>
      <c r="U679" s="74"/>
      <c r="V679" s="74"/>
      <c r="W679" s="74"/>
      <c r="X679" s="74"/>
      <c r="Y679" s="74"/>
      <c r="Z679" s="74"/>
    </row>
    <row r="680" spans="1:26" x14ac:dyDescent="0.3">
      <c r="A680" s="66">
        <f t="shared" si="68"/>
        <v>2057.2999999999388</v>
      </c>
      <c r="B680" s="67">
        <f>LOOKUP(A680+0.01,Amounts!$A$4:$A$103,Amounts!$B$4:$B$103)*0.1*$A$2</f>
        <v>0</v>
      </c>
      <c r="C680" s="68">
        <f t="shared" si="67"/>
        <v>120665.52921499971</v>
      </c>
      <c r="D680" s="67">
        <f t="array" ref="D680">SUM($B$7:$B675*$F$1009*EXP(-$F$1009*($A680-$A$7:$A675)))*$F$1010</f>
        <v>5215622.353664034</v>
      </c>
      <c r="E680" s="67">
        <f t="shared" si="65"/>
        <v>9.943123581801558</v>
      </c>
      <c r="F680" s="70">
        <f t="shared" si="69"/>
        <v>0.6037464638869906</v>
      </c>
      <c r="G680" s="67">
        <f>E680/'Lookup Tables'!$C$48</f>
        <v>19.886247163603116</v>
      </c>
      <c r="H680" s="70">
        <f t="shared" si="66"/>
        <v>4.3310676948038043E-2</v>
      </c>
      <c r="I680" s="71">
        <f t="shared" si="70"/>
        <v>2.8636195915588487E-2</v>
      </c>
      <c r="L680" s="74"/>
      <c r="M680" s="74"/>
      <c r="N680" s="74"/>
      <c r="O680" s="74"/>
      <c r="P680" s="74"/>
      <c r="Q680" s="74"/>
      <c r="R680" s="74"/>
      <c r="S680" s="74"/>
      <c r="T680" s="74"/>
      <c r="U680" s="74"/>
      <c r="V680" s="74"/>
      <c r="W680" s="74"/>
      <c r="X680" s="74"/>
      <c r="Y680" s="74"/>
      <c r="Z680" s="74"/>
    </row>
    <row r="681" spans="1:26" x14ac:dyDescent="0.3">
      <c r="A681" s="66">
        <f t="shared" si="68"/>
        <v>2057.3999999999387</v>
      </c>
      <c r="B681" s="67">
        <f>LOOKUP(A681+0.01,Amounts!$A$4:$A$103,Amounts!$B$4:$B$103)*0.1*$A$2</f>
        <v>0</v>
      </c>
      <c r="C681" s="68">
        <f t="shared" si="67"/>
        <v>120665.52921499971</v>
      </c>
      <c r="D681" s="67">
        <f t="array" ref="D681">SUM($B$7:$B676*$F$1009*EXP(-$F$1009*($A681-$A$7:$A676)))*$F$1010</f>
        <v>5208325.5912943752</v>
      </c>
      <c r="E681" s="67">
        <f t="shared" si="65"/>
        <v>9.9292129485024301</v>
      </c>
      <c r="F681" s="70">
        <f t="shared" si="69"/>
        <v>0.60290181023306766</v>
      </c>
      <c r="G681" s="67">
        <f>E681/'Lookup Tables'!$C$48</f>
        <v>19.85842589700486</v>
      </c>
      <c r="H681" s="70">
        <f t="shared" si="66"/>
        <v>4.325008442497378E-2</v>
      </c>
      <c r="I681" s="71">
        <f t="shared" si="70"/>
        <v>2.8596133291687E-2</v>
      </c>
      <c r="L681" s="74"/>
      <c r="M681" s="74"/>
      <c r="N681" s="74"/>
      <c r="O681" s="74"/>
      <c r="P681" s="74"/>
      <c r="Q681" s="74"/>
      <c r="R681" s="74"/>
      <c r="S681" s="74"/>
      <c r="T681" s="74"/>
      <c r="U681" s="74"/>
      <c r="V681" s="74"/>
      <c r="W681" s="74"/>
      <c r="X681" s="74"/>
      <c r="Y681" s="74"/>
      <c r="Z681" s="74"/>
    </row>
    <row r="682" spans="1:26" x14ac:dyDescent="0.3">
      <c r="A682" s="66">
        <f t="shared" si="68"/>
        <v>2057.4999999999386</v>
      </c>
      <c r="B682" s="67">
        <f>LOOKUP(A682+0.01,Amounts!$A$4:$A$103,Amounts!$B$4:$B$103)*0.1*$A$2</f>
        <v>0</v>
      </c>
      <c r="C682" s="68">
        <f t="shared" si="67"/>
        <v>120665.52921499971</v>
      </c>
      <c r="D682" s="67">
        <f t="array" ref="D682">SUM($B$7:$B677*$F$1009*EXP(-$F$1009*($A682-$A$7:$A677)))*$F$1010</f>
        <v>5201039.0372445416</v>
      </c>
      <c r="E682" s="67">
        <f t="shared" si="65"/>
        <v>9.9153217764638573</v>
      </c>
      <c r="F682" s="70">
        <f t="shared" si="69"/>
        <v>0.60205833826688537</v>
      </c>
      <c r="G682" s="67">
        <f>E682/'Lookup Tables'!$C$48</f>
        <v>19.830643552927715</v>
      </c>
      <c r="H682" s="70">
        <f t="shared" si="66"/>
        <v>4.3189576672088822E-2</v>
      </c>
      <c r="I682" s="71">
        <f t="shared" si="70"/>
        <v>2.8556126716215911E-2</v>
      </c>
      <c r="L682" s="74"/>
      <c r="M682" s="74"/>
      <c r="N682" s="74"/>
      <c r="O682" s="74"/>
      <c r="P682" s="74"/>
      <c r="Q682" s="74"/>
      <c r="R682" s="74"/>
      <c r="S682" s="74"/>
      <c r="T682" s="74"/>
      <c r="U682" s="74"/>
      <c r="V682" s="74"/>
      <c r="W682" s="74"/>
      <c r="X682" s="74"/>
      <c r="Y682" s="74"/>
      <c r="Z682" s="74"/>
    </row>
    <row r="683" spans="1:26" x14ac:dyDescent="0.3">
      <c r="A683" s="66">
        <f t="shared" si="68"/>
        <v>2057.5999999999385</v>
      </c>
      <c r="B683" s="67">
        <f>LOOKUP(A683+0.01,Amounts!$A$4:$A$103,Amounts!$B$4:$B$103)*0.1*$A$2</f>
        <v>0</v>
      </c>
      <c r="C683" s="68">
        <f t="shared" si="67"/>
        <v>120665.52921499971</v>
      </c>
      <c r="D683" s="67">
        <f t="array" ref="D683">SUM($B$7:$B678*$F$1009*EXP(-$F$1009*($A683-$A$7:$A678)))*$F$1010</f>
        <v>5193762.6772328867</v>
      </c>
      <c r="E683" s="67">
        <f t="shared" si="65"/>
        <v>9.9014500384591422</v>
      </c>
      <c r="F683" s="70">
        <f t="shared" si="69"/>
        <v>0.60121604633523917</v>
      </c>
      <c r="G683" s="67">
        <f>E683/'Lookup Tables'!$C$48</f>
        <v>19.802900076918284</v>
      </c>
      <c r="H683" s="70">
        <f t="shared" si="66"/>
        <v>4.3129153570787976E-2</v>
      </c>
      <c r="I683" s="71">
        <f t="shared" si="70"/>
        <v>2.8516176110762331E-2</v>
      </c>
      <c r="L683" s="74"/>
      <c r="M683" s="74"/>
      <c r="N683" s="74"/>
      <c r="O683" s="74"/>
      <c r="P683" s="74"/>
      <c r="Q683" s="74"/>
      <c r="R683" s="74"/>
      <c r="S683" s="74"/>
      <c r="T683" s="74"/>
      <c r="U683" s="74"/>
      <c r="V683" s="74"/>
      <c r="W683" s="74"/>
      <c r="X683" s="74"/>
      <c r="Y683" s="74"/>
      <c r="Z683" s="74"/>
    </row>
    <row r="684" spans="1:26" x14ac:dyDescent="0.3">
      <c r="A684" s="66">
        <f t="shared" si="68"/>
        <v>2057.6999999999384</v>
      </c>
      <c r="B684" s="67">
        <f>LOOKUP(A684+0.01,Amounts!$A$4:$A$103,Amounts!$B$4:$B$103)*0.1*$A$2</f>
        <v>0</v>
      </c>
      <c r="C684" s="68">
        <f t="shared" si="67"/>
        <v>120665.52921499971</v>
      </c>
      <c r="D684" s="67">
        <f t="array" ref="D684">SUM($B$7:$B679*$F$1009*EXP(-$F$1009*($A684-$A$7:$A679)))*$F$1010</f>
        <v>5186496.496997742</v>
      </c>
      <c r="E684" s="67">
        <f t="shared" si="65"/>
        <v>9.8875977072996708</v>
      </c>
      <c r="F684" s="70">
        <f t="shared" si="69"/>
        <v>0.60037493278723597</v>
      </c>
      <c r="G684" s="67">
        <f>E684/'Lookup Tables'!$C$48</f>
        <v>19.775195414599342</v>
      </c>
      <c r="H684" s="70">
        <f t="shared" si="66"/>
        <v>4.3068815002641918E-2</v>
      </c>
      <c r="I684" s="71">
        <f t="shared" si="70"/>
        <v>2.8476281397023049E-2</v>
      </c>
      <c r="L684" s="74"/>
      <c r="M684" s="74"/>
      <c r="N684" s="74"/>
      <c r="O684" s="74"/>
      <c r="P684" s="74"/>
      <c r="Q684" s="74"/>
      <c r="R684" s="74"/>
      <c r="S684" s="74"/>
      <c r="T684" s="74"/>
      <c r="U684" s="74"/>
      <c r="V684" s="74"/>
      <c r="W684" s="74"/>
      <c r="X684" s="74"/>
      <c r="Y684" s="74"/>
      <c r="Z684" s="74"/>
    </row>
    <row r="685" spans="1:26" x14ac:dyDescent="0.3">
      <c r="A685" s="66">
        <f t="shared" si="68"/>
        <v>2057.7999999999383</v>
      </c>
      <c r="B685" s="67">
        <f>LOOKUP(A685+0.01,Amounts!$A$4:$A$103,Amounts!$B$4:$B$103)*0.1*$A$2</f>
        <v>0</v>
      </c>
      <c r="C685" s="68">
        <f t="shared" si="67"/>
        <v>120665.52921499971</v>
      </c>
      <c r="D685" s="67">
        <f t="array" ref="D685">SUM($B$7:$B680*$F$1009*EXP(-$F$1009*($A685-$A$7:$A680)))*$F$1010</f>
        <v>5179240.4822973898</v>
      </c>
      <c r="E685" s="67">
        <f t="shared" si="65"/>
        <v>9.8737647558348698</v>
      </c>
      <c r="F685" s="70">
        <f t="shared" si="69"/>
        <v>0.59953499597429316</v>
      </c>
      <c r="G685" s="67">
        <f>E685/'Lookup Tables'!$C$48</f>
        <v>19.74752951166974</v>
      </c>
      <c r="H685" s="70">
        <f t="shared" si="66"/>
        <v>4.3008560849387062E-2</v>
      </c>
      <c r="I685" s="71">
        <f t="shared" si="70"/>
        <v>2.8436442496804423E-2</v>
      </c>
      <c r="L685" s="74"/>
      <c r="M685" s="74"/>
      <c r="N685" s="74"/>
      <c r="O685" s="74"/>
      <c r="P685" s="74"/>
      <c r="Q685" s="74"/>
      <c r="R685" s="74"/>
      <c r="S685" s="74"/>
      <c r="T685" s="74"/>
      <c r="U685" s="74"/>
      <c r="V685" s="74"/>
      <c r="W685" s="74"/>
      <c r="X685" s="74"/>
      <c r="Y685" s="74"/>
      <c r="Z685" s="74"/>
    </row>
    <row r="686" spans="1:26" x14ac:dyDescent="0.3">
      <c r="A686" s="66">
        <f t="shared" si="68"/>
        <v>2057.8999999999382</v>
      </c>
      <c r="B686" s="67">
        <f>LOOKUP(A686+0.01,Amounts!$A$4:$A$103,Amounts!$B$4:$B$103)*0.1*$A$2</f>
        <v>0</v>
      </c>
      <c r="C686" s="68">
        <f t="shared" si="67"/>
        <v>120665.52921499971</v>
      </c>
      <c r="D686" s="67">
        <f t="array" ref="D686">SUM($B$7:$B681*$F$1009*EXP(-$F$1009*($A686-$A$7:$A681)))*$F$1010</f>
        <v>5171994.6189100435</v>
      </c>
      <c r="E686" s="67">
        <f t="shared" si="65"/>
        <v>9.859951156952155</v>
      </c>
      <c r="F686" s="70">
        <f t="shared" si="69"/>
        <v>0.59869623425013485</v>
      </c>
      <c r="G686" s="67">
        <f>E686/'Lookup Tables'!$C$48</f>
        <v>19.71990231390431</v>
      </c>
      <c r="H686" s="70">
        <f t="shared" si="66"/>
        <v>4.2948390992925259E-2</v>
      </c>
      <c r="I686" s="71">
        <f t="shared" si="70"/>
        <v>2.839665933202221E-2</v>
      </c>
      <c r="L686" s="74"/>
      <c r="M686" s="74"/>
      <c r="N686" s="74"/>
      <c r="O686" s="74"/>
      <c r="P686" s="74"/>
      <c r="Q686" s="74"/>
      <c r="R686" s="74"/>
      <c r="S686" s="74"/>
      <c r="T686" s="74"/>
      <c r="U686" s="74"/>
      <c r="V686" s="74"/>
      <c r="W686" s="74"/>
      <c r="X686" s="74"/>
      <c r="Y686" s="74"/>
      <c r="Z686" s="74"/>
    </row>
    <row r="687" spans="1:26" x14ac:dyDescent="0.3">
      <c r="A687" s="66">
        <f t="shared" si="68"/>
        <v>2057.9999999999382</v>
      </c>
      <c r="B687" s="67">
        <f>LOOKUP(A687+0.01,Amounts!$A$4:$A$103,Amounts!$B$4:$B$103)*0.1*$A$2</f>
        <v>0</v>
      </c>
      <c r="C687" s="68">
        <f t="shared" si="67"/>
        <v>120665.52921499971</v>
      </c>
      <c r="D687" s="67">
        <f t="array" ref="D687">SUM($B$7:$B682*$F$1009*EXP(-$F$1009*($A687-$A$7:$A682)))*$F$1010</f>
        <v>5164758.8926338051</v>
      </c>
      <c r="E687" s="67">
        <f t="shared" si="65"/>
        <v>9.8461568835768638</v>
      </c>
      <c r="F687" s="70">
        <f t="shared" si="69"/>
        <v>0.59785864597078719</v>
      </c>
      <c r="G687" s="67">
        <f>E687/'Lookup Tables'!$C$48</f>
        <v>19.692313767153728</v>
      </c>
      <c r="H687" s="70">
        <f t="shared" si="66"/>
        <v>4.288830531532354E-2</v>
      </c>
      <c r="I687" s="71">
        <f t="shared" si="70"/>
        <v>2.8356931824701365E-2</v>
      </c>
      <c r="L687" s="74"/>
      <c r="M687" s="74"/>
      <c r="N687" s="74"/>
      <c r="O687" s="74"/>
      <c r="P687" s="74"/>
      <c r="Q687" s="74"/>
      <c r="R687" s="74"/>
      <c r="S687" s="74"/>
      <c r="T687" s="74"/>
      <c r="U687" s="74"/>
      <c r="V687" s="74"/>
      <c r="W687" s="74"/>
      <c r="X687" s="74"/>
      <c r="Y687" s="74"/>
      <c r="Z687" s="74"/>
    </row>
    <row r="688" spans="1:26" x14ac:dyDescent="0.3">
      <c r="A688" s="66">
        <f t="shared" si="68"/>
        <v>2058.0999999999381</v>
      </c>
      <c r="B688" s="67">
        <f>LOOKUP(A688+0.01,Amounts!$A$4:$A$103,Amounts!$B$4:$B$103)*0.1*$A$2</f>
        <v>0</v>
      </c>
      <c r="C688" s="68">
        <f t="shared" si="67"/>
        <v>120665.52921499971</v>
      </c>
      <c r="D688" s="67">
        <f t="array" ref="D688">SUM($B$7:$B683*$F$1009*EXP(-$F$1009*($A688-$A$7:$A683)))*$F$1010</f>
        <v>5157533.2892866489</v>
      </c>
      <c r="E688" s="67">
        <f t="shared" si="65"/>
        <v>9.8323819086722128</v>
      </c>
      <c r="F688" s="70">
        <f t="shared" si="69"/>
        <v>0.59702222949457684</v>
      </c>
      <c r="G688" s="67">
        <f>E688/'Lookup Tables'!$C$48</f>
        <v>19.664763817344426</v>
      </c>
      <c r="H688" s="70">
        <f t="shared" si="66"/>
        <v>4.2828303698813956E-2</v>
      </c>
      <c r="I688" s="71">
        <f t="shared" si="70"/>
        <v>2.8317259896975974E-2</v>
      </c>
      <c r="L688" s="74"/>
      <c r="M688" s="74"/>
      <c r="N688" s="74"/>
      <c r="O688" s="74"/>
      <c r="P688" s="74"/>
      <c r="Q688" s="74"/>
      <c r="R688" s="74"/>
      <c r="S688" s="74"/>
      <c r="T688" s="74"/>
      <c r="U688" s="74"/>
      <c r="V688" s="74"/>
      <c r="W688" s="74"/>
      <c r="X688" s="74"/>
      <c r="Y688" s="74"/>
      <c r="Z688" s="74"/>
    </row>
    <row r="689" spans="1:26" x14ac:dyDescent="0.3">
      <c r="A689" s="66">
        <f t="shared" si="68"/>
        <v>2058.199999999938</v>
      </c>
      <c r="B689" s="67">
        <f>LOOKUP(A689+0.01,Amounts!$A$4:$A$103,Amounts!$B$4:$B$103)*0.1*$A$2</f>
        <v>0</v>
      </c>
      <c r="C689" s="68">
        <f t="shared" si="67"/>
        <v>120665.52921499971</v>
      </c>
      <c r="D689" s="67">
        <f t="array" ref="D689">SUM($B$7:$B684*$F$1009*EXP(-$F$1009*($A689-$A$7:$A684)))*$F$1010</f>
        <v>5150317.7947063921</v>
      </c>
      <c r="E689" s="67">
        <f t="shared" si="65"/>
        <v>9.8186262052392532</v>
      </c>
      <c r="F689" s="70">
        <f t="shared" si="69"/>
        <v>0.59618698318212748</v>
      </c>
      <c r="G689" s="67">
        <f>E689/'Lookup Tables'!$C$48</f>
        <v>19.637252410478506</v>
      </c>
      <c r="H689" s="70">
        <f t="shared" si="66"/>
        <v>4.2768386025793345E-2</v>
      </c>
      <c r="I689" s="71">
        <f t="shared" si="70"/>
        <v>2.8277643471089055E-2</v>
      </c>
      <c r="L689" s="74"/>
      <c r="M689" s="74"/>
      <c r="N689" s="74"/>
      <c r="O689" s="74"/>
      <c r="P689" s="74"/>
      <c r="Q689" s="74"/>
      <c r="R689" s="74"/>
      <c r="S689" s="74"/>
      <c r="T689" s="74"/>
      <c r="U689" s="74"/>
      <c r="V689" s="74"/>
      <c r="W689" s="74"/>
      <c r="X689" s="74"/>
      <c r="Y689" s="74"/>
      <c r="Z689" s="74"/>
    </row>
    <row r="690" spans="1:26" x14ac:dyDescent="0.3">
      <c r="A690" s="66">
        <f t="shared" si="68"/>
        <v>2058.2999999999379</v>
      </c>
      <c r="B690" s="67">
        <f>LOOKUP(A690+0.01,Amounts!$A$4:$A$103,Amounts!$B$4:$B$103)*0.1*$A$2</f>
        <v>0</v>
      </c>
      <c r="C690" s="68">
        <f t="shared" si="67"/>
        <v>120665.52921499971</v>
      </c>
      <c r="D690" s="67">
        <f t="array" ref="D690">SUM($B$7:$B685*$F$1009*EXP(-$F$1009*($A690-$A$7:$A685)))*$F$1010</f>
        <v>5143112.3947506584</v>
      </c>
      <c r="E690" s="67">
        <f t="shared" si="65"/>
        <v>9.8048897463167943</v>
      </c>
      <c r="F690" s="70">
        <f t="shared" si="69"/>
        <v>0.59535290539635566</v>
      </c>
      <c r="G690" s="67">
        <f>E690/'Lookup Tables'!$C$48</f>
        <v>19.609779492633589</v>
      </c>
      <c r="H690" s="70">
        <f t="shared" si="66"/>
        <v>4.2708552178823002E-2</v>
      </c>
      <c r="I690" s="71">
        <f t="shared" si="70"/>
        <v>2.8238082469392363E-2</v>
      </c>
      <c r="L690" s="74"/>
      <c r="M690" s="74"/>
      <c r="N690" s="74"/>
      <c r="O690" s="74"/>
      <c r="P690" s="74"/>
      <c r="Q690" s="74"/>
      <c r="R690" s="74"/>
      <c r="S690" s="74"/>
      <c r="T690" s="74"/>
      <c r="U690" s="74"/>
      <c r="V690" s="74"/>
      <c r="W690" s="74"/>
      <c r="X690" s="74"/>
      <c r="Y690" s="74"/>
      <c r="Z690" s="74"/>
    </row>
    <row r="691" spans="1:26" x14ac:dyDescent="0.3">
      <c r="A691" s="66">
        <f t="shared" si="68"/>
        <v>2058.3999999999378</v>
      </c>
      <c r="B691" s="67">
        <f>LOOKUP(A691+0.01,Amounts!$A$4:$A$103,Amounts!$B$4:$B$103)*0.1*$A$2</f>
        <v>0</v>
      </c>
      <c r="C691" s="68">
        <f t="shared" si="67"/>
        <v>120665.52921499971</v>
      </c>
      <c r="D691" s="67">
        <f t="array" ref="D691">SUM($B$7:$B686*$F$1009*EXP(-$F$1009*($A691-$A$7:$A686)))*$F$1010</f>
        <v>5135917.0752968648</v>
      </c>
      <c r="E691" s="67">
        <f t="shared" si="65"/>
        <v>9.7911725049813771</v>
      </c>
      <c r="F691" s="70">
        <f t="shared" si="69"/>
        <v>0.59451999450246917</v>
      </c>
      <c r="G691" s="67">
        <f>E691/'Lookup Tables'!$C$48</f>
        <v>19.582345009962754</v>
      </c>
      <c r="H691" s="70">
        <f t="shared" si="66"/>
        <v>4.2648802040628611E-2</v>
      </c>
      <c r="I691" s="71">
        <f t="shared" si="70"/>
        <v>2.8198576814346364E-2</v>
      </c>
      <c r="L691" s="74"/>
      <c r="M691" s="74"/>
      <c r="N691" s="74"/>
      <c r="O691" s="74"/>
      <c r="P691" s="74"/>
      <c r="Q691" s="74"/>
      <c r="R691" s="74"/>
      <c r="S691" s="74"/>
      <c r="T691" s="74"/>
      <c r="U691" s="74"/>
      <c r="V691" s="74"/>
      <c r="W691" s="74"/>
      <c r="X691" s="74"/>
      <c r="Y691" s="74"/>
      <c r="Z691" s="74"/>
    </row>
    <row r="692" spans="1:26" x14ac:dyDescent="0.3">
      <c r="A692" s="66">
        <f t="shared" si="68"/>
        <v>2058.4999999999377</v>
      </c>
      <c r="B692" s="67">
        <f>LOOKUP(A692+0.01,Amounts!$A$4:$A$103,Amounts!$B$4:$B$103)*0.1*$A$2</f>
        <v>0</v>
      </c>
      <c r="C692" s="68">
        <f t="shared" si="67"/>
        <v>120665.52921499971</v>
      </c>
      <c r="D692" s="67">
        <f t="array" ref="D692">SUM($B$7:$B687*$F$1009*EXP(-$F$1009*($A692-$A$7:$A687)))*$F$1010</f>
        <v>5128731.8222421855</v>
      </c>
      <c r="E692" s="67">
        <f t="shared" si="65"/>
        <v>9.7774744543472085</v>
      </c>
      <c r="F692" s="70">
        <f t="shared" si="69"/>
        <v>0.59368824886796256</v>
      </c>
      <c r="G692" s="67">
        <f>E692/'Lookup Tables'!$C$48</f>
        <v>19.554948908694417</v>
      </c>
      <c r="H692" s="70">
        <f t="shared" si="66"/>
        <v>4.25891354940999E-2</v>
      </c>
      <c r="I692" s="71">
        <f t="shared" si="70"/>
        <v>2.8159126428519959E-2</v>
      </c>
      <c r="L692" s="74"/>
      <c r="M692" s="74"/>
      <c r="N692" s="74"/>
      <c r="O692" s="74"/>
      <c r="P692" s="74"/>
      <c r="Q692" s="74"/>
      <c r="R692" s="74"/>
      <c r="S692" s="74"/>
      <c r="T692" s="74"/>
      <c r="U692" s="74"/>
      <c r="V692" s="74"/>
      <c r="W692" s="74"/>
      <c r="X692" s="74"/>
      <c r="Y692" s="74"/>
      <c r="Z692" s="74"/>
    </row>
    <row r="693" spans="1:26" x14ac:dyDescent="0.3">
      <c r="A693" s="66">
        <f t="shared" si="68"/>
        <v>2058.5999999999376</v>
      </c>
      <c r="B693" s="67">
        <f>LOOKUP(A693+0.01,Amounts!$A$4:$A$103,Amounts!$B$4:$B$103)*0.1*$A$2</f>
        <v>0</v>
      </c>
      <c r="C693" s="68">
        <f t="shared" si="67"/>
        <v>120665.52921499971</v>
      </c>
      <c r="D693" s="67">
        <f t="array" ref="D693">SUM($B$7:$B688*$F$1009*EXP(-$F$1009*($A693-$A$7:$A688)))*$F$1010</f>
        <v>5121556.6215035198</v>
      </c>
      <c r="E693" s="67">
        <f t="shared" si="65"/>
        <v>9.763795567566099</v>
      </c>
      <c r="F693" s="70">
        <f t="shared" si="69"/>
        <v>0.59285766686261354</v>
      </c>
      <c r="G693" s="67">
        <f>E693/'Lookup Tables'!$C$48</f>
        <v>19.527591135132198</v>
      </c>
      <c r="H693" s="70">
        <f t="shared" si="66"/>
        <v>4.2529552422290388E-2</v>
      </c>
      <c r="I693" s="71">
        <f t="shared" si="70"/>
        <v>2.8119731234590366E-2</v>
      </c>
      <c r="L693" s="74"/>
      <c r="M693" s="74"/>
      <c r="N693" s="74"/>
      <c r="O693" s="74"/>
      <c r="P693" s="74"/>
      <c r="Q693" s="74"/>
      <c r="R693" s="74"/>
      <c r="S693" s="74"/>
      <c r="T693" s="74"/>
      <c r="U693" s="74"/>
      <c r="V693" s="74"/>
      <c r="W693" s="74"/>
      <c r="X693" s="74"/>
      <c r="Y693" s="74"/>
      <c r="Z693" s="74"/>
    </row>
    <row r="694" spans="1:26" x14ac:dyDescent="0.3">
      <c r="A694" s="66">
        <f t="shared" si="68"/>
        <v>2058.6999999999375</v>
      </c>
      <c r="B694" s="67">
        <f>LOOKUP(A694+0.01,Amounts!$A$4:$A$103,Amounts!$B$4:$B$103)*0.1*$A$2</f>
        <v>0</v>
      </c>
      <c r="C694" s="68">
        <f t="shared" si="67"/>
        <v>120665.52921499971</v>
      </c>
      <c r="D694" s="67">
        <f t="array" ref="D694">SUM($B$7:$B689*$F$1009*EXP(-$F$1009*($A694-$A$7:$A689)))*$F$1010</f>
        <v>5114391.4590174714</v>
      </c>
      <c r="E694" s="67">
        <f t="shared" si="65"/>
        <v>9.7501358178274291</v>
      </c>
      <c r="F694" s="70">
        <f t="shared" si="69"/>
        <v>0.59202824685848143</v>
      </c>
      <c r="G694" s="67">
        <f>E694/'Lookup Tables'!$C$48</f>
        <v>19.500271635654858</v>
      </c>
      <c r="H694" s="70">
        <f t="shared" si="66"/>
        <v>4.2470052708417229E-2</v>
      </c>
      <c r="I694" s="71">
        <f t="shared" si="70"/>
        <v>2.8080391155342995E-2</v>
      </c>
      <c r="L694" s="74"/>
      <c r="M694" s="74"/>
      <c r="N694" s="74"/>
      <c r="O694" s="74"/>
      <c r="P694" s="74"/>
      <c r="Q694" s="74"/>
      <c r="R694" s="74"/>
      <c r="S694" s="74"/>
      <c r="T694" s="74"/>
      <c r="U694" s="74"/>
      <c r="V694" s="74"/>
      <c r="W694" s="74"/>
      <c r="X694" s="74"/>
      <c r="Y694" s="74"/>
      <c r="Z694" s="74"/>
    </row>
    <row r="695" spans="1:26" x14ac:dyDescent="0.3">
      <c r="A695" s="66">
        <f t="shared" si="68"/>
        <v>2058.7999999999374</v>
      </c>
      <c r="B695" s="67">
        <f>LOOKUP(A695+0.01,Amounts!$A$4:$A$103,Amounts!$B$4:$B$103)*0.1*$A$2</f>
        <v>0</v>
      </c>
      <c r="C695" s="68">
        <f t="shared" si="67"/>
        <v>120665.52921499971</v>
      </c>
      <c r="D695" s="67">
        <f t="array" ref="D695">SUM($B$7:$B690*$F$1009*EXP(-$F$1009*($A695-$A$7:$A690)))*$F$1010</f>
        <v>5107236.3207403198</v>
      </c>
      <c r="E695" s="67">
        <f t="shared" si="65"/>
        <v>9.7364951783580818</v>
      </c>
      <c r="F695" s="70">
        <f t="shared" si="69"/>
        <v>0.59119998722990275</v>
      </c>
      <c r="G695" s="67">
        <f>E695/'Lookup Tables'!$C$48</f>
        <v>19.472990356716164</v>
      </c>
      <c r="H695" s="70">
        <f t="shared" si="66"/>
        <v>4.2410636235860978E-2</v>
      </c>
      <c r="I695" s="71">
        <f t="shared" si="70"/>
        <v>2.8041106113671277E-2</v>
      </c>
      <c r="L695" s="74"/>
      <c r="M695" s="74"/>
      <c r="N695" s="74"/>
      <c r="O695" s="74"/>
      <c r="P695" s="74"/>
      <c r="Q695" s="74"/>
      <c r="R695" s="74"/>
      <c r="S695" s="74"/>
      <c r="T695" s="74"/>
      <c r="U695" s="74"/>
      <c r="V695" s="74"/>
      <c r="W695" s="74"/>
      <c r="X695" s="74"/>
      <c r="Y695" s="74"/>
      <c r="Z695" s="74"/>
    </row>
    <row r="696" spans="1:26" x14ac:dyDescent="0.3">
      <c r="A696" s="66">
        <f t="shared" si="68"/>
        <v>2058.8999999999373</v>
      </c>
      <c r="B696" s="67">
        <f>LOOKUP(A696+0.01,Amounts!$A$4:$A$103,Amounts!$B$4:$B$103)*0.1*$A$2</f>
        <v>0</v>
      </c>
      <c r="C696" s="68">
        <f t="shared" si="67"/>
        <v>120665.52921499971</v>
      </c>
      <c r="D696" s="67">
        <f t="array" ref="D696">SUM($B$7:$B691*$F$1009*EXP(-$F$1009*($A696-$A$7:$A691)))*$F$1010</f>
        <v>5100091.1926479917</v>
      </c>
      <c r="E696" s="67">
        <f t="shared" si="65"/>
        <v>9.7228736224224015</v>
      </c>
      <c r="F696" s="70">
        <f t="shared" si="69"/>
        <v>0.59037288635348817</v>
      </c>
      <c r="G696" s="67">
        <f>E696/'Lookup Tables'!$C$48</f>
        <v>19.445747244844803</v>
      </c>
      <c r="H696" s="70">
        <f t="shared" si="66"/>
        <v>4.2351302888165326E-2</v>
      </c>
      <c r="I696" s="71">
        <f t="shared" si="70"/>
        <v>2.8001876032576513E-2</v>
      </c>
      <c r="L696" s="74"/>
      <c r="M696" s="74"/>
      <c r="N696" s="74"/>
      <c r="O696" s="74"/>
      <c r="P696" s="74"/>
      <c r="Q696" s="74"/>
      <c r="R696" s="74"/>
      <c r="S696" s="74"/>
      <c r="T696" s="74"/>
      <c r="U696" s="74"/>
      <c r="V696" s="74"/>
      <c r="W696" s="74"/>
      <c r="X696" s="74"/>
      <c r="Y696" s="74"/>
      <c r="Z696" s="74"/>
    </row>
    <row r="697" spans="1:26" x14ac:dyDescent="0.3">
      <c r="A697" s="66">
        <f t="shared" si="68"/>
        <v>2058.9999999999372</v>
      </c>
      <c r="B697" s="67">
        <f>LOOKUP(A697+0.01,Amounts!$A$4:$A$103,Amounts!$B$4:$B$103)*0.1*$A$2</f>
        <v>0</v>
      </c>
      <c r="C697" s="68">
        <f t="shared" si="67"/>
        <v>120665.52921499971</v>
      </c>
      <c r="D697" s="67">
        <f t="array" ref="D697">SUM($B$7:$B692*$F$1009*EXP(-$F$1009*($A697-$A$7:$A692)))*$F$1010</f>
        <v>5092956.0607360331</v>
      </c>
      <c r="E697" s="67">
        <f t="shared" si="65"/>
        <v>9.7092711233221323</v>
      </c>
      <c r="F697" s="70">
        <f t="shared" si="69"/>
        <v>0.5895469426081198</v>
      </c>
      <c r="G697" s="67">
        <f>E697/'Lookup Tables'!$C$48</f>
        <v>19.418542246644265</v>
      </c>
      <c r="H697" s="70">
        <f t="shared" si="66"/>
        <v>4.2292052549036882E-2</v>
      </c>
      <c r="I697" s="71">
        <f t="shared" si="70"/>
        <v>2.7962700835167741E-2</v>
      </c>
      <c r="L697" s="74"/>
      <c r="M697" s="74"/>
      <c r="N697" s="74"/>
      <c r="O697" s="74"/>
      <c r="P697" s="74"/>
      <c r="Q697" s="74"/>
      <c r="R697" s="74"/>
      <c r="S697" s="74"/>
      <c r="T697" s="74"/>
      <c r="U697" s="74"/>
      <c r="V697" s="74"/>
      <c r="W697" s="74"/>
      <c r="X697" s="74"/>
      <c r="Y697" s="74"/>
      <c r="Z697" s="74"/>
    </row>
    <row r="698" spans="1:26" x14ac:dyDescent="0.3">
      <c r="A698" s="66">
        <f t="shared" si="68"/>
        <v>2059.0999999999372</v>
      </c>
      <c r="B698" s="67">
        <f>LOOKUP(A698+0.01,Amounts!$A$4:$A$103,Amounts!$B$4:$B$103)*0.1*$A$2</f>
        <v>0</v>
      </c>
      <c r="C698" s="68">
        <f t="shared" si="67"/>
        <v>120665.52921499971</v>
      </c>
      <c r="D698" s="67">
        <f t="array" ref="D698">SUM($B$7:$B693*$F$1009*EXP(-$F$1009*($A698-$A$7:$A693)))*$F$1010</f>
        <v>5085830.9110195842</v>
      </c>
      <c r="E698" s="67">
        <f t="shared" si="65"/>
        <v>9.695687654396373</v>
      </c>
      <c r="F698" s="70">
        <f t="shared" si="69"/>
        <v>0.58872215437494779</v>
      </c>
      <c r="G698" s="67">
        <f>E698/'Lookup Tables'!$C$48</f>
        <v>19.391375308792746</v>
      </c>
      <c r="H698" s="70">
        <f t="shared" si="66"/>
        <v>4.2232885102344978E-2</v>
      </c>
      <c r="I698" s="71">
        <f t="shared" si="70"/>
        <v>2.7923580444661551E-2</v>
      </c>
      <c r="L698" s="74"/>
      <c r="M698" s="74"/>
      <c r="N698" s="74"/>
      <c r="O698" s="74"/>
      <c r="P698" s="74"/>
      <c r="Q698" s="74"/>
      <c r="R698" s="74"/>
      <c r="S698" s="74"/>
      <c r="T698" s="74"/>
      <c r="U698" s="74"/>
      <c r="V698" s="74"/>
      <c r="W698" s="74"/>
      <c r="X698" s="74"/>
      <c r="Y698" s="74"/>
      <c r="Z698" s="74"/>
    </row>
    <row r="699" spans="1:26" x14ac:dyDescent="0.3">
      <c r="A699" s="66">
        <f t="shared" si="68"/>
        <v>2059.1999999999371</v>
      </c>
      <c r="B699" s="67">
        <f>LOOKUP(A699+0.01,Amounts!$A$4:$A$103,Amounts!$B$4:$B$103)*0.1*$A$2</f>
        <v>0</v>
      </c>
      <c r="C699" s="68">
        <f t="shared" si="67"/>
        <v>120665.52921499971</v>
      </c>
      <c r="D699" s="67">
        <f t="array" ref="D699">SUM($B$7:$B694*$F$1009*EXP(-$F$1009*($A699-$A$7:$A694)))*$F$1010</f>
        <v>5078715.7295333501</v>
      </c>
      <c r="E699" s="67">
        <f t="shared" si="65"/>
        <v>9.6821231890215227</v>
      </c>
      <c r="F699" s="70">
        <f t="shared" si="69"/>
        <v>0.58789852003738685</v>
      </c>
      <c r="G699" s="67">
        <f>E699/'Lookup Tables'!$C$48</f>
        <v>19.364246378043045</v>
      </c>
      <c r="H699" s="70">
        <f t="shared" si="66"/>
        <v>4.2173800432121406E-2</v>
      </c>
      <c r="I699" s="71">
        <f t="shared" si="70"/>
        <v>2.7884514784381986E-2</v>
      </c>
      <c r="L699" s="74"/>
      <c r="M699" s="74"/>
      <c r="N699" s="74"/>
      <c r="O699" s="74"/>
      <c r="P699" s="74"/>
      <c r="Q699" s="74"/>
      <c r="R699" s="74"/>
      <c r="S699" s="74"/>
      <c r="T699" s="74"/>
      <c r="U699" s="74"/>
      <c r="V699" s="74"/>
      <c r="W699" s="74"/>
      <c r="X699" s="74"/>
      <c r="Y699" s="74"/>
      <c r="Z699" s="74"/>
    </row>
    <row r="700" spans="1:26" x14ac:dyDescent="0.3">
      <c r="A700" s="66">
        <f t="shared" si="68"/>
        <v>2059.299999999937</v>
      </c>
      <c r="B700" s="67">
        <f>LOOKUP(A700+0.01,Amounts!$A$4:$A$103,Amounts!$B$4:$B$103)*0.1*$A$2</f>
        <v>0</v>
      </c>
      <c r="C700" s="68">
        <f t="shared" si="67"/>
        <v>120665.52921499971</v>
      </c>
      <c r="D700" s="67">
        <f t="array" ref="D700">SUM($B$7:$B695*$F$1009*EXP(-$F$1009*($A700-$A$7:$A695)))*$F$1010</f>
        <v>5071610.5023315717</v>
      </c>
      <c r="E700" s="67">
        <f t="shared" si="65"/>
        <v>9.6685777006112215</v>
      </c>
      <c r="F700" s="70">
        <f t="shared" si="69"/>
        <v>0.5870760379811133</v>
      </c>
      <c r="G700" s="67">
        <f>E700/'Lookup Tables'!$C$48</f>
        <v>19.337155401222443</v>
      </c>
      <c r="H700" s="70">
        <f t="shared" si="66"/>
        <v>4.2114798422560176E-2</v>
      </c>
      <c r="I700" s="71">
        <f t="shared" si="70"/>
        <v>2.7845503777760319E-2</v>
      </c>
      <c r="L700" s="74"/>
      <c r="M700" s="74"/>
      <c r="N700" s="74"/>
      <c r="O700" s="74"/>
      <c r="P700" s="74"/>
      <c r="Q700" s="74"/>
      <c r="R700" s="74"/>
      <c r="S700" s="74"/>
      <c r="T700" s="74"/>
      <c r="U700" s="74"/>
      <c r="V700" s="74"/>
      <c r="W700" s="74"/>
      <c r="X700" s="74"/>
      <c r="Y700" s="74"/>
      <c r="Z700" s="74"/>
    </row>
    <row r="701" spans="1:26" x14ac:dyDescent="0.3">
      <c r="A701" s="66">
        <f t="shared" si="68"/>
        <v>2059.3999999999369</v>
      </c>
      <c r="B701" s="67">
        <f>LOOKUP(A701+0.01,Amounts!$A$4:$A$103,Amounts!$B$4:$B$103)*0.1*$A$2</f>
        <v>0</v>
      </c>
      <c r="C701" s="68">
        <f t="shared" si="67"/>
        <v>120665.52921499971</v>
      </c>
      <c r="D701" s="67">
        <f t="array" ref="D701">SUM($B$7:$B696*$F$1009*EXP(-$F$1009*($A701-$A$7:$A696)))*$F$1010</f>
        <v>5064515.2154880017</v>
      </c>
      <c r="E701" s="67">
        <f t="shared" si="65"/>
        <v>9.6550511626163118</v>
      </c>
      <c r="F701" s="70">
        <f t="shared" si="69"/>
        <v>0.58625470659406254</v>
      </c>
      <c r="G701" s="67">
        <f>E701/'Lookup Tables'!$C$48</f>
        <v>19.310102325232624</v>
      </c>
      <c r="H701" s="70">
        <f t="shared" si="66"/>
        <v>4.2055878958017344E-2</v>
      </c>
      <c r="I701" s="71">
        <f t="shared" si="70"/>
        <v>2.7806547348334976E-2</v>
      </c>
      <c r="L701" s="74"/>
      <c r="M701" s="74"/>
      <c r="N701" s="74"/>
      <c r="O701" s="74"/>
      <c r="P701" s="74"/>
      <c r="Q701" s="74"/>
      <c r="R701" s="74"/>
      <c r="S701" s="74"/>
      <c r="T701" s="74"/>
      <c r="U701" s="74"/>
      <c r="V701" s="74"/>
      <c r="W701" s="74"/>
      <c r="X701" s="74"/>
      <c r="Y701" s="74"/>
      <c r="Z701" s="74"/>
    </row>
    <row r="702" spans="1:26" x14ac:dyDescent="0.3">
      <c r="A702" s="66">
        <f t="shared" si="68"/>
        <v>2059.4999999999368</v>
      </c>
      <c r="B702" s="67">
        <f>LOOKUP(A702+0.01,Amounts!$A$4:$A$103,Amounts!$B$4:$B$103)*0.1*$A$2</f>
        <v>0</v>
      </c>
      <c r="C702" s="68">
        <f t="shared" si="67"/>
        <v>120665.52921499971</v>
      </c>
      <c r="D702" s="67">
        <f t="array" ref="D702">SUM($B$7:$B697*$F$1009*EXP(-$F$1009*($A702-$A$7:$A697)))*$F$1010</f>
        <v>5057429.8550958764</v>
      </c>
      <c r="E702" s="67">
        <f t="shared" si="65"/>
        <v>9.6415435485247709</v>
      </c>
      <c r="F702" s="70">
        <f t="shared" si="69"/>
        <v>0.58543452426642417</v>
      </c>
      <c r="G702" s="67">
        <f>E702/'Lookup Tables'!$C$48</f>
        <v>19.283087097049542</v>
      </c>
      <c r="H702" s="70">
        <f t="shared" si="66"/>
        <v>4.1997041923010743E-2</v>
      </c>
      <c r="I702" s="71">
        <f t="shared" si="70"/>
        <v>2.7767645419751342E-2</v>
      </c>
      <c r="L702" s="74"/>
      <c r="M702" s="74"/>
      <c r="N702" s="74"/>
      <c r="O702" s="74"/>
      <c r="P702" s="74"/>
      <c r="Q702" s="74"/>
      <c r="R702" s="74"/>
      <c r="S702" s="74"/>
      <c r="T702" s="74"/>
      <c r="U702" s="74"/>
      <c r="V702" s="74"/>
      <c r="W702" s="74"/>
      <c r="X702" s="74"/>
      <c r="Y702" s="74"/>
      <c r="Z702" s="74"/>
    </row>
    <row r="703" spans="1:26" x14ac:dyDescent="0.3">
      <c r="A703" s="66">
        <f t="shared" si="68"/>
        <v>2059.5999999999367</v>
      </c>
      <c r="B703" s="67">
        <f>LOOKUP(A703+0.01,Amounts!$A$4:$A$103,Amounts!$B$4:$B$103)*0.1*$A$2</f>
        <v>0</v>
      </c>
      <c r="C703" s="68">
        <f t="shared" si="67"/>
        <v>120665.52921499971</v>
      </c>
      <c r="D703" s="67">
        <f t="array" ref="D703">SUM($B$7:$B698*$F$1009*EXP(-$F$1009*($A703-$A$7:$A698)))*$F$1010</f>
        <v>5050354.4072678844</v>
      </c>
      <c r="E703" s="67">
        <f t="shared" si="65"/>
        <v>9.6280548318616681</v>
      </c>
      <c r="F703" s="70">
        <f t="shared" si="69"/>
        <v>0.58461548939064045</v>
      </c>
      <c r="G703" s="67">
        <f>E703/'Lookup Tables'!$C$48</f>
        <v>19.256109663723336</v>
      </c>
      <c r="H703" s="70">
        <f t="shared" si="66"/>
        <v>4.1938287202219725E-2</v>
      </c>
      <c r="I703" s="71">
        <f t="shared" si="70"/>
        <v>2.7728797915761601E-2</v>
      </c>
      <c r="L703" s="74"/>
      <c r="M703" s="74"/>
      <c r="N703" s="74"/>
      <c r="O703" s="74"/>
      <c r="P703" s="74"/>
      <c r="Q703" s="74"/>
      <c r="R703" s="74"/>
      <c r="S703" s="74"/>
      <c r="T703" s="74"/>
      <c r="U703" s="74"/>
      <c r="V703" s="74"/>
      <c r="W703" s="74"/>
      <c r="X703" s="74"/>
      <c r="Y703" s="74"/>
      <c r="Z703" s="74"/>
    </row>
    <row r="704" spans="1:26" x14ac:dyDescent="0.3">
      <c r="A704" s="66">
        <f t="shared" si="68"/>
        <v>2059.6999999999366</v>
      </c>
      <c r="B704" s="67">
        <f>LOOKUP(A704+0.01,Amounts!$A$4:$A$103,Amounts!$B$4:$B$103)*0.1*$A$2</f>
        <v>0</v>
      </c>
      <c r="C704" s="68">
        <f t="shared" si="67"/>
        <v>120665.52921499971</v>
      </c>
      <c r="D704" s="67">
        <f t="array" ref="D704">SUM($B$7:$B699*$F$1009*EXP(-$F$1009*($A704-$A$7:$A699)))*$F$1010</f>
        <v>5043288.8581361463</v>
      </c>
      <c r="E704" s="67">
        <f t="shared" si="65"/>
        <v>9.6145849861891186</v>
      </c>
      <c r="F704" s="70">
        <f t="shared" si="69"/>
        <v>0.58379760036140316</v>
      </c>
      <c r="G704" s="67">
        <f>E704/'Lookup Tables'!$C$48</f>
        <v>19.229169972378237</v>
      </c>
      <c r="H704" s="70">
        <f t="shared" si="66"/>
        <v>4.1879614680485053E-2</v>
      </c>
      <c r="I704" s="71">
        <f t="shared" si="70"/>
        <v>2.7690004760224658E-2</v>
      </c>
      <c r="L704" s="74"/>
      <c r="M704" s="74"/>
      <c r="N704" s="74"/>
      <c r="O704" s="74"/>
      <c r="P704" s="74"/>
      <c r="Q704" s="74"/>
      <c r="R704" s="74"/>
      <c r="S704" s="74"/>
      <c r="T704" s="74"/>
      <c r="U704" s="74"/>
      <c r="V704" s="74"/>
      <c r="W704" s="74"/>
      <c r="X704" s="74"/>
      <c r="Y704" s="74"/>
      <c r="Z704" s="74"/>
    </row>
    <row r="705" spans="1:26" x14ac:dyDescent="0.3">
      <c r="A705" s="66">
        <f t="shared" si="68"/>
        <v>2059.7999999999365</v>
      </c>
      <c r="B705" s="67">
        <f>LOOKUP(A705+0.01,Amounts!$A$4:$A$103,Amounts!$B$4:$B$103)*0.1*$A$2</f>
        <v>0</v>
      </c>
      <c r="C705" s="68">
        <f t="shared" si="67"/>
        <v>120665.52921499971</v>
      </c>
      <c r="D705" s="67">
        <f t="array" ref="D705">SUM($B$7:$B700*$F$1009*EXP(-$F$1009*($A705-$A$7:$A700)))*$F$1010</f>
        <v>5036233.1938521853</v>
      </c>
      <c r="E705" s="67">
        <f t="shared" si="65"/>
        <v>9.6011339851062178</v>
      </c>
      <c r="F705" s="70">
        <f t="shared" si="69"/>
        <v>0.58298085557564949</v>
      </c>
      <c r="G705" s="67">
        <f>E705/'Lookup Tables'!$C$48</f>
        <v>19.202267970212436</v>
      </c>
      <c r="H705" s="70">
        <f t="shared" si="66"/>
        <v>4.182102424280857E-2</v>
      </c>
      <c r="I705" s="71">
        <f t="shared" si="70"/>
        <v>2.7651265877105907E-2</v>
      </c>
      <c r="L705" s="74"/>
      <c r="M705" s="74"/>
      <c r="N705" s="74"/>
      <c r="O705" s="74"/>
      <c r="P705" s="74"/>
      <c r="Q705" s="74"/>
      <c r="R705" s="74"/>
      <c r="S705" s="74"/>
      <c r="T705" s="74"/>
      <c r="U705" s="74"/>
      <c r="V705" s="74"/>
      <c r="W705" s="74"/>
      <c r="X705" s="74"/>
      <c r="Y705" s="74"/>
      <c r="Z705" s="74"/>
    </row>
    <row r="706" spans="1:26" x14ac:dyDescent="0.3">
      <c r="A706" s="66">
        <f t="shared" si="68"/>
        <v>2059.8999999999364</v>
      </c>
      <c r="B706" s="67">
        <f>LOOKUP(A706+0.01,Amounts!$A$4:$A$103,Amounts!$B$4:$B$103)*0.1*$A$2</f>
        <v>0</v>
      </c>
      <c r="C706" s="68">
        <f t="shared" si="67"/>
        <v>120665.52921499971</v>
      </c>
      <c r="D706" s="67">
        <f t="array" ref="D706">SUM($B$7:$B701*$F$1009*EXP(-$F$1009*($A706-$A$7:$A701)))*$F$1010</f>
        <v>5029187.4005868975</v>
      </c>
      <c r="E706" s="67">
        <f t="shared" si="65"/>
        <v>9.5877018022490059</v>
      </c>
      <c r="F706" s="70">
        <f t="shared" si="69"/>
        <v>0.58216525343255965</v>
      </c>
      <c r="G706" s="67">
        <f>E706/'Lookup Tables'!$C$48</f>
        <v>19.175403604498012</v>
      </c>
      <c r="H706" s="70">
        <f t="shared" si="66"/>
        <v>4.1762515774352998E-2</v>
      </c>
      <c r="I706" s="71">
        <f t="shared" si="70"/>
        <v>2.7612581190477142E-2</v>
      </c>
      <c r="L706" s="74"/>
      <c r="M706" s="74"/>
      <c r="N706" s="74"/>
      <c r="O706" s="74"/>
      <c r="P706" s="74"/>
      <c r="Q706" s="74"/>
      <c r="R706" s="74"/>
      <c r="S706" s="74"/>
      <c r="T706" s="74"/>
      <c r="U706" s="74"/>
      <c r="V706" s="74"/>
      <c r="W706" s="74"/>
      <c r="X706" s="74"/>
      <c r="Y706" s="74"/>
      <c r="Z706" s="74"/>
    </row>
    <row r="707" spans="1:26" x14ac:dyDescent="0.3">
      <c r="A707" s="66">
        <f t="shared" si="68"/>
        <v>2059.9999999999363</v>
      </c>
      <c r="B707" s="67">
        <f>LOOKUP(A707+0.01,Amounts!$A$4:$A$103,Amounts!$B$4:$B$103)*0.1*$A$2</f>
        <v>0</v>
      </c>
      <c r="C707" s="68">
        <f t="shared" si="67"/>
        <v>120665.52921499971</v>
      </c>
      <c r="D707" s="67">
        <f t="array" ref="D707">SUM($B$7:$B702*$F$1009*EXP(-$F$1009*($A707-$A$7:$A702)))*$F$1010</f>
        <v>5022151.4645305248</v>
      </c>
      <c r="E707" s="67">
        <f t="shared" si="65"/>
        <v>9.5742884112903948</v>
      </c>
      <c r="F707" s="70">
        <f t="shared" si="69"/>
        <v>0.5813507923335528</v>
      </c>
      <c r="G707" s="67">
        <f>E707/'Lookup Tables'!$C$48</f>
        <v>19.14857682258079</v>
      </c>
      <c r="H707" s="70">
        <f t="shared" si="66"/>
        <v>4.1704089160441715E-2</v>
      </c>
      <c r="I707" s="71">
        <f t="shared" si="70"/>
        <v>2.7573950624516338E-2</v>
      </c>
      <c r="L707" s="74"/>
      <c r="M707" s="74"/>
      <c r="N707" s="74"/>
      <c r="O707" s="74"/>
      <c r="P707" s="74"/>
      <c r="Q707" s="74"/>
      <c r="R707" s="74"/>
      <c r="S707" s="74"/>
      <c r="T707" s="74"/>
      <c r="U707" s="74"/>
      <c r="V707" s="74"/>
      <c r="W707" s="74"/>
      <c r="X707" s="74"/>
      <c r="Y707" s="74"/>
      <c r="Z707" s="74"/>
    </row>
    <row r="708" spans="1:26" x14ac:dyDescent="0.3">
      <c r="A708" s="66">
        <f t="shared" si="68"/>
        <v>2060.0999999999362</v>
      </c>
      <c r="B708" s="67">
        <f>LOOKUP(A708+0.01,Amounts!$A$4:$A$103,Amounts!$B$4:$B$103)*0.1*$A$2</f>
        <v>0</v>
      </c>
      <c r="C708" s="68">
        <f t="shared" si="67"/>
        <v>120665.52921499971</v>
      </c>
      <c r="D708" s="67">
        <f t="array" ref="D708">SUM($B$7:$B703*$F$1009*EXP(-$F$1009*($A708-$A$7:$A703)))*$F$1010</f>
        <v>5015125.3718926311</v>
      </c>
      <c r="E708" s="67">
        <f t="shared" si="65"/>
        <v>9.5608937859401362</v>
      </c>
      <c r="F708" s="70">
        <f t="shared" si="69"/>
        <v>0.58053747068228512</v>
      </c>
      <c r="G708" s="67">
        <f>E708/'Lookup Tables'!$C$48</f>
        <v>19.121787571880272</v>
      </c>
      <c r="H708" s="70">
        <f t="shared" si="66"/>
        <v>4.1645744286558532E-2</v>
      </c>
      <c r="I708" s="71">
        <f t="shared" si="70"/>
        <v>2.7535374103507596E-2</v>
      </c>
      <c r="L708" s="74"/>
      <c r="M708" s="74"/>
      <c r="N708" s="74"/>
      <c r="O708" s="74"/>
      <c r="P708" s="74"/>
      <c r="Q708" s="74"/>
      <c r="R708" s="74"/>
      <c r="S708" s="74"/>
      <c r="T708" s="74"/>
      <c r="U708" s="74"/>
      <c r="V708" s="74"/>
      <c r="W708" s="74"/>
      <c r="X708" s="74"/>
      <c r="Y708" s="74"/>
      <c r="Z708" s="74"/>
    </row>
    <row r="709" spans="1:26" x14ac:dyDescent="0.3">
      <c r="A709" s="66">
        <f t="shared" si="68"/>
        <v>2060.1999999999362</v>
      </c>
      <c r="B709" s="67">
        <f>LOOKUP(A709+0.01,Amounts!$A$4:$A$103,Amounts!$B$4:$B$103)*0.1*$A$2</f>
        <v>0</v>
      </c>
      <c r="C709" s="68">
        <f t="shared" si="67"/>
        <v>120665.52921499971</v>
      </c>
      <c r="D709" s="67">
        <f t="array" ref="D709">SUM($B$7:$B704*$F$1009*EXP(-$F$1009*($A709-$A$7:$A704)))*$F$1010</f>
        <v>5008109.1089020707</v>
      </c>
      <c r="E709" s="67">
        <f t="shared" si="65"/>
        <v>9.5475178999447561</v>
      </c>
      <c r="F709" s="70">
        <f t="shared" si="69"/>
        <v>0.57972528688464553</v>
      </c>
      <c r="G709" s="67">
        <f>E709/'Lookup Tables'!$C$48</f>
        <v>19.095035799889512</v>
      </c>
      <c r="H709" s="70">
        <f t="shared" si="66"/>
        <v>4.158748103834748E-2</v>
      </c>
      <c r="I709" s="71">
        <f t="shared" si="70"/>
        <v>2.7496851551840895E-2</v>
      </c>
      <c r="L709" s="74"/>
      <c r="M709" s="74"/>
      <c r="N709" s="74"/>
      <c r="O709" s="74"/>
      <c r="P709" s="74"/>
      <c r="Q709" s="74"/>
      <c r="R709" s="74"/>
      <c r="S709" s="74"/>
      <c r="T709" s="74"/>
      <c r="U709" s="74"/>
      <c r="V709" s="74"/>
      <c r="W709" s="74"/>
      <c r="X709" s="74"/>
      <c r="Y709" s="74"/>
      <c r="Z709" s="74"/>
    </row>
    <row r="710" spans="1:26" x14ac:dyDescent="0.3">
      <c r="A710" s="66">
        <f t="shared" si="68"/>
        <v>2060.2999999999361</v>
      </c>
      <c r="B710" s="67">
        <f>LOOKUP(A710+0.01,Amounts!$A$4:$A$103,Amounts!$B$4:$B$103)*0.1*$A$2</f>
        <v>0</v>
      </c>
      <c r="C710" s="68">
        <f t="shared" si="67"/>
        <v>120665.52921499971</v>
      </c>
      <c r="D710" s="67">
        <f t="array" ref="D710">SUM($B$7:$B705*$F$1009*EXP(-$F$1009*($A710-$A$7:$A705)))*$F$1010</f>
        <v>5001102.661806968</v>
      </c>
      <c r="E710" s="67">
        <f t="shared" si="65"/>
        <v>9.534160727087519</v>
      </c>
      <c r="F710" s="70">
        <f t="shared" si="69"/>
        <v>0.57891423934875419</v>
      </c>
      <c r="G710" s="67">
        <f>E710/'Lookup Tables'!$C$48</f>
        <v>19.068321454175038</v>
      </c>
      <c r="H710" s="70">
        <f t="shared" si="66"/>
        <v>4.1529299301612588E-2</v>
      </c>
      <c r="I710" s="71">
        <f t="shared" si="70"/>
        <v>2.7458382894012059E-2</v>
      </c>
      <c r="L710" s="74"/>
      <c r="M710" s="74"/>
      <c r="N710" s="74"/>
      <c r="O710" s="74"/>
      <c r="P710" s="74"/>
      <c r="Q710" s="74"/>
      <c r="R710" s="74"/>
      <c r="S710" s="74"/>
      <c r="T710" s="74"/>
      <c r="U710" s="74"/>
      <c r="V710" s="74"/>
      <c r="W710" s="74"/>
      <c r="X710" s="74"/>
      <c r="Y710" s="74"/>
      <c r="Z710" s="74"/>
    </row>
    <row r="711" spans="1:26" x14ac:dyDescent="0.3">
      <c r="A711" s="66">
        <f t="shared" si="68"/>
        <v>2060.399999999936</v>
      </c>
      <c r="B711" s="67">
        <f>LOOKUP(A711+0.01,Amounts!$A$4:$A$103,Amounts!$B$4:$B$103)*0.1*$A$2</f>
        <v>0</v>
      </c>
      <c r="C711" s="68">
        <f t="shared" si="67"/>
        <v>120665.52921499971</v>
      </c>
      <c r="D711" s="67">
        <f t="array" ref="D711">SUM($B$7:$B706*$F$1009*EXP(-$F$1009*($A711-$A$7:$A706)))*$F$1010</f>
        <v>4994106.016874684</v>
      </c>
      <c r="E711" s="67">
        <f t="shared" ref="E711:E774" si="71">D711/(365*24*60)*1.00201</f>
        <v>9.5208222411883607</v>
      </c>
      <c r="F711" s="70">
        <f t="shared" si="69"/>
        <v>0.57810432648495724</v>
      </c>
      <c r="G711" s="67">
        <f>E711/'Lookup Tables'!$C$48</f>
        <v>19.041644482376721</v>
      </c>
      <c r="H711" s="70">
        <f t="shared" ref="H711:H774" si="72">G711*60*24*365/(C711*2000)</f>
        <v>4.1471198962317622E-2</v>
      </c>
      <c r="I711" s="71">
        <f t="shared" si="70"/>
        <v>2.7419968054622476E-2</v>
      </c>
      <c r="L711" s="74"/>
      <c r="M711" s="74"/>
      <c r="N711" s="74"/>
      <c r="O711" s="74"/>
      <c r="P711" s="74"/>
      <c r="Q711" s="74"/>
      <c r="R711" s="74"/>
      <c r="S711" s="74"/>
      <c r="T711" s="74"/>
      <c r="U711" s="74"/>
      <c r="V711" s="74"/>
      <c r="W711" s="74"/>
      <c r="X711" s="74"/>
      <c r="Y711" s="74"/>
      <c r="Z711" s="74"/>
    </row>
    <row r="712" spans="1:26" x14ac:dyDescent="0.3">
      <c r="A712" s="66">
        <f t="shared" si="68"/>
        <v>2060.4999999999359</v>
      </c>
      <c r="B712" s="67">
        <f>LOOKUP(A712+0.01,Amounts!$A$4:$A$103,Amounts!$B$4:$B$103)*0.1*$A$2</f>
        <v>0</v>
      </c>
      <c r="C712" s="68">
        <f t="shared" si="67"/>
        <v>120665.52921499971</v>
      </c>
      <c r="D712" s="67">
        <f t="array" ref="D712">SUM($B$7:$B707*$F$1009*EXP(-$F$1009*($A712-$A$7:$A707)))*$F$1010</f>
        <v>4987119.1603917899</v>
      </c>
      <c r="E712" s="67">
        <f t="shared" si="71"/>
        <v>9.5075024161038382</v>
      </c>
      <c r="F712" s="70">
        <f t="shared" si="69"/>
        <v>0.57729554670582506</v>
      </c>
      <c r="G712" s="67">
        <f>E712/'Lookup Tables'!$C$48</f>
        <v>19.015004832207676</v>
      </c>
      <c r="H712" s="70">
        <f t="shared" si="72"/>
        <v>4.1413179906585877E-2</v>
      </c>
      <c r="I712" s="71">
        <f t="shared" si="70"/>
        <v>2.7381606958379053E-2</v>
      </c>
      <c r="L712" s="74"/>
      <c r="M712" s="74"/>
      <c r="N712" s="74"/>
      <c r="O712" s="74"/>
      <c r="P712" s="74"/>
      <c r="Q712" s="74"/>
      <c r="R712" s="74"/>
      <c r="S712" s="74"/>
      <c r="T712" s="74"/>
      <c r="U712" s="74"/>
      <c r="V712" s="74"/>
      <c r="W712" s="74"/>
      <c r="X712" s="74"/>
      <c r="Y712" s="74"/>
      <c r="Z712" s="74"/>
    </row>
    <row r="713" spans="1:26" x14ac:dyDescent="0.3">
      <c r="A713" s="66">
        <f t="shared" si="68"/>
        <v>2060.5999999999358</v>
      </c>
      <c r="B713" s="67">
        <f>LOOKUP(A713+0.01,Amounts!$A$4:$A$103,Amounts!$B$4:$B$103)*0.1*$A$2</f>
        <v>0</v>
      </c>
      <c r="C713" s="68">
        <f t="shared" ref="C713:C776" si="73">C712+B713</f>
        <v>120665.52921499971</v>
      </c>
      <c r="D713" s="67">
        <f t="array" ref="D713">SUM($B$7:$B708*$F$1009*EXP(-$F$1009*($A713-$A$7:$A708)))*$F$1010</f>
        <v>4980142.0786640467</v>
      </c>
      <c r="E713" s="67">
        <f t="shared" si="71"/>
        <v>9.494201225727096</v>
      </c>
      <c r="F713" s="70">
        <f t="shared" si="69"/>
        <v>0.57648789842614923</v>
      </c>
      <c r="G713" s="67">
        <f>E713/'Lookup Tables'!$C$48</f>
        <v>18.988402451454192</v>
      </c>
      <c r="H713" s="70">
        <f t="shared" si="72"/>
        <v>4.1355242020700025E-2</v>
      </c>
      <c r="I713" s="71">
        <f t="shared" si="70"/>
        <v>2.734329953009404E-2</v>
      </c>
      <c r="L713" s="74"/>
      <c r="M713" s="74"/>
      <c r="N713" s="74"/>
      <c r="O713" s="74"/>
      <c r="P713" s="74"/>
      <c r="Q713" s="74"/>
      <c r="R713" s="74"/>
      <c r="S713" s="74"/>
      <c r="T713" s="74"/>
      <c r="U713" s="74"/>
      <c r="V713" s="74"/>
      <c r="W713" s="74"/>
      <c r="X713" s="74"/>
      <c r="Y713" s="74"/>
      <c r="Z713" s="74"/>
    </row>
    <row r="714" spans="1:26" x14ac:dyDescent="0.3">
      <c r="A714" s="66">
        <f t="shared" si="68"/>
        <v>2060.6999999999357</v>
      </c>
      <c r="B714" s="67">
        <f>LOOKUP(A714+0.01,Amounts!$A$4:$A$103,Amounts!$B$4:$B$103)*0.1*$A$2</f>
        <v>0</v>
      </c>
      <c r="C714" s="68">
        <f t="shared" si="73"/>
        <v>120665.52921499971</v>
      </c>
      <c r="D714" s="67">
        <f t="array" ref="D714">SUM($B$7:$B709*$F$1009*EXP(-$F$1009*($A714-$A$7:$A709)))*$F$1010</f>
        <v>4973174.758016373</v>
      </c>
      <c r="E714" s="67">
        <f t="shared" si="71"/>
        <v>9.4809186439877973</v>
      </c>
      <c r="F714" s="70">
        <f t="shared" si="69"/>
        <v>0.57568138006293901</v>
      </c>
      <c r="G714" s="67">
        <f>E714/'Lookup Tables'!$C$48</f>
        <v>18.961837287975595</v>
      </c>
      <c r="H714" s="70">
        <f t="shared" si="72"/>
        <v>4.1297385191101765E-2</v>
      </c>
      <c r="I714" s="71">
        <f t="shared" si="70"/>
        <v>2.7305045694684858E-2</v>
      </c>
      <c r="L714" s="74"/>
      <c r="M714" s="74"/>
      <c r="N714" s="74"/>
      <c r="O714" s="74"/>
      <c r="P714" s="74"/>
      <c r="Q714" s="74"/>
      <c r="R714" s="74"/>
      <c r="S714" s="74"/>
      <c r="T714" s="74"/>
      <c r="U714" s="74"/>
      <c r="V714" s="74"/>
      <c r="W714" s="74"/>
      <c r="X714" s="74"/>
      <c r="Y714" s="74"/>
      <c r="Z714" s="74"/>
    </row>
    <row r="715" spans="1:26" x14ac:dyDescent="0.3">
      <c r="A715" s="66">
        <f t="shared" si="68"/>
        <v>2060.7999999999356</v>
      </c>
      <c r="B715" s="67">
        <f>LOOKUP(A715+0.01,Amounts!$A$4:$A$103,Amounts!$B$4:$B$103)*0.1*$A$2</f>
        <v>0</v>
      </c>
      <c r="C715" s="68">
        <f t="shared" si="73"/>
        <v>120665.52921499971</v>
      </c>
      <c r="D715" s="67">
        <f t="array" ref="D715">SUM($B$7:$B710*$F$1009*EXP(-$F$1009*($A715-$A$7:$A710)))*$F$1010</f>
        <v>4966217.1847928176</v>
      </c>
      <c r="E715" s="67">
        <f t="shared" si="71"/>
        <v>9.4676546448520753</v>
      </c>
      <c r="F715" s="70">
        <f t="shared" si="69"/>
        <v>0.57487599003541801</v>
      </c>
      <c r="G715" s="67">
        <f>E715/'Lookup Tables'!$C$48</f>
        <v>18.935309289704151</v>
      </c>
      <c r="H715" s="70">
        <f t="shared" si="72"/>
        <v>4.123960930439171E-2</v>
      </c>
      <c r="I715" s="71">
        <f t="shared" si="70"/>
        <v>2.7266845377173977E-2</v>
      </c>
      <c r="L715" s="74"/>
      <c r="M715" s="74"/>
      <c r="N715" s="74"/>
      <c r="O715" s="74"/>
      <c r="P715" s="74"/>
      <c r="Q715" s="74"/>
      <c r="R715" s="74"/>
      <c r="S715" s="74"/>
      <c r="T715" s="74"/>
      <c r="U715" s="74"/>
      <c r="V715" s="74"/>
      <c r="W715" s="74"/>
      <c r="X715" s="74"/>
      <c r="Y715" s="74"/>
      <c r="Z715" s="74"/>
    </row>
    <row r="716" spans="1:26" x14ac:dyDescent="0.3">
      <c r="A716" s="66">
        <f t="shared" si="68"/>
        <v>2060.8999999999355</v>
      </c>
      <c r="B716" s="67">
        <f>LOOKUP(A716+0.01,Amounts!$A$4:$A$103,Amounts!$B$4:$B$103)*0.1*$A$2</f>
        <v>0</v>
      </c>
      <c r="C716" s="68">
        <f t="shared" si="73"/>
        <v>120665.52921499971</v>
      </c>
      <c r="D716" s="67">
        <f t="array" ref="D716">SUM($B$7:$B711*$F$1009*EXP(-$F$1009*($A716-$A$7:$A711)))*$F$1010</f>
        <v>4959269.3453565333</v>
      </c>
      <c r="E716" s="67">
        <f t="shared" si="71"/>
        <v>9.4544092023224895</v>
      </c>
      <c r="F716" s="70">
        <f t="shared" si="69"/>
        <v>0.57407172676502161</v>
      </c>
      <c r="G716" s="67">
        <f>E716/'Lookup Tables'!$C$48</f>
        <v>18.908818404644979</v>
      </c>
      <c r="H716" s="70">
        <f t="shared" si="72"/>
        <v>4.1181914247329081E-2</v>
      </c>
      <c r="I716" s="71">
        <f t="shared" si="70"/>
        <v>2.7228698502688772E-2</v>
      </c>
      <c r="L716" s="74"/>
      <c r="M716" s="74"/>
      <c r="N716" s="74"/>
      <c r="O716" s="74"/>
      <c r="P716" s="74"/>
      <c r="Q716" s="74"/>
      <c r="R716" s="74"/>
      <c r="S716" s="74"/>
      <c r="T716" s="74"/>
      <c r="U716" s="74"/>
      <c r="V716" s="74"/>
      <c r="W716" s="74"/>
      <c r="X716" s="74"/>
      <c r="Y716" s="74"/>
      <c r="Z716" s="74"/>
    </row>
    <row r="717" spans="1:26" x14ac:dyDescent="0.3">
      <c r="A717" s="66">
        <f t="shared" si="68"/>
        <v>2060.9999999999354</v>
      </c>
      <c r="B717" s="67">
        <f>LOOKUP(A717+0.01,Amounts!$A$4:$A$103,Amounts!$B$4:$B$103)*0.1*$A$2</f>
        <v>0</v>
      </c>
      <c r="C717" s="68">
        <f t="shared" si="73"/>
        <v>120665.52921499971</v>
      </c>
      <c r="D717" s="67">
        <f t="array" ref="D717">SUM($B$7:$B712*$F$1009*EXP(-$F$1009*($A717-$A$7:$A712)))*$F$1010</f>
        <v>4952331.2260897532</v>
      </c>
      <c r="E717" s="67">
        <f t="shared" si="71"/>
        <v>9.4411822904379648</v>
      </c>
      <c r="F717" s="70">
        <f t="shared" si="69"/>
        <v>0.57326858867539321</v>
      </c>
      <c r="G717" s="67">
        <f>E717/'Lookup Tables'!$C$48</f>
        <v>18.88236458087593</v>
      </c>
      <c r="H717" s="70">
        <f t="shared" si="72"/>
        <v>4.1124299906831571E-2</v>
      </c>
      <c r="I717" s="71">
        <f t="shared" si="70"/>
        <v>2.7190604996461341E-2</v>
      </c>
      <c r="L717" s="74"/>
      <c r="M717" s="74"/>
      <c r="N717" s="74"/>
      <c r="O717" s="74"/>
      <c r="P717" s="74"/>
      <c r="Q717" s="74"/>
      <c r="R717" s="74"/>
      <c r="S717" s="74"/>
      <c r="T717" s="74"/>
      <c r="U717" s="74"/>
      <c r="V717" s="74"/>
      <c r="W717" s="74"/>
      <c r="X717" s="74"/>
      <c r="Y717" s="74"/>
      <c r="Z717" s="74"/>
    </row>
    <row r="718" spans="1:26" x14ac:dyDescent="0.3">
      <c r="A718" s="66">
        <f t="shared" si="68"/>
        <v>2061.0999999999353</v>
      </c>
      <c r="B718" s="67">
        <f>LOOKUP(A718+0.01,Amounts!$A$4:$A$103,Amounts!$B$4:$B$103)*0.1*$A$2</f>
        <v>0</v>
      </c>
      <c r="C718" s="68">
        <f t="shared" si="73"/>
        <v>120665.52921499971</v>
      </c>
      <c r="D718" s="67">
        <f t="array" ref="D718">SUM($B$7:$B713*$F$1009*EXP(-$F$1009*($A718-$A$7:$A713)))*$F$1010</f>
        <v>4945402.8133937623</v>
      </c>
      <c r="E718" s="67">
        <f t="shared" si="71"/>
        <v>9.4279738832737525</v>
      </c>
      <c r="F718" s="70">
        <f t="shared" si="69"/>
        <v>0.57246657419238223</v>
      </c>
      <c r="G718" s="67">
        <f>E718/'Lookup Tables'!$C$48</f>
        <v>18.855947766547505</v>
      </c>
      <c r="H718" s="70">
        <f t="shared" si="72"/>
        <v>4.1066766169975032E-2</v>
      </c>
      <c r="I718" s="71">
        <f t="shared" si="70"/>
        <v>2.7152564783828406E-2</v>
      </c>
      <c r="L718" s="74"/>
      <c r="M718" s="74"/>
      <c r="N718" s="74"/>
      <c r="O718" s="74"/>
      <c r="P718" s="74"/>
      <c r="Q718" s="74"/>
      <c r="R718" s="74"/>
      <c r="S718" s="74"/>
      <c r="T718" s="74"/>
      <c r="U718" s="74"/>
      <c r="V718" s="74"/>
      <c r="W718" s="74"/>
      <c r="X718" s="74"/>
      <c r="Y718" s="74"/>
      <c r="Z718" s="74"/>
    </row>
    <row r="719" spans="1:26" x14ac:dyDescent="0.3">
      <c r="A719" s="66">
        <f t="shared" si="68"/>
        <v>2061.1999999999352</v>
      </c>
      <c r="B719" s="67">
        <f>LOOKUP(A719+0.01,Amounts!$A$4:$A$103,Amounts!$B$4:$B$103)*0.1*$A$2</f>
        <v>0</v>
      </c>
      <c r="C719" s="68">
        <f t="shared" si="73"/>
        <v>120665.52921499971</v>
      </c>
      <c r="D719" s="67">
        <f t="array" ref="D719">SUM($B$7:$B714*$F$1009*EXP(-$F$1009*($A719-$A$7:$A714)))*$F$1010</f>
        <v>4938484.093688868</v>
      </c>
      <c r="E719" s="67">
        <f t="shared" si="71"/>
        <v>9.4147839549413685</v>
      </c>
      <c r="F719" s="70">
        <f t="shared" si="69"/>
        <v>0.57166568174403998</v>
      </c>
      <c r="G719" s="67">
        <f>E719/'Lookup Tables'!$C$48</f>
        <v>18.829567909882737</v>
      </c>
      <c r="H719" s="70">
        <f t="shared" si="72"/>
        <v>4.1009312923993346E-2</v>
      </c>
      <c r="I719" s="71">
        <f t="shared" si="70"/>
        <v>2.7114577790231145E-2</v>
      </c>
      <c r="L719" s="74"/>
      <c r="M719" s="74"/>
      <c r="N719" s="74"/>
      <c r="O719" s="74"/>
      <c r="P719" s="74"/>
      <c r="Q719" s="74"/>
      <c r="R719" s="74"/>
      <c r="S719" s="74"/>
      <c r="T719" s="74"/>
      <c r="U719" s="74"/>
      <c r="V719" s="74"/>
      <c r="W719" s="74"/>
      <c r="X719" s="74"/>
      <c r="Y719" s="74"/>
      <c r="Z719" s="74"/>
    </row>
    <row r="720" spans="1:26" x14ac:dyDescent="0.3">
      <c r="A720" s="66">
        <f t="shared" si="68"/>
        <v>2061.2999999999352</v>
      </c>
      <c r="B720" s="67">
        <f>LOOKUP(A720+0.01,Amounts!$A$4:$A$103,Amounts!$B$4:$B$103)*0.1*$A$2</f>
        <v>0</v>
      </c>
      <c r="C720" s="68">
        <f t="shared" si="73"/>
        <v>120665.52921499971</v>
      </c>
      <c r="D720" s="67">
        <f t="array" ref="D720">SUM($B$7:$B715*$F$1009*EXP(-$F$1009*($A720-$A$7:$A715)))*$F$1010</f>
        <v>4931575.0534143755</v>
      </c>
      <c r="E720" s="67">
        <f t="shared" si="71"/>
        <v>9.401612479588545</v>
      </c>
      <c r="F720" s="70">
        <f t="shared" si="69"/>
        <v>0.57086590976061635</v>
      </c>
      <c r="G720" s="67">
        <f>E720/'Lookup Tables'!$C$48</f>
        <v>18.80322495917709</v>
      </c>
      <c r="H720" s="70">
        <f t="shared" si="72"/>
        <v>4.0951940056278079E-2</v>
      </c>
      <c r="I720" s="71">
        <f t="shared" si="70"/>
        <v>2.7076643941215006E-2</v>
      </c>
      <c r="L720" s="74"/>
      <c r="M720" s="74"/>
      <c r="N720" s="74"/>
      <c r="O720" s="74"/>
      <c r="P720" s="74"/>
      <c r="Q720" s="74"/>
      <c r="R720" s="74"/>
      <c r="S720" s="74"/>
      <c r="T720" s="74"/>
      <c r="U720" s="74"/>
      <c r="V720" s="74"/>
      <c r="W720" s="74"/>
      <c r="X720" s="74"/>
      <c r="Y720" s="74"/>
      <c r="Z720" s="74"/>
    </row>
    <row r="721" spans="1:26" x14ac:dyDescent="0.3">
      <c r="A721" s="66">
        <f t="shared" si="68"/>
        <v>2061.3999999999351</v>
      </c>
      <c r="B721" s="67">
        <f>LOOKUP(A721+0.01,Amounts!$A$4:$A$103,Amounts!$B$4:$B$103)*0.1*$A$2</f>
        <v>0</v>
      </c>
      <c r="C721" s="68">
        <f t="shared" si="73"/>
        <v>120665.52921499971</v>
      </c>
      <c r="D721" s="67">
        <f t="array" ref="D721">SUM($B$7:$B716*$F$1009*EXP(-$F$1009*($A721-$A$7:$A716)))*$F$1010</f>
        <v>4924675.6790285697</v>
      </c>
      <c r="E721" s="67">
        <f t="shared" si="71"/>
        <v>9.3884594313991965</v>
      </c>
      <c r="F721" s="70">
        <f t="shared" si="69"/>
        <v>0.57006725667455915</v>
      </c>
      <c r="G721" s="67">
        <f>E721/'Lookup Tables'!$C$48</f>
        <v>18.776918862798393</v>
      </c>
      <c r="H721" s="70">
        <f t="shared" si="72"/>
        <v>4.0894647454378465E-2</v>
      </c>
      <c r="I721" s="71">
        <f t="shared" si="70"/>
        <v>2.7038763162429688E-2</v>
      </c>
      <c r="L721" s="74"/>
      <c r="M721" s="74"/>
      <c r="N721" s="74"/>
      <c r="O721" s="74"/>
      <c r="P721" s="74"/>
      <c r="Q721" s="74"/>
      <c r="R721" s="74"/>
      <c r="S721" s="74"/>
      <c r="T721" s="74"/>
      <c r="U721" s="74"/>
      <c r="V721" s="74"/>
      <c r="W721" s="74"/>
      <c r="X721" s="74"/>
      <c r="Y721" s="74"/>
      <c r="Z721" s="74"/>
    </row>
    <row r="722" spans="1:26" x14ac:dyDescent="0.3">
      <c r="A722" s="66">
        <f t="shared" si="68"/>
        <v>2061.499999999935</v>
      </c>
      <c r="B722" s="67">
        <f>LOOKUP(A722+0.01,Amounts!$A$4:$A$103,Amounts!$B$4:$B$103)*0.1*$A$2</f>
        <v>0</v>
      </c>
      <c r="C722" s="68">
        <f t="shared" si="73"/>
        <v>120665.52921499971</v>
      </c>
      <c r="D722" s="67">
        <f t="array" ref="D722">SUM($B$7:$B717*$F$1009*EXP(-$F$1009*($A722-$A$7:$A717)))*$F$1010</f>
        <v>4917785.9570086719</v>
      </c>
      <c r="E722" s="67">
        <f t="shared" si="71"/>
        <v>9.3753247845933405</v>
      </c>
      <c r="F722" s="70">
        <f t="shared" si="69"/>
        <v>0.56926972092050754</v>
      </c>
      <c r="G722" s="67">
        <f>E722/'Lookup Tables'!$C$48</f>
        <v>18.750649569186681</v>
      </c>
      <c r="H722" s="70">
        <f t="shared" si="72"/>
        <v>4.0837435006000955E-2</v>
      </c>
      <c r="I722" s="71">
        <f t="shared" si="70"/>
        <v>2.7000935379628818E-2</v>
      </c>
      <c r="L722" s="74"/>
      <c r="M722" s="74"/>
      <c r="N722" s="74"/>
      <c r="O722" s="74"/>
      <c r="P722" s="74"/>
      <c r="Q722" s="74"/>
      <c r="R722" s="74"/>
      <c r="S722" s="74"/>
      <c r="T722" s="74"/>
      <c r="U722" s="74"/>
      <c r="V722" s="74"/>
      <c r="W722" s="74"/>
      <c r="X722" s="74"/>
      <c r="Y722" s="74"/>
      <c r="Z722" s="74"/>
    </row>
    <row r="723" spans="1:26" x14ac:dyDescent="0.3">
      <c r="A723" s="66">
        <f t="shared" ref="A723:A786" si="74">A722+0.1</f>
        <v>2061.5999999999349</v>
      </c>
      <c r="B723" s="67">
        <f>LOOKUP(A723+0.01,Amounts!$A$4:$A$103,Amounts!$B$4:$B$103)*0.1*$A$2</f>
        <v>0</v>
      </c>
      <c r="C723" s="68">
        <f t="shared" si="73"/>
        <v>120665.52921499971</v>
      </c>
      <c r="D723" s="67">
        <f t="array" ref="D723">SUM($B$7:$B718*$F$1009*EXP(-$F$1009*($A723-$A$7:$A718)))*$F$1010</f>
        <v>4910905.8738508234</v>
      </c>
      <c r="E723" s="67">
        <f t="shared" si="71"/>
        <v>9.3622085134270616</v>
      </c>
      <c r="F723" s="70">
        <f t="shared" ref="F723:F786" si="75">E723*60*1012/1000000</f>
        <v>0.56847330093529125</v>
      </c>
      <c r="G723" s="67">
        <f>E723/'Lookup Tables'!$C$48</f>
        <v>18.724417026854123</v>
      </c>
      <c r="H723" s="70">
        <f t="shared" si="72"/>
        <v>4.0780302599009124E-2</v>
      </c>
      <c r="I723" s="71">
        <f t="shared" ref="I723:I786" si="76">G723*60*24/1000000</f>
        <v>2.6963160518669937E-2</v>
      </c>
      <c r="L723" s="74"/>
      <c r="M723" s="74"/>
      <c r="N723" s="74"/>
      <c r="O723" s="74"/>
      <c r="P723" s="74"/>
      <c r="Q723" s="74"/>
      <c r="R723" s="74"/>
      <c r="S723" s="74"/>
      <c r="T723" s="74"/>
      <c r="U723" s="74"/>
      <c r="V723" s="74"/>
      <c r="W723" s="74"/>
      <c r="X723" s="74"/>
      <c r="Y723" s="74"/>
      <c r="Z723" s="74"/>
    </row>
    <row r="724" spans="1:26" x14ac:dyDescent="0.3">
      <c r="A724" s="66">
        <f t="shared" si="74"/>
        <v>2061.6999999999348</v>
      </c>
      <c r="B724" s="67">
        <f>LOOKUP(A724+0.01,Amounts!$A$4:$A$103,Amounts!$B$4:$B$103)*0.1*$A$2</f>
        <v>0</v>
      </c>
      <c r="C724" s="68">
        <f t="shared" si="73"/>
        <v>120665.52921499971</v>
      </c>
      <c r="D724" s="67">
        <f t="array" ref="D724">SUM($B$7:$B719*$F$1009*EXP(-$F$1009*($A724-$A$7:$A719)))*$F$1010</f>
        <v>4904035.416070058</v>
      </c>
      <c r="E724" s="67">
        <f t="shared" si="71"/>
        <v>9.3491105921924653</v>
      </c>
      <c r="F724" s="70">
        <f t="shared" si="75"/>
        <v>0.5676779951579265</v>
      </c>
      <c r="G724" s="67">
        <f>E724/'Lookup Tables'!$C$48</f>
        <v>18.698221184384931</v>
      </c>
      <c r="H724" s="70">
        <f t="shared" si="72"/>
        <v>4.0723250121423429E-2</v>
      </c>
      <c r="I724" s="71">
        <f t="shared" si="76"/>
        <v>2.69254385055143E-2</v>
      </c>
      <c r="L724" s="74"/>
      <c r="M724" s="74"/>
      <c r="N724" s="74"/>
      <c r="O724" s="74"/>
      <c r="P724" s="74"/>
      <c r="Q724" s="74"/>
      <c r="R724" s="74"/>
      <c r="S724" s="74"/>
      <c r="T724" s="74"/>
      <c r="U724" s="74"/>
      <c r="V724" s="74"/>
      <c r="W724" s="74"/>
      <c r="X724" s="74"/>
      <c r="Y724" s="74"/>
      <c r="Z724" s="74"/>
    </row>
    <row r="725" spans="1:26" x14ac:dyDescent="0.3">
      <c r="A725" s="66">
        <f t="shared" si="74"/>
        <v>2061.7999999999347</v>
      </c>
      <c r="B725" s="67">
        <f>LOOKUP(A725+0.01,Amounts!$A$4:$A$103,Amounts!$B$4:$B$103)*0.1*$A$2</f>
        <v>0</v>
      </c>
      <c r="C725" s="68">
        <f t="shared" si="73"/>
        <v>120665.52921499971</v>
      </c>
      <c r="D725" s="67">
        <f t="array" ref="D725">SUM($B$7:$B720*$F$1009*EXP(-$F$1009*($A725-$A$7:$A720)))*$F$1010</f>
        <v>4897174.5702002794</v>
      </c>
      <c r="E725" s="67">
        <f t="shared" si="71"/>
        <v>9.3360309952176213</v>
      </c>
      <c r="F725" s="70">
        <f t="shared" si="75"/>
        <v>0.56688380202961397</v>
      </c>
      <c r="G725" s="67">
        <f>E725/'Lookup Tables'!$C$48</f>
        <v>18.672061990435243</v>
      </c>
      <c r="H725" s="70">
        <f t="shared" si="72"/>
        <v>4.066627746142102E-2</v>
      </c>
      <c r="I725" s="71">
        <f t="shared" si="76"/>
        <v>2.6887769266226751E-2</v>
      </c>
      <c r="L725" s="74"/>
      <c r="M725" s="74"/>
      <c r="N725" s="74"/>
      <c r="O725" s="74"/>
      <c r="P725" s="74"/>
      <c r="Q725" s="74"/>
      <c r="R725" s="74"/>
      <c r="S725" s="74"/>
      <c r="T725" s="74"/>
      <c r="U725" s="74"/>
      <c r="V725" s="74"/>
      <c r="W725" s="74"/>
      <c r="X725" s="74"/>
      <c r="Y725" s="74"/>
      <c r="Z725" s="74"/>
    </row>
    <row r="726" spans="1:26" x14ac:dyDescent="0.3">
      <c r="A726" s="66">
        <f t="shared" si="74"/>
        <v>2061.8999999999346</v>
      </c>
      <c r="B726" s="67">
        <f>LOOKUP(A726+0.01,Amounts!$A$4:$A$103,Amounts!$B$4:$B$103)*0.1*$A$2</f>
        <v>0</v>
      </c>
      <c r="C726" s="68">
        <f t="shared" si="73"/>
        <v>120665.52921499971</v>
      </c>
      <c r="D726" s="67">
        <f t="array" ref="D726">SUM($B$7:$B721*$F$1009*EXP(-$F$1009*($A726-$A$7:$A721)))*$F$1010</f>
        <v>4890323.3227942251</v>
      </c>
      <c r="E726" s="67">
        <f t="shared" si="71"/>
        <v>9.3229696968665188</v>
      </c>
      <c r="F726" s="70">
        <f t="shared" si="75"/>
        <v>0.56609071999373495</v>
      </c>
      <c r="G726" s="67">
        <f>E726/'Lookup Tables'!$C$48</f>
        <v>18.645939393733038</v>
      </c>
      <c r="H726" s="70">
        <f t="shared" si="72"/>
        <v>4.060938450733545E-2</v>
      </c>
      <c r="I726" s="71">
        <f t="shared" si="76"/>
        <v>2.6850152726975576E-2</v>
      </c>
      <c r="L726" s="74"/>
      <c r="M726" s="74"/>
      <c r="N726" s="74"/>
      <c r="O726" s="74"/>
      <c r="P726" s="74"/>
      <c r="Q726" s="74"/>
      <c r="R726" s="74"/>
      <c r="S726" s="74"/>
      <c r="T726" s="74"/>
      <c r="U726" s="74"/>
      <c r="V726" s="74"/>
      <c r="W726" s="74"/>
      <c r="X726" s="74"/>
      <c r="Y726" s="74"/>
      <c r="Z726" s="74"/>
    </row>
    <row r="727" spans="1:26" x14ac:dyDescent="0.3">
      <c r="A727" s="66">
        <f t="shared" si="74"/>
        <v>2061.9999999999345</v>
      </c>
      <c r="B727" s="67">
        <f>LOOKUP(A727+0.01,Amounts!$A$4:$A$103,Amounts!$B$4:$B$103)*0.1*$A$2</f>
        <v>0</v>
      </c>
      <c r="C727" s="68">
        <f t="shared" si="73"/>
        <v>120665.52921499971</v>
      </c>
      <c r="D727" s="67">
        <f t="array" ref="D727">SUM($B$7:$B722*$F$1009*EXP(-$F$1009*($A727-$A$7:$A722)))*$F$1010</f>
        <v>4883481.6604234511</v>
      </c>
      <c r="E727" s="67">
        <f t="shared" si="71"/>
        <v>9.3099266715390083</v>
      </c>
      <c r="F727" s="70">
        <f t="shared" si="75"/>
        <v>0.56529874749584852</v>
      </c>
      <c r="G727" s="67">
        <f>E727/'Lookup Tables'!$C$48</f>
        <v>18.619853343078017</v>
      </c>
      <c r="H727" s="70">
        <f t="shared" si="72"/>
        <v>4.0552571147656528E-2</v>
      </c>
      <c r="I727" s="71">
        <f t="shared" si="76"/>
        <v>2.6812588814032343E-2</v>
      </c>
      <c r="L727" s="74"/>
      <c r="M727" s="74"/>
      <c r="N727" s="74"/>
      <c r="O727" s="74"/>
      <c r="P727" s="74"/>
      <c r="Q727" s="74"/>
      <c r="R727" s="74"/>
      <c r="S727" s="74"/>
      <c r="T727" s="74"/>
      <c r="U727" s="74"/>
      <c r="V727" s="74"/>
      <c r="W727" s="74"/>
      <c r="X727" s="74"/>
      <c r="Y727" s="74"/>
      <c r="Z727" s="74"/>
    </row>
    <row r="728" spans="1:26" x14ac:dyDescent="0.3">
      <c r="A728" s="66">
        <f t="shared" si="74"/>
        <v>2062.0999999999344</v>
      </c>
      <c r="B728" s="67">
        <f>LOOKUP(A728+0.01,Amounts!$A$4:$A$103,Amounts!$B$4:$B$103)*0.1*$A$2</f>
        <v>0</v>
      </c>
      <c r="C728" s="68">
        <f t="shared" si="73"/>
        <v>120665.52921499971</v>
      </c>
      <c r="D728" s="67">
        <f t="array" ref="D728">SUM($B$7:$B723*$F$1009*EXP(-$F$1009*($A728-$A$7:$A723)))*$F$1010</f>
        <v>4876649.5696782926</v>
      </c>
      <c r="E728" s="67">
        <f t="shared" si="71"/>
        <v>9.2969018936707499</v>
      </c>
      <c r="F728" s="70">
        <f t="shared" si="75"/>
        <v>0.56450788298368804</v>
      </c>
      <c r="G728" s="67">
        <f>E728/'Lookup Tables'!$C$48</f>
        <v>18.5938037873415</v>
      </c>
      <c r="H728" s="70">
        <f t="shared" si="72"/>
        <v>4.0495837271030025E-2</v>
      </c>
      <c r="I728" s="71">
        <f t="shared" si="76"/>
        <v>2.6775077453771761E-2</v>
      </c>
      <c r="L728" s="74"/>
      <c r="M728" s="74"/>
      <c r="N728" s="74"/>
      <c r="O728" s="74"/>
      <c r="P728" s="74"/>
      <c r="Q728" s="74"/>
      <c r="R728" s="74"/>
      <c r="S728" s="74"/>
      <c r="T728" s="74"/>
      <c r="U728" s="74"/>
      <c r="V728" s="74"/>
      <c r="W728" s="74"/>
      <c r="X728" s="74"/>
      <c r="Y728" s="74"/>
      <c r="Z728" s="74"/>
    </row>
    <row r="729" spans="1:26" x14ac:dyDescent="0.3">
      <c r="A729" s="66">
        <f t="shared" si="74"/>
        <v>2062.1999999999343</v>
      </c>
      <c r="B729" s="67">
        <f>LOOKUP(A729+0.01,Amounts!$A$4:$A$103,Amounts!$B$4:$B$103)*0.1*$A$2</f>
        <v>0</v>
      </c>
      <c r="C729" s="68">
        <f t="shared" si="73"/>
        <v>120665.52921499971</v>
      </c>
      <c r="D729" s="67">
        <f t="array" ref="D729">SUM($B$7:$B724*$F$1009*EXP(-$F$1009*($A729-$A$7:$A724)))*$F$1010</f>
        <v>4869827.0371678537</v>
      </c>
      <c r="E729" s="67">
        <f t="shared" si="71"/>
        <v>9.2838953377331848</v>
      </c>
      <c r="F729" s="70">
        <f t="shared" si="75"/>
        <v>0.563718124907159</v>
      </c>
      <c r="G729" s="67">
        <f>E729/'Lookup Tables'!$C$48</f>
        <v>18.56779067546637</v>
      </c>
      <c r="H729" s="70">
        <f t="shared" si="72"/>
        <v>4.0439182766257534E-2</v>
      </c>
      <c r="I729" s="71">
        <f t="shared" si="76"/>
        <v>2.6737618572671571E-2</v>
      </c>
      <c r="L729" s="74"/>
      <c r="M729" s="74"/>
      <c r="N729" s="74"/>
      <c r="O729" s="74"/>
      <c r="P729" s="74"/>
      <c r="Q729" s="74"/>
      <c r="R729" s="74"/>
      <c r="S729" s="74"/>
      <c r="T729" s="74"/>
      <c r="U729" s="74"/>
      <c r="V729" s="74"/>
      <c r="W729" s="74"/>
      <c r="X729" s="74"/>
      <c r="Y729" s="74"/>
      <c r="Z729" s="74"/>
    </row>
    <row r="730" spans="1:26" x14ac:dyDescent="0.3">
      <c r="A730" s="66">
        <f t="shared" si="74"/>
        <v>2062.2999999999342</v>
      </c>
      <c r="B730" s="67">
        <f>LOOKUP(A730+0.01,Amounts!$A$4:$A$103,Amounts!$B$4:$B$103)*0.1*$A$2</f>
        <v>0</v>
      </c>
      <c r="C730" s="68">
        <f t="shared" si="73"/>
        <v>120665.52921499971</v>
      </c>
      <c r="D730" s="67">
        <f t="array" ref="D730">SUM($B$7:$B725*$F$1009*EXP(-$F$1009*($A730-$A$7:$A725)))*$F$1010</f>
        <v>4863014.0495199673</v>
      </c>
      <c r="E730" s="67">
        <f t="shared" si="71"/>
        <v>9.2709069782334534</v>
      </c>
      <c r="F730" s="70">
        <f t="shared" si="75"/>
        <v>0.56292947171833529</v>
      </c>
      <c r="G730" s="67">
        <f>E730/'Lookup Tables'!$C$48</f>
        <v>18.541813956466907</v>
      </c>
      <c r="H730" s="70">
        <f t="shared" si="72"/>
        <v>4.0382607522296235E-2</v>
      </c>
      <c r="I730" s="71">
        <f t="shared" si="76"/>
        <v>2.6700212097312347E-2</v>
      </c>
      <c r="L730" s="74"/>
      <c r="M730" s="74"/>
      <c r="N730" s="74"/>
      <c r="O730" s="74"/>
      <c r="P730" s="74"/>
      <c r="Q730" s="74"/>
      <c r="R730" s="74"/>
      <c r="S730" s="74"/>
      <c r="T730" s="74"/>
      <c r="U730" s="74"/>
      <c r="V730" s="74"/>
      <c r="W730" s="74"/>
      <c r="X730" s="74"/>
      <c r="Y730" s="74"/>
      <c r="Z730" s="74"/>
    </row>
    <row r="731" spans="1:26" x14ac:dyDescent="0.3">
      <c r="A731" s="66">
        <f t="shared" si="74"/>
        <v>2062.3999999999342</v>
      </c>
      <c r="B731" s="67">
        <f>LOOKUP(A731+0.01,Amounts!$A$4:$A$103,Amounts!$B$4:$B$103)*0.1*$A$2</f>
        <v>0</v>
      </c>
      <c r="C731" s="68">
        <f t="shared" si="73"/>
        <v>120665.52921499971</v>
      </c>
      <c r="D731" s="67">
        <f t="array" ref="D731">SUM($B$7:$B726*$F$1009*EXP(-$F$1009*($A731-$A$7:$A726)))*$F$1010</f>
        <v>4856210.593381173</v>
      </c>
      <c r="E731" s="67">
        <f t="shared" si="71"/>
        <v>9.2579367897143641</v>
      </c>
      <c r="F731" s="70">
        <f t="shared" si="75"/>
        <v>0.56214192187145617</v>
      </c>
      <c r="G731" s="67">
        <f>E731/'Lookup Tables'!$C$48</f>
        <v>18.515873579428728</v>
      </c>
      <c r="H731" s="70">
        <f t="shared" si="72"/>
        <v>4.0326111428258579E-2</v>
      </c>
      <c r="I731" s="71">
        <f t="shared" si="76"/>
        <v>2.6662857954377367E-2</v>
      </c>
      <c r="L731" s="74"/>
      <c r="M731" s="74"/>
      <c r="N731" s="74"/>
      <c r="O731" s="74"/>
      <c r="P731" s="74"/>
      <c r="Q731" s="74"/>
      <c r="R731" s="74"/>
      <c r="S731" s="74"/>
      <c r="T731" s="74"/>
      <c r="U731" s="74"/>
      <c r="V731" s="74"/>
      <c r="W731" s="74"/>
      <c r="X731" s="74"/>
      <c r="Y731" s="74"/>
      <c r="Z731" s="74"/>
    </row>
    <row r="732" spans="1:26" x14ac:dyDescent="0.3">
      <c r="A732" s="66">
        <f t="shared" si="74"/>
        <v>2062.4999999999341</v>
      </c>
      <c r="B732" s="67">
        <f>LOOKUP(A732+0.01,Amounts!$A$4:$A$103,Amounts!$B$4:$B$103)*0.1*$A$2</f>
        <v>0</v>
      </c>
      <c r="C732" s="68">
        <f t="shared" si="73"/>
        <v>120665.52921499971</v>
      </c>
      <c r="D732" s="67">
        <f t="array" ref="D732">SUM($B$7:$B727*$F$1009*EXP(-$F$1009*($A732-$A$7:$A727)))*$F$1010</f>
        <v>4849416.6554166982</v>
      </c>
      <c r="E732" s="67">
        <f t="shared" si="71"/>
        <v>9.2449847467543496</v>
      </c>
      <c r="F732" s="70">
        <f t="shared" si="75"/>
        <v>0.56135547382292417</v>
      </c>
      <c r="G732" s="67">
        <f>E732/'Lookup Tables'!$C$48</f>
        <v>18.489969493508699</v>
      </c>
      <c r="H732" s="70">
        <f t="shared" si="72"/>
        <v>4.0269694373412261E-2</v>
      </c>
      <c r="I732" s="71">
        <f t="shared" si="76"/>
        <v>2.6625556070652527E-2</v>
      </c>
      <c r="L732" s="74"/>
      <c r="M732" s="74"/>
      <c r="N732" s="74"/>
      <c r="O732" s="74"/>
      <c r="P732" s="74"/>
      <c r="Q732" s="74"/>
      <c r="R732" s="74"/>
      <c r="S732" s="74"/>
      <c r="T732" s="74"/>
      <c r="U732" s="74"/>
      <c r="V732" s="74"/>
      <c r="W732" s="74"/>
      <c r="X732" s="74"/>
      <c r="Y732" s="74"/>
      <c r="Z732" s="74"/>
    </row>
    <row r="733" spans="1:26" x14ac:dyDescent="0.3">
      <c r="A733" s="66">
        <f t="shared" si="74"/>
        <v>2062.599999999934</v>
      </c>
      <c r="B733" s="67">
        <f>LOOKUP(A733+0.01,Amounts!$A$4:$A$103,Amounts!$B$4:$B$103)*0.1*$A$2</f>
        <v>0</v>
      </c>
      <c r="C733" s="68">
        <f t="shared" si="73"/>
        <v>120665.52921499971</v>
      </c>
      <c r="D733" s="67">
        <f t="array" ref="D733">SUM($B$7:$B728*$F$1009*EXP(-$F$1009*($A733-$A$7:$A728)))*$F$1010</f>
        <v>4842632.2223104192</v>
      </c>
      <c r="E733" s="67">
        <f t="shared" si="71"/>
        <v>9.2320508239673966</v>
      </c>
      <c r="F733" s="70">
        <f t="shared" si="75"/>
        <v>0.5605701260313003</v>
      </c>
      <c r="G733" s="67">
        <f>E733/'Lookup Tables'!$C$48</f>
        <v>18.464101647934793</v>
      </c>
      <c r="H733" s="70">
        <f t="shared" si="72"/>
        <v>4.0213356247179782E-2</v>
      </c>
      <c r="I733" s="71">
        <f t="shared" si="76"/>
        <v>2.6588306373026102E-2</v>
      </c>
      <c r="L733" s="74"/>
      <c r="M733" s="74"/>
      <c r="N733" s="74"/>
      <c r="O733" s="74"/>
      <c r="P733" s="74"/>
      <c r="Q733" s="74"/>
      <c r="R733" s="74"/>
      <c r="S733" s="74"/>
      <c r="T733" s="74"/>
      <c r="U733" s="74"/>
      <c r="V733" s="74"/>
      <c r="W733" s="74"/>
      <c r="X733" s="74"/>
      <c r="Y733" s="74"/>
      <c r="Z733" s="74"/>
    </row>
    <row r="734" spans="1:26" x14ac:dyDescent="0.3">
      <c r="A734" s="66">
        <f t="shared" si="74"/>
        <v>2062.6999999999339</v>
      </c>
      <c r="B734" s="67">
        <f>LOOKUP(A734+0.01,Amounts!$A$4:$A$103,Amounts!$B$4:$B$103)*0.1*$A$2</f>
        <v>0</v>
      </c>
      <c r="C734" s="68">
        <f t="shared" si="73"/>
        <v>120665.52921499971</v>
      </c>
      <c r="D734" s="67">
        <f t="array" ref="D734">SUM($B$7:$B729*$F$1009*EXP(-$F$1009*($A734-$A$7:$A729)))*$F$1010</f>
        <v>4835857.280764848</v>
      </c>
      <c r="E734" s="67">
        <f t="shared" si="71"/>
        <v>9.2191349960030173</v>
      </c>
      <c r="F734" s="70">
        <f t="shared" si="75"/>
        <v>0.5597858769573032</v>
      </c>
      <c r="G734" s="67">
        <f>E734/'Lookup Tables'!$C$48</f>
        <v>18.438269992006035</v>
      </c>
      <c r="H734" s="70">
        <f t="shared" si="72"/>
        <v>4.0157096939138444E-2</v>
      </c>
      <c r="I734" s="71">
        <f t="shared" si="76"/>
        <v>2.6551108788488688E-2</v>
      </c>
      <c r="L734" s="74"/>
      <c r="M734" s="74"/>
      <c r="N734" s="74"/>
      <c r="O734" s="74"/>
      <c r="P734" s="74"/>
      <c r="Q734" s="74"/>
      <c r="R734" s="74"/>
      <c r="S734" s="74"/>
      <c r="T734" s="74"/>
      <c r="U734" s="74"/>
      <c r="V734" s="74"/>
      <c r="W734" s="74"/>
      <c r="X734" s="74"/>
      <c r="Y734" s="74"/>
      <c r="Z734" s="74"/>
    </row>
    <row r="735" spans="1:26" x14ac:dyDescent="0.3">
      <c r="A735" s="66">
        <f t="shared" si="74"/>
        <v>2062.7999999999338</v>
      </c>
      <c r="B735" s="67">
        <f>LOOKUP(A735+0.01,Amounts!$A$4:$A$103,Amounts!$B$4:$B$103)*0.1*$A$2</f>
        <v>0</v>
      </c>
      <c r="C735" s="68">
        <f t="shared" si="73"/>
        <v>120665.52921499971</v>
      </c>
      <c r="D735" s="67">
        <f t="array" ref="D735">SUM($B$7:$B730*$F$1009*EXP(-$F$1009*($A735-$A$7:$A730)))*$F$1010</f>
        <v>4829091.8175010942</v>
      </c>
      <c r="E735" s="67">
        <f t="shared" si="71"/>
        <v>9.2062372375461798</v>
      </c>
      <c r="F735" s="70">
        <f t="shared" si="75"/>
        <v>0.559002725063804</v>
      </c>
      <c r="G735" s="67">
        <f>E735/'Lookup Tables'!$C$48</f>
        <v>18.41247447509236</v>
      </c>
      <c r="H735" s="70">
        <f t="shared" si="72"/>
        <v>4.0100916339019951E-2</v>
      </c>
      <c r="I735" s="71">
        <f t="shared" si="76"/>
        <v>2.6513963244132997E-2</v>
      </c>
      <c r="L735" s="74"/>
      <c r="M735" s="74"/>
      <c r="N735" s="74"/>
      <c r="O735" s="74"/>
      <c r="P735" s="74"/>
      <c r="Q735" s="74"/>
      <c r="R735" s="74"/>
      <c r="S735" s="74"/>
      <c r="T735" s="74"/>
      <c r="U735" s="74"/>
      <c r="V735" s="74"/>
      <c r="W735" s="74"/>
      <c r="X735" s="74"/>
      <c r="Y735" s="74"/>
      <c r="Z735" s="74"/>
    </row>
    <row r="736" spans="1:26" x14ac:dyDescent="0.3">
      <c r="A736" s="66">
        <f t="shared" si="74"/>
        <v>2062.8999999999337</v>
      </c>
      <c r="B736" s="67">
        <f>LOOKUP(A736+0.01,Amounts!$A$4:$A$103,Amounts!$B$4:$B$103)*0.1*$A$2</f>
        <v>0</v>
      </c>
      <c r="C736" s="68">
        <f t="shared" si="73"/>
        <v>120665.52921499971</v>
      </c>
      <c r="D736" s="67">
        <f t="array" ref="D736">SUM($B$7:$B731*$F$1009*EXP(-$F$1009*($A736-$A$7:$A731)))*$F$1010</f>
        <v>4822335.8192588473</v>
      </c>
      <c r="E736" s="67">
        <f t="shared" si="71"/>
        <v>9.1933575233172711</v>
      </c>
      <c r="F736" s="70">
        <f t="shared" si="75"/>
        <v>0.55822066881582466</v>
      </c>
      <c r="G736" s="67">
        <f>E736/'Lookup Tables'!$C$48</f>
        <v>18.386715046634542</v>
      </c>
      <c r="H736" s="70">
        <f t="shared" si="72"/>
        <v>4.004481433671031E-2</v>
      </c>
      <c r="I736" s="71">
        <f t="shared" si="76"/>
        <v>2.6476869667153739E-2</v>
      </c>
      <c r="L736" s="74"/>
      <c r="M736" s="74"/>
      <c r="N736" s="74"/>
      <c r="O736" s="74"/>
      <c r="P736" s="74"/>
      <c r="Q736" s="74"/>
      <c r="R736" s="74"/>
      <c r="S736" s="74"/>
      <c r="T736" s="74"/>
      <c r="U736" s="74"/>
      <c r="V736" s="74"/>
      <c r="W736" s="74"/>
      <c r="X736" s="74"/>
      <c r="Y736" s="74"/>
      <c r="Z736" s="74"/>
    </row>
    <row r="737" spans="1:26" x14ac:dyDescent="0.3">
      <c r="A737" s="66">
        <f t="shared" si="74"/>
        <v>2062.9999999999336</v>
      </c>
      <c r="B737" s="67">
        <f>LOOKUP(A737+0.01,Amounts!$A$4:$A$103,Amounts!$B$4:$B$103)*0.1*$A$2</f>
        <v>0</v>
      </c>
      <c r="C737" s="68">
        <f t="shared" si="73"/>
        <v>120665.52921499971</v>
      </c>
      <c r="D737" s="67">
        <f t="array" ref="D737">SUM($B$7:$B732*$F$1009*EXP(-$F$1009*($A737-$A$7:$A732)))*$F$1010</f>
        <v>4815589.2727963505</v>
      </c>
      <c r="E737" s="67">
        <f t="shared" si="71"/>
        <v>9.1804958280720541</v>
      </c>
      <c r="F737" s="70">
        <f t="shared" si="75"/>
        <v>0.55743970668053511</v>
      </c>
      <c r="G737" s="67">
        <f>E737/'Lookup Tables'!$C$48</f>
        <v>18.360991656144108</v>
      </c>
      <c r="H737" s="70">
        <f t="shared" si="72"/>
        <v>3.9988790822249605E-2</v>
      </c>
      <c r="I737" s="71">
        <f t="shared" si="76"/>
        <v>2.6439827984847515E-2</v>
      </c>
      <c r="L737" s="74"/>
      <c r="M737" s="74"/>
      <c r="N737" s="74"/>
      <c r="O737" s="74"/>
      <c r="P737" s="74"/>
      <c r="Q737" s="74"/>
      <c r="R737" s="74"/>
      <c r="S737" s="74"/>
      <c r="T737" s="74"/>
      <c r="U737" s="74"/>
      <c r="V737" s="74"/>
      <c r="W737" s="74"/>
      <c r="X737" s="74"/>
      <c r="Y737" s="74"/>
      <c r="Z737" s="74"/>
    </row>
    <row r="738" spans="1:26" x14ac:dyDescent="0.3">
      <c r="A738" s="66">
        <f t="shared" si="74"/>
        <v>2063.0999999999335</v>
      </c>
      <c r="B738" s="67">
        <f>LOOKUP(A738+0.01,Amounts!$A$4:$A$103,Amounts!$B$4:$B$103)*0.1*$A$2</f>
        <v>0</v>
      </c>
      <c r="C738" s="68">
        <f t="shared" si="73"/>
        <v>120665.52921499971</v>
      </c>
      <c r="D738" s="67">
        <f t="array" ref="D738">SUM($B$7:$B733*$F$1009*EXP(-$F$1009*($A738-$A$7:$A733)))*$F$1010</f>
        <v>4808852.1648903713</v>
      </c>
      <c r="E738" s="67">
        <f t="shared" si="71"/>
        <v>9.1676521266016007</v>
      </c>
      <c r="F738" s="70">
        <f t="shared" si="75"/>
        <v>0.55665983712724909</v>
      </c>
      <c r="G738" s="67">
        <f>E738/'Lookup Tables'!$C$48</f>
        <v>18.335304253203201</v>
      </c>
      <c r="H738" s="70">
        <f t="shared" si="72"/>
        <v>3.9932845685831705E-2</v>
      </c>
      <c r="I738" s="71">
        <f t="shared" si="76"/>
        <v>2.640283812461261E-2</v>
      </c>
      <c r="L738" s="74"/>
      <c r="M738" s="74"/>
      <c r="N738" s="74"/>
      <c r="O738" s="74"/>
      <c r="P738" s="74"/>
      <c r="Q738" s="74"/>
      <c r="R738" s="74"/>
      <c r="S738" s="74"/>
      <c r="T738" s="74"/>
      <c r="U738" s="74"/>
      <c r="V738" s="74"/>
      <c r="W738" s="74"/>
      <c r="X738" s="74"/>
      <c r="Y738" s="74"/>
      <c r="Z738" s="74"/>
    </row>
    <row r="739" spans="1:26" x14ac:dyDescent="0.3">
      <c r="A739" s="66">
        <f t="shared" si="74"/>
        <v>2063.1999999999334</v>
      </c>
      <c r="B739" s="67">
        <f>LOOKUP(A739+0.01,Amounts!$A$4:$A$103,Amounts!$B$4:$B$103)*0.1*$A$2</f>
        <v>0</v>
      </c>
      <c r="C739" s="68">
        <f t="shared" si="73"/>
        <v>120665.52921499971</v>
      </c>
      <c r="D739" s="67">
        <f t="array" ref="D739">SUM($B$7:$B734*$F$1009*EXP(-$F$1009*($A739-$A$7:$A734)))*$F$1010</f>
        <v>4802124.4823361747</v>
      </c>
      <c r="E739" s="67">
        <f t="shared" si="71"/>
        <v>9.1548263937322503</v>
      </c>
      <c r="F739" s="70">
        <f t="shared" si="75"/>
        <v>0.55588105862742221</v>
      </c>
      <c r="G739" s="67">
        <f>E739/'Lookup Tables'!$C$48</f>
        <v>18.309652787464501</v>
      </c>
      <c r="H739" s="70">
        <f t="shared" si="72"/>
        <v>3.9876978817804144E-2</v>
      </c>
      <c r="I739" s="71">
        <f t="shared" si="76"/>
        <v>2.6365900013948878E-2</v>
      </c>
      <c r="L739" s="74"/>
      <c r="M739" s="74"/>
      <c r="N739" s="74"/>
      <c r="O739" s="74"/>
      <c r="P739" s="74"/>
      <c r="Q739" s="74"/>
      <c r="R739" s="74"/>
      <c r="S739" s="74"/>
      <c r="T739" s="74"/>
      <c r="U739" s="74"/>
      <c r="V739" s="74"/>
      <c r="W739" s="74"/>
      <c r="X739" s="74"/>
      <c r="Y739" s="74"/>
      <c r="Z739" s="74"/>
    </row>
    <row r="740" spans="1:26" x14ac:dyDescent="0.3">
      <c r="A740" s="66">
        <f t="shared" si="74"/>
        <v>2063.2999999999333</v>
      </c>
      <c r="B740" s="67">
        <f>LOOKUP(A740+0.01,Amounts!$A$4:$A$103,Amounts!$B$4:$B$103)*0.1*$A$2</f>
        <v>0</v>
      </c>
      <c r="C740" s="68">
        <f t="shared" si="73"/>
        <v>120665.52921499971</v>
      </c>
      <c r="D740" s="67">
        <f t="array" ref="D740">SUM($B$7:$B735*$F$1009*EXP(-$F$1009*($A740-$A$7:$A735)))*$F$1010</f>
        <v>4795406.2119475007</v>
      </c>
      <c r="E740" s="67">
        <f t="shared" si="71"/>
        <v>9.1420186043255622</v>
      </c>
      <c r="F740" s="70">
        <f t="shared" si="75"/>
        <v>0.55510336965464813</v>
      </c>
      <c r="G740" s="67">
        <f>E740/'Lookup Tables'!$C$48</f>
        <v>18.284037208651124</v>
      </c>
      <c r="H740" s="70">
        <f t="shared" si="72"/>
        <v>3.9821190108667831E-2</v>
      </c>
      <c r="I740" s="71">
        <f t="shared" si="76"/>
        <v>2.6329013580457621E-2</v>
      </c>
      <c r="L740" s="74"/>
      <c r="M740" s="74"/>
      <c r="N740" s="74"/>
      <c r="O740" s="74"/>
      <c r="P740" s="74"/>
      <c r="Q740" s="74"/>
      <c r="R740" s="74"/>
      <c r="S740" s="74"/>
      <c r="T740" s="74"/>
      <c r="U740" s="74"/>
      <c r="V740" s="74"/>
      <c r="W740" s="74"/>
      <c r="X740" s="74"/>
      <c r="Y740" s="74"/>
      <c r="Z740" s="74"/>
    </row>
    <row r="741" spans="1:26" x14ac:dyDescent="0.3">
      <c r="A741" s="66">
        <f t="shared" si="74"/>
        <v>2063.3999999999332</v>
      </c>
      <c r="B741" s="67">
        <f>LOOKUP(A741+0.01,Amounts!$A$4:$A$103,Amounts!$B$4:$B$103)*0.1*$A$2</f>
        <v>0</v>
      </c>
      <c r="C741" s="68">
        <f t="shared" si="73"/>
        <v>120665.52921499971</v>
      </c>
      <c r="D741" s="67">
        <f t="array" ref="D741">SUM($B$7:$B736*$F$1009*EXP(-$F$1009*($A741-$A$7:$A736)))*$F$1010</f>
        <v>4788697.3405565368</v>
      </c>
      <c r="E741" s="67">
        <f t="shared" si="71"/>
        <v>9.1292287332782642</v>
      </c>
      <c r="F741" s="70">
        <f t="shared" si="75"/>
        <v>0.55432676868465625</v>
      </c>
      <c r="G741" s="67">
        <f>E741/'Lookup Tables'!$C$48</f>
        <v>18.258457466556528</v>
      </c>
      <c r="H741" s="70">
        <f t="shared" si="72"/>
        <v>3.9765479449076865E-2</v>
      </c>
      <c r="I741" s="71">
        <f t="shared" si="76"/>
        <v>2.6292178751841398E-2</v>
      </c>
      <c r="L741" s="74"/>
      <c r="M741" s="74"/>
      <c r="N741" s="74"/>
      <c r="O741" s="74"/>
      <c r="P741" s="74"/>
      <c r="Q741" s="74"/>
      <c r="R741" s="74"/>
      <c r="S741" s="74"/>
      <c r="T741" s="74"/>
      <c r="U741" s="74"/>
      <c r="V741" s="74"/>
      <c r="W741" s="74"/>
      <c r="X741" s="74"/>
      <c r="Y741" s="74"/>
      <c r="Z741" s="74"/>
    </row>
    <row r="742" spans="1:26" x14ac:dyDescent="0.3">
      <c r="A742" s="66">
        <f t="shared" si="74"/>
        <v>2063.4999999999332</v>
      </c>
      <c r="B742" s="67">
        <f>LOOKUP(A742+0.01,Amounts!$A$4:$A$103,Amounts!$B$4:$B$103)*0.1*$A$2</f>
        <v>0</v>
      </c>
      <c r="C742" s="68">
        <f t="shared" si="73"/>
        <v>120665.52921499971</v>
      </c>
      <c r="D742" s="67">
        <f t="array" ref="D742">SUM($B$7:$B737*$F$1009*EXP(-$F$1009*($A742-$A$7:$A737)))*$F$1010</f>
        <v>4781997.855013893</v>
      </c>
      <c r="E742" s="67">
        <f t="shared" si="71"/>
        <v>9.116456755522206</v>
      </c>
      <c r="F742" s="70">
        <f t="shared" si="75"/>
        <v>0.55355125419530848</v>
      </c>
      <c r="G742" s="67">
        <f>E742/'Lookup Tables'!$C$48</f>
        <v>18.232913511044412</v>
      </c>
      <c r="H742" s="70">
        <f t="shared" si="72"/>
        <v>3.970984672983837E-2</v>
      </c>
      <c r="I742" s="71">
        <f t="shared" si="76"/>
        <v>2.6255395455903954E-2</v>
      </c>
      <c r="L742" s="74"/>
      <c r="M742" s="74"/>
      <c r="N742" s="74"/>
      <c r="O742" s="74"/>
      <c r="P742" s="74"/>
      <c r="Q742" s="74"/>
      <c r="R742" s="74"/>
      <c r="S742" s="74"/>
      <c r="T742" s="74"/>
      <c r="U742" s="74"/>
      <c r="V742" s="74"/>
      <c r="W742" s="74"/>
      <c r="X742" s="74"/>
      <c r="Y742" s="74"/>
      <c r="Z742" s="74"/>
    </row>
    <row r="743" spans="1:26" x14ac:dyDescent="0.3">
      <c r="A743" s="66">
        <f t="shared" si="74"/>
        <v>2063.5999999999331</v>
      </c>
      <c r="B743" s="67">
        <f>LOOKUP(A743+0.01,Amounts!$A$4:$A$103,Amounts!$B$4:$B$103)*0.1*$A$2</f>
        <v>0</v>
      </c>
      <c r="C743" s="68">
        <f t="shared" si="73"/>
        <v>120665.52921499971</v>
      </c>
      <c r="D743" s="67">
        <f t="array" ref="D743">SUM($B$7:$B738*$F$1009*EXP(-$F$1009*($A743-$A$7:$A738)))*$F$1010</f>
        <v>4775307.7421885747</v>
      </c>
      <c r="E743" s="67">
        <f t="shared" si="71"/>
        <v>9.1037026460243027</v>
      </c>
      <c r="F743" s="70">
        <f t="shared" si="75"/>
        <v>0.5527768246665955</v>
      </c>
      <c r="G743" s="67">
        <f>E743/'Lookup Tables'!$C$48</f>
        <v>18.207405292048605</v>
      </c>
      <c r="H743" s="70">
        <f t="shared" si="72"/>
        <v>3.9654291841912138E-2</v>
      </c>
      <c r="I743" s="71">
        <f t="shared" si="76"/>
        <v>2.621866362054999E-2</v>
      </c>
      <c r="L743" s="74"/>
      <c r="M743" s="74"/>
      <c r="N743" s="74"/>
      <c r="O743" s="74"/>
      <c r="P743" s="74"/>
      <c r="Q743" s="74"/>
      <c r="R743" s="74"/>
      <c r="S743" s="74"/>
      <c r="T743" s="74"/>
      <c r="U743" s="74"/>
      <c r="V743" s="74"/>
      <c r="W743" s="74"/>
      <c r="X743" s="74"/>
      <c r="Y743" s="74"/>
      <c r="Z743" s="74"/>
    </row>
    <row r="744" spans="1:26" x14ac:dyDescent="0.3">
      <c r="A744" s="66">
        <f t="shared" si="74"/>
        <v>2063.699999999933</v>
      </c>
      <c r="B744" s="67">
        <f>LOOKUP(A744+0.01,Amounts!$A$4:$A$103,Amounts!$B$4:$B$103)*0.1*$A$2</f>
        <v>0</v>
      </c>
      <c r="C744" s="68">
        <f t="shared" si="73"/>
        <v>120665.52921499971</v>
      </c>
      <c r="D744" s="67">
        <f t="array" ref="D744">SUM($B$7:$B739*$F$1009*EXP(-$F$1009*($A744-$A$7:$A739)))*$F$1010</f>
        <v>4768626.9889679616</v>
      </c>
      <c r="E744" s="67">
        <f t="shared" si="71"/>
        <v>9.0909663797865061</v>
      </c>
      <c r="F744" s="70">
        <f t="shared" si="75"/>
        <v>0.5520034785806367</v>
      </c>
      <c r="G744" s="67">
        <f>E744/'Lookup Tables'!$C$48</f>
        <v>18.181932759573012</v>
      </c>
      <c r="H744" s="70">
        <f t="shared" si="72"/>
        <v>3.9598814676410653E-2</v>
      </c>
      <c r="I744" s="71">
        <f t="shared" si="76"/>
        <v>2.6181983173785141E-2</v>
      </c>
      <c r="L744" s="74"/>
      <c r="M744" s="74"/>
      <c r="N744" s="74"/>
      <c r="O744" s="74"/>
      <c r="P744" s="74"/>
      <c r="Q744" s="74"/>
      <c r="R744" s="74"/>
      <c r="S744" s="74"/>
      <c r="T744" s="74"/>
      <c r="U744" s="74"/>
      <c r="V744" s="74"/>
      <c r="W744" s="74"/>
      <c r="X744" s="74"/>
      <c r="Y744" s="74"/>
      <c r="Z744" s="74"/>
    </row>
    <row r="745" spans="1:26" x14ac:dyDescent="0.3">
      <c r="A745" s="66">
        <f t="shared" si="74"/>
        <v>2063.7999999999329</v>
      </c>
      <c r="B745" s="67">
        <f>LOOKUP(A745+0.01,Amounts!$A$4:$A$103,Amounts!$B$4:$B$103)*0.1*$A$2</f>
        <v>0</v>
      </c>
      <c r="C745" s="68">
        <f t="shared" si="73"/>
        <v>120665.52921499971</v>
      </c>
      <c r="D745" s="67">
        <f t="array" ref="D745">SUM($B$7:$B740*$F$1009*EXP(-$F$1009*($A745-$A$7:$A740)))*$F$1010</f>
        <v>4761955.5822577719</v>
      </c>
      <c r="E745" s="67">
        <f t="shared" si="71"/>
        <v>9.0782479318457181</v>
      </c>
      <c r="F745" s="70">
        <f t="shared" si="75"/>
        <v>0.551231214421672</v>
      </c>
      <c r="G745" s="67">
        <f>E745/'Lookup Tables'!$C$48</f>
        <v>18.156495863691436</v>
      </c>
      <c r="H745" s="70">
        <f t="shared" si="72"/>
        <v>3.9543415124598573E-2</v>
      </c>
      <c r="I745" s="71">
        <f t="shared" si="76"/>
        <v>2.6145354043715669E-2</v>
      </c>
      <c r="L745" s="74"/>
      <c r="M745" s="74"/>
      <c r="N745" s="74"/>
      <c r="O745" s="74"/>
      <c r="P745" s="74"/>
      <c r="Q745" s="74"/>
      <c r="R745" s="74"/>
      <c r="S745" s="74"/>
      <c r="T745" s="74"/>
      <c r="U745" s="74"/>
      <c r="V745" s="74"/>
      <c r="W745" s="74"/>
      <c r="X745" s="74"/>
      <c r="Y745" s="74"/>
      <c r="Z745" s="74"/>
    </row>
    <row r="746" spans="1:26" x14ac:dyDescent="0.3">
      <c r="A746" s="66">
        <f t="shared" si="74"/>
        <v>2063.8999999999328</v>
      </c>
      <c r="B746" s="67">
        <f>LOOKUP(A746+0.01,Amounts!$A$4:$A$103,Amounts!$B$4:$B$103)*0.1*$A$2</f>
        <v>0</v>
      </c>
      <c r="C746" s="68">
        <f t="shared" si="73"/>
        <v>120665.52921499971</v>
      </c>
      <c r="D746" s="67">
        <f t="array" ref="D746">SUM($B$7:$B741*$F$1009*EXP(-$F$1009*($A746-$A$7:$A741)))*$F$1010</f>
        <v>4755293.5089820493</v>
      </c>
      <c r="E746" s="67">
        <f t="shared" si="71"/>
        <v>9.0655472772737902</v>
      </c>
      <c r="F746" s="70">
        <f t="shared" si="75"/>
        <v>0.55046003067606453</v>
      </c>
      <c r="G746" s="67">
        <f>E746/'Lookup Tables'!$C$48</f>
        <v>18.13109455454758</v>
      </c>
      <c r="H746" s="70">
        <f t="shared" si="72"/>
        <v>3.9488093077892819E-2</v>
      </c>
      <c r="I746" s="71">
        <f t="shared" si="76"/>
        <v>2.6108776158548515E-2</v>
      </c>
      <c r="L746" s="74"/>
      <c r="M746" s="74"/>
      <c r="N746" s="74"/>
      <c r="O746" s="74"/>
      <c r="P746" s="74"/>
      <c r="Q746" s="74"/>
      <c r="R746" s="74"/>
      <c r="S746" s="74"/>
      <c r="T746" s="74"/>
      <c r="U746" s="74"/>
      <c r="V746" s="74"/>
      <c r="W746" s="74"/>
      <c r="X746" s="74"/>
      <c r="Y746" s="74"/>
      <c r="Z746" s="74"/>
    </row>
    <row r="747" spans="1:26" x14ac:dyDescent="0.3">
      <c r="A747" s="66">
        <f t="shared" si="74"/>
        <v>2063.9999999999327</v>
      </c>
      <c r="B747" s="67">
        <f>LOOKUP(A747+0.01,Amounts!$A$4:$A$103,Amounts!$B$4:$B$103)*0.1*$A$2</f>
        <v>0</v>
      </c>
      <c r="C747" s="68">
        <f t="shared" si="73"/>
        <v>120665.52921499971</v>
      </c>
      <c r="D747" s="67">
        <f t="array" ref="D747">SUM($B$7:$B742*$F$1009*EXP(-$F$1009*($A747-$A$7:$A742)))*$F$1010</f>
        <v>4748640.7560831262</v>
      </c>
      <c r="E747" s="67">
        <f t="shared" si="71"/>
        <v>9.0528643911774225</v>
      </c>
      <c r="F747" s="70">
        <f t="shared" si="75"/>
        <v>0.54968992583229315</v>
      </c>
      <c r="G747" s="67">
        <f>E747/'Lookup Tables'!$C$48</f>
        <v>18.105728782354845</v>
      </c>
      <c r="H747" s="70">
        <f t="shared" si="72"/>
        <v>3.9432848427862127E-2</v>
      </c>
      <c r="I747" s="71">
        <f t="shared" si="76"/>
        <v>2.6072249446590978E-2</v>
      </c>
      <c r="L747" s="74"/>
      <c r="M747" s="74"/>
      <c r="N747" s="74"/>
      <c r="O747" s="74"/>
      <c r="P747" s="74"/>
      <c r="Q747" s="74"/>
      <c r="R747" s="74"/>
      <c r="S747" s="74"/>
      <c r="T747" s="74"/>
      <c r="U747" s="74"/>
      <c r="V747" s="74"/>
      <c r="W747" s="74"/>
      <c r="X747" s="74"/>
      <c r="Y747" s="74"/>
      <c r="Z747" s="74"/>
    </row>
    <row r="748" spans="1:26" x14ac:dyDescent="0.3">
      <c r="A748" s="66">
        <f t="shared" si="74"/>
        <v>2064.0999999999326</v>
      </c>
      <c r="B748" s="67">
        <f>LOOKUP(A748+0.01,Amounts!$A$4:$A$103,Amounts!$B$4:$B$103)*0.1*$A$2</f>
        <v>0</v>
      </c>
      <c r="C748" s="68">
        <f t="shared" si="73"/>
        <v>120665.52921499971</v>
      </c>
      <c r="D748" s="67">
        <f t="array" ref="D748">SUM($B$7:$B743*$F$1009*EXP(-$F$1009*($A748-$A$7:$A743)))*$F$1010</f>
        <v>4741997.3105216036</v>
      </c>
      <c r="E748" s="67">
        <f t="shared" si="71"/>
        <v>9.0401992486981584</v>
      </c>
      <c r="F748" s="70">
        <f t="shared" si="75"/>
        <v>0.54892089838095204</v>
      </c>
      <c r="G748" s="67">
        <f>E748/'Lookup Tables'!$C$48</f>
        <v>18.080398497396317</v>
      </c>
      <c r="H748" s="70">
        <f t="shared" si="72"/>
        <v>3.9377681066226973E-2</v>
      </c>
      <c r="I748" s="71">
        <f t="shared" si="76"/>
        <v>2.6035773836250692E-2</v>
      </c>
      <c r="L748" s="74"/>
      <c r="M748" s="74"/>
      <c r="N748" s="74"/>
      <c r="O748" s="74"/>
      <c r="P748" s="74"/>
      <c r="Q748" s="74"/>
      <c r="R748" s="74"/>
      <c r="S748" s="74"/>
      <c r="T748" s="74"/>
      <c r="U748" s="74"/>
      <c r="V748" s="74"/>
      <c r="W748" s="74"/>
      <c r="X748" s="74"/>
      <c r="Y748" s="74"/>
      <c r="Z748" s="74"/>
    </row>
    <row r="749" spans="1:26" x14ac:dyDescent="0.3">
      <c r="A749" s="66">
        <f t="shared" si="74"/>
        <v>2064.1999999999325</v>
      </c>
      <c r="B749" s="67">
        <f>LOOKUP(A749+0.01,Amounts!$A$4:$A$103,Amounts!$B$4:$B$103)*0.1*$A$2</f>
        <v>0</v>
      </c>
      <c r="C749" s="68">
        <f t="shared" si="73"/>
        <v>120665.52921499971</v>
      </c>
      <c r="D749" s="67">
        <f t="array" ref="D749">SUM($B$7:$B744*$F$1009*EXP(-$F$1009*($A749-$A$7:$A744)))*$F$1010</f>
        <v>4735363.1592763271</v>
      </c>
      <c r="E749" s="67">
        <f t="shared" si="71"/>
        <v>9.0275518250123152</v>
      </c>
      <c r="F749" s="70">
        <f t="shared" si="75"/>
        <v>0.5481529468147478</v>
      </c>
      <c r="G749" s="67">
        <f>E749/'Lookup Tables'!$C$48</f>
        <v>18.05510365002463</v>
      </c>
      <c r="H749" s="70">
        <f t="shared" si="72"/>
        <v>3.9322590884859315E-2</v>
      </c>
      <c r="I749" s="71">
        <f t="shared" si="76"/>
        <v>2.5999349256035465E-2</v>
      </c>
      <c r="L749" s="74"/>
      <c r="M749" s="74"/>
      <c r="N749" s="74"/>
      <c r="O749" s="74"/>
      <c r="P749" s="74"/>
      <c r="Q749" s="74"/>
      <c r="R749" s="74"/>
      <c r="S749" s="74"/>
      <c r="T749" s="74"/>
      <c r="U749" s="74"/>
      <c r="V749" s="74"/>
      <c r="W749" s="74"/>
      <c r="X749" s="74"/>
      <c r="Y749" s="74"/>
      <c r="Z749" s="74"/>
    </row>
    <row r="750" spans="1:26" x14ac:dyDescent="0.3">
      <c r="A750" s="66">
        <f t="shared" si="74"/>
        <v>2064.2999999999324</v>
      </c>
      <c r="B750" s="67">
        <f>LOOKUP(A750+0.01,Amounts!$A$4:$A$103,Amounts!$B$4:$B$103)*0.1*$A$2</f>
        <v>0</v>
      </c>
      <c r="C750" s="68">
        <f t="shared" si="73"/>
        <v>120665.52921499971</v>
      </c>
      <c r="D750" s="67">
        <f t="array" ref="D750">SUM($B$7:$B745*$F$1009*EXP(-$F$1009*($A750-$A$7:$A745)))*$F$1010</f>
        <v>4728738.2893443611</v>
      </c>
      <c r="E750" s="67">
        <f t="shared" si="71"/>
        <v>9.0149220953309435</v>
      </c>
      <c r="F750" s="70">
        <f t="shared" si="75"/>
        <v>0.5473860696284949</v>
      </c>
      <c r="G750" s="67">
        <f>E750/'Lookup Tables'!$C$48</f>
        <v>18.029844190661887</v>
      </c>
      <c r="H750" s="70">
        <f t="shared" si="72"/>
        <v>3.9267577775782395E-2</v>
      </c>
      <c r="I750" s="71">
        <f t="shared" si="76"/>
        <v>2.5962975634553118E-2</v>
      </c>
      <c r="L750" s="74"/>
      <c r="M750" s="74"/>
      <c r="N750" s="74"/>
      <c r="O750" s="74"/>
      <c r="P750" s="74"/>
      <c r="Q750" s="74"/>
      <c r="R750" s="74"/>
      <c r="S750" s="74"/>
      <c r="T750" s="74"/>
      <c r="U750" s="74"/>
      <c r="V750" s="74"/>
      <c r="W750" s="74"/>
      <c r="X750" s="74"/>
      <c r="Y750" s="74"/>
      <c r="Z750" s="74"/>
    </row>
    <row r="751" spans="1:26" x14ac:dyDescent="0.3">
      <c r="A751" s="66">
        <f t="shared" si="74"/>
        <v>2064.3999999999323</v>
      </c>
      <c r="B751" s="67">
        <f>LOOKUP(A751+0.01,Amounts!$A$4:$A$103,Amounts!$B$4:$B$103)*0.1*$A$2</f>
        <v>0</v>
      </c>
      <c r="C751" s="68">
        <f t="shared" si="73"/>
        <v>120665.52921499971</v>
      </c>
      <c r="D751" s="67">
        <f t="array" ref="D751">SUM($B$7:$B746*$F$1009*EXP(-$F$1009*($A751-$A$7:$A746)))*$F$1010</f>
        <v>4722122.6877409564</v>
      </c>
      <c r="E751" s="67">
        <f t="shared" si="71"/>
        <v>9.0023100348997644</v>
      </c>
      <c r="F751" s="70">
        <f t="shared" si="75"/>
        <v>0.54662026531911367</v>
      </c>
      <c r="G751" s="67">
        <f>E751/'Lookup Tables'!$C$48</f>
        <v>18.004620069799529</v>
      </c>
      <c r="H751" s="70">
        <f t="shared" si="72"/>
        <v>3.9212641631170483E-2</v>
      </c>
      <c r="I751" s="71">
        <f t="shared" si="76"/>
        <v>2.592665290051132E-2</v>
      </c>
      <c r="L751" s="74"/>
      <c r="M751" s="74"/>
      <c r="N751" s="74"/>
      <c r="O751" s="74"/>
      <c r="P751" s="74"/>
      <c r="Q751" s="74"/>
      <c r="R751" s="74"/>
      <c r="S751" s="74"/>
      <c r="T751" s="74"/>
      <c r="U751" s="74"/>
      <c r="V751" s="74"/>
      <c r="W751" s="74"/>
      <c r="X751" s="74"/>
      <c r="Y751" s="74"/>
      <c r="Z751" s="74"/>
    </row>
    <row r="752" spans="1:26" x14ac:dyDescent="0.3">
      <c r="A752" s="66">
        <f t="shared" si="74"/>
        <v>2064.4999999999322</v>
      </c>
      <c r="B752" s="67">
        <f>LOOKUP(A752+0.01,Amounts!$A$4:$A$103,Amounts!$B$4:$B$103)*0.1*$A$2</f>
        <v>0</v>
      </c>
      <c r="C752" s="68">
        <f t="shared" si="73"/>
        <v>120665.52921499971</v>
      </c>
      <c r="D752" s="67">
        <f t="array" ref="D752">SUM($B$7:$B747*$F$1009*EXP(-$F$1009*($A752-$A$7:$A747)))*$F$1010</f>
        <v>4715516.3414995307</v>
      </c>
      <c r="E752" s="67">
        <f t="shared" si="71"/>
        <v>8.989715618999135</v>
      </c>
      <c r="F752" s="70">
        <f t="shared" si="75"/>
        <v>0.54585553238562745</v>
      </c>
      <c r="G752" s="67">
        <f>E752/'Lookup Tables'!$C$48</f>
        <v>17.97943123799827</v>
      </c>
      <c r="H752" s="70">
        <f t="shared" si="72"/>
        <v>3.9157782343348727E-2</v>
      </c>
      <c r="I752" s="71">
        <f t="shared" si="76"/>
        <v>2.5890380982717509E-2</v>
      </c>
      <c r="L752" s="74"/>
      <c r="M752" s="74"/>
      <c r="N752" s="74"/>
      <c r="O752" s="74"/>
      <c r="P752" s="74"/>
      <c r="Q752" s="74"/>
      <c r="R752" s="74"/>
      <c r="S752" s="74"/>
      <c r="T752" s="74"/>
      <c r="U752" s="74"/>
      <c r="V752" s="74"/>
      <c r="W752" s="74"/>
      <c r="X752" s="74"/>
      <c r="Y752" s="74"/>
      <c r="Z752" s="74"/>
    </row>
    <row r="753" spans="1:26" x14ac:dyDescent="0.3">
      <c r="A753" s="66">
        <f t="shared" si="74"/>
        <v>2064.5999999999322</v>
      </c>
      <c r="B753" s="67">
        <f>LOOKUP(A753+0.01,Amounts!$A$4:$A$103,Amounts!$B$4:$B$103)*0.1*$A$2</f>
        <v>0</v>
      </c>
      <c r="C753" s="68">
        <f t="shared" si="73"/>
        <v>120665.52921499971</v>
      </c>
      <c r="D753" s="67">
        <f t="array" ref="D753">SUM($B$7:$B748*$F$1009*EXP(-$F$1009*($A753-$A$7:$A748)))*$F$1010</f>
        <v>4708919.2376716435</v>
      </c>
      <c r="E753" s="67">
        <f t="shared" si="71"/>
        <v>8.9771388229439957</v>
      </c>
      <c r="F753" s="70">
        <f t="shared" si="75"/>
        <v>0.54509186932915943</v>
      </c>
      <c r="G753" s="67">
        <f>E753/'Lookup Tables'!$C$48</f>
        <v>17.954277645887991</v>
      </c>
      <c r="H753" s="70">
        <f t="shared" si="72"/>
        <v>3.9102999804792891E-2</v>
      </c>
      <c r="I753" s="71">
        <f t="shared" si="76"/>
        <v>2.5854159810078707E-2</v>
      </c>
      <c r="L753" s="74"/>
      <c r="M753" s="74"/>
      <c r="N753" s="74"/>
      <c r="O753" s="74"/>
      <c r="P753" s="74"/>
      <c r="Q753" s="74"/>
      <c r="R753" s="74"/>
      <c r="S753" s="74"/>
      <c r="T753" s="74"/>
      <c r="U753" s="74"/>
      <c r="V753" s="74"/>
      <c r="W753" s="74"/>
      <c r="X753" s="74"/>
      <c r="Y753" s="74"/>
      <c r="Z753" s="74"/>
    </row>
    <row r="754" spans="1:26" x14ac:dyDescent="0.3">
      <c r="A754" s="66">
        <f t="shared" si="74"/>
        <v>2064.6999999999321</v>
      </c>
      <c r="B754" s="67">
        <f>LOOKUP(A754+0.01,Amounts!$A$4:$A$103,Amounts!$B$4:$B$103)*0.1*$A$2</f>
        <v>0</v>
      </c>
      <c r="C754" s="68">
        <f t="shared" si="73"/>
        <v>120665.52921499971</v>
      </c>
      <c r="D754" s="67">
        <f t="array" ref="D754">SUM($B$7:$B749*$F$1009*EXP(-$F$1009*($A754-$A$7:$A749)))*$F$1010</f>
        <v>4702331.3633269696</v>
      </c>
      <c r="E754" s="67">
        <f t="shared" si="71"/>
        <v>8.9645796220838232</v>
      </c>
      <c r="F754" s="70">
        <f t="shared" si="75"/>
        <v>0.5443292746529298</v>
      </c>
      <c r="G754" s="67">
        <f>E754/'Lookup Tables'!$C$48</f>
        <v>17.929159244167646</v>
      </c>
      <c r="H754" s="70">
        <f t="shared" si="72"/>
        <v>3.9048293908129195E-2</v>
      </c>
      <c r="I754" s="71">
        <f t="shared" si="76"/>
        <v>2.5817989311601414E-2</v>
      </c>
      <c r="L754" s="74"/>
      <c r="M754" s="74"/>
      <c r="N754" s="74"/>
      <c r="O754" s="74"/>
      <c r="P754" s="74"/>
      <c r="Q754" s="74"/>
      <c r="R754" s="74"/>
      <c r="S754" s="74"/>
      <c r="T754" s="74"/>
      <c r="U754" s="74"/>
      <c r="V754" s="74"/>
      <c r="W754" s="74"/>
      <c r="X754" s="74"/>
      <c r="Y754" s="74"/>
      <c r="Z754" s="74"/>
    </row>
    <row r="755" spans="1:26" x14ac:dyDescent="0.3">
      <c r="A755" s="66">
        <f t="shared" si="74"/>
        <v>2064.799999999932</v>
      </c>
      <c r="B755" s="67">
        <f>LOOKUP(A755+0.01,Amounts!$A$4:$A$103,Amounts!$B$4:$B$103)*0.1*$A$2</f>
        <v>0</v>
      </c>
      <c r="C755" s="68">
        <f t="shared" si="73"/>
        <v>120665.52921499971</v>
      </c>
      <c r="D755" s="67">
        <f t="array" ref="D755">SUM($B$7:$B750*$F$1009*EXP(-$F$1009*($A755-$A$7:$A750)))*$F$1010</f>
        <v>4695752.7055532737</v>
      </c>
      <c r="E755" s="67">
        <f t="shared" si="71"/>
        <v>8.9520379918025803</v>
      </c>
      <c r="F755" s="70">
        <f t="shared" si="75"/>
        <v>0.54356774686225273</v>
      </c>
      <c r="G755" s="67">
        <f>E755/'Lookup Tables'!$C$48</f>
        <v>17.904075983605161</v>
      </c>
      <c r="H755" s="70">
        <f t="shared" si="72"/>
        <v>3.8993664546134045E-2</v>
      </c>
      <c r="I755" s="71">
        <f t="shared" si="76"/>
        <v>2.5781869416391434E-2</v>
      </c>
      <c r="L755" s="74"/>
      <c r="M755" s="74"/>
      <c r="N755" s="74"/>
      <c r="O755" s="74"/>
      <c r="P755" s="74"/>
      <c r="Q755" s="74"/>
      <c r="R755" s="74"/>
      <c r="S755" s="74"/>
      <c r="T755" s="74"/>
      <c r="U755" s="74"/>
      <c r="V755" s="74"/>
      <c r="W755" s="74"/>
      <c r="X755" s="74"/>
      <c r="Y755" s="74"/>
      <c r="Z755" s="74"/>
    </row>
    <row r="756" spans="1:26" x14ac:dyDescent="0.3">
      <c r="A756" s="66">
        <f t="shared" si="74"/>
        <v>2064.8999999999319</v>
      </c>
      <c r="B756" s="67">
        <f>LOOKUP(A756+0.01,Amounts!$A$4:$A$103,Amounts!$B$4:$B$103)*0.1*$A$2</f>
        <v>0</v>
      </c>
      <c r="C756" s="68">
        <f t="shared" si="73"/>
        <v>120665.52921499971</v>
      </c>
      <c r="D756" s="67">
        <f t="array" ref="D756">SUM($B$7:$B751*$F$1009*EXP(-$F$1009*($A756-$A$7:$A751)))*$F$1010</f>
        <v>4689183.2514563836</v>
      </c>
      <c r="E756" s="67">
        <f t="shared" si="71"/>
        <v>8.9395139075186663</v>
      </c>
      <c r="F756" s="70">
        <f t="shared" si="75"/>
        <v>0.54280728446453341</v>
      </c>
      <c r="G756" s="67">
        <f>E756/'Lookup Tables'!$C$48</f>
        <v>17.879027815037333</v>
      </c>
      <c r="H756" s="70">
        <f t="shared" si="72"/>
        <v>3.8939111611733898E-2</v>
      </c>
      <c r="I756" s="71">
        <f t="shared" si="76"/>
        <v>2.5745800053653758E-2</v>
      </c>
      <c r="L756" s="74"/>
      <c r="M756" s="74"/>
      <c r="N756" s="74"/>
      <c r="O756" s="74"/>
      <c r="P756" s="74"/>
      <c r="Q756" s="74"/>
      <c r="R756" s="74"/>
      <c r="S756" s="74"/>
      <c r="T756" s="74"/>
      <c r="U756" s="74"/>
      <c r="V756" s="74"/>
      <c r="W756" s="74"/>
      <c r="X756" s="74"/>
      <c r="Y756" s="74"/>
      <c r="Z756" s="74"/>
    </row>
    <row r="757" spans="1:26" x14ac:dyDescent="0.3">
      <c r="A757" s="66">
        <f t="shared" si="74"/>
        <v>2064.9999999999318</v>
      </c>
      <c r="B757" s="67">
        <f>LOOKUP(A757+0.01,Amounts!$A$4:$A$103,Amounts!$B$4:$B$103)*0.1*$A$2</f>
        <v>0</v>
      </c>
      <c r="C757" s="68">
        <f t="shared" si="73"/>
        <v>120665.52921499971</v>
      </c>
      <c r="D757" s="67">
        <f t="array" ref="D757">SUM($B$7:$B752*$F$1009*EXP(-$F$1009*($A757-$A$7:$A752)))*$F$1010</f>
        <v>4682622.9881601688</v>
      </c>
      <c r="E757" s="67">
        <f t="shared" si="71"/>
        <v>8.9270073446848759</v>
      </c>
      <c r="F757" s="70">
        <f t="shared" si="75"/>
        <v>0.54204788596926556</v>
      </c>
      <c r="G757" s="67">
        <f>E757/'Lookup Tables'!$C$48</f>
        <v>17.854014689369752</v>
      </c>
      <c r="H757" s="70">
        <f t="shared" si="72"/>
        <v>3.8884634998004985E-2</v>
      </c>
      <c r="I757" s="71">
        <f t="shared" si="76"/>
        <v>2.5709781152692443E-2</v>
      </c>
      <c r="L757" s="74"/>
      <c r="M757" s="74"/>
      <c r="N757" s="74"/>
      <c r="O757" s="74"/>
      <c r="P757" s="74"/>
      <c r="Q757" s="74"/>
      <c r="R757" s="74"/>
      <c r="S757" s="74"/>
      <c r="T757" s="74"/>
      <c r="U757" s="74"/>
      <c r="V757" s="74"/>
      <c r="W757" s="74"/>
      <c r="X757" s="74"/>
      <c r="Y757" s="74"/>
      <c r="Z757" s="74"/>
    </row>
    <row r="758" spans="1:26" x14ac:dyDescent="0.3">
      <c r="A758" s="66">
        <f t="shared" si="74"/>
        <v>2065.0999999999317</v>
      </c>
      <c r="B758" s="67">
        <f>LOOKUP(A758+0.01,Amounts!$A$4:$A$103,Amounts!$B$4:$B$103)*0.1*$A$2</f>
        <v>0</v>
      </c>
      <c r="C758" s="68">
        <f t="shared" si="73"/>
        <v>120665.52921499971</v>
      </c>
      <c r="D758" s="67">
        <f t="array" ref="D758">SUM($B$7:$B753*$F$1009*EXP(-$F$1009*($A758-$A$7:$A753)))*$F$1010</f>
        <v>4676071.9028065084</v>
      </c>
      <c r="E758" s="67">
        <f t="shared" si="71"/>
        <v>8.9145182787883357</v>
      </c>
      <c r="F758" s="70">
        <f t="shared" si="75"/>
        <v>0.54128954988802769</v>
      </c>
      <c r="G758" s="67">
        <f>E758/'Lookup Tables'!$C$48</f>
        <v>17.829036557576671</v>
      </c>
      <c r="H758" s="70">
        <f t="shared" si="72"/>
        <v>3.8830234598173106E-2</v>
      </c>
      <c r="I758" s="71">
        <f t="shared" si="76"/>
        <v>2.567381264291041E-2</v>
      </c>
      <c r="L758" s="74"/>
      <c r="M758" s="74"/>
      <c r="N758" s="74"/>
      <c r="O758" s="74"/>
      <c r="P758" s="74"/>
      <c r="Q758" s="74"/>
      <c r="R758" s="74"/>
      <c r="S758" s="74"/>
      <c r="T758" s="74"/>
      <c r="U758" s="74"/>
      <c r="V758" s="74"/>
      <c r="W758" s="74"/>
      <c r="X758" s="74"/>
      <c r="Y758" s="74"/>
      <c r="Z758" s="74"/>
    </row>
    <row r="759" spans="1:26" x14ac:dyDescent="0.3">
      <c r="A759" s="66">
        <f t="shared" si="74"/>
        <v>2065.1999999999316</v>
      </c>
      <c r="B759" s="67">
        <f>LOOKUP(A759+0.01,Amounts!$A$4:$A$103,Amounts!$B$4:$B$103)*0.1*$A$2</f>
        <v>0</v>
      </c>
      <c r="C759" s="68">
        <f t="shared" si="73"/>
        <v>120665.52921499971</v>
      </c>
      <c r="D759" s="67">
        <f t="array" ref="D759">SUM($B$7:$B754*$F$1009*EXP(-$F$1009*($A759-$A$7:$A754)))*$F$1010</f>
        <v>4669529.9825552758</v>
      </c>
      <c r="E759" s="67">
        <f t="shared" si="71"/>
        <v>8.9020466853504807</v>
      </c>
      <c r="F759" s="70">
        <f t="shared" si="75"/>
        <v>0.54053227473448107</v>
      </c>
      <c r="G759" s="67">
        <f>E759/'Lookup Tables'!$C$48</f>
        <v>17.804093370700961</v>
      </c>
      <c r="H759" s="70">
        <f t="shared" si="72"/>
        <v>3.877591030561349E-2</v>
      </c>
      <c r="I759" s="71">
        <f t="shared" si="76"/>
        <v>2.5637894453809387E-2</v>
      </c>
      <c r="L759" s="74"/>
      <c r="M759" s="74"/>
      <c r="N759" s="74"/>
      <c r="O759" s="74"/>
      <c r="P759" s="74"/>
      <c r="Q759" s="74"/>
      <c r="R759" s="74"/>
      <c r="S759" s="74"/>
      <c r="T759" s="74"/>
      <c r="U759" s="74"/>
      <c r="V759" s="74"/>
      <c r="W759" s="74"/>
      <c r="X759" s="74"/>
      <c r="Y759" s="74"/>
      <c r="Z759" s="74"/>
    </row>
    <row r="760" spans="1:26" x14ac:dyDescent="0.3">
      <c r="A760" s="66">
        <f t="shared" si="74"/>
        <v>2065.2999999999315</v>
      </c>
      <c r="B760" s="67">
        <f>LOOKUP(A760+0.01,Amounts!$A$4:$A$103,Amounts!$B$4:$B$103)*0.1*$A$2</f>
        <v>0</v>
      </c>
      <c r="C760" s="68">
        <f t="shared" si="73"/>
        <v>120665.52921499971</v>
      </c>
      <c r="D760" s="67">
        <f t="array" ref="D760">SUM($B$7:$B755*$F$1009*EXP(-$F$1009*($A760-$A$7:$A755)))*$F$1010</f>
        <v>4662997.214584304</v>
      </c>
      <c r="E760" s="67">
        <f t="shared" si="71"/>
        <v>8.8895925399269764</v>
      </c>
      <c r="F760" s="70">
        <f t="shared" si="75"/>
        <v>0.53977605902436598</v>
      </c>
      <c r="G760" s="67">
        <f>E760/'Lookup Tables'!$C$48</f>
        <v>17.779185079853953</v>
      </c>
      <c r="H760" s="70">
        <f t="shared" si="72"/>
        <v>3.872166201385048E-2</v>
      </c>
      <c r="I760" s="71">
        <f t="shared" si="76"/>
        <v>2.560202651498969E-2</v>
      </c>
      <c r="L760" s="74"/>
      <c r="M760" s="74"/>
      <c r="N760" s="74"/>
      <c r="O760" s="74"/>
      <c r="P760" s="74"/>
      <c r="Q760" s="74"/>
      <c r="R760" s="74"/>
      <c r="S760" s="74"/>
      <c r="T760" s="74"/>
      <c r="U760" s="74"/>
      <c r="V760" s="74"/>
      <c r="W760" s="74"/>
      <c r="X760" s="74"/>
      <c r="Y760" s="74"/>
      <c r="Z760" s="74"/>
    </row>
    <row r="761" spans="1:26" x14ac:dyDescent="0.3">
      <c r="A761" s="66">
        <f t="shared" si="74"/>
        <v>2065.3999999999314</v>
      </c>
      <c r="B761" s="67">
        <f>LOOKUP(A761+0.01,Amounts!$A$4:$A$103,Amounts!$B$4:$B$103)*0.1*$A$2</f>
        <v>0</v>
      </c>
      <c r="C761" s="68">
        <f t="shared" si="73"/>
        <v>120665.52921499971</v>
      </c>
      <c r="D761" s="67">
        <f t="array" ref="D761">SUM($B$7:$B756*$F$1009*EXP(-$F$1009*($A761-$A$7:$A756)))*$F$1010</f>
        <v>4656473.5860893643</v>
      </c>
      <c r="E761" s="67">
        <f t="shared" si="71"/>
        <v>8.8771558181076937</v>
      </c>
      <c r="F761" s="70">
        <f t="shared" si="75"/>
        <v>0.53902090127549918</v>
      </c>
      <c r="G761" s="67">
        <f>E761/'Lookup Tables'!$C$48</f>
        <v>17.754311636215387</v>
      </c>
      <c r="H761" s="70">
        <f t="shared" si="72"/>
        <v>3.8667489616557395E-2</v>
      </c>
      <c r="I761" s="71">
        <f t="shared" si="76"/>
        <v>2.5566208756150156E-2</v>
      </c>
      <c r="L761" s="74"/>
      <c r="M761" s="74"/>
      <c r="N761" s="74"/>
      <c r="O761" s="74"/>
      <c r="P761" s="74"/>
      <c r="Q761" s="74"/>
      <c r="R761" s="74"/>
      <c r="S761" s="74"/>
      <c r="T761" s="74"/>
      <c r="U761" s="74"/>
      <c r="V761" s="74"/>
      <c r="W761" s="74"/>
      <c r="X761" s="74"/>
      <c r="Y761" s="74"/>
      <c r="Z761" s="74"/>
    </row>
    <row r="762" spans="1:26" x14ac:dyDescent="0.3">
      <c r="A762" s="66">
        <f t="shared" si="74"/>
        <v>2065.4999999999313</v>
      </c>
      <c r="B762" s="67">
        <f>LOOKUP(A762+0.01,Amounts!$A$4:$A$103,Amounts!$B$4:$B$103)*0.1*$A$2</f>
        <v>0</v>
      </c>
      <c r="C762" s="68">
        <f t="shared" si="73"/>
        <v>120665.52921499971</v>
      </c>
      <c r="D762" s="67">
        <f t="array" ref="D762">SUM($B$7:$B757*$F$1009*EXP(-$F$1009*($A762-$A$7:$A757)))*$F$1010</f>
        <v>4649959.0842841435</v>
      </c>
      <c r="E762" s="67">
        <f t="shared" si="71"/>
        <v>8.8647364955166577</v>
      </c>
      <c r="F762" s="70">
        <f t="shared" si="75"/>
        <v>0.5382668000077715</v>
      </c>
      <c r="G762" s="67">
        <f>E762/'Lookup Tables'!$C$48</f>
        <v>17.729472991033315</v>
      </c>
      <c r="H762" s="70">
        <f t="shared" si="72"/>
        <v>3.861339300755634E-2</v>
      </c>
      <c r="I762" s="71">
        <f t="shared" si="76"/>
        <v>2.5530441107087971E-2</v>
      </c>
      <c r="L762" s="74"/>
      <c r="M762" s="74"/>
      <c r="N762" s="74"/>
      <c r="O762" s="74"/>
      <c r="P762" s="74"/>
      <c r="Q762" s="74"/>
      <c r="R762" s="74"/>
      <c r="S762" s="74"/>
      <c r="T762" s="74"/>
      <c r="U762" s="74"/>
      <c r="V762" s="74"/>
      <c r="W762" s="74"/>
      <c r="X762" s="74"/>
      <c r="Y762" s="74"/>
      <c r="Z762" s="74"/>
    </row>
    <row r="763" spans="1:26" x14ac:dyDescent="0.3">
      <c r="A763" s="66">
        <f t="shared" si="74"/>
        <v>2065.5999999999312</v>
      </c>
      <c r="B763" s="67">
        <f>LOOKUP(A763+0.01,Amounts!$A$4:$A$103,Amounts!$B$4:$B$103)*0.1*$A$2</f>
        <v>0</v>
      </c>
      <c r="C763" s="68">
        <f t="shared" si="73"/>
        <v>120665.52921499971</v>
      </c>
      <c r="D763" s="67">
        <f t="array" ref="D763">SUM($B$7:$B758*$F$1009*EXP(-$F$1009*($A763-$A$7:$A758)))*$F$1010</f>
        <v>4643453.6964002168</v>
      </c>
      <c r="E763" s="67">
        <f t="shared" si="71"/>
        <v>8.8523345478119904</v>
      </c>
      <c r="F763" s="70">
        <f t="shared" si="75"/>
        <v>0.53751375374314414</v>
      </c>
      <c r="G763" s="67">
        <f>E763/'Lookup Tables'!$C$48</f>
        <v>17.704669095623981</v>
      </c>
      <c r="H763" s="70">
        <f t="shared" si="72"/>
        <v>3.8559372080817951E-2</v>
      </c>
      <c r="I763" s="71">
        <f t="shared" si="76"/>
        <v>2.5494723497698536E-2</v>
      </c>
      <c r="L763" s="74"/>
      <c r="M763" s="74"/>
      <c r="N763" s="74"/>
      <c r="O763" s="74"/>
      <c r="P763" s="74"/>
      <c r="Q763" s="74"/>
      <c r="R763" s="74"/>
      <c r="S763" s="74"/>
      <c r="T763" s="74"/>
      <c r="U763" s="74"/>
      <c r="V763" s="74"/>
      <c r="W763" s="74"/>
      <c r="X763" s="74"/>
      <c r="Y763" s="74"/>
      <c r="Z763" s="74"/>
    </row>
    <row r="764" spans="1:26" x14ac:dyDescent="0.3">
      <c r="A764" s="66">
        <f t="shared" si="74"/>
        <v>2065.6999999999312</v>
      </c>
      <c r="B764" s="67">
        <f>LOOKUP(A764+0.01,Amounts!$A$4:$A$103,Amounts!$B$4:$B$103)*0.1*$A$2</f>
        <v>0</v>
      </c>
      <c r="C764" s="68">
        <f t="shared" si="73"/>
        <v>120665.52921499971</v>
      </c>
      <c r="D764" s="67">
        <f t="array" ref="D764">SUM($B$7:$B759*$F$1009*EXP(-$F$1009*($A764-$A$7:$A759)))*$F$1010</f>
        <v>4636957.4096870227</v>
      </c>
      <c r="E764" s="67">
        <f t="shared" si="71"/>
        <v>8.8399499506858721</v>
      </c>
      <c r="F764" s="70">
        <f t="shared" si="75"/>
        <v>0.5367617610056461</v>
      </c>
      <c r="G764" s="67">
        <f>E764/'Lookup Tables'!$C$48</f>
        <v>17.679899901371744</v>
      </c>
      <c r="H764" s="70">
        <f t="shared" si="72"/>
        <v>3.850542673046118E-2</v>
      </c>
      <c r="I764" s="71">
        <f t="shared" si="76"/>
        <v>2.5459055857975314E-2</v>
      </c>
      <c r="L764" s="74"/>
      <c r="M764" s="74"/>
      <c r="N764" s="74"/>
      <c r="O764" s="74"/>
      <c r="P764" s="74"/>
      <c r="Q764" s="74"/>
      <c r="R764" s="74"/>
      <c r="S764" s="74"/>
      <c r="T764" s="74"/>
      <c r="U764" s="74"/>
      <c r="V764" s="74"/>
      <c r="W764" s="74"/>
      <c r="X764" s="74"/>
      <c r="Y764" s="74"/>
      <c r="Z764" s="74"/>
    </row>
    <row r="765" spans="1:26" x14ac:dyDescent="0.3">
      <c r="A765" s="66">
        <f t="shared" si="74"/>
        <v>2065.7999999999311</v>
      </c>
      <c r="B765" s="67">
        <f>LOOKUP(A765+0.01,Amounts!$A$4:$A$103,Amounts!$B$4:$B$103)*0.1*$A$2</f>
        <v>0</v>
      </c>
      <c r="C765" s="68">
        <f t="shared" si="73"/>
        <v>120665.52921499971</v>
      </c>
      <c r="D765" s="67">
        <f t="array" ref="D765">SUM($B$7:$B760*$F$1009*EXP(-$F$1009*($A765-$A$7:$A760)))*$F$1010</f>
        <v>4630470.2114118347</v>
      </c>
      <c r="E765" s="67">
        <f t="shared" si="71"/>
        <v>8.8275826798644843</v>
      </c>
      <c r="F765" s="70">
        <f t="shared" si="75"/>
        <v>0.53601082032137148</v>
      </c>
      <c r="G765" s="67">
        <f>E765/'Lookup Tables'!$C$48</f>
        <v>17.655165359728969</v>
      </c>
      <c r="H765" s="70">
        <f t="shared" si="72"/>
        <v>3.8451556850753119E-2</v>
      </c>
      <c r="I765" s="71">
        <f t="shared" si="76"/>
        <v>2.5423438118009713E-2</v>
      </c>
      <c r="L765" s="74"/>
      <c r="M765" s="74"/>
      <c r="N765" s="74"/>
      <c r="O765" s="74"/>
      <c r="P765" s="74"/>
      <c r="Q765" s="74"/>
      <c r="R765" s="74"/>
      <c r="S765" s="74"/>
      <c r="T765" s="74"/>
      <c r="U765" s="74"/>
      <c r="V765" s="74"/>
      <c r="W765" s="74"/>
      <c r="X765" s="74"/>
      <c r="Y765" s="74"/>
      <c r="Z765" s="74"/>
    </row>
    <row r="766" spans="1:26" x14ac:dyDescent="0.3">
      <c r="A766" s="66">
        <f t="shared" si="74"/>
        <v>2065.899999999931</v>
      </c>
      <c r="B766" s="67">
        <f>LOOKUP(A766+0.01,Amounts!$A$4:$A$103,Amounts!$B$4:$B$103)*0.1*$A$2</f>
        <v>0</v>
      </c>
      <c r="C766" s="68">
        <f t="shared" si="73"/>
        <v>120665.52921499971</v>
      </c>
      <c r="D766" s="67">
        <f t="array" ref="D766">SUM($B$7:$B761*$F$1009*EXP(-$F$1009*($A766-$A$7:$A761)))*$F$1010</f>
        <v>4623992.0888597453</v>
      </c>
      <c r="E766" s="67">
        <f t="shared" si="71"/>
        <v>8.8152327111079796</v>
      </c>
      <c r="F766" s="70">
        <f t="shared" si="75"/>
        <v>0.53526093021847654</v>
      </c>
      <c r="G766" s="67">
        <f>E766/'Lookup Tables'!$C$48</f>
        <v>17.630465422215959</v>
      </c>
      <c r="H766" s="70">
        <f t="shared" si="72"/>
        <v>3.839776233610883E-2</v>
      </c>
      <c r="I766" s="71">
        <f t="shared" si="76"/>
        <v>2.5387870207990985E-2</v>
      </c>
      <c r="L766" s="74"/>
      <c r="M766" s="74"/>
      <c r="N766" s="74"/>
      <c r="O766" s="74"/>
      <c r="P766" s="74"/>
      <c r="Q766" s="74"/>
      <c r="R766" s="74"/>
      <c r="S766" s="74"/>
      <c r="T766" s="74"/>
      <c r="U766" s="74"/>
      <c r="V766" s="74"/>
      <c r="W766" s="74"/>
      <c r="X766" s="74"/>
      <c r="Y766" s="74"/>
      <c r="Z766" s="74"/>
    </row>
    <row r="767" spans="1:26" x14ac:dyDescent="0.3">
      <c r="A767" s="66">
        <f t="shared" si="74"/>
        <v>2065.9999999999309</v>
      </c>
      <c r="B767" s="67">
        <f>LOOKUP(A767+0.01,Amounts!$A$4:$A$103,Amounts!$B$4:$B$103)*0.1*$A$2</f>
        <v>0</v>
      </c>
      <c r="C767" s="68">
        <f t="shared" si="73"/>
        <v>120665.52921499971</v>
      </c>
      <c r="D767" s="67">
        <f t="array" ref="D767">SUM($B$7:$B762*$F$1009*EXP(-$F$1009*($A767-$A$7:$A762)))*$F$1010</f>
        <v>4617523.0293336269</v>
      </c>
      <c r="E767" s="67">
        <f t="shared" si="71"/>
        <v>8.8029000202104015</v>
      </c>
      <c r="F767" s="70">
        <f t="shared" si="75"/>
        <v>0.53451208922717552</v>
      </c>
      <c r="G767" s="67">
        <f>E767/'Lookup Tables'!$C$48</f>
        <v>17.605800040420803</v>
      </c>
      <c r="H767" s="70">
        <f t="shared" si="72"/>
        <v>3.8344043081090941E-2</v>
      </c>
      <c r="I767" s="71">
        <f t="shared" si="76"/>
        <v>2.5352352058205952E-2</v>
      </c>
      <c r="L767" s="74"/>
      <c r="M767" s="74"/>
      <c r="N767" s="74"/>
      <c r="O767" s="74"/>
      <c r="P767" s="74"/>
      <c r="Q767" s="74"/>
      <c r="R767" s="74"/>
      <c r="S767" s="74"/>
      <c r="T767" s="74"/>
      <c r="U767" s="74"/>
      <c r="V767" s="74"/>
      <c r="W767" s="74"/>
      <c r="X767" s="74"/>
      <c r="Y767" s="74"/>
      <c r="Z767" s="74"/>
    </row>
    <row r="768" spans="1:26" x14ac:dyDescent="0.3">
      <c r="A768" s="66">
        <f t="shared" si="74"/>
        <v>2066.0999999999308</v>
      </c>
      <c r="B768" s="67">
        <f>LOOKUP(A768+0.01,Amounts!$A$4:$A$103,Amounts!$B$4:$B$103)*0.1*$A$2</f>
        <v>0</v>
      </c>
      <c r="C768" s="68">
        <f t="shared" si="73"/>
        <v>120665.52921499971</v>
      </c>
      <c r="D768" s="67">
        <f t="array" ref="D768">SUM($B$7:$B763*$F$1009*EXP(-$F$1009*($A768-$A$7:$A763)))*$F$1010</f>
        <v>4611063.0201541269</v>
      </c>
      <c r="E768" s="67">
        <f t="shared" si="71"/>
        <v>8.7905845829996903</v>
      </c>
      <c r="F768" s="70">
        <f t="shared" si="75"/>
        <v>0.53376429587974117</v>
      </c>
      <c r="G768" s="67">
        <f>E768/'Lookup Tables'!$C$48</f>
        <v>17.581169165999381</v>
      </c>
      <c r="H768" s="70">
        <f t="shared" si="72"/>
        <v>3.8290398980409833E-2</v>
      </c>
      <c r="I768" s="71">
        <f t="shared" si="76"/>
        <v>2.5316883599039108E-2</v>
      </c>
      <c r="L768" s="74"/>
      <c r="M768" s="74"/>
      <c r="N768" s="74"/>
      <c r="O768" s="74"/>
      <c r="P768" s="74"/>
      <c r="Q768" s="74"/>
      <c r="R768" s="74"/>
      <c r="S768" s="74"/>
      <c r="T768" s="74"/>
      <c r="U768" s="74"/>
      <c r="V768" s="74"/>
      <c r="W768" s="74"/>
      <c r="X768" s="74"/>
      <c r="Y768" s="74"/>
      <c r="Z768" s="74"/>
    </row>
    <row r="769" spans="1:26" x14ac:dyDescent="0.3">
      <c r="A769" s="66">
        <f t="shared" si="74"/>
        <v>2066.1999999999307</v>
      </c>
      <c r="B769" s="67">
        <f>LOOKUP(A769+0.01,Amounts!$A$4:$A$103,Amounts!$B$4:$B$103)*0.1*$A$2</f>
        <v>0</v>
      </c>
      <c r="C769" s="68">
        <f t="shared" si="73"/>
        <v>120665.52921499971</v>
      </c>
      <c r="D769" s="67">
        <f t="array" ref="D769">SUM($B$7:$B764*$F$1009*EXP(-$F$1009*($A769-$A$7:$A764)))*$F$1010</f>
        <v>4604612.0486596217</v>
      </c>
      <c r="E769" s="67">
        <f t="shared" si="71"/>
        <v>8.7782863753375722</v>
      </c>
      <c r="F769" s="70">
        <f t="shared" si="75"/>
        <v>0.53301754871049734</v>
      </c>
      <c r="G769" s="67">
        <f>E769/'Lookup Tables'!$C$48</f>
        <v>17.556572750675144</v>
      </c>
      <c r="H769" s="70">
        <f t="shared" si="72"/>
        <v>3.8236829928922952E-2</v>
      </c>
      <c r="I769" s="71">
        <f t="shared" si="76"/>
        <v>2.5281464760972205E-2</v>
      </c>
      <c r="L769" s="74"/>
      <c r="M769" s="74"/>
      <c r="N769" s="74"/>
      <c r="O769" s="74"/>
      <c r="P769" s="74"/>
      <c r="Q769" s="74"/>
      <c r="R769" s="74"/>
      <c r="S769" s="74"/>
      <c r="T769" s="74"/>
      <c r="U769" s="74"/>
      <c r="V769" s="74"/>
      <c r="W769" s="74"/>
      <c r="X769" s="74"/>
      <c r="Y769" s="74"/>
      <c r="Z769" s="74"/>
    </row>
    <row r="770" spans="1:26" x14ac:dyDescent="0.3">
      <c r="A770" s="66">
        <f t="shared" si="74"/>
        <v>2066.2999999999306</v>
      </c>
      <c r="B770" s="67">
        <f>LOOKUP(A770+0.01,Amounts!$A$4:$A$103,Amounts!$B$4:$B$103)*0.1*$A$2</f>
        <v>0</v>
      </c>
      <c r="C770" s="68">
        <f t="shared" si="73"/>
        <v>120665.52921499971</v>
      </c>
      <c r="D770" s="67">
        <f t="array" ref="D770">SUM($B$7:$B765*$F$1009*EXP(-$F$1009*($A770-$A$7:$A765)))*$F$1010</f>
        <v>4598170.1022062059</v>
      </c>
      <c r="E770" s="67">
        <f t="shared" si="71"/>
        <v>8.76600537311956</v>
      </c>
      <c r="F770" s="70">
        <f t="shared" si="75"/>
        <v>0.53227184625581969</v>
      </c>
      <c r="G770" s="67">
        <f>E770/'Lookup Tables'!$C$48</f>
        <v>17.53201074623912</v>
      </c>
      <c r="H770" s="70">
        <f t="shared" si="72"/>
        <v>3.8183335821634981E-2</v>
      </c>
      <c r="I770" s="71">
        <f t="shared" si="76"/>
        <v>2.5246095474584333E-2</v>
      </c>
      <c r="L770" s="74"/>
      <c r="M770" s="74"/>
      <c r="N770" s="74"/>
      <c r="O770" s="74"/>
      <c r="P770" s="74"/>
      <c r="Q770" s="74"/>
      <c r="R770" s="74"/>
      <c r="S770" s="74"/>
      <c r="T770" s="74"/>
      <c r="U770" s="74"/>
      <c r="V770" s="74"/>
      <c r="W770" s="74"/>
      <c r="X770" s="74"/>
      <c r="Y770" s="74"/>
      <c r="Z770" s="74"/>
    </row>
    <row r="771" spans="1:26" x14ac:dyDescent="0.3">
      <c r="A771" s="66">
        <f t="shared" si="74"/>
        <v>2066.3999999999305</v>
      </c>
      <c r="B771" s="67">
        <f>LOOKUP(A771+0.01,Amounts!$A$4:$A$103,Amounts!$B$4:$B$103)*0.1*$A$2</f>
        <v>0</v>
      </c>
      <c r="C771" s="68">
        <f t="shared" si="73"/>
        <v>120665.52921499971</v>
      </c>
      <c r="D771" s="67">
        <f t="array" ref="D771">SUM($B$7:$B766*$F$1009*EXP(-$F$1009*($A771-$A$7:$A766)))*$F$1010</f>
        <v>4591737.1681676619</v>
      </c>
      <c r="E771" s="67">
        <f t="shared" si="71"/>
        <v>8.7537415522748852</v>
      </c>
      <c r="F771" s="70">
        <f t="shared" si="75"/>
        <v>0.53152718705413105</v>
      </c>
      <c r="G771" s="67">
        <f>E771/'Lookup Tables'!$C$48</f>
        <v>17.50748310454977</v>
      </c>
      <c r="H771" s="70">
        <f t="shared" si="72"/>
        <v>3.8129916553697449E-2</v>
      </c>
      <c r="I771" s="71">
        <f t="shared" si="76"/>
        <v>2.5210775670551674E-2</v>
      </c>
      <c r="L771" s="74"/>
      <c r="M771" s="74"/>
      <c r="N771" s="74"/>
      <c r="O771" s="74"/>
      <c r="P771" s="74"/>
      <c r="Q771" s="74"/>
      <c r="R771" s="74"/>
      <c r="S771" s="74"/>
      <c r="T771" s="74"/>
      <c r="U771" s="74"/>
      <c r="V771" s="74"/>
      <c r="W771" s="74"/>
      <c r="X771" s="74"/>
      <c r="Y771" s="74"/>
      <c r="Z771" s="74"/>
    </row>
    <row r="772" spans="1:26" x14ac:dyDescent="0.3">
      <c r="A772" s="66">
        <f t="shared" si="74"/>
        <v>2066.4999999999304</v>
      </c>
      <c r="B772" s="67">
        <f>LOOKUP(A772+0.01,Amounts!$A$4:$A$103,Amounts!$B$4:$B$103)*0.1*$A$2</f>
        <v>0</v>
      </c>
      <c r="C772" s="68">
        <f t="shared" si="73"/>
        <v>120665.52921499971</v>
      </c>
      <c r="D772" s="67">
        <f t="array" ref="D772">SUM($B$7:$B767*$F$1009*EXP(-$F$1009*($A772-$A$7:$A767)))*$F$1010</f>
        <v>4585313.2339354381</v>
      </c>
      <c r="E772" s="67">
        <f t="shared" si="71"/>
        <v>8.7414948887664536</v>
      </c>
      <c r="F772" s="70">
        <f t="shared" si="75"/>
        <v>0.53078356964589912</v>
      </c>
      <c r="G772" s="67">
        <f>E772/'Lookup Tables'!$C$48</f>
        <v>17.482989777532907</v>
      </c>
      <c r="H772" s="70">
        <f t="shared" si="72"/>
        <v>3.8076572020408546E-2</v>
      </c>
      <c r="I772" s="71">
        <f t="shared" si="76"/>
        <v>2.5175505279647386E-2</v>
      </c>
      <c r="L772" s="74"/>
      <c r="M772" s="74"/>
      <c r="N772" s="74"/>
      <c r="O772" s="74"/>
      <c r="P772" s="74"/>
      <c r="Q772" s="74"/>
      <c r="R772" s="74"/>
      <c r="S772" s="74"/>
      <c r="T772" s="74"/>
      <c r="U772" s="74"/>
      <c r="V772" s="74"/>
      <c r="W772" s="74"/>
      <c r="X772" s="74"/>
      <c r="Y772" s="74"/>
      <c r="Z772" s="74"/>
    </row>
    <row r="773" spans="1:26" x14ac:dyDescent="0.3">
      <c r="A773" s="66">
        <f t="shared" si="74"/>
        <v>2066.5999999999303</v>
      </c>
      <c r="B773" s="67">
        <f>LOOKUP(A773+0.01,Amounts!$A$4:$A$103,Amounts!$B$4:$B$103)*0.1*$A$2</f>
        <v>0</v>
      </c>
      <c r="C773" s="68">
        <f t="shared" si="73"/>
        <v>120665.52921499971</v>
      </c>
      <c r="D773" s="67">
        <f t="array" ref="D773">SUM($B$7:$B768*$F$1009*EXP(-$F$1009*($A773-$A$7:$A768)))*$F$1010</f>
        <v>4578898.2869186206</v>
      </c>
      <c r="E773" s="67">
        <f t="shared" si="71"/>
        <v>8.7292653585908049</v>
      </c>
      <c r="F773" s="70">
        <f t="shared" si="75"/>
        <v>0.53004099257363368</v>
      </c>
      <c r="G773" s="67">
        <f>E773/'Lookup Tables'!$C$48</f>
        <v>17.45853071718161</v>
      </c>
      <c r="H773" s="70">
        <f t="shared" si="72"/>
        <v>3.8023302117213012E-2</v>
      </c>
      <c r="I773" s="71">
        <f t="shared" si="76"/>
        <v>2.5140284232741519E-2</v>
      </c>
      <c r="L773" s="74"/>
      <c r="M773" s="74"/>
      <c r="N773" s="74"/>
      <c r="O773" s="74"/>
      <c r="P773" s="74"/>
      <c r="Q773" s="74"/>
      <c r="R773" s="74"/>
      <c r="S773" s="74"/>
      <c r="T773" s="74"/>
      <c r="U773" s="74"/>
      <c r="V773" s="74"/>
      <c r="W773" s="74"/>
      <c r="X773" s="74"/>
      <c r="Y773" s="74"/>
      <c r="Z773" s="74"/>
    </row>
    <row r="774" spans="1:26" x14ac:dyDescent="0.3">
      <c r="A774" s="66">
        <f t="shared" si="74"/>
        <v>2066.6999999999302</v>
      </c>
      <c r="B774" s="67">
        <f>LOOKUP(A774+0.01,Amounts!$A$4:$A$103,Amounts!$B$4:$B$103)*0.1*$A$2</f>
        <v>0</v>
      </c>
      <c r="C774" s="68">
        <f t="shared" si="73"/>
        <v>120665.52921499971</v>
      </c>
      <c r="D774" s="67">
        <f t="array" ref="D774">SUM($B$7:$B769*$F$1009*EXP(-$F$1009*($A774-$A$7:$A769)))*$F$1010</f>
        <v>4572492.3145439113</v>
      </c>
      <c r="E774" s="67">
        <f t="shared" si="71"/>
        <v>8.7170529377780532</v>
      </c>
      <c r="F774" s="70">
        <f t="shared" si="75"/>
        <v>0.52929945438188342</v>
      </c>
      <c r="G774" s="67">
        <f>E774/'Lookup Tables'!$C$48</f>
        <v>17.434105875556106</v>
      </c>
      <c r="H774" s="70">
        <f t="shared" si="72"/>
        <v>3.7970106739701803E-2</v>
      </c>
      <c r="I774" s="71">
        <f t="shared" si="76"/>
        <v>2.5105112460800796E-2</v>
      </c>
      <c r="L774" s="74"/>
      <c r="M774" s="74"/>
      <c r="N774" s="74"/>
      <c r="O774" s="74"/>
      <c r="P774" s="74"/>
      <c r="Q774" s="74"/>
      <c r="R774" s="74"/>
      <c r="S774" s="74"/>
      <c r="T774" s="74"/>
      <c r="U774" s="74"/>
      <c r="V774" s="74"/>
      <c r="W774" s="74"/>
      <c r="X774" s="74"/>
      <c r="Y774" s="74"/>
      <c r="Z774" s="74"/>
    </row>
    <row r="775" spans="1:26" x14ac:dyDescent="0.3">
      <c r="A775" s="66">
        <f t="shared" si="74"/>
        <v>2066.7999999999302</v>
      </c>
      <c r="B775" s="67">
        <f>LOOKUP(A775+0.01,Amounts!$A$4:$A$103,Amounts!$B$4:$B$103)*0.1*$A$2</f>
        <v>0</v>
      </c>
      <c r="C775" s="68">
        <f t="shared" si="73"/>
        <v>120665.52921499971</v>
      </c>
      <c r="D775" s="67">
        <f t="array" ref="D775">SUM($B$7:$B770*$F$1009*EXP(-$F$1009*($A775-$A$7:$A770)))*$F$1010</f>
        <v>4566095.3042556038</v>
      </c>
      <c r="E775" s="67">
        <f t="shared" ref="E775:E838" si="77">D775/(365*24*60)*1.00201</f>
        <v>8.7048576023918525</v>
      </c>
      <c r="F775" s="70">
        <f t="shared" si="75"/>
        <v>0.52855895361723326</v>
      </c>
      <c r="G775" s="67">
        <f>E775/'Lookup Tables'!$C$48</f>
        <v>17.409715204783705</v>
      </c>
      <c r="H775" s="70">
        <f t="shared" ref="H775:H838" si="78">G775*60*24*365/(C775*2000)</f>
        <v>3.791698578361196E-2</v>
      </c>
      <c r="I775" s="71">
        <f t="shared" si="76"/>
        <v>2.5069989894888536E-2</v>
      </c>
      <c r="L775" s="74"/>
      <c r="M775" s="74"/>
      <c r="N775" s="74"/>
      <c r="O775" s="74"/>
      <c r="P775" s="74"/>
      <c r="Q775" s="74"/>
      <c r="R775" s="74"/>
      <c r="S775" s="74"/>
      <c r="T775" s="74"/>
      <c r="U775" s="74"/>
      <c r="V775" s="74"/>
      <c r="W775" s="74"/>
      <c r="X775" s="74"/>
      <c r="Y775" s="74"/>
      <c r="Z775" s="74"/>
    </row>
    <row r="776" spans="1:26" x14ac:dyDescent="0.3">
      <c r="A776" s="66">
        <f t="shared" si="74"/>
        <v>2066.8999999999301</v>
      </c>
      <c r="B776" s="67">
        <f>LOOKUP(A776+0.01,Amounts!$A$4:$A$103,Amounts!$B$4:$B$103)*0.1*$A$2</f>
        <v>0</v>
      </c>
      <c r="C776" s="68">
        <f t="shared" si="73"/>
        <v>120665.52921499971</v>
      </c>
      <c r="D776" s="67">
        <f t="array" ref="D776">SUM($B$7:$B771*$F$1009*EXP(-$F$1009*($A776-$A$7:$A771)))*$F$1010</f>
        <v>4559707.243515552</v>
      </c>
      <c r="E776" s="67">
        <f t="shared" si="77"/>
        <v>8.6926793285293353</v>
      </c>
      <c r="F776" s="70">
        <f t="shared" si="75"/>
        <v>0.52781948882830132</v>
      </c>
      <c r="G776" s="67">
        <f>E776/'Lookup Tables'!$C$48</f>
        <v>17.385358657058671</v>
      </c>
      <c r="H776" s="70">
        <f t="shared" si="78"/>
        <v>3.7863939144826393E-2</v>
      </c>
      <c r="I776" s="71">
        <f t="shared" si="76"/>
        <v>2.503491646616449E-2</v>
      </c>
      <c r="L776" s="74"/>
      <c r="M776" s="74"/>
      <c r="N776" s="74"/>
      <c r="O776" s="74"/>
      <c r="P776" s="74"/>
      <c r="Q776" s="74"/>
      <c r="R776" s="74"/>
      <c r="S776" s="74"/>
      <c r="T776" s="74"/>
      <c r="U776" s="74"/>
      <c r="V776" s="74"/>
      <c r="W776" s="74"/>
      <c r="X776" s="74"/>
      <c r="Y776" s="74"/>
      <c r="Z776" s="74"/>
    </row>
    <row r="777" spans="1:26" x14ac:dyDescent="0.3">
      <c r="A777" s="66">
        <f t="shared" si="74"/>
        <v>2066.99999999993</v>
      </c>
      <c r="B777" s="67">
        <f>LOOKUP(A777+0.01,Amounts!$A$4:$A$103,Amounts!$B$4:$B$103)*0.1*$A$2</f>
        <v>0</v>
      </c>
      <c r="C777" s="68">
        <f t="shared" ref="C777:C840" si="79">C776+B777</f>
        <v>120665.52921499971</v>
      </c>
      <c r="D777" s="67">
        <f t="array" ref="D777">SUM($B$7:$B772*$F$1009*EXP(-$F$1009*($A777-$A$7:$A772)))*$F$1010</f>
        <v>4553328.1198031567</v>
      </c>
      <c r="E777" s="67">
        <f t="shared" si="77"/>
        <v>8.6805180923210834</v>
      </c>
      <c r="F777" s="70">
        <f t="shared" si="75"/>
        <v>0.52708105856573617</v>
      </c>
      <c r="G777" s="67">
        <f>E777/'Lookup Tables'!$C$48</f>
        <v>17.361036184642167</v>
      </c>
      <c r="H777" s="70">
        <f t="shared" si="78"/>
        <v>3.7810966719373632E-2</v>
      </c>
      <c r="I777" s="71">
        <f t="shared" si="76"/>
        <v>2.499989210588472E-2</v>
      </c>
      <c r="L777" s="74"/>
      <c r="M777" s="74"/>
      <c r="N777" s="74"/>
      <c r="O777" s="74"/>
      <c r="P777" s="74"/>
      <c r="Q777" s="74"/>
      <c r="R777" s="74"/>
      <c r="S777" s="74"/>
      <c r="T777" s="74"/>
      <c r="U777" s="74"/>
      <c r="V777" s="74"/>
      <c r="W777" s="74"/>
      <c r="X777" s="74"/>
      <c r="Y777" s="74"/>
      <c r="Z777" s="74"/>
    </row>
    <row r="778" spans="1:26" x14ac:dyDescent="0.3">
      <c r="A778" s="66">
        <f t="shared" si="74"/>
        <v>2067.0999999999299</v>
      </c>
      <c r="B778" s="67">
        <f>LOOKUP(A778+0.01,Amounts!$A$4:$A$103,Amounts!$B$4:$B$103)*0.1*$A$2</f>
        <v>0</v>
      </c>
      <c r="C778" s="68">
        <f t="shared" si="79"/>
        <v>120665.52921499971</v>
      </c>
      <c r="D778" s="67">
        <f t="array" ref="D778">SUM($B$7:$B773*$F$1009*EXP(-$F$1009*($A778-$A$7:$A773)))*$F$1010</f>
        <v>4546957.9206153359</v>
      </c>
      <c r="E778" s="67">
        <f t="shared" si="77"/>
        <v>8.6683738699310755</v>
      </c>
      <c r="F778" s="70">
        <f t="shared" si="75"/>
        <v>0.52634366138221489</v>
      </c>
      <c r="G778" s="67">
        <f>E778/'Lookup Tables'!$C$48</f>
        <v>17.336747739862151</v>
      </c>
      <c r="H778" s="70">
        <f t="shared" si="78"/>
        <v>3.775806840342779E-2</v>
      </c>
      <c r="I778" s="71">
        <f t="shared" si="76"/>
        <v>2.4964916745401498E-2</v>
      </c>
      <c r="L778" s="74"/>
      <c r="M778" s="74"/>
      <c r="N778" s="74"/>
      <c r="O778" s="74"/>
      <c r="P778" s="74"/>
      <c r="Q778" s="74"/>
      <c r="R778" s="74"/>
      <c r="S778" s="74"/>
      <c r="T778" s="74"/>
      <c r="U778" s="74"/>
      <c r="V778" s="74"/>
      <c r="W778" s="74"/>
      <c r="X778" s="74"/>
      <c r="Y778" s="74"/>
      <c r="Z778" s="74"/>
    </row>
    <row r="779" spans="1:26" x14ac:dyDescent="0.3">
      <c r="A779" s="66">
        <f t="shared" si="74"/>
        <v>2067.1999999999298</v>
      </c>
      <c r="B779" s="67">
        <f>LOOKUP(A779+0.01,Amounts!$A$4:$A$103,Amounts!$B$4:$B$103)*0.1*$A$2</f>
        <v>0</v>
      </c>
      <c r="C779" s="68">
        <f t="shared" si="79"/>
        <v>120665.52921499971</v>
      </c>
      <c r="D779" s="67">
        <f t="array" ref="D779">SUM($B$7:$B774*$F$1009*EXP(-$F$1009*($A779-$A$7:$A774)))*$F$1010</f>
        <v>4540596.6334664933</v>
      </c>
      <c r="E779" s="67">
        <f t="shared" si="77"/>
        <v>8.656246637556622</v>
      </c>
      <c r="F779" s="70">
        <f t="shared" si="75"/>
        <v>0.52560729583243804</v>
      </c>
      <c r="G779" s="67">
        <f>E779/'Lookup Tables'!$C$48</f>
        <v>17.312493275113244</v>
      </c>
      <c r="H779" s="70">
        <f t="shared" si="78"/>
        <v>3.7705244093308068E-2</v>
      </c>
      <c r="I779" s="71">
        <f t="shared" si="76"/>
        <v>2.4929990316163071E-2</v>
      </c>
      <c r="L779" s="74"/>
      <c r="M779" s="74"/>
      <c r="N779" s="74"/>
      <c r="O779" s="74"/>
      <c r="P779" s="74"/>
      <c r="Q779" s="74"/>
      <c r="R779" s="74"/>
      <c r="S779" s="74"/>
      <c r="T779" s="74"/>
      <c r="U779" s="74"/>
      <c r="V779" s="74"/>
      <c r="W779" s="74"/>
      <c r="X779" s="74"/>
      <c r="Y779" s="74"/>
      <c r="Z779" s="74"/>
    </row>
    <row r="780" spans="1:26" x14ac:dyDescent="0.3">
      <c r="A780" s="66">
        <f t="shared" si="74"/>
        <v>2067.2999999999297</v>
      </c>
      <c r="B780" s="67">
        <f>LOOKUP(A780+0.01,Amounts!$A$4:$A$103,Amounts!$B$4:$B$103)*0.1*$A$2</f>
        <v>0</v>
      </c>
      <c r="C780" s="68">
        <f t="shared" si="79"/>
        <v>120665.52921499971</v>
      </c>
      <c r="D780" s="67">
        <f t="array" ref="D780">SUM($B$7:$B775*$F$1009*EXP(-$F$1009*($A780-$A$7:$A775)))*$F$1010</f>
        <v>4534244.2458885089</v>
      </c>
      <c r="E780" s="67">
        <f t="shared" si="77"/>
        <v>8.6441363714283579</v>
      </c>
      <c r="F780" s="70">
        <f t="shared" si="75"/>
        <v>0.52487196047313001</v>
      </c>
      <c r="G780" s="67">
        <f>E780/'Lookup Tables'!$C$48</f>
        <v>17.288272742856716</v>
      </c>
      <c r="H780" s="70">
        <f t="shared" si="78"/>
        <v>3.7652493685478898E-2</v>
      </c>
      <c r="I780" s="71">
        <f t="shared" si="76"/>
        <v>2.4895112749713674E-2</v>
      </c>
      <c r="L780" s="74"/>
      <c r="M780" s="74"/>
      <c r="N780" s="74"/>
      <c r="O780" s="74"/>
      <c r="P780" s="74"/>
      <c r="Q780" s="74"/>
      <c r="R780" s="74"/>
      <c r="S780" s="74"/>
      <c r="T780" s="74"/>
      <c r="U780" s="74"/>
      <c r="V780" s="74"/>
      <c r="W780" s="74"/>
      <c r="X780" s="74"/>
      <c r="Y780" s="74"/>
      <c r="Z780" s="74"/>
    </row>
    <row r="781" spans="1:26" x14ac:dyDescent="0.3">
      <c r="A781" s="66">
        <f t="shared" si="74"/>
        <v>2067.3999999999296</v>
      </c>
      <c r="B781" s="67">
        <f>LOOKUP(A781+0.01,Amounts!$A$4:$A$103,Amounts!$B$4:$B$103)*0.1*$A$2</f>
        <v>0</v>
      </c>
      <c r="C781" s="68">
        <f t="shared" si="79"/>
        <v>120665.52921499971</v>
      </c>
      <c r="D781" s="67">
        <f t="array" ref="D781">SUM($B$7:$B776*$F$1009*EXP(-$F$1009*($A781-$A$7:$A776)))*$F$1010</f>
        <v>4527900.7454306958</v>
      </c>
      <c r="E781" s="67">
        <f t="shared" si="77"/>
        <v>8.6320430478101446</v>
      </c>
      <c r="F781" s="70">
        <f t="shared" si="75"/>
        <v>0.5241376538630319</v>
      </c>
      <c r="G781" s="67">
        <f>E781/'Lookup Tables'!$C$48</f>
        <v>17.264086095620289</v>
      </c>
      <c r="H781" s="70">
        <f t="shared" si="78"/>
        <v>3.7599817076549365E-2</v>
      </c>
      <c r="I781" s="71">
        <f t="shared" si="76"/>
        <v>2.4860283977693215E-2</v>
      </c>
      <c r="L781" s="74"/>
      <c r="M781" s="74"/>
      <c r="N781" s="74"/>
      <c r="O781" s="74"/>
      <c r="P781" s="74"/>
      <c r="Q781" s="74"/>
      <c r="R781" s="74"/>
      <c r="S781" s="74"/>
      <c r="T781" s="74"/>
      <c r="U781" s="74"/>
      <c r="V781" s="74"/>
      <c r="W781" s="74"/>
      <c r="X781" s="74"/>
      <c r="Y781" s="74"/>
      <c r="Z781" s="74"/>
    </row>
    <row r="782" spans="1:26" x14ac:dyDescent="0.3">
      <c r="A782" s="66">
        <f t="shared" si="74"/>
        <v>2067.4999999999295</v>
      </c>
      <c r="B782" s="67">
        <f>LOOKUP(A782+0.01,Amounts!$A$4:$A$103,Amounts!$B$4:$B$103)*0.1*$A$2</f>
        <v>0</v>
      </c>
      <c r="C782" s="68">
        <f t="shared" si="79"/>
        <v>120665.52921499971</v>
      </c>
      <c r="D782" s="67">
        <f t="array" ref="D782">SUM($B$7:$B777*$F$1009*EXP(-$F$1009*($A782-$A$7:$A777)))*$F$1010</f>
        <v>4521566.1196597936</v>
      </c>
      <c r="E782" s="67">
        <f t="shared" si="77"/>
        <v>8.6199666429990671</v>
      </c>
      <c r="F782" s="70">
        <f t="shared" si="75"/>
        <v>0.52340437456290334</v>
      </c>
      <c r="G782" s="67">
        <f>E782/'Lookup Tables'!$C$48</f>
        <v>17.239933285998134</v>
      </c>
      <c r="H782" s="70">
        <f t="shared" si="78"/>
        <v>3.7547214163273342E-2</v>
      </c>
      <c r="I782" s="71">
        <f t="shared" si="76"/>
        <v>2.4825503931837318E-2</v>
      </c>
      <c r="L782" s="74"/>
      <c r="M782" s="74"/>
      <c r="N782" s="74"/>
      <c r="O782" s="74"/>
      <c r="P782" s="74"/>
      <c r="Q782" s="74"/>
      <c r="R782" s="74"/>
      <c r="S782" s="74"/>
      <c r="T782" s="74"/>
      <c r="U782" s="74"/>
      <c r="V782" s="74"/>
      <c r="W782" s="74"/>
      <c r="X782" s="74"/>
      <c r="Y782" s="74"/>
      <c r="Z782" s="74"/>
    </row>
    <row r="783" spans="1:26" x14ac:dyDescent="0.3">
      <c r="A783" s="66">
        <f t="shared" si="74"/>
        <v>2067.5999999999294</v>
      </c>
      <c r="B783" s="67">
        <f>LOOKUP(A783+0.01,Amounts!$A$4:$A$103,Amounts!$B$4:$B$103)*0.1*$A$2</f>
        <v>0</v>
      </c>
      <c r="C783" s="68">
        <f t="shared" si="79"/>
        <v>120665.52921499971</v>
      </c>
      <c r="D783" s="67">
        <f t="array" ref="D783">SUM($B$7:$B778*$F$1009*EXP(-$F$1009*($A783-$A$7:$A778)))*$F$1010</f>
        <v>4515240.3561599357</v>
      </c>
      <c r="E783" s="67">
        <f t="shared" si="77"/>
        <v>8.6079071333253747</v>
      </c>
      <c r="F783" s="70">
        <f t="shared" si="75"/>
        <v>0.52267212113551675</v>
      </c>
      <c r="G783" s="67">
        <f>E783/'Lookup Tables'!$C$48</f>
        <v>17.215814266650749</v>
      </c>
      <c r="H783" s="70">
        <f t="shared" si="78"/>
        <v>3.7494684842549114E-2</v>
      </c>
      <c r="I783" s="71">
        <f t="shared" si="76"/>
        <v>2.4790772543977081E-2</v>
      </c>
      <c r="L783" s="74"/>
      <c r="M783" s="74"/>
      <c r="N783" s="74"/>
      <c r="O783" s="74"/>
      <c r="P783" s="74"/>
      <c r="Q783" s="74"/>
      <c r="R783" s="74"/>
      <c r="S783" s="74"/>
      <c r="T783" s="74"/>
      <c r="U783" s="74"/>
      <c r="V783" s="74"/>
      <c r="W783" s="74"/>
      <c r="X783" s="74"/>
      <c r="Y783" s="74"/>
      <c r="Z783" s="74"/>
    </row>
    <row r="784" spans="1:26" x14ac:dyDescent="0.3">
      <c r="A784" s="66">
        <f t="shared" si="74"/>
        <v>2067.6999999999293</v>
      </c>
      <c r="B784" s="67">
        <f>LOOKUP(A784+0.01,Amounts!$A$4:$A$103,Amounts!$B$4:$B$103)*0.1*$A$2</f>
        <v>0</v>
      </c>
      <c r="C784" s="68">
        <f t="shared" si="79"/>
        <v>120665.52921499971</v>
      </c>
      <c r="D784" s="67">
        <f t="array" ref="D784">SUM($B$7:$B779*$F$1009*EXP(-$F$1009*($A784-$A$7:$A779)))*$F$1010</f>
        <v>4508923.4425326185</v>
      </c>
      <c r="E784" s="67">
        <f t="shared" si="77"/>
        <v>8.5958644951524139</v>
      </c>
      <c r="F784" s="70">
        <f t="shared" si="75"/>
        <v>0.52194089214565453</v>
      </c>
      <c r="G784" s="67">
        <f>E784/'Lookup Tables'!$C$48</f>
        <v>17.191728990304828</v>
      </c>
      <c r="H784" s="70">
        <f t="shared" si="78"/>
        <v>3.7442229011419158E-2</v>
      </c>
      <c r="I784" s="71">
        <f t="shared" si="76"/>
        <v>2.4756089746038951E-2</v>
      </c>
      <c r="L784" s="74"/>
      <c r="M784" s="74"/>
      <c r="N784" s="74"/>
      <c r="O784" s="74"/>
      <c r="P784" s="74"/>
      <c r="Q784" s="74"/>
      <c r="R784" s="74"/>
      <c r="S784" s="74"/>
      <c r="T784" s="74"/>
      <c r="U784" s="74"/>
      <c r="V784" s="74"/>
      <c r="W784" s="74"/>
      <c r="X784" s="74"/>
      <c r="Y784" s="74"/>
      <c r="Z784" s="74"/>
    </row>
    <row r="785" spans="1:26" x14ac:dyDescent="0.3">
      <c r="A785" s="66">
        <f t="shared" si="74"/>
        <v>2067.7999999999292</v>
      </c>
      <c r="B785" s="67">
        <f>LOOKUP(A785+0.01,Amounts!$A$4:$A$103,Amounts!$B$4:$B$103)*0.1*$A$2</f>
        <v>0</v>
      </c>
      <c r="C785" s="68">
        <f t="shared" si="79"/>
        <v>120665.52921499971</v>
      </c>
      <c r="D785" s="67">
        <f t="array" ref="D785">SUM($B$7:$B780*$F$1009*EXP(-$F$1009*($A785-$A$7:$A780)))*$F$1010</f>
        <v>4502615.3663966926</v>
      </c>
      <c r="E785" s="67">
        <f t="shared" si="77"/>
        <v>8.5838387048766176</v>
      </c>
      <c r="F785" s="70">
        <f t="shared" si="75"/>
        <v>0.52121068616010824</v>
      </c>
      <c r="G785" s="67">
        <f>E785/'Lookup Tables'!$C$48</f>
        <v>17.167677409753235</v>
      </c>
      <c r="H785" s="70">
        <f t="shared" si="78"/>
        <v>3.7389846567070069E-2</v>
      </c>
      <c r="I785" s="71">
        <f t="shared" si="76"/>
        <v>2.4721455470044656E-2</v>
      </c>
      <c r="L785" s="74"/>
      <c r="M785" s="74"/>
      <c r="N785" s="74"/>
      <c r="O785" s="74"/>
      <c r="P785" s="74"/>
      <c r="Q785" s="74"/>
      <c r="R785" s="74"/>
      <c r="S785" s="74"/>
      <c r="T785" s="74"/>
      <c r="U785" s="74"/>
      <c r="V785" s="74"/>
      <c r="W785" s="74"/>
      <c r="X785" s="74"/>
      <c r="Y785" s="74"/>
      <c r="Z785" s="74"/>
    </row>
    <row r="786" spans="1:26" x14ac:dyDescent="0.3">
      <c r="A786" s="66">
        <f t="shared" si="74"/>
        <v>2067.8999999999292</v>
      </c>
      <c r="B786" s="67">
        <f>LOOKUP(A786+0.01,Amounts!$A$4:$A$103,Amounts!$B$4:$B$103)*0.1*$A$2</f>
        <v>0</v>
      </c>
      <c r="C786" s="68">
        <f t="shared" si="79"/>
        <v>120665.52921499971</v>
      </c>
      <c r="D786" s="67">
        <f t="array" ref="D786">SUM($B$7:$B781*$F$1009*EXP(-$F$1009*($A786-$A$7:$A781)))*$F$1010</f>
        <v>4496316.1153883263</v>
      </c>
      <c r="E786" s="67">
        <f t="shared" si="77"/>
        <v>8.5718297389274305</v>
      </c>
      <c r="F786" s="70">
        <f t="shared" si="75"/>
        <v>0.5204815017476736</v>
      </c>
      <c r="G786" s="67">
        <f>E786/'Lookup Tables'!$C$48</f>
        <v>17.143659477854861</v>
      </c>
      <c r="H786" s="70">
        <f t="shared" si="78"/>
        <v>3.7337537406832225E-2</v>
      </c>
      <c r="I786" s="71">
        <f t="shared" si="76"/>
        <v>2.4686869648111003E-2</v>
      </c>
      <c r="L786" s="74"/>
      <c r="M786" s="74"/>
      <c r="N786" s="74"/>
      <c r="O786" s="74"/>
      <c r="P786" s="74"/>
      <c r="Q786" s="74"/>
      <c r="R786" s="74"/>
      <c r="S786" s="74"/>
      <c r="T786" s="74"/>
      <c r="U786" s="74"/>
      <c r="V786" s="74"/>
      <c r="W786" s="74"/>
      <c r="X786" s="74"/>
      <c r="Y786" s="74"/>
      <c r="Z786" s="74"/>
    </row>
    <row r="787" spans="1:26" x14ac:dyDescent="0.3">
      <c r="A787" s="66">
        <f t="shared" ref="A787:A850" si="80">A786+0.1</f>
        <v>2067.9999999999291</v>
      </c>
      <c r="B787" s="67">
        <f>LOOKUP(A787+0.01,Amounts!$A$4:$A$103,Amounts!$B$4:$B$103)*0.1*$A$2</f>
        <v>0</v>
      </c>
      <c r="C787" s="68">
        <f t="shared" si="79"/>
        <v>120665.52921499971</v>
      </c>
      <c r="D787" s="67">
        <f t="array" ref="D787">SUM($B$7:$B782*$F$1009*EXP(-$F$1009*($A787-$A$7:$A782)))*$F$1010</f>
        <v>4490025.6771609867</v>
      </c>
      <c r="E787" s="67">
        <f t="shared" si="77"/>
        <v>8.5598375737672772</v>
      </c>
      <c r="F787" s="70">
        <f t="shared" ref="F787:F850" si="81">E787*60*1012/1000000</f>
        <v>0.51975333747914909</v>
      </c>
      <c r="G787" s="67">
        <f>E787/'Lookup Tables'!$C$48</f>
        <v>17.119675147534554</v>
      </c>
      <c r="H787" s="70">
        <f t="shared" si="78"/>
        <v>3.7285301428179644E-2</v>
      </c>
      <c r="I787" s="71">
        <f t="shared" ref="I787:I850" si="82">G787*60*24/1000000</f>
        <v>2.4652332212449758E-2</v>
      </c>
      <c r="L787" s="74"/>
      <c r="M787" s="74"/>
      <c r="N787" s="74"/>
      <c r="O787" s="74"/>
      <c r="P787" s="74"/>
      <c r="Q787" s="74"/>
      <c r="R787" s="74"/>
      <c r="S787" s="74"/>
      <c r="T787" s="74"/>
      <c r="U787" s="74"/>
      <c r="V787" s="74"/>
      <c r="W787" s="74"/>
      <c r="X787" s="74"/>
      <c r="Y787" s="74"/>
      <c r="Z787" s="74"/>
    </row>
    <row r="788" spans="1:26" x14ac:dyDescent="0.3">
      <c r="A788" s="66">
        <f t="shared" si="80"/>
        <v>2068.099999999929</v>
      </c>
      <c r="B788" s="67">
        <f>LOOKUP(A788+0.01,Amounts!$A$4:$A$103,Amounts!$B$4:$B$103)*0.1*$A$2</f>
        <v>0</v>
      </c>
      <c r="C788" s="68">
        <f t="shared" si="79"/>
        <v>120665.52921499971</v>
      </c>
      <c r="D788" s="67">
        <f t="array" ref="D788">SUM($B$7:$B783*$F$1009*EXP(-$F$1009*($A788-$A$7:$A783)))*$F$1010</f>
        <v>4483744.03938541</v>
      </c>
      <c r="E788" s="67">
        <f t="shared" si="77"/>
        <v>8.5478621858915051</v>
      </c>
      <c r="F788" s="70">
        <f t="shared" si="81"/>
        <v>0.51902619192733213</v>
      </c>
      <c r="G788" s="67">
        <f>E788/'Lookup Tables'!$C$48</f>
        <v>17.09572437178301</v>
      </c>
      <c r="H788" s="70">
        <f t="shared" si="78"/>
        <v>3.7233138528729788E-2</v>
      </c>
      <c r="I788" s="71">
        <f t="shared" si="82"/>
        <v>2.4617843095367534E-2</v>
      </c>
      <c r="L788" s="74"/>
      <c r="M788" s="74"/>
      <c r="N788" s="74"/>
      <c r="O788" s="74"/>
      <c r="P788" s="74"/>
      <c r="Q788" s="74"/>
      <c r="R788" s="74"/>
      <c r="S788" s="74"/>
      <c r="T788" s="74"/>
      <c r="U788" s="74"/>
      <c r="V788" s="74"/>
      <c r="W788" s="74"/>
      <c r="X788" s="74"/>
      <c r="Y788" s="74"/>
      <c r="Z788" s="74"/>
    </row>
    <row r="789" spans="1:26" x14ac:dyDescent="0.3">
      <c r="A789" s="66">
        <f t="shared" si="80"/>
        <v>2068.1999999999289</v>
      </c>
      <c r="B789" s="67">
        <f>LOOKUP(A789+0.01,Amounts!$A$4:$A$103,Amounts!$B$4:$B$103)*0.1*$A$2</f>
        <v>0</v>
      </c>
      <c r="C789" s="68">
        <f t="shared" si="79"/>
        <v>120665.52921499971</v>
      </c>
      <c r="D789" s="67">
        <f t="array" ref="D789">SUM($B$7:$B784*$F$1009*EXP(-$F$1009*($A789-$A$7:$A784)))*$F$1010</f>
        <v>4477471.1897495873</v>
      </c>
      <c r="E789" s="67">
        <f t="shared" si="77"/>
        <v>8.5359035518283566</v>
      </c>
      <c r="F789" s="70">
        <f t="shared" si="81"/>
        <v>0.51830006366701775</v>
      </c>
      <c r="G789" s="67">
        <f>E789/'Lookup Tables'!$C$48</f>
        <v>17.071807103656713</v>
      </c>
      <c r="H789" s="70">
        <f t="shared" si="78"/>
        <v>3.7181048606243376E-2</v>
      </c>
      <c r="I789" s="71">
        <f t="shared" si="82"/>
        <v>2.4583402229265666E-2</v>
      </c>
      <c r="L789" s="74"/>
      <c r="M789" s="74"/>
      <c r="N789" s="74"/>
      <c r="O789" s="74"/>
      <c r="P789" s="74"/>
      <c r="Q789" s="74"/>
      <c r="R789" s="74"/>
      <c r="S789" s="74"/>
      <c r="T789" s="74"/>
      <c r="U789" s="74"/>
      <c r="V789" s="74"/>
      <c r="W789" s="74"/>
      <c r="X789" s="74"/>
      <c r="Y789" s="74"/>
      <c r="Z789" s="74"/>
    </row>
    <row r="790" spans="1:26" x14ac:dyDescent="0.3">
      <c r="A790" s="66">
        <f t="shared" si="80"/>
        <v>2068.2999999999288</v>
      </c>
      <c r="B790" s="67">
        <f>LOOKUP(A790+0.01,Amounts!$A$4:$A$103,Amounts!$B$4:$B$103)*0.1*$A$2</f>
        <v>0</v>
      </c>
      <c r="C790" s="68">
        <f t="shared" si="79"/>
        <v>120665.52921499971</v>
      </c>
      <c r="D790" s="67">
        <f t="array" ref="D790">SUM($B$7:$B785*$F$1009*EXP(-$F$1009*($A790-$A$7:$A785)))*$F$1010</f>
        <v>4471207.1159587288</v>
      </c>
      <c r="E790" s="67">
        <f t="shared" si="77"/>
        <v>8.5239616481389007</v>
      </c>
      <c r="F790" s="70">
        <f t="shared" si="81"/>
        <v>0.51757495127499398</v>
      </c>
      <c r="G790" s="67">
        <f>E790/'Lookup Tables'!$C$48</f>
        <v>17.047923296277801</v>
      </c>
      <c r="H790" s="70">
        <f t="shared" si="78"/>
        <v>3.7129031558624126E-2</v>
      </c>
      <c r="I790" s="71">
        <f t="shared" si="82"/>
        <v>2.4549009546640032E-2</v>
      </c>
      <c r="L790" s="74"/>
      <c r="M790" s="74"/>
      <c r="N790" s="74"/>
      <c r="O790" s="74"/>
      <c r="P790" s="74"/>
      <c r="Q790" s="74"/>
      <c r="R790" s="74"/>
      <c r="S790" s="74"/>
      <c r="T790" s="74"/>
      <c r="U790" s="74"/>
      <c r="V790" s="74"/>
      <c r="W790" s="74"/>
      <c r="X790" s="74"/>
      <c r="Y790" s="74"/>
      <c r="Z790" s="74"/>
    </row>
    <row r="791" spans="1:26" x14ac:dyDescent="0.3">
      <c r="A791" s="66">
        <f t="shared" si="80"/>
        <v>2068.3999999999287</v>
      </c>
      <c r="B791" s="67">
        <f>LOOKUP(A791+0.01,Amounts!$A$4:$A$103,Amounts!$B$4:$B$103)*0.1*$A$2</f>
        <v>0</v>
      </c>
      <c r="C791" s="68">
        <f t="shared" si="79"/>
        <v>120665.52921499971</v>
      </c>
      <c r="D791" s="67">
        <f t="array" ref="D791">SUM($B$7:$B786*$F$1009*EXP(-$F$1009*($A791-$A$7:$A786)))*$F$1010</f>
        <v>4464951.8057352491</v>
      </c>
      <c r="E791" s="67">
        <f t="shared" si="77"/>
        <v>8.5120364514170035</v>
      </c>
      <c r="F791" s="70">
        <f t="shared" si="81"/>
        <v>0.51685085333004044</v>
      </c>
      <c r="G791" s="67">
        <f>E791/'Lookup Tables'!$C$48</f>
        <v>17.024072902834007</v>
      </c>
      <c r="H791" s="70">
        <f t="shared" si="78"/>
        <v>3.7077087283918626E-2</v>
      </c>
      <c r="I791" s="71">
        <f t="shared" si="82"/>
        <v>2.451466498008097E-2</v>
      </c>
      <c r="L791" s="74"/>
      <c r="M791" s="74"/>
      <c r="N791" s="74"/>
      <c r="O791" s="74"/>
      <c r="P791" s="74"/>
      <c r="Q791" s="74"/>
      <c r="R791" s="74"/>
      <c r="S791" s="74"/>
      <c r="T791" s="74"/>
      <c r="U791" s="74"/>
      <c r="V791" s="74"/>
      <c r="W791" s="74"/>
      <c r="X791" s="74"/>
      <c r="Y791" s="74"/>
      <c r="Z791" s="74"/>
    </row>
    <row r="792" spans="1:26" x14ac:dyDescent="0.3">
      <c r="A792" s="66">
        <f t="shared" si="80"/>
        <v>2068.4999999999286</v>
      </c>
      <c r="B792" s="67">
        <f>LOOKUP(A792+0.01,Amounts!$A$4:$A$103,Amounts!$B$4:$B$103)*0.1*$A$2</f>
        <v>0</v>
      </c>
      <c r="C792" s="68">
        <f t="shared" si="79"/>
        <v>120665.52921499971</v>
      </c>
      <c r="D792" s="67">
        <f t="array" ref="D792">SUM($B$7:$B787*$F$1009*EXP(-$F$1009*($A792-$A$7:$A787)))*$F$1010</f>
        <v>4458705.2468187399</v>
      </c>
      <c r="E792" s="67">
        <f t="shared" si="77"/>
        <v>8.5001279382892818</v>
      </c>
      <c r="F792" s="70">
        <f t="shared" si="81"/>
        <v>0.51612776841292518</v>
      </c>
      <c r="G792" s="67">
        <f>E792/'Lookup Tables'!$C$48</f>
        <v>17.000255876578564</v>
      </c>
      <c r="H792" s="70">
        <f t="shared" si="78"/>
        <v>3.7025215680316088E-2</v>
      </c>
      <c r="I792" s="71">
        <f t="shared" si="82"/>
        <v>2.4480368462273132E-2</v>
      </c>
      <c r="L792" s="74"/>
      <c r="M792" s="74"/>
      <c r="N792" s="74"/>
      <c r="O792" s="74"/>
      <c r="P792" s="74"/>
      <c r="Q792" s="74"/>
      <c r="R792" s="74"/>
      <c r="S792" s="74"/>
      <c r="T792" s="74"/>
      <c r="U792" s="74"/>
      <c r="V792" s="74"/>
      <c r="W792" s="74"/>
      <c r="X792" s="74"/>
      <c r="Y792" s="74"/>
      <c r="Z792" s="74"/>
    </row>
    <row r="793" spans="1:26" x14ac:dyDescent="0.3">
      <c r="A793" s="66">
        <f t="shared" si="80"/>
        <v>2068.5999999999285</v>
      </c>
      <c r="B793" s="67">
        <f>LOOKUP(A793+0.01,Amounts!$A$4:$A$103,Amounts!$B$4:$B$103)*0.1*$A$2</f>
        <v>0</v>
      </c>
      <c r="C793" s="68">
        <f t="shared" si="79"/>
        <v>120665.52921499971</v>
      </c>
      <c r="D793" s="67">
        <f t="array" ref="D793">SUM($B$7:$B788*$F$1009*EXP(-$F$1009*($A793-$A$7:$A788)))*$F$1010</f>
        <v>4452467.4269659389</v>
      </c>
      <c r="E793" s="67">
        <f t="shared" si="77"/>
        <v>8.4882360854150321</v>
      </c>
      <c r="F793" s="70">
        <f t="shared" si="81"/>
        <v>0.51540569510640077</v>
      </c>
      <c r="G793" s="67">
        <f>E793/'Lookup Tables'!$C$48</f>
        <v>16.976472170830064</v>
      </c>
      <c r="H793" s="70">
        <f t="shared" si="78"/>
        <v>3.6973416646148109E-2</v>
      </c>
      <c r="I793" s="71">
        <f t="shared" si="82"/>
        <v>2.4446119925995293E-2</v>
      </c>
      <c r="L793" s="74"/>
      <c r="M793" s="74"/>
      <c r="N793" s="74"/>
      <c r="O793" s="74"/>
      <c r="P793" s="74"/>
      <c r="Q793" s="74"/>
      <c r="R793" s="74"/>
      <c r="S793" s="74"/>
      <c r="T793" s="74"/>
      <c r="U793" s="74"/>
      <c r="V793" s="74"/>
      <c r="W793" s="74"/>
      <c r="X793" s="74"/>
      <c r="Y793" s="74"/>
      <c r="Z793" s="74"/>
    </row>
    <row r="794" spans="1:26" x14ac:dyDescent="0.3">
      <c r="A794" s="66">
        <f t="shared" si="80"/>
        <v>2068.6999999999284</v>
      </c>
      <c r="B794" s="67">
        <f>LOOKUP(A794+0.01,Amounts!$A$4:$A$103,Amounts!$B$4:$B$103)*0.1*$A$2</f>
        <v>0</v>
      </c>
      <c r="C794" s="68">
        <f t="shared" si="79"/>
        <v>120665.52921499971</v>
      </c>
      <c r="D794" s="67">
        <f t="array" ref="D794">SUM($B$7:$B789*$F$1009*EXP(-$F$1009*($A794-$A$7:$A789)))*$F$1010</f>
        <v>4446238.3339507217</v>
      </c>
      <c r="E794" s="67">
        <f t="shared" si="77"/>
        <v>8.4763608694862302</v>
      </c>
      <c r="F794" s="70">
        <f t="shared" si="81"/>
        <v>0.51468463199520387</v>
      </c>
      <c r="G794" s="67">
        <f>E794/'Lookup Tables'!$C$48</f>
        <v>16.95272173897246</v>
      </c>
      <c r="H794" s="70">
        <f t="shared" si="78"/>
        <v>3.6921690079888596E-2</v>
      </c>
      <c r="I794" s="71">
        <f t="shared" si="82"/>
        <v>2.4411919304120344E-2</v>
      </c>
      <c r="L794" s="74"/>
      <c r="M794" s="74"/>
      <c r="N794" s="74"/>
      <c r="O794" s="74"/>
      <c r="P794" s="74"/>
      <c r="Q794" s="74"/>
      <c r="R794" s="74"/>
      <c r="S794" s="74"/>
      <c r="T794" s="74"/>
      <c r="U794" s="74"/>
      <c r="V794" s="74"/>
      <c r="W794" s="74"/>
      <c r="X794" s="74"/>
      <c r="Y794" s="74"/>
      <c r="Z794" s="74"/>
    </row>
    <row r="795" spans="1:26" x14ac:dyDescent="0.3">
      <c r="A795" s="66">
        <f t="shared" si="80"/>
        <v>2068.7999999999283</v>
      </c>
      <c r="B795" s="67">
        <f>LOOKUP(A795+0.01,Amounts!$A$4:$A$103,Amounts!$B$4:$B$103)*0.1*$A$2</f>
        <v>0</v>
      </c>
      <c r="C795" s="68">
        <f t="shared" si="79"/>
        <v>120665.52921499971</v>
      </c>
      <c r="D795" s="67">
        <f t="array" ref="D795">SUM($B$7:$B790*$F$1009*EXP(-$F$1009*($A795-$A$7:$A790)))*$F$1010</f>
        <v>4440017.9555640602</v>
      </c>
      <c r="E795" s="67">
        <f t="shared" si="77"/>
        <v>8.4645022672274433</v>
      </c>
      <c r="F795" s="70">
        <f t="shared" si="81"/>
        <v>0.5139645776660503</v>
      </c>
      <c r="G795" s="67">
        <f>E795/'Lookup Tables'!$C$48</f>
        <v>16.929004534454887</v>
      </c>
      <c r="H795" s="70">
        <f t="shared" si="78"/>
        <v>3.6870035880153459E-2</v>
      </c>
      <c r="I795" s="71">
        <f t="shared" si="82"/>
        <v>2.4377766529615038E-2</v>
      </c>
      <c r="L795" s="74"/>
      <c r="M795" s="74"/>
      <c r="N795" s="74"/>
      <c r="O795" s="74"/>
      <c r="P795" s="74"/>
      <c r="Q795" s="74"/>
      <c r="R795" s="74"/>
      <c r="S795" s="74"/>
      <c r="T795" s="74"/>
      <c r="U795" s="74"/>
      <c r="V795" s="74"/>
      <c r="W795" s="74"/>
      <c r="X795" s="74"/>
      <c r="Y795" s="74"/>
      <c r="Z795" s="74"/>
    </row>
    <row r="796" spans="1:26" x14ac:dyDescent="0.3">
      <c r="A796" s="66">
        <f t="shared" si="80"/>
        <v>2068.8999999999282</v>
      </c>
      <c r="B796" s="67">
        <f>LOOKUP(A796+0.01,Amounts!$A$4:$A$103,Amounts!$B$4:$B$103)*0.1*$A$2</f>
        <v>0</v>
      </c>
      <c r="C796" s="68">
        <f t="shared" si="79"/>
        <v>120665.52921499971</v>
      </c>
      <c r="D796" s="67">
        <f t="array" ref="D796">SUM($B$7:$B791*$F$1009*EXP(-$F$1009*($A796-$A$7:$A791)))*$F$1010</f>
        <v>4433806.2796140146</v>
      </c>
      <c r="E796" s="67">
        <f t="shared" si="77"/>
        <v>8.4526602553958128</v>
      </c>
      <c r="F796" s="70">
        <f t="shared" si="81"/>
        <v>0.51324553070763379</v>
      </c>
      <c r="G796" s="67">
        <f>E796/'Lookup Tables'!$C$48</f>
        <v>16.905320510791626</v>
      </c>
      <c r="H796" s="70">
        <f t="shared" si="78"/>
        <v>3.6818453945700456E-2</v>
      </c>
      <c r="I796" s="71">
        <f t="shared" si="82"/>
        <v>2.4343661535539941E-2</v>
      </c>
      <c r="L796" s="74"/>
      <c r="M796" s="74"/>
      <c r="N796" s="74"/>
      <c r="O796" s="74"/>
      <c r="P796" s="74"/>
      <c r="Q796" s="74"/>
      <c r="R796" s="74"/>
      <c r="S796" s="74"/>
      <c r="T796" s="74"/>
      <c r="U796" s="74"/>
      <c r="V796" s="74"/>
      <c r="W796" s="74"/>
      <c r="X796" s="74"/>
      <c r="Y796" s="74"/>
      <c r="Z796" s="74"/>
    </row>
    <row r="797" spans="1:26" x14ac:dyDescent="0.3">
      <c r="A797" s="66">
        <f t="shared" si="80"/>
        <v>2068.9999999999281</v>
      </c>
      <c r="B797" s="67">
        <f>LOOKUP(A797+0.01,Amounts!$A$4:$A$103,Amounts!$B$4:$B$103)*0.1*$A$2</f>
        <v>0</v>
      </c>
      <c r="C797" s="68">
        <f t="shared" si="79"/>
        <v>120665.52921499971</v>
      </c>
      <c r="D797" s="67">
        <f t="array" ref="D797">SUM($B$7:$B792*$F$1009*EXP(-$F$1009*($A797-$A$7:$A792)))*$F$1010</f>
        <v>4427603.293925697</v>
      </c>
      <c r="E797" s="67">
        <f t="shared" si="77"/>
        <v>8.4408348107809879</v>
      </c>
      <c r="F797" s="70">
        <f t="shared" si="81"/>
        <v>0.51252748971062156</v>
      </c>
      <c r="G797" s="67">
        <f>E797/'Lookup Tables'!$C$48</f>
        <v>16.881669621561976</v>
      </c>
      <c r="H797" s="70">
        <f t="shared" si="78"/>
        <v>3.6766944175428973E-2</v>
      </c>
      <c r="I797" s="71">
        <f t="shared" si="82"/>
        <v>2.4309604255049244E-2</v>
      </c>
      <c r="L797" s="74"/>
      <c r="M797" s="74"/>
      <c r="N797" s="74"/>
      <c r="O797" s="74"/>
      <c r="P797" s="74"/>
      <c r="Q797" s="74"/>
      <c r="R797" s="74"/>
      <c r="S797" s="74"/>
      <c r="T797" s="74"/>
      <c r="U797" s="74"/>
      <c r="V797" s="74"/>
      <c r="W797" s="74"/>
      <c r="X797" s="74"/>
      <c r="Y797" s="74"/>
      <c r="Z797" s="74"/>
    </row>
    <row r="798" spans="1:26" x14ac:dyDescent="0.3">
      <c r="A798" s="66">
        <f t="shared" si="80"/>
        <v>2069.0999999999281</v>
      </c>
      <c r="B798" s="67">
        <f>LOOKUP(A798+0.01,Amounts!$A$4:$A$103,Amounts!$B$4:$B$103)*0.1*$A$2</f>
        <v>0</v>
      </c>
      <c r="C798" s="68">
        <f t="shared" si="79"/>
        <v>120665.52921499971</v>
      </c>
      <c r="D798" s="67">
        <f t="array" ref="D798">SUM($B$7:$B793*$F$1009*EXP(-$F$1009*($A798-$A$7:$A793)))*$F$1010</f>
        <v>4421408.9863412539</v>
      </c>
      <c r="E798" s="67">
        <f t="shared" si="77"/>
        <v>8.4290259102050999</v>
      </c>
      <c r="F798" s="70">
        <f t="shared" si="81"/>
        <v>0.51181045326765362</v>
      </c>
      <c r="G798" s="67">
        <f>E798/'Lookup Tables'!$C$48</f>
        <v>16.8580518204102</v>
      </c>
      <c r="H798" s="70">
        <f t="shared" si="78"/>
        <v>3.6715506468379858E-2</v>
      </c>
      <c r="I798" s="71">
        <f t="shared" si="82"/>
        <v>2.4275594621390686E-2</v>
      </c>
      <c r="L798" s="74"/>
      <c r="M798" s="74"/>
      <c r="N798" s="74"/>
      <c r="O798" s="74"/>
      <c r="P798" s="74"/>
      <c r="Q798" s="74"/>
      <c r="R798" s="74"/>
      <c r="S798" s="74"/>
      <c r="T798" s="74"/>
      <c r="U798" s="74"/>
      <c r="V798" s="74"/>
      <c r="W798" s="74"/>
      <c r="X798" s="74"/>
      <c r="Y798" s="74"/>
      <c r="Z798" s="74"/>
    </row>
    <row r="799" spans="1:26" x14ac:dyDescent="0.3">
      <c r="A799" s="66">
        <f t="shared" si="80"/>
        <v>2069.199999999928</v>
      </c>
      <c r="B799" s="67">
        <f>LOOKUP(A799+0.01,Amounts!$A$4:$A$103,Amounts!$B$4:$B$103)*0.1*$A$2</f>
        <v>0</v>
      </c>
      <c r="C799" s="68">
        <f t="shared" si="79"/>
        <v>120665.52921499971</v>
      </c>
      <c r="D799" s="67">
        <f t="array" ref="D799">SUM($B$7:$B794*$F$1009*EXP(-$F$1009*($A799-$A$7:$A794)))*$F$1010</f>
        <v>4415223.3447198384</v>
      </c>
      <c r="E799" s="67">
        <f t="shared" si="77"/>
        <v>8.4172335305226884</v>
      </c>
      <c r="F799" s="70">
        <f t="shared" si="81"/>
        <v>0.5110944199733376</v>
      </c>
      <c r="G799" s="67">
        <f>E799/'Lookup Tables'!$C$48</f>
        <v>16.834467061045377</v>
      </c>
      <c r="H799" s="70">
        <f t="shared" si="78"/>
        <v>3.6664140723735153E-2</v>
      </c>
      <c r="I799" s="71">
        <f t="shared" si="82"/>
        <v>2.424163256790534E-2</v>
      </c>
      <c r="L799" s="74"/>
      <c r="M799" s="74"/>
      <c r="N799" s="74"/>
      <c r="O799" s="74"/>
      <c r="P799" s="74"/>
      <c r="Q799" s="74"/>
      <c r="R799" s="74"/>
      <c r="S799" s="74"/>
      <c r="T799" s="74"/>
      <c r="U799" s="74"/>
      <c r="V799" s="74"/>
      <c r="W799" s="74"/>
      <c r="X799" s="74"/>
      <c r="Y799" s="74"/>
      <c r="Z799" s="74"/>
    </row>
    <row r="800" spans="1:26" x14ac:dyDescent="0.3">
      <c r="A800" s="66">
        <f t="shared" si="80"/>
        <v>2069.2999999999279</v>
      </c>
      <c r="B800" s="67">
        <f>LOOKUP(A800+0.01,Amounts!$A$4:$A$103,Amounts!$B$4:$B$103)*0.1*$A$2</f>
        <v>0</v>
      </c>
      <c r="C800" s="68">
        <f t="shared" si="79"/>
        <v>120665.52921499971</v>
      </c>
      <c r="D800" s="67">
        <f t="array" ref="D800">SUM($B$7:$B795*$F$1009*EXP(-$F$1009*($A800-$A$7:$A795)))*$F$1010</f>
        <v>4409046.356937591</v>
      </c>
      <c r="E800" s="67">
        <f t="shared" si="77"/>
        <v>8.4054576486206916</v>
      </c>
      <c r="F800" s="70">
        <f t="shared" si="81"/>
        <v>0.51037938842424835</v>
      </c>
      <c r="G800" s="67">
        <f>E800/'Lookup Tables'!$C$48</f>
        <v>16.810915297241383</v>
      </c>
      <c r="H800" s="70">
        <f t="shared" si="78"/>
        <v>3.661284684081801E-2</v>
      </c>
      <c r="I800" s="71">
        <f t="shared" si="82"/>
        <v>2.420771802802759E-2</v>
      </c>
      <c r="L800" s="74"/>
      <c r="M800" s="74"/>
      <c r="N800" s="74"/>
      <c r="O800" s="74"/>
      <c r="P800" s="74"/>
      <c r="Q800" s="74"/>
      <c r="R800" s="74"/>
      <c r="S800" s="74"/>
      <c r="T800" s="74"/>
      <c r="U800" s="74"/>
      <c r="V800" s="74"/>
      <c r="W800" s="74"/>
      <c r="X800" s="74"/>
      <c r="Y800" s="74"/>
      <c r="Z800" s="74"/>
    </row>
    <row r="801" spans="1:26" x14ac:dyDescent="0.3">
      <c r="A801" s="66">
        <f t="shared" si="80"/>
        <v>2069.3999999999278</v>
      </c>
      <c r="B801" s="67">
        <f>LOOKUP(A801+0.01,Amounts!$A$4:$A$103,Amounts!$B$4:$B$103)*0.1*$A$2</f>
        <v>0</v>
      </c>
      <c r="C801" s="68">
        <f t="shared" si="79"/>
        <v>120665.52921499971</v>
      </c>
      <c r="D801" s="67">
        <f t="array" ref="D801">SUM($B$7:$B796*$F$1009*EXP(-$F$1009*($A801-$A$7:$A796)))*$F$1010</f>
        <v>4402878.0108876163</v>
      </c>
      <c r="E801" s="67">
        <f t="shared" si="77"/>
        <v>8.3936982414183809</v>
      </c>
      <c r="F801" s="70">
        <f t="shared" si="81"/>
        <v>0.50966535721892414</v>
      </c>
      <c r="G801" s="67">
        <f>E801/'Lookup Tables'!$C$48</f>
        <v>16.787396482836762</v>
      </c>
      <c r="H801" s="70">
        <f t="shared" si="78"/>
        <v>3.6561624719092412E-2</v>
      </c>
      <c r="I801" s="71">
        <f t="shared" si="82"/>
        <v>2.4173850935284937E-2</v>
      </c>
      <c r="L801" s="74"/>
      <c r="M801" s="74"/>
      <c r="N801" s="74"/>
      <c r="O801" s="74"/>
      <c r="P801" s="74"/>
      <c r="Q801" s="74"/>
      <c r="R801" s="74"/>
      <c r="S801" s="74"/>
      <c r="T801" s="74"/>
      <c r="U801" s="74"/>
      <c r="V801" s="74"/>
      <c r="W801" s="74"/>
      <c r="X801" s="74"/>
      <c r="Y801" s="74"/>
      <c r="Z801" s="74"/>
    </row>
    <row r="802" spans="1:26" x14ac:dyDescent="0.3">
      <c r="A802" s="66">
        <f t="shared" si="80"/>
        <v>2069.4999999999277</v>
      </c>
      <c r="B802" s="67">
        <f>LOOKUP(A802+0.01,Amounts!$A$4:$A$103,Amounts!$B$4:$B$103)*0.1*$A$2</f>
        <v>0</v>
      </c>
      <c r="C802" s="68">
        <f t="shared" si="79"/>
        <v>120665.52921499971</v>
      </c>
      <c r="D802" s="67">
        <f t="array" ref="D802">SUM($B$7:$B797*$F$1009*EXP(-$F$1009*($A802-$A$7:$A797)))*$F$1010</f>
        <v>4396718.2944799522</v>
      </c>
      <c r="E802" s="67">
        <f t="shared" si="77"/>
        <v>8.3819552858673081</v>
      </c>
      <c r="F802" s="70">
        <f t="shared" si="81"/>
        <v>0.50895232495786291</v>
      </c>
      <c r="G802" s="67">
        <f>E802/'Lookup Tables'!$C$48</f>
        <v>16.763910571734616</v>
      </c>
      <c r="H802" s="70">
        <f t="shared" si="78"/>
        <v>3.6510474258162957E-2</v>
      </c>
      <c r="I802" s="71">
        <f t="shared" si="82"/>
        <v>2.4140031223297848E-2</v>
      </c>
      <c r="L802" s="74"/>
      <c r="M802" s="74"/>
      <c r="N802" s="74"/>
      <c r="O802" s="74"/>
      <c r="P802" s="74"/>
      <c r="Q802" s="74"/>
      <c r="R802" s="74"/>
      <c r="S802" s="74"/>
      <c r="T802" s="74"/>
      <c r="U802" s="74"/>
      <c r="V802" s="74"/>
      <c r="W802" s="74"/>
      <c r="X802" s="74"/>
      <c r="Y802" s="74"/>
      <c r="Z802" s="74"/>
    </row>
    <row r="803" spans="1:26" x14ac:dyDescent="0.3">
      <c r="A803" s="66">
        <f t="shared" si="80"/>
        <v>2069.5999999999276</v>
      </c>
      <c r="B803" s="67">
        <f>LOOKUP(A803+0.01,Amounts!$A$4:$A$103,Amounts!$B$4:$B$103)*0.1*$A$2</f>
        <v>0</v>
      </c>
      <c r="C803" s="68">
        <f t="shared" si="79"/>
        <v>120665.52921499971</v>
      </c>
      <c r="D803" s="67">
        <f t="array" ref="D803">SUM($B$7:$B798*$F$1009*EXP(-$F$1009*($A803-$A$7:$A798)))*$F$1010</f>
        <v>4390567.195641553</v>
      </c>
      <c r="E803" s="67">
        <f t="shared" si="77"/>
        <v>8.3702287589512796</v>
      </c>
      <c r="F803" s="70">
        <f t="shared" si="81"/>
        <v>0.50824029024352169</v>
      </c>
      <c r="G803" s="67">
        <f>E803/'Lookup Tables'!$C$48</f>
        <v>16.740457517902559</v>
      </c>
      <c r="H803" s="70">
        <f t="shared" si="78"/>
        <v>3.6459395357774739E-2</v>
      </c>
      <c r="I803" s="71">
        <f t="shared" si="82"/>
        <v>2.4106258825779686E-2</v>
      </c>
      <c r="L803" s="74"/>
      <c r="M803" s="74"/>
      <c r="N803" s="74"/>
      <c r="O803" s="74"/>
      <c r="P803" s="74"/>
      <c r="Q803" s="74"/>
      <c r="R803" s="74"/>
      <c r="S803" s="74"/>
      <c r="T803" s="74"/>
      <c r="U803" s="74"/>
      <c r="V803" s="74"/>
      <c r="W803" s="74"/>
      <c r="X803" s="74"/>
      <c r="Y803" s="74"/>
      <c r="Z803" s="74"/>
    </row>
    <row r="804" spans="1:26" x14ac:dyDescent="0.3">
      <c r="A804" s="66">
        <f t="shared" si="80"/>
        <v>2069.6999999999275</v>
      </c>
      <c r="B804" s="67">
        <f>LOOKUP(A804+0.01,Amounts!$A$4:$A$103,Amounts!$B$4:$B$103)*0.1*$A$2</f>
        <v>0</v>
      </c>
      <c r="C804" s="68">
        <f t="shared" si="79"/>
        <v>120665.52921499971</v>
      </c>
      <c r="D804" s="67">
        <f t="array" ref="D804">SUM($B$7:$B799*$F$1009*EXP(-$F$1009*($A804-$A$7:$A799)))*$F$1010</f>
        <v>4384424.7023162609</v>
      </c>
      <c r="E804" s="67">
        <f t="shared" si="77"/>
        <v>8.358518637686295</v>
      </c>
      <c r="F804" s="70">
        <f t="shared" si="81"/>
        <v>0.50752925168031182</v>
      </c>
      <c r="G804" s="67">
        <f>E804/'Lookup Tables'!$C$48</f>
        <v>16.71703727537259</v>
      </c>
      <c r="H804" s="70">
        <f t="shared" si="78"/>
        <v>3.6408387917813083E-2</v>
      </c>
      <c r="I804" s="71">
        <f t="shared" si="82"/>
        <v>2.4072533676536528E-2</v>
      </c>
      <c r="L804" s="74"/>
      <c r="M804" s="74"/>
      <c r="N804" s="74"/>
      <c r="O804" s="74"/>
      <c r="P804" s="74"/>
      <c r="Q804" s="74"/>
      <c r="R804" s="74"/>
      <c r="S804" s="74"/>
      <c r="T804" s="74"/>
      <c r="U804" s="74"/>
      <c r="V804" s="74"/>
      <c r="W804" s="74"/>
      <c r="X804" s="74"/>
      <c r="Y804" s="74"/>
      <c r="Z804" s="74"/>
    </row>
    <row r="805" spans="1:26" x14ac:dyDescent="0.3">
      <c r="A805" s="66">
        <f t="shared" si="80"/>
        <v>2069.7999999999274</v>
      </c>
      <c r="B805" s="67">
        <f>LOOKUP(A805+0.01,Amounts!$A$4:$A$103,Amounts!$B$4:$B$103)*0.1*$A$2</f>
        <v>0</v>
      </c>
      <c r="C805" s="68">
        <f t="shared" si="79"/>
        <v>120665.52921499971</v>
      </c>
      <c r="D805" s="67">
        <f t="array" ref="D805">SUM($B$7:$B800*$F$1009*EXP(-$F$1009*($A805-$A$7:$A800)))*$F$1010</f>
        <v>4378290.8024647906</v>
      </c>
      <c r="E805" s="67">
        <f t="shared" si="77"/>
        <v>8.3468248991205201</v>
      </c>
      <c r="F805" s="70">
        <f t="shared" si="81"/>
        <v>0.506819207874598</v>
      </c>
      <c r="G805" s="67">
        <f>E805/'Lookup Tables'!$C$48</f>
        <v>16.69364979824104</v>
      </c>
      <c r="H805" s="70">
        <f t="shared" si="78"/>
        <v>3.6357451838303412E-2</v>
      </c>
      <c r="I805" s="71">
        <f t="shared" si="82"/>
        <v>2.4038855709467098E-2</v>
      </c>
      <c r="L805" s="74"/>
      <c r="M805" s="74"/>
      <c r="N805" s="74"/>
      <c r="O805" s="74"/>
      <c r="P805" s="74"/>
      <c r="Q805" s="74"/>
      <c r="R805" s="74"/>
      <c r="S805" s="74"/>
      <c r="T805" s="74"/>
      <c r="U805" s="74"/>
      <c r="V805" s="74"/>
      <c r="W805" s="74"/>
      <c r="X805" s="74"/>
      <c r="Y805" s="74"/>
      <c r="Z805" s="74"/>
    </row>
    <row r="806" spans="1:26" x14ac:dyDescent="0.3">
      <c r="A806" s="66">
        <f t="shared" si="80"/>
        <v>2069.8999999999273</v>
      </c>
      <c r="B806" s="67">
        <f>LOOKUP(A806+0.01,Amounts!$A$4:$A$103,Amounts!$B$4:$B$103)*0.1*$A$2</f>
        <v>0</v>
      </c>
      <c r="C806" s="68">
        <f t="shared" si="79"/>
        <v>120665.52921499971</v>
      </c>
      <c r="D806" s="67">
        <f t="array" ref="D806">SUM($B$7:$B801*$F$1009*EXP(-$F$1009*($A806-$A$7:$A801)))*$F$1010</f>
        <v>4372165.4840646945</v>
      </c>
      <c r="E806" s="67">
        <f t="shared" si="77"/>
        <v>8.3351475203342176</v>
      </c>
      <c r="F806" s="70">
        <f t="shared" si="81"/>
        <v>0.50611015743469367</v>
      </c>
      <c r="G806" s="67">
        <f>E806/'Lookup Tables'!$C$48</f>
        <v>16.670295040668435</v>
      </c>
      <c r="H806" s="70">
        <f t="shared" si="78"/>
        <v>3.6306587019410981E-2</v>
      </c>
      <c r="I806" s="71">
        <f t="shared" si="82"/>
        <v>2.4005224858562546E-2</v>
      </c>
      <c r="L806" s="74"/>
      <c r="M806" s="74"/>
      <c r="N806" s="74"/>
      <c r="O806" s="74"/>
      <c r="P806" s="74"/>
      <c r="Q806" s="74"/>
      <c r="R806" s="74"/>
      <c r="S806" s="74"/>
      <c r="T806" s="74"/>
      <c r="U806" s="74"/>
      <c r="V806" s="74"/>
      <c r="W806" s="74"/>
      <c r="X806" s="74"/>
      <c r="Y806" s="74"/>
      <c r="Z806" s="74"/>
    </row>
    <row r="807" spans="1:26" x14ac:dyDescent="0.3">
      <c r="A807" s="66">
        <f t="shared" si="80"/>
        <v>2069.9999999999272</v>
      </c>
      <c r="B807" s="67">
        <f>LOOKUP(A807+0.01,Amounts!$A$4:$A$103,Amounts!$B$4:$B$103)*0.1*$A$2</f>
        <v>0</v>
      </c>
      <c r="C807" s="68">
        <f t="shared" si="79"/>
        <v>120665.52921499971</v>
      </c>
      <c r="D807" s="67">
        <f t="array" ref="D807">SUM($B$7:$B802*$F$1009*EXP(-$F$1009*($A807-$A$7:$A802)))*$F$1010</f>
        <v>4366048.7351103472</v>
      </c>
      <c r="E807" s="67">
        <f t="shared" si="77"/>
        <v>8.3234864784397242</v>
      </c>
      <c r="F807" s="70">
        <f t="shared" si="81"/>
        <v>0.50540209897086008</v>
      </c>
      <c r="G807" s="67">
        <f>E807/'Lookup Tables'!$C$48</f>
        <v>16.646972956879448</v>
      </c>
      <c r="H807" s="70">
        <f t="shared" si="78"/>
        <v>3.6255793361440733E-2</v>
      </c>
      <c r="I807" s="71">
        <f t="shared" si="82"/>
        <v>2.3971641057906407E-2</v>
      </c>
      <c r="L807" s="74"/>
      <c r="M807" s="74"/>
      <c r="N807" s="74"/>
      <c r="O807" s="74"/>
      <c r="P807" s="74"/>
      <c r="Q807" s="74"/>
      <c r="R807" s="74"/>
      <c r="S807" s="74"/>
      <c r="T807" s="74"/>
      <c r="U807" s="74"/>
      <c r="V807" s="74"/>
      <c r="W807" s="74"/>
      <c r="X807" s="74"/>
      <c r="Y807" s="74"/>
      <c r="Z807" s="74"/>
    </row>
    <row r="808" spans="1:26" x14ac:dyDescent="0.3">
      <c r="A808" s="66">
        <f t="shared" si="80"/>
        <v>2070.0999999999271</v>
      </c>
      <c r="B808" s="67">
        <f>LOOKUP(A808+0.01,Amounts!$A$4:$A$103,Amounts!$B$4:$B$103)*0.1*$A$2</f>
        <v>0</v>
      </c>
      <c r="C808" s="68">
        <f t="shared" si="79"/>
        <v>120665.52921499971</v>
      </c>
      <c r="D808" s="67">
        <f t="array" ref="D808">SUM($B$7:$B803*$F$1009*EXP(-$F$1009*($A808-$A$7:$A803)))*$F$1010</f>
        <v>4359940.5436129188</v>
      </c>
      <c r="E808" s="67">
        <f t="shared" si="77"/>
        <v>8.3118417505813937</v>
      </c>
      <c r="F808" s="70">
        <f t="shared" si="81"/>
        <v>0.50469503109530223</v>
      </c>
      <c r="G808" s="67">
        <f>E808/'Lookup Tables'!$C$48</f>
        <v>16.623683501162787</v>
      </c>
      <c r="H808" s="70">
        <f t="shared" si="78"/>
        <v>3.6205070764837081E-2</v>
      </c>
      <c r="I808" s="71">
        <f t="shared" si="82"/>
        <v>2.3938104241674411E-2</v>
      </c>
      <c r="L808" s="74"/>
      <c r="M808" s="74"/>
      <c r="N808" s="74"/>
      <c r="O808" s="74"/>
      <c r="P808" s="74"/>
      <c r="Q808" s="74"/>
      <c r="R808" s="74"/>
      <c r="S808" s="74"/>
      <c r="T808" s="74"/>
      <c r="U808" s="74"/>
      <c r="V808" s="74"/>
      <c r="W808" s="74"/>
      <c r="X808" s="74"/>
      <c r="Y808" s="74"/>
      <c r="Z808" s="74"/>
    </row>
    <row r="809" spans="1:26" x14ac:dyDescent="0.3">
      <c r="A809" s="66">
        <f t="shared" si="80"/>
        <v>2070.1999999999271</v>
      </c>
      <c r="B809" s="67">
        <f>LOOKUP(A809+0.01,Amounts!$A$4:$A$103,Amounts!$B$4:$B$103)*0.1*$A$2</f>
        <v>0</v>
      </c>
      <c r="C809" s="68">
        <f t="shared" si="79"/>
        <v>120665.52921499971</v>
      </c>
      <c r="D809" s="67">
        <f t="array" ref="D809">SUM($B$7:$B804*$F$1009*EXP(-$F$1009*($A809-$A$7:$A804)))*$F$1010</f>
        <v>4353840.89760035</v>
      </c>
      <c r="E809" s="67">
        <f t="shared" si="77"/>
        <v>8.3002133139355543</v>
      </c>
      <c r="F809" s="70">
        <f t="shared" si="81"/>
        <v>0.50398895242216679</v>
      </c>
      <c r="G809" s="67">
        <f>E809/'Lookup Tables'!$C$48</f>
        <v>16.600426627871109</v>
      </c>
      <c r="H809" s="70">
        <f t="shared" si="78"/>
        <v>3.6154419130183718E-2</v>
      </c>
      <c r="I809" s="71">
        <f t="shared" si="82"/>
        <v>2.3904614344134396E-2</v>
      </c>
      <c r="L809" s="74"/>
      <c r="M809" s="74"/>
      <c r="N809" s="74"/>
      <c r="O809" s="74"/>
      <c r="P809" s="74"/>
      <c r="Q809" s="74"/>
      <c r="R809" s="74"/>
      <c r="S809" s="74"/>
      <c r="T809" s="74"/>
      <c r="U809" s="74"/>
      <c r="V809" s="74"/>
      <c r="W809" s="74"/>
      <c r="X809" s="74"/>
      <c r="Y809" s="74"/>
      <c r="Z809" s="74"/>
    </row>
    <row r="810" spans="1:26" x14ac:dyDescent="0.3">
      <c r="A810" s="66">
        <f t="shared" si="80"/>
        <v>2070.299999999927</v>
      </c>
      <c r="B810" s="67">
        <f>LOOKUP(A810+0.01,Amounts!$A$4:$A$103,Amounts!$B$4:$B$103)*0.1*$A$2</f>
        <v>0</v>
      </c>
      <c r="C810" s="68">
        <f t="shared" si="79"/>
        <v>120665.52921499971</v>
      </c>
      <c r="D810" s="67">
        <f t="array" ref="D810">SUM($B$7:$B805*$F$1009*EXP(-$F$1009*($A810-$A$7:$A805)))*$F$1010</f>
        <v>4347749.7851173338</v>
      </c>
      <c r="E810" s="67">
        <f t="shared" si="77"/>
        <v>8.288601145710464</v>
      </c>
      <c r="F810" s="70">
        <f t="shared" si="81"/>
        <v>0.50328386156753935</v>
      </c>
      <c r="G810" s="67">
        <f>E810/'Lookup Tables'!$C$48</f>
        <v>16.577202291420928</v>
      </c>
      <c r="H810" s="70">
        <f t="shared" si="78"/>
        <v>3.6103838358203404E-2</v>
      </c>
      <c r="I810" s="71">
        <f t="shared" si="82"/>
        <v>2.3871171299646134E-2</v>
      </c>
      <c r="L810" s="74"/>
      <c r="M810" s="74"/>
      <c r="N810" s="74"/>
      <c r="O810" s="74"/>
      <c r="P810" s="74"/>
      <c r="Q810" s="74"/>
      <c r="R810" s="74"/>
      <c r="S810" s="74"/>
      <c r="T810" s="74"/>
      <c r="U810" s="74"/>
      <c r="V810" s="74"/>
      <c r="W810" s="74"/>
      <c r="X810" s="74"/>
      <c r="Y810" s="74"/>
      <c r="Z810" s="74"/>
    </row>
    <row r="811" spans="1:26" x14ac:dyDescent="0.3">
      <c r="A811" s="66">
        <f t="shared" si="80"/>
        <v>2070.3999999999269</v>
      </c>
      <c r="B811" s="67">
        <f>LOOKUP(A811+0.01,Amounts!$A$4:$A$103,Amounts!$B$4:$B$103)*0.1*$A$2</f>
        <v>0</v>
      </c>
      <c r="C811" s="68">
        <f t="shared" si="79"/>
        <v>120665.52921499971</v>
      </c>
      <c r="D811" s="67">
        <f t="array" ref="D811">SUM($B$7:$B806*$F$1009*EXP(-$F$1009*($A811-$A$7:$A806)))*$F$1010</f>
        <v>4341667.1942252899</v>
      </c>
      <c r="E811" s="67">
        <f t="shared" si="77"/>
        <v>8.2770052231462774</v>
      </c>
      <c r="F811" s="70">
        <f t="shared" si="81"/>
        <v>0.50257975714944203</v>
      </c>
      <c r="G811" s="67">
        <f>E811/'Lookup Tables'!$C$48</f>
        <v>16.554010446292555</v>
      </c>
      <c r="H811" s="70">
        <f t="shared" si="78"/>
        <v>3.6053328349757857E-2</v>
      </c>
      <c r="I811" s="71">
        <f t="shared" si="82"/>
        <v>2.3837775042661279E-2</v>
      </c>
      <c r="L811" s="74"/>
      <c r="M811" s="74"/>
      <c r="N811" s="74"/>
      <c r="O811" s="74"/>
      <c r="P811" s="74"/>
      <c r="Q811" s="74"/>
      <c r="R811" s="74"/>
      <c r="S811" s="74"/>
      <c r="T811" s="74"/>
      <c r="U811" s="74"/>
      <c r="V811" s="74"/>
      <c r="W811" s="74"/>
      <c r="X811" s="74"/>
      <c r="Y811" s="74"/>
      <c r="Z811" s="74"/>
    </row>
    <row r="812" spans="1:26" x14ac:dyDescent="0.3">
      <c r="A812" s="66">
        <f t="shared" si="80"/>
        <v>2070.4999999999268</v>
      </c>
      <c r="B812" s="67">
        <f>LOOKUP(A812+0.01,Amounts!$A$4:$A$103,Amounts!$B$4:$B$103)*0.1*$A$2</f>
        <v>0</v>
      </c>
      <c r="C812" s="68">
        <f t="shared" si="79"/>
        <v>120665.52921499971</v>
      </c>
      <c r="D812" s="67">
        <f t="array" ref="D812">SUM($B$7:$B807*$F$1009*EXP(-$F$1009*($A812-$A$7:$A807)))*$F$1010</f>
        <v>4335593.1130023357</v>
      </c>
      <c r="E812" s="67">
        <f t="shared" si="77"/>
        <v>8.2654255235149758</v>
      </c>
      <c r="F812" s="70">
        <f t="shared" si="81"/>
        <v>0.50187663778782932</v>
      </c>
      <c r="G812" s="67">
        <f>E812/'Lookup Tables'!$C$48</f>
        <v>16.530851047029952</v>
      </c>
      <c r="H812" s="70">
        <f t="shared" si="78"/>
        <v>3.6002889005847395E-2</v>
      </c>
      <c r="I812" s="71">
        <f t="shared" si="82"/>
        <v>2.3804425507723128E-2</v>
      </c>
      <c r="L812" s="74"/>
      <c r="M812" s="74"/>
      <c r="N812" s="74"/>
      <c r="O812" s="74"/>
      <c r="P812" s="74"/>
      <c r="Q812" s="74"/>
      <c r="R812" s="74"/>
      <c r="S812" s="74"/>
      <c r="T812" s="74"/>
      <c r="U812" s="74"/>
      <c r="V812" s="74"/>
      <c r="W812" s="74"/>
      <c r="X812" s="74"/>
      <c r="Y812" s="74"/>
      <c r="Z812" s="74"/>
    </row>
    <row r="813" spans="1:26" x14ac:dyDescent="0.3">
      <c r="A813" s="66">
        <f t="shared" si="80"/>
        <v>2070.5999999999267</v>
      </c>
      <c r="B813" s="67">
        <f>LOOKUP(A813+0.01,Amounts!$A$4:$A$103,Amounts!$B$4:$B$103)*0.1*$A$2</f>
        <v>0</v>
      </c>
      <c r="C813" s="68">
        <f t="shared" si="79"/>
        <v>120665.52921499971</v>
      </c>
      <c r="D813" s="67">
        <f t="array" ref="D813">SUM($B$7:$B808*$F$1009*EXP(-$F$1009*($A813-$A$7:$A808)))*$F$1010</f>
        <v>4329527.5295432694</v>
      </c>
      <c r="E813" s="67">
        <f t="shared" si="77"/>
        <v>8.2538620241203411</v>
      </c>
      <c r="F813" s="70">
        <f t="shared" si="81"/>
        <v>0.50117450210458714</v>
      </c>
      <c r="G813" s="67">
        <f>E813/'Lookup Tables'!$C$48</f>
        <v>16.507724048240682</v>
      </c>
      <c r="H813" s="70">
        <f t="shared" si="78"/>
        <v>3.5952520227610904E-2</v>
      </c>
      <c r="I813" s="71">
        <f t="shared" si="82"/>
        <v>2.3771122629466582E-2</v>
      </c>
      <c r="L813" s="74"/>
      <c r="M813" s="74"/>
      <c r="N813" s="74"/>
      <c r="O813" s="74"/>
      <c r="P813" s="74"/>
      <c r="Q813" s="74"/>
      <c r="R813" s="74"/>
      <c r="S813" s="74"/>
      <c r="T813" s="74"/>
      <c r="U813" s="74"/>
      <c r="V813" s="74"/>
      <c r="W813" s="74"/>
      <c r="X813" s="74"/>
      <c r="Y813" s="74"/>
      <c r="Z813" s="74"/>
    </row>
    <row r="814" spans="1:26" x14ac:dyDescent="0.3">
      <c r="A814" s="66">
        <f t="shared" si="80"/>
        <v>2070.6999999999266</v>
      </c>
      <c r="B814" s="67">
        <f>LOOKUP(A814+0.01,Amounts!$A$4:$A$103,Amounts!$B$4:$B$103)*0.1*$A$2</f>
        <v>0</v>
      </c>
      <c r="C814" s="68">
        <f t="shared" si="79"/>
        <v>120665.52921499971</v>
      </c>
      <c r="D814" s="67">
        <f t="array" ref="D814">SUM($B$7:$B809*$F$1009*EXP(-$F$1009*($A814-$A$7:$A809)))*$F$1010</f>
        <v>4323470.431959549</v>
      </c>
      <c r="E814" s="67">
        <f t="shared" si="77"/>
        <v>8.2423147022979233</v>
      </c>
      <c r="F814" s="70">
        <f t="shared" si="81"/>
        <v>0.50047334872352989</v>
      </c>
      <c r="G814" s="67">
        <f>E814/'Lookup Tables'!$C$48</f>
        <v>16.484629404595847</v>
      </c>
      <c r="H814" s="70">
        <f t="shared" si="78"/>
        <v>3.5902221916325597E-2</v>
      </c>
      <c r="I814" s="71">
        <f t="shared" si="82"/>
        <v>2.3737866342618021E-2</v>
      </c>
      <c r="L814" s="74"/>
      <c r="M814" s="74"/>
      <c r="N814" s="74"/>
      <c r="O814" s="74"/>
      <c r="P814" s="74"/>
      <c r="Q814" s="74"/>
      <c r="R814" s="74"/>
      <c r="S814" s="74"/>
      <c r="T814" s="74"/>
      <c r="U814" s="74"/>
      <c r="V814" s="74"/>
      <c r="W814" s="74"/>
      <c r="X814" s="74"/>
      <c r="Y814" s="74"/>
      <c r="Z814" s="74"/>
    </row>
    <row r="815" spans="1:26" x14ac:dyDescent="0.3">
      <c r="A815" s="66">
        <f t="shared" si="80"/>
        <v>2070.7999999999265</v>
      </c>
      <c r="B815" s="67">
        <f>LOOKUP(A815+0.01,Amounts!$A$4:$A$103,Amounts!$B$4:$B$103)*0.1*$A$2</f>
        <v>0</v>
      </c>
      <c r="C815" s="68">
        <f t="shared" si="79"/>
        <v>120665.52921499971</v>
      </c>
      <c r="D815" s="67">
        <f t="array" ref="D815">SUM($B$7:$B810*$F$1009*EXP(-$F$1009*($A815-$A$7:$A810)))*$F$1010</f>
        <v>4317421.808379259</v>
      </c>
      <c r="E815" s="67">
        <f t="shared" si="77"/>
        <v>8.2307835354149574</v>
      </c>
      <c r="F815" s="70">
        <f t="shared" si="81"/>
        <v>0.49977317627039619</v>
      </c>
      <c r="G815" s="67">
        <f>E815/'Lookup Tables'!$C$48</f>
        <v>16.461567070829915</v>
      </c>
      <c r="H815" s="70">
        <f t="shared" si="78"/>
        <v>3.5851993973406715E-2</v>
      </c>
      <c r="I815" s="71">
        <f t="shared" si="82"/>
        <v>2.3704656581995078E-2</v>
      </c>
      <c r="L815" s="74"/>
      <c r="M815" s="74"/>
      <c r="N815" s="74"/>
      <c r="O815" s="74"/>
      <c r="P815" s="74"/>
      <c r="Q815" s="74"/>
      <c r="R815" s="74"/>
      <c r="S815" s="74"/>
      <c r="T815" s="74"/>
      <c r="U815" s="74"/>
      <c r="V815" s="74"/>
      <c r="W815" s="74"/>
      <c r="X815" s="74"/>
      <c r="Y815" s="74"/>
      <c r="Z815" s="74"/>
    </row>
    <row r="816" spans="1:26" x14ac:dyDescent="0.3">
      <c r="A816" s="66">
        <f t="shared" si="80"/>
        <v>2070.8999999999264</v>
      </c>
      <c r="B816" s="67">
        <f>LOOKUP(A816+0.01,Amounts!$A$4:$A$103,Amounts!$B$4:$B$103)*0.1*$A$2</f>
        <v>0</v>
      </c>
      <c r="C816" s="68">
        <f t="shared" si="79"/>
        <v>120665.52921499971</v>
      </c>
      <c r="D816" s="67">
        <f t="array" ref="D816">SUM($B$7:$B811*$F$1009*EXP(-$F$1009*($A816-$A$7:$A811)))*$F$1010</f>
        <v>4311381.6469470961</v>
      </c>
      <c r="E816" s="67">
        <f t="shared" si="77"/>
        <v>8.2192685008703581</v>
      </c>
      <c r="F816" s="70">
        <f t="shared" si="81"/>
        <v>0.49907398337284814</v>
      </c>
      <c r="G816" s="67">
        <f>E816/'Lookup Tables'!$C$48</f>
        <v>16.438537001740716</v>
      </c>
      <c r="H816" s="70">
        <f t="shared" si="78"/>
        <v>3.5801836300407515E-2</v>
      </c>
      <c r="I816" s="71">
        <f t="shared" si="82"/>
        <v>2.3671493282506631E-2</v>
      </c>
      <c r="L816" s="74"/>
      <c r="M816" s="74"/>
      <c r="N816" s="74"/>
      <c r="O816" s="74"/>
      <c r="P816" s="74"/>
      <c r="Q816" s="74"/>
      <c r="R816" s="74"/>
      <c r="S816" s="74"/>
      <c r="T816" s="74"/>
      <c r="U816" s="74"/>
      <c r="V816" s="74"/>
      <c r="W816" s="74"/>
      <c r="X816" s="74"/>
      <c r="Y816" s="74"/>
      <c r="Z816" s="74"/>
    </row>
    <row r="817" spans="1:26" x14ac:dyDescent="0.3">
      <c r="A817" s="66">
        <f t="shared" si="80"/>
        <v>2070.9999999999263</v>
      </c>
      <c r="B817" s="67">
        <f>LOOKUP(A817+0.01,Amounts!$A$4:$A$103,Amounts!$B$4:$B$103)*0.1*$A$2</f>
        <v>0</v>
      </c>
      <c r="C817" s="68">
        <f t="shared" si="79"/>
        <v>120665.52921499971</v>
      </c>
      <c r="D817" s="67">
        <f t="array" ref="D817">SUM($B$7:$B812*$F$1009*EXP(-$F$1009*($A817-$A$7:$A812)))*$F$1010</f>
        <v>4305349.9358243402</v>
      </c>
      <c r="E817" s="67">
        <f t="shared" si="77"/>
        <v>8.2077695760946483</v>
      </c>
      <c r="F817" s="70">
        <f t="shared" si="81"/>
        <v>0.49837576866046707</v>
      </c>
      <c r="G817" s="67">
        <f>E817/'Lookup Tables'!$C$48</f>
        <v>16.415539152189297</v>
      </c>
      <c r="H817" s="70">
        <f t="shared" si="78"/>
        <v>3.5751748799018913E-2</v>
      </c>
      <c r="I817" s="71">
        <f t="shared" si="82"/>
        <v>2.3638376379152587E-2</v>
      </c>
      <c r="L817" s="74"/>
      <c r="M817" s="74"/>
      <c r="N817" s="74"/>
      <c r="O817" s="74"/>
      <c r="P817" s="74"/>
      <c r="Q817" s="74"/>
      <c r="R817" s="74"/>
      <c r="S817" s="74"/>
      <c r="T817" s="74"/>
      <c r="U817" s="74"/>
      <c r="V817" s="74"/>
      <c r="W817" s="74"/>
      <c r="X817" s="74"/>
      <c r="Y817" s="74"/>
      <c r="Z817" s="74"/>
    </row>
    <row r="818" spans="1:26" x14ac:dyDescent="0.3">
      <c r="A818" s="66">
        <f t="shared" si="80"/>
        <v>2071.0999999999262</v>
      </c>
      <c r="B818" s="67">
        <f>LOOKUP(A818+0.01,Amounts!$A$4:$A$103,Amounts!$B$4:$B$103)*0.1*$A$2</f>
        <v>0</v>
      </c>
      <c r="C818" s="68">
        <f t="shared" si="79"/>
        <v>120665.52921499971</v>
      </c>
      <c r="D818" s="67">
        <f t="array" ref="D818">SUM($B$7:$B813*$F$1009*EXP(-$F$1009*($A818-$A$7:$A813)))*$F$1010</f>
        <v>4299326.6631888365</v>
      </c>
      <c r="E818" s="67">
        <f t="shared" si="77"/>
        <v>8.1962867385499365</v>
      </c>
      <c r="F818" s="70">
        <f t="shared" si="81"/>
        <v>0.49767853076475216</v>
      </c>
      <c r="G818" s="67">
        <f>E818/'Lookup Tables'!$C$48</f>
        <v>16.392573477099873</v>
      </c>
      <c r="H818" s="70">
        <f t="shared" si="78"/>
        <v>3.5701731371069405E-2</v>
      </c>
      <c r="I818" s="71">
        <f t="shared" si="82"/>
        <v>2.3605305807023819E-2</v>
      </c>
      <c r="L818" s="74"/>
      <c r="M818" s="74"/>
      <c r="N818" s="74"/>
      <c r="O818" s="74"/>
      <c r="P818" s="74"/>
      <c r="Q818" s="74"/>
      <c r="R818" s="74"/>
      <c r="S818" s="74"/>
      <c r="T818" s="74"/>
      <c r="U818" s="74"/>
      <c r="V818" s="74"/>
      <c r="W818" s="74"/>
      <c r="X818" s="74"/>
      <c r="Y818" s="74"/>
      <c r="Z818" s="74"/>
    </row>
    <row r="819" spans="1:26" x14ac:dyDescent="0.3">
      <c r="A819" s="66">
        <f t="shared" si="80"/>
        <v>2071.1999999999261</v>
      </c>
      <c r="B819" s="67">
        <f>LOOKUP(A819+0.01,Amounts!$A$4:$A$103,Amounts!$B$4:$B$103)*0.1*$A$2</f>
        <v>0</v>
      </c>
      <c r="C819" s="68">
        <f t="shared" si="79"/>
        <v>120665.52921499971</v>
      </c>
      <c r="D819" s="67">
        <f t="array" ref="D819">SUM($B$7:$B814*$F$1009*EXP(-$F$1009*($A819-$A$7:$A814)))*$F$1010</f>
        <v>4293311.8172349697</v>
      </c>
      <c r="E819" s="67">
        <f t="shared" si="77"/>
        <v>8.1848199657298562</v>
      </c>
      <c r="F819" s="70">
        <f t="shared" si="81"/>
        <v>0.49698226831911685</v>
      </c>
      <c r="G819" s="67">
        <f>E819/'Lookup Tables'!$C$48</f>
        <v>16.369639931459712</v>
      </c>
      <c r="H819" s="70">
        <f t="shared" si="78"/>
        <v>3.5651783918524811E-2</v>
      </c>
      <c r="I819" s="71">
        <f t="shared" si="82"/>
        <v>2.3572281501301987E-2</v>
      </c>
      <c r="L819" s="74"/>
      <c r="M819" s="74"/>
      <c r="N819" s="74"/>
      <c r="O819" s="74"/>
      <c r="P819" s="74"/>
      <c r="Q819" s="74"/>
      <c r="R819" s="74"/>
      <c r="S819" s="74"/>
      <c r="T819" s="74"/>
      <c r="U819" s="74"/>
      <c r="V819" s="74"/>
      <c r="W819" s="74"/>
      <c r="X819" s="74"/>
      <c r="Y819" s="74"/>
      <c r="Z819" s="74"/>
    </row>
    <row r="820" spans="1:26" x14ac:dyDescent="0.3">
      <c r="A820" s="66">
        <f t="shared" si="80"/>
        <v>2071.2999999999261</v>
      </c>
      <c r="B820" s="67">
        <f>LOOKUP(A820+0.01,Amounts!$A$4:$A$103,Amounts!$B$4:$B$103)*0.1*$A$2</f>
        <v>0</v>
      </c>
      <c r="C820" s="68">
        <f t="shared" si="79"/>
        <v>120665.52921499971</v>
      </c>
      <c r="D820" s="67">
        <f t="array" ref="D820">SUM($B$7:$B815*$F$1009*EXP(-$F$1009*($A820-$A$7:$A815)))*$F$1010</f>
        <v>4287305.3861736413</v>
      </c>
      <c r="E820" s="67">
        <f t="shared" si="77"/>
        <v>8.1733692351595337</v>
      </c>
      <c r="F820" s="70">
        <f t="shared" si="81"/>
        <v>0.49628697995888693</v>
      </c>
      <c r="G820" s="67">
        <f>E820/'Lookup Tables'!$C$48</f>
        <v>16.346738470319067</v>
      </c>
      <c r="H820" s="70">
        <f t="shared" si="78"/>
        <v>3.5601906343488136E-2</v>
      </c>
      <c r="I820" s="71">
        <f t="shared" si="82"/>
        <v>2.3539303397259456E-2</v>
      </c>
      <c r="L820" s="74"/>
      <c r="M820" s="74"/>
      <c r="N820" s="74"/>
      <c r="O820" s="74"/>
      <c r="P820" s="74"/>
      <c r="Q820" s="74"/>
      <c r="R820" s="74"/>
      <c r="S820" s="74"/>
      <c r="T820" s="74"/>
      <c r="U820" s="74"/>
      <c r="V820" s="74"/>
      <c r="W820" s="74"/>
      <c r="X820" s="74"/>
      <c r="Y820" s="74"/>
      <c r="Z820" s="74"/>
    </row>
    <row r="821" spans="1:26" x14ac:dyDescent="0.3">
      <c r="A821" s="66">
        <f t="shared" si="80"/>
        <v>2071.399999999926</v>
      </c>
      <c r="B821" s="67">
        <f>LOOKUP(A821+0.01,Amounts!$A$4:$A$103,Amounts!$B$4:$B$103)*0.1*$A$2</f>
        <v>0</v>
      </c>
      <c r="C821" s="68">
        <f t="shared" si="79"/>
        <v>120665.52921499971</v>
      </c>
      <c r="D821" s="67">
        <f t="array" ref="D821">SUM($B$7:$B816*$F$1009*EXP(-$F$1009*($A821-$A$7:$A816)))*$F$1010</f>
        <v>4281307.3582322402</v>
      </c>
      <c r="E821" s="67">
        <f t="shared" si="77"/>
        <v>8.161934524395523</v>
      </c>
      <c r="F821" s="70">
        <f t="shared" si="81"/>
        <v>0.49559266432129617</v>
      </c>
      <c r="G821" s="67">
        <f>E821/'Lookup Tables'!$C$48</f>
        <v>16.323869048791046</v>
      </c>
      <c r="H821" s="70">
        <f t="shared" si="78"/>
        <v>3.5552098548199261E-2</v>
      </c>
      <c r="I821" s="71">
        <f t="shared" si="82"/>
        <v>2.3506371430259108E-2</v>
      </c>
      <c r="L821" s="74"/>
      <c r="M821" s="74"/>
      <c r="N821" s="74"/>
      <c r="O821" s="74"/>
      <c r="P821" s="74"/>
      <c r="Q821" s="74"/>
      <c r="R821" s="74"/>
      <c r="S821" s="74"/>
      <c r="T821" s="74"/>
      <c r="U821" s="74"/>
      <c r="V821" s="74"/>
      <c r="W821" s="74"/>
      <c r="X821" s="74"/>
      <c r="Y821" s="74"/>
      <c r="Z821" s="74"/>
    </row>
    <row r="822" spans="1:26" x14ac:dyDescent="0.3">
      <c r="A822" s="66">
        <f t="shared" si="80"/>
        <v>2071.4999999999259</v>
      </c>
      <c r="B822" s="67">
        <f>LOOKUP(A822+0.01,Amounts!$A$4:$A$103,Amounts!$B$4:$B$103)*0.1*$A$2</f>
        <v>0</v>
      </c>
      <c r="C822" s="68">
        <f t="shared" si="79"/>
        <v>120665.52921499971</v>
      </c>
      <c r="D822" s="67">
        <f t="array" ref="D822">SUM($B$7:$B817*$F$1009*EXP(-$F$1009*($A822-$A$7:$A817)))*$F$1010</f>
        <v>4275317.7216546312</v>
      </c>
      <c r="E822" s="67">
        <f t="shared" si="77"/>
        <v>8.1505158110257945</v>
      </c>
      <c r="F822" s="70">
        <f t="shared" si="81"/>
        <v>0.4948993200454862</v>
      </c>
      <c r="G822" s="67">
        <f>E822/'Lookup Tables'!$C$48</f>
        <v>16.301031622051589</v>
      </c>
      <c r="H822" s="70">
        <f t="shared" si="78"/>
        <v>3.5502360435034935E-2</v>
      </c>
      <c r="I822" s="71">
        <f t="shared" si="82"/>
        <v>2.3473485535754287E-2</v>
      </c>
      <c r="L822" s="74"/>
      <c r="M822" s="74"/>
      <c r="N822" s="74"/>
      <c r="O822" s="74"/>
      <c r="P822" s="74"/>
      <c r="Q822" s="74"/>
      <c r="R822" s="74"/>
      <c r="S822" s="74"/>
      <c r="T822" s="74"/>
      <c r="U822" s="74"/>
      <c r="V822" s="74"/>
      <c r="W822" s="74"/>
      <c r="X822" s="74"/>
      <c r="Y822" s="74"/>
      <c r="Z822" s="74"/>
    </row>
    <row r="823" spans="1:26" x14ac:dyDescent="0.3">
      <c r="A823" s="66">
        <f t="shared" si="80"/>
        <v>2071.5999999999258</v>
      </c>
      <c r="B823" s="67">
        <f>LOOKUP(A823+0.01,Amounts!$A$4:$A$103,Amounts!$B$4:$B$103)*0.1*$A$2</f>
        <v>0</v>
      </c>
      <c r="C823" s="68">
        <f t="shared" si="79"/>
        <v>120665.52921499971</v>
      </c>
      <c r="D823" s="67">
        <f t="array" ref="D823">SUM($B$7:$B818*$F$1009*EXP(-$F$1009*($A823-$A$7:$A818)))*$F$1010</f>
        <v>4269336.4647011291</v>
      </c>
      <c r="E823" s="67">
        <f t="shared" si="77"/>
        <v>8.1391130726696694</v>
      </c>
      <c r="F823" s="70">
        <f t="shared" si="81"/>
        <v>0.49420694577250235</v>
      </c>
      <c r="G823" s="67">
        <f>E823/'Lookup Tables'!$C$48</f>
        <v>16.278226145339339</v>
      </c>
      <c r="H823" s="70">
        <f t="shared" si="78"/>
        <v>3.5452691906508439E-2</v>
      </c>
      <c r="I823" s="71">
        <f t="shared" si="82"/>
        <v>2.3440645649288647E-2</v>
      </c>
      <c r="L823" s="74"/>
      <c r="M823" s="74"/>
      <c r="N823" s="74"/>
      <c r="O823" s="74"/>
      <c r="P823" s="74"/>
      <c r="Q823" s="74"/>
      <c r="R823" s="74"/>
      <c r="S823" s="74"/>
      <c r="T823" s="74"/>
      <c r="U823" s="74"/>
      <c r="V823" s="74"/>
      <c r="W823" s="74"/>
      <c r="X823" s="74"/>
      <c r="Y823" s="74"/>
      <c r="Z823" s="74"/>
    </row>
    <row r="824" spans="1:26" x14ac:dyDescent="0.3">
      <c r="A824" s="66">
        <f t="shared" si="80"/>
        <v>2071.6999999999257</v>
      </c>
      <c r="B824" s="67">
        <f>LOOKUP(A824+0.01,Amounts!$A$4:$A$103,Amounts!$B$4:$B$103)*0.1*$A$2</f>
        <v>0</v>
      </c>
      <c r="C824" s="68">
        <f t="shared" si="79"/>
        <v>120665.52921499971</v>
      </c>
      <c r="D824" s="67">
        <f t="array" ref="D824">SUM($B$7:$B819*$F$1009*EXP(-$F$1009*($A824-$A$7:$A819)))*$F$1010</f>
        <v>4263363.5756484605</v>
      </c>
      <c r="E824" s="67">
        <f t="shared" si="77"/>
        <v>8.1277262869777669</v>
      </c>
      <c r="F824" s="70">
        <f t="shared" si="81"/>
        <v>0.49351554014529003</v>
      </c>
      <c r="G824" s="67">
        <f>E824/'Lookup Tables'!$C$48</f>
        <v>16.255452573955534</v>
      </c>
      <c r="H824" s="70">
        <f t="shared" si="78"/>
        <v>3.5403092865269423E-2</v>
      </c>
      <c r="I824" s="71">
        <f t="shared" si="82"/>
        <v>2.340785170649597E-2</v>
      </c>
      <c r="L824" s="74"/>
      <c r="M824" s="74"/>
      <c r="N824" s="74"/>
      <c r="O824" s="74"/>
      <c r="P824" s="74"/>
      <c r="Q824" s="74"/>
      <c r="R824" s="74"/>
      <c r="S824" s="74"/>
      <c r="T824" s="74"/>
      <c r="U824" s="74"/>
      <c r="V824" s="74"/>
      <c r="W824" s="74"/>
      <c r="X824" s="74"/>
      <c r="Y824" s="74"/>
      <c r="Z824" s="74"/>
    </row>
    <row r="825" spans="1:26" x14ac:dyDescent="0.3">
      <c r="A825" s="66">
        <f t="shared" si="80"/>
        <v>2071.7999999999256</v>
      </c>
      <c r="B825" s="67">
        <f>LOOKUP(A825+0.01,Amounts!$A$4:$A$103,Amounts!$B$4:$B$103)*0.1*$A$2</f>
        <v>0</v>
      </c>
      <c r="C825" s="68">
        <f t="shared" si="79"/>
        <v>120665.52921499971</v>
      </c>
      <c r="D825" s="67">
        <f t="array" ref="D825">SUM($B$7:$B820*$F$1009*EXP(-$F$1009*($A825-$A$7:$A820)))*$F$1010</f>
        <v>4257399.0427897656</v>
      </c>
      <c r="E825" s="67">
        <f t="shared" si="77"/>
        <v>8.1163554316319892</v>
      </c>
      <c r="F825" s="70">
        <f t="shared" si="81"/>
        <v>0.49282510180869438</v>
      </c>
      <c r="G825" s="67">
        <f>E825/'Lookup Tables'!$C$48</f>
        <v>16.232710863263978</v>
      </c>
      <c r="H825" s="70">
        <f t="shared" si="78"/>
        <v>3.5353563214103746E-2</v>
      </c>
      <c r="I825" s="71">
        <f t="shared" si="82"/>
        <v>2.337510364310013E-2</v>
      </c>
      <c r="L825" s="74"/>
      <c r="M825" s="74"/>
      <c r="N825" s="74"/>
      <c r="O825" s="74"/>
      <c r="P825" s="74"/>
      <c r="Q825" s="74"/>
      <c r="R825" s="74"/>
      <c r="S825" s="74"/>
      <c r="T825" s="74"/>
      <c r="U825" s="74"/>
      <c r="V825" s="74"/>
      <c r="W825" s="74"/>
      <c r="X825" s="74"/>
      <c r="Y825" s="74"/>
      <c r="Z825" s="74"/>
    </row>
    <row r="826" spans="1:26" x14ac:dyDescent="0.3">
      <c r="A826" s="66">
        <f t="shared" si="80"/>
        <v>2071.8999999999255</v>
      </c>
      <c r="B826" s="67">
        <f>LOOKUP(A826+0.01,Amounts!$A$4:$A$103,Amounts!$B$4:$B$103)*0.1*$A$2</f>
        <v>0</v>
      </c>
      <c r="C826" s="68">
        <f t="shared" si="79"/>
        <v>120665.52921499971</v>
      </c>
      <c r="D826" s="67">
        <f t="array" ref="D826">SUM($B$7:$B821*$F$1009*EXP(-$F$1009*($A826-$A$7:$A821)))*$F$1010</f>
        <v>4251442.8544345573</v>
      </c>
      <c r="E826" s="67">
        <f t="shared" si="77"/>
        <v>8.1050004843454548</v>
      </c>
      <c r="F826" s="70">
        <f t="shared" si="81"/>
        <v>0.49213562940945604</v>
      </c>
      <c r="G826" s="67">
        <f>E826/'Lookup Tables'!$C$48</f>
        <v>16.21000096869091</v>
      </c>
      <c r="H826" s="70">
        <f t="shared" si="78"/>
        <v>3.5304102855933273E-2</v>
      </c>
      <c r="I826" s="71">
        <f t="shared" si="82"/>
        <v>2.3342401394914909E-2</v>
      </c>
      <c r="L826" s="74"/>
      <c r="M826" s="74"/>
      <c r="N826" s="74"/>
      <c r="O826" s="74"/>
      <c r="P826" s="74"/>
      <c r="Q826" s="74"/>
      <c r="R826" s="74"/>
      <c r="S826" s="74"/>
      <c r="T826" s="74"/>
      <c r="U826" s="74"/>
      <c r="V826" s="74"/>
      <c r="W826" s="74"/>
      <c r="X826" s="74"/>
      <c r="Y826" s="74"/>
      <c r="Z826" s="74"/>
    </row>
    <row r="827" spans="1:26" x14ac:dyDescent="0.3">
      <c r="A827" s="66">
        <f t="shared" si="80"/>
        <v>2071.9999999999254</v>
      </c>
      <c r="B827" s="67">
        <f>LOOKUP(A827+0.01,Amounts!$A$4:$A$103,Amounts!$B$4:$B$103)*0.1*$A$2</f>
        <v>0</v>
      </c>
      <c r="C827" s="68">
        <f t="shared" si="79"/>
        <v>120665.52921499971</v>
      </c>
      <c r="D827" s="67">
        <f t="array" ref="D827">SUM($B$7:$B822*$F$1009*EXP(-$F$1009*($A827-$A$7:$A822)))*$F$1010</f>
        <v>4245494.9989087051</v>
      </c>
      <c r="E827" s="67">
        <f t="shared" si="77"/>
        <v>8.0936614228624659</v>
      </c>
      <c r="F827" s="70">
        <f t="shared" si="81"/>
        <v>0.49144712159620896</v>
      </c>
      <c r="G827" s="67">
        <f>E827/'Lookup Tables'!$C$48</f>
        <v>16.187322845724932</v>
      </c>
      <c r="H827" s="70">
        <f t="shared" si="78"/>
        <v>3.5254711693815714E-2</v>
      </c>
      <c r="I827" s="71">
        <f t="shared" si="82"/>
        <v>2.3309744897843904E-2</v>
      </c>
      <c r="L827" s="74"/>
      <c r="M827" s="74"/>
      <c r="N827" s="74"/>
      <c r="O827" s="74"/>
      <c r="P827" s="74"/>
      <c r="Q827" s="74"/>
      <c r="R827" s="74"/>
      <c r="S827" s="74"/>
      <c r="T827" s="74"/>
      <c r="U827" s="74"/>
      <c r="V827" s="74"/>
      <c r="W827" s="74"/>
      <c r="X827" s="74"/>
      <c r="Y827" s="74"/>
      <c r="Z827" s="74"/>
    </row>
    <row r="828" spans="1:26" x14ac:dyDescent="0.3">
      <c r="A828" s="66">
        <f t="shared" si="80"/>
        <v>2072.0999999999253</v>
      </c>
      <c r="B828" s="67">
        <f>LOOKUP(A828+0.01,Amounts!$A$4:$A$103,Amounts!$B$4:$B$103)*0.1*$A$2</f>
        <v>0</v>
      </c>
      <c r="C828" s="68">
        <f t="shared" si="79"/>
        <v>120665.52921499971</v>
      </c>
      <c r="D828" s="67">
        <f t="array" ref="D828">SUM($B$7:$B823*$F$1009*EXP(-$F$1009*($A828-$A$7:$A823)))*$F$1010</f>
        <v>4239555.4645544114</v>
      </c>
      <c r="E828" s="67">
        <f t="shared" si="77"/>
        <v>8.082338224958459</v>
      </c>
      <c r="F828" s="70">
        <f t="shared" si="81"/>
        <v>0.49075957701947759</v>
      </c>
      <c r="G828" s="67">
        <f>E828/'Lookup Tables'!$C$48</f>
        <v>16.164676449916918</v>
      </c>
      <c r="H828" s="70">
        <f t="shared" si="78"/>
        <v>3.520538963094437E-2</v>
      </c>
      <c r="I828" s="71">
        <f t="shared" si="82"/>
        <v>2.3277134087880361E-2</v>
      </c>
      <c r="L828" s="74"/>
      <c r="M828" s="74"/>
      <c r="N828" s="74"/>
      <c r="O828" s="74"/>
      <c r="P828" s="74"/>
      <c r="Q828" s="74"/>
      <c r="R828" s="74"/>
      <c r="S828" s="74"/>
      <c r="T828" s="74"/>
      <c r="U828" s="74"/>
      <c r="V828" s="74"/>
      <c r="W828" s="74"/>
      <c r="X828" s="74"/>
      <c r="Y828" s="74"/>
      <c r="Z828" s="74"/>
    </row>
    <row r="829" spans="1:26" x14ac:dyDescent="0.3">
      <c r="A829" s="66">
        <f t="shared" si="80"/>
        <v>2072.1999999999252</v>
      </c>
      <c r="B829" s="67">
        <f>LOOKUP(A829+0.01,Amounts!$A$4:$A$103,Amounts!$B$4:$B$103)*0.1*$A$2</f>
        <v>0</v>
      </c>
      <c r="C829" s="68">
        <f t="shared" si="79"/>
        <v>120665.52921499971</v>
      </c>
      <c r="D829" s="67">
        <f t="array" ref="D829">SUM($B$7:$B824*$F$1009*EXP(-$F$1009*($A829-$A$7:$A824)))*$F$1010</f>
        <v>4233624.2397301858</v>
      </c>
      <c r="E829" s="67">
        <f t="shared" si="77"/>
        <v>8.0710308684399621</v>
      </c>
      <c r="F829" s="70">
        <f t="shared" si="81"/>
        <v>0.49007299433167445</v>
      </c>
      <c r="G829" s="67">
        <f>E829/'Lookup Tables'!$C$48</f>
        <v>16.142061736879924</v>
      </c>
      <c r="H829" s="70">
        <f t="shared" si="78"/>
        <v>3.5156136570647978E-2</v>
      </c>
      <c r="I829" s="71">
        <f t="shared" si="82"/>
        <v>2.3244568901107088E-2</v>
      </c>
      <c r="L829" s="74"/>
      <c r="M829" s="74"/>
      <c r="N829" s="74"/>
      <c r="O829" s="74"/>
      <c r="P829" s="74"/>
      <c r="Q829" s="74"/>
      <c r="R829" s="74"/>
      <c r="S829" s="74"/>
      <c r="T829" s="74"/>
      <c r="U829" s="74"/>
      <c r="V829" s="74"/>
      <c r="W829" s="74"/>
      <c r="X829" s="74"/>
      <c r="Y829" s="74"/>
      <c r="Z829" s="74"/>
    </row>
    <row r="830" spans="1:26" x14ac:dyDescent="0.3">
      <c r="A830" s="66">
        <f t="shared" si="80"/>
        <v>2072.2999999999251</v>
      </c>
      <c r="B830" s="67">
        <f>LOOKUP(A830+0.01,Amounts!$A$4:$A$103,Amounts!$B$4:$B$103)*0.1*$A$2</f>
        <v>0</v>
      </c>
      <c r="C830" s="68">
        <f t="shared" si="79"/>
        <v>120665.52921499971</v>
      </c>
      <c r="D830" s="67">
        <f t="array" ref="D830">SUM($B$7:$B825*$F$1009*EXP(-$F$1009*($A830-$A$7:$A825)))*$F$1010</f>
        <v>4227701.3128108224</v>
      </c>
      <c r="E830" s="67">
        <f t="shared" si="77"/>
        <v>8.0597393311445433</v>
      </c>
      <c r="F830" s="70">
        <f t="shared" si="81"/>
        <v>0.48938737218709666</v>
      </c>
      <c r="G830" s="67">
        <f>E830/'Lookup Tables'!$C$48</f>
        <v>16.119478662289087</v>
      </c>
      <c r="H830" s="70">
        <f t="shared" si="78"/>
        <v>3.5106952416390502E-2</v>
      </c>
      <c r="I830" s="71">
        <f t="shared" si="82"/>
        <v>2.3212049273696283E-2</v>
      </c>
      <c r="L830" s="74"/>
      <c r="M830" s="74"/>
      <c r="N830" s="74"/>
      <c r="O830" s="74"/>
      <c r="P830" s="74"/>
      <c r="Q830" s="74"/>
      <c r="R830" s="74"/>
      <c r="S830" s="74"/>
      <c r="T830" s="74"/>
      <c r="U830" s="74"/>
      <c r="V830" s="74"/>
      <c r="W830" s="74"/>
      <c r="X830" s="74"/>
      <c r="Y830" s="74"/>
      <c r="Z830" s="74"/>
    </row>
    <row r="831" spans="1:26" x14ac:dyDescent="0.3">
      <c r="A831" s="66">
        <f t="shared" si="80"/>
        <v>2072.3999999999251</v>
      </c>
      <c r="B831" s="67">
        <f>LOOKUP(A831+0.01,Amounts!$A$4:$A$103,Amounts!$B$4:$B$103)*0.1*$A$2</f>
        <v>0</v>
      </c>
      <c r="C831" s="68">
        <f t="shared" si="79"/>
        <v>120665.52921499971</v>
      </c>
      <c r="D831" s="67">
        <f t="array" ref="D831">SUM($B$7:$B826*$F$1009*EXP(-$F$1009*($A831-$A$7:$A826)))*$F$1010</f>
        <v>4221786.6721873861</v>
      </c>
      <c r="E831" s="67">
        <f t="shared" si="77"/>
        <v>8.0484635909407967</v>
      </c>
      <c r="F831" s="70">
        <f t="shared" si="81"/>
        <v>0.48870270924192516</v>
      </c>
      <c r="G831" s="67">
        <f>E831/'Lookup Tables'!$C$48</f>
        <v>16.096927181881593</v>
      </c>
      <c r="H831" s="70">
        <f t="shared" si="78"/>
        <v>3.5057837071770993E-2</v>
      </c>
      <c r="I831" s="71">
        <f t="shared" si="82"/>
        <v>2.3179575141909495E-2</v>
      </c>
      <c r="L831" s="74"/>
      <c r="M831" s="74"/>
      <c r="N831" s="74"/>
      <c r="O831" s="74"/>
      <c r="P831" s="74"/>
      <c r="Q831" s="74"/>
      <c r="R831" s="74"/>
      <c r="S831" s="74"/>
      <c r="T831" s="74"/>
      <c r="U831" s="74"/>
      <c r="V831" s="74"/>
      <c r="W831" s="74"/>
      <c r="X831" s="74"/>
      <c r="Y831" s="74"/>
      <c r="Z831" s="74"/>
    </row>
    <row r="832" spans="1:26" x14ac:dyDescent="0.3">
      <c r="A832" s="66">
        <f t="shared" si="80"/>
        <v>2072.499999999925</v>
      </c>
      <c r="B832" s="67">
        <f>LOOKUP(A832+0.01,Amounts!$A$4:$A$103,Amounts!$B$4:$B$103)*0.1*$A$2</f>
        <v>0</v>
      </c>
      <c r="C832" s="68">
        <f t="shared" si="79"/>
        <v>120665.52921499971</v>
      </c>
      <c r="D832" s="67">
        <f t="array" ref="D832">SUM($B$7:$B827*$F$1009*EXP(-$F$1009*($A832-$A$7:$A827)))*$F$1010</f>
        <v>4215880.3062671805</v>
      </c>
      <c r="E832" s="67">
        <f t="shared" si="77"/>
        <v>8.0372036257282673</v>
      </c>
      <c r="F832" s="70">
        <f t="shared" si="81"/>
        <v>0.48801900415422039</v>
      </c>
      <c r="G832" s="67">
        <f>E832/'Lookup Tables'!$C$48</f>
        <v>16.074407251456535</v>
      </c>
      <c r="H832" s="70">
        <f t="shared" si="78"/>
        <v>3.5008790440523387E-2</v>
      </c>
      <c r="I832" s="71">
        <f t="shared" si="82"/>
        <v>2.3147146442097408E-2</v>
      </c>
      <c r="L832" s="74"/>
      <c r="M832" s="74"/>
      <c r="N832" s="74"/>
      <c r="O832" s="74"/>
      <c r="P832" s="74"/>
      <c r="Q832" s="74"/>
      <c r="R832" s="74"/>
      <c r="S832" s="74"/>
      <c r="T832" s="74"/>
      <c r="U832" s="74"/>
      <c r="V832" s="74"/>
      <c r="W832" s="74"/>
      <c r="X832" s="74"/>
      <c r="Y832" s="74"/>
      <c r="Z832" s="74"/>
    </row>
    <row r="833" spans="1:26" x14ac:dyDescent="0.3">
      <c r="A833" s="66">
        <f t="shared" si="80"/>
        <v>2072.5999999999249</v>
      </c>
      <c r="B833" s="67">
        <f>LOOKUP(A833+0.01,Amounts!$A$4:$A$103,Amounts!$B$4:$B$103)*0.1*$A$2</f>
        <v>0</v>
      </c>
      <c r="C833" s="68">
        <f t="shared" si="79"/>
        <v>120665.52921499971</v>
      </c>
      <c r="D833" s="67">
        <f t="array" ref="D833">SUM($B$7:$B828*$F$1009*EXP(-$F$1009*($A833-$A$7:$A828)))*$F$1010</f>
        <v>4209982.2034737235</v>
      </c>
      <c r="E833" s="67">
        <f t="shared" si="77"/>
        <v>8.0259594134374161</v>
      </c>
      <c r="F833" s="70">
        <f t="shared" si="81"/>
        <v>0.48733625558391985</v>
      </c>
      <c r="G833" s="67">
        <f>E833/'Lookup Tables'!$C$48</f>
        <v>16.051918826874832</v>
      </c>
      <c r="H833" s="70">
        <f t="shared" si="78"/>
        <v>3.4959812426516246E-2</v>
      </c>
      <c r="I833" s="71">
        <f t="shared" si="82"/>
        <v>2.3114763110699758E-2</v>
      </c>
      <c r="L833" s="74"/>
      <c r="M833" s="74"/>
      <c r="N833" s="74"/>
      <c r="O833" s="74"/>
      <c r="P833" s="74"/>
      <c r="Q833" s="74"/>
      <c r="R833" s="74"/>
      <c r="S833" s="74"/>
      <c r="T833" s="74"/>
      <c r="U833" s="74"/>
      <c r="V833" s="74"/>
      <c r="W833" s="74"/>
      <c r="X833" s="74"/>
      <c r="Y833" s="74"/>
      <c r="Z833" s="74"/>
    </row>
    <row r="834" spans="1:26" x14ac:dyDescent="0.3">
      <c r="A834" s="66">
        <f t="shared" si="80"/>
        <v>2072.6999999999248</v>
      </c>
      <c r="B834" s="67">
        <f>LOOKUP(A834+0.01,Amounts!$A$4:$A$103,Amounts!$B$4:$B$103)*0.1*$A$2</f>
        <v>0</v>
      </c>
      <c r="C834" s="68">
        <f t="shared" si="79"/>
        <v>120665.52921499971</v>
      </c>
      <c r="D834" s="67">
        <f t="array" ref="D834">SUM($B$7:$B829*$F$1009*EXP(-$F$1009*($A834-$A$7:$A829)))*$F$1010</f>
        <v>4204092.3522467352</v>
      </c>
      <c r="E834" s="67">
        <f t="shared" si="77"/>
        <v>8.0147309320295879</v>
      </c>
      <c r="F834" s="70">
        <f t="shared" si="81"/>
        <v>0.48665446219283659</v>
      </c>
      <c r="G834" s="67">
        <f>E834/'Lookup Tables'!$C$48</f>
        <v>16.029461864059176</v>
      </c>
      <c r="H834" s="70">
        <f t="shared" si="78"/>
        <v>3.4910902933752673E-2</v>
      </c>
      <c r="I834" s="71">
        <f t="shared" si="82"/>
        <v>2.3082425084245212E-2</v>
      </c>
      <c r="L834" s="74"/>
      <c r="M834" s="74"/>
      <c r="N834" s="74"/>
      <c r="O834" s="74"/>
      <c r="P834" s="74"/>
      <c r="Q834" s="74"/>
      <c r="R834" s="74"/>
      <c r="S834" s="74"/>
      <c r="T834" s="74"/>
      <c r="U834" s="74"/>
      <c r="V834" s="74"/>
      <c r="W834" s="74"/>
      <c r="X834" s="74"/>
      <c r="Y834" s="74"/>
      <c r="Z834" s="74"/>
    </row>
    <row r="835" spans="1:26" x14ac:dyDescent="0.3">
      <c r="A835" s="66">
        <f t="shared" si="80"/>
        <v>2072.7999999999247</v>
      </c>
      <c r="B835" s="67">
        <f>LOOKUP(A835+0.01,Amounts!$A$4:$A$103,Amounts!$B$4:$B$103)*0.1*$A$2</f>
        <v>0</v>
      </c>
      <c r="C835" s="68">
        <f t="shared" si="79"/>
        <v>120665.52921499971</v>
      </c>
      <c r="D835" s="67">
        <f t="array" ref="D835">SUM($B$7:$B830*$F$1009*EXP(-$F$1009*($A835-$A$7:$A830)))*$F$1010</f>
        <v>4198210.7410421018</v>
      </c>
      <c r="E835" s="67">
        <f t="shared" si="77"/>
        <v>8.0035181594969504</v>
      </c>
      <c r="F835" s="70">
        <f t="shared" si="81"/>
        <v>0.48597362264465482</v>
      </c>
      <c r="G835" s="67">
        <f>E835/'Lookup Tables'!$C$48</f>
        <v>16.007036318993901</v>
      </c>
      <c r="H835" s="70">
        <f t="shared" si="78"/>
        <v>3.486206186637001E-2</v>
      </c>
      <c r="I835" s="71">
        <f t="shared" si="82"/>
        <v>2.3050132299351218E-2</v>
      </c>
      <c r="L835" s="74"/>
      <c r="M835" s="74"/>
      <c r="N835" s="74"/>
      <c r="O835" s="74"/>
      <c r="P835" s="74"/>
      <c r="Q835" s="74"/>
      <c r="R835" s="74"/>
      <c r="S835" s="74"/>
      <c r="T835" s="74"/>
      <c r="U835" s="74"/>
      <c r="V835" s="74"/>
      <c r="W835" s="74"/>
      <c r="X835" s="74"/>
      <c r="Y835" s="74"/>
      <c r="Z835" s="74"/>
    </row>
    <row r="836" spans="1:26" x14ac:dyDescent="0.3">
      <c r="A836" s="66">
        <f t="shared" si="80"/>
        <v>2072.8999999999246</v>
      </c>
      <c r="B836" s="67">
        <f>LOOKUP(A836+0.01,Amounts!$A$4:$A$103,Amounts!$B$4:$B$103)*0.1*$A$2</f>
        <v>0</v>
      </c>
      <c r="C836" s="68">
        <f t="shared" si="79"/>
        <v>120665.52921499971</v>
      </c>
      <c r="D836" s="67">
        <f t="array" ref="D836">SUM($B$7:$B831*$F$1009*EXP(-$F$1009*($A836-$A$7:$A831)))*$F$1010</f>
        <v>4192337.3583318647</v>
      </c>
      <c r="E836" s="67">
        <f t="shared" si="77"/>
        <v>7.9923210738624659</v>
      </c>
      <c r="F836" s="70">
        <f t="shared" si="81"/>
        <v>0.48529373560492894</v>
      </c>
      <c r="G836" s="67">
        <f>E836/'Lookup Tables'!$C$48</f>
        <v>15.984642147724932</v>
      </c>
      <c r="H836" s="70">
        <f t="shared" si="78"/>
        <v>3.4813289128639756E-2</v>
      </c>
      <c r="I836" s="71">
        <f t="shared" si="82"/>
        <v>2.3017884692723898E-2</v>
      </c>
      <c r="L836" s="74"/>
      <c r="M836" s="74"/>
      <c r="N836" s="74"/>
      <c r="O836" s="74"/>
      <c r="P836" s="74"/>
      <c r="Q836" s="74"/>
      <c r="R836" s="74"/>
      <c r="S836" s="74"/>
      <c r="T836" s="74"/>
      <c r="U836" s="74"/>
      <c r="V836" s="74"/>
      <c r="W836" s="74"/>
      <c r="X836" s="74"/>
      <c r="Y836" s="74"/>
      <c r="Z836" s="74"/>
    </row>
    <row r="837" spans="1:26" x14ac:dyDescent="0.3">
      <c r="A837" s="66">
        <f t="shared" si="80"/>
        <v>2072.9999999999245</v>
      </c>
      <c r="B837" s="67">
        <f>LOOKUP(A837+0.01,Amounts!$A$4:$A$103,Amounts!$B$4:$B$103)*0.1*$A$2</f>
        <v>0</v>
      </c>
      <c r="C837" s="68">
        <f t="shared" si="79"/>
        <v>120665.52921499971</v>
      </c>
      <c r="D837" s="67">
        <f t="array" ref="D837">SUM($B$7:$B832*$F$1009*EXP(-$F$1009*($A837-$A$7:$A832)))*$F$1010</f>
        <v>4186472.1926041925</v>
      </c>
      <c r="E837" s="67">
        <f t="shared" si="77"/>
        <v>7.981139653179846</v>
      </c>
      <c r="F837" s="70">
        <f t="shared" si="81"/>
        <v>0.48461479974108018</v>
      </c>
      <c r="G837" s="67">
        <f>E837/'Lookup Tables'!$C$48</f>
        <v>15.962279306359692</v>
      </c>
      <c r="H837" s="70">
        <f t="shared" si="78"/>
        <v>3.476458462496735E-2</v>
      </c>
      <c r="I837" s="71">
        <f t="shared" si="82"/>
        <v>2.2985682201157959E-2</v>
      </c>
      <c r="L837" s="74"/>
      <c r="M837" s="74"/>
      <c r="N837" s="74"/>
      <c r="O837" s="74"/>
      <c r="P837" s="74"/>
      <c r="Q837" s="74"/>
      <c r="R837" s="74"/>
      <c r="S837" s="74"/>
      <c r="T837" s="74"/>
      <c r="U837" s="74"/>
      <c r="V837" s="74"/>
      <c r="W837" s="74"/>
      <c r="X837" s="74"/>
      <c r="Y837" s="74"/>
      <c r="Z837" s="74"/>
    </row>
    <row r="838" spans="1:26" x14ac:dyDescent="0.3">
      <c r="A838" s="66">
        <f t="shared" si="80"/>
        <v>2073.0999999999244</v>
      </c>
      <c r="B838" s="67">
        <f>LOOKUP(A838+0.01,Amounts!$A$4:$A$103,Amounts!$B$4:$B$103)*0.1*$A$2</f>
        <v>0</v>
      </c>
      <c r="C838" s="68">
        <f t="shared" si="79"/>
        <v>120665.52921499971</v>
      </c>
      <c r="D838" s="67">
        <f t="array" ref="D838">SUM($B$7:$B833*$F$1009*EXP(-$F$1009*($A838-$A$7:$A833)))*$F$1010</f>
        <v>4180615.2323633572</v>
      </c>
      <c r="E838" s="67">
        <f t="shared" si="77"/>
        <v>7.9699738755335012</v>
      </c>
      <c r="F838" s="70">
        <f t="shared" si="81"/>
        <v>0.48393681372239422</v>
      </c>
      <c r="G838" s="67">
        <f>E838/'Lookup Tables'!$C$48</f>
        <v>15.939947751067002</v>
      </c>
      <c r="H838" s="70">
        <f t="shared" si="78"/>
        <v>3.4715948259891938E-2</v>
      </c>
      <c r="I838" s="71">
        <f t="shared" si="82"/>
        <v>2.2953524761536486E-2</v>
      </c>
      <c r="L838" s="74"/>
      <c r="M838" s="74"/>
      <c r="N838" s="74"/>
      <c r="O838" s="74"/>
      <c r="P838" s="74"/>
      <c r="Q838" s="74"/>
      <c r="R838" s="74"/>
      <c r="S838" s="74"/>
      <c r="T838" s="74"/>
      <c r="U838" s="74"/>
      <c r="V838" s="74"/>
      <c r="W838" s="74"/>
      <c r="X838" s="74"/>
      <c r="Y838" s="74"/>
      <c r="Z838" s="74"/>
    </row>
    <row r="839" spans="1:26" x14ac:dyDescent="0.3">
      <c r="A839" s="66">
        <f t="shared" si="80"/>
        <v>2073.1999999999243</v>
      </c>
      <c r="B839" s="67">
        <f>LOOKUP(A839+0.01,Amounts!$A$4:$A$103,Amounts!$B$4:$B$103)*0.1*$A$2</f>
        <v>0</v>
      </c>
      <c r="C839" s="68">
        <f t="shared" si="79"/>
        <v>120665.52921499971</v>
      </c>
      <c r="D839" s="67">
        <f t="array" ref="D839">SUM($B$7:$B834*$F$1009*EXP(-$F$1009*($A839-$A$7:$A834)))*$F$1010</f>
        <v>4174766.4661297146</v>
      </c>
      <c r="E839" s="67">
        <f t="shared" ref="E839:E902" si="83">D839/(365*24*60)*1.00201</f>
        <v>7.9588237190384996</v>
      </c>
      <c r="F839" s="70">
        <f t="shared" si="81"/>
        <v>0.4832597762200177</v>
      </c>
      <c r="G839" s="67">
        <f>E839/'Lookup Tables'!$C$48</f>
        <v>15.917647438076999</v>
      </c>
      <c r="H839" s="70">
        <f t="shared" ref="H839:H902" si="84">G839*60*24*365/(C839*2000)</f>
        <v>3.4667379938086204E-2</v>
      </c>
      <c r="I839" s="71">
        <f t="shared" si="82"/>
        <v>2.2921412310830877E-2</v>
      </c>
      <c r="L839" s="74"/>
      <c r="M839" s="74"/>
      <c r="N839" s="74"/>
      <c r="O839" s="74"/>
      <c r="P839" s="74"/>
      <c r="Q839" s="74"/>
      <c r="R839" s="74"/>
      <c r="S839" s="74"/>
      <c r="T839" s="74"/>
      <c r="U839" s="74"/>
      <c r="V839" s="74"/>
      <c r="W839" s="74"/>
      <c r="X839" s="74"/>
      <c r="Y839" s="74"/>
      <c r="Z839" s="74"/>
    </row>
    <row r="840" spans="1:26" x14ac:dyDescent="0.3">
      <c r="A840" s="66">
        <f t="shared" si="80"/>
        <v>2073.2999999999242</v>
      </c>
      <c r="B840" s="67">
        <f>LOOKUP(A840+0.01,Amounts!$A$4:$A$103,Amounts!$B$4:$B$103)*0.1*$A$2</f>
        <v>0</v>
      </c>
      <c r="C840" s="68">
        <f t="shared" si="79"/>
        <v>120665.52921499971</v>
      </c>
      <c r="D840" s="67">
        <f t="array" ref="D840">SUM($B$7:$B835*$F$1009*EXP(-$F$1009*($A840-$A$7:$A835)))*$F$1010</f>
        <v>4168925.8824396855</v>
      </c>
      <c r="E840" s="67">
        <f t="shared" si="83"/>
        <v>7.9476891618405441</v>
      </c>
      <c r="F840" s="70">
        <f t="shared" si="81"/>
        <v>0.48258368590695783</v>
      </c>
      <c r="G840" s="67">
        <f>E840/'Lookup Tables'!$C$48</f>
        <v>15.895378323681088</v>
      </c>
      <c r="H840" s="70">
        <f t="shared" si="84"/>
        <v>3.4618879564356289E-2</v>
      </c>
      <c r="I840" s="71">
        <f t="shared" si="82"/>
        <v>2.2889344786100767E-2</v>
      </c>
      <c r="L840" s="74"/>
      <c r="M840" s="74"/>
      <c r="N840" s="74"/>
      <c r="O840" s="74"/>
      <c r="P840" s="74"/>
      <c r="Q840" s="74"/>
      <c r="R840" s="74"/>
      <c r="S840" s="74"/>
      <c r="T840" s="74"/>
      <c r="U840" s="74"/>
      <c r="V840" s="74"/>
      <c r="W840" s="74"/>
      <c r="X840" s="74"/>
      <c r="Y840" s="74"/>
      <c r="Z840" s="74"/>
    </row>
    <row r="841" spans="1:26" x14ac:dyDescent="0.3">
      <c r="A841" s="66">
        <f t="shared" si="80"/>
        <v>2073.3999999999241</v>
      </c>
      <c r="B841" s="67">
        <f>LOOKUP(A841+0.01,Amounts!$A$4:$A$103,Amounts!$B$4:$B$103)*0.1*$A$2</f>
        <v>0</v>
      </c>
      <c r="C841" s="68">
        <f t="shared" ref="C841:C904" si="85">C840+B841</f>
        <v>120665.52921499971</v>
      </c>
      <c r="D841" s="67">
        <f t="array" ref="D841">SUM($B$7:$B836*$F$1009*EXP(-$F$1009*($A841-$A$7:$A836)))*$F$1010</f>
        <v>4163093.4698457182</v>
      </c>
      <c r="E841" s="67">
        <f t="shared" si="83"/>
        <v>7.9365701821158829</v>
      </c>
      <c r="F841" s="70">
        <f t="shared" si="81"/>
        <v>0.48190854145807638</v>
      </c>
      <c r="G841" s="67">
        <f>E841/'Lookup Tables'!$C$48</f>
        <v>15.873140364231766</v>
      </c>
      <c r="H841" s="70">
        <f t="shared" si="84"/>
        <v>3.4570447043641372E-2</v>
      </c>
      <c r="I841" s="71">
        <f t="shared" si="82"/>
        <v>2.2857322124493741E-2</v>
      </c>
      <c r="L841" s="74"/>
      <c r="M841" s="74"/>
      <c r="N841" s="74"/>
      <c r="O841" s="74"/>
      <c r="P841" s="74"/>
      <c r="Q841" s="74"/>
      <c r="R841" s="74"/>
      <c r="S841" s="74"/>
      <c r="T841" s="74"/>
      <c r="U841" s="74"/>
      <c r="V841" s="74"/>
      <c r="W841" s="74"/>
      <c r="X841" s="74"/>
      <c r="Y841" s="74"/>
      <c r="Z841" s="74"/>
    </row>
    <row r="842" spans="1:26" x14ac:dyDescent="0.3">
      <c r="A842" s="66">
        <f t="shared" si="80"/>
        <v>2073.4999999999241</v>
      </c>
      <c r="B842" s="67">
        <f>LOOKUP(A842+0.01,Amounts!$A$4:$A$103,Amounts!$B$4:$B$103)*0.1*$A$2</f>
        <v>0</v>
      </c>
      <c r="C842" s="68">
        <f t="shared" si="85"/>
        <v>120665.52921499971</v>
      </c>
      <c r="D842" s="67">
        <f t="array" ref="D842">SUM($B$7:$B837*$F$1009*EXP(-$F$1009*($A842-$A$7:$A837)))*$F$1010</f>
        <v>4157269.2169162845</v>
      </c>
      <c r="E842" s="67">
        <f t="shared" si="83"/>
        <v>7.9254667580713214</v>
      </c>
      <c r="F842" s="70">
        <f t="shared" si="81"/>
        <v>0.48123434155009065</v>
      </c>
      <c r="G842" s="67">
        <f>E842/'Lookup Tables'!$C$48</f>
        <v>15.850933516142643</v>
      </c>
      <c r="H842" s="70">
        <f t="shared" si="84"/>
        <v>3.4522082281013736E-2</v>
      </c>
      <c r="I842" s="71">
        <f t="shared" si="82"/>
        <v>2.2825344263245406E-2</v>
      </c>
      <c r="L842" s="74"/>
      <c r="M842" s="74"/>
      <c r="N842" s="74"/>
      <c r="O842" s="74"/>
      <c r="P842" s="74"/>
      <c r="Q842" s="74"/>
      <c r="R842" s="74"/>
      <c r="S842" s="74"/>
      <c r="T842" s="74"/>
      <c r="U842" s="74"/>
      <c r="V842" s="74"/>
      <c r="W842" s="74"/>
      <c r="X842" s="74"/>
      <c r="Y842" s="74"/>
      <c r="Z842" s="74"/>
    </row>
    <row r="843" spans="1:26" x14ac:dyDescent="0.3">
      <c r="A843" s="66">
        <f t="shared" si="80"/>
        <v>2073.599999999924</v>
      </c>
      <c r="B843" s="67">
        <f>LOOKUP(A843+0.01,Amounts!$A$4:$A$103,Amounts!$B$4:$B$103)*0.1*$A$2</f>
        <v>0</v>
      </c>
      <c r="C843" s="68">
        <f t="shared" si="85"/>
        <v>120665.52921499971</v>
      </c>
      <c r="D843" s="67">
        <f t="array" ref="D843">SUM($B$7:$B838*$F$1009*EXP(-$F$1009*($A843-$A$7:$A838)))*$F$1010</f>
        <v>4151453.1122358469</v>
      </c>
      <c r="E843" s="67">
        <f t="shared" si="83"/>
        <v>7.9143788679441425</v>
      </c>
      <c r="F843" s="70">
        <f t="shared" si="81"/>
        <v>0.48056108486156834</v>
      </c>
      <c r="G843" s="67">
        <f>E843/'Lookup Tables'!$C$48</f>
        <v>15.828757735888285</v>
      </c>
      <c r="H843" s="70">
        <f t="shared" si="84"/>
        <v>3.4473785181678422E-2</v>
      </c>
      <c r="I843" s="71">
        <f t="shared" si="82"/>
        <v>2.2793411139679129E-2</v>
      </c>
      <c r="L843" s="74"/>
      <c r="M843" s="74"/>
      <c r="N843" s="74"/>
      <c r="O843" s="74"/>
      <c r="P843" s="74"/>
      <c r="Q843" s="74"/>
      <c r="R843" s="74"/>
      <c r="S843" s="74"/>
      <c r="T843" s="74"/>
      <c r="U843" s="74"/>
      <c r="V843" s="74"/>
      <c r="W843" s="74"/>
      <c r="X843" s="74"/>
      <c r="Y843" s="74"/>
      <c r="Z843" s="74"/>
    </row>
    <row r="844" spans="1:26" x14ac:dyDescent="0.3">
      <c r="A844" s="66">
        <f t="shared" si="80"/>
        <v>2073.6999999999239</v>
      </c>
      <c r="B844" s="67">
        <f>LOOKUP(A844+0.01,Amounts!$A$4:$A$103,Amounts!$B$4:$B$103)*0.1*$A$2</f>
        <v>0</v>
      </c>
      <c r="C844" s="68">
        <f t="shared" si="85"/>
        <v>120665.52921499971</v>
      </c>
      <c r="D844" s="67">
        <f t="array" ref="D844">SUM($B$7:$B839*$F$1009*EXP(-$F$1009*($A844-$A$7:$A839)))*$F$1010</f>
        <v>4145645.1444048374</v>
      </c>
      <c r="E844" s="67">
        <f t="shared" si="83"/>
        <v>7.903306490002076</v>
      </c>
      <c r="F844" s="70">
        <f t="shared" si="81"/>
        <v>0.47988877007292602</v>
      </c>
      <c r="G844" s="67">
        <f>E844/'Lookup Tables'!$C$48</f>
        <v>15.806612980004152</v>
      </c>
      <c r="H844" s="70">
        <f t="shared" si="84"/>
        <v>3.4425555650973085E-2</v>
      </c>
      <c r="I844" s="71">
        <f t="shared" si="82"/>
        <v>2.2761522691205977E-2</v>
      </c>
      <c r="L844" s="74"/>
      <c r="M844" s="74"/>
      <c r="N844" s="74"/>
      <c r="O844" s="74"/>
      <c r="P844" s="74"/>
      <c r="Q844" s="74"/>
      <c r="R844" s="74"/>
      <c r="S844" s="74"/>
      <c r="T844" s="74"/>
      <c r="U844" s="74"/>
      <c r="V844" s="74"/>
      <c r="W844" s="74"/>
      <c r="X844" s="74"/>
      <c r="Y844" s="74"/>
      <c r="Z844" s="74"/>
    </row>
    <row r="845" spans="1:26" x14ac:dyDescent="0.3">
      <c r="A845" s="66">
        <f t="shared" si="80"/>
        <v>2073.7999999999238</v>
      </c>
      <c r="B845" s="67">
        <f>LOOKUP(A845+0.01,Amounts!$A$4:$A$103,Amounts!$B$4:$B$103)*0.1*$A$2</f>
        <v>0</v>
      </c>
      <c r="C845" s="68">
        <f t="shared" si="85"/>
        <v>120665.52921499971</v>
      </c>
      <c r="D845" s="67">
        <f t="array" ref="D845">SUM($B$7:$B840*$F$1009*EXP(-$F$1009*($A845-$A$7:$A840)))*$F$1010</f>
        <v>4139845.3020396391</v>
      </c>
      <c r="E845" s="67">
        <f t="shared" si="83"/>
        <v>7.8922496025432629</v>
      </c>
      <c r="F845" s="70">
        <f t="shared" si="81"/>
        <v>0.47921739586642692</v>
      </c>
      <c r="G845" s="67">
        <f>E845/'Lookup Tables'!$C$48</f>
        <v>15.784499205086526</v>
      </c>
      <c r="H845" s="70">
        <f t="shared" si="84"/>
        <v>3.437739359436786E-2</v>
      </c>
      <c r="I845" s="71">
        <f t="shared" si="82"/>
        <v>2.2729678855324596E-2</v>
      </c>
      <c r="L845" s="74"/>
      <c r="M845" s="74"/>
      <c r="N845" s="74"/>
      <c r="O845" s="74"/>
      <c r="P845" s="74"/>
      <c r="Q845" s="74"/>
      <c r="R845" s="74"/>
      <c r="S845" s="74"/>
      <c r="T845" s="74"/>
      <c r="U845" s="74"/>
      <c r="V845" s="74"/>
      <c r="W845" s="74"/>
      <c r="X845" s="74"/>
      <c r="Y845" s="74"/>
      <c r="Z845" s="74"/>
    </row>
    <row r="846" spans="1:26" x14ac:dyDescent="0.3">
      <c r="A846" s="66">
        <f t="shared" si="80"/>
        <v>2073.8999999999237</v>
      </c>
      <c r="B846" s="67">
        <f>LOOKUP(A846+0.01,Amounts!$A$4:$A$103,Amounts!$B$4:$B$103)*0.1*$A$2</f>
        <v>0</v>
      </c>
      <c r="C846" s="68">
        <f t="shared" si="85"/>
        <v>120665.52921499971</v>
      </c>
      <c r="D846" s="67">
        <f t="array" ref="D846">SUM($B$7:$B841*$F$1009*EXP(-$F$1009*($A846-$A$7:$A841)))*$F$1010</f>
        <v>4134053.5737725566</v>
      </c>
      <c r="E846" s="67">
        <f t="shared" si="83"/>
        <v>7.8812081838961952</v>
      </c>
      <c r="F846" s="70">
        <f t="shared" si="81"/>
        <v>0.47854696092617699</v>
      </c>
      <c r="G846" s="67">
        <f>E846/'Lookup Tables'!$C$48</f>
        <v>15.76241636779239</v>
      </c>
      <c r="H846" s="70">
        <f t="shared" si="84"/>
        <v>3.4329298917465084E-2</v>
      </c>
      <c r="I846" s="71">
        <f t="shared" si="82"/>
        <v>2.2697879569621042E-2</v>
      </c>
      <c r="L846" s="74"/>
      <c r="M846" s="74"/>
      <c r="N846" s="74"/>
      <c r="O846" s="74"/>
      <c r="P846" s="74"/>
      <c r="Q846" s="74"/>
      <c r="R846" s="74"/>
      <c r="S846" s="74"/>
      <c r="T846" s="74"/>
      <c r="U846" s="74"/>
      <c r="V846" s="74"/>
      <c r="W846" s="74"/>
      <c r="X846" s="74"/>
      <c r="Y846" s="74"/>
      <c r="Z846" s="74"/>
    </row>
    <row r="847" spans="1:26" x14ac:dyDescent="0.3">
      <c r="A847" s="66">
        <f t="shared" si="80"/>
        <v>2073.9999999999236</v>
      </c>
      <c r="B847" s="67">
        <f>LOOKUP(A847+0.01,Amounts!$A$4:$A$103,Amounts!$B$4:$B$103)*0.1*$A$2</f>
        <v>0</v>
      </c>
      <c r="C847" s="68">
        <f t="shared" si="85"/>
        <v>120665.52921499971</v>
      </c>
      <c r="D847" s="67">
        <f t="array" ref="D847">SUM($B$7:$B842*$F$1009*EXP(-$F$1009*($A847-$A$7:$A842)))*$F$1010</f>
        <v>4128269.9482518034</v>
      </c>
      <c r="E847" s="67">
        <f t="shared" si="83"/>
        <v>7.8701822124196914</v>
      </c>
      <c r="F847" s="70">
        <f t="shared" si="81"/>
        <v>0.47787746393812364</v>
      </c>
      <c r="G847" s="67">
        <f>E847/'Lookup Tables'!$C$48</f>
        <v>15.740364424839383</v>
      </c>
      <c r="H847" s="70">
        <f t="shared" si="84"/>
        <v>3.4281271525999163E-2</v>
      </c>
      <c r="I847" s="71">
        <f t="shared" si="82"/>
        <v>2.2666124771768711E-2</v>
      </c>
      <c r="L847" s="74"/>
      <c r="M847" s="74"/>
      <c r="N847" s="74"/>
      <c r="O847" s="74"/>
      <c r="P847" s="74"/>
      <c r="Q847" s="74"/>
      <c r="R847" s="74"/>
      <c r="S847" s="74"/>
      <c r="T847" s="74"/>
      <c r="U847" s="74"/>
      <c r="V847" s="74"/>
      <c r="W847" s="74"/>
      <c r="X847" s="74"/>
      <c r="Y847" s="74"/>
      <c r="Z847" s="74"/>
    </row>
    <row r="848" spans="1:26" x14ac:dyDescent="0.3">
      <c r="A848" s="66">
        <f t="shared" si="80"/>
        <v>2074.0999999999235</v>
      </c>
      <c r="B848" s="67">
        <f>LOOKUP(A848+0.01,Amounts!$A$4:$A$103,Amounts!$B$4:$B$103)*0.1*$A$2</f>
        <v>0</v>
      </c>
      <c r="C848" s="68">
        <f t="shared" si="85"/>
        <v>120665.52921499971</v>
      </c>
      <c r="D848" s="67">
        <f t="array" ref="D848">SUM($B$7:$B843*$F$1009*EXP(-$F$1009*($A848-$A$7:$A843)))*$F$1010</f>
        <v>4122494.4141414687</v>
      </c>
      <c r="E848" s="67">
        <f t="shared" si="83"/>
        <v>7.8591716665028413</v>
      </c>
      <c r="F848" s="70">
        <f t="shared" si="81"/>
        <v>0.47720890359005252</v>
      </c>
      <c r="G848" s="67">
        <f>E848/'Lookup Tables'!$C$48</f>
        <v>15.718343333005683</v>
      </c>
      <c r="H848" s="70">
        <f t="shared" si="84"/>
        <v>3.4233311325836409E-2</v>
      </c>
      <c r="I848" s="71">
        <f t="shared" si="82"/>
        <v>2.263441439952818E-2</v>
      </c>
      <c r="L848" s="74"/>
      <c r="M848" s="74"/>
      <c r="N848" s="74"/>
      <c r="O848" s="74"/>
      <c r="P848" s="74"/>
      <c r="Q848" s="74"/>
      <c r="R848" s="74"/>
      <c r="S848" s="74"/>
      <c r="T848" s="74"/>
      <c r="U848" s="74"/>
      <c r="V848" s="74"/>
      <c r="W848" s="74"/>
      <c r="X848" s="74"/>
      <c r="Y848" s="74"/>
      <c r="Z848" s="74"/>
    </row>
    <row r="849" spans="1:26" x14ac:dyDescent="0.3">
      <c r="A849" s="66">
        <f t="shared" si="80"/>
        <v>2074.1999999999234</v>
      </c>
      <c r="B849" s="67">
        <f>LOOKUP(A849+0.01,Amounts!$A$4:$A$103,Amounts!$B$4:$B$103)*0.1*$A$2</f>
        <v>0</v>
      </c>
      <c r="C849" s="68">
        <f t="shared" si="85"/>
        <v>120665.52921499971</v>
      </c>
      <c r="D849" s="67">
        <f t="array" ref="D849">SUM($B$7:$B844*$F$1009*EXP(-$F$1009*($A849-$A$7:$A844)))*$F$1010</f>
        <v>4116726.9601215068</v>
      </c>
      <c r="E849" s="67">
        <f t="shared" si="83"/>
        <v>7.8481765245649759</v>
      </c>
      <c r="F849" s="70">
        <f t="shared" si="81"/>
        <v>0.47654127857158529</v>
      </c>
      <c r="G849" s="67">
        <f>E849/'Lookup Tables'!$C$48</f>
        <v>15.696353049129952</v>
      </c>
      <c r="H849" s="70">
        <f t="shared" si="84"/>
        <v>3.4185418222974821E-2</v>
      </c>
      <c r="I849" s="71">
        <f t="shared" si="82"/>
        <v>2.2602748390747131E-2</v>
      </c>
      <c r="L849" s="74"/>
      <c r="M849" s="74"/>
      <c r="N849" s="74"/>
      <c r="O849" s="74"/>
      <c r="P849" s="74"/>
      <c r="Q849" s="74"/>
      <c r="R849" s="74"/>
      <c r="S849" s="74"/>
      <c r="T849" s="74"/>
      <c r="U849" s="74"/>
      <c r="V849" s="74"/>
      <c r="W849" s="74"/>
      <c r="X849" s="74"/>
      <c r="Y849" s="74"/>
      <c r="Z849" s="74"/>
    </row>
    <row r="850" spans="1:26" x14ac:dyDescent="0.3">
      <c r="A850" s="66">
        <f t="shared" si="80"/>
        <v>2074.2999999999233</v>
      </c>
      <c r="B850" s="67">
        <f>LOOKUP(A850+0.01,Amounts!$A$4:$A$103,Amounts!$B$4:$B$103)*0.1*$A$2</f>
        <v>0</v>
      </c>
      <c r="C850" s="68">
        <f t="shared" si="85"/>
        <v>120665.52921499971</v>
      </c>
      <c r="D850" s="67">
        <f t="array" ref="D850">SUM($B$7:$B845*$F$1009*EXP(-$F$1009*($A850-$A$7:$A845)))*$F$1010</f>
        <v>4110967.5748877041</v>
      </c>
      <c r="E850" s="67">
        <f t="shared" si="83"/>
        <v>7.8371967650556105</v>
      </c>
      <c r="F850" s="70">
        <f t="shared" si="81"/>
        <v>0.47587458757417667</v>
      </c>
      <c r="G850" s="67">
        <f>E850/'Lookup Tables'!$C$48</f>
        <v>15.674393530111221</v>
      </c>
      <c r="H850" s="70">
        <f t="shared" si="84"/>
        <v>3.4137592123543892E-2</v>
      </c>
      <c r="I850" s="71">
        <f t="shared" si="82"/>
        <v>2.2571126683360157E-2</v>
      </c>
      <c r="L850" s="74"/>
      <c r="M850" s="74"/>
      <c r="N850" s="74"/>
      <c r="O850" s="74"/>
      <c r="P850" s="74"/>
      <c r="Q850" s="74"/>
      <c r="R850" s="74"/>
      <c r="S850" s="74"/>
      <c r="T850" s="74"/>
      <c r="U850" s="74"/>
      <c r="V850" s="74"/>
      <c r="W850" s="74"/>
      <c r="X850" s="74"/>
      <c r="Y850" s="74"/>
      <c r="Z850" s="74"/>
    </row>
    <row r="851" spans="1:26" x14ac:dyDescent="0.3">
      <c r="A851" s="66">
        <f t="shared" ref="A851:A914" si="86">A850+0.1</f>
        <v>2074.3999999999232</v>
      </c>
      <c r="B851" s="67">
        <f>LOOKUP(A851+0.01,Amounts!$A$4:$A$103,Amounts!$B$4:$B$103)*0.1*$A$2</f>
        <v>0</v>
      </c>
      <c r="C851" s="68">
        <f t="shared" si="85"/>
        <v>120665.52921499971</v>
      </c>
      <c r="D851" s="67">
        <f t="array" ref="D851">SUM($B$7:$B846*$F$1009*EXP(-$F$1009*($A851-$A$7:$A846)))*$F$1010</f>
        <v>4105216.2471516654</v>
      </c>
      <c r="E851" s="67">
        <f t="shared" si="83"/>
        <v>7.8262323664544144</v>
      </c>
      <c r="F851" s="70">
        <f t="shared" ref="F851:F914" si="87">E851*60*1012/1000000</f>
        <v>0.47520882929111202</v>
      </c>
      <c r="G851" s="67">
        <f>E851/'Lookup Tables'!$C$48</f>
        <v>15.652464732908829</v>
      </c>
      <c r="H851" s="70">
        <f t="shared" si="84"/>
        <v>3.4089832933804451E-2</v>
      </c>
      <c r="I851" s="71">
        <f t="shared" ref="I851:I914" si="88">G851*60*24/1000000</f>
        <v>2.2539549215388713E-2</v>
      </c>
      <c r="L851" s="74"/>
      <c r="M851" s="74"/>
      <c r="N851" s="74"/>
      <c r="O851" s="74"/>
      <c r="P851" s="74"/>
      <c r="Q851" s="74"/>
      <c r="R851" s="74"/>
      <c r="S851" s="74"/>
      <c r="T851" s="74"/>
      <c r="U851" s="74"/>
      <c r="V851" s="74"/>
      <c r="W851" s="74"/>
      <c r="X851" s="74"/>
      <c r="Y851" s="74"/>
      <c r="Z851" s="74"/>
    </row>
    <row r="852" spans="1:26" x14ac:dyDescent="0.3">
      <c r="A852" s="66">
        <f t="shared" si="86"/>
        <v>2074.4999999999231</v>
      </c>
      <c r="B852" s="67">
        <f>LOOKUP(A852+0.01,Amounts!$A$4:$A$103,Amounts!$B$4:$B$103)*0.1*$A$2</f>
        <v>0</v>
      </c>
      <c r="C852" s="68">
        <f t="shared" si="85"/>
        <v>120665.52921499971</v>
      </c>
      <c r="D852" s="67">
        <f t="array" ref="D852">SUM($B$7:$B847*$F$1009*EXP(-$F$1009*($A852-$A$7:$A847)))*$F$1010</f>
        <v>4099472.9656407866</v>
      </c>
      <c r="E852" s="67">
        <f t="shared" si="83"/>
        <v>7.8152833072711658</v>
      </c>
      <c r="F852" s="70">
        <f t="shared" si="87"/>
        <v>0.47454400241750522</v>
      </c>
      <c r="G852" s="67">
        <f>E852/'Lookup Tables'!$C$48</f>
        <v>15.630566614542332</v>
      </c>
      <c r="H852" s="70">
        <f t="shared" si="84"/>
        <v>3.4042140560148502E-2</v>
      </c>
      <c r="I852" s="71">
        <f t="shared" si="88"/>
        <v>2.250801592494096E-2</v>
      </c>
      <c r="L852" s="74"/>
      <c r="M852" s="74"/>
      <c r="N852" s="74"/>
      <c r="O852" s="74"/>
      <c r="P852" s="74"/>
      <c r="Q852" s="74"/>
      <c r="R852" s="74"/>
      <c r="S852" s="74"/>
      <c r="T852" s="74"/>
      <c r="U852" s="74"/>
      <c r="V852" s="74"/>
      <c r="W852" s="74"/>
      <c r="X852" s="74"/>
      <c r="Y852" s="74"/>
      <c r="Z852" s="74"/>
    </row>
    <row r="853" spans="1:26" x14ac:dyDescent="0.3">
      <c r="A853" s="66">
        <f t="shared" si="86"/>
        <v>2074.5999999999231</v>
      </c>
      <c r="B853" s="67">
        <f>LOOKUP(A853+0.01,Amounts!$A$4:$A$103,Amounts!$B$4:$B$103)*0.1*$A$2</f>
        <v>0</v>
      </c>
      <c r="C853" s="68">
        <f t="shared" si="85"/>
        <v>120665.52921499971</v>
      </c>
      <c r="D853" s="67">
        <f t="array" ref="D853">SUM($B$7:$B848*$F$1009*EXP(-$F$1009*($A853-$A$7:$A848)))*$F$1010</f>
        <v>4093737.7190982299</v>
      </c>
      <c r="E853" s="67">
        <f t="shared" si="83"/>
        <v>7.8043495660456959</v>
      </c>
      <c r="F853" s="70">
        <f t="shared" si="87"/>
        <v>0.47388010565029465</v>
      </c>
      <c r="G853" s="67">
        <f>E853/'Lookup Tables'!$C$48</f>
        <v>15.608699132091392</v>
      </c>
      <c r="H853" s="70">
        <f t="shared" si="84"/>
        <v>3.3994514909098911E-2</v>
      </c>
      <c r="I853" s="71">
        <f t="shared" si="88"/>
        <v>2.2476526750211605E-2</v>
      </c>
      <c r="L853" s="74"/>
      <c r="M853" s="74"/>
      <c r="N853" s="74"/>
      <c r="O853" s="74"/>
      <c r="P853" s="74"/>
      <c r="Q853" s="74"/>
      <c r="R853" s="74"/>
      <c r="S853" s="74"/>
      <c r="T853" s="74"/>
      <c r="U853" s="74"/>
      <c r="V853" s="74"/>
      <c r="W853" s="74"/>
      <c r="X853" s="74"/>
      <c r="Y853" s="74"/>
      <c r="Z853" s="74"/>
    </row>
    <row r="854" spans="1:26" x14ac:dyDescent="0.3">
      <c r="A854" s="66">
        <f t="shared" si="86"/>
        <v>2074.699999999923</v>
      </c>
      <c r="B854" s="67">
        <f>LOOKUP(A854+0.01,Amounts!$A$4:$A$103,Amounts!$B$4:$B$103)*0.1*$A$2</f>
        <v>0</v>
      </c>
      <c r="C854" s="68">
        <f t="shared" si="85"/>
        <v>120665.52921499971</v>
      </c>
      <c r="D854" s="67">
        <f t="array" ref="D854">SUM($B$7:$B849*$F$1009*EXP(-$F$1009*($A854-$A$7:$A849)))*$F$1010</f>
        <v>4088010.4962829156</v>
      </c>
      <c r="E854" s="67">
        <f t="shared" si="83"/>
        <v>7.7934311213478775</v>
      </c>
      <c r="F854" s="70">
        <f t="shared" si="87"/>
        <v>0.47321713768824314</v>
      </c>
      <c r="G854" s="67">
        <f>E854/'Lookup Tables'!$C$48</f>
        <v>15.586862242695755</v>
      </c>
      <c r="H854" s="70">
        <f t="shared" si="84"/>
        <v>3.3946955887309449E-2</v>
      </c>
      <c r="I854" s="71">
        <f t="shared" si="88"/>
        <v>2.2445081629481885E-2</v>
      </c>
      <c r="L854" s="74"/>
      <c r="M854" s="74"/>
      <c r="N854" s="74"/>
      <c r="O854" s="74"/>
      <c r="P854" s="74"/>
      <c r="Q854" s="74"/>
      <c r="R854" s="74"/>
      <c r="S854" s="74"/>
      <c r="T854" s="74"/>
      <c r="U854" s="74"/>
      <c r="V854" s="74"/>
      <c r="W854" s="74"/>
      <c r="X854" s="74"/>
      <c r="Y854" s="74"/>
      <c r="Z854" s="74"/>
    </row>
    <row r="855" spans="1:26" x14ac:dyDescent="0.3">
      <c r="A855" s="66">
        <f t="shared" si="86"/>
        <v>2074.7999999999229</v>
      </c>
      <c r="B855" s="67">
        <f>LOOKUP(A855+0.01,Amounts!$A$4:$A$103,Amounts!$B$4:$B$103)*0.1*$A$2</f>
        <v>0</v>
      </c>
      <c r="C855" s="68">
        <f t="shared" si="85"/>
        <v>120665.52921499971</v>
      </c>
      <c r="D855" s="67">
        <f t="array" ref="D855">SUM($B$7:$B850*$F$1009*EXP(-$F$1009*($A855-$A$7:$A850)))*$F$1010</f>
        <v>4082291.2859694809</v>
      </c>
      <c r="E855" s="67">
        <f t="shared" si="83"/>
        <v>7.7825279517775483</v>
      </c>
      <c r="F855" s="70">
        <f t="shared" si="87"/>
        <v>0.47255509723193273</v>
      </c>
      <c r="G855" s="67">
        <f>E855/'Lookup Tables'!$C$48</f>
        <v>15.565055903555097</v>
      </c>
      <c r="H855" s="70">
        <f t="shared" si="84"/>
        <v>3.3899463401564377E-2</v>
      </c>
      <c r="I855" s="71">
        <f t="shared" si="88"/>
        <v>2.2413680501119339E-2</v>
      </c>
      <c r="L855" s="74"/>
      <c r="M855" s="74"/>
      <c r="N855" s="74"/>
      <c r="O855" s="74"/>
      <c r="P855" s="74"/>
      <c r="Q855" s="74"/>
      <c r="R855" s="74"/>
      <c r="S855" s="74"/>
      <c r="T855" s="74"/>
      <c r="U855" s="74"/>
      <c r="V855" s="74"/>
      <c r="W855" s="74"/>
      <c r="X855" s="74"/>
      <c r="Y855" s="74"/>
      <c r="Z855" s="74"/>
    </row>
    <row r="856" spans="1:26" x14ac:dyDescent="0.3">
      <c r="A856" s="66">
        <f t="shared" si="86"/>
        <v>2074.8999999999228</v>
      </c>
      <c r="B856" s="67">
        <f>LOOKUP(A856+0.01,Amounts!$A$4:$A$103,Amounts!$B$4:$B$103)*0.1*$A$2</f>
        <v>0</v>
      </c>
      <c r="C856" s="68">
        <f t="shared" si="85"/>
        <v>120665.52921499971</v>
      </c>
      <c r="D856" s="67">
        <f t="array" ref="D856">SUM($B$7:$B851*$F$1009*EXP(-$F$1009*($A856-$A$7:$A851)))*$F$1010</f>
        <v>4076580.0769482758</v>
      </c>
      <c r="E856" s="67">
        <f t="shared" si="83"/>
        <v>7.7716400359645021</v>
      </c>
      <c r="F856" s="70">
        <f t="shared" si="87"/>
        <v>0.47189398298376456</v>
      </c>
      <c r="G856" s="67">
        <f>E856/'Lookup Tables'!$C$48</f>
        <v>15.543280071929004</v>
      </c>
      <c r="H856" s="70">
        <f t="shared" si="84"/>
        <v>3.3852037358778446E-2</v>
      </c>
      <c r="I856" s="71">
        <f t="shared" si="88"/>
        <v>2.2382323303577766E-2</v>
      </c>
      <c r="L856" s="74"/>
      <c r="M856" s="74"/>
      <c r="N856" s="74"/>
      <c r="O856" s="74"/>
      <c r="P856" s="74"/>
      <c r="Q856" s="74"/>
      <c r="R856" s="74"/>
      <c r="S856" s="74"/>
      <c r="T856" s="74"/>
      <c r="U856" s="74"/>
      <c r="V856" s="74"/>
      <c r="W856" s="74"/>
      <c r="X856" s="74"/>
      <c r="Y856" s="74"/>
      <c r="Z856" s="74"/>
    </row>
    <row r="857" spans="1:26" x14ac:dyDescent="0.3">
      <c r="A857" s="66">
        <f t="shared" si="86"/>
        <v>2074.9999999999227</v>
      </c>
      <c r="B857" s="67">
        <f>LOOKUP(A857+0.01,Amounts!$A$4:$A$103,Amounts!$B$4:$B$103)*0.1*$A$2</f>
        <v>0</v>
      </c>
      <c r="C857" s="68">
        <f t="shared" si="85"/>
        <v>120665.52921499971</v>
      </c>
      <c r="D857" s="67">
        <f t="array" ref="D857">SUM($B$7:$B852*$F$1009*EXP(-$F$1009*($A857-$A$7:$A852)))*$F$1010</f>
        <v>4070876.8580253259</v>
      </c>
      <c r="E857" s="67">
        <f t="shared" si="83"/>
        <v>7.7607673525684122</v>
      </c>
      <c r="F857" s="70">
        <f t="shared" si="87"/>
        <v>0.47123379364795398</v>
      </c>
      <c r="G857" s="67">
        <f>E857/'Lookup Tables'!$C$48</f>
        <v>15.521534705136824</v>
      </c>
      <c r="H857" s="70">
        <f t="shared" si="84"/>
        <v>3.3804677665996576E-2</v>
      </c>
      <c r="I857" s="71">
        <f t="shared" si="88"/>
        <v>2.2351009975397029E-2</v>
      </c>
      <c r="L857" s="74"/>
      <c r="M857" s="74"/>
      <c r="N857" s="74"/>
      <c r="O857" s="74"/>
      <c r="P857" s="74"/>
      <c r="Q857" s="74"/>
      <c r="R857" s="74"/>
      <c r="S857" s="74"/>
      <c r="T857" s="74"/>
      <c r="U857" s="74"/>
      <c r="V857" s="74"/>
      <c r="W857" s="74"/>
      <c r="X857" s="74"/>
      <c r="Y857" s="74"/>
      <c r="Z857" s="74"/>
    </row>
    <row r="858" spans="1:26" x14ac:dyDescent="0.3">
      <c r="A858" s="66">
        <f t="shared" si="86"/>
        <v>2075.0999999999226</v>
      </c>
      <c r="B858" s="67">
        <f>LOOKUP(A858+0.01,Amounts!$A$4:$A$103,Amounts!$B$4:$B$103)*0.1*$A$2</f>
        <v>0</v>
      </c>
      <c r="C858" s="68">
        <f t="shared" si="85"/>
        <v>120665.52921499971</v>
      </c>
      <c r="D858" s="67">
        <f t="array" ref="D858">SUM($B$7:$B853*$F$1009*EXP(-$F$1009*($A858-$A$7:$A853)))*$F$1010</f>
        <v>4065181.6180223199</v>
      </c>
      <c r="E858" s="67">
        <f t="shared" si="83"/>
        <v>7.749909880278814</v>
      </c>
      <c r="F858" s="70">
        <f t="shared" si="87"/>
        <v>0.47057452793052962</v>
      </c>
      <c r="G858" s="67">
        <f>E858/'Lookup Tables'!$C$48</f>
        <v>15.499819760557628</v>
      </c>
      <c r="H858" s="70">
        <f t="shared" si="84"/>
        <v>3.3757384230393726E-2</v>
      </c>
      <c r="I858" s="71">
        <f t="shared" si="88"/>
        <v>2.2319740455202984E-2</v>
      </c>
      <c r="L858" s="74"/>
      <c r="M858" s="74"/>
      <c r="N858" s="74"/>
      <c r="O858" s="74"/>
      <c r="P858" s="74"/>
      <c r="Q858" s="74"/>
      <c r="R858" s="74"/>
      <c r="S858" s="74"/>
      <c r="T858" s="74"/>
      <c r="U858" s="74"/>
      <c r="V858" s="74"/>
      <c r="W858" s="74"/>
      <c r="X858" s="74"/>
      <c r="Y858" s="74"/>
      <c r="Z858" s="74"/>
    </row>
    <row r="859" spans="1:26" x14ac:dyDescent="0.3">
      <c r="A859" s="66">
        <f t="shared" si="86"/>
        <v>2075.1999999999225</v>
      </c>
      <c r="B859" s="67">
        <f>LOOKUP(A859+0.01,Amounts!$A$4:$A$103,Amounts!$B$4:$B$103)*0.1*$A$2</f>
        <v>0</v>
      </c>
      <c r="C859" s="68">
        <f t="shared" si="85"/>
        <v>120665.52921499971</v>
      </c>
      <c r="D859" s="67">
        <f t="array" ref="D859">SUM($B$7:$B854*$F$1009*EXP(-$F$1009*($A859-$A$7:$A854)))*$F$1010</f>
        <v>4059494.3457765877</v>
      </c>
      <c r="E859" s="67">
        <f t="shared" si="83"/>
        <v>7.7390675978150671</v>
      </c>
      <c r="F859" s="70">
        <f t="shared" si="87"/>
        <v>0.46991618453933087</v>
      </c>
      <c r="G859" s="67">
        <f>E859/'Lookup Tables'!$C$48</f>
        <v>15.478135195630134</v>
      </c>
      <c r="H859" s="70">
        <f t="shared" si="84"/>
        <v>3.3710156959274803E-2</v>
      </c>
      <c r="I859" s="71">
        <f t="shared" si="88"/>
        <v>2.2288514681707394E-2</v>
      </c>
      <c r="L859" s="74"/>
      <c r="M859" s="74"/>
      <c r="N859" s="74"/>
      <c r="O859" s="74"/>
      <c r="P859" s="74"/>
      <c r="Q859" s="74"/>
      <c r="R859" s="74"/>
      <c r="S859" s="74"/>
      <c r="T859" s="74"/>
      <c r="U859" s="74"/>
      <c r="V859" s="74"/>
      <c r="W859" s="74"/>
      <c r="X859" s="74"/>
      <c r="Y859" s="74"/>
      <c r="Z859" s="74"/>
    </row>
    <row r="860" spans="1:26" x14ac:dyDescent="0.3">
      <c r="A860" s="66">
        <f t="shared" si="86"/>
        <v>2075.2999999999224</v>
      </c>
      <c r="B860" s="67">
        <f>LOOKUP(A860+0.01,Amounts!$A$4:$A$103,Amounts!$B$4:$B$103)*0.1*$A$2</f>
        <v>0</v>
      </c>
      <c r="C860" s="68">
        <f t="shared" si="85"/>
        <v>120665.52921499971</v>
      </c>
      <c r="D860" s="67">
        <f t="array" ref="D860">SUM($B$7:$B855*$F$1009*EXP(-$F$1009*($A860-$A$7:$A855)))*$F$1010</f>
        <v>4053815.0301410733</v>
      </c>
      <c r="E860" s="67">
        <f t="shared" si="83"/>
        <v>7.7282404839262879</v>
      </c>
      <c r="F860" s="70">
        <f t="shared" si="87"/>
        <v>0.46925876218400425</v>
      </c>
      <c r="G860" s="67">
        <f>E860/'Lookup Tables'!$C$48</f>
        <v>15.456480967852576</v>
      </c>
      <c r="H860" s="70">
        <f t="shared" si="84"/>
        <v>3.3662995760074303E-2</v>
      </c>
      <c r="I860" s="71">
        <f t="shared" si="88"/>
        <v>2.2257332593707709E-2</v>
      </c>
      <c r="L860" s="74"/>
      <c r="M860" s="74"/>
      <c r="N860" s="74"/>
      <c r="O860" s="74"/>
      <c r="P860" s="74"/>
      <c r="Q860" s="74"/>
      <c r="R860" s="74"/>
      <c r="S860" s="74"/>
      <c r="T860" s="74"/>
      <c r="U860" s="74"/>
      <c r="V860" s="74"/>
      <c r="W860" s="74"/>
      <c r="X860" s="74"/>
      <c r="Y860" s="74"/>
      <c r="Z860" s="74"/>
    </row>
    <row r="861" spans="1:26" x14ac:dyDescent="0.3">
      <c r="A861" s="66">
        <f t="shared" si="86"/>
        <v>2075.3999999999223</v>
      </c>
      <c r="B861" s="67">
        <f>LOOKUP(A861+0.01,Amounts!$A$4:$A$103,Amounts!$B$4:$B$103)*0.1*$A$2</f>
        <v>0</v>
      </c>
      <c r="C861" s="68">
        <f t="shared" si="85"/>
        <v>120665.52921499971</v>
      </c>
      <c r="D861" s="67">
        <f t="array" ref="D861">SUM($B$7:$B856*$F$1009*EXP(-$F$1009*($A861-$A$7:$A856)))*$F$1010</f>
        <v>4048143.6599843153</v>
      </c>
      <c r="E861" s="67">
        <f t="shared" si="83"/>
        <v>7.7174285173913315</v>
      </c>
      <c r="F861" s="70">
        <f t="shared" si="87"/>
        <v>0.46860225957600166</v>
      </c>
      <c r="G861" s="67">
        <f>E861/'Lookup Tables'!$C$48</f>
        <v>15.434857034782663</v>
      </c>
      <c r="H861" s="70">
        <f t="shared" si="84"/>
        <v>3.3615900540356271E-2</v>
      </c>
      <c r="I861" s="71">
        <f t="shared" si="88"/>
        <v>2.2226194130087036E-2</v>
      </c>
      <c r="L861" s="74"/>
      <c r="M861" s="74"/>
      <c r="N861" s="74"/>
      <c r="O861" s="74"/>
      <c r="P861" s="74"/>
      <c r="Q861" s="74"/>
      <c r="R861" s="74"/>
      <c r="S861" s="74"/>
      <c r="T861" s="74"/>
      <c r="U861" s="74"/>
      <c r="V861" s="74"/>
      <c r="W861" s="74"/>
      <c r="X861" s="74"/>
      <c r="Y861" s="74"/>
      <c r="Z861" s="74"/>
    </row>
    <row r="862" spans="1:26" x14ac:dyDescent="0.3">
      <c r="A862" s="66">
        <f t="shared" si="86"/>
        <v>2075.4999999999222</v>
      </c>
      <c r="B862" s="67">
        <f>LOOKUP(A862+0.01,Amounts!$A$4:$A$103,Amounts!$B$4:$B$103)*0.1*$A$2</f>
        <v>0</v>
      </c>
      <c r="C862" s="68">
        <f t="shared" si="85"/>
        <v>120665.52921499971</v>
      </c>
      <c r="D862" s="67">
        <f t="array" ref="D862">SUM($B$7:$B857*$F$1009*EXP(-$F$1009*($A862-$A$7:$A857)))*$F$1010</f>
        <v>4042480.2241904251</v>
      </c>
      <c r="E862" s="67">
        <f t="shared" si="83"/>
        <v>7.7066316770187369</v>
      </c>
      <c r="F862" s="70">
        <f t="shared" si="87"/>
        <v>0.46794667542857771</v>
      </c>
      <c r="G862" s="67">
        <f>E862/'Lookup Tables'!$C$48</f>
        <v>15.413263354037474</v>
      </c>
      <c r="H862" s="70">
        <f t="shared" si="84"/>
        <v>3.3568871207814044E-2</v>
      </c>
      <c r="I862" s="71">
        <f t="shared" si="88"/>
        <v>2.2195099229813962E-2</v>
      </c>
      <c r="L862" s="74"/>
      <c r="M862" s="74"/>
      <c r="N862" s="74"/>
      <c r="O862" s="74"/>
      <c r="P862" s="74"/>
      <c r="Q862" s="74"/>
      <c r="R862" s="74"/>
      <c r="S862" s="74"/>
      <c r="T862" s="74"/>
      <c r="U862" s="74"/>
      <c r="V862" s="74"/>
      <c r="W862" s="74"/>
      <c r="X862" s="74"/>
      <c r="Y862" s="74"/>
      <c r="Z862" s="74"/>
    </row>
    <row r="863" spans="1:26" x14ac:dyDescent="0.3">
      <c r="A863" s="66">
        <f t="shared" si="86"/>
        <v>2075.5999999999221</v>
      </c>
      <c r="B863" s="67">
        <f>LOOKUP(A863+0.01,Amounts!$A$4:$A$103,Amounts!$B$4:$B$103)*0.1*$A$2</f>
        <v>0</v>
      </c>
      <c r="C863" s="68">
        <f t="shared" si="85"/>
        <v>120665.52921499971</v>
      </c>
      <c r="D863" s="67">
        <f t="array" ref="D863">SUM($B$7:$B858*$F$1009*EXP(-$F$1009*($A863-$A$7:$A858)))*$F$1010</f>
        <v>4036824.7116590701</v>
      </c>
      <c r="E863" s="67">
        <f t="shared" si="83"/>
        <v>7.6958499416466992</v>
      </c>
      <c r="F863" s="70">
        <f t="shared" si="87"/>
        <v>0.46729200845678753</v>
      </c>
      <c r="G863" s="67">
        <f>E863/'Lookup Tables'!$C$48</f>
        <v>15.391699883293398</v>
      </c>
      <c r="H863" s="70">
        <f t="shared" si="84"/>
        <v>3.3521907670270149E-2</v>
      </c>
      <c r="I863" s="71">
        <f t="shared" si="88"/>
        <v>2.2164047831942493E-2</v>
      </c>
      <c r="L863" s="74"/>
      <c r="M863" s="74"/>
      <c r="N863" s="74"/>
      <c r="O863" s="74"/>
      <c r="P863" s="74"/>
      <c r="Q863" s="74"/>
      <c r="R863" s="74"/>
      <c r="S863" s="74"/>
      <c r="T863" s="74"/>
      <c r="U863" s="74"/>
      <c r="V863" s="74"/>
      <c r="W863" s="74"/>
      <c r="X863" s="74"/>
      <c r="Y863" s="74"/>
      <c r="Z863" s="74"/>
    </row>
    <row r="864" spans="1:26" x14ac:dyDescent="0.3">
      <c r="A864" s="66">
        <f t="shared" si="86"/>
        <v>2075.6999999999221</v>
      </c>
      <c r="B864" s="67">
        <f>LOOKUP(A864+0.01,Amounts!$A$4:$A$103,Amounts!$B$4:$B$103)*0.1*$A$2</f>
        <v>0</v>
      </c>
      <c r="C864" s="68">
        <f t="shared" si="85"/>
        <v>120665.52921499971</v>
      </c>
      <c r="D864" s="67">
        <f t="array" ref="D864">SUM($B$7:$B859*$F$1009*EXP(-$F$1009*($A864-$A$7:$A859)))*$F$1010</f>
        <v>4031177.1113054412</v>
      </c>
      <c r="E864" s="67">
        <f t="shared" si="83"/>
        <v>7.6850832901430088</v>
      </c>
      <c r="F864" s="70">
        <f t="shared" si="87"/>
        <v>0.46663825737748349</v>
      </c>
      <c r="G864" s="67">
        <f>E864/'Lookup Tables'!$C$48</f>
        <v>15.370166580286018</v>
      </c>
      <c r="H864" s="70">
        <f t="shared" si="84"/>
        <v>3.3475009835676008E-2</v>
      </c>
      <c r="I864" s="71">
        <f t="shared" si="88"/>
        <v>2.2133039875611868E-2</v>
      </c>
      <c r="L864" s="74"/>
      <c r="M864" s="74"/>
      <c r="N864" s="74"/>
      <c r="O864" s="74"/>
      <c r="P864" s="74"/>
      <c r="Q864" s="74"/>
      <c r="R864" s="74"/>
      <c r="S864" s="74"/>
      <c r="T864" s="74"/>
      <c r="U864" s="74"/>
      <c r="V864" s="74"/>
      <c r="W864" s="74"/>
      <c r="X864" s="74"/>
      <c r="Y864" s="74"/>
      <c r="Z864" s="74"/>
    </row>
    <row r="865" spans="1:26" x14ac:dyDescent="0.3">
      <c r="A865" s="66">
        <f t="shared" si="86"/>
        <v>2075.799999999922</v>
      </c>
      <c r="B865" s="67">
        <f>LOOKUP(A865+0.01,Amounts!$A$4:$A$103,Amounts!$B$4:$B$103)*0.1*$A$2</f>
        <v>0</v>
      </c>
      <c r="C865" s="68">
        <f t="shared" si="85"/>
        <v>120665.52921499971</v>
      </c>
      <c r="D865" s="67">
        <f t="array" ref="D865">SUM($B$7:$B860*$F$1009*EXP(-$F$1009*($A865-$A$7:$A860)))*$F$1010</f>
        <v>4025537.4120602426</v>
      </c>
      <c r="E865" s="67">
        <f t="shared" si="83"/>
        <v>7.6743317014050296</v>
      </c>
      <c r="F865" s="70">
        <f t="shared" si="87"/>
        <v>0.46598542090931344</v>
      </c>
      <c r="G865" s="67">
        <f>E865/'Lookup Tables'!$C$48</f>
        <v>15.348663402810059</v>
      </c>
      <c r="H865" s="70">
        <f t="shared" si="84"/>
        <v>3.3428177612111871E-2</v>
      </c>
      <c r="I865" s="71">
        <f t="shared" si="88"/>
        <v>2.2102075300046486E-2</v>
      </c>
      <c r="L865" s="74"/>
      <c r="M865" s="74"/>
      <c r="N865" s="74"/>
      <c r="O865" s="74"/>
      <c r="P865" s="74"/>
      <c r="Q865" s="74"/>
      <c r="R865" s="74"/>
      <c r="S865" s="74"/>
      <c r="T865" s="74"/>
      <c r="U865" s="74"/>
      <c r="V865" s="74"/>
      <c r="W865" s="74"/>
      <c r="X865" s="74"/>
      <c r="Y865" s="74"/>
      <c r="Z865" s="74"/>
    </row>
    <row r="866" spans="1:26" x14ac:dyDescent="0.3">
      <c r="A866" s="66">
        <f t="shared" si="86"/>
        <v>2075.8999999999219</v>
      </c>
      <c r="B866" s="67">
        <f>LOOKUP(A866+0.01,Amounts!$A$4:$A$103,Amounts!$B$4:$B$103)*0.1*$A$2</f>
        <v>0</v>
      </c>
      <c r="C866" s="68">
        <f t="shared" si="85"/>
        <v>120665.52921499971</v>
      </c>
      <c r="D866" s="67">
        <f t="array" ref="D866">SUM($B$7:$B861*$F$1009*EXP(-$F$1009*($A866-$A$7:$A861)))*$F$1010</f>
        <v>4019905.6028696583</v>
      </c>
      <c r="E866" s="67">
        <f t="shared" si="83"/>
        <v>7.6635951543596397</v>
      </c>
      <c r="F866" s="70">
        <f t="shared" si="87"/>
        <v>0.46533349777271732</v>
      </c>
      <c r="G866" s="67">
        <f>E866/'Lookup Tables'!$C$48</f>
        <v>15.327190308719279</v>
      </c>
      <c r="H866" s="70">
        <f t="shared" si="84"/>
        <v>3.3381410907786541E-2</v>
      </c>
      <c r="I866" s="71">
        <f t="shared" si="88"/>
        <v>2.2071154044555761E-2</v>
      </c>
      <c r="L866" s="74"/>
      <c r="M866" s="74"/>
      <c r="N866" s="74"/>
      <c r="O866" s="74"/>
      <c r="P866" s="74"/>
      <c r="Q866" s="74"/>
      <c r="R866" s="74"/>
      <c r="S866" s="74"/>
      <c r="T866" s="74"/>
      <c r="U866" s="74"/>
      <c r="V866" s="74"/>
      <c r="W866" s="74"/>
      <c r="X866" s="74"/>
      <c r="Y866" s="74"/>
      <c r="Z866" s="74"/>
    </row>
    <row r="867" spans="1:26" x14ac:dyDescent="0.3">
      <c r="A867" s="66">
        <f t="shared" si="86"/>
        <v>2075.9999999999218</v>
      </c>
      <c r="B867" s="67">
        <f>LOOKUP(A867+0.01,Amounts!$A$4:$A$103,Amounts!$B$4:$B$103)*0.1*$A$2</f>
        <v>0</v>
      </c>
      <c r="C867" s="68">
        <f t="shared" si="85"/>
        <v>120665.52921499971</v>
      </c>
      <c r="D867" s="67">
        <f t="array" ref="D867">SUM($B$7:$B862*$F$1009*EXP(-$F$1009*($A867-$A$7:$A862)))*$F$1010</f>
        <v>4014281.6726953429</v>
      </c>
      <c r="E867" s="67">
        <f t="shared" si="83"/>
        <v>7.6528736279632055</v>
      </c>
      <c r="F867" s="70">
        <f t="shared" si="87"/>
        <v>0.46468248668992584</v>
      </c>
      <c r="G867" s="67">
        <f>E867/'Lookup Tables'!$C$48</f>
        <v>15.305747255926411</v>
      </c>
      <c r="H867" s="70">
        <f t="shared" si="84"/>
        <v>3.3334709631037282E-2</v>
      </c>
      <c r="I867" s="71">
        <f t="shared" si="88"/>
        <v>2.2040276048534032E-2</v>
      </c>
      <c r="L867" s="74"/>
      <c r="M867" s="74"/>
      <c r="N867" s="74"/>
      <c r="O867" s="74"/>
      <c r="P867" s="74"/>
      <c r="Q867" s="74"/>
      <c r="R867" s="74"/>
      <c r="S867" s="74"/>
      <c r="T867" s="74"/>
      <c r="U867" s="74"/>
      <c r="V867" s="74"/>
      <c r="W867" s="74"/>
      <c r="X867" s="74"/>
      <c r="Y867" s="74"/>
      <c r="Z867" s="74"/>
    </row>
    <row r="868" spans="1:26" x14ac:dyDescent="0.3">
      <c r="A868" s="66">
        <f t="shared" si="86"/>
        <v>2076.0999999999217</v>
      </c>
      <c r="B868" s="67">
        <f>LOOKUP(A868+0.01,Amounts!$A$4:$A$103,Amounts!$B$4:$B$103)*0.1*$A$2</f>
        <v>0</v>
      </c>
      <c r="C868" s="68">
        <f t="shared" si="85"/>
        <v>120665.52921499971</v>
      </c>
      <c r="D868" s="67">
        <f t="array" ref="D868">SUM($B$7:$B863*$F$1009*EXP(-$F$1009*($A868-$A$7:$A863)))*$F$1010</f>
        <v>4008665.6105143907</v>
      </c>
      <c r="E868" s="67">
        <f t="shared" si="83"/>
        <v>7.6421671012015313</v>
      </c>
      <c r="F868" s="70">
        <f t="shared" si="87"/>
        <v>0.46403238638495692</v>
      </c>
      <c r="G868" s="67">
        <f>E868/'Lookup Tables'!$C$48</f>
        <v>15.284334202403063</v>
      </c>
      <c r="H868" s="70">
        <f t="shared" si="84"/>
        <v>3.3288073690329559E-2</v>
      </c>
      <c r="I868" s="71">
        <f t="shared" si="88"/>
        <v>2.2009441251460409E-2</v>
      </c>
      <c r="L868" s="74"/>
      <c r="M868" s="74"/>
      <c r="N868" s="74"/>
      <c r="O868" s="74"/>
      <c r="P868" s="74"/>
      <c r="Q868" s="74"/>
      <c r="R868" s="74"/>
      <c r="S868" s="74"/>
      <c r="T868" s="74"/>
      <c r="U868" s="74"/>
      <c r="V868" s="74"/>
      <c r="W868" s="74"/>
      <c r="X868" s="74"/>
      <c r="Y868" s="74"/>
      <c r="Z868" s="74"/>
    </row>
    <row r="869" spans="1:26" x14ac:dyDescent="0.3">
      <c r="A869" s="66">
        <f t="shared" si="86"/>
        <v>2076.1999999999216</v>
      </c>
      <c r="B869" s="67">
        <f>LOOKUP(A869+0.01,Amounts!$A$4:$A$103,Amounts!$B$4:$B$103)*0.1*$A$2</f>
        <v>0</v>
      </c>
      <c r="C869" s="68">
        <f t="shared" si="85"/>
        <v>120665.52921499971</v>
      </c>
      <c r="D869" s="67">
        <f t="array" ref="D869">SUM($B$7:$B864*$F$1009*EXP(-$F$1009*($A869-$A$7:$A864)))*$F$1010</f>
        <v>4003057.4053193191</v>
      </c>
      <c r="E869" s="67">
        <f t="shared" si="83"/>
        <v>7.6314755530898237</v>
      </c>
      <c r="F869" s="70">
        <f t="shared" si="87"/>
        <v>0.46338319558361407</v>
      </c>
      <c r="G869" s="67">
        <f>E869/'Lookup Tables'!$C$48</f>
        <v>15.262951106179647</v>
      </c>
      <c r="H869" s="70">
        <f t="shared" si="84"/>
        <v>3.324150299425694E-2</v>
      </c>
      <c r="I869" s="71">
        <f t="shared" si="88"/>
        <v>2.1978649592898691E-2</v>
      </c>
      <c r="L869" s="74"/>
      <c r="M869" s="74"/>
      <c r="N869" s="74"/>
      <c r="O869" s="74"/>
      <c r="P869" s="74"/>
      <c r="Q869" s="74"/>
      <c r="R869" s="74"/>
      <c r="S869" s="74"/>
      <c r="T869" s="74"/>
      <c r="U869" s="74"/>
      <c r="V869" s="74"/>
      <c r="W869" s="74"/>
      <c r="X869" s="74"/>
      <c r="Y869" s="74"/>
      <c r="Z869" s="74"/>
    </row>
    <row r="870" spans="1:26" x14ac:dyDescent="0.3">
      <c r="A870" s="66">
        <f t="shared" si="86"/>
        <v>2076.2999999999215</v>
      </c>
      <c r="B870" s="67">
        <f>LOOKUP(A870+0.01,Amounts!$A$4:$A$103,Amounts!$B$4:$B$103)*0.1*$A$2</f>
        <v>0</v>
      </c>
      <c r="C870" s="68">
        <f t="shared" si="85"/>
        <v>120665.52921499971</v>
      </c>
      <c r="D870" s="67">
        <f t="array" ref="D870">SUM($B$7:$B865*$F$1009*EXP(-$F$1009*($A870-$A$7:$A865)))*$F$1010</f>
        <v>3997457.0461180429</v>
      </c>
      <c r="E870" s="67">
        <f t="shared" si="83"/>
        <v>7.6207989626726418</v>
      </c>
      <c r="F870" s="70">
        <f t="shared" si="87"/>
        <v>0.4627349130134828</v>
      </c>
      <c r="G870" s="67">
        <f>E870/'Lookup Tables'!$C$48</f>
        <v>15.241597925345284</v>
      </c>
      <c r="H870" s="70">
        <f t="shared" si="84"/>
        <v>3.3194997451540829E-2</v>
      </c>
      <c r="I870" s="71">
        <f t="shared" si="88"/>
        <v>2.1947901012497207E-2</v>
      </c>
      <c r="L870" s="74"/>
      <c r="M870" s="74"/>
      <c r="N870" s="74"/>
      <c r="O870" s="74"/>
      <c r="P870" s="74"/>
      <c r="Q870" s="74"/>
      <c r="R870" s="74"/>
      <c r="S870" s="74"/>
      <c r="T870" s="74"/>
      <c r="U870" s="74"/>
      <c r="V870" s="74"/>
      <c r="W870" s="74"/>
      <c r="X870" s="74"/>
      <c r="Y870" s="74"/>
      <c r="Z870" s="74"/>
    </row>
    <row r="871" spans="1:26" x14ac:dyDescent="0.3">
      <c r="A871" s="66">
        <f t="shared" si="86"/>
        <v>2076.3999999999214</v>
      </c>
      <c r="B871" s="67">
        <f>LOOKUP(A871+0.01,Amounts!$A$4:$A$103,Amounts!$B$4:$B$103)*0.1*$A$2</f>
        <v>0</v>
      </c>
      <c r="C871" s="68">
        <f t="shared" si="85"/>
        <v>120665.52921499971</v>
      </c>
      <c r="D871" s="67">
        <f t="array" ref="D871">SUM($B$7:$B866*$F$1009*EXP(-$F$1009*($A871-$A$7:$A866)))*$F$1010</f>
        <v>3991864.5219338569</v>
      </c>
      <c r="E871" s="67">
        <f t="shared" si="83"/>
        <v>7.6101373090238669</v>
      </c>
      <c r="F871" s="70">
        <f t="shared" si="87"/>
        <v>0.46208753740392916</v>
      </c>
      <c r="G871" s="67">
        <f>E871/'Lookup Tables'!$C$48</f>
        <v>15.220274618047734</v>
      </c>
      <c r="H871" s="70">
        <f t="shared" si="84"/>
        <v>3.3148556971030342E-2</v>
      </c>
      <c r="I871" s="71">
        <f t="shared" si="88"/>
        <v>2.1917195449988738E-2</v>
      </c>
      <c r="L871" s="74"/>
      <c r="M871" s="74"/>
      <c r="N871" s="74"/>
      <c r="O871" s="74"/>
      <c r="P871" s="74"/>
      <c r="Q871" s="74"/>
      <c r="R871" s="74"/>
      <c r="S871" s="74"/>
      <c r="T871" s="74"/>
      <c r="U871" s="74"/>
      <c r="V871" s="74"/>
      <c r="W871" s="74"/>
      <c r="X871" s="74"/>
      <c r="Y871" s="74"/>
      <c r="Z871" s="74"/>
    </row>
    <row r="872" spans="1:26" x14ac:dyDescent="0.3">
      <c r="A872" s="66">
        <f t="shared" si="86"/>
        <v>2076.4999999999213</v>
      </c>
      <c r="B872" s="67">
        <f>LOOKUP(A872+0.01,Amounts!$A$4:$A$103,Amounts!$B$4:$B$103)*0.1*$A$2</f>
        <v>0</v>
      </c>
      <c r="C872" s="68">
        <f t="shared" si="85"/>
        <v>120665.52921499971</v>
      </c>
      <c r="D872" s="67">
        <f t="array" ref="D872">SUM($B$7:$B867*$F$1009*EXP(-$F$1009*($A872-$A$7:$A867)))*$F$1010</f>
        <v>3986279.8218054119</v>
      </c>
      <c r="E872" s="67">
        <f t="shared" si="83"/>
        <v>7.5994905712466538</v>
      </c>
      <c r="F872" s="70">
        <f t="shared" si="87"/>
        <v>0.46144106748609687</v>
      </c>
      <c r="G872" s="67">
        <f>E872/'Lookup Tables'!$C$48</f>
        <v>15.198981142493308</v>
      </c>
      <c r="H872" s="70">
        <f t="shared" si="84"/>
        <v>3.3102181461702136E-2</v>
      </c>
      <c r="I872" s="71">
        <f t="shared" si="88"/>
        <v>2.1886532845190362E-2</v>
      </c>
      <c r="L872" s="74"/>
      <c r="M872" s="74"/>
      <c r="N872" s="74"/>
      <c r="O872" s="74"/>
      <c r="P872" s="74"/>
      <c r="Q872" s="74"/>
      <c r="R872" s="74"/>
      <c r="S872" s="74"/>
      <c r="T872" s="74"/>
      <c r="U872" s="74"/>
      <c r="V872" s="74"/>
      <c r="W872" s="74"/>
      <c r="X872" s="74"/>
      <c r="Y872" s="74"/>
      <c r="Z872" s="74"/>
    </row>
    <row r="873" spans="1:26" x14ac:dyDescent="0.3">
      <c r="A873" s="66">
        <f t="shared" si="86"/>
        <v>2076.5999999999212</v>
      </c>
      <c r="B873" s="67">
        <f>LOOKUP(A873+0.01,Amounts!$A$4:$A$103,Amounts!$B$4:$B$103)*0.1*$A$2</f>
        <v>0</v>
      </c>
      <c r="C873" s="68">
        <f t="shared" si="85"/>
        <v>120665.52921499971</v>
      </c>
      <c r="D873" s="67">
        <f t="array" ref="D873">SUM($B$7:$B868*$F$1009*EXP(-$F$1009*($A873-$A$7:$A868)))*$F$1010</f>
        <v>3980702.9347866951</v>
      </c>
      <c r="E873" s="67">
        <f t="shared" si="83"/>
        <v>7.5888587284733955</v>
      </c>
      <c r="F873" s="70">
        <f t="shared" si="87"/>
        <v>0.46079550199290459</v>
      </c>
      <c r="G873" s="67">
        <f>E873/'Lookup Tables'!$C$48</f>
        <v>15.177717456946791</v>
      </c>
      <c r="H873" s="70">
        <f t="shared" si="84"/>
        <v>3.3055870832660206E-2</v>
      </c>
      <c r="I873" s="71">
        <f t="shared" si="88"/>
        <v>2.1855913138003381E-2</v>
      </c>
      <c r="L873" s="74"/>
      <c r="M873" s="74"/>
      <c r="N873" s="74"/>
      <c r="O873" s="74"/>
      <c r="P873" s="74"/>
      <c r="Q873" s="74"/>
      <c r="R873" s="74"/>
      <c r="S873" s="74"/>
      <c r="T873" s="74"/>
      <c r="U873" s="74"/>
      <c r="V873" s="74"/>
      <c r="W873" s="74"/>
      <c r="X873" s="74"/>
      <c r="Y873" s="74"/>
      <c r="Z873" s="74"/>
    </row>
    <row r="874" spans="1:26" x14ac:dyDescent="0.3">
      <c r="A874" s="66">
        <f t="shared" si="86"/>
        <v>2076.6999999999211</v>
      </c>
      <c r="B874" s="67">
        <f>LOOKUP(A874+0.01,Amounts!$A$4:$A$103,Amounts!$B$4:$B$103)*0.1*$A$2</f>
        <v>0</v>
      </c>
      <c r="C874" s="68">
        <f t="shared" si="85"/>
        <v>120665.52921499971</v>
      </c>
      <c r="D874" s="67">
        <f t="array" ref="D874">SUM($B$7:$B869*$F$1009*EXP(-$F$1009*($A874-$A$7:$A869)))*$F$1010</f>
        <v>3975133.8499470036</v>
      </c>
      <c r="E874" s="67">
        <f t="shared" si="83"/>
        <v>7.5782417598656719</v>
      </c>
      <c r="F874" s="70">
        <f t="shared" si="87"/>
        <v>0.46015083965904358</v>
      </c>
      <c r="G874" s="67">
        <f>E874/'Lookup Tables'!$C$48</f>
        <v>15.156483519731344</v>
      </c>
      <c r="H874" s="70">
        <f t="shared" si="84"/>
        <v>3.3009624993135672E-2</v>
      </c>
      <c r="I874" s="71">
        <f t="shared" si="88"/>
        <v>2.1825336268413136E-2</v>
      </c>
      <c r="L874" s="74"/>
      <c r="M874" s="74"/>
      <c r="N874" s="74"/>
      <c r="O874" s="74"/>
      <c r="P874" s="74"/>
      <c r="Q874" s="74"/>
      <c r="R874" s="74"/>
      <c r="S874" s="74"/>
      <c r="T874" s="74"/>
      <c r="U874" s="74"/>
      <c r="V874" s="74"/>
      <c r="W874" s="74"/>
      <c r="X874" s="74"/>
      <c r="Y874" s="74"/>
      <c r="Z874" s="74"/>
    </row>
    <row r="875" spans="1:26" x14ac:dyDescent="0.3">
      <c r="A875" s="66">
        <f t="shared" si="86"/>
        <v>2076.7999999999211</v>
      </c>
      <c r="B875" s="67">
        <f>LOOKUP(A875+0.01,Amounts!$A$4:$A$103,Amounts!$B$4:$B$103)*0.1*$A$2</f>
        <v>0</v>
      </c>
      <c r="C875" s="68">
        <f t="shared" si="85"/>
        <v>120665.52921499971</v>
      </c>
      <c r="D875" s="67">
        <f t="array" ref="D875">SUM($B$7:$B870*$F$1009*EXP(-$F$1009*($A875-$A$7:$A870)))*$F$1010</f>
        <v>3969572.5563709298</v>
      </c>
      <c r="E875" s="67">
        <f t="shared" si="83"/>
        <v>7.5676396446142231</v>
      </c>
      <c r="F875" s="70">
        <f t="shared" si="87"/>
        <v>0.45950707922097561</v>
      </c>
      <c r="G875" s="67">
        <f>E875/'Lookup Tables'!$C$48</f>
        <v>15.135279289228446</v>
      </c>
      <c r="H875" s="70">
        <f t="shared" si="84"/>
        <v>3.2963443852486694E-2</v>
      </c>
      <c r="I875" s="71">
        <f t="shared" si="88"/>
        <v>2.1794802176488964E-2</v>
      </c>
      <c r="L875" s="74"/>
      <c r="M875" s="74"/>
      <c r="N875" s="74"/>
      <c r="O875" s="74"/>
      <c r="P875" s="74"/>
      <c r="Q875" s="74"/>
      <c r="R875" s="74"/>
      <c r="S875" s="74"/>
      <c r="T875" s="74"/>
      <c r="U875" s="74"/>
      <c r="V875" s="74"/>
      <c r="W875" s="74"/>
      <c r="X875" s="74"/>
      <c r="Y875" s="74"/>
      <c r="Z875" s="74"/>
    </row>
    <row r="876" spans="1:26" x14ac:dyDescent="0.3">
      <c r="A876" s="66">
        <f t="shared" si="86"/>
        <v>2076.899999999921</v>
      </c>
      <c r="B876" s="67">
        <f>LOOKUP(A876+0.01,Amounts!$A$4:$A$103,Amounts!$B$4:$B$103)*0.1*$A$2</f>
        <v>0</v>
      </c>
      <c r="C876" s="68">
        <f t="shared" si="85"/>
        <v>120665.52921499971</v>
      </c>
      <c r="D876" s="67">
        <f t="array" ref="D876">SUM($B$7:$B871*$F$1009*EXP(-$F$1009*($A876-$A$7:$A871)))*$F$1010</f>
        <v>3964019.0431583375</v>
      </c>
      <c r="E876" s="67">
        <f t="shared" si="83"/>
        <v>7.5570523619388998</v>
      </c>
      <c r="F876" s="70">
        <f t="shared" si="87"/>
        <v>0.45886421941693001</v>
      </c>
      <c r="G876" s="67">
        <f>E876/'Lookup Tables'!$C$48</f>
        <v>15.1141047238778</v>
      </c>
      <c r="H876" s="70">
        <f t="shared" si="84"/>
        <v>3.2917327320198218E-2</v>
      </c>
      <c r="I876" s="71">
        <f t="shared" si="88"/>
        <v>2.1764310802384033E-2</v>
      </c>
      <c r="L876" s="74"/>
      <c r="M876" s="74"/>
      <c r="N876" s="74"/>
      <c r="O876" s="74"/>
      <c r="P876" s="74"/>
      <c r="Q876" s="74"/>
      <c r="R876" s="74"/>
      <c r="S876" s="74"/>
      <c r="T876" s="74"/>
      <c r="U876" s="74"/>
      <c r="V876" s="74"/>
      <c r="W876" s="74"/>
      <c r="X876" s="74"/>
      <c r="Y876" s="74"/>
      <c r="Z876" s="74"/>
    </row>
    <row r="877" spans="1:26" x14ac:dyDescent="0.3">
      <c r="A877" s="66">
        <f t="shared" si="86"/>
        <v>2076.9999999999209</v>
      </c>
      <c r="B877" s="67">
        <f>LOOKUP(A877+0.01,Amounts!$A$4:$A$103,Amounts!$B$4:$B$103)*0.1*$A$2</f>
        <v>0</v>
      </c>
      <c r="C877" s="68">
        <f t="shared" si="85"/>
        <v>120665.52921499971</v>
      </c>
      <c r="D877" s="67">
        <f t="array" ref="D877">SUM($B$7:$B872*$F$1009*EXP(-$F$1009*($A877-$A$7:$A872)))*$F$1010</f>
        <v>3958473.2994243391</v>
      </c>
      <c r="E877" s="67">
        <f t="shared" si="83"/>
        <v>7.5464798910886266</v>
      </c>
      <c r="F877" s="70">
        <f t="shared" si="87"/>
        <v>0.45822225898690144</v>
      </c>
      <c r="G877" s="67">
        <f>E877/'Lookup Tables'!$C$48</f>
        <v>15.092959782177253</v>
      </c>
      <c r="H877" s="70">
        <f t="shared" si="84"/>
        <v>3.2871275305881832E-2</v>
      </c>
      <c r="I877" s="71">
        <f t="shared" si="88"/>
        <v>2.1733862086335244E-2</v>
      </c>
      <c r="L877" s="74"/>
      <c r="M877" s="74"/>
      <c r="N877" s="74"/>
      <c r="O877" s="74"/>
      <c r="P877" s="74"/>
      <c r="Q877" s="74"/>
      <c r="R877" s="74"/>
      <c r="S877" s="74"/>
      <c r="T877" s="74"/>
      <c r="U877" s="74"/>
      <c r="V877" s="74"/>
      <c r="W877" s="74"/>
      <c r="X877" s="74"/>
      <c r="Y877" s="74"/>
      <c r="Z877" s="74"/>
    </row>
    <row r="878" spans="1:26" x14ac:dyDescent="0.3">
      <c r="A878" s="66">
        <f t="shared" si="86"/>
        <v>2077.0999999999208</v>
      </c>
      <c r="B878" s="67">
        <f>LOOKUP(A878+0.01,Amounts!$A$4:$A$103,Amounts!$B$4:$B$103)*0.1*$A$2</f>
        <v>0</v>
      </c>
      <c r="C878" s="68">
        <f t="shared" si="85"/>
        <v>120665.52921499971</v>
      </c>
      <c r="D878" s="67">
        <f t="array" ref="D878">SUM($B$7:$B873*$F$1009*EXP(-$F$1009*($A878-$A$7:$A873)))*$F$1010</f>
        <v>3952935.314299277</v>
      </c>
      <c r="E878" s="67">
        <f t="shared" si="83"/>
        <v>7.5359222113413606</v>
      </c>
      <c r="F878" s="70">
        <f t="shared" si="87"/>
        <v>0.45758119667264746</v>
      </c>
      <c r="G878" s="67">
        <f>E878/'Lookup Tables'!$C$48</f>
        <v>15.071844422682721</v>
      </c>
      <c r="H878" s="70">
        <f t="shared" si="84"/>
        <v>3.2825287719275585E-2</v>
      </c>
      <c r="I878" s="71">
        <f t="shared" si="88"/>
        <v>2.1703455968663118E-2</v>
      </c>
      <c r="L878" s="74"/>
      <c r="M878" s="74"/>
      <c r="N878" s="74"/>
      <c r="O878" s="74"/>
      <c r="P878" s="74"/>
      <c r="Q878" s="74"/>
      <c r="R878" s="74"/>
      <c r="S878" s="74"/>
      <c r="T878" s="74"/>
      <c r="U878" s="74"/>
      <c r="V878" s="74"/>
      <c r="W878" s="74"/>
      <c r="X878" s="74"/>
      <c r="Y878" s="74"/>
      <c r="Z878" s="74"/>
    </row>
    <row r="879" spans="1:26" x14ac:dyDescent="0.3">
      <c r="A879" s="66">
        <f t="shared" si="86"/>
        <v>2077.1999999999207</v>
      </c>
      <c r="B879" s="67">
        <f>LOOKUP(A879+0.01,Amounts!$A$4:$A$103,Amounts!$B$4:$B$103)*0.1*$A$2</f>
        <v>0</v>
      </c>
      <c r="C879" s="68">
        <f t="shared" si="85"/>
        <v>120665.52921499971</v>
      </c>
      <c r="D879" s="67">
        <f t="array" ref="D879">SUM($B$7:$B874*$F$1009*EXP(-$F$1009*($A879-$A$7:$A874)))*$F$1010</f>
        <v>3947405.0769286938</v>
      </c>
      <c r="E879" s="67">
        <f t="shared" si="83"/>
        <v>7.5253793020040343</v>
      </c>
      <c r="F879" s="70">
        <f t="shared" si="87"/>
        <v>0.45694103121768492</v>
      </c>
      <c r="G879" s="67">
        <f>E879/'Lookup Tables'!$C$48</f>
        <v>15.050758604008069</v>
      </c>
      <c r="H879" s="70">
        <f t="shared" si="84"/>
        <v>3.2779364470243745E-2</v>
      </c>
      <c r="I879" s="71">
        <f t="shared" si="88"/>
        <v>2.1673092389771616E-2</v>
      </c>
      <c r="L879" s="74"/>
      <c r="M879" s="74"/>
      <c r="N879" s="74"/>
      <c r="O879" s="74"/>
      <c r="P879" s="74"/>
      <c r="Q879" s="74"/>
      <c r="R879" s="74"/>
      <c r="S879" s="74"/>
      <c r="T879" s="74"/>
      <c r="U879" s="74"/>
      <c r="V879" s="74"/>
      <c r="W879" s="74"/>
      <c r="X879" s="74"/>
      <c r="Y879" s="74"/>
      <c r="Z879" s="74"/>
    </row>
    <row r="880" spans="1:26" x14ac:dyDescent="0.3">
      <c r="A880" s="66">
        <f t="shared" si="86"/>
        <v>2077.2999999999206</v>
      </c>
      <c r="B880" s="67">
        <f>LOOKUP(A880+0.01,Amounts!$A$4:$A$103,Amounts!$B$4:$B$103)*0.1*$A$2</f>
        <v>0</v>
      </c>
      <c r="C880" s="68">
        <f t="shared" si="85"/>
        <v>120665.52921499971</v>
      </c>
      <c r="D880" s="67">
        <f t="array" ref="D880">SUM($B$7:$B875*$F$1009*EXP(-$F$1009*($A880-$A$7:$A875)))*$F$1010</f>
        <v>3941882.576473326</v>
      </c>
      <c r="E880" s="67">
        <f t="shared" si="83"/>
        <v>7.5148511424125521</v>
      </c>
      <c r="F880" s="70">
        <f t="shared" si="87"/>
        <v>0.45630176136729017</v>
      </c>
      <c r="G880" s="67">
        <f>E880/'Lookup Tables'!$C$48</f>
        <v>15.029702284825104</v>
      </c>
      <c r="H880" s="70">
        <f t="shared" si="84"/>
        <v>3.2733505468776777E-2</v>
      </c>
      <c r="I880" s="71">
        <f t="shared" si="88"/>
        <v>2.164277129014815E-2</v>
      </c>
      <c r="L880" s="74"/>
      <c r="M880" s="74"/>
      <c r="N880" s="74"/>
      <c r="O880" s="74"/>
      <c r="P880" s="74"/>
      <c r="Q880" s="74"/>
      <c r="R880" s="74"/>
      <c r="S880" s="74"/>
      <c r="T880" s="74"/>
      <c r="U880" s="74"/>
      <c r="V880" s="74"/>
      <c r="W880" s="74"/>
      <c r="X880" s="74"/>
      <c r="Y880" s="74"/>
      <c r="Z880" s="74"/>
    </row>
    <row r="881" spans="1:26" x14ac:dyDescent="0.3">
      <c r="A881" s="66">
        <f t="shared" si="86"/>
        <v>2077.3999999999205</v>
      </c>
      <c r="B881" s="67">
        <f>LOOKUP(A881+0.01,Amounts!$A$4:$A$103,Amounts!$B$4:$B$103)*0.1*$A$2</f>
        <v>0</v>
      </c>
      <c r="C881" s="68">
        <f t="shared" si="85"/>
        <v>120665.52921499971</v>
      </c>
      <c r="D881" s="67">
        <f t="array" ref="D881">SUM($B$7:$B876*$F$1009*EXP(-$F$1009*($A881-$A$7:$A876)))*$F$1010</f>
        <v>3936367.8021090711</v>
      </c>
      <c r="E881" s="67">
        <f t="shared" si="83"/>
        <v>7.5043377119317167</v>
      </c>
      <c r="F881" s="70">
        <f t="shared" si="87"/>
        <v>0.45566338586849386</v>
      </c>
      <c r="G881" s="67">
        <f>E881/'Lookup Tables'!$C$48</f>
        <v>15.008675423863433</v>
      </c>
      <c r="H881" s="70">
        <f t="shared" si="84"/>
        <v>3.2687710624991019E-2</v>
      </c>
      <c r="I881" s="71">
        <f t="shared" si="88"/>
        <v>2.1612492610363344E-2</v>
      </c>
      <c r="L881" s="74"/>
      <c r="M881" s="74"/>
      <c r="N881" s="74"/>
      <c r="O881" s="74"/>
      <c r="P881" s="74"/>
      <c r="Q881" s="74"/>
      <c r="R881" s="74"/>
      <c r="S881" s="74"/>
      <c r="T881" s="74"/>
      <c r="U881" s="74"/>
      <c r="V881" s="74"/>
      <c r="W881" s="74"/>
      <c r="X881" s="74"/>
      <c r="Y881" s="74"/>
      <c r="Z881" s="74"/>
    </row>
    <row r="882" spans="1:26" x14ac:dyDescent="0.3">
      <c r="A882" s="66">
        <f t="shared" si="86"/>
        <v>2077.4999999999204</v>
      </c>
      <c r="B882" s="67">
        <f>LOOKUP(A882+0.01,Amounts!$A$4:$A$103,Amounts!$B$4:$B$103)*0.1*$A$2</f>
        <v>0</v>
      </c>
      <c r="C882" s="68">
        <f t="shared" si="85"/>
        <v>120665.52921499971</v>
      </c>
      <c r="D882" s="67">
        <f t="array" ref="D882">SUM($B$7:$B877*$F$1009*EXP(-$F$1009*($A882-$A$7:$A877)))*$F$1010</f>
        <v>3930860.7430269672</v>
      </c>
      <c r="E882" s="67">
        <f t="shared" si="83"/>
        <v>7.4938389899551971</v>
      </c>
      <c r="F882" s="70">
        <f t="shared" si="87"/>
        <v>0.4550259034700796</v>
      </c>
      <c r="G882" s="67">
        <f>E882/'Lookup Tables'!$C$48</f>
        <v>14.987677979910394</v>
      </c>
      <c r="H882" s="70">
        <f t="shared" si="84"/>
        <v>3.264197984912854E-2</v>
      </c>
      <c r="I882" s="71">
        <f t="shared" si="88"/>
        <v>2.1582256291070967E-2</v>
      </c>
      <c r="L882" s="74"/>
      <c r="M882" s="74"/>
      <c r="N882" s="74"/>
      <c r="O882" s="74"/>
      <c r="P882" s="74"/>
      <c r="Q882" s="74"/>
      <c r="R882" s="74"/>
      <c r="S882" s="74"/>
      <c r="T882" s="74"/>
      <c r="U882" s="74"/>
      <c r="V882" s="74"/>
      <c r="W882" s="74"/>
      <c r="X882" s="74"/>
      <c r="Y882" s="74"/>
      <c r="Z882" s="74"/>
    </row>
    <row r="883" spans="1:26" x14ac:dyDescent="0.3">
      <c r="A883" s="66">
        <f t="shared" si="86"/>
        <v>2077.5999999999203</v>
      </c>
      <c r="B883" s="67">
        <f>LOOKUP(A883+0.01,Amounts!$A$4:$A$103,Amounts!$B$4:$B$103)*0.1*$A$2</f>
        <v>0</v>
      </c>
      <c r="C883" s="68">
        <f t="shared" si="85"/>
        <v>120665.52921499971</v>
      </c>
      <c r="D883" s="67">
        <f t="array" ref="D883">SUM($B$7:$B878*$F$1009*EXP(-$F$1009*($A883-$A$7:$A878)))*$F$1010</f>
        <v>3925361.388433177</v>
      </c>
      <c r="E883" s="67">
        <f t="shared" si="83"/>
        <v>7.4833549559054946</v>
      </c>
      <c r="F883" s="70">
        <f t="shared" si="87"/>
        <v>0.45438931292258161</v>
      </c>
      <c r="G883" s="67">
        <f>E883/'Lookup Tables'!$C$48</f>
        <v>14.966709911810989</v>
      </c>
      <c r="H883" s="70">
        <f t="shared" si="84"/>
        <v>3.2596313051557003E-2</v>
      </c>
      <c r="I883" s="71">
        <f t="shared" si="88"/>
        <v>2.1552062273007825E-2</v>
      </c>
      <c r="L883" s="74"/>
      <c r="M883" s="74"/>
      <c r="N883" s="74"/>
      <c r="O883" s="74"/>
      <c r="P883" s="74"/>
      <c r="Q883" s="74"/>
      <c r="R883" s="74"/>
      <c r="S883" s="74"/>
      <c r="T883" s="74"/>
      <c r="U883" s="74"/>
      <c r="V883" s="74"/>
      <c r="W883" s="74"/>
      <c r="X883" s="74"/>
      <c r="Y883" s="74"/>
      <c r="Z883" s="74"/>
    </row>
    <row r="884" spans="1:26" x14ac:dyDescent="0.3">
      <c r="A884" s="66">
        <f t="shared" si="86"/>
        <v>2077.6999999999202</v>
      </c>
      <c r="B884" s="67">
        <f>LOOKUP(A884+0.01,Amounts!$A$4:$A$103,Amounts!$B$4:$B$103)*0.1*$A$2</f>
        <v>0</v>
      </c>
      <c r="C884" s="68">
        <f t="shared" si="85"/>
        <v>120665.52921499971</v>
      </c>
      <c r="D884" s="67">
        <f t="array" ref="D884">SUM($B$7:$B879*$F$1009*EXP(-$F$1009*($A884-$A$7:$A879)))*$F$1010</f>
        <v>3919869.7275489648</v>
      </c>
      <c r="E884" s="67">
        <f t="shared" si="83"/>
        <v>7.4728855892339014</v>
      </c>
      <c r="F884" s="70">
        <f t="shared" si="87"/>
        <v>0.45375361297828248</v>
      </c>
      <c r="G884" s="67">
        <f>E884/'Lookup Tables'!$C$48</f>
        <v>14.945771178467803</v>
      </c>
      <c r="H884" s="70">
        <f t="shared" si="84"/>
        <v>3.2550710142769487E-2</v>
      </c>
      <c r="I884" s="71">
        <f t="shared" si="88"/>
        <v>2.1521910496993639E-2</v>
      </c>
      <c r="L884" s="74"/>
      <c r="M884" s="74"/>
      <c r="N884" s="74"/>
      <c r="O884" s="74"/>
      <c r="P884" s="74"/>
      <c r="Q884" s="74"/>
      <c r="R884" s="74"/>
      <c r="S884" s="74"/>
      <c r="T884" s="74"/>
      <c r="U884" s="74"/>
      <c r="V884" s="74"/>
      <c r="W884" s="74"/>
      <c r="X884" s="74"/>
      <c r="Y884" s="74"/>
      <c r="Z884" s="74"/>
    </row>
    <row r="885" spans="1:26" x14ac:dyDescent="0.3">
      <c r="A885" s="66">
        <f t="shared" si="86"/>
        <v>2077.7999999999201</v>
      </c>
      <c r="B885" s="67">
        <f>LOOKUP(A885+0.01,Amounts!$A$4:$A$103,Amounts!$B$4:$B$103)*0.1*$A$2</f>
        <v>0</v>
      </c>
      <c r="C885" s="68">
        <f t="shared" si="85"/>
        <v>120665.52921499971</v>
      </c>
      <c r="D885" s="67">
        <f t="array" ref="D885">SUM($B$7:$B880*$F$1009*EXP(-$F$1009*($A885-$A$7:$A880)))*$F$1010</f>
        <v>3914385.7496106755</v>
      </c>
      <c r="E885" s="67">
        <f t="shared" si="83"/>
        <v>7.4624308694204586</v>
      </c>
      <c r="F885" s="70">
        <f t="shared" si="87"/>
        <v>0.45311880239121022</v>
      </c>
      <c r="G885" s="67">
        <f>E885/'Lookup Tables'!$C$48</f>
        <v>14.924861738840917</v>
      </c>
      <c r="H885" s="70">
        <f t="shared" si="84"/>
        <v>3.2505171033384281E-2</v>
      </c>
      <c r="I885" s="71">
        <f t="shared" si="88"/>
        <v>2.1491800903930922E-2</v>
      </c>
      <c r="L885" s="74"/>
      <c r="M885" s="74"/>
      <c r="N885" s="74"/>
      <c r="O885" s="74"/>
      <c r="P885" s="74"/>
      <c r="Q885" s="74"/>
      <c r="R885" s="74"/>
      <c r="S885" s="74"/>
      <c r="T885" s="74"/>
      <c r="U885" s="74"/>
      <c r="V885" s="74"/>
      <c r="W885" s="74"/>
      <c r="X885" s="74"/>
      <c r="Y885" s="74"/>
      <c r="Z885" s="74"/>
    </row>
    <row r="886" spans="1:26" x14ac:dyDescent="0.3">
      <c r="A886" s="66">
        <f t="shared" si="86"/>
        <v>2077.8999999999201</v>
      </c>
      <c r="B886" s="67">
        <f>LOOKUP(A886+0.01,Amounts!$A$4:$A$103,Amounts!$B$4:$B$103)*0.1*$A$2</f>
        <v>0</v>
      </c>
      <c r="C886" s="68">
        <f t="shared" si="85"/>
        <v>120665.52921499971</v>
      </c>
      <c r="D886" s="67">
        <f t="array" ref="D886">SUM($B$7:$B881*$F$1009*EXP(-$F$1009*($A886-$A$7:$A881)))*$F$1010</f>
        <v>3908909.4438697067</v>
      </c>
      <c r="E886" s="67">
        <f t="shared" si="83"/>
        <v>7.4519907759739059</v>
      </c>
      <c r="F886" s="70">
        <f t="shared" si="87"/>
        <v>0.45248487991713554</v>
      </c>
      <c r="G886" s="67">
        <f>E886/'Lookup Tables'!$C$48</f>
        <v>14.903981551947812</v>
      </c>
      <c r="H886" s="70">
        <f t="shared" si="84"/>
        <v>3.2459695634144685E-2</v>
      </c>
      <c r="I886" s="71">
        <f t="shared" si="88"/>
        <v>2.1461733434804845E-2</v>
      </c>
      <c r="L886" s="74"/>
      <c r="M886" s="74"/>
      <c r="N886" s="74"/>
      <c r="O886" s="74"/>
      <c r="P886" s="74"/>
      <c r="Q886" s="74"/>
      <c r="R886" s="74"/>
      <c r="S886" s="74"/>
      <c r="T886" s="74"/>
      <c r="U886" s="74"/>
      <c r="V886" s="74"/>
      <c r="W886" s="74"/>
      <c r="X886" s="74"/>
      <c r="Y886" s="74"/>
      <c r="Z886" s="74"/>
    </row>
    <row r="887" spans="1:26" x14ac:dyDescent="0.3">
      <c r="A887" s="66">
        <f t="shared" si="86"/>
        <v>2077.99999999992</v>
      </c>
      <c r="B887" s="67">
        <f>LOOKUP(A887+0.01,Amounts!$A$4:$A$103,Amounts!$B$4:$B$103)*0.1*$A$2</f>
        <v>0</v>
      </c>
      <c r="C887" s="68">
        <f t="shared" si="85"/>
        <v>120665.52921499971</v>
      </c>
      <c r="D887" s="67">
        <f t="array" ref="D887">SUM($B$7:$B882*$F$1009*EXP(-$F$1009*($A887-$A$7:$A882)))*$F$1010</f>
        <v>3903440.7995925006</v>
      </c>
      <c r="E887" s="67">
        <f t="shared" si="83"/>
        <v>7.4415652884316623</v>
      </c>
      <c r="F887" s="70">
        <f t="shared" si="87"/>
        <v>0.45185184431357051</v>
      </c>
      <c r="G887" s="67">
        <f>E887/'Lookup Tables'!$C$48</f>
        <v>14.883130576863325</v>
      </c>
      <c r="H887" s="70">
        <f t="shared" si="84"/>
        <v>3.2414283855918956E-2</v>
      </c>
      <c r="I887" s="71">
        <f t="shared" si="88"/>
        <v>2.1431708030683189E-2</v>
      </c>
      <c r="L887" s="74"/>
      <c r="M887" s="74"/>
      <c r="N887" s="74"/>
      <c r="O887" s="74"/>
      <c r="P887" s="74"/>
      <c r="Q887" s="74"/>
      <c r="R887" s="74"/>
      <c r="S887" s="74"/>
      <c r="T887" s="74"/>
      <c r="U887" s="74"/>
      <c r="V887" s="74"/>
      <c r="W887" s="74"/>
      <c r="X887" s="74"/>
      <c r="Y887" s="74"/>
      <c r="Z887" s="74"/>
    </row>
    <row r="888" spans="1:26" x14ac:dyDescent="0.3">
      <c r="A888" s="66">
        <f t="shared" si="86"/>
        <v>2078.0999999999199</v>
      </c>
      <c r="B888" s="67">
        <f>LOOKUP(A888+0.01,Amounts!$A$4:$A$103,Amounts!$B$4:$B$103)*0.1*$A$2</f>
        <v>0</v>
      </c>
      <c r="C888" s="68">
        <f t="shared" si="85"/>
        <v>120665.52921499971</v>
      </c>
      <c r="D888" s="67">
        <f t="array" ref="D888">SUM($B$7:$B883*$F$1009*EXP(-$F$1009*($A888-$A$7:$A883)))*$F$1010</f>
        <v>3897979.8060605098</v>
      </c>
      <c r="E888" s="67">
        <f t="shared" si="83"/>
        <v>7.431154386359764</v>
      </c>
      <c r="F888" s="70">
        <f t="shared" si="87"/>
        <v>0.45121969433976489</v>
      </c>
      <c r="G888" s="67">
        <f>E888/'Lookup Tables'!$C$48</f>
        <v>14.862308772719528</v>
      </c>
      <c r="H888" s="70">
        <f t="shared" si="84"/>
        <v>3.2368935609699938E-2</v>
      </c>
      <c r="I888" s="71">
        <f t="shared" si="88"/>
        <v>2.140172463271612E-2</v>
      </c>
      <c r="L888" s="74"/>
      <c r="M888" s="74"/>
      <c r="N888" s="74"/>
      <c r="O888" s="74"/>
      <c r="P888" s="74"/>
      <c r="Q888" s="74"/>
      <c r="R888" s="74"/>
      <c r="S888" s="74"/>
      <c r="T888" s="74"/>
      <c r="U888" s="74"/>
      <c r="V888" s="74"/>
      <c r="W888" s="74"/>
      <c r="X888" s="74"/>
      <c r="Y888" s="74"/>
      <c r="Z888" s="74"/>
    </row>
    <row r="889" spans="1:26" x14ac:dyDescent="0.3">
      <c r="A889" s="66">
        <f t="shared" si="86"/>
        <v>2078.1999999999198</v>
      </c>
      <c r="B889" s="67">
        <f>LOOKUP(A889+0.01,Amounts!$A$4:$A$103,Amounts!$B$4:$B$103)*0.1*$A$2</f>
        <v>0</v>
      </c>
      <c r="C889" s="68">
        <f t="shared" si="85"/>
        <v>120665.52921499971</v>
      </c>
      <c r="D889" s="67">
        <f t="array" ref="D889">SUM($B$7:$B884*$F$1009*EXP(-$F$1009*($A889-$A$7:$A884)))*$F$1010</f>
        <v>3892526.4525701855</v>
      </c>
      <c r="E889" s="67">
        <f t="shared" si="83"/>
        <v>7.4207580493528384</v>
      </c>
      <c r="F889" s="70">
        <f t="shared" si="87"/>
        <v>0.4505884287567043</v>
      </c>
      <c r="G889" s="67">
        <f>E889/'Lookup Tables'!$C$48</f>
        <v>14.841516098705677</v>
      </c>
      <c r="H889" s="70">
        <f t="shared" si="84"/>
        <v>3.2323650806605063E-2</v>
      </c>
      <c r="I889" s="71">
        <f t="shared" si="88"/>
        <v>2.1371783182136176E-2</v>
      </c>
      <c r="L889" s="74"/>
      <c r="M889" s="74"/>
      <c r="N889" s="74"/>
      <c r="O889" s="74"/>
      <c r="P889" s="74"/>
      <c r="Q889" s="74"/>
      <c r="R889" s="74"/>
      <c r="S889" s="74"/>
      <c r="T889" s="74"/>
      <c r="U889" s="74"/>
      <c r="V889" s="74"/>
      <c r="W889" s="74"/>
      <c r="X889" s="74"/>
      <c r="Y889" s="74"/>
      <c r="Z889" s="74"/>
    </row>
    <row r="890" spans="1:26" x14ac:dyDescent="0.3">
      <c r="A890" s="66">
        <f t="shared" si="86"/>
        <v>2078.2999999999197</v>
      </c>
      <c r="B890" s="67">
        <f>LOOKUP(A890+0.01,Amounts!$A$4:$A$103,Amounts!$B$4:$B$103)*0.1*$A$2</f>
        <v>0</v>
      </c>
      <c r="C890" s="68">
        <f t="shared" si="85"/>
        <v>120665.52921499971</v>
      </c>
      <c r="D890" s="67">
        <f t="array" ref="D890">SUM($B$7:$B885*$F$1009*EXP(-$F$1009*($A890-$A$7:$A885)))*$F$1010</f>
        <v>3887080.7284329566</v>
      </c>
      <c r="E890" s="67">
        <f t="shared" si="83"/>
        <v>7.4103762570340699</v>
      </c>
      <c r="F890" s="70">
        <f t="shared" si="87"/>
        <v>0.44995804632710867</v>
      </c>
      <c r="G890" s="67">
        <f>E890/'Lookup Tables'!$C$48</f>
        <v>14.82075251406814</v>
      </c>
      <c r="H890" s="70">
        <f t="shared" si="84"/>
        <v>3.2278429357876136E-2</v>
      </c>
      <c r="I890" s="71">
        <f t="shared" si="88"/>
        <v>2.1341883620258122E-2</v>
      </c>
      <c r="L890" s="74"/>
      <c r="M890" s="74"/>
      <c r="N890" s="74"/>
      <c r="O890" s="74"/>
      <c r="P890" s="74"/>
      <c r="Q890" s="74"/>
      <c r="R890" s="74"/>
      <c r="S890" s="74"/>
      <c r="T890" s="74"/>
      <c r="U890" s="74"/>
      <c r="V890" s="74"/>
      <c r="W890" s="74"/>
      <c r="X890" s="74"/>
      <c r="Y890" s="74"/>
      <c r="Z890" s="74"/>
    </row>
    <row r="891" spans="1:26" x14ac:dyDescent="0.3">
      <c r="A891" s="66">
        <f t="shared" si="86"/>
        <v>2078.3999999999196</v>
      </c>
      <c r="B891" s="67">
        <f>LOOKUP(A891+0.01,Amounts!$A$4:$A$103,Amounts!$B$4:$B$103)*0.1*$A$2</f>
        <v>0</v>
      </c>
      <c r="C891" s="68">
        <f t="shared" si="85"/>
        <v>120665.52921499971</v>
      </c>
      <c r="D891" s="67">
        <f t="array" ref="D891">SUM($B$7:$B886*$F$1009*EXP(-$F$1009*($A891-$A$7:$A886)))*$F$1010</f>
        <v>3881642.622975199</v>
      </c>
      <c r="E891" s="67">
        <f t="shared" si="83"/>
        <v>7.4000089890551353</v>
      </c>
      <c r="F891" s="70">
        <f t="shared" si="87"/>
        <v>0.4493285458154278</v>
      </c>
      <c r="G891" s="67">
        <f>E891/'Lookup Tables'!$C$48</f>
        <v>14.800017978110271</v>
      </c>
      <c r="H891" s="70">
        <f t="shared" si="84"/>
        <v>3.2233271174879077E-2</v>
      </c>
      <c r="I891" s="71">
        <f t="shared" si="88"/>
        <v>2.1312025888478792E-2</v>
      </c>
      <c r="L891" s="74"/>
      <c r="M891" s="74"/>
      <c r="N891" s="74"/>
      <c r="O891" s="74"/>
      <c r="P891" s="74"/>
      <c r="Q891" s="74"/>
      <c r="R891" s="74"/>
      <c r="S891" s="74"/>
      <c r="T891" s="74"/>
      <c r="U891" s="74"/>
      <c r="V891" s="74"/>
      <c r="W891" s="74"/>
      <c r="X891" s="74"/>
      <c r="Y891" s="74"/>
      <c r="Z891" s="74"/>
    </row>
    <row r="892" spans="1:26" x14ac:dyDescent="0.3">
      <c r="A892" s="66">
        <f t="shared" si="86"/>
        <v>2078.4999999999195</v>
      </c>
      <c r="B892" s="67">
        <f>LOOKUP(A892+0.01,Amounts!$A$4:$A$103,Amounts!$B$4:$B$103)*0.1*$A$2</f>
        <v>0</v>
      </c>
      <c r="C892" s="68">
        <f t="shared" si="85"/>
        <v>120665.52921499971</v>
      </c>
      <c r="D892" s="67">
        <f t="array" ref="D892">SUM($B$7:$B887*$F$1009*EXP(-$F$1009*($A892-$A$7:$A887)))*$F$1010</f>
        <v>3876212.1255382253</v>
      </c>
      <c r="E892" s="67">
        <f t="shared" si="83"/>
        <v>7.3896562250961901</v>
      </c>
      <c r="F892" s="70">
        <f t="shared" si="87"/>
        <v>0.4486999259878407</v>
      </c>
      <c r="G892" s="67">
        <f>E892/'Lookup Tables'!$C$48</f>
        <v>14.77931245019238</v>
      </c>
      <c r="H892" s="70">
        <f t="shared" si="84"/>
        <v>3.2188176169103848E-2</v>
      </c>
      <c r="I892" s="71">
        <f t="shared" si="88"/>
        <v>2.1282209928277028E-2</v>
      </c>
      <c r="L892" s="74"/>
      <c r="M892" s="74"/>
      <c r="N892" s="74"/>
      <c r="O892" s="74"/>
      <c r="P892" s="74"/>
      <c r="Q892" s="74"/>
      <c r="R892" s="74"/>
      <c r="S892" s="74"/>
      <c r="T892" s="74"/>
      <c r="U892" s="74"/>
      <c r="V892" s="74"/>
      <c r="W892" s="74"/>
      <c r="X892" s="74"/>
      <c r="Y892" s="74"/>
      <c r="Z892" s="74"/>
    </row>
    <row r="893" spans="1:26" x14ac:dyDescent="0.3">
      <c r="A893" s="66">
        <f t="shared" si="86"/>
        <v>2078.5999999999194</v>
      </c>
      <c r="B893" s="67">
        <f>LOOKUP(A893+0.01,Amounts!$A$4:$A$103,Amounts!$B$4:$B$103)*0.1*$A$2</f>
        <v>0</v>
      </c>
      <c r="C893" s="68">
        <f t="shared" si="85"/>
        <v>120665.52921499971</v>
      </c>
      <c r="D893" s="67">
        <f t="array" ref="D893">SUM($B$7:$B888*$F$1009*EXP(-$F$1009*($A893-$A$7:$A888)))*$F$1010</f>
        <v>3870789.2254782589</v>
      </c>
      <c r="E893" s="67">
        <f t="shared" si="83"/>
        <v>7.3793179448658117</v>
      </c>
      <c r="F893" s="70">
        <f t="shared" si="87"/>
        <v>0.44807218561225204</v>
      </c>
      <c r="G893" s="67">
        <f>E893/'Lookup Tables'!$C$48</f>
        <v>14.758635889731623</v>
      </c>
      <c r="H893" s="70">
        <f t="shared" si="84"/>
        <v>3.2143144252164212E-2</v>
      </c>
      <c r="I893" s="71">
        <f t="shared" si="88"/>
        <v>2.1252435681213537E-2</v>
      </c>
      <c r="L893" s="74"/>
      <c r="M893" s="74"/>
      <c r="N893" s="74"/>
      <c r="O893" s="74"/>
      <c r="P893" s="74"/>
      <c r="Q893" s="74"/>
      <c r="R893" s="74"/>
      <c r="S893" s="74"/>
      <c r="T893" s="74"/>
      <c r="U893" s="74"/>
      <c r="V893" s="74"/>
      <c r="W893" s="74"/>
      <c r="X893" s="74"/>
      <c r="Y893" s="74"/>
      <c r="Z893" s="74"/>
    </row>
    <row r="894" spans="1:26" x14ac:dyDescent="0.3">
      <c r="A894" s="66">
        <f t="shared" si="86"/>
        <v>2078.6999999999193</v>
      </c>
      <c r="B894" s="67">
        <f>LOOKUP(A894+0.01,Amounts!$A$4:$A$103,Amounts!$B$4:$B$103)*0.1*$A$2</f>
        <v>0</v>
      </c>
      <c r="C894" s="68">
        <f t="shared" si="85"/>
        <v>120665.52921499971</v>
      </c>
      <c r="D894" s="67">
        <f t="array" ref="D894">SUM($B$7:$B889*$F$1009*EXP(-$F$1009*($A894-$A$7:$A889)))*$F$1010</f>
        <v>3865373.9121664143</v>
      </c>
      <c r="E894" s="67">
        <f t="shared" si="83"/>
        <v>7.3689941281009688</v>
      </c>
      <c r="F894" s="70">
        <f t="shared" si="87"/>
        <v>0.44744532345829086</v>
      </c>
      <c r="G894" s="67">
        <f>E894/'Lookup Tables'!$C$48</f>
        <v>14.737988256201938</v>
      </c>
      <c r="H894" s="70">
        <f t="shared" si="84"/>
        <v>3.2098175335797605E-2</v>
      </c>
      <c r="I894" s="71">
        <f t="shared" si="88"/>
        <v>2.1222703088930789E-2</v>
      </c>
      <c r="L894" s="74"/>
      <c r="M894" s="74"/>
      <c r="N894" s="74"/>
      <c r="O894" s="74"/>
      <c r="P894" s="74"/>
      <c r="Q894" s="74"/>
      <c r="R894" s="74"/>
      <c r="S894" s="74"/>
      <c r="T894" s="74"/>
      <c r="U894" s="74"/>
      <c r="V894" s="74"/>
      <c r="W894" s="74"/>
      <c r="X894" s="74"/>
      <c r="Y894" s="74"/>
      <c r="Z894" s="74"/>
    </row>
    <row r="895" spans="1:26" x14ac:dyDescent="0.3">
      <c r="A895" s="66">
        <f t="shared" si="86"/>
        <v>2078.7999999999192</v>
      </c>
      <c r="B895" s="67">
        <f>LOOKUP(A895+0.01,Amounts!$A$4:$A$103,Amounts!$B$4:$B$103)*0.1*$A$2</f>
        <v>0</v>
      </c>
      <c r="C895" s="68">
        <f t="shared" si="85"/>
        <v>120665.52921499971</v>
      </c>
      <c r="D895" s="67">
        <f t="array" ref="D895">SUM($B$7:$B890*$F$1009*EXP(-$F$1009*($A895-$A$7:$A890)))*$F$1010</f>
        <v>3859966.1749886754</v>
      </c>
      <c r="E895" s="67">
        <f t="shared" si="83"/>
        <v>7.3586847545669771</v>
      </c>
      <c r="F895" s="70">
        <f t="shared" si="87"/>
        <v>0.44681933829730686</v>
      </c>
      <c r="G895" s="67">
        <f>E895/'Lookup Tables'!$C$48</f>
        <v>14.717369509133954</v>
      </c>
      <c r="H895" s="70">
        <f t="shared" si="84"/>
        <v>3.2053269331864941E-2</v>
      </c>
      <c r="I895" s="71">
        <f t="shared" si="88"/>
        <v>2.1193012093152896E-2</v>
      </c>
      <c r="L895" s="74"/>
      <c r="M895" s="74"/>
      <c r="N895" s="74"/>
      <c r="O895" s="74"/>
      <c r="P895" s="74"/>
      <c r="Q895" s="74"/>
      <c r="R895" s="74"/>
      <c r="S895" s="74"/>
      <c r="T895" s="74"/>
      <c r="U895" s="74"/>
      <c r="V895" s="74"/>
      <c r="W895" s="74"/>
      <c r="X895" s="74"/>
      <c r="Y895" s="74"/>
      <c r="Z895" s="74"/>
    </row>
    <row r="896" spans="1:26" x14ac:dyDescent="0.3">
      <c r="A896" s="66">
        <f t="shared" si="86"/>
        <v>2078.8999999999191</v>
      </c>
      <c r="B896" s="67">
        <f>LOOKUP(A896+0.01,Amounts!$A$4:$A$103,Amounts!$B$4:$B$103)*0.1*$A$2</f>
        <v>0</v>
      </c>
      <c r="C896" s="68">
        <f t="shared" si="85"/>
        <v>120665.52921499971</v>
      </c>
      <c r="D896" s="67">
        <f t="array" ref="D896">SUM($B$7:$B891*$F$1009*EXP(-$F$1009*($A896-$A$7:$A891)))*$F$1010</f>
        <v>3854566.0033458737</v>
      </c>
      <c r="E896" s="67">
        <f t="shared" si="83"/>
        <v>7.3483898040574562</v>
      </c>
      <c r="F896" s="70">
        <f t="shared" si="87"/>
        <v>0.44619422890236876</v>
      </c>
      <c r="G896" s="67">
        <f>E896/'Lookup Tables'!$C$48</f>
        <v>14.696779608114912</v>
      </c>
      <c r="H896" s="70">
        <f t="shared" si="84"/>
        <v>3.200842615235041E-2</v>
      </c>
      <c r="I896" s="71">
        <f t="shared" si="88"/>
        <v>2.1163362635685475E-2</v>
      </c>
      <c r="L896" s="74"/>
      <c r="M896" s="74"/>
      <c r="N896" s="74"/>
      <c r="O896" s="74"/>
      <c r="P896" s="74"/>
      <c r="Q896" s="74"/>
      <c r="R896" s="74"/>
      <c r="S896" s="74"/>
      <c r="T896" s="74"/>
      <c r="U896" s="74"/>
      <c r="V896" s="74"/>
      <c r="W896" s="74"/>
      <c r="X896" s="74"/>
      <c r="Y896" s="74"/>
      <c r="Z896" s="74"/>
    </row>
    <row r="897" spans="1:26" x14ac:dyDescent="0.3">
      <c r="A897" s="66">
        <f t="shared" si="86"/>
        <v>2078.9999999999191</v>
      </c>
      <c r="B897" s="67">
        <f>LOOKUP(A897+0.01,Amounts!$A$4:$A$103,Amounts!$B$4:$B$103)*0.1*$A$2</f>
        <v>0</v>
      </c>
      <c r="C897" s="68">
        <f t="shared" si="85"/>
        <v>120665.52921499971</v>
      </c>
      <c r="D897" s="67">
        <f t="array" ref="D897">SUM($B$7:$B892*$F$1009*EXP(-$F$1009*($A897-$A$7:$A892)))*$F$1010</f>
        <v>3849173.3866536734</v>
      </c>
      <c r="E897" s="67">
        <f t="shared" si="83"/>
        <v>7.3381092563943069</v>
      </c>
      <c r="F897" s="70">
        <f t="shared" si="87"/>
        <v>0.44556999404826231</v>
      </c>
      <c r="G897" s="67">
        <f>E897/'Lookup Tables'!$C$48</f>
        <v>14.676218512788614</v>
      </c>
      <c r="H897" s="70">
        <f t="shared" si="84"/>
        <v>3.1963645709361402E-2</v>
      </c>
      <c r="I897" s="71">
        <f t="shared" si="88"/>
        <v>2.1133754658415604E-2</v>
      </c>
      <c r="L897" s="74"/>
      <c r="M897" s="74"/>
      <c r="N897" s="74"/>
      <c r="O897" s="74"/>
      <c r="P897" s="74"/>
      <c r="Q897" s="74"/>
      <c r="R897" s="74"/>
      <c r="S897" s="74"/>
      <c r="T897" s="74"/>
      <c r="U897" s="74"/>
      <c r="V897" s="74"/>
      <c r="W897" s="74"/>
      <c r="X897" s="74"/>
      <c r="Y897" s="74"/>
      <c r="Z897" s="74"/>
    </row>
    <row r="898" spans="1:26" x14ac:dyDescent="0.3">
      <c r="A898" s="66">
        <f t="shared" si="86"/>
        <v>2079.099999999919</v>
      </c>
      <c r="B898" s="67">
        <f>LOOKUP(A898+0.01,Amounts!$A$4:$A$103,Amounts!$B$4:$B$103)*0.1*$A$2</f>
        <v>0</v>
      </c>
      <c r="C898" s="68">
        <f t="shared" si="85"/>
        <v>120665.52921499971</v>
      </c>
      <c r="D898" s="67">
        <f t="array" ref="D898">SUM($B$7:$B893*$F$1009*EXP(-$F$1009*($A898-$A$7:$A893)))*$F$1010</f>
        <v>3843788.314342543</v>
      </c>
      <c r="E898" s="67">
        <f t="shared" si="83"/>
        <v>7.3278430914276482</v>
      </c>
      <c r="F898" s="70">
        <f t="shared" si="87"/>
        <v>0.44494663251148675</v>
      </c>
      <c r="G898" s="67">
        <f>E898/'Lookup Tables'!$C$48</f>
        <v>14.655686182855296</v>
      </c>
      <c r="H898" s="70">
        <f t="shared" si="84"/>
        <v>3.1918927915128202E-2</v>
      </c>
      <c r="I898" s="71">
        <f t="shared" si="88"/>
        <v>2.1104188103311626E-2</v>
      </c>
      <c r="L898" s="74"/>
      <c r="M898" s="74"/>
      <c r="N898" s="74"/>
      <c r="O898" s="74"/>
      <c r="P898" s="74"/>
      <c r="Q898" s="74"/>
      <c r="R898" s="74"/>
      <c r="S898" s="74"/>
      <c r="T898" s="74"/>
      <c r="U898" s="74"/>
      <c r="V898" s="74"/>
      <c r="W898" s="74"/>
      <c r="X898" s="74"/>
      <c r="Y898" s="74"/>
      <c r="Z898" s="74"/>
    </row>
    <row r="899" spans="1:26" x14ac:dyDescent="0.3">
      <c r="A899" s="66">
        <f t="shared" si="86"/>
        <v>2079.1999999999189</v>
      </c>
      <c r="B899" s="67">
        <f>LOOKUP(A899+0.01,Amounts!$A$4:$A$103,Amounts!$B$4:$B$103)*0.1*$A$2</f>
        <v>0</v>
      </c>
      <c r="C899" s="68">
        <f t="shared" si="85"/>
        <v>120665.52921499971</v>
      </c>
      <c r="D899" s="67">
        <f t="array" ref="D899">SUM($B$7:$B894*$F$1009*EXP(-$F$1009*($A899-$A$7:$A894)))*$F$1010</f>
        <v>3838410.775857741</v>
      </c>
      <c r="E899" s="67">
        <f t="shared" si="83"/>
        <v>7.3175912890357973</v>
      </c>
      <c r="F899" s="70">
        <f t="shared" si="87"/>
        <v>0.44432414307025359</v>
      </c>
      <c r="G899" s="67">
        <f>E899/'Lookup Tables'!$C$48</f>
        <v>14.635182578071595</v>
      </c>
      <c r="H899" s="70">
        <f t="shared" si="84"/>
        <v>3.1874272682003955E-2</v>
      </c>
      <c r="I899" s="71">
        <f t="shared" si="88"/>
        <v>2.1074662912423096E-2</v>
      </c>
      <c r="L899" s="74"/>
      <c r="M899" s="74"/>
      <c r="N899" s="74"/>
      <c r="O899" s="74"/>
      <c r="P899" s="74"/>
      <c r="Q899" s="74"/>
      <c r="R899" s="74"/>
      <c r="S899" s="74"/>
      <c r="T899" s="74"/>
      <c r="U899" s="74"/>
      <c r="V899" s="74"/>
      <c r="W899" s="74"/>
      <c r="X899" s="74"/>
      <c r="Y899" s="74"/>
      <c r="Z899" s="74"/>
    </row>
    <row r="900" spans="1:26" x14ac:dyDescent="0.3">
      <c r="A900" s="66">
        <f t="shared" si="86"/>
        <v>2079.2999999999188</v>
      </c>
      <c r="B900" s="67">
        <f>LOOKUP(A900+0.01,Amounts!$A$4:$A$103,Amounts!$B$4:$B$103)*0.1*$A$2</f>
        <v>0</v>
      </c>
      <c r="C900" s="68">
        <f t="shared" si="85"/>
        <v>120665.52921499971</v>
      </c>
      <c r="D900" s="67">
        <f t="array" ref="D900">SUM($B$7:$B895*$F$1009*EXP(-$F$1009*($A900-$A$7:$A895)))*$F$1010</f>
        <v>3833040.7606592858</v>
      </c>
      <c r="E900" s="67">
        <f t="shared" si="83"/>
        <v>7.307353829125212</v>
      </c>
      <c r="F900" s="70">
        <f t="shared" si="87"/>
        <v>0.44370252450448289</v>
      </c>
      <c r="G900" s="67">
        <f>E900/'Lookup Tables'!$C$48</f>
        <v>14.614707658250424</v>
      </c>
      <c r="H900" s="70">
        <f t="shared" si="84"/>
        <v>3.1829679922464348E-2</v>
      </c>
      <c r="I900" s="71">
        <f t="shared" si="88"/>
        <v>2.1045179027880608E-2</v>
      </c>
      <c r="L900" s="74"/>
      <c r="M900" s="74"/>
      <c r="N900" s="74"/>
      <c r="O900" s="74"/>
      <c r="P900" s="74"/>
      <c r="Q900" s="74"/>
      <c r="R900" s="74"/>
      <c r="S900" s="74"/>
      <c r="T900" s="74"/>
      <c r="U900" s="74"/>
      <c r="V900" s="74"/>
      <c r="W900" s="74"/>
      <c r="X900" s="74"/>
      <c r="Y900" s="74"/>
      <c r="Z900" s="74"/>
    </row>
    <row r="901" spans="1:26" x14ac:dyDescent="0.3">
      <c r="A901" s="66">
        <f t="shared" si="86"/>
        <v>2079.3999999999187</v>
      </c>
      <c r="B901" s="67">
        <f>LOOKUP(A901+0.01,Amounts!$A$4:$A$103,Amounts!$B$4:$B$103)*0.1*$A$2</f>
        <v>0</v>
      </c>
      <c r="C901" s="68">
        <f t="shared" si="85"/>
        <v>120665.52921499971</v>
      </c>
      <c r="D901" s="67">
        <f t="array" ref="D901">SUM($B$7:$B896*$F$1009*EXP(-$F$1009*($A901-$A$7:$A896)))*$F$1010</f>
        <v>3827678.2582219485</v>
      </c>
      <c r="E901" s="67">
        <f t="shared" si="83"/>
        <v>7.2971306916304695</v>
      </c>
      <c r="F901" s="70">
        <f t="shared" si="87"/>
        <v>0.44308177559580214</v>
      </c>
      <c r="G901" s="67">
        <f>E901/'Lookup Tables'!$C$48</f>
        <v>14.594261383260939</v>
      </c>
      <c r="H901" s="70">
        <f t="shared" si="84"/>
        <v>3.1785149549107571E-2</v>
      </c>
      <c r="I901" s="71">
        <f t="shared" si="88"/>
        <v>2.1015736391895752E-2</v>
      </c>
      <c r="L901" s="74"/>
      <c r="M901" s="74"/>
      <c r="N901" s="74"/>
      <c r="O901" s="74"/>
      <c r="P901" s="74"/>
      <c r="Q901" s="74"/>
      <c r="R901" s="74"/>
      <c r="S901" s="74"/>
      <c r="T901" s="74"/>
      <c r="U901" s="74"/>
      <c r="V901" s="74"/>
      <c r="W901" s="74"/>
      <c r="X901" s="74"/>
      <c r="Y901" s="74"/>
      <c r="Z901" s="74"/>
    </row>
    <row r="902" spans="1:26" x14ac:dyDescent="0.3">
      <c r="A902" s="66">
        <f t="shared" si="86"/>
        <v>2079.4999999999186</v>
      </c>
      <c r="B902" s="67">
        <f>LOOKUP(A902+0.01,Amounts!$A$4:$A$103,Amounts!$B$4:$B$103)*0.1*$A$2</f>
        <v>0</v>
      </c>
      <c r="C902" s="68">
        <f t="shared" si="85"/>
        <v>120665.52921499971</v>
      </c>
      <c r="D902" s="67">
        <f t="array" ref="D902">SUM($B$7:$B897*$F$1009*EXP(-$F$1009*($A902-$A$7:$A897)))*$F$1010</f>
        <v>3822323.258035223</v>
      </c>
      <c r="E902" s="67">
        <f t="shared" si="83"/>
        <v>7.28692185651422</v>
      </c>
      <c r="F902" s="70">
        <f t="shared" si="87"/>
        <v>0.44246189512754341</v>
      </c>
      <c r="G902" s="67">
        <f>E902/'Lookup Tables'!$C$48</f>
        <v>14.57384371302844</v>
      </c>
      <c r="H902" s="70">
        <f t="shared" si="84"/>
        <v>3.1740681474654094E-2</v>
      </c>
      <c r="I902" s="71">
        <f t="shared" si="88"/>
        <v>2.098633494676095E-2</v>
      </c>
      <c r="L902" s="74"/>
      <c r="M902" s="74"/>
      <c r="N902" s="74"/>
      <c r="O902" s="74"/>
      <c r="P902" s="74"/>
      <c r="Q902" s="74"/>
      <c r="R902" s="74"/>
      <c r="S902" s="74"/>
      <c r="T902" s="74"/>
      <c r="U902" s="74"/>
      <c r="V902" s="74"/>
      <c r="W902" s="74"/>
      <c r="X902" s="74"/>
      <c r="Y902" s="74"/>
      <c r="Z902" s="74"/>
    </row>
    <row r="903" spans="1:26" x14ac:dyDescent="0.3">
      <c r="A903" s="66">
        <f t="shared" si="86"/>
        <v>2079.5999999999185</v>
      </c>
      <c r="B903" s="67">
        <f>LOOKUP(A903+0.01,Amounts!$A$4:$A$103,Amounts!$B$4:$B$103)*0.1*$A$2</f>
        <v>0</v>
      </c>
      <c r="C903" s="68">
        <f t="shared" si="85"/>
        <v>120665.52921499971</v>
      </c>
      <c r="D903" s="67">
        <f t="array" ref="D903">SUM($B$7:$B898*$F$1009*EXP(-$F$1009*($A903-$A$7:$A898)))*$F$1010</f>
        <v>3816975.7496033069</v>
      </c>
      <c r="E903" s="67">
        <f t="shared" ref="E903:E966" si="89">D903/(365*24*60)*1.00201</f>
        <v>7.2767273037671423</v>
      </c>
      <c r="F903" s="70">
        <f t="shared" si="87"/>
        <v>0.44184288188474086</v>
      </c>
      <c r="G903" s="67">
        <f>E903/'Lookup Tables'!$C$48</f>
        <v>14.553454607534285</v>
      </c>
      <c r="H903" s="70">
        <f t="shared" ref="H903:H966" si="90">G903*60*24*365/(C903*2000)</f>
        <v>3.1696275611946476E-2</v>
      </c>
      <c r="I903" s="71">
        <f t="shared" si="88"/>
        <v>2.0956974634849367E-2</v>
      </c>
      <c r="L903" s="74"/>
      <c r="M903" s="74"/>
      <c r="N903" s="74"/>
      <c r="O903" s="74"/>
      <c r="P903" s="74"/>
      <c r="Q903" s="74"/>
      <c r="R903" s="74"/>
      <c r="S903" s="74"/>
      <c r="T903" s="74"/>
      <c r="U903" s="74"/>
      <c r="V903" s="74"/>
      <c r="W903" s="74"/>
      <c r="X903" s="74"/>
      <c r="Y903" s="74"/>
      <c r="Z903" s="74"/>
    </row>
    <row r="904" spans="1:26" x14ac:dyDescent="0.3">
      <c r="A904" s="66">
        <f t="shared" si="86"/>
        <v>2079.6999999999184</v>
      </c>
      <c r="B904" s="67">
        <f>LOOKUP(A904+0.01,Amounts!$A$4:$A$103,Amounts!$B$4:$B$103)*0.1*$A$2</f>
        <v>0</v>
      </c>
      <c r="C904" s="68">
        <f t="shared" si="85"/>
        <v>120665.52921499971</v>
      </c>
      <c r="D904" s="67">
        <f t="array" ref="D904">SUM($B$7:$B899*$F$1009*EXP(-$F$1009*($A904-$A$7:$A899)))*$F$1010</f>
        <v>3811635.7224450819</v>
      </c>
      <c r="E904" s="67">
        <f t="shared" si="89"/>
        <v>7.2665470134079087</v>
      </c>
      <c r="F904" s="70">
        <f t="shared" si="87"/>
        <v>0.4412247346541282</v>
      </c>
      <c r="G904" s="67">
        <f>E904/'Lookup Tables'!$C$48</f>
        <v>14.533094026815817</v>
      </c>
      <c r="H904" s="70">
        <f t="shared" si="90"/>
        <v>3.1651931873949199E-2</v>
      </c>
      <c r="I904" s="71">
        <f t="shared" si="88"/>
        <v>2.0927655398614776E-2</v>
      </c>
      <c r="L904" s="74"/>
      <c r="M904" s="74"/>
      <c r="N904" s="74"/>
      <c r="O904" s="74"/>
      <c r="P904" s="74"/>
      <c r="Q904" s="74"/>
      <c r="R904" s="74"/>
      <c r="S904" s="74"/>
      <c r="T904" s="74"/>
      <c r="U904" s="74"/>
      <c r="V904" s="74"/>
      <c r="W904" s="74"/>
      <c r="X904" s="74"/>
      <c r="Y904" s="74"/>
      <c r="Z904" s="74"/>
    </row>
    <row r="905" spans="1:26" x14ac:dyDescent="0.3">
      <c r="A905" s="66">
        <f t="shared" si="86"/>
        <v>2079.7999999999183</v>
      </c>
      <c r="B905" s="67">
        <f>LOOKUP(A905+0.01,Amounts!$A$4:$A$103,Amounts!$B$4:$B$103)*0.1*$A$2</f>
        <v>0</v>
      </c>
      <c r="C905" s="68">
        <f t="shared" ref="C905:C968" si="91">C904+B905</f>
        <v>120665.52921499971</v>
      </c>
      <c r="D905" s="67">
        <f t="array" ref="D905">SUM($B$7:$B900*$F$1009*EXP(-$F$1009*($A905-$A$7:$A900)))*$F$1010</f>
        <v>3806303.1660940922</v>
      </c>
      <c r="E905" s="67">
        <f t="shared" si="89"/>
        <v>7.2563809654831468</v>
      </c>
      <c r="F905" s="70">
        <f t="shared" si="87"/>
        <v>0.44060745222413666</v>
      </c>
      <c r="G905" s="67">
        <f>E905/'Lookup Tables'!$C$48</f>
        <v>14.512761930966294</v>
      </c>
      <c r="H905" s="70">
        <f t="shared" si="90"/>
        <v>3.1607650173748517E-2</v>
      </c>
      <c r="I905" s="71">
        <f t="shared" si="88"/>
        <v>2.0898377180591461E-2</v>
      </c>
      <c r="L905" s="74"/>
      <c r="M905" s="74"/>
      <c r="N905" s="74"/>
      <c r="O905" s="74"/>
      <c r="P905" s="74"/>
      <c r="Q905" s="74"/>
      <c r="R905" s="74"/>
      <c r="S905" s="74"/>
      <c r="T905" s="74"/>
      <c r="U905" s="74"/>
      <c r="V905" s="74"/>
      <c r="W905" s="74"/>
      <c r="X905" s="74"/>
      <c r="Y905" s="74"/>
      <c r="Z905" s="74"/>
    </row>
    <row r="906" spans="1:26" x14ac:dyDescent="0.3">
      <c r="A906" s="66">
        <f t="shared" si="86"/>
        <v>2079.8999999999182</v>
      </c>
      <c r="B906" s="67">
        <f>LOOKUP(A906+0.01,Amounts!$A$4:$A$103,Amounts!$B$4:$B$103)*0.1*$A$2</f>
        <v>0</v>
      </c>
      <c r="C906" s="68">
        <f t="shared" si="91"/>
        <v>120665.52921499971</v>
      </c>
      <c r="D906" s="67">
        <f t="array" ref="D906">SUM($B$7:$B901*$F$1009*EXP(-$F$1009*($A906-$A$7:$A901)))*$F$1010</f>
        <v>3800978.0700985286</v>
      </c>
      <c r="E906" s="67">
        <f t="shared" si="89"/>
        <v>7.2462291400674026</v>
      </c>
      <c r="F906" s="70">
        <f t="shared" si="87"/>
        <v>0.4399910333848927</v>
      </c>
      <c r="G906" s="67">
        <f>E906/'Lookup Tables'!$C$48</f>
        <v>14.492458280134805</v>
      </c>
      <c r="H906" s="70">
        <f t="shared" si="90"/>
        <v>3.1563430424552306E-2</v>
      </c>
      <c r="I906" s="71">
        <f t="shared" si="88"/>
        <v>2.086913992339412E-2</v>
      </c>
      <c r="L906" s="74"/>
      <c r="M906" s="74"/>
      <c r="N906" s="74"/>
      <c r="O906" s="74"/>
      <c r="P906" s="74"/>
      <c r="Q906" s="74"/>
      <c r="R906" s="74"/>
      <c r="S906" s="74"/>
      <c r="T906" s="74"/>
      <c r="U906" s="74"/>
      <c r="V906" s="74"/>
      <c r="W906" s="74"/>
      <c r="X906" s="74"/>
      <c r="Y906" s="74"/>
      <c r="Z906" s="74"/>
    </row>
    <row r="907" spans="1:26" x14ac:dyDescent="0.3">
      <c r="A907" s="66">
        <f t="shared" si="86"/>
        <v>2079.9999999999181</v>
      </c>
      <c r="B907" s="67">
        <f>LOOKUP(A907+0.01,Amounts!$A$4:$A$103,Amounts!$B$4:$B$103)*0.1*$A$2</f>
        <v>0</v>
      </c>
      <c r="C907" s="68">
        <f t="shared" si="91"/>
        <v>120665.52921499971</v>
      </c>
      <c r="D907" s="67">
        <f t="array" ref="D907">SUM($B$7:$B902*$F$1009*EXP(-$F$1009*($A907-$A$7:$A902)))*$F$1010</f>
        <v>3795660.4240211993</v>
      </c>
      <c r="E907" s="67">
        <f t="shared" si="89"/>
        <v>7.2360915172630946</v>
      </c>
      <c r="F907" s="70">
        <f t="shared" si="87"/>
        <v>0.4393754769282151</v>
      </c>
      <c r="G907" s="67">
        <f>E907/'Lookup Tables'!$C$48</f>
        <v>14.472183034526189</v>
      </c>
      <c r="H907" s="70">
        <f t="shared" si="90"/>
        <v>3.1519272539689842E-2</v>
      </c>
      <c r="I907" s="71">
        <f t="shared" si="88"/>
        <v>2.0839943569717714E-2</v>
      </c>
      <c r="L907" s="74"/>
      <c r="M907" s="74"/>
      <c r="N907" s="74"/>
      <c r="O907" s="74"/>
      <c r="P907" s="74"/>
      <c r="Q907" s="74"/>
      <c r="R907" s="74"/>
      <c r="S907" s="74"/>
      <c r="T907" s="74"/>
      <c r="U907" s="74"/>
      <c r="V907" s="74"/>
      <c r="W907" s="74"/>
      <c r="X907" s="74"/>
      <c r="Y907" s="74"/>
      <c r="Z907" s="74"/>
    </row>
    <row r="908" spans="1:26" x14ac:dyDescent="0.3">
      <c r="A908" s="66">
        <f t="shared" si="86"/>
        <v>2080.0999999999181</v>
      </c>
      <c r="B908" s="67">
        <f>LOOKUP(A908+0.01,Amounts!$A$4:$A$103,Amounts!$B$4:$B$103)*0.1*$A$2</f>
        <v>0</v>
      </c>
      <c r="C908" s="68">
        <f t="shared" si="91"/>
        <v>120665.52921499971</v>
      </c>
      <c r="D908" s="67">
        <f t="array" ref="D908">SUM($B$7:$B903*$F$1009*EXP(-$F$1009*($A908-$A$7:$A903)))*$F$1010</f>
        <v>3790350.217439516</v>
      </c>
      <c r="E908" s="67">
        <f t="shared" si="89"/>
        <v>7.2259680772004753</v>
      </c>
      <c r="F908" s="70">
        <f t="shared" si="87"/>
        <v>0.43876078164761284</v>
      </c>
      <c r="G908" s="67">
        <f>E908/'Lookup Tables'!$C$48</f>
        <v>14.451936154400951</v>
      </c>
      <c r="H908" s="70">
        <f t="shared" si="90"/>
        <v>3.1475176432611635E-2</v>
      </c>
      <c r="I908" s="71">
        <f t="shared" si="88"/>
        <v>2.0810788062337368E-2</v>
      </c>
      <c r="L908" s="74"/>
      <c r="M908" s="74"/>
      <c r="N908" s="74"/>
      <c r="O908" s="74"/>
      <c r="P908" s="74"/>
      <c r="Q908" s="74"/>
      <c r="R908" s="74"/>
      <c r="S908" s="74"/>
      <c r="T908" s="74"/>
      <c r="U908" s="74"/>
      <c r="V908" s="74"/>
      <c r="W908" s="74"/>
      <c r="X908" s="74"/>
      <c r="Y908" s="74"/>
      <c r="Z908" s="74"/>
    </row>
    <row r="909" spans="1:26" x14ac:dyDescent="0.3">
      <c r="A909" s="66">
        <f t="shared" si="86"/>
        <v>2080.199999999918</v>
      </c>
      <c r="B909" s="67">
        <f>LOOKUP(A909+0.01,Amounts!$A$4:$A$103,Amounts!$B$4:$B$103)*0.1*$A$2</f>
        <v>0</v>
      </c>
      <c r="C909" s="68">
        <f t="shared" si="91"/>
        <v>120665.52921499971</v>
      </c>
      <c r="D909" s="67">
        <f t="array" ref="D909">SUM($B$7:$B904*$F$1009*EXP(-$F$1009*($A909-$A$7:$A904)))*$F$1010</f>
        <v>3785047.4399454724</v>
      </c>
      <c r="E909" s="67">
        <f t="shared" si="89"/>
        <v>7.2158588000376005</v>
      </c>
      <c r="F909" s="70">
        <f t="shared" si="87"/>
        <v>0.43814694633828311</v>
      </c>
      <c r="G909" s="67">
        <f>E909/'Lookup Tables'!$C$48</f>
        <v>14.431717600075201</v>
      </c>
      <c r="H909" s="70">
        <f t="shared" si="90"/>
        <v>3.1431142016889319E-2</v>
      </c>
      <c r="I909" s="71">
        <f t="shared" si="88"/>
        <v>2.0781673344108291E-2</v>
      </c>
      <c r="L909" s="74"/>
      <c r="M909" s="74"/>
      <c r="N909" s="74"/>
      <c r="O909" s="74"/>
      <c r="P909" s="74"/>
      <c r="Q909" s="74"/>
      <c r="R909" s="74"/>
      <c r="S909" s="74"/>
      <c r="T909" s="74"/>
      <c r="U909" s="74"/>
      <c r="V909" s="74"/>
      <c r="W909" s="74"/>
      <c r="X909" s="74"/>
      <c r="Y909" s="74"/>
      <c r="Z909" s="74"/>
    </row>
    <row r="910" spans="1:26" x14ac:dyDescent="0.3">
      <c r="A910" s="66">
        <f t="shared" si="86"/>
        <v>2080.2999999999179</v>
      </c>
      <c r="B910" s="67">
        <f>LOOKUP(A910+0.01,Amounts!$A$4:$A$103,Amounts!$B$4:$B$103)*0.1*$A$2</f>
        <v>0</v>
      </c>
      <c r="C910" s="68">
        <f t="shared" si="91"/>
        <v>120665.52921499971</v>
      </c>
      <c r="D910" s="67">
        <f t="array" ref="D910">SUM($B$7:$B905*$F$1009*EXP(-$F$1009*($A910-$A$7:$A905)))*$F$1010</f>
        <v>3779752.0811456214</v>
      </c>
      <c r="E910" s="67">
        <f t="shared" si="89"/>
        <v>7.2057636659602817</v>
      </c>
      <c r="F910" s="70">
        <f t="shared" si="87"/>
        <v>0.43753396979710835</v>
      </c>
      <c r="G910" s="67">
        <f>E910/'Lookup Tables'!$C$48</f>
        <v>14.411527331920563</v>
      </c>
      <c r="H910" s="70">
        <f t="shared" si="90"/>
        <v>3.1387169206215412E-2</v>
      </c>
      <c r="I910" s="71">
        <f t="shared" si="88"/>
        <v>2.0752599357965612E-2</v>
      </c>
      <c r="L910" s="74"/>
      <c r="M910" s="74"/>
      <c r="N910" s="74"/>
      <c r="O910" s="74"/>
      <c r="P910" s="74"/>
      <c r="Q910" s="74"/>
      <c r="R910" s="74"/>
      <c r="S910" s="74"/>
      <c r="T910" s="74"/>
      <c r="U910" s="74"/>
      <c r="V910" s="74"/>
      <c r="W910" s="74"/>
      <c r="X910" s="74"/>
      <c r="Y910" s="74"/>
      <c r="Z910" s="74"/>
    </row>
    <row r="911" spans="1:26" x14ac:dyDescent="0.3">
      <c r="A911" s="66">
        <f t="shared" si="86"/>
        <v>2080.3999999999178</v>
      </c>
      <c r="B911" s="67">
        <f>LOOKUP(A911+0.01,Amounts!$A$4:$A$103,Amounts!$B$4:$B$103)*0.1*$A$2</f>
        <v>0</v>
      </c>
      <c r="C911" s="68">
        <f t="shared" si="91"/>
        <v>120665.52921499971</v>
      </c>
      <c r="D911" s="67">
        <f t="array" ref="D911">SUM($B$7:$B906*$F$1009*EXP(-$F$1009*($A911-$A$7:$A906)))*$F$1010</f>
        <v>3774464.1306610606</v>
      </c>
      <c r="E911" s="67">
        <f t="shared" si="89"/>
        <v>7.1956826551820576</v>
      </c>
      <c r="F911" s="70">
        <f t="shared" si="87"/>
        <v>0.43692185082265456</v>
      </c>
      <c r="G911" s="67">
        <f>E911/'Lookup Tables'!$C$48</f>
        <v>14.391365310364115</v>
      </c>
      <c r="H911" s="70">
        <f t="shared" si="90"/>
        <v>3.1343257914403198E-2</v>
      </c>
      <c r="I911" s="71">
        <f t="shared" si="88"/>
        <v>2.0723566046924328E-2</v>
      </c>
      <c r="L911" s="74"/>
      <c r="M911" s="74"/>
      <c r="N911" s="74"/>
      <c r="O911" s="74"/>
      <c r="P911" s="74"/>
      <c r="Q911" s="74"/>
      <c r="R911" s="74"/>
      <c r="S911" s="74"/>
      <c r="T911" s="74"/>
      <c r="U911" s="74"/>
      <c r="V911" s="74"/>
      <c r="W911" s="74"/>
      <c r="X911" s="74"/>
      <c r="Y911" s="74"/>
      <c r="Z911" s="74"/>
    </row>
    <row r="912" spans="1:26" x14ac:dyDescent="0.3">
      <c r="A912" s="66">
        <f t="shared" si="86"/>
        <v>2080.4999999999177</v>
      </c>
      <c r="B912" s="67">
        <f>LOOKUP(A912+0.01,Amounts!$A$4:$A$103,Amounts!$B$4:$B$103)*0.1*$A$2</f>
        <v>0</v>
      </c>
      <c r="C912" s="68">
        <f t="shared" si="91"/>
        <v>120665.52921499971</v>
      </c>
      <c r="D912" s="67">
        <f t="array" ref="D912">SUM($B$7:$B907*$F$1009*EXP(-$F$1009*($A912-$A$7:$A907)))*$F$1010</f>
        <v>3769183.5781274033</v>
      </c>
      <c r="E912" s="67">
        <f t="shared" si="89"/>
        <v>7.1856157479441389</v>
      </c>
      <c r="F912" s="70">
        <f t="shared" si="87"/>
        <v>0.4363105882151681</v>
      </c>
      <c r="G912" s="67">
        <f>E912/'Lookup Tables'!$C$48</f>
        <v>14.371231495888278</v>
      </c>
      <c r="H912" s="70">
        <f t="shared" si="90"/>
        <v>3.1299408055386516E-2</v>
      </c>
      <c r="I912" s="71">
        <f t="shared" si="88"/>
        <v>2.0694573354079118E-2</v>
      </c>
      <c r="L912" s="74"/>
      <c r="M912" s="74"/>
      <c r="N912" s="74"/>
      <c r="O912" s="74"/>
      <c r="P912" s="74"/>
      <c r="Q912" s="74"/>
      <c r="R912" s="74"/>
      <c r="S912" s="74"/>
      <c r="T912" s="74"/>
      <c r="U912" s="74"/>
      <c r="V912" s="74"/>
      <c r="W912" s="74"/>
      <c r="X912" s="74"/>
      <c r="Y912" s="74"/>
      <c r="Z912" s="74"/>
    </row>
    <row r="913" spans="1:26" x14ac:dyDescent="0.3">
      <c r="A913" s="66">
        <f t="shared" si="86"/>
        <v>2080.5999999999176</v>
      </c>
      <c r="B913" s="67">
        <f>LOOKUP(A913+0.01,Amounts!$A$4:$A$103,Amounts!$B$4:$B$103)*0.1*$A$2</f>
        <v>0</v>
      </c>
      <c r="C913" s="68">
        <f t="shared" si="91"/>
        <v>120665.52921499971</v>
      </c>
      <c r="D913" s="67">
        <f t="array" ref="D913">SUM($B$7:$B908*$F$1009*EXP(-$F$1009*($A913-$A$7:$A908)))*$F$1010</f>
        <v>3763910.4131947644</v>
      </c>
      <c r="E913" s="67">
        <f t="shared" si="89"/>
        <v>7.1755629245153854</v>
      </c>
      <c r="F913" s="70">
        <f t="shared" si="87"/>
        <v>0.43570018077657419</v>
      </c>
      <c r="G913" s="67">
        <f>E913/'Lookup Tables'!$C$48</f>
        <v>14.351125849030771</v>
      </c>
      <c r="H913" s="70">
        <f t="shared" si="90"/>
        <v>3.1255619543219655E-2</v>
      </c>
      <c r="I913" s="71">
        <f t="shared" si="88"/>
        <v>2.0665621222604309E-2</v>
      </c>
      <c r="L913" s="74"/>
      <c r="M913" s="74"/>
      <c r="N913" s="74"/>
      <c r="O913" s="74"/>
      <c r="P913" s="74"/>
      <c r="Q913" s="74"/>
      <c r="R913" s="74"/>
      <c r="S913" s="74"/>
      <c r="T913" s="74"/>
      <c r="U913" s="74"/>
      <c r="V913" s="74"/>
      <c r="W913" s="74"/>
      <c r="X913" s="74"/>
      <c r="Y913" s="74"/>
      <c r="Z913" s="74"/>
    </row>
    <row r="914" spans="1:26" x14ac:dyDescent="0.3">
      <c r="A914" s="66">
        <f t="shared" si="86"/>
        <v>2080.6999999999175</v>
      </c>
      <c r="B914" s="67">
        <f>LOOKUP(A914+0.01,Amounts!$A$4:$A$103,Amounts!$B$4:$B$103)*0.1*$A$2</f>
        <v>0</v>
      </c>
      <c r="C914" s="68">
        <f t="shared" si="91"/>
        <v>120665.52921499971</v>
      </c>
      <c r="D914" s="67">
        <f t="array" ref="D914">SUM($B$7:$B909*$F$1009*EXP(-$F$1009*($A914-$A$7:$A909)))*$F$1010</f>
        <v>3758644.6255277433</v>
      </c>
      <c r="E914" s="67">
        <f t="shared" si="89"/>
        <v>7.1655241651922648</v>
      </c>
      <c r="F914" s="70">
        <f t="shared" si="87"/>
        <v>0.43509062731047426</v>
      </c>
      <c r="G914" s="67">
        <f>E914/'Lookup Tables'!$C$48</f>
        <v>14.33104833038453</v>
      </c>
      <c r="H914" s="70">
        <f t="shared" si="90"/>
        <v>3.1211892292077111E-2</v>
      </c>
      <c r="I914" s="71">
        <f t="shared" si="88"/>
        <v>2.0636709595753724E-2</v>
      </c>
      <c r="L914" s="74"/>
      <c r="M914" s="74"/>
      <c r="N914" s="74"/>
      <c r="O914" s="74"/>
      <c r="P914" s="74"/>
      <c r="Q914" s="74"/>
      <c r="R914" s="74"/>
      <c r="S914" s="74"/>
      <c r="T914" s="74"/>
      <c r="U914" s="74"/>
      <c r="V914" s="74"/>
      <c r="W914" s="74"/>
      <c r="X914" s="74"/>
      <c r="Y914" s="74"/>
      <c r="Z914" s="74"/>
    </row>
    <row r="915" spans="1:26" x14ac:dyDescent="0.3">
      <c r="A915" s="66">
        <f t="shared" ref="A915:A978" si="92">A914+0.1</f>
        <v>2080.7999999999174</v>
      </c>
      <c r="B915" s="67">
        <f>LOOKUP(A915+0.01,Amounts!$A$4:$A$103,Amounts!$B$4:$B$103)*0.1*$A$2</f>
        <v>0</v>
      </c>
      <c r="C915" s="68">
        <f t="shared" si="91"/>
        <v>120665.52921499971</v>
      </c>
      <c r="D915" s="67">
        <f t="array" ref="D915">SUM($B$7:$B910*$F$1009*EXP(-$F$1009*($A915-$A$7:$A910)))*$F$1010</f>
        <v>3753386.2048053904</v>
      </c>
      <c r="E915" s="67">
        <f t="shared" si="89"/>
        <v>7.1554994502988007</v>
      </c>
      <c r="F915" s="70">
        <f t="shared" ref="F915:F978" si="93">E915*60*1012/1000000</f>
        <v>0.43448192662214319</v>
      </c>
      <c r="G915" s="67">
        <f>E915/'Lookup Tables'!$C$48</f>
        <v>14.310998900597601</v>
      </c>
      <c r="H915" s="70">
        <f t="shared" si="90"/>
        <v>3.1168226216253439E-2</v>
      </c>
      <c r="I915" s="71">
        <f t="shared" ref="I915:I978" si="94">G915*60*24/1000000</f>
        <v>2.0607838416860546E-2</v>
      </c>
      <c r="L915" s="74"/>
      <c r="M915" s="74"/>
      <c r="N915" s="74"/>
      <c r="O915" s="74"/>
      <c r="P915" s="74"/>
      <c r="Q915" s="74"/>
      <c r="R915" s="74"/>
      <c r="S915" s="74"/>
      <c r="T915" s="74"/>
      <c r="U915" s="74"/>
      <c r="V915" s="74"/>
      <c r="W915" s="74"/>
      <c r="X915" s="74"/>
      <c r="Y915" s="74"/>
      <c r="Z915" s="74"/>
    </row>
    <row r="916" spans="1:26" x14ac:dyDescent="0.3">
      <c r="A916" s="66">
        <f t="shared" si="92"/>
        <v>2080.8999999999173</v>
      </c>
      <c r="B916" s="67">
        <f>LOOKUP(A916+0.01,Amounts!$A$4:$A$103,Amounts!$B$4:$B$103)*0.1*$A$2</f>
        <v>0</v>
      </c>
      <c r="C916" s="68">
        <f t="shared" si="91"/>
        <v>120665.52921499971</v>
      </c>
      <c r="D916" s="67">
        <f t="array" ref="D916">SUM($B$7:$B911*$F$1009*EXP(-$F$1009*($A916-$A$7:$A911)))*$F$1010</f>
        <v>3748135.1407211996</v>
      </c>
      <c r="E916" s="67">
        <f t="shared" si="89"/>
        <v>7.1454887601865478</v>
      </c>
      <c r="F916" s="70">
        <f t="shared" si="93"/>
        <v>0.43387407751852719</v>
      </c>
      <c r="G916" s="67">
        <f>E916/'Lookup Tables'!$C$48</f>
        <v>14.290977520373096</v>
      </c>
      <c r="H916" s="70">
        <f t="shared" si="90"/>
        <v>3.1124621230163126E-2</v>
      </c>
      <c r="I916" s="71">
        <f t="shared" si="94"/>
        <v>2.0579007629337256E-2</v>
      </c>
      <c r="L916" s="74"/>
      <c r="M916" s="74"/>
      <c r="N916" s="74"/>
      <c r="O916" s="74"/>
      <c r="P916" s="74"/>
      <c r="Q916" s="74"/>
      <c r="R916" s="74"/>
      <c r="S916" s="74"/>
      <c r="T916" s="74"/>
      <c r="U916" s="74"/>
      <c r="V916" s="74"/>
      <c r="W916" s="74"/>
      <c r="X916" s="74"/>
      <c r="Y916" s="74"/>
      <c r="Z916" s="74"/>
    </row>
    <row r="917" spans="1:26" x14ac:dyDescent="0.3">
      <c r="A917" s="66">
        <f t="shared" si="92"/>
        <v>2080.9999999999172</v>
      </c>
      <c r="B917" s="67">
        <f>LOOKUP(A917+0.01,Amounts!$A$4:$A$103,Amounts!$B$4:$B$103)*0.1*$A$2</f>
        <v>0</v>
      </c>
      <c r="C917" s="68">
        <f t="shared" si="91"/>
        <v>120665.52921499971</v>
      </c>
      <c r="D917" s="67">
        <f t="array" ref="D917">SUM($B$7:$B912*$F$1009*EXP(-$F$1009*($A917-$A$7:$A912)))*$F$1010</f>
        <v>3742891.4229830843</v>
      </c>
      <c r="E917" s="67">
        <f t="shared" si="89"/>
        <v>7.1354920752345521</v>
      </c>
      <c r="F917" s="70">
        <f t="shared" si="93"/>
        <v>0.433267078808242</v>
      </c>
      <c r="G917" s="67">
        <f>E917/'Lookup Tables'!$C$48</f>
        <v>14.270984150469104</v>
      </c>
      <c r="H917" s="70">
        <f t="shared" si="90"/>
        <v>3.1081077248340392E-2</v>
      </c>
      <c r="I917" s="71">
        <f t="shared" si="94"/>
        <v>2.055021717667551E-2</v>
      </c>
      <c r="L917" s="74"/>
      <c r="M917" s="74"/>
      <c r="N917" s="74"/>
      <c r="O917" s="74"/>
      <c r="P917" s="74"/>
      <c r="Q917" s="74"/>
      <c r="R917" s="74"/>
      <c r="S917" s="74"/>
      <c r="T917" s="74"/>
      <c r="U917" s="74"/>
      <c r="V917" s="74"/>
      <c r="W917" s="74"/>
      <c r="X917" s="74"/>
      <c r="Y917" s="74"/>
      <c r="Z917" s="74"/>
    </row>
    <row r="918" spans="1:26" x14ac:dyDescent="0.3">
      <c r="A918" s="66">
        <f t="shared" si="92"/>
        <v>2081.0999999999171</v>
      </c>
      <c r="B918" s="67">
        <f>LOOKUP(A918+0.01,Amounts!$A$4:$A$103,Amounts!$B$4:$B$103)*0.1*$A$2</f>
        <v>0</v>
      </c>
      <c r="C918" s="68">
        <f t="shared" si="91"/>
        <v>120665.52921499971</v>
      </c>
      <c r="D918" s="67">
        <f t="array" ref="D918">SUM($B$7:$B913*$F$1009*EXP(-$F$1009*($A918-$A$7:$A913)))*$F$1010</f>
        <v>3737655.0413133577</v>
      </c>
      <c r="E918" s="67">
        <f t="shared" si="89"/>
        <v>7.1255093758493109</v>
      </c>
      <c r="F918" s="70">
        <f t="shared" si="93"/>
        <v>0.43266092930157019</v>
      </c>
      <c r="G918" s="67">
        <f>E918/'Lookup Tables'!$C$48</f>
        <v>14.251018751698622</v>
      </c>
      <c r="H918" s="70">
        <f t="shared" si="90"/>
        <v>3.103759418543903E-2</v>
      </c>
      <c r="I918" s="71">
        <f t="shared" si="94"/>
        <v>2.0521467002446017E-2</v>
      </c>
      <c r="L918" s="74"/>
      <c r="M918" s="74"/>
      <c r="N918" s="74"/>
      <c r="O918" s="74"/>
      <c r="P918" s="74"/>
      <c r="Q918" s="74"/>
      <c r="R918" s="74"/>
      <c r="S918" s="74"/>
      <c r="T918" s="74"/>
      <c r="U918" s="74"/>
      <c r="V918" s="74"/>
      <c r="W918" s="74"/>
      <c r="X918" s="74"/>
      <c r="Y918" s="74"/>
      <c r="Z918" s="74"/>
    </row>
    <row r="919" spans="1:26" x14ac:dyDescent="0.3">
      <c r="A919" s="66">
        <f t="shared" si="92"/>
        <v>2081.1999999999171</v>
      </c>
      <c r="B919" s="67">
        <f>LOOKUP(A919+0.01,Amounts!$A$4:$A$103,Amounts!$B$4:$B$103)*0.1*$A$2</f>
        <v>0</v>
      </c>
      <c r="C919" s="68">
        <f t="shared" si="91"/>
        <v>120665.52921499971</v>
      </c>
      <c r="D919" s="67">
        <f t="array" ref="D919">SUM($B$7:$B914*$F$1009*EXP(-$F$1009*($A919-$A$7:$A914)))*$F$1010</f>
        <v>3732425.9854487078</v>
      </c>
      <c r="E919" s="67">
        <f t="shared" si="89"/>
        <v>7.1155406424647261</v>
      </c>
      <c r="F919" s="70">
        <f t="shared" si="93"/>
        <v>0.4320556278104582</v>
      </c>
      <c r="G919" s="67">
        <f>E919/'Lookup Tables'!$C$48</f>
        <v>14.231081284929452</v>
      </c>
      <c r="H919" s="70">
        <f t="shared" si="90"/>
        <v>3.0994171956232192E-2</v>
      </c>
      <c r="I919" s="71">
        <f t="shared" si="94"/>
        <v>2.0492757050298412E-2</v>
      </c>
      <c r="L919" s="74"/>
      <c r="M919" s="74"/>
      <c r="N919" s="74"/>
      <c r="O919" s="74"/>
      <c r="P919" s="74"/>
      <c r="Q919" s="74"/>
      <c r="R919" s="74"/>
      <c r="S919" s="74"/>
      <c r="T919" s="74"/>
      <c r="U919" s="74"/>
      <c r="V919" s="74"/>
      <c r="W919" s="74"/>
      <c r="X919" s="74"/>
      <c r="Y919" s="74"/>
      <c r="Z919" s="74"/>
    </row>
    <row r="920" spans="1:26" x14ac:dyDescent="0.3">
      <c r="A920" s="66">
        <f t="shared" si="92"/>
        <v>2081.299999999917</v>
      </c>
      <c r="B920" s="67">
        <f>LOOKUP(A920+0.01,Amounts!$A$4:$A$103,Amounts!$B$4:$B$103)*0.1*$A$2</f>
        <v>0</v>
      </c>
      <c r="C920" s="68">
        <f t="shared" si="91"/>
        <v>120665.52921499971</v>
      </c>
      <c r="D920" s="67">
        <f t="array" ref="D920">SUM($B$7:$B915*$F$1009*EXP(-$F$1009*($A920-$A$7:$A915)))*$F$1010</f>
        <v>3727204.2451401856</v>
      </c>
      <c r="E920" s="67">
        <f t="shared" si="89"/>
        <v>7.1055858555420812</v>
      </c>
      <c r="F920" s="70">
        <f t="shared" si="93"/>
        <v>0.43145117314851522</v>
      </c>
      <c r="G920" s="67">
        <f>E920/'Lookup Tables'!$C$48</f>
        <v>14.211171711084162</v>
      </c>
      <c r="H920" s="70">
        <f t="shared" si="90"/>
        <v>3.0950810475612326E-2</v>
      </c>
      <c r="I920" s="71">
        <f t="shared" si="94"/>
        <v>2.0464087263961196E-2</v>
      </c>
      <c r="L920" s="74"/>
      <c r="M920" s="74"/>
      <c r="N920" s="74"/>
      <c r="O920" s="74"/>
      <c r="P920" s="74"/>
      <c r="Q920" s="74"/>
      <c r="R920" s="74"/>
      <c r="S920" s="74"/>
      <c r="T920" s="74"/>
      <c r="U920" s="74"/>
      <c r="V920" s="74"/>
      <c r="W920" s="74"/>
      <c r="X920" s="74"/>
      <c r="Y920" s="74"/>
      <c r="Z920" s="74"/>
    </row>
    <row r="921" spans="1:26" x14ac:dyDescent="0.3">
      <c r="A921" s="66">
        <f t="shared" si="92"/>
        <v>2081.3999999999169</v>
      </c>
      <c r="B921" s="67">
        <f>LOOKUP(A921+0.01,Amounts!$A$4:$A$103,Amounts!$B$4:$B$103)*0.1*$A$2</f>
        <v>0</v>
      </c>
      <c r="C921" s="68">
        <f t="shared" si="91"/>
        <v>120665.52921499971</v>
      </c>
      <c r="D921" s="67">
        <f t="array" ref="D921">SUM($B$7:$B916*$F$1009*EXP(-$F$1009*($A921-$A$7:$A916)))*$F$1010</f>
        <v>3721989.8101531765</v>
      </c>
      <c r="E921" s="67">
        <f t="shared" si="89"/>
        <v>7.0956449955699865</v>
      </c>
      <c r="F921" s="70">
        <f t="shared" si="93"/>
        <v>0.43084756413100955</v>
      </c>
      <c r="G921" s="67">
        <f>E921/'Lookup Tables'!$C$48</f>
        <v>14.191289991139973</v>
      </c>
      <c r="H921" s="70">
        <f t="shared" si="90"/>
        <v>3.0907509658590893E-2</v>
      </c>
      <c r="I921" s="71">
        <f t="shared" si="94"/>
        <v>2.0435457587241562E-2</v>
      </c>
      <c r="L921" s="74"/>
      <c r="M921" s="74"/>
      <c r="N921" s="74"/>
      <c r="O921" s="74"/>
      <c r="P921" s="74"/>
      <c r="Q921" s="74"/>
      <c r="R921" s="74"/>
      <c r="S921" s="74"/>
      <c r="T921" s="74"/>
      <c r="U921" s="74"/>
      <c r="V921" s="74"/>
      <c r="W921" s="74"/>
      <c r="X921" s="74"/>
      <c r="Y921" s="74"/>
      <c r="Z921" s="74"/>
    </row>
    <row r="922" spans="1:26" x14ac:dyDescent="0.3">
      <c r="A922" s="66">
        <f t="shared" si="92"/>
        <v>2081.4999999999168</v>
      </c>
      <c r="B922" s="67">
        <f>LOOKUP(A922+0.01,Amounts!$A$4:$A$103,Amounts!$B$4:$B$103)*0.1*$A$2</f>
        <v>0</v>
      </c>
      <c r="C922" s="68">
        <f t="shared" si="91"/>
        <v>120665.52921499971</v>
      </c>
      <c r="D922" s="67">
        <f t="array" ref="D922">SUM($B$7:$B917*$F$1009*EXP(-$F$1009*($A922-$A$7:$A917)))*$F$1010</f>
        <v>3716782.6702673859</v>
      </c>
      <c r="E922" s="67">
        <f t="shared" si="89"/>
        <v>7.0857180430643529</v>
      </c>
      <c r="F922" s="70">
        <f t="shared" si="93"/>
        <v>0.43024479957486755</v>
      </c>
      <c r="G922" s="67">
        <f>E922/'Lookup Tables'!$C$48</f>
        <v>14.171436086128706</v>
      </c>
      <c r="H922" s="70">
        <f t="shared" si="90"/>
        <v>3.0864269420298282E-2</v>
      </c>
      <c r="I922" s="71">
        <f t="shared" si="94"/>
        <v>2.0406867964025341E-2</v>
      </c>
      <c r="L922" s="74"/>
      <c r="M922" s="74"/>
      <c r="N922" s="74"/>
      <c r="O922" s="74"/>
      <c r="P922" s="74"/>
      <c r="Q922" s="74"/>
      <c r="R922" s="74"/>
      <c r="S922" s="74"/>
      <c r="T922" s="74"/>
      <c r="U922" s="74"/>
      <c r="V922" s="74"/>
      <c r="W922" s="74"/>
      <c r="X922" s="74"/>
      <c r="Y922" s="74"/>
      <c r="Z922" s="74"/>
    </row>
    <row r="923" spans="1:26" x14ac:dyDescent="0.3">
      <c r="A923" s="66">
        <f t="shared" si="92"/>
        <v>2081.5999999999167</v>
      </c>
      <c r="B923" s="67">
        <f>LOOKUP(A923+0.01,Amounts!$A$4:$A$103,Amounts!$B$4:$B$103)*0.1*$A$2</f>
        <v>0</v>
      </c>
      <c r="C923" s="68">
        <f t="shared" si="91"/>
        <v>120665.52921499971</v>
      </c>
      <c r="D923" s="67">
        <f t="array" ref="D923">SUM($B$7:$B918*$F$1009*EXP(-$F$1009*($A923-$A$7:$A918)))*$F$1010</f>
        <v>3711582.8152768202</v>
      </c>
      <c r="E923" s="67">
        <f t="shared" si="89"/>
        <v>7.0758049785683541</v>
      </c>
      <c r="F923" s="70">
        <f t="shared" si="93"/>
        <v>0.42964287829867048</v>
      </c>
      <c r="G923" s="67">
        <f>E923/'Lookup Tables'!$C$48</f>
        <v>14.151609957136708</v>
      </c>
      <c r="H923" s="70">
        <f t="shared" si="90"/>
        <v>3.0821089675983616E-2</v>
      </c>
      <c r="I923" s="71">
        <f t="shared" si="94"/>
        <v>2.0378318338276857E-2</v>
      </c>
      <c r="L923" s="74"/>
      <c r="M923" s="74"/>
      <c r="N923" s="74"/>
      <c r="O923" s="74"/>
      <c r="P923" s="74"/>
      <c r="Q923" s="74"/>
      <c r="R923" s="74"/>
      <c r="S923" s="74"/>
      <c r="T923" s="74"/>
      <c r="U923" s="74"/>
      <c r="V923" s="74"/>
      <c r="W923" s="74"/>
      <c r="X923" s="74"/>
      <c r="Y923" s="74"/>
      <c r="Z923" s="74"/>
    </row>
    <row r="924" spans="1:26" x14ac:dyDescent="0.3">
      <c r="A924" s="66">
        <f t="shared" si="92"/>
        <v>2081.6999999999166</v>
      </c>
      <c r="B924" s="67">
        <f>LOOKUP(A924+0.01,Amounts!$A$4:$A$103,Amounts!$B$4:$B$103)*0.1*$A$2</f>
        <v>0</v>
      </c>
      <c r="C924" s="68">
        <f t="shared" si="91"/>
        <v>120665.52921499971</v>
      </c>
      <c r="D924" s="67">
        <f t="array" ref="D924">SUM($B$7:$B919*$F$1009*EXP(-$F$1009*($A924-$A$7:$A919)))*$F$1010</f>
        <v>3706390.23498976</v>
      </c>
      <c r="E924" s="67">
        <f t="shared" si="89"/>
        <v>7.0659057826523775</v>
      </c>
      <c r="F924" s="70">
        <f t="shared" si="93"/>
        <v>0.42904179912265233</v>
      </c>
      <c r="G924" s="67">
        <f>E924/'Lookup Tables'!$C$48</f>
        <v>14.131811565304755</v>
      </c>
      <c r="H924" s="70">
        <f t="shared" si="90"/>
        <v>3.0777970341014583E-2</v>
      </c>
      <c r="I924" s="71">
        <f t="shared" si="94"/>
        <v>2.0349808654038848E-2</v>
      </c>
      <c r="L924" s="74"/>
      <c r="M924" s="74"/>
      <c r="N924" s="74"/>
      <c r="O924" s="74"/>
      <c r="P924" s="74"/>
      <c r="Q924" s="74"/>
      <c r="R924" s="74"/>
      <c r="S924" s="74"/>
      <c r="T924" s="74"/>
      <c r="U924" s="74"/>
      <c r="V924" s="74"/>
      <c r="W924" s="74"/>
      <c r="X924" s="74"/>
      <c r="Y924" s="74"/>
      <c r="Z924" s="74"/>
    </row>
    <row r="925" spans="1:26" x14ac:dyDescent="0.3">
      <c r="A925" s="66">
        <f t="shared" si="92"/>
        <v>2081.7999999999165</v>
      </c>
      <c r="B925" s="67">
        <f>LOOKUP(A925+0.01,Amounts!$A$4:$A$103,Amounts!$B$4:$B$103)*0.1*$A$2</f>
        <v>0</v>
      </c>
      <c r="C925" s="68">
        <f t="shared" si="91"/>
        <v>120665.52921499971</v>
      </c>
      <c r="D925" s="67">
        <f t="array" ref="D925">SUM($B$7:$B920*$F$1009*EXP(-$F$1009*($A925-$A$7:$A920)))*$F$1010</f>
        <v>3701204.9192287475</v>
      </c>
      <c r="E925" s="67">
        <f t="shared" si="89"/>
        <v>7.0560204359139984</v>
      </c>
      <c r="F925" s="70">
        <f t="shared" si="93"/>
        <v>0.428441560868698</v>
      </c>
      <c r="G925" s="67">
        <f>E925/'Lookup Tables'!$C$48</f>
        <v>14.112040871827997</v>
      </c>
      <c r="H925" s="70">
        <f t="shared" si="90"/>
        <v>3.0734911330877281E-2</v>
      </c>
      <c r="I925" s="71">
        <f t="shared" si="94"/>
        <v>2.0321338855432317E-2</v>
      </c>
      <c r="L925" s="74"/>
      <c r="M925" s="74"/>
      <c r="N925" s="74"/>
      <c r="O925" s="74"/>
      <c r="P925" s="74"/>
      <c r="Q925" s="74"/>
      <c r="R925" s="74"/>
      <c r="S925" s="74"/>
      <c r="T925" s="74"/>
      <c r="U925" s="74"/>
      <c r="V925" s="74"/>
      <c r="W925" s="74"/>
      <c r="X925" s="74"/>
      <c r="Y925" s="74"/>
      <c r="Z925" s="74"/>
    </row>
    <row r="926" spans="1:26" x14ac:dyDescent="0.3">
      <c r="A926" s="66">
        <f t="shared" si="92"/>
        <v>2081.8999999999164</v>
      </c>
      <c r="B926" s="67">
        <f>LOOKUP(A926+0.01,Amounts!$A$4:$A$103,Amounts!$B$4:$B$103)*0.1*$A$2</f>
        <v>0</v>
      </c>
      <c r="C926" s="68">
        <f t="shared" si="91"/>
        <v>120665.52921499971</v>
      </c>
      <c r="D926" s="67">
        <f t="array" ref="D926">SUM($B$7:$B921*$F$1009*EXP(-$F$1009*($A926-$A$7:$A921)))*$F$1010</f>
        <v>3696026.8578305598</v>
      </c>
      <c r="E926" s="67">
        <f t="shared" si="89"/>
        <v>7.0461489189779289</v>
      </c>
      <c r="F926" s="70">
        <f t="shared" si="93"/>
        <v>0.42784216236033984</v>
      </c>
      <c r="G926" s="67">
        <f>E926/'Lookup Tables'!$C$48</f>
        <v>14.092297837955858</v>
      </c>
      <c r="H926" s="70">
        <f t="shared" si="90"/>
        <v>3.0691912561176003E-2</v>
      </c>
      <c r="I926" s="71">
        <f t="shared" si="94"/>
        <v>2.0292908886656434E-2</v>
      </c>
      <c r="L926" s="74"/>
      <c r="M926" s="74"/>
      <c r="N926" s="74"/>
      <c r="O926" s="74"/>
      <c r="P926" s="74"/>
      <c r="Q926" s="74"/>
      <c r="R926" s="74"/>
      <c r="S926" s="74"/>
      <c r="T926" s="74"/>
      <c r="U926" s="74"/>
      <c r="V926" s="74"/>
      <c r="W926" s="74"/>
      <c r="X926" s="74"/>
      <c r="Y926" s="74"/>
      <c r="Z926" s="74"/>
    </row>
    <row r="927" spans="1:26" x14ac:dyDescent="0.3">
      <c r="A927" s="66">
        <f t="shared" si="92"/>
        <v>2081.9999999999163</v>
      </c>
      <c r="B927" s="67">
        <f>LOOKUP(A927+0.01,Amounts!$A$4:$A$103,Amounts!$B$4:$B$103)*0.1*$A$2</f>
        <v>0</v>
      </c>
      <c r="C927" s="68">
        <f t="shared" si="91"/>
        <v>120665.52921499971</v>
      </c>
      <c r="D927" s="67">
        <f t="array" ref="D927">SUM($B$7:$B922*$F$1009*EXP(-$F$1009*($A927-$A$7:$A922)))*$F$1010</f>
        <v>3690856.0406461987</v>
      </c>
      <c r="E927" s="67">
        <f t="shared" si="89"/>
        <v>7.0362912124959998</v>
      </c>
      <c r="F927" s="70">
        <f t="shared" si="93"/>
        <v>0.42724360242275711</v>
      </c>
      <c r="G927" s="67">
        <f>E927/'Lookup Tables'!$C$48</f>
        <v>14.072582424992</v>
      </c>
      <c r="H927" s="70">
        <f t="shared" si="90"/>
        <v>3.064897394763319E-2</v>
      </c>
      <c r="I927" s="71">
        <f t="shared" si="94"/>
        <v>2.0264518691988479E-2</v>
      </c>
      <c r="L927" s="74"/>
      <c r="M927" s="74"/>
      <c r="N927" s="74"/>
      <c r="O927" s="74"/>
      <c r="P927" s="74"/>
      <c r="Q927" s="74"/>
      <c r="R927" s="74"/>
      <c r="S927" s="74"/>
      <c r="T927" s="74"/>
      <c r="U927" s="74"/>
      <c r="V927" s="74"/>
      <c r="W927" s="74"/>
      <c r="X927" s="74"/>
      <c r="Y927" s="74"/>
      <c r="Z927" s="74"/>
    </row>
    <row r="928" spans="1:26" x14ac:dyDescent="0.3">
      <c r="A928" s="66">
        <f t="shared" si="92"/>
        <v>2082.0999999999162</v>
      </c>
      <c r="B928" s="67">
        <f>LOOKUP(A928+0.01,Amounts!$A$4:$A$103,Amounts!$B$4:$B$103)*0.1*$A$2</f>
        <v>0</v>
      </c>
      <c r="C928" s="68">
        <f t="shared" si="91"/>
        <v>120665.52921499971</v>
      </c>
      <c r="D928" s="67">
        <f t="array" ref="D928">SUM($B$7:$B923*$F$1009*EXP(-$F$1009*($A928-$A$7:$A923)))*$F$1010</f>
        <v>3685692.4575408571</v>
      </c>
      <c r="E928" s="67">
        <f t="shared" si="89"/>
        <v>7.0264472971470973</v>
      </c>
      <c r="F928" s="70">
        <f t="shared" si="93"/>
        <v>0.42664587988277175</v>
      </c>
      <c r="G928" s="67">
        <f>E928/'Lookup Tables'!$C$48</f>
        <v>14.052894594294195</v>
      </c>
      <c r="H928" s="70">
        <f t="shared" si="90"/>
        <v>3.0606095406089114E-2</v>
      </c>
      <c r="I928" s="71">
        <f t="shared" si="94"/>
        <v>2.023616821578364E-2</v>
      </c>
      <c r="L928" s="74"/>
      <c r="M928" s="74"/>
      <c r="N928" s="74"/>
      <c r="O928" s="74"/>
      <c r="P928" s="74"/>
      <c r="Q928" s="74"/>
      <c r="R928" s="74"/>
      <c r="S928" s="74"/>
      <c r="T928" s="74"/>
      <c r="U928" s="74"/>
      <c r="V928" s="74"/>
      <c r="W928" s="74"/>
      <c r="X928" s="74"/>
      <c r="Y928" s="74"/>
      <c r="Z928" s="74"/>
    </row>
    <row r="929" spans="1:26" x14ac:dyDescent="0.3">
      <c r="A929" s="66">
        <f t="shared" si="92"/>
        <v>2082.1999999999161</v>
      </c>
      <c r="B929" s="67">
        <f>LOOKUP(A929+0.01,Amounts!$A$4:$A$103,Amounts!$B$4:$B$103)*0.1*$A$2</f>
        <v>0</v>
      </c>
      <c r="C929" s="68">
        <f t="shared" si="91"/>
        <v>120665.52921499971</v>
      </c>
      <c r="D929" s="67">
        <f t="array" ref="D929">SUM($B$7:$B924*$F$1009*EXP(-$F$1009*($A929-$A$7:$A924)))*$F$1010</f>
        <v>3680536.098393912</v>
      </c>
      <c r="E929" s="67">
        <f t="shared" si="89"/>
        <v>7.0166171536371467</v>
      </c>
      <c r="F929" s="70">
        <f t="shared" si="93"/>
        <v>0.42604899356884751</v>
      </c>
      <c r="G929" s="67">
        <f>E929/'Lookup Tables'!$C$48</f>
        <v>14.033234307274293</v>
      </c>
      <c r="H929" s="70">
        <f t="shared" si="90"/>
        <v>3.0563276852501837E-2</v>
      </c>
      <c r="I929" s="71">
        <f t="shared" si="94"/>
        <v>2.0207857402474983E-2</v>
      </c>
      <c r="L929" s="74"/>
      <c r="M929" s="74"/>
      <c r="N929" s="74"/>
      <c r="O929" s="74"/>
      <c r="P929" s="74"/>
      <c r="Q929" s="74"/>
      <c r="R929" s="74"/>
      <c r="S929" s="74"/>
      <c r="T929" s="74"/>
      <c r="U929" s="74"/>
      <c r="V929" s="74"/>
      <c r="W929" s="74"/>
      <c r="X929" s="74"/>
      <c r="Y929" s="74"/>
      <c r="Z929" s="74"/>
    </row>
    <row r="930" spans="1:26" x14ac:dyDescent="0.3">
      <c r="A930" s="66">
        <f t="shared" si="92"/>
        <v>2082.2999999999161</v>
      </c>
      <c r="B930" s="67">
        <f>LOOKUP(A930+0.01,Amounts!$A$4:$A$103,Amounts!$B$4:$B$103)*0.1*$A$2</f>
        <v>0</v>
      </c>
      <c r="C930" s="68">
        <f t="shared" si="91"/>
        <v>120665.52921499971</v>
      </c>
      <c r="D930" s="67">
        <f t="array" ref="D930">SUM($B$7:$B925*$F$1009*EXP(-$F$1009*($A930-$A$7:$A925)))*$F$1010</f>
        <v>3675386.9530988988</v>
      </c>
      <c r="E930" s="67">
        <f t="shared" si="89"/>
        <v>7.0068007626990632</v>
      </c>
      <c r="F930" s="70">
        <f t="shared" si="93"/>
        <v>0.42545294231108716</v>
      </c>
      <c r="G930" s="67">
        <f>E930/'Lookup Tables'!$C$48</f>
        <v>14.013601525398126</v>
      </c>
      <c r="H930" s="70">
        <f t="shared" si="90"/>
        <v>3.0520518202946968E-2</v>
      </c>
      <c r="I930" s="71">
        <f t="shared" si="94"/>
        <v>2.0179586196573302E-2</v>
      </c>
      <c r="L930" s="74"/>
      <c r="M930" s="74"/>
      <c r="N930" s="74"/>
      <c r="O930" s="74"/>
      <c r="P930" s="74"/>
      <c r="Q930" s="74"/>
      <c r="R930" s="74"/>
      <c r="S930" s="74"/>
      <c r="T930" s="74"/>
      <c r="U930" s="74"/>
      <c r="V930" s="74"/>
      <c r="W930" s="74"/>
      <c r="X930" s="74"/>
      <c r="Y930" s="74"/>
      <c r="Z930" s="74"/>
    </row>
    <row r="931" spans="1:26" x14ac:dyDescent="0.3">
      <c r="A931" s="66">
        <f t="shared" si="92"/>
        <v>2082.399999999916</v>
      </c>
      <c r="B931" s="67">
        <f>LOOKUP(A931+0.01,Amounts!$A$4:$A$103,Amounts!$B$4:$B$103)*0.1*$A$2</f>
        <v>0</v>
      </c>
      <c r="C931" s="68">
        <f t="shared" si="91"/>
        <v>120665.52921499971</v>
      </c>
      <c r="D931" s="67">
        <f t="array" ref="D931">SUM($B$7:$B926*$F$1009*EXP(-$F$1009*($A931-$A$7:$A926)))*$F$1010</f>
        <v>3670245.0115634901</v>
      </c>
      <c r="E931" s="67">
        <f t="shared" si="89"/>
        <v>6.9969981050927181</v>
      </c>
      <c r="F931" s="70">
        <f t="shared" si="93"/>
        <v>0.42485772494122986</v>
      </c>
      <c r="G931" s="67">
        <f>E931/'Lookup Tables'!$C$48</f>
        <v>13.993996210185436</v>
      </c>
      <c r="H931" s="70">
        <f t="shared" si="90"/>
        <v>3.047781937361755E-2</v>
      </c>
      <c r="I931" s="71">
        <f t="shared" si="94"/>
        <v>2.0151354542667029E-2</v>
      </c>
      <c r="L931" s="74"/>
      <c r="M931" s="74"/>
      <c r="N931" s="74"/>
      <c r="O931" s="74"/>
      <c r="P931" s="74"/>
      <c r="Q931" s="74"/>
      <c r="R931" s="74"/>
      <c r="S931" s="74"/>
      <c r="T931" s="74"/>
      <c r="U931" s="74"/>
      <c r="V931" s="74"/>
      <c r="W931" s="74"/>
      <c r="X931" s="74"/>
      <c r="Y931" s="74"/>
      <c r="Z931" s="74"/>
    </row>
    <row r="932" spans="1:26" x14ac:dyDescent="0.3">
      <c r="A932" s="66">
        <f t="shared" si="92"/>
        <v>2082.4999999999159</v>
      </c>
      <c r="B932" s="67">
        <f>LOOKUP(A932+0.01,Amounts!$A$4:$A$103,Amounts!$B$4:$B$103)*0.1*$A$2</f>
        <v>0</v>
      </c>
      <c r="C932" s="68">
        <f t="shared" si="91"/>
        <v>120665.52921499971</v>
      </c>
      <c r="D932" s="67">
        <f t="array" ref="D932">SUM($B$7:$B927*$F$1009*EXP(-$F$1009*($A932-$A$7:$A927)))*$F$1010</f>
        <v>3665110.2637094785</v>
      </c>
      <c r="E932" s="67">
        <f t="shared" si="89"/>
        <v>6.9872091616048984</v>
      </c>
      <c r="F932" s="70">
        <f t="shared" si="93"/>
        <v>0.42426334029264945</v>
      </c>
      <c r="G932" s="67">
        <f>E932/'Lookup Tables'!$C$48</f>
        <v>13.974418323209797</v>
      </c>
      <c r="H932" s="70">
        <f t="shared" si="90"/>
        <v>3.043518028082386E-2</v>
      </c>
      <c r="I932" s="71">
        <f t="shared" si="94"/>
        <v>2.0123162385422107E-2</v>
      </c>
      <c r="L932" s="74"/>
      <c r="M932" s="74"/>
      <c r="N932" s="74"/>
      <c r="O932" s="74"/>
      <c r="P932" s="74"/>
      <c r="Q932" s="74"/>
      <c r="R932" s="74"/>
      <c r="S932" s="74"/>
      <c r="T932" s="74"/>
      <c r="U932" s="74"/>
      <c r="V932" s="74"/>
      <c r="W932" s="74"/>
      <c r="X932" s="74"/>
      <c r="Y932" s="74"/>
      <c r="Z932" s="74"/>
    </row>
    <row r="933" spans="1:26" x14ac:dyDescent="0.3">
      <c r="A933" s="66">
        <f t="shared" si="92"/>
        <v>2082.5999999999158</v>
      </c>
      <c r="B933" s="67">
        <f>LOOKUP(A933+0.01,Amounts!$A$4:$A$103,Amounts!$B$4:$B$103)*0.1*$A$2</f>
        <v>0</v>
      </c>
      <c r="C933" s="68">
        <f t="shared" si="91"/>
        <v>120665.52921499971</v>
      </c>
      <c r="D933" s="67">
        <f t="array" ref="D933">SUM($B$7:$B928*$F$1009*EXP(-$F$1009*($A933-$A$7:$A928)))*$F$1010</f>
        <v>3659982.6994727585</v>
      </c>
      <c r="E933" s="67">
        <f t="shared" si="89"/>
        <v>6.9774339130492748</v>
      </c>
      <c r="F933" s="70">
        <f t="shared" si="93"/>
        <v>0.42366978720035192</v>
      </c>
      <c r="G933" s="67">
        <f>E933/'Lookup Tables'!$C$48</f>
        <v>13.95486782609855</v>
      </c>
      <c r="H933" s="70">
        <f t="shared" si="90"/>
        <v>3.039260084099327E-2</v>
      </c>
      <c r="I933" s="71">
        <f t="shared" si="94"/>
        <v>2.0095009669581908E-2</v>
      </c>
      <c r="L933" s="74"/>
      <c r="M933" s="74"/>
      <c r="N933" s="74"/>
      <c r="O933" s="74"/>
      <c r="P933" s="74"/>
      <c r="Q933" s="74"/>
      <c r="R933" s="74"/>
      <c r="S933" s="74"/>
      <c r="T933" s="74"/>
      <c r="U933" s="74"/>
      <c r="V933" s="74"/>
      <c r="W933" s="74"/>
      <c r="X933" s="74"/>
      <c r="Y933" s="74"/>
      <c r="Z933" s="74"/>
    </row>
    <row r="934" spans="1:26" x14ac:dyDescent="0.3">
      <c r="A934" s="66">
        <f t="shared" si="92"/>
        <v>2082.6999999999157</v>
      </c>
      <c r="B934" s="67">
        <f>LOOKUP(A934+0.01,Amounts!$A$4:$A$103,Amounts!$B$4:$B$103)*0.1*$A$2</f>
        <v>0</v>
      </c>
      <c r="C934" s="68">
        <f t="shared" si="91"/>
        <v>120665.52921499971</v>
      </c>
      <c r="D934" s="67">
        <f t="array" ref="D934">SUM($B$7:$B929*$F$1009*EXP(-$F$1009*($A934-$A$7:$A929)))*$F$1010</f>
        <v>3654862.3088032999</v>
      </c>
      <c r="E934" s="67">
        <f t="shared" si="89"/>
        <v>6.9676723402663523</v>
      </c>
      <c r="F934" s="70">
        <f t="shared" si="93"/>
        <v>0.42307706450097293</v>
      </c>
      <c r="G934" s="67">
        <f>E934/'Lookup Tables'!$C$48</f>
        <v>13.935344680532705</v>
      </c>
      <c r="H934" s="70">
        <f t="shared" si="90"/>
        <v>3.0350080970670063E-2</v>
      </c>
      <c r="I934" s="71">
        <f t="shared" si="94"/>
        <v>2.0066896339967097E-2</v>
      </c>
      <c r="L934" s="74"/>
      <c r="M934" s="74"/>
      <c r="N934" s="74"/>
      <c r="O934" s="74"/>
      <c r="P934" s="74"/>
      <c r="Q934" s="74"/>
      <c r="R934" s="74"/>
      <c r="S934" s="74"/>
      <c r="T934" s="74"/>
      <c r="U934" s="74"/>
      <c r="V934" s="74"/>
      <c r="W934" s="74"/>
      <c r="X934" s="74"/>
      <c r="Y934" s="74"/>
      <c r="Z934" s="74"/>
    </row>
    <row r="935" spans="1:26" x14ac:dyDescent="0.3">
      <c r="A935" s="66">
        <f t="shared" si="92"/>
        <v>2082.7999999999156</v>
      </c>
      <c r="B935" s="67">
        <f>LOOKUP(A935+0.01,Amounts!$A$4:$A$103,Amounts!$B$4:$B$103)*0.1*$A$2</f>
        <v>0</v>
      </c>
      <c r="C935" s="68">
        <f t="shared" si="91"/>
        <v>120665.52921499971</v>
      </c>
      <c r="D935" s="67">
        <f t="array" ref="D935">SUM($B$7:$B930*$F$1009*EXP(-$F$1009*($A935-$A$7:$A930)))*$F$1010</f>
        <v>3649749.0816651359</v>
      </c>
      <c r="E935" s="67">
        <f t="shared" si="89"/>
        <v>6.9579244241234459</v>
      </c>
      <c r="F935" s="70">
        <f t="shared" si="93"/>
        <v>0.42248517103277561</v>
      </c>
      <c r="G935" s="67">
        <f>E935/'Lookup Tables'!$C$48</f>
        <v>13.915848848246892</v>
      </c>
      <c r="H935" s="70">
        <f t="shared" si="90"/>
        <v>3.0307620586515257E-2</v>
      </c>
      <c r="I935" s="71">
        <f t="shared" si="94"/>
        <v>2.0038822341475523E-2</v>
      </c>
      <c r="L935" s="74"/>
      <c r="M935" s="74"/>
      <c r="N935" s="74"/>
      <c r="O935" s="74"/>
      <c r="P935" s="74"/>
      <c r="Q935" s="74"/>
      <c r="R935" s="74"/>
      <c r="S935" s="74"/>
      <c r="T935" s="74"/>
      <c r="U935" s="74"/>
      <c r="V935" s="74"/>
      <c r="W935" s="74"/>
      <c r="X935" s="74"/>
      <c r="Y935" s="74"/>
      <c r="Z935" s="74"/>
    </row>
    <row r="936" spans="1:26" x14ac:dyDescent="0.3">
      <c r="A936" s="66">
        <f t="shared" si="92"/>
        <v>2082.8999999999155</v>
      </c>
      <c r="B936" s="67">
        <f>LOOKUP(A936+0.01,Amounts!$A$4:$A$103,Amounts!$B$4:$B$103)*0.1*$A$2</f>
        <v>0</v>
      </c>
      <c r="C936" s="68">
        <f t="shared" si="91"/>
        <v>120665.52921499971</v>
      </c>
      <c r="D936" s="67">
        <f t="array" ref="D936">SUM($B$7:$B931*$F$1009*EXP(-$F$1009*($A936-$A$7:$A931)))*$F$1010</f>
        <v>3644643.008036342</v>
      </c>
      <c r="E936" s="67">
        <f t="shared" si="89"/>
        <v>6.9481901455146406</v>
      </c>
      <c r="F936" s="70">
        <f t="shared" si="93"/>
        <v>0.42189410563564894</v>
      </c>
      <c r="G936" s="67">
        <f>E936/'Lookup Tables'!$C$48</f>
        <v>13.896380291029281</v>
      </c>
      <c r="H936" s="70">
        <f t="shared" si="90"/>
        <v>3.0265219605306513E-2</v>
      </c>
      <c r="I936" s="71">
        <f t="shared" si="94"/>
        <v>2.0010787619082163E-2</v>
      </c>
      <c r="L936" s="74"/>
      <c r="M936" s="74"/>
      <c r="N936" s="74"/>
      <c r="O936" s="74"/>
      <c r="P936" s="74"/>
      <c r="Q936" s="74"/>
      <c r="R936" s="74"/>
      <c r="S936" s="74"/>
      <c r="T936" s="74"/>
      <c r="U936" s="74"/>
      <c r="V936" s="74"/>
      <c r="W936" s="74"/>
      <c r="X936" s="74"/>
      <c r="Y936" s="74"/>
      <c r="Z936" s="74"/>
    </row>
    <row r="937" spans="1:26" x14ac:dyDescent="0.3">
      <c r="A937" s="66">
        <f t="shared" si="92"/>
        <v>2082.9999999999154</v>
      </c>
      <c r="B937" s="67">
        <f>LOOKUP(A937+0.01,Amounts!$A$4:$A$103,Amounts!$B$4:$B$103)*0.1*$A$2</f>
        <v>0</v>
      </c>
      <c r="C937" s="68">
        <f t="shared" si="91"/>
        <v>120665.52921499971</v>
      </c>
      <c r="D937" s="67">
        <f t="array" ref="D937">SUM($B$7:$B932*$F$1009*EXP(-$F$1009*($A937-$A$7:$A932)))*$F$1010</f>
        <v>3639544.0779090095</v>
      </c>
      <c r="E937" s="67">
        <f t="shared" si="89"/>
        <v>6.9384694853607431</v>
      </c>
      <c r="F937" s="70">
        <f t="shared" si="93"/>
        <v>0.42130386715110429</v>
      </c>
      <c r="G937" s="67">
        <f>E937/'Lookup Tables'!$C$48</f>
        <v>13.876938970721486</v>
      </c>
      <c r="H937" s="70">
        <f t="shared" si="90"/>
        <v>3.0222877943937881E-2</v>
      </c>
      <c r="I937" s="71">
        <f t="shared" si="94"/>
        <v>1.9982792117838939E-2</v>
      </c>
      <c r="L937" s="74"/>
      <c r="M937" s="74"/>
      <c r="N937" s="74"/>
      <c r="O937" s="74"/>
      <c r="P937" s="74"/>
      <c r="Q937" s="74"/>
      <c r="R937" s="74"/>
      <c r="S937" s="74"/>
      <c r="T937" s="74"/>
      <c r="U937" s="74"/>
      <c r="V937" s="74"/>
      <c r="W937" s="74"/>
      <c r="X937" s="74"/>
      <c r="Y937" s="74"/>
      <c r="Z937" s="74"/>
    </row>
    <row r="938" spans="1:26" x14ac:dyDescent="0.3">
      <c r="A938" s="66">
        <f t="shared" si="92"/>
        <v>2083.0999999999153</v>
      </c>
      <c r="B938" s="67">
        <f>LOOKUP(A938+0.01,Amounts!$A$4:$A$103,Amounts!$B$4:$B$103)*0.1*$A$2</f>
        <v>0</v>
      </c>
      <c r="C938" s="68">
        <f t="shared" si="91"/>
        <v>120665.52921499971</v>
      </c>
      <c r="D938" s="67">
        <f t="array" ref="D938">SUM($B$7:$B933*$F$1009*EXP(-$F$1009*($A938-$A$7:$A933)))*$F$1010</f>
        <v>3634452.2812892348</v>
      </c>
      <c r="E938" s="67">
        <f t="shared" si="89"/>
        <v>6.9287624246092587</v>
      </c>
      <c r="F938" s="70">
        <f t="shared" si="93"/>
        <v>0.42071445442227418</v>
      </c>
      <c r="G938" s="67">
        <f>E938/'Lookup Tables'!$C$48</f>
        <v>13.857524849218517</v>
      </c>
      <c r="H938" s="70">
        <f t="shared" si="90"/>
        <v>3.0180595519419696E-2</v>
      </c>
      <c r="I938" s="71">
        <f t="shared" si="94"/>
        <v>1.9954835782874665E-2</v>
      </c>
      <c r="L938" s="74"/>
      <c r="M938" s="74"/>
      <c r="N938" s="74"/>
      <c r="O938" s="74"/>
      <c r="P938" s="74"/>
      <c r="Q938" s="74"/>
      <c r="R938" s="74"/>
      <c r="S938" s="74"/>
      <c r="T938" s="74"/>
      <c r="U938" s="74"/>
      <c r="V938" s="74"/>
      <c r="W938" s="74"/>
      <c r="X938" s="74"/>
      <c r="Y938" s="74"/>
      <c r="Z938" s="74"/>
    </row>
    <row r="939" spans="1:26" x14ac:dyDescent="0.3">
      <c r="A939" s="66">
        <f t="shared" si="92"/>
        <v>2083.1999999999152</v>
      </c>
      <c r="B939" s="67">
        <f>LOOKUP(A939+0.01,Amounts!$A$4:$A$103,Amounts!$B$4:$B$103)*0.1*$A$2</f>
        <v>0</v>
      </c>
      <c r="C939" s="68">
        <f t="shared" si="91"/>
        <v>120665.52921499971</v>
      </c>
      <c r="D939" s="67">
        <f t="array" ref="D939">SUM($B$7:$B934*$F$1009*EXP(-$F$1009*($A939-$A$7:$A934)))*$F$1010</f>
        <v>3629367.6081970953</v>
      </c>
      <c r="E939" s="67">
        <f t="shared" si="89"/>
        <v>6.9190689442343452</v>
      </c>
      <c r="F939" s="70">
        <f t="shared" si="93"/>
        <v>0.42012586629390941</v>
      </c>
      <c r="G939" s="67">
        <f>E939/'Lookup Tables'!$C$48</f>
        <v>13.83813788846869</v>
      </c>
      <c r="H939" s="70">
        <f t="shared" si="90"/>
        <v>3.013837224887839E-2</v>
      </c>
      <c r="I939" s="71">
        <f t="shared" si="94"/>
        <v>1.9926918559394914E-2</v>
      </c>
      <c r="L939" s="74"/>
      <c r="M939" s="74"/>
      <c r="N939" s="74"/>
      <c r="O939" s="74"/>
      <c r="P939" s="74"/>
      <c r="Q939" s="74"/>
      <c r="R939" s="74"/>
      <c r="S939" s="74"/>
      <c r="T939" s="74"/>
      <c r="U939" s="74"/>
      <c r="V939" s="74"/>
      <c r="W939" s="74"/>
      <c r="X939" s="74"/>
      <c r="Y939" s="74"/>
      <c r="Z939" s="74"/>
    </row>
    <row r="940" spans="1:26" x14ac:dyDescent="0.3">
      <c r="A940" s="66">
        <f t="shared" si="92"/>
        <v>2083.2999999999151</v>
      </c>
      <c r="B940" s="67">
        <f>LOOKUP(A940+0.01,Amounts!$A$4:$A$103,Amounts!$B$4:$B$103)*0.1*$A$2</f>
        <v>0</v>
      </c>
      <c r="C940" s="68">
        <f t="shared" si="91"/>
        <v>120665.52921499971</v>
      </c>
      <c r="D940" s="67">
        <f t="array" ref="D940">SUM($B$7:$B935*$F$1009*EXP(-$F$1009*($A940-$A$7:$A935)))*$F$1010</f>
        <v>3624290.0486666299</v>
      </c>
      <c r="E940" s="67">
        <f t="shared" si="89"/>
        <v>6.9093890252367771</v>
      </c>
      <c r="F940" s="70">
        <f t="shared" si="93"/>
        <v>0.41953810161237709</v>
      </c>
      <c r="G940" s="67">
        <f>E940/'Lookup Tables'!$C$48</f>
        <v>13.818778050473554</v>
      </c>
      <c r="H940" s="70">
        <f t="shared" si="90"/>
        <v>3.0096208049556344E-2</v>
      </c>
      <c r="I940" s="71">
        <f t="shared" si="94"/>
        <v>1.9899040392681921E-2</v>
      </c>
      <c r="L940" s="74"/>
      <c r="M940" s="74"/>
      <c r="N940" s="74"/>
      <c r="O940" s="74"/>
      <c r="P940" s="74"/>
      <c r="Q940" s="74"/>
      <c r="R940" s="74"/>
      <c r="S940" s="74"/>
      <c r="T940" s="74"/>
      <c r="U940" s="74"/>
      <c r="V940" s="74"/>
      <c r="W940" s="74"/>
      <c r="X940" s="74"/>
      <c r="Y940" s="74"/>
      <c r="Z940" s="74"/>
    </row>
    <row r="941" spans="1:26" x14ac:dyDescent="0.3">
      <c r="A941" s="66">
        <f t="shared" si="92"/>
        <v>2083.3999999999151</v>
      </c>
      <c r="B941" s="67">
        <f>LOOKUP(A941+0.01,Amounts!$A$4:$A$103,Amounts!$B$4:$B$103)*0.1*$A$2</f>
        <v>0</v>
      </c>
      <c r="C941" s="68">
        <f t="shared" si="91"/>
        <v>120665.52921499971</v>
      </c>
      <c r="D941" s="67">
        <f t="array" ref="D941">SUM($B$7:$B936*$F$1009*EXP(-$F$1009*($A941-$A$7:$A936)))*$F$1010</f>
        <v>3619219.5927458201</v>
      </c>
      <c r="E941" s="67">
        <f t="shared" si="89"/>
        <v>6.8997226486439107</v>
      </c>
      <c r="F941" s="70">
        <f t="shared" si="93"/>
        <v>0.41895115922565823</v>
      </c>
      <c r="G941" s="67">
        <f>E941/'Lookup Tables'!$C$48</f>
        <v>13.799445297287821</v>
      </c>
      <c r="H941" s="70">
        <f t="shared" si="90"/>
        <v>3.0054102838811703E-2</v>
      </c>
      <c r="I941" s="71">
        <f t="shared" si="94"/>
        <v>1.9871201228094462E-2</v>
      </c>
      <c r="L941" s="74"/>
      <c r="M941" s="74"/>
      <c r="N941" s="74"/>
      <c r="O941" s="74"/>
      <c r="P941" s="74"/>
      <c r="Q941" s="74"/>
      <c r="R941" s="74"/>
      <c r="S941" s="74"/>
      <c r="T941" s="74"/>
      <c r="U941" s="74"/>
      <c r="V941" s="74"/>
      <c r="W941" s="74"/>
      <c r="X941" s="74"/>
      <c r="Y941" s="74"/>
      <c r="Z941" s="74"/>
    </row>
    <row r="942" spans="1:26" x14ac:dyDescent="0.3">
      <c r="A942" s="66">
        <f t="shared" si="92"/>
        <v>2083.499999999915</v>
      </c>
      <c r="B942" s="67">
        <f>LOOKUP(A942+0.01,Amounts!$A$4:$A$103,Amounts!$B$4:$B$103)*0.1*$A$2</f>
        <v>0</v>
      </c>
      <c r="C942" s="68">
        <f t="shared" si="91"/>
        <v>120665.52921499971</v>
      </c>
      <c r="D942" s="67">
        <f t="array" ref="D942">SUM($B$7:$B937*$F$1009*EXP(-$F$1009*($A942-$A$7:$A937)))*$F$1010</f>
        <v>3614156.2304965714</v>
      </c>
      <c r="E942" s="67">
        <f t="shared" si="89"/>
        <v>6.8900697955096453</v>
      </c>
      <c r="F942" s="70">
        <f t="shared" si="93"/>
        <v>0.41836503798334568</v>
      </c>
      <c r="G942" s="67">
        <f>E942/'Lookup Tables'!$C$48</f>
        <v>13.780139591019291</v>
      </c>
      <c r="H942" s="70">
        <f t="shared" si="90"/>
        <v>3.0012056534118255E-2</v>
      </c>
      <c r="I942" s="71">
        <f t="shared" si="94"/>
        <v>1.9843401011067779E-2</v>
      </c>
      <c r="L942" s="74"/>
      <c r="M942" s="74"/>
      <c r="N942" s="74"/>
      <c r="O942" s="74"/>
      <c r="P942" s="74"/>
      <c r="Q942" s="74"/>
      <c r="R942" s="74"/>
      <c r="S942" s="74"/>
      <c r="T942" s="74"/>
      <c r="U942" s="74"/>
      <c r="V942" s="74"/>
      <c r="W942" s="74"/>
      <c r="X942" s="74"/>
      <c r="Y942" s="74"/>
      <c r="Z942" s="74"/>
    </row>
    <row r="943" spans="1:26" x14ac:dyDescent="0.3">
      <c r="A943" s="66">
        <f t="shared" si="92"/>
        <v>2083.5999999999149</v>
      </c>
      <c r="B943" s="67">
        <f>LOOKUP(A943+0.01,Amounts!$A$4:$A$103,Amounts!$B$4:$B$103)*0.1*$A$2</f>
        <v>0</v>
      </c>
      <c r="C943" s="68">
        <f t="shared" si="91"/>
        <v>120665.52921499971</v>
      </c>
      <c r="D943" s="67">
        <f t="array" ref="D943">SUM($B$7:$B938*$F$1009*EXP(-$F$1009*($A943-$A$7:$A938)))*$F$1010</f>
        <v>3609099.9519946906</v>
      </c>
      <c r="E943" s="67">
        <f t="shared" si="89"/>
        <v>6.8804304469143833</v>
      </c>
      <c r="F943" s="70">
        <f t="shared" si="93"/>
        <v>0.41777973673664132</v>
      </c>
      <c r="G943" s="67">
        <f>E943/'Lookup Tables'!$C$48</f>
        <v>13.760860893828767</v>
      </c>
      <c r="H943" s="70">
        <f t="shared" si="90"/>
        <v>2.9970069053065217E-2</v>
      </c>
      <c r="I943" s="71">
        <f t="shared" si="94"/>
        <v>1.9815639687113425E-2</v>
      </c>
      <c r="L943" s="74"/>
      <c r="M943" s="74"/>
      <c r="N943" s="74"/>
      <c r="O943" s="74"/>
      <c r="P943" s="74"/>
      <c r="Q943" s="74"/>
      <c r="R943" s="74"/>
      <c r="S943" s="74"/>
      <c r="T943" s="74"/>
      <c r="U943" s="74"/>
      <c r="V943" s="74"/>
      <c r="W943" s="74"/>
      <c r="X943" s="74"/>
      <c r="Y943" s="74"/>
      <c r="Z943" s="74"/>
    </row>
    <row r="944" spans="1:26" x14ac:dyDescent="0.3">
      <c r="A944" s="66">
        <f t="shared" si="92"/>
        <v>2083.6999999999148</v>
      </c>
      <c r="B944" s="67">
        <f>LOOKUP(A944+0.01,Amounts!$A$4:$A$103,Amounts!$B$4:$B$103)*0.1*$A$2</f>
        <v>0</v>
      </c>
      <c r="C944" s="68">
        <f t="shared" si="91"/>
        <v>120665.52921499971</v>
      </c>
      <c r="D944" s="67">
        <f t="array" ref="D944">SUM($B$7:$B939*$F$1009*EXP(-$F$1009*($A944-$A$7:$A939)))*$F$1010</f>
        <v>3604050.747329873</v>
      </c>
      <c r="E944" s="67">
        <f t="shared" si="89"/>
        <v>6.8708045839650049</v>
      </c>
      <c r="F944" s="70">
        <f t="shared" si="93"/>
        <v>0.41719525433835508</v>
      </c>
      <c r="G944" s="67">
        <f>E944/'Lookup Tables'!$C$48</f>
        <v>13.74160916793001</v>
      </c>
      <c r="H944" s="70">
        <f t="shared" si="90"/>
        <v>2.9928140313357138E-2</v>
      </c>
      <c r="I944" s="71">
        <f t="shared" si="94"/>
        <v>1.9787917201819213E-2</v>
      </c>
      <c r="L944" s="74"/>
      <c r="M944" s="74"/>
      <c r="N944" s="74"/>
      <c r="O944" s="74"/>
      <c r="P944" s="74"/>
      <c r="Q944" s="74"/>
      <c r="R944" s="74"/>
      <c r="S944" s="74"/>
      <c r="T944" s="74"/>
      <c r="U944" s="74"/>
      <c r="V944" s="74"/>
      <c r="W944" s="74"/>
      <c r="X944" s="74"/>
      <c r="Y944" s="74"/>
      <c r="Z944" s="74"/>
    </row>
    <row r="945" spans="1:26" x14ac:dyDescent="0.3">
      <c r="A945" s="66">
        <f t="shared" si="92"/>
        <v>2083.7999999999147</v>
      </c>
      <c r="B945" s="67">
        <f>LOOKUP(A945+0.01,Amounts!$A$4:$A$103,Amounts!$B$4:$B$103)*0.1*$A$2</f>
        <v>0</v>
      </c>
      <c r="C945" s="68">
        <f t="shared" si="91"/>
        <v>120665.52921499971</v>
      </c>
      <c r="D945" s="67">
        <f t="array" ref="D945">SUM($B$7:$B940*$F$1009*EXP(-$F$1009*($A945-$A$7:$A940)))*$F$1010</f>
        <v>3599008.6066056737</v>
      </c>
      <c r="E945" s="67">
        <f t="shared" si="89"/>
        <v>6.8611921877948081</v>
      </c>
      <c r="F945" s="70">
        <f t="shared" si="93"/>
        <v>0.41661158964290074</v>
      </c>
      <c r="G945" s="67">
        <f>E945/'Lookup Tables'!$C$48</f>
        <v>13.722384375589616</v>
      </c>
      <c r="H945" s="70">
        <f t="shared" si="90"/>
        <v>2.9886270232813646E-2</v>
      </c>
      <c r="I945" s="71">
        <f t="shared" si="94"/>
        <v>1.9760233500849048E-2</v>
      </c>
      <c r="L945" s="74"/>
      <c r="M945" s="74"/>
      <c r="N945" s="74"/>
      <c r="O945" s="74"/>
      <c r="P945" s="74"/>
      <c r="Q945" s="74"/>
      <c r="R945" s="74"/>
      <c r="S945" s="74"/>
      <c r="T945" s="74"/>
      <c r="U945" s="74"/>
      <c r="V945" s="74"/>
      <c r="W945" s="74"/>
      <c r="X945" s="74"/>
      <c r="Y945" s="74"/>
      <c r="Z945" s="74"/>
    </row>
    <row r="946" spans="1:26" x14ac:dyDescent="0.3">
      <c r="A946" s="66">
        <f t="shared" si="92"/>
        <v>2083.8999999999146</v>
      </c>
      <c r="B946" s="67">
        <f>LOOKUP(A946+0.01,Amounts!$A$4:$A$103,Amounts!$B$4:$B$103)*0.1*$A$2</f>
        <v>0</v>
      </c>
      <c r="C946" s="68">
        <f t="shared" si="91"/>
        <v>120665.52921499971</v>
      </c>
      <c r="D946" s="67">
        <f t="array" ref="D946">SUM($B$7:$B941*$F$1009*EXP(-$F$1009*($A946-$A$7:$A941)))*$F$1010</f>
        <v>3593973.5199394939</v>
      </c>
      <c r="E946" s="67">
        <f t="shared" si="89"/>
        <v>6.8515932395634938</v>
      </c>
      <c r="F946" s="70">
        <f t="shared" si="93"/>
        <v>0.41602874150629532</v>
      </c>
      <c r="G946" s="67">
        <f>E946/'Lookup Tables'!$C$48</f>
        <v>13.703186479126988</v>
      </c>
      <c r="H946" s="70">
        <f t="shared" si="90"/>
        <v>2.9844458729369368E-2</v>
      </c>
      <c r="I946" s="71">
        <f t="shared" si="94"/>
        <v>1.9732588529942863E-2</v>
      </c>
      <c r="L946" s="74"/>
      <c r="M946" s="74"/>
      <c r="N946" s="74"/>
      <c r="O946" s="74"/>
      <c r="P946" s="74"/>
      <c r="Q946" s="74"/>
      <c r="R946" s="74"/>
      <c r="S946" s="74"/>
      <c r="T946" s="74"/>
      <c r="U946" s="74"/>
      <c r="V946" s="74"/>
      <c r="W946" s="74"/>
      <c r="X946" s="74"/>
      <c r="Y946" s="74"/>
      <c r="Z946" s="74"/>
    </row>
    <row r="947" spans="1:26" x14ac:dyDescent="0.3">
      <c r="A947" s="66">
        <f t="shared" si="92"/>
        <v>2083.9999999999145</v>
      </c>
      <c r="B947" s="67">
        <f>LOOKUP(A947+0.01,Amounts!$A$4:$A$103,Amounts!$B$4:$B$103)*0.1*$A$2</f>
        <v>0</v>
      </c>
      <c r="C947" s="68">
        <f t="shared" si="91"/>
        <v>120665.52921499971</v>
      </c>
      <c r="D947" s="67">
        <f t="array" ref="D947">SUM($B$7:$B942*$F$1009*EXP(-$F$1009*($A947-$A$7:$A942)))*$F$1010</f>
        <v>3588945.4774625646</v>
      </c>
      <c r="E947" s="67">
        <f t="shared" si="89"/>
        <v>6.8420077204571248</v>
      </c>
      <c r="F947" s="70">
        <f t="shared" si="93"/>
        <v>0.41544670878615669</v>
      </c>
      <c r="G947" s="67">
        <f>E947/'Lookup Tables'!$C$48</f>
        <v>13.68401544091425</v>
      </c>
      <c r="H947" s="70">
        <f t="shared" si="90"/>
        <v>2.9802705721073762E-2</v>
      </c>
      <c r="I947" s="71">
        <f t="shared" si="94"/>
        <v>1.970498223491652E-2</v>
      </c>
      <c r="L947" s="74"/>
      <c r="M947" s="74"/>
      <c r="N947" s="74"/>
      <c r="O947" s="74"/>
      <c r="P947" s="74"/>
      <c r="Q947" s="74"/>
      <c r="R947" s="74"/>
      <c r="S947" s="74"/>
      <c r="T947" s="74"/>
      <c r="U947" s="74"/>
      <c r="V947" s="74"/>
      <c r="W947" s="74"/>
      <c r="X947" s="74"/>
      <c r="Y947" s="74"/>
      <c r="Z947" s="74"/>
    </row>
    <row r="948" spans="1:26" x14ac:dyDescent="0.3">
      <c r="A948" s="66">
        <f t="shared" si="92"/>
        <v>2084.0999999999144</v>
      </c>
      <c r="B948" s="67">
        <f>LOOKUP(A948+0.01,Amounts!$A$4:$A$103,Amounts!$B$4:$B$103)*0.1*$A$2</f>
        <v>0</v>
      </c>
      <c r="C948" s="68">
        <f t="shared" si="91"/>
        <v>120665.52921499971</v>
      </c>
      <c r="D948" s="67">
        <f t="array" ref="D948">SUM($B$7:$B943*$F$1009*EXP(-$F$1009*($A948-$A$7:$A943)))*$F$1010</f>
        <v>3583924.4693199201</v>
      </c>
      <c r="E948" s="67">
        <f t="shared" si="89"/>
        <v>6.8324356116880773</v>
      </c>
      <c r="F948" s="70">
        <f t="shared" si="93"/>
        <v>0.41486549034170001</v>
      </c>
      <c r="G948" s="67">
        <f>E948/'Lookup Tables'!$C$48</f>
        <v>13.664871223376155</v>
      </c>
      <c r="H948" s="70">
        <f t="shared" si="90"/>
        <v>2.9761011126090905E-2</v>
      </c>
      <c r="I948" s="71">
        <f t="shared" si="94"/>
        <v>1.9677414561661662E-2</v>
      </c>
      <c r="L948" s="74"/>
      <c r="M948" s="74"/>
      <c r="N948" s="74"/>
      <c r="O948" s="74"/>
      <c r="P948" s="74"/>
      <c r="Q948" s="74"/>
      <c r="R948" s="74"/>
      <c r="S948" s="74"/>
      <c r="T948" s="74"/>
      <c r="U948" s="74"/>
      <c r="V948" s="74"/>
      <c r="W948" s="74"/>
      <c r="X948" s="74"/>
      <c r="Y948" s="74"/>
      <c r="Z948" s="74"/>
    </row>
    <row r="949" spans="1:26" x14ac:dyDescent="0.3">
      <c r="A949" s="66">
        <f t="shared" si="92"/>
        <v>2084.1999999999143</v>
      </c>
      <c r="B949" s="67">
        <f>LOOKUP(A949+0.01,Amounts!$A$4:$A$103,Amounts!$B$4:$B$103)*0.1*$A$2</f>
        <v>0</v>
      </c>
      <c r="C949" s="68">
        <f t="shared" si="91"/>
        <v>120665.52921499971</v>
      </c>
      <c r="D949" s="67">
        <f t="array" ref="D949">SUM($B$7:$B944*$F$1009*EXP(-$F$1009*($A949-$A$7:$A944)))*$F$1010</f>
        <v>3578910.4856703822</v>
      </c>
      <c r="E949" s="67">
        <f t="shared" si="89"/>
        <v>6.8228768944950149</v>
      </c>
      <c r="F949" s="70">
        <f t="shared" si="93"/>
        <v>0.41428508503373729</v>
      </c>
      <c r="G949" s="67">
        <f>E949/'Lookup Tables'!$C$48</f>
        <v>13.64575378899003</v>
      </c>
      <c r="H949" s="70">
        <f t="shared" si="90"/>
        <v>2.971937486269938E-2</v>
      </c>
      <c r="I949" s="71">
        <f t="shared" si="94"/>
        <v>1.9649885456145644E-2</v>
      </c>
      <c r="L949" s="74"/>
      <c r="M949" s="74"/>
      <c r="N949" s="74"/>
      <c r="O949" s="74"/>
      <c r="P949" s="74"/>
      <c r="Q949" s="74"/>
      <c r="R949" s="74"/>
      <c r="S949" s="74"/>
      <c r="T949" s="74"/>
      <c r="U949" s="74"/>
      <c r="V949" s="74"/>
      <c r="W949" s="74"/>
      <c r="X949" s="74"/>
      <c r="Y949" s="74"/>
      <c r="Z949" s="74"/>
    </row>
    <row r="950" spans="1:26" x14ac:dyDescent="0.3">
      <c r="A950" s="66">
        <f t="shared" si="92"/>
        <v>2084.2999999999142</v>
      </c>
      <c r="B950" s="67">
        <f>LOOKUP(A950+0.01,Amounts!$A$4:$A$103,Amounts!$B$4:$B$103)*0.1*$A$2</f>
        <v>0</v>
      </c>
      <c r="C950" s="68">
        <f t="shared" si="91"/>
        <v>120665.52921499971</v>
      </c>
      <c r="D950" s="67">
        <f t="array" ref="D950">SUM($B$7:$B945*$F$1009*EXP(-$F$1009*($A950-$A$7:$A945)))*$F$1010</f>
        <v>3573903.5166865424</v>
      </c>
      <c r="E950" s="67">
        <f t="shared" si="89"/>
        <v>6.8133315501428511</v>
      </c>
      <c r="F950" s="70">
        <f t="shared" si="93"/>
        <v>0.41370549172467397</v>
      </c>
      <c r="G950" s="67">
        <f>E950/'Lookup Tables'!$C$48</f>
        <v>13.626663100285702</v>
      </c>
      <c r="H950" s="70">
        <f t="shared" si="90"/>
        <v>2.9677796849292105E-2</v>
      </c>
      <c r="I950" s="71">
        <f t="shared" si="94"/>
        <v>1.9622394864411412E-2</v>
      </c>
      <c r="L950" s="74"/>
      <c r="M950" s="74"/>
      <c r="N950" s="74"/>
      <c r="O950" s="74"/>
      <c r="P950" s="74"/>
      <c r="Q950" s="74"/>
      <c r="R950" s="74"/>
      <c r="S950" s="74"/>
      <c r="T950" s="74"/>
      <c r="U950" s="74"/>
      <c r="V950" s="74"/>
      <c r="W950" s="74"/>
      <c r="X950" s="74"/>
      <c r="Y950" s="74"/>
      <c r="Z950" s="74"/>
    </row>
    <row r="951" spans="1:26" x14ac:dyDescent="0.3">
      <c r="A951" s="66">
        <f t="shared" si="92"/>
        <v>2084.3999999999141</v>
      </c>
      <c r="B951" s="67">
        <f>LOOKUP(A951+0.01,Amounts!$A$4:$A$103,Amounts!$B$4:$B$103)*0.1*$A$2</f>
        <v>0</v>
      </c>
      <c r="C951" s="68">
        <f t="shared" si="91"/>
        <v>120665.52921499971</v>
      </c>
      <c r="D951" s="67">
        <f t="array" ref="D951">SUM($B$7:$B946*$F$1009*EXP(-$F$1009*($A951-$A$7:$A946)))*$F$1010</f>
        <v>3568903.5525547373</v>
      </c>
      <c r="E951" s="67">
        <f t="shared" si="89"/>
        <v>6.8037995599227035</v>
      </c>
      <c r="F951" s="70">
        <f t="shared" si="93"/>
        <v>0.41312670927850653</v>
      </c>
      <c r="G951" s="67">
        <f>E951/'Lookup Tables'!$C$48</f>
        <v>13.607599119845407</v>
      </c>
      <c r="H951" s="70">
        <f t="shared" si="90"/>
        <v>2.9636277004376137E-2</v>
      </c>
      <c r="I951" s="71">
        <f t="shared" si="94"/>
        <v>1.9594942732577388E-2</v>
      </c>
      <c r="L951" s="74"/>
      <c r="M951" s="74"/>
      <c r="N951" s="74"/>
      <c r="O951" s="74"/>
      <c r="P951" s="74"/>
      <c r="Q951" s="74"/>
      <c r="R951" s="74"/>
      <c r="S951" s="74"/>
      <c r="T951" s="74"/>
      <c r="U951" s="74"/>
      <c r="V951" s="74"/>
      <c r="W951" s="74"/>
      <c r="X951" s="74"/>
      <c r="Y951" s="74"/>
      <c r="Z951" s="74"/>
    </row>
    <row r="952" spans="1:26" x14ac:dyDescent="0.3">
      <c r="A952" s="66">
        <f t="shared" si="92"/>
        <v>2084.4999999999141</v>
      </c>
      <c r="B952" s="67">
        <f>LOOKUP(A952+0.01,Amounts!$A$4:$A$103,Amounts!$B$4:$B$103)*0.1*$A$2</f>
        <v>0</v>
      </c>
      <c r="C952" s="68">
        <f t="shared" si="91"/>
        <v>120665.52921499971</v>
      </c>
      <c r="D952" s="67">
        <f t="array" ref="D952">SUM($B$7:$B947*$F$1009*EXP(-$F$1009*($A952-$A$7:$A947)))*$F$1010</f>
        <v>3563910.5834750384</v>
      </c>
      <c r="E952" s="67">
        <f t="shared" si="89"/>
        <v>6.7942809051518704</v>
      </c>
      <c r="F952" s="70">
        <f t="shared" si="93"/>
        <v>0.41254873656082158</v>
      </c>
      <c r="G952" s="67">
        <f>E952/'Lookup Tables'!$C$48</f>
        <v>13.588561810303741</v>
      </c>
      <c r="H952" s="70">
        <f t="shared" si="90"/>
        <v>2.9594815246572589E-2</v>
      </c>
      <c r="I952" s="71">
        <f t="shared" si="94"/>
        <v>1.9567529006837388E-2</v>
      </c>
      <c r="L952" s="74"/>
      <c r="M952" s="74"/>
      <c r="N952" s="74"/>
      <c r="O952" s="74"/>
      <c r="P952" s="74"/>
      <c r="Q952" s="74"/>
      <c r="R952" s="74"/>
      <c r="S952" s="74"/>
      <c r="T952" s="74"/>
      <c r="U952" s="74"/>
      <c r="V952" s="74"/>
      <c r="W952" s="74"/>
      <c r="X952" s="74"/>
      <c r="Y952" s="74"/>
      <c r="Z952" s="74"/>
    </row>
    <row r="953" spans="1:26" x14ac:dyDescent="0.3">
      <c r="A953" s="66">
        <f t="shared" si="92"/>
        <v>2084.599999999914</v>
      </c>
      <c r="B953" s="67">
        <f>LOOKUP(A953+0.01,Amounts!$A$4:$A$103,Amounts!$B$4:$B$103)*0.1*$A$2</f>
        <v>0</v>
      </c>
      <c r="C953" s="68">
        <f t="shared" si="91"/>
        <v>120665.52921499971</v>
      </c>
      <c r="D953" s="67">
        <f t="array" ref="D953">SUM($B$7:$B948*$F$1009*EXP(-$F$1009*($A953-$A$7:$A948)))*$F$1010</f>
        <v>3558924.5996612255</v>
      </c>
      <c r="E953" s="67">
        <f t="shared" si="89"/>
        <v>6.7847755671737913</v>
      </c>
      <c r="F953" s="70">
        <f t="shared" si="93"/>
        <v>0.41197157243879262</v>
      </c>
      <c r="G953" s="67">
        <f>E953/'Lookup Tables'!$C$48</f>
        <v>13.569551134347583</v>
      </c>
      <c r="H953" s="70">
        <f t="shared" si="90"/>
        <v>2.9553411494616412E-2</v>
      </c>
      <c r="I953" s="71">
        <f t="shared" si="94"/>
        <v>1.9540153633460518E-2</v>
      </c>
      <c r="L953" s="74"/>
      <c r="M953" s="74"/>
      <c r="N953" s="74"/>
      <c r="O953" s="74"/>
      <c r="P953" s="74"/>
      <c r="Q953" s="74"/>
      <c r="R953" s="74"/>
      <c r="S953" s="74"/>
      <c r="T953" s="74"/>
      <c r="U953" s="74"/>
      <c r="V953" s="74"/>
      <c r="W953" s="74"/>
      <c r="X953" s="74"/>
      <c r="Y953" s="74"/>
      <c r="Z953" s="74"/>
    </row>
    <row r="954" spans="1:26" x14ac:dyDescent="0.3">
      <c r="A954" s="66">
        <f t="shared" si="92"/>
        <v>2084.6999999999139</v>
      </c>
      <c r="B954" s="67">
        <f>LOOKUP(A954+0.01,Amounts!$A$4:$A$103,Amounts!$B$4:$B$103)*0.1*$A$2</f>
        <v>0</v>
      </c>
      <c r="C954" s="68">
        <f t="shared" si="91"/>
        <v>120665.52921499971</v>
      </c>
      <c r="D954" s="67">
        <f t="array" ref="D954">SUM($B$7:$B949*$F$1009*EXP(-$F$1009*($A954-$A$7:$A949)))*$F$1010</f>
        <v>3553945.5913407663</v>
      </c>
      <c r="E954" s="67">
        <f t="shared" si="89"/>
        <v>6.7752835273579937</v>
      </c>
      <c r="F954" s="70">
        <f t="shared" si="93"/>
        <v>0.41139521578117733</v>
      </c>
      <c r="G954" s="67">
        <f>E954/'Lookup Tables'!$C$48</f>
        <v>13.550567054715987</v>
      </c>
      <c r="H954" s="70">
        <f t="shared" si="90"/>
        <v>2.9512065667356212E-2</v>
      </c>
      <c r="I954" s="71">
        <f t="shared" si="94"/>
        <v>1.9512816558791019E-2</v>
      </c>
      <c r="L954" s="74"/>
      <c r="M954" s="74"/>
      <c r="N954" s="74"/>
      <c r="O954" s="74"/>
      <c r="P954" s="74"/>
      <c r="Q954" s="74"/>
      <c r="R954" s="74"/>
      <c r="S954" s="74"/>
      <c r="T954" s="74"/>
      <c r="U954" s="74"/>
      <c r="V954" s="74"/>
      <c r="W954" s="74"/>
      <c r="X954" s="74"/>
      <c r="Y954" s="74"/>
      <c r="Z954" s="74"/>
    </row>
    <row r="955" spans="1:26" x14ac:dyDescent="0.3">
      <c r="A955" s="66">
        <f t="shared" si="92"/>
        <v>2084.7999999999138</v>
      </c>
      <c r="B955" s="67">
        <f>LOOKUP(A955+0.01,Amounts!$A$4:$A$103,Amounts!$B$4:$B$103)*0.1*$A$2</f>
        <v>0</v>
      </c>
      <c r="C955" s="68">
        <f t="shared" si="91"/>
        <v>120665.52921499971</v>
      </c>
      <c r="D955" s="67">
        <f t="array" ref="D955">SUM($B$7:$B950*$F$1009*EXP(-$F$1009*($A955-$A$7:$A950)))*$F$1010</f>
        <v>3548973.5487548048</v>
      </c>
      <c r="E955" s="67">
        <f t="shared" si="89"/>
        <v>6.7658047671000805</v>
      </c>
      <c r="F955" s="70">
        <f t="shared" si="93"/>
        <v>0.41081966545831694</v>
      </c>
      <c r="G955" s="67">
        <f>E955/'Lookup Tables'!$C$48</f>
        <v>13.531609534200161</v>
      </c>
      <c r="H955" s="70">
        <f t="shared" si="90"/>
        <v>2.9470777683754192E-2</v>
      </c>
      <c r="I955" s="71">
        <f t="shared" si="94"/>
        <v>1.9485517729248232E-2</v>
      </c>
      <c r="L955" s="74"/>
      <c r="M955" s="74"/>
      <c r="N955" s="74"/>
      <c r="O955" s="74"/>
      <c r="P955" s="74"/>
      <c r="Q955" s="74"/>
      <c r="R955" s="74"/>
      <c r="S955" s="74"/>
      <c r="T955" s="74"/>
      <c r="U955" s="74"/>
      <c r="V955" s="74"/>
      <c r="W955" s="74"/>
      <c r="X955" s="74"/>
      <c r="Y955" s="74"/>
      <c r="Z955" s="74"/>
    </row>
    <row r="956" spans="1:26" x14ac:dyDescent="0.3">
      <c r="A956" s="66">
        <f t="shared" si="92"/>
        <v>2084.8999999999137</v>
      </c>
      <c r="B956" s="67">
        <f>LOOKUP(A956+0.01,Amounts!$A$4:$A$103,Amounts!$B$4:$B$103)*0.1*$A$2</f>
        <v>0</v>
      </c>
      <c r="C956" s="68">
        <f t="shared" si="91"/>
        <v>120665.52921499971</v>
      </c>
      <c r="D956" s="67">
        <f t="array" ref="D956">SUM($B$7:$B951*$F$1009*EXP(-$F$1009*($A956-$A$7:$A951)))*$F$1010</f>
        <v>3544008.4621581347</v>
      </c>
      <c r="E956" s="67">
        <f t="shared" si="89"/>
        <v>6.7563392678216756</v>
      </c>
      <c r="F956" s="70">
        <f t="shared" si="93"/>
        <v>0.41024492034213217</v>
      </c>
      <c r="G956" s="67">
        <f>E956/'Lookup Tables'!$C$48</f>
        <v>13.512678535643351</v>
      </c>
      <c r="H956" s="70">
        <f t="shared" si="90"/>
        <v>2.9429547462885852E-2</v>
      </c>
      <c r="I956" s="71">
        <f t="shared" si="94"/>
        <v>1.9458257091326429E-2</v>
      </c>
      <c r="L956" s="74"/>
      <c r="M956" s="74"/>
      <c r="N956" s="74"/>
      <c r="O956" s="74"/>
      <c r="P956" s="74"/>
      <c r="Q956" s="74"/>
      <c r="R956" s="74"/>
      <c r="S956" s="74"/>
      <c r="T956" s="74"/>
      <c r="U956" s="74"/>
      <c r="V956" s="74"/>
      <c r="W956" s="74"/>
      <c r="X956" s="74"/>
      <c r="Y956" s="74"/>
      <c r="Z956" s="74"/>
    </row>
    <row r="957" spans="1:26" x14ac:dyDescent="0.3">
      <c r="A957" s="66">
        <f t="shared" si="92"/>
        <v>2084.9999999999136</v>
      </c>
      <c r="B957" s="67">
        <f>LOOKUP(A957+0.01,Amounts!$A$4:$A$103,Amounts!$B$4:$B$103)*0.1*$A$2</f>
        <v>0</v>
      </c>
      <c r="C957" s="68">
        <f t="shared" si="91"/>
        <v>120665.52921499971</v>
      </c>
      <c r="D957" s="67">
        <f t="array" ref="D957">SUM($B$7:$B952*$F$1009*EXP(-$F$1009*($A957-$A$7:$A952)))*$F$1010</f>
        <v>3539050.3218191839</v>
      </c>
      <c r="E957" s="67">
        <f t="shared" si="89"/>
        <v>6.7468870109703962</v>
      </c>
      <c r="F957" s="70">
        <f t="shared" si="93"/>
        <v>0.40967097930612245</v>
      </c>
      <c r="G957" s="67">
        <f>E957/'Lookup Tables'!$C$48</f>
        <v>13.493774021940792</v>
      </c>
      <c r="H957" s="70">
        <f t="shared" si="90"/>
        <v>2.9388374923939944E-2</v>
      </c>
      <c r="I957" s="71">
        <f t="shared" si="94"/>
        <v>1.9431034591594742E-2</v>
      </c>
      <c r="L957" s="74"/>
      <c r="M957" s="74"/>
      <c r="N957" s="74"/>
      <c r="O957" s="74"/>
      <c r="P957" s="74"/>
      <c r="Q957" s="74"/>
      <c r="R957" s="74"/>
      <c r="S957" s="74"/>
      <c r="T957" s="74"/>
      <c r="U957" s="74"/>
      <c r="V957" s="74"/>
      <c r="W957" s="74"/>
      <c r="X957" s="74"/>
      <c r="Y957" s="74"/>
      <c r="Z957" s="74"/>
    </row>
    <row r="958" spans="1:26" x14ac:dyDescent="0.3">
      <c r="A958" s="66">
        <f t="shared" si="92"/>
        <v>2085.0999999999135</v>
      </c>
      <c r="B958" s="67">
        <f>LOOKUP(A958+0.01,Amounts!$A$4:$A$103,Amounts!$B$4:$B$103)*0.1*$A$2</f>
        <v>0</v>
      </c>
      <c r="C958" s="68">
        <f t="shared" si="91"/>
        <v>120665.52921499971</v>
      </c>
      <c r="D958" s="67">
        <f t="array" ref="D958">SUM($B$7:$B953*$F$1009*EXP(-$F$1009*($A958-$A$7:$A953)))*$F$1010</f>
        <v>3534099.1180199967</v>
      </c>
      <c r="E958" s="67">
        <f t="shared" si="89"/>
        <v>6.7374479780198193</v>
      </c>
      <c r="F958" s="70">
        <f t="shared" si="93"/>
        <v>0.40909784122536341</v>
      </c>
      <c r="G958" s="67">
        <f>E958/'Lookup Tables'!$C$48</f>
        <v>13.474895956039639</v>
      </c>
      <c r="H958" s="70">
        <f t="shared" si="90"/>
        <v>2.9347259986218309E-2</v>
      </c>
      <c r="I958" s="71">
        <f t="shared" si="94"/>
        <v>1.9403850176697081E-2</v>
      </c>
      <c r="L958" s="74"/>
      <c r="M958" s="74"/>
      <c r="N958" s="74"/>
      <c r="O958" s="74"/>
      <c r="P958" s="74"/>
      <c r="Q958" s="74"/>
      <c r="R958" s="74"/>
      <c r="S958" s="74"/>
      <c r="T958" s="74"/>
      <c r="U958" s="74"/>
      <c r="V958" s="74"/>
      <c r="W958" s="74"/>
      <c r="X958" s="74"/>
      <c r="Y958" s="74"/>
      <c r="Z958" s="74"/>
    </row>
    <row r="959" spans="1:26" x14ac:dyDescent="0.3">
      <c r="A959" s="66">
        <f t="shared" si="92"/>
        <v>2085.1999999999134</v>
      </c>
      <c r="B959" s="67">
        <f>LOOKUP(A959+0.01,Amounts!$A$4:$A$103,Amounts!$B$4:$B$103)*0.1*$A$2</f>
        <v>0</v>
      </c>
      <c r="C959" s="68">
        <f t="shared" si="91"/>
        <v>120665.52921499971</v>
      </c>
      <c r="D959" s="67">
        <f t="array" ref="D959">SUM($B$7:$B954*$F$1009*EXP(-$F$1009*($A959-$A$7:$A954)))*$F$1010</f>
        <v>3529154.8410562137</v>
      </c>
      <c r="E959" s="67">
        <f t="shared" si="89"/>
        <v>6.7280221504694389</v>
      </c>
      <c r="F959" s="70">
        <f t="shared" si="93"/>
        <v>0.40852550497650431</v>
      </c>
      <c r="G959" s="67">
        <f>E959/'Lookup Tables'!$C$48</f>
        <v>13.456044300938878</v>
      </c>
      <c r="H959" s="70">
        <f t="shared" si="90"/>
        <v>2.9306202569135648E-2</v>
      </c>
      <c r="I959" s="71">
        <f t="shared" si="94"/>
        <v>1.9376703793351983E-2</v>
      </c>
      <c r="L959" s="74"/>
      <c r="M959" s="74"/>
      <c r="N959" s="74"/>
      <c r="O959" s="74"/>
      <c r="P959" s="74"/>
      <c r="Q959" s="74"/>
      <c r="R959" s="74"/>
      <c r="S959" s="74"/>
      <c r="T959" s="74"/>
      <c r="U959" s="74"/>
      <c r="V959" s="74"/>
      <c r="W959" s="74"/>
      <c r="X959" s="74"/>
      <c r="Y959" s="74"/>
      <c r="Z959" s="74"/>
    </row>
    <row r="960" spans="1:26" x14ac:dyDescent="0.3">
      <c r="A960" s="66">
        <f t="shared" si="92"/>
        <v>2085.2999999999133</v>
      </c>
      <c r="B960" s="67">
        <f>LOOKUP(A960+0.01,Amounts!$A$4:$A$103,Amounts!$B$4:$B$103)*0.1*$A$2</f>
        <v>0</v>
      </c>
      <c r="C960" s="68">
        <f t="shared" si="91"/>
        <v>120665.52921499971</v>
      </c>
      <c r="D960" s="67">
        <f t="array" ref="D960">SUM($B$7:$B955*$F$1009*EXP(-$F$1009*($A960-$A$7:$A955)))*$F$1010</f>
        <v>3524217.4812370478</v>
      </c>
      <c r="E960" s="67">
        <f t="shared" si="89"/>
        <v>6.7186095098446241</v>
      </c>
      <c r="F960" s="70">
        <f t="shared" si="93"/>
        <v>0.40795396943776557</v>
      </c>
      <c r="G960" s="67">
        <f>E960/'Lookup Tables'!$C$48</f>
        <v>13.437219019689248</v>
      </c>
      <c r="H960" s="70">
        <f t="shared" si="90"/>
        <v>2.9265202592219396E-2</v>
      </c>
      <c r="I960" s="71">
        <f t="shared" si="94"/>
        <v>1.9349595388352517E-2</v>
      </c>
      <c r="L960" s="74"/>
      <c r="M960" s="74"/>
      <c r="N960" s="74"/>
      <c r="O960" s="74"/>
      <c r="P960" s="74"/>
      <c r="Q960" s="74"/>
      <c r="R960" s="74"/>
      <c r="S960" s="74"/>
      <c r="T960" s="74"/>
      <c r="U960" s="74"/>
      <c r="V960" s="74"/>
      <c r="W960" s="74"/>
      <c r="X960" s="74"/>
      <c r="Y960" s="74"/>
      <c r="Z960" s="74"/>
    </row>
    <row r="961" spans="1:26" x14ac:dyDescent="0.3">
      <c r="A961" s="66">
        <f t="shared" si="92"/>
        <v>2085.3999999999132</v>
      </c>
      <c r="B961" s="67">
        <f>LOOKUP(A961+0.01,Amounts!$A$4:$A$103,Amounts!$B$4:$B$103)*0.1*$A$2</f>
        <v>0</v>
      </c>
      <c r="C961" s="68">
        <f t="shared" si="91"/>
        <v>120665.52921499971</v>
      </c>
      <c r="D961" s="67">
        <f t="array" ref="D961">SUM($B$7:$B956*$F$1009*EXP(-$F$1009*($A961-$A$7:$A956)))*$F$1010</f>
        <v>3519287.0288852751</v>
      </c>
      <c r="E961" s="67">
        <f t="shared" si="89"/>
        <v>6.7092100376966028</v>
      </c>
      <c r="F961" s="70">
        <f t="shared" si="93"/>
        <v>0.40738323348893773</v>
      </c>
      <c r="G961" s="67">
        <f>E961/'Lookup Tables'!$C$48</f>
        <v>13.418420075393206</v>
      </c>
      <c r="H961" s="70">
        <f t="shared" si="90"/>
        <v>2.92242599751096E-2</v>
      </c>
      <c r="I961" s="71">
        <f t="shared" si="94"/>
        <v>1.9322524908566216E-2</v>
      </c>
      <c r="L961" s="74"/>
      <c r="M961" s="74"/>
      <c r="N961" s="74"/>
      <c r="O961" s="74"/>
      <c r="P961" s="74"/>
      <c r="Q961" s="74"/>
      <c r="R961" s="74"/>
      <c r="S961" s="74"/>
      <c r="T961" s="74"/>
      <c r="U961" s="74"/>
      <c r="V961" s="74"/>
      <c r="W961" s="74"/>
      <c r="X961" s="74"/>
      <c r="Y961" s="74"/>
      <c r="Z961" s="74"/>
    </row>
    <row r="962" spans="1:26" x14ac:dyDescent="0.3">
      <c r="A962" s="66">
        <f t="shared" si="92"/>
        <v>2085.4999999999131</v>
      </c>
      <c r="B962" s="67">
        <f>LOOKUP(A962+0.01,Amounts!$A$4:$A$103,Amounts!$B$4:$B$103)*0.1*$A$2</f>
        <v>0</v>
      </c>
      <c r="C962" s="68">
        <f t="shared" si="91"/>
        <v>120665.52921499971</v>
      </c>
      <c r="D962" s="67">
        <f t="array" ref="D962">SUM($B$7:$B957*$F$1009*EXP(-$F$1009*($A962-$A$7:$A957)))*$F$1010</f>
        <v>3514363.4743372048</v>
      </c>
      <c r="E962" s="67">
        <f t="shared" si="89"/>
        <v>6.6998237156024025</v>
      </c>
      <c r="F962" s="70">
        <f t="shared" si="93"/>
        <v>0.40681329601137789</v>
      </c>
      <c r="G962" s="67">
        <f>E962/'Lookup Tables'!$C$48</f>
        <v>13.399647431204805</v>
      </c>
      <c r="H962" s="70">
        <f t="shared" si="90"/>
        <v>2.9183374637558716E-2</v>
      </c>
      <c r="I962" s="71">
        <f t="shared" si="94"/>
        <v>1.929549230093492E-2</v>
      </c>
      <c r="L962" s="74"/>
      <c r="M962" s="74"/>
      <c r="N962" s="74"/>
      <c r="O962" s="74"/>
      <c r="P962" s="74"/>
      <c r="Q962" s="74"/>
      <c r="R962" s="74"/>
      <c r="S962" s="74"/>
      <c r="T962" s="74"/>
      <c r="U962" s="74"/>
      <c r="V962" s="74"/>
      <c r="W962" s="74"/>
      <c r="X962" s="74"/>
      <c r="Y962" s="74"/>
      <c r="Z962" s="74"/>
    </row>
    <row r="963" spans="1:26" x14ac:dyDescent="0.3">
      <c r="A963" s="66">
        <f t="shared" si="92"/>
        <v>2085.5999999999131</v>
      </c>
      <c r="B963" s="67">
        <f>LOOKUP(A963+0.01,Amounts!$A$4:$A$103,Amounts!$B$4:$B$103)*0.1*$A$2</f>
        <v>0</v>
      </c>
      <c r="C963" s="68">
        <f t="shared" si="91"/>
        <v>120665.52921499971</v>
      </c>
      <c r="D963" s="67">
        <f t="array" ref="D963">SUM($B$7:$B958*$F$1009*EXP(-$F$1009*($A963-$A$7:$A958)))*$F$1010</f>
        <v>3509446.8079426675</v>
      </c>
      <c r="E963" s="67">
        <f t="shared" si="89"/>
        <v>6.6904505251648265</v>
      </c>
      <c r="F963" s="70">
        <f t="shared" si="93"/>
        <v>0.40624415588800833</v>
      </c>
      <c r="G963" s="67">
        <f>E963/'Lookup Tables'!$C$48</f>
        <v>13.380901050329653</v>
      </c>
      <c r="H963" s="70">
        <f t="shared" si="90"/>
        <v>2.9142546499431446E-2</v>
      </c>
      <c r="I963" s="71">
        <f t="shared" si="94"/>
        <v>1.9268497512474701E-2</v>
      </c>
      <c r="L963" s="74"/>
      <c r="M963" s="74"/>
      <c r="N963" s="74"/>
      <c r="O963" s="74"/>
      <c r="P963" s="74"/>
      <c r="Q963" s="74"/>
      <c r="R963" s="74"/>
      <c r="S963" s="74"/>
      <c r="T963" s="74"/>
      <c r="U963" s="74"/>
      <c r="V963" s="74"/>
      <c r="W963" s="74"/>
      <c r="X963" s="74"/>
      <c r="Y963" s="74"/>
      <c r="Z963" s="74"/>
    </row>
    <row r="964" spans="1:26" x14ac:dyDescent="0.3">
      <c r="A964" s="66">
        <f t="shared" si="92"/>
        <v>2085.699999999913</v>
      </c>
      <c r="B964" s="67">
        <f>LOOKUP(A964+0.01,Amounts!$A$4:$A$103,Amounts!$B$4:$B$103)*0.1*$A$2</f>
        <v>0</v>
      </c>
      <c r="C964" s="68">
        <f t="shared" si="91"/>
        <v>120665.52921499971</v>
      </c>
      <c r="D964" s="67">
        <f t="array" ref="D964">SUM($B$7:$B959*$F$1009*EXP(-$F$1009*($A964-$A$7:$A959)))*$F$1010</f>
        <v>3504537.0200649989</v>
      </c>
      <c r="E964" s="67">
        <f t="shared" si="89"/>
        <v>6.6810904480124238</v>
      </c>
      <c r="F964" s="70">
        <f t="shared" si="93"/>
        <v>0.40567581200331437</v>
      </c>
      <c r="G964" s="67">
        <f>E964/'Lookup Tables'!$C$48</f>
        <v>13.362180896024848</v>
      </c>
      <c r="H964" s="70">
        <f t="shared" si="90"/>
        <v>2.9101775480704657E-2</v>
      </c>
      <c r="I964" s="71">
        <f t="shared" si="94"/>
        <v>1.924154049027578E-2</v>
      </c>
      <c r="L964" s="74"/>
      <c r="M964" s="74"/>
      <c r="N964" s="74"/>
      <c r="O964" s="74"/>
      <c r="P964" s="74"/>
      <c r="Q964" s="74"/>
      <c r="R964" s="74"/>
      <c r="S964" s="74"/>
      <c r="T964" s="74"/>
      <c r="U964" s="74"/>
      <c r="V964" s="74"/>
      <c r="W964" s="74"/>
      <c r="X964" s="74"/>
      <c r="Y964" s="74"/>
      <c r="Z964" s="74"/>
    </row>
    <row r="965" spans="1:26" x14ac:dyDescent="0.3">
      <c r="A965" s="66">
        <f t="shared" si="92"/>
        <v>2085.7999999999129</v>
      </c>
      <c r="B965" s="67">
        <f>LOOKUP(A965+0.01,Amounts!$A$4:$A$103,Amounts!$B$4:$B$103)*0.1*$A$2</f>
        <v>0</v>
      </c>
      <c r="C965" s="68">
        <f t="shared" si="91"/>
        <v>120665.52921499971</v>
      </c>
      <c r="D965" s="67">
        <f t="array" ref="D965">SUM($B$7:$B960*$F$1009*EXP(-$F$1009*($A965-$A$7:$A960)))*$F$1010</f>
        <v>3499634.1010810104</v>
      </c>
      <c r="E965" s="67">
        <f t="shared" si="89"/>
        <v>6.6717434657994366</v>
      </c>
      <c r="F965" s="70">
        <f t="shared" si="93"/>
        <v>0.40510826324334176</v>
      </c>
      <c r="G965" s="67">
        <f>E965/'Lookup Tables'!$C$48</f>
        <v>13.343486931598873</v>
      </c>
      <c r="H965" s="70">
        <f t="shared" si="90"/>
        <v>2.9061061501467117E-2</v>
      </c>
      <c r="I965" s="71">
        <f t="shared" si="94"/>
        <v>1.9214621181502377E-2</v>
      </c>
      <c r="L965" s="74"/>
      <c r="M965" s="74"/>
      <c r="N965" s="74"/>
      <c r="O965" s="74"/>
      <c r="P965" s="74"/>
      <c r="Q965" s="74"/>
      <c r="R965" s="74"/>
      <c r="S965" s="74"/>
      <c r="T965" s="74"/>
      <c r="U965" s="74"/>
      <c r="V965" s="74"/>
      <c r="W965" s="74"/>
      <c r="X965" s="74"/>
      <c r="Y965" s="74"/>
      <c r="Z965" s="74"/>
    </row>
    <row r="966" spans="1:26" x14ac:dyDescent="0.3">
      <c r="A966" s="66">
        <f t="shared" si="92"/>
        <v>2085.8999999999128</v>
      </c>
      <c r="B966" s="67">
        <f>LOOKUP(A966+0.01,Amounts!$A$4:$A$103,Amounts!$B$4:$B$103)*0.1*$A$2</f>
        <v>0</v>
      </c>
      <c r="C966" s="68">
        <f t="shared" si="91"/>
        <v>120665.52921499971</v>
      </c>
      <c r="D966" s="67">
        <f t="array" ref="D966">SUM($B$7:$B961*$F$1009*EXP(-$F$1009*($A966-$A$7:$A961)))*$F$1010</f>
        <v>3494738.0413809819</v>
      </c>
      <c r="E966" s="67">
        <f t="shared" si="89"/>
        <v>6.6624095602057798</v>
      </c>
      <c r="F966" s="70">
        <f t="shared" si="93"/>
        <v>0.40454150849569498</v>
      </c>
      <c r="G966" s="67">
        <f>E966/'Lookup Tables'!$C$48</f>
        <v>13.32481912041156</v>
      </c>
      <c r="H966" s="70">
        <f t="shared" si="90"/>
        <v>2.9020404481919435E-2</v>
      </c>
      <c r="I966" s="71">
        <f t="shared" si="94"/>
        <v>1.9187739533392648E-2</v>
      </c>
      <c r="L966" s="74"/>
      <c r="M966" s="74"/>
      <c r="N966" s="74"/>
      <c r="O966" s="74"/>
      <c r="P966" s="74"/>
      <c r="Q966" s="74"/>
      <c r="R966" s="74"/>
      <c r="S966" s="74"/>
      <c r="T966" s="74"/>
      <c r="U966" s="74"/>
      <c r="V966" s="74"/>
      <c r="W966" s="74"/>
      <c r="X966" s="74"/>
      <c r="Y966" s="74"/>
      <c r="Z966" s="74"/>
    </row>
    <row r="967" spans="1:26" x14ac:dyDescent="0.3">
      <c r="A967" s="66">
        <f t="shared" si="92"/>
        <v>2085.9999999999127</v>
      </c>
      <c r="B967" s="67">
        <f>LOOKUP(A967+0.01,Amounts!$A$4:$A$103,Amounts!$B$4:$B$103)*0.1*$A$2</f>
        <v>0</v>
      </c>
      <c r="C967" s="68">
        <f t="shared" si="91"/>
        <v>120665.52921499971</v>
      </c>
      <c r="D967" s="67">
        <f t="array" ref="D967">SUM($B$7:$B962*$F$1009*EXP(-$F$1009*($A967-$A$7:$A962)))*$F$1010</f>
        <v>3489848.8313686331</v>
      </c>
      <c r="E967" s="67">
        <f t="shared" ref="E967:E1007" si="95">D967/(365*24*60)*1.00201</f>
        <v>6.6530887129369942</v>
      </c>
      <c r="F967" s="70">
        <f t="shared" si="93"/>
        <v>0.40397554664953433</v>
      </c>
      <c r="G967" s="67">
        <f>E967/'Lookup Tables'!$C$48</f>
        <v>13.306177425873988</v>
      </c>
      <c r="H967" s="70">
        <f t="shared" ref="H967:H1007" si="96">G967*60*24*365/(C967*2000)</f>
        <v>2.8979804342373825E-2</v>
      </c>
      <c r="I967" s="71">
        <f t="shared" si="94"/>
        <v>1.9160895493258542E-2</v>
      </c>
      <c r="L967" s="74"/>
      <c r="M967" s="74"/>
      <c r="N967" s="74"/>
      <c r="O967" s="74"/>
      <c r="P967" s="74"/>
      <c r="Q967" s="74"/>
      <c r="R967" s="74"/>
      <c r="S967" s="74"/>
      <c r="T967" s="74"/>
      <c r="U967" s="74"/>
      <c r="V967" s="74"/>
      <c r="W967" s="74"/>
      <c r="X967" s="74"/>
      <c r="Y967" s="74"/>
      <c r="Z967" s="74"/>
    </row>
    <row r="968" spans="1:26" x14ac:dyDescent="0.3">
      <c r="A968" s="66">
        <f t="shared" si="92"/>
        <v>2086.0999999999126</v>
      </c>
      <c r="B968" s="67">
        <f>LOOKUP(A968+0.01,Amounts!$A$4:$A$103,Amounts!$B$4:$B$103)*0.1*$A$2</f>
        <v>0</v>
      </c>
      <c r="C968" s="68">
        <f t="shared" si="91"/>
        <v>120665.52921499971</v>
      </c>
      <c r="D968" s="67">
        <f t="array" ref="D968">SUM($B$7:$B963*$F$1009*EXP(-$F$1009*($A968-$A$7:$A963)))*$F$1010</f>
        <v>3484966.4614611096</v>
      </c>
      <c r="E968" s="67">
        <f t="shared" si="95"/>
        <v>6.6437809057242134</v>
      </c>
      <c r="F968" s="70">
        <f t="shared" si="93"/>
        <v>0.40341037659557427</v>
      </c>
      <c r="G968" s="67">
        <f>E968/'Lookup Tables'!$C$48</f>
        <v>13.287561811448427</v>
      </c>
      <c r="H968" s="70">
        <f t="shared" si="96"/>
        <v>2.8939261003253995E-2</v>
      </c>
      <c r="I968" s="71">
        <f t="shared" si="94"/>
        <v>1.9134089008485736E-2</v>
      </c>
      <c r="L968" s="74"/>
      <c r="M968" s="74"/>
      <c r="N968" s="74"/>
      <c r="O968" s="74"/>
      <c r="P968" s="74"/>
      <c r="Q968" s="74"/>
      <c r="R968" s="74"/>
      <c r="S968" s="74"/>
      <c r="T968" s="74"/>
      <c r="U968" s="74"/>
      <c r="V968" s="74"/>
      <c r="W968" s="74"/>
      <c r="X968" s="74"/>
      <c r="Y968" s="74"/>
      <c r="Z968" s="74"/>
    </row>
    <row r="969" spans="1:26" x14ac:dyDescent="0.3">
      <c r="A969" s="66">
        <f t="shared" si="92"/>
        <v>2086.1999999999125</v>
      </c>
      <c r="B969" s="67">
        <f>LOOKUP(A969+0.01,Amounts!$A$4:$A$103,Amounts!$B$4:$B$103)*0.1*$A$2</f>
        <v>0</v>
      </c>
      <c r="C969" s="68">
        <f t="shared" ref="C969:C1006" si="97">C968+B969</f>
        <v>120665.52921499971</v>
      </c>
      <c r="D969" s="67">
        <f t="array" ref="D969">SUM($B$7:$B964*$F$1009*EXP(-$F$1009*($A969-$A$7:$A964)))*$F$1010</f>
        <v>3480090.9220889676</v>
      </c>
      <c r="E969" s="67">
        <f t="shared" si="95"/>
        <v>6.6344861203241381</v>
      </c>
      <c r="F969" s="70">
        <f t="shared" si="93"/>
        <v>0.40284599722608166</v>
      </c>
      <c r="G969" s="67">
        <f>E969/'Lookup Tables'!$C$48</f>
        <v>13.268972240648276</v>
      </c>
      <c r="H969" s="70">
        <f t="shared" si="96"/>
        <v>2.889877438509501E-2</v>
      </c>
      <c r="I969" s="71">
        <f t="shared" si="94"/>
        <v>1.9107320026533519E-2</v>
      </c>
      <c r="L969" s="74"/>
      <c r="M969" s="74"/>
      <c r="N969" s="74"/>
      <c r="O969" s="74"/>
      <c r="P969" s="74"/>
      <c r="Q969" s="74"/>
      <c r="R969" s="74"/>
      <c r="S969" s="74"/>
      <c r="T969" s="74"/>
      <c r="U969" s="74"/>
      <c r="V969" s="74"/>
      <c r="W969" s="74"/>
      <c r="X969" s="74"/>
      <c r="Y969" s="74"/>
      <c r="Z969" s="74"/>
    </row>
    <row r="970" spans="1:26" x14ac:dyDescent="0.3">
      <c r="A970" s="66">
        <f t="shared" si="92"/>
        <v>2086.2999999999124</v>
      </c>
      <c r="B970" s="67">
        <f>LOOKUP(A970+0.01,Amounts!$A$4:$A$103,Amounts!$B$4:$B$103)*0.1*$A$2</f>
        <v>0</v>
      </c>
      <c r="C970" s="68">
        <f t="shared" si="97"/>
        <v>120665.52921499971</v>
      </c>
      <c r="D970" s="67">
        <f t="array" ref="D970">SUM($B$7:$B965*$F$1009*EXP(-$F$1009*($A970-$A$7:$A965)))*$F$1010</f>
        <v>3475222.2036961461</v>
      </c>
      <c r="E970" s="67">
        <f t="shared" si="95"/>
        <v>6.6252043385189801</v>
      </c>
      <c r="F970" s="70">
        <f t="shared" si="93"/>
        <v>0.40228240743487248</v>
      </c>
      <c r="G970" s="67">
        <f>E970/'Lookup Tables'!$C$48</f>
        <v>13.25040867703796</v>
      </c>
      <c r="H970" s="70">
        <f t="shared" si="96"/>
        <v>2.8858344408543058E-2</v>
      </c>
      <c r="I970" s="71">
        <f t="shared" si="94"/>
        <v>1.9080588494934662E-2</v>
      </c>
      <c r="L970" s="74"/>
      <c r="M970" s="74"/>
      <c r="N970" s="74"/>
      <c r="O970" s="74"/>
      <c r="P970" s="74"/>
      <c r="Q970" s="74"/>
      <c r="R970" s="74"/>
      <c r="S970" s="74"/>
      <c r="T970" s="74"/>
      <c r="U970" s="74"/>
      <c r="V970" s="74"/>
      <c r="W970" s="74"/>
      <c r="X970" s="74"/>
      <c r="Y970" s="74"/>
      <c r="Z970" s="74"/>
    </row>
    <row r="971" spans="1:26" x14ac:dyDescent="0.3">
      <c r="A971" s="66">
        <f t="shared" si="92"/>
        <v>2086.3999999999123</v>
      </c>
      <c r="B971" s="67">
        <f>LOOKUP(A971+0.01,Amounts!$A$4:$A$103,Amounts!$B$4:$B$103)*0.1*$A$2</f>
        <v>0</v>
      </c>
      <c r="C971" s="68">
        <f t="shared" si="97"/>
        <v>120665.52921499971</v>
      </c>
      <c r="D971" s="67">
        <f t="array" ref="D971">SUM($B$7:$B966*$F$1009*EXP(-$F$1009*($A971-$A$7:$A966)))*$F$1010</f>
        <v>3470360.2967399578</v>
      </c>
      <c r="E971" s="67">
        <f t="shared" si="95"/>
        <v>6.6159355421164481</v>
      </c>
      <c r="F971" s="70">
        <f t="shared" si="93"/>
        <v>0.40171960611731078</v>
      </c>
      <c r="G971" s="67">
        <f>E971/'Lookup Tables'!$C$48</f>
        <v>13.231871084232896</v>
      </c>
      <c r="H971" s="70">
        <f t="shared" si="96"/>
        <v>2.8817970994355395E-2</v>
      </c>
      <c r="I971" s="71">
        <f t="shared" si="94"/>
        <v>1.905389436129537E-2</v>
      </c>
      <c r="L971" s="74"/>
      <c r="M971" s="74"/>
      <c r="N971" s="74"/>
      <c r="O971" s="74"/>
      <c r="P971" s="74"/>
      <c r="Q971" s="74"/>
      <c r="R971" s="74"/>
      <c r="S971" s="74"/>
      <c r="T971" s="74"/>
      <c r="U971" s="74"/>
      <c r="V971" s="74"/>
      <c r="W971" s="74"/>
      <c r="X971" s="74"/>
      <c r="Y971" s="74"/>
      <c r="Z971" s="74"/>
    </row>
    <row r="972" spans="1:26" x14ac:dyDescent="0.3">
      <c r="A972" s="66">
        <f t="shared" si="92"/>
        <v>2086.4999999999122</v>
      </c>
      <c r="B972" s="67">
        <f>LOOKUP(A972+0.01,Amounts!$A$4:$A$103,Amounts!$B$4:$B$103)*0.1*$A$2</f>
        <v>0</v>
      </c>
      <c r="C972" s="68">
        <f t="shared" si="97"/>
        <v>120665.52921499971</v>
      </c>
      <c r="D972" s="67">
        <f t="array" ref="D972">SUM($B$7:$B967*$F$1009*EXP(-$F$1009*($A972-$A$7:$A967)))*$F$1010</f>
        <v>3465505.1916910592</v>
      </c>
      <c r="E972" s="67">
        <f t="shared" si="95"/>
        <v>6.6066797129496928</v>
      </c>
      <c r="F972" s="70">
        <f t="shared" si="93"/>
        <v>0.40115759217030533</v>
      </c>
      <c r="G972" s="67">
        <f>E972/'Lookup Tables'!$C$48</f>
        <v>13.213359425899386</v>
      </c>
      <c r="H972" s="70">
        <f t="shared" si="96"/>
        <v>2.877765406340009E-2</v>
      </c>
      <c r="I972" s="71">
        <f t="shared" si="94"/>
        <v>1.9027237573295115E-2</v>
      </c>
      <c r="L972" s="74"/>
      <c r="M972" s="74"/>
      <c r="N972" s="74"/>
      <c r="O972" s="74"/>
      <c r="P972" s="74"/>
      <c r="Q972" s="74"/>
      <c r="R972" s="74"/>
      <c r="S972" s="74"/>
      <c r="T972" s="74"/>
      <c r="U972" s="74"/>
      <c r="V972" s="74"/>
      <c r="W972" s="74"/>
      <c r="X972" s="74"/>
      <c r="Y972" s="74"/>
      <c r="Z972" s="74"/>
    </row>
    <row r="973" spans="1:26" x14ac:dyDescent="0.3">
      <c r="A973" s="66">
        <f t="shared" si="92"/>
        <v>2086.5999999999121</v>
      </c>
      <c r="B973" s="67">
        <f>LOOKUP(A973+0.01,Amounts!$A$4:$A$103,Amounts!$B$4:$B$103)*0.1*$A$2</f>
        <v>0</v>
      </c>
      <c r="C973" s="68">
        <f t="shared" si="97"/>
        <v>120665.52921499971</v>
      </c>
      <c r="D973" s="67">
        <f t="array" ref="D973">SUM($B$7:$B968*$F$1009*EXP(-$F$1009*($A973-$A$7:$A968)))*$F$1010</f>
        <v>3460656.8790334472</v>
      </c>
      <c r="E973" s="67">
        <f t="shared" si="95"/>
        <v>6.5974368328772917</v>
      </c>
      <c r="F973" s="70">
        <f t="shared" si="93"/>
        <v>0.40059636449230918</v>
      </c>
      <c r="G973" s="67">
        <f>E973/'Lookup Tables'!$C$48</f>
        <v>13.194873665754583</v>
      </c>
      <c r="H973" s="70">
        <f t="shared" si="96"/>
        <v>2.8737393536655966E-2</v>
      </c>
      <c r="I973" s="71">
        <f t="shared" si="94"/>
        <v>1.9000618078686599E-2</v>
      </c>
      <c r="L973" s="74"/>
      <c r="M973" s="74"/>
      <c r="N973" s="74"/>
      <c r="O973" s="74"/>
      <c r="P973" s="74"/>
      <c r="Q973" s="74"/>
      <c r="R973" s="74"/>
      <c r="S973" s="74"/>
      <c r="T973" s="74"/>
      <c r="U973" s="74"/>
      <c r="V973" s="74"/>
      <c r="W973" s="74"/>
      <c r="X973" s="74"/>
      <c r="Y973" s="74"/>
      <c r="Z973" s="74"/>
    </row>
    <row r="974" spans="1:26" x14ac:dyDescent="0.3">
      <c r="A974" s="66">
        <f t="shared" si="92"/>
        <v>2086.6999999999121</v>
      </c>
      <c r="B974" s="67">
        <f>LOOKUP(A974+0.01,Amounts!$A$4:$A$103,Amounts!$B$4:$B$103)*0.1*$A$2</f>
        <v>0</v>
      </c>
      <c r="C974" s="68">
        <f t="shared" si="97"/>
        <v>120665.52921499971</v>
      </c>
      <c r="D974" s="67">
        <f t="array" ref="D974">SUM($B$7:$B969*$F$1009*EXP(-$F$1009*($A974-$A$7:$A969)))*$F$1010</f>
        <v>3455815.3492644257</v>
      </c>
      <c r="E974" s="67">
        <f t="shared" si="95"/>
        <v>6.5882068837831955</v>
      </c>
      <c r="F974" s="70">
        <f t="shared" si="93"/>
        <v>0.40003592198331561</v>
      </c>
      <c r="G974" s="67">
        <f>E974/'Lookup Tables'!$C$48</f>
        <v>13.176413767566391</v>
      </c>
      <c r="H974" s="70">
        <f t="shared" si="96"/>
        <v>2.869718933521238E-2</v>
      </c>
      <c r="I974" s="71">
        <f t="shared" si="94"/>
        <v>1.8974035825295603E-2</v>
      </c>
      <c r="L974" s="74"/>
      <c r="M974" s="74"/>
      <c r="N974" s="74"/>
      <c r="O974" s="74"/>
      <c r="P974" s="74"/>
      <c r="Q974" s="74"/>
      <c r="R974" s="74"/>
      <c r="S974" s="74"/>
      <c r="T974" s="74"/>
      <c r="U974" s="74"/>
      <c r="V974" s="74"/>
      <c r="W974" s="74"/>
      <c r="X974" s="74"/>
      <c r="Y974" s="74"/>
      <c r="Z974" s="74"/>
    </row>
    <row r="975" spans="1:26" x14ac:dyDescent="0.3">
      <c r="A975" s="66">
        <f t="shared" si="92"/>
        <v>2086.799999999912</v>
      </c>
      <c r="B975" s="67">
        <f>LOOKUP(A975+0.01,Amounts!$A$4:$A$103,Amounts!$B$4:$B$103)*0.1*$A$2</f>
        <v>0</v>
      </c>
      <c r="C975" s="68">
        <f t="shared" si="97"/>
        <v>120665.52921499971</v>
      </c>
      <c r="D975" s="67">
        <f t="array" ref="D975">SUM($B$7:$B970*$F$1009*EXP(-$F$1009*($A975-$A$7:$A970)))*$F$1010</f>
        <v>3450980.5928945965</v>
      </c>
      <c r="E975" s="67">
        <f t="shared" si="95"/>
        <v>6.5789898475767021</v>
      </c>
      <c r="F975" s="70">
        <f t="shared" si="93"/>
        <v>0.39947626354485732</v>
      </c>
      <c r="G975" s="67">
        <f>E975/'Lookup Tables'!$C$48</f>
        <v>13.157979695153404</v>
      </c>
      <c r="H975" s="70">
        <f t="shared" si="96"/>
        <v>2.8657041380269085E-2</v>
      </c>
      <c r="I975" s="71">
        <f t="shared" si="94"/>
        <v>1.89474907610209E-2</v>
      </c>
      <c r="L975" s="74"/>
      <c r="M975" s="74"/>
      <c r="N975" s="74"/>
      <c r="O975" s="74"/>
      <c r="P975" s="74"/>
      <c r="Q975" s="74"/>
      <c r="R975" s="74"/>
      <c r="S975" s="74"/>
      <c r="T975" s="74"/>
      <c r="U975" s="74"/>
      <c r="V975" s="74"/>
      <c r="W975" s="74"/>
      <c r="X975" s="74"/>
      <c r="Y975" s="74"/>
      <c r="Z975" s="74"/>
    </row>
    <row r="976" spans="1:26" x14ac:dyDescent="0.3">
      <c r="A976" s="66">
        <f t="shared" si="92"/>
        <v>2086.8999999999119</v>
      </c>
      <c r="B976" s="67">
        <f>LOOKUP(A976+0.01,Amounts!$A$4:$A$103,Amounts!$B$4:$B$103)*0.1*$A$2</f>
        <v>0</v>
      </c>
      <c r="C976" s="68">
        <f t="shared" si="97"/>
        <v>120665.52921499971</v>
      </c>
      <c r="D976" s="67">
        <f t="array" ref="D976">SUM($B$7:$B971*$F$1009*EXP(-$F$1009*($A976-$A$7:$A971)))*$F$1010</f>
        <v>3446152.6004478326</v>
      </c>
      <c r="E976" s="67">
        <f t="shared" si="95"/>
        <v>6.5697857061924143</v>
      </c>
      <c r="F976" s="70">
        <f t="shared" si="93"/>
        <v>0.39891738808000338</v>
      </c>
      <c r="G976" s="67">
        <f>E976/'Lookup Tables'!$C$48</f>
        <v>13.139571412384829</v>
      </c>
      <c r="H976" s="70">
        <f t="shared" si="96"/>
        <v>2.8616949593136057E-2</v>
      </c>
      <c r="I976" s="71">
        <f t="shared" si="94"/>
        <v>1.8920982833834154E-2</v>
      </c>
      <c r="L976" s="74"/>
      <c r="M976" s="74"/>
      <c r="N976" s="74"/>
      <c r="O976" s="74"/>
      <c r="P976" s="74"/>
      <c r="Q976" s="74"/>
      <c r="R976" s="74"/>
      <c r="S976" s="74"/>
      <c r="T976" s="74"/>
      <c r="U976" s="74"/>
      <c r="V976" s="74"/>
      <c r="W976" s="74"/>
      <c r="X976" s="74"/>
      <c r="Y976" s="74"/>
      <c r="Z976" s="74"/>
    </row>
    <row r="977" spans="1:26" x14ac:dyDescent="0.3">
      <c r="A977" s="66">
        <f t="shared" si="92"/>
        <v>2086.9999999999118</v>
      </c>
      <c r="B977" s="67">
        <f>LOOKUP(A977+0.01,Amounts!$A$4:$A$103,Amounts!$B$4:$B$103)*0.1*$A$2</f>
        <v>0</v>
      </c>
      <c r="C977" s="68">
        <f t="shared" si="97"/>
        <v>120665.52921499971</v>
      </c>
      <c r="D977" s="67">
        <f t="array" ref="D977">SUM($B$7:$B972*$F$1009*EXP(-$F$1009*($A977-$A$7:$A972)))*$F$1010</f>
        <v>3441331.3624612698</v>
      </c>
      <c r="E977" s="67">
        <f t="shared" si="95"/>
        <v>6.5605944415902151</v>
      </c>
      <c r="F977" s="70">
        <f t="shared" si="93"/>
        <v>0.39835929449335788</v>
      </c>
      <c r="G977" s="67">
        <f>E977/'Lookup Tables'!$C$48</f>
        <v>13.12118888318043</v>
      </c>
      <c r="H977" s="70">
        <f t="shared" si="96"/>
        <v>2.8576913895233407E-2</v>
      </c>
      <c r="I977" s="71">
        <f t="shared" si="94"/>
        <v>1.8894511991779821E-2</v>
      </c>
      <c r="L977" s="74"/>
      <c r="M977" s="74"/>
      <c r="N977" s="74"/>
      <c r="O977" s="74"/>
      <c r="P977" s="74"/>
      <c r="Q977" s="74"/>
      <c r="R977" s="74"/>
      <c r="S977" s="74"/>
      <c r="T977" s="74"/>
      <c r="U977" s="74"/>
      <c r="V977" s="74"/>
      <c r="W977" s="74"/>
      <c r="X977" s="74"/>
      <c r="Y977" s="74"/>
      <c r="Z977" s="74"/>
    </row>
    <row r="978" spans="1:26" x14ac:dyDescent="0.3">
      <c r="A978" s="66">
        <f t="shared" si="92"/>
        <v>2087.0999999999117</v>
      </c>
      <c r="B978" s="67">
        <f>LOOKUP(A978+0.01,Amounts!$A$4:$A$103,Amounts!$B$4:$B$103)*0.1*$A$2</f>
        <v>0</v>
      </c>
      <c r="C978" s="68">
        <f t="shared" si="97"/>
        <v>120665.52921499971</v>
      </c>
      <c r="D978" s="67">
        <f t="array" ref="D978">SUM($B$7:$B973*$F$1009*EXP(-$F$1009*($A978-$A$7:$A973)))*$F$1010</f>
        <v>3436516.8694852791</v>
      </c>
      <c r="E978" s="67">
        <f t="shared" si="95"/>
        <v>6.5514160357552225</v>
      </c>
      <c r="F978" s="70">
        <f t="shared" si="93"/>
        <v>0.39780198169105707</v>
      </c>
      <c r="G978" s="67">
        <f>E978/'Lookup Tables'!$C$48</f>
        <v>13.102832071510445</v>
      </c>
      <c r="H978" s="70">
        <f t="shared" si="96"/>
        <v>2.8536934208091135E-2</v>
      </c>
      <c r="I978" s="71">
        <f t="shared" si="94"/>
        <v>1.8868078182975041E-2</v>
      </c>
      <c r="L978" s="74"/>
      <c r="M978" s="74"/>
      <c r="N978" s="74"/>
      <c r="O978" s="74"/>
      <c r="P978" s="74"/>
      <c r="Q978" s="74"/>
      <c r="R978" s="74"/>
      <c r="S978" s="74"/>
      <c r="T978" s="74"/>
      <c r="U978" s="74"/>
      <c r="V978" s="74"/>
      <c r="W978" s="74"/>
      <c r="X978" s="74"/>
      <c r="Y978" s="74"/>
      <c r="Z978" s="74"/>
    </row>
    <row r="979" spans="1:26" x14ac:dyDescent="0.3">
      <c r="A979" s="66">
        <f t="shared" ref="A979:A1006" si="98">A978+0.1</f>
        <v>2087.1999999999116</v>
      </c>
      <c r="B979" s="67">
        <f>LOOKUP(A979+0.01,Amounts!$A$4:$A$103,Amounts!$B$4:$B$103)*0.1*$A$2</f>
        <v>0</v>
      </c>
      <c r="C979" s="68">
        <f t="shared" si="97"/>
        <v>120665.52921499971</v>
      </c>
      <c r="D979" s="67">
        <f t="array" ref="D979">SUM($B$7:$B974*$F$1009*EXP(-$F$1009*($A979-$A$7:$A974)))*$F$1010</f>
        <v>3431709.1120834523</v>
      </c>
      <c r="E979" s="67">
        <f t="shared" si="95"/>
        <v>6.5422504706977556</v>
      </c>
      <c r="F979" s="70">
        <f t="shared" ref="F979:F1007" si="99">E979*60*1012/1000000</f>
        <v>0.39724544858076771</v>
      </c>
      <c r="G979" s="67">
        <f>E979/'Lookup Tables'!$C$48</f>
        <v>13.084500941395511</v>
      </c>
      <c r="H979" s="70">
        <f t="shared" si="96"/>
        <v>2.8497010453349039E-2</v>
      </c>
      <c r="I979" s="71">
        <f t="shared" ref="I979:I1006" si="100">G979*60*24/1000000</f>
        <v>1.8841681355609537E-2</v>
      </c>
      <c r="L979" s="74"/>
      <c r="M979" s="74"/>
      <c r="N979" s="74"/>
      <c r="O979" s="74"/>
      <c r="P979" s="74"/>
      <c r="Q979" s="74"/>
      <c r="R979" s="74"/>
      <c r="S979" s="74"/>
      <c r="T979" s="74"/>
      <c r="U979" s="74"/>
      <c r="V979" s="74"/>
      <c r="W979" s="74"/>
      <c r="X979" s="74"/>
      <c r="Y979" s="74"/>
      <c r="Z979" s="74"/>
    </row>
    <row r="980" spans="1:26" x14ac:dyDescent="0.3">
      <c r="A980" s="66">
        <f t="shared" si="98"/>
        <v>2087.2999999999115</v>
      </c>
      <c r="B980" s="67">
        <f>LOOKUP(A980+0.01,Amounts!$A$4:$A$103,Amounts!$B$4:$B$103)*0.1*$A$2</f>
        <v>0</v>
      </c>
      <c r="C980" s="68">
        <f t="shared" si="97"/>
        <v>120665.52921499971</v>
      </c>
      <c r="D980" s="67">
        <f t="array" ref="D980">SUM($B$7:$B975*$F$1009*EXP(-$F$1009*($A980-$A$7:$A975)))*$F$1010</f>
        <v>3426908.0808325843</v>
      </c>
      <c r="E980" s="67">
        <f t="shared" si="95"/>
        <v>6.5330977284533072</v>
      </c>
      <c r="F980" s="70">
        <f t="shared" si="99"/>
        <v>0.39668969407168481</v>
      </c>
      <c r="G980" s="67">
        <f>E980/'Lookup Tables'!$C$48</f>
        <v>13.066195456906614</v>
      </c>
      <c r="H980" s="70">
        <f t="shared" si="96"/>
        <v>2.8457142552756557E-2</v>
      </c>
      <c r="I980" s="71">
        <f t="shared" si="100"/>
        <v>1.8815321457945525E-2</v>
      </c>
      <c r="L980" s="74"/>
      <c r="M980" s="74"/>
      <c r="N980" s="74"/>
      <c r="O980" s="74"/>
      <c r="P980" s="74"/>
      <c r="Q980" s="74"/>
      <c r="R980" s="74"/>
      <c r="S980" s="74"/>
      <c r="T980" s="74"/>
      <c r="U980" s="74"/>
      <c r="V980" s="74"/>
      <c r="W980" s="74"/>
      <c r="X980" s="74"/>
      <c r="Y980" s="74"/>
      <c r="Z980" s="74"/>
    </row>
    <row r="981" spans="1:26" x14ac:dyDescent="0.3">
      <c r="A981" s="66">
        <f t="shared" si="98"/>
        <v>2087.3999999999114</v>
      </c>
      <c r="B981" s="67">
        <f>LOOKUP(A981+0.01,Amounts!$A$4:$A$103,Amounts!$B$4:$B$103)*0.1*$A$2</f>
        <v>0</v>
      </c>
      <c r="C981" s="68">
        <f t="shared" si="97"/>
        <v>120665.52921499971</v>
      </c>
      <c r="D981" s="67">
        <f t="array" ref="D981">SUM($B$7:$B976*$F$1009*EXP(-$F$1009*($A981-$A$7:$A976)))*$F$1010</f>
        <v>3422113.7663226505</v>
      </c>
      <c r="E981" s="67">
        <f t="shared" si="95"/>
        <v>6.5239577910824949</v>
      </c>
      <c r="F981" s="70">
        <f t="shared" si="99"/>
        <v>0.39613471707452907</v>
      </c>
      <c r="G981" s="67">
        <f>E981/'Lookup Tables'!$C$48</f>
        <v>13.04791558216499</v>
      </c>
      <c r="H981" s="70">
        <f t="shared" si="96"/>
        <v>2.8417330428172585E-2</v>
      </c>
      <c r="I981" s="71">
        <f t="shared" si="100"/>
        <v>1.8788998438317585E-2</v>
      </c>
      <c r="L981" s="74"/>
      <c r="M981" s="74"/>
      <c r="N981" s="74"/>
      <c r="O981" s="74"/>
      <c r="P981" s="74"/>
      <c r="Q981" s="74"/>
      <c r="R981" s="74"/>
      <c r="S981" s="74"/>
      <c r="T981" s="74"/>
      <c r="U981" s="74"/>
      <c r="V981" s="74"/>
      <c r="W981" s="74"/>
      <c r="X981" s="74"/>
      <c r="Y981" s="74"/>
      <c r="Z981" s="74"/>
    </row>
    <row r="982" spans="1:26" x14ac:dyDescent="0.3">
      <c r="A982" s="66">
        <f t="shared" si="98"/>
        <v>2087.4999999999113</v>
      </c>
      <c r="B982" s="67">
        <f>LOOKUP(A982+0.01,Amounts!$A$4:$A$103,Amounts!$B$4:$B$103)*0.1*$A$2</f>
        <v>0</v>
      </c>
      <c r="C982" s="68">
        <f t="shared" si="97"/>
        <v>120665.52921499971</v>
      </c>
      <c r="D982" s="67">
        <f t="array" ref="D982">SUM($B$7:$B977*$F$1009*EXP(-$F$1009*($A982-$A$7:$A977)))*$F$1010</f>
        <v>3417326.1591567951</v>
      </c>
      <c r="E982" s="67">
        <f t="shared" si="95"/>
        <v>6.5148306406710432</v>
      </c>
      <c r="F982" s="70">
        <f t="shared" si="99"/>
        <v>0.39558051650154574</v>
      </c>
      <c r="G982" s="67">
        <f>E982/'Lookup Tables'!$C$48</f>
        <v>13.029661281342086</v>
      </c>
      <c r="H982" s="70">
        <f t="shared" si="96"/>
        <v>2.8377574001565351E-2</v>
      </c>
      <c r="I982" s="71">
        <f t="shared" si="100"/>
        <v>1.8762712245132603E-2</v>
      </c>
      <c r="L982" s="74"/>
      <c r="M982" s="74"/>
      <c r="N982" s="74"/>
      <c r="O982" s="74"/>
      <c r="P982" s="74"/>
      <c r="Q982" s="74"/>
      <c r="R982" s="74"/>
      <c r="S982" s="74"/>
      <c r="T982" s="74"/>
      <c r="U982" s="74"/>
      <c r="V982" s="74"/>
      <c r="W982" s="74"/>
      <c r="X982" s="74"/>
      <c r="Y982" s="74"/>
      <c r="Z982" s="74"/>
    </row>
    <row r="983" spans="1:26" x14ac:dyDescent="0.3">
      <c r="A983" s="66">
        <f t="shared" si="98"/>
        <v>2087.5999999999112</v>
      </c>
      <c r="B983" s="67">
        <f>LOOKUP(A983+0.01,Amounts!$A$4:$A$103,Amounts!$B$4:$B$103)*0.1*$A$2</f>
        <v>0</v>
      </c>
      <c r="C983" s="68">
        <f t="shared" si="97"/>
        <v>120665.52921499971</v>
      </c>
      <c r="D983" s="67">
        <f t="array" ref="D983">SUM($B$7:$B978*$F$1009*EXP(-$F$1009*($A983-$A$7:$A978)))*$F$1010</f>
        <v>3412545.2499513067</v>
      </c>
      <c r="E983" s="67">
        <f t="shared" si="95"/>
        <v>6.5057162593297351</v>
      </c>
      <c r="F983" s="70">
        <f t="shared" si="99"/>
        <v>0.39502709126650154</v>
      </c>
      <c r="G983" s="67">
        <f>E983/'Lookup Tables'!$C$48</f>
        <v>13.01143251865947</v>
      </c>
      <c r="H983" s="70">
        <f t="shared" si="96"/>
        <v>2.8337873195012263E-2</v>
      </c>
      <c r="I983" s="71">
        <f t="shared" si="100"/>
        <v>1.8736462826869641E-2</v>
      </c>
      <c r="L983" s="74"/>
      <c r="M983" s="74"/>
      <c r="N983" s="74"/>
      <c r="O983" s="74"/>
      <c r="P983" s="74"/>
      <c r="Q983" s="74"/>
      <c r="R983" s="74"/>
      <c r="S983" s="74"/>
      <c r="T983" s="74"/>
      <c r="U983" s="74"/>
      <c r="V983" s="74"/>
      <c r="W983" s="74"/>
      <c r="X983" s="74"/>
      <c r="Y983" s="74"/>
      <c r="Z983" s="74"/>
    </row>
    <row r="984" spans="1:26" x14ac:dyDescent="0.3">
      <c r="A984" s="66">
        <f t="shared" si="98"/>
        <v>2087.6999999999111</v>
      </c>
      <c r="B984" s="67">
        <f>LOOKUP(A984+0.01,Amounts!$A$4:$A$103,Amounts!$B$4:$B$103)*0.1*$A$2</f>
        <v>0</v>
      </c>
      <c r="C984" s="68">
        <f t="shared" si="97"/>
        <v>120665.52921499971</v>
      </c>
      <c r="D984" s="67">
        <f t="array" ref="D984">SUM($B$7:$B979*$F$1009*EXP(-$F$1009*($A984-$A$7:$A979)))*$F$1010</f>
        <v>3407771.0293356013</v>
      </c>
      <c r="E984" s="67">
        <f t="shared" si="95"/>
        <v>6.4966146291943803</v>
      </c>
      <c r="F984" s="70">
        <f t="shared" si="99"/>
        <v>0.39447444028468281</v>
      </c>
      <c r="G984" s="67">
        <f>E984/'Lookup Tables'!$C$48</f>
        <v>12.993229258388761</v>
      </c>
      <c r="H984" s="70">
        <f t="shared" si="96"/>
        <v>2.8298227930699707E-2</v>
      </c>
      <c r="I984" s="71">
        <f t="shared" si="100"/>
        <v>1.8710250132079814E-2</v>
      </c>
      <c r="L984" s="74"/>
      <c r="M984" s="74"/>
      <c r="N984" s="74"/>
      <c r="O984" s="74"/>
      <c r="P984" s="74"/>
      <c r="Q984" s="74"/>
      <c r="R984" s="74"/>
      <c r="S984" s="74"/>
      <c r="T984" s="74"/>
      <c r="U984" s="74"/>
      <c r="V984" s="74"/>
      <c r="W984" s="74"/>
      <c r="X984" s="74"/>
      <c r="Y984" s="74"/>
      <c r="Z984" s="74"/>
    </row>
    <row r="985" spans="1:26" x14ac:dyDescent="0.3">
      <c r="A985" s="66">
        <f t="shared" si="98"/>
        <v>2087.7999999999111</v>
      </c>
      <c r="B985" s="67">
        <f>LOOKUP(A985+0.01,Amounts!$A$4:$A$103,Amounts!$B$4:$B$103)*0.1*$A$2</f>
        <v>0</v>
      </c>
      <c r="C985" s="68">
        <f t="shared" si="97"/>
        <v>120665.52921499971</v>
      </c>
      <c r="D985" s="67">
        <f t="array" ref="D985">SUM($B$7:$B980*$F$1009*EXP(-$F$1009*($A985-$A$7:$A980)))*$F$1010</f>
        <v>3403003.4879522021</v>
      </c>
      <c r="E985" s="67">
        <f t="shared" si="95"/>
        <v>6.4875257324257722</v>
      </c>
      <c r="F985" s="70">
        <f t="shared" si="99"/>
        <v>0.39392256247289292</v>
      </c>
      <c r="G985" s="67">
        <f>E985/'Lookup Tables'!$C$48</f>
        <v>12.975051464851544</v>
      </c>
      <c r="H985" s="70">
        <f t="shared" si="96"/>
        <v>2.8258638130922935E-2</v>
      </c>
      <c r="I985" s="71">
        <f t="shared" si="100"/>
        <v>1.8684074109386224E-2</v>
      </c>
      <c r="L985" s="74"/>
      <c r="M985" s="74"/>
      <c r="N985" s="74"/>
      <c r="O985" s="74"/>
      <c r="P985" s="74"/>
      <c r="Q985" s="74"/>
      <c r="R985" s="74"/>
      <c r="S985" s="74"/>
      <c r="T985" s="74"/>
      <c r="U985" s="74"/>
      <c r="V985" s="74"/>
      <c r="W985" s="74"/>
      <c r="X985" s="74"/>
      <c r="Y985" s="74"/>
      <c r="Z985" s="74"/>
    </row>
    <row r="986" spans="1:26" x14ac:dyDescent="0.3">
      <c r="A986" s="66">
        <f t="shared" si="98"/>
        <v>2087.899999999911</v>
      </c>
      <c r="B986" s="67">
        <f>LOOKUP(A986+0.01,Amounts!$A$4:$A$103,Amounts!$B$4:$B$103)*0.1*$A$2</f>
        <v>0</v>
      </c>
      <c r="C986" s="68">
        <f t="shared" si="97"/>
        <v>120665.52921499971</v>
      </c>
      <c r="D986" s="67">
        <f t="array" ref="D986">SUM($B$7:$B981*$F$1009*EXP(-$F$1009*($A986-$A$7:$A981)))*$F$1010</f>
        <v>3398242.6164567284</v>
      </c>
      <c r="E986" s="67">
        <f t="shared" si="95"/>
        <v>6.4784495512096774</v>
      </c>
      <c r="F986" s="70">
        <f t="shared" si="99"/>
        <v>0.39337145674945156</v>
      </c>
      <c r="G986" s="67">
        <f>E986/'Lookup Tables'!$C$48</f>
        <v>12.956899102419355</v>
      </c>
      <c r="H986" s="70">
        <f t="shared" si="96"/>
        <v>2.821910371808594E-2</v>
      </c>
      <c r="I986" s="71">
        <f t="shared" si="100"/>
        <v>1.8657934707483871E-2</v>
      </c>
      <c r="L986" s="74"/>
      <c r="M986" s="74"/>
      <c r="N986" s="74"/>
      <c r="O986" s="74"/>
      <c r="P986" s="74"/>
      <c r="Q986" s="74"/>
      <c r="R986" s="74"/>
      <c r="S986" s="74"/>
      <c r="T986" s="74"/>
      <c r="U986" s="74"/>
      <c r="V986" s="74"/>
      <c r="W986" s="74"/>
      <c r="X986" s="74"/>
      <c r="Y986" s="74"/>
      <c r="Z986" s="74"/>
    </row>
    <row r="987" spans="1:26" x14ac:dyDescent="0.3">
      <c r="A987" s="66">
        <f t="shared" si="98"/>
        <v>2087.9999999999109</v>
      </c>
      <c r="B987" s="67">
        <f>LOOKUP(A987+0.01,Amounts!$A$4:$A$103,Amounts!$B$4:$B$103)*0.1*$A$2</f>
        <v>0</v>
      </c>
      <c r="C987" s="68">
        <f t="shared" si="97"/>
        <v>120665.52921499971</v>
      </c>
      <c r="D987" s="67">
        <f t="array" ref="D987">SUM($B$7:$B982*$F$1009*EXP(-$F$1009*($A987-$A$7:$A982)))*$F$1010</f>
        <v>3393488.405517872</v>
      </c>
      <c r="E987" s="67">
        <f t="shared" si="95"/>
        <v>6.4693860677567789</v>
      </c>
      <c r="F987" s="70">
        <f t="shared" si="99"/>
        <v>0.39282112203419162</v>
      </c>
      <c r="G987" s="67">
        <f>E987/'Lookup Tables'!$C$48</f>
        <v>12.938772135513558</v>
      </c>
      <c r="H987" s="70">
        <f t="shared" si="96"/>
        <v>2.8179624614701287E-2</v>
      </c>
      <c r="I987" s="71">
        <f t="shared" si="100"/>
        <v>1.8631831875139525E-2</v>
      </c>
      <c r="L987" s="74"/>
      <c r="M987" s="74"/>
      <c r="N987" s="74"/>
      <c r="O987" s="74"/>
      <c r="P987" s="74"/>
      <c r="Q987" s="74"/>
      <c r="R987" s="74"/>
      <c r="S987" s="74"/>
      <c r="T987" s="74"/>
      <c r="U987" s="74"/>
      <c r="V987" s="74"/>
      <c r="W987" s="74"/>
      <c r="X987" s="74"/>
      <c r="Y987" s="74"/>
      <c r="Z987" s="74"/>
    </row>
    <row r="988" spans="1:26" x14ac:dyDescent="0.3">
      <c r="A988" s="66">
        <f t="shared" si="98"/>
        <v>2088.0999999999108</v>
      </c>
      <c r="B988" s="67">
        <f>LOOKUP(A988+0.01,Amounts!$A$4:$A$103,Amounts!$B$4:$B$103)*0.1*$A$2</f>
        <v>0</v>
      </c>
      <c r="C988" s="68">
        <f t="shared" si="97"/>
        <v>120665.52921499971</v>
      </c>
      <c r="D988" s="67">
        <f t="array" ref="D988">SUM($B$7:$B983*$F$1009*EXP(-$F$1009*($A988-$A$7:$A983)))*$F$1010</f>
        <v>3388740.8458173759</v>
      </c>
      <c r="E988" s="67">
        <f t="shared" si="95"/>
        <v>6.4603352643026426</v>
      </c>
      <c r="F988" s="70">
        <f t="shared" si="99"/>
        <v>0.39227155724845647</v>
      </c>
      <c r="G988" s="67">
        <f>E988/'Lookup Tables'!$C$48</f>
        <v>12.920670528605285</v>
      </c>
      <c r="H988" s="70">
        <f t="shared" si="96"/>
        <v>2.8140200743389892E-2</v>
      </c>
      <c r="I988" s="71">
        <f t="shared" si="100"/>
        <v>1.8605765561191614E-2</v>
      </c>
      <c r="L988" s="74"/>
      <c r="M988" s="74"/>
      <c r="N988" s="74"/>
      <c r="O988" s="74"/>
      <c r="P988" s="74"/>
      <c r="Q988" s="74"/>
      <c r="R988" s="74"/>
      <c r="S988" s="74"/>
      <c r="T988" s="74"/>
      <c r="U988" s="74"/>
      <c r="V988" s="74"/>
      <c r="W988" s="74"/>
      <c r="X988" s="74"/>
      <c r="Y988" s="74"/>
      <c r="Z988" s="74"/>
    </row>
    <row r="989" spans="1:26" x14ac:dyDescent="0.3">
      <c r="A989" s="66">
        <f t="shared" si="98"/>
        <v>2088.1999999999107</v>
      </c>
      <c r="B989" s="67">
        <f>LOOKUP(A989+0.01,Amounts!$A$4:$A$103,Amounts!$B$4:$B$103)*0.1*$A$2</f>
        <v>0</v>
      </c>
      <c r="C989" s="68">
        <f t="shared" si="97"/>
        <v>120665.52921499971</v>
      </c>
      <c r="D989" s="67">
        <f t="array" ref="D989">SUM($B$7:$B984*$F$1009*EXP(-$F$1009*($A989-$A$7:$A984)))*$F$1010</f>
        <v>3383999.9280500226</v>
      </c>
      <c r="E989" s="67">
        <f t="shared" si="95"/>
        <v>6.4512971231076932</v>
      </c>
      <c r="F989" s="70">
        <f t="shared" si="99"/>
        <v>0.39172276131509914</v>
      </c>
      <c r="G989" s="67">
        <f>E989/'Lookup Tables'!$C$48</f>
        <v>12.902594246215386</v>
      </c>
      <c r="H989" s="70">
        <f t="shared" si="96"/>
        <v>2.8100832026880955E-2</v>
      </c>
      <c r="I989" s="71">
        <f t="shared" si="100"/>
        <v>1.8579735714550155E-2</v>
      </c>
      <c r="L989" s="74"/>
      <c r="M989" s="74"/>
      <c r="N989" s="74"/>
      <c r="O989" s="74"/>
      <c r="P989" s="74"/>
      <c r="Q989" s="74"/>
      <c r="R989" s="74"/>
      <c r="S989" s="74"/>
      <c r="T989" s="74"/>
      <c r="U989" s="74"/>
      <c r="V989" s="74"/>
      <c r="W989" s="74"/>
      <c r="X989" s="74"/>
      <c r="Y989" s="74"/>
      <c r="Z989" s="74"/>
    </row>
    <row r="990" spans="1:26" x14ac:dyDescent="0.3">
      <c r="A990" s="66">
        <f t="shared" si="98"/>
        <v>2088.2999999999106</v>
      </c>
      <c r="B990" s="67">
        <f>LOOKUP(A990+0.01,Amounts!$A$4:$A$103,Amounts!$B$4:$B$103)*0.1*$A$2</f>
        <v>0</v>
      </c>
      <c r="C990" s="68">
        <f t="shared" si="97"/>
        <v>120665.52921499971</v>
      </c>
      <c r="D990" s="67">
        <f t="array" ref="D990">SUM($B$7:$B985*$F$1009*EXP(-$F$1009*($A990-$A$7:$A985)))*$F$1010</f>
        <v>3379265.6429236112</v>
      </c>
      <c r="E990" s="67">
        <f t="shared" si="95"/>
        <v>6.4422716264571687</v>
      </c>
      <c r="F990" s="70">
        <f t="shared" si="99"/>
        <v>0.39117473315847928</v>
      </c>
      <c r="G990" s="67">
        <f>E990/'Lookup Tables'!$C$48</f>
        <v>12.884543252914337</v>
      </c>
      <c r="H990" s="70">
        <f t="shared" si="96"/>
        <v>2.8061518388011793E-2</v>
      </c>
      <c r="I990" s="71">
        <f t="shared" si="100"/>
        <v>1.8553742284196647E-2</v>
      </c>
      <c r="L990" s="74"/>
      <c r="M990" s="74"/>
      <c r="N990" s="74"/>
      <c r="O990" s="74"/>
      <c r="P990" s="74"/>
      <c r="Q990" s="74"/>
      <c r="R990" s="74"/>
      <c r="S990" s="74"/>
      <c r="T990" s="74"/>
      <c r="U990" s="74"/>
      <c r="V990" s="74"/>
      <c r="W990" s="74"/>
      <c r="X990" s="74"/>
      <c r="Y990" s="74"/>
      <c r="Z990" s="74"/>
    </row>
    <row r="991" spans="1:26" x14ac:dyDescent="0.3">
      <c r="A991" s="66">
        <f t="shared" si="98"/>
        <v>2088.3999999999105</v>
      </c>
      <c r="B991" s="67">
        <f>LOOKUP(A991+0.01,Amounts!$A$4:$A$103,Amounts!$B$4:$B$103)*0.1*$A$2</f>
        <v>0</v>
      </c>
      <c r="C991" s="68">
        <f t="shared" si="97"/>
        <v>120665.52921499971</v>
      </c>
      <c r="D991" s="67">
        <f t="array" ref="D991">SUM($B$7:$B986*$F$1009*EXP(-$F$1009*($A991-$A$7:$A986)))*$F$1010</f>
        <v>3374537.9811589429</v>
      </c>
      <c r="E991" s="67">
        <f t="shared" si="95"/>
        <v>6.4332587566610968</v>
      </c>
      <c r="F991" s="70">
        <f t="shared" si="99"/>
        <v>0.39062747170446177</v>
      </c>
      <c r="G991" s="67">
        <f>E991/'Lookup Tables'!$C$48</f>
        <v>12.866517513322194</v>
      </c>
      <c r="H991" s="70">
        <f t="shared" si="96"/>
        <v>2.8022259749727645E-2</v>
      </c>
      <c r="I991" s="71">
        <f t="shared" si="100"/>
        <v>1.8527785219183957E-2</v>
      </c>
      <c r="L991" s="74"/>
      <c r="M991" s="74"/>
      <c r="N991" s="74"/>
      <c r="O991" s="74"/>
      <c r="P991" s="74"/>
      <c r="Q991" s="74"/>
      <c r="R991" s="74"/>
      <c r="S991" s="74"/>
      <c r="T991" s="74"/>
      <c r="U991" s="74"/>
      <c r="V991" s="74"/>
      <c r="W991" s="74"/>
      <c r="X991" s="74"/>
      <c r="Y991" s="74"/>
      <c r="Z991" s="74"/>
    </row>
    <row r="992" spans="1:26" x14ac:dyDescent="0.3">
      <c r="A992" s="66">
        <f t="shared" si="98"/>
        <v>2088.4999999999104</v>
      </c>
      <c r="B992" s="67">
        <f>LOOKUP(A992+0.01,Amounts!$A$4:$A$103,Amounts!$B$4:$B$103)*0.1*$A$2</f>
        <v>0</v>
      </c>
      <c r="C992" s="68">
        <f t="shared" si="97"/>
        <v>120665.52921499971</v>
      </c>
      <c r="D992" s="67">
        <f t="array" ref="D992">SUM($B$7:$B987*$F$1009*EXP(-$F$1009*($A992-$A$7:$A987)))*$F$1010</f>
        <v>3369816.9334897986</v>
      </c>
      <c r="E992" s="67">
        <f t="shared" si="95"/>
        <v>6.4242584960542493</v>
      </c>
      <c r="F992" s="70">
        <f t="shared" si="99"/>
        <v>0.39008097588041402</v>
      </c>
      <c r="G992" s="67">
        <f>E992/'Lookup Tables'!$C$48</f>
        <v>12.848516992108499</v>
      </c>
      <c r="H992" s="70">
        <f t="shared" si="96"/>
        <v>2.7983056035081607E-2</v>
      </c>
      <c r="I992" s="71">
        <f t="shared" si="100"/>
        <v>1.8501864468636237E-2</v>
      </c>
      <c r="L992" s="74"/>
      <c r="M992" s="74"/>
      <c r="N992" s="74"/>
      <c r="O992" s="74"/>
      <c r="P992" s="74"/>
      <c r="Q992" s="74"/>
      <c r="R992" s="74"/>
      <c r="S992" s="74"/>
      <c r="T992" s="74"/>
      <c r="U992" s="74"/>
      <c r="V992" s="74"/>
      <c r="W992" s="74"/>
      <c r="X992" s="74"/>
      <c r="Y992" s="74"/>
      <c r="Z992" s="74"/>
    </row>
    <row r="993" spans="1:26" x14ac:dyDescent="0.3">
      <c r="A993" s="66">
        <f t="shared" si="98"/>
        <v>2088.5999999999103</v>
      </c>
      <c r="B993" s="67">
        <f>LOOKUP(A993+0.01,Amounts!$A$4:$A$103,Amounts!$B$4:$B$103)*0.1*$A$2</f>
        <v>0</v>
      </c>
      <c r="C993" s="68">
        <f t="shared" si="97"/>
        <v>120665.52921499971</v>
      </c>
      <c r="D993" s="67">
        <f t="array" ref="D993">SUM($B$7:$B988*$F$1009*EXP(-$F$1009*($A993-$A$7:$A988)))*$F$1010</f>
        <v>3365102.4906629203</v>
      </c>
      <c r="E993" s="67">
        <f t="shared" si="95"/>
        <v>6.4152708269961058</v>
      </c>
      <c r="F993" s="70">
        <f t="shared" si="99"/>
        <v>0.3895352446152035</v>
      </c>
      <c r="G993" s="67">
        <f>E993/'Lookup Tables'!$C$48</f>
        <v>12.830541653992212</v>
      </c>
      <c r="H993" s="70">
        <f t="shared" si="96"/>
        <v>2.7943907167234324E-2</v>
      </c>
      <c r="I993" s="71">
        <f t="shared" si="100"/>
        <v>1.8475979981748783E-2</v>
      </c>
      <c r="L993" s="74"/>
      <c r="M993" s="74"/>
      <c r="N993" s="74"/>
      <c r="O993" s="74"/>
      <c r="P993" s="74"/>
      <c r="Q993" s="74"/>
      <c r="R993" s="74"/>
      <c r="S993" s="74"/>
      <c r="T993" s="74"/>
      <c r="U993" s="74"/>
      <c r="V993" s="74"/>
      <c r="W993" s="74"/>
      <c r="X993" s="74"/>
      <c r="Y993" s="74"/>
      <c r="Z993" s="74"/>
    </row>
    <row r="994" spans="1:26" x14ac:dyDescent="0.3">
      <c r="A994" s="66">
        <f t="shared" si="98"/>
        <v>2088.6999999999102</v>
      </c>
      <c r="B994" s="67">
        <f>LOOKUP(A994+0.01,Amounts!$A$4:$A$103,Amounts!$B$4:$B$103)*0.1*$A$2</f>
        <v>0</v>
      </c>
      <c r="C994" s="68">
        <f t="shared" si="97"/>
        <v>120665.52921499971</v>
      </c>
      <c r="D994" s="67">
        <f t="array" ref="D994">SUM($B$7:$B989*$F$1009*EXP(-$F$1009*($A994-$A$7:$A989)))*$F$1010</f>
        <v>3360394.6434380026</v>
      </c>
      <c r="E994" s="67">
        <f t="shared" si="95"/>
        <v>6.4062957318708396</v>
      </c>
      <c r="F994" s="70">
        <f t="shared" si="99"/>
        <v>0.3889902768391974</v>
      </c>
      <c r="G994" s="67">
        <f>E994/'Lookup Tables'!$C$48</f>
        <v>12.812591463741679</v>
      </c>
      <c r="H994" s="70">
        <f t="shared" si="96"/>
        <v>2.7904813069454047E-2</v>
      </c>
      <c r="I994" s="71">
        <f t="shared" si="100"/>
        <v>1.8450131707788017E-2</v>
      </c>
      <c r="L994" s="74"/>
      <c r="M994" s="74"/>
      <c r="N994" s="74"/>
      <c r="O994" s="74"/>
      <c r="P994" s="74"/>
      <c r="Q994" s="74"/>
      <c r="R994" s="74"/>
      <c r="S994" s="74"/>
      <c r="T994" s="74"/>
      <c r="U994" s="74"/>
      <c r="V994" s="74"/>
      <c r="W994" s="74"/>
      <c r="X994" s="74"/>
      <c r="Y994" s="74"/>
      <c r="Z994" s="74"/>
    </row>
    <row r="995" spans="1:26" x14ac:dyDescent="0.3">
      <c r="A995" s="66">
        <f t="shared" si="98"/>
        <v>2088.7999999999101</v>
      </c>
      <c r="B995" s="67">
        <f>LOOKUP(A995+0.01,Amounts!$A$4:$A$103,Amounts!$B$4:$B$103)*0.1*$A$2</f>
        <v>0</v>
      </c>
      <c r="C995" s="68">
        <f t="shared" si="97"/>
        <v>120665.52921499971</v>
      </c>
      <c r="D995" s="67">
        <f t="array" ref="D995">SUM($B$7:$B990*$F$1009*EXP(-$F$1009*($A995-$A$7:$A990)))*$F$1010</f>
        <v>3355693.382587661</v>
      </c>
      <c r="E995" s="67">
        <f t="shared" si="95"/>
        <v>6.397333193087257</v>
      </c>
      <c r="F995" s="70">
        <f t="shared" si="99"/>
        <v>0.38844607148425825</v>
      </c>
      <c r="G995" s="67">
        <f>E995/'Lookup Tables'!$C$48</f>
        <v>12.794666386174514</v>
      </c>
      <c r="H995" s="70">
        <f t="shared" si="96"/>
        <v>2.7865773665116316E-2</v>
      </c>
      <c r="I995" s="71">
        <f t="shared" si="100"/>
        <v>1.8424319596091299E-2</v>
      </c>
      <c r="L995" s="74"/>
      <c r="M995" s="74"/>
      <c r="N995" s="74"/>
      <c r="O995" s="74"/>
      <c r="P995" s="74"/>
      <c r="Q995" s="74"/>
      <c r="R995" s="74"/>
      <c r="S995" s="74"/>
      <c r="T995" s="74"/>
      <c r="U995" s="74"/>
      <c r="V995" s="74"/>
      <c r="W995" s="74"/>
      <c r="X995" s="74"/>
      <c r="Y995" s="74"/>
      <c r="Z995" s="74"/>
    </row>
    <row r="996" spans="1:26" x14ac:dyDescent="0.3">
      <c r="A996" s="66">
        <f t="shared" si="98"/>
        <v>2088.8999999999101</v>
      </c>
      <c r="B996" s="67">
        <f>LOOKUP(A996+0.01,Amounts!$A$4:$A$103,Amounts!$B$4:$B$103)*0.1*$A$2</f>
        <v>0</v>
      </c>
      <c r="C996" s="68">
        <f t="shared" si="97"/>
        <v>120665.52921499971</v>
      </c>
      <c r="D996" s="67">
        <f t="array" ref="D996">SUM($B$7:$B991*$F$1009*EXP(-$F$1009*($A996-$A$7:$A991)))*$F$1010</f>
        <v>3350998.6988974242</v>
      </c>
      <c r="E996" s="67">
        <f t="shared" si="95"/>
        <v>6.3883831930787833</v>
      </c>
      <c r="F996" s="70">
        <f t="shared" si="99"/>
        <v>0.38790262748374371</v>
      </c>
      <c r="G996" s="67">
        <f>E996/'Lookup Tables'!$C$48</f>
        <v>12.776766386157567</v>
      </c>
      <c r="H996" s="70">
        <f t="shared" si="96"/>
        <v>2.7826788877703904E-2</v>
      </c>
      <c r="I996" s="71">
        <f t="shared" si="100"/>
        <v>1.8398543596066897E-2</v>
      </c>
      <c r="L996" s="74"/>
      <c r="M996" s="74"/>
      <c r="N996" s="74"/>
      <c r="O996" s="74"/>
      <c r="P996" s="74"/>
      <c r="Q996" s="74"/>
      <c r="R996" s="74"/>
      <c r="S996" s="74"/>
      <c r="T996" s="74"/>
      <c r="U996" s="74"/>
      <c r="V996" s="74"/>
      <c r="W996" s="74"/>
      <c r="X996" s="74"/>
      <c r="Y996" s="74"/>
      <c r="Z996" s="74"/>
    </row>
    <row r="997" spans="1:26" x14ac:dyDescent="0.3">
      <c r="A997" s="66">
        <f t="shared" si="98"/>
        <v>2088.99999999991</v>
      </c>
      <c r="B997" s="67">
        <f>LOOKUP(A997+0.01,Amounts!$A$4:$A$103,Amounts!$B$4:$B$103)*0.1*$A$2</f>
        <v>0</v>
      </c>
      <c r="C997" s="68">
        <f t="shared" si="97"/>
        <v>120665.52921499971</v>
      </c>
      <c r="D997" s="67">
        <f t="array" ref="D997">SUM($B$7:$B992*$F$1009*EXP(-$F$1009*($A997-$A$7:$A992)))*$F$1010</f>
        <v>3346310.5831657094</v>
      </c>
      <c r="E997" s="67">
        <f t="shared" si="95"/>
        <v>6.3794457143034107</v>
      </c>
      <c r="F997" s="70">
        <f t="shared" si="99"/>
        <v>0.38735994377250305</v>
      </c>
      <c r="G997" s="67">
        <f>E997/'Lookup Tables'!$C$48</f>
        <v>12.758891428606821</v>
      </c>
      <c r="H997" s="70">
        <f t="shared" si="96"/>
        <v>2.7787858630806576E-2</v>
      </c>
      <c r="I997" s="71">
        <f t="shared" si="100"/>
        <v>1.837280365719382E-2</v>
      </c>
      <c r="L997" s="74"/>
      <c r="M997" s="74"/>
      <c r="N997" s="74"/>
      <c r="O997" s="74"/>
      <c r="P997" s="74"/>
      <c r="Q997" s="74"/>
      <c r="R997" s="74"/>
      <c r="S997" s="74"/>
      <c r="T997" s="74"/>
      <c r="U997" s="74"/>
      <c r="V997" s="74"/>
      <c r="W997" s="74"/>
      <c r="X997" s="74"/>
      <c r="Y997" s="74"/>
      <c r="Z997" s="74"/>
    </row>
    <row r="998" spans="1:26" x14ac:dyDescent="0.3">
      <c r="A998" s="66">
        <f t="shared" si="98"/>
        <v>2089.0999999999099</v>
      </c>
      <c r="B998" s="67">
        <f>LOOKUP(A998+0.01,Amounts!$A$4:$A$103,Amounts!$B$4:$B$103)*0.1*$A$2</f>
        <v>0</v>
      </c>
      <c r="C998" s="68">
        <f t="shared" si="97"/>
        <v>120665.52921499971</v>
      </c>
      <c r="D998" s="67">
        <f t="array" ref="D998">SUM($B$7:$B993*$F$1009*EXP(-$F$1009*($A998-$A$7:$A993)))*$F$1010</f>
        <v>3341629.0262038112</v>
      </c>
      <c r="E998" s="67">
        <f t="shared" si="95"/>
        <v>6.3705207392436849</v>
      </c>
      <c r="F998" s="70">
        <f t="shared" si="99"/>
        <v>0.38681801928687654</v>
      </c>
      <c r="G998" s="67">
        <f>E998/'Lookup Tables'!$C$48</f>
        <v>12.74104147848737</v>
      </c>
      <c r="H998" s="70">
        <f t="shared" si="96"/>
        <v>2.7748982848121086E-2</v>
      </c>
      <c r="I998" s="71">
        <f t="shared" si="100"/>
        <v>1.834709972902181E-2</v>
      </c>
      <c r="L998" s="74"/>
      <c r="M998" s="74"/>
      <c r="N998" s="74"/>
      <c r="O998" s="74"/>
      <c r="P998" s="74"/>
      <c r="Q998" s="74"/>
      <c r="R998" s="74"/>
      <c r="S998" s="74"/>
      <c r="T998" s="74"/>
      <c r="U998" s="74"/>
      <c r="V998" s="74"/>
      <c r="W998" s="74"/>
      <c r="X998" s="74"/>
      <c r="Y998" s="74"/>
      <c r="Z998" s="74"/>
    </row>
    <row r="999" spans="1:26" x14ac:dyDescent="0.3">
      <c r="A999" s="66">
        <f t="shared" si="98"/>
        <v>2089.1999999999098</v>
      </c>
      <c r="B999" s="67">
        <f>LOOKUP(A999+0.01,Amounts!$A$4:$A$103,Amounts!$B$4:$B$103)*0.1*$A$2</f>
        <v>0</v>
      </c>
      <c r="C999" s="68">
        <f t="shared" si="97"/>
        <v>120665.52921499971</v>
      </c>
      <c r="D999" s="67">
        <f t="array" ref="D999">SUM($B$7:$B994*$F$1009*EXP(-$F$1009*($A999-$A$7:$A994)))*$F$1010</f>
        <v>3336954.0188358719</v>
      </c>
      <c r="E999" s="67">
        <f t="shared" si="95"/>
        <v>6.3616082504066442</v>
      </c>
      <c r="F999" s="70">
        <f t="shared" si="99"/>
        <v>0.38627685296469139</v>
      </c>
      <c r="G999" s="67">
        <f>E999/'Lookup Tables'!$C$48</f>
        <v>12.723216500813288</v>
      </c>
      <c r="H999" s="70">
        <f t="shared" si="96"/>
        <v>2.7710161453450847E-2</v>
      </c>
      <c r="I999" s="71">
        <f t="shared" si="100"/>
        <v>1.8321431761171136E-2</v>
      </c>
      <c r="L999" s="74"/>
      <c r="M999" s="74"/>
      <c r="N999" s="74"/>
      <c r="O999" s="74"/>
      <c r="P999" s="74"/>
      <c r="Q999" s="74"/>
      <c r="R999" s="74"/>
      <c r="S999" s="74"/>
      <c r="T999" s="74"/>
      <c r="U999" s="74"/>
      <c r="V999" s="74"/>
      <c r="W999" s="74"/>
      <c r="X999" s="74"/>
      <c r="Y999" s="74"/>
      <c r="Z999" s="74"/>
    </row>
    <row r="1000" spans="1:26" x14ac:dyDescent="0.3">
      <c r="A1000" s="66">
        <f t="shared" si="98"/>
        <v>2089.2999999999097</v>
      </c>
      <c r="B1000" s="67">
        <f>LOOKUP(A1000+0.01,Amounts!$A$4:$A$103,Amounts!$B$4:$B$103)*0.1*$A$2</f>
        <v>0</v>
      </c>
      <c r="C1000" s="68">
        <f t="shared" si="97"/>
        <v>120665.52921499971</v>
      </c>
      <c r="D1000" s="67">
        <f t="array" ref="D1000">SUM($B$7:$B995*$F$1009*EXP(-$F$1009*($A1000-$A$7:$A995)))*$F$1010</f>
        <v>3332285.5518988762</v>
      </c>
      <c r="E1000" s="67">
        <f t="shared" si="95"/>
        <v>6.3527082303238069</v>
      </c>
      <c r="F1000" s="70">
        <f t="shared" si="99"/>
        <v>0.3857364437452615</v>
      </c>
      <c r="G1000" s="67">
        <f>E1000/'Lookup Tables'!$C$48</f>
        <v>12.705416460647614</v>
      </c>
      <c r="H1000" s="70">
        <f t="shared" si="96"/>
        <v>2.7671394370705912E-2</v>
      </c>
      <c r="I1000" s="71">
        <f t="shared" si="100"/>
        <v>1.8295799703332564E-2</v>
      </c>
      <c r="L1000" s="74"/>
      <c r="M1000" s="74"/>
      <c r="N1000" s="74"/>
      <c r="O1000" s="74"/>
      <c r="P1000" s="74"/>
      <c r="Q1000" s="74"/>
      <c r="R1000" s="74"/>
      <c r="S1000" s="74"/>
      <c r="T1000" s="74"/>
      <c r="U1000" s="74"/>
      <c r="V1000" s="74"/>
      <c r="W1000" s="74"/>
      <c r="X1000" s="74"/>
      <c r="Y1000" s="74"/>
      <c r="Z1000" s="74"/>
    </row>
    <row r="1001" spans="1:26" x14ac:dyDescent="0.3">
      <c r="A1001" s="66">
        <f t="shared" si="98"/>
        <v>2089.3999999999096</v>
      </c>
      <c r="B1001" s="67">
        <f>LOOKUP(A1001+0.01,Amounts!$A$4:$A$103,Amounts!$B$4:$B$103)*0.1*$A$2</f>
        <v>0</v>
      </c>
      <c r="C1001" s="68">
        <f t="shared" si="97"/>
        <v>120665.52921499971</v>
      </c>
      <c r="D1001" s="67">
        <f t="array" ref="D1001">SUM($B$7:$B996*$F$1009*EXP(-$F$1009*($A1001-$A$7:$A996)))*$F$1010</f>
        <v>3327623.6162426309</v>
      </c>
      <c r="E1001" s="67">
        <f t="shared" si="95"/>
        <v>6.3438206615511392</v>
      </c>
      <c r="F1001" s="70">
        <f t="shared" si="99"/>
        <v>0.38519679056938516</v>
      </c>
      <c r="G1001" s="67">
        <f>E1001/'Lookup Tables'!$C$48</f>
        <v>12.687641323102278</v>
      </c>
      <c r="H1001" s="70">
        <f t="shared" si="96"/>
        <v>2.7632681523902823E-2</v>
      </c>
      <c r="I1001" s="71">
        <f t="shared" si="100"/>
        <v>1.8270203505267282E-2</v>
      </c>
      <c r="L1001" s="74"/>
      <c r="M1001" s="74"/>
      <c r="N1001" s="74"/>
      <c r="O1001" s="74"/>
      <c r="P1001" s="74"/>
      <c r="Q1001" s="74"/>
      <c r="R1001" s="74"/>
      <c r="S1001" s="74"/>
      <c r="T1001" s="74"/>
      <c r="U1001" s="74"/>
      <c r="V1001" s="74"/>
      <c r="W1001" s="74"/>
      <c r="X1001" s="74"/>
      <c r="Y1001" s="74"/>
      <c r="Z1001" s="74"/>
    </row>
    <row r="1002" spans="1:26" x14ac:dyDescent="0.3">
      <c r="A1002" s="66">
        <f t="shared" si="98"/>
        <v>2089.4999999999095</v>
      </c>
      <c r="B1002" s="67">
        <f>LOOKUP(A1002+0.01,Amounts!$A$4:$A$103,Amounts!$B$4:$B$103)*0.1*$A$2</f>
        <v>0</v>
      </c>
      <c r="C1002" s="68">
        <f t="shared" si="97"/>
        <v>120665.52921499971</v>
      </c>
      <c r="D1002" s="67">
        <f t="array" ref="D1002">SUM($B$7:$B997*$F$1009*EXP(-$F$1009*($A1002-$A$7:$A997)))*$F$1010</f>
        <v>3322968.2027297383</v>
      </c>
      <c r="E1002" s="67">
        <f t="shared" si="95"/>
        <v>6.3349455266689976</v>
      </c>
      <c r="F1002" s="70">
        <f t="shared" si="99"/>
        <v>0.3846578923793415</v>
      </c>
      <c r="G1002" s="67">
        <f>E1002/'Lookup Tables'!$C$48</f>
        <v>12.669891053337995</v>
      </c>
      <c r="H1002" s="70">
        <f t="shared" si="96"/>
        <v>2.7594022837164358E-2</v>
      </c>
      <c r="I1002" s="71">
        <f t="shared" si="100"/>
        <v>1.8244643116806715E-2</v>
      </c>
      <c r="L1002" s="74"/>
      <c r="M1002" s="74"/>
      <c r="N1002" s="74"/>
      <c r="O1002" s="74"/>
      <c r="P1002" s="74"/>
      <c r="Q1002" s="74"/>
      <c r="R1002" s="74"/>
      <c r="S1002" s="74"/>
      <c r="T1002" s="74"/>
      <c r="U1002" s="74"/>
      <c r="V1002" s="74"/>
      <c r="W1002" s="74"/>
      <c r="X1002" s="74"/>
      <c r="Y1002" s="74"/>
      <c r="Z1002" s="74"/>
    </row>
    <row r="1003" spans="1:26" x14ac:dyDescent="0.3">
      <c r="A1003" s="66">
        <f t="shared" si="98"/>
        <v>2089.5999999999094</v>
      </c>
      <c r="B1003" s="67">
        <f>LOOKUP(A1003+0.01,Amounts!$A$4:$A$103,Amounts!$B$4:$B$103)*0.1*$A$2</f>
        <v>0</v>
      </c>
      <c r="C1003" s="68">
        <f t="shared" si="97"/>
        <v>120665.52921499971</v>
      </c>
      <c r="D1003" s="67">
        <f t="array" ref="D1003">SUM($B$7:$B998*$F$1009*EXP(-$F$1009*($A1003-$A$7:$A998)))*$F$1010</f>
        <v>3318319.3022355875</v>
      </c>
      <c r="E1003" s="67">
        <f t="shared" si="95"/>
        <v>6.3260828082821181</v>
      </c>
      <c r="F1003" s="70">
        <f t="shared" si="99"/>
        <v>0.38411974811889021</v>
      </c>
      <c r="G1003" s="67">
        <f>E1003/'Lookup Tables'!$C$48</f>
        <v>12.652165616564236</v>
      </c>
      <c r="H1003" s="70">
        <f t="shared" si="96"/>
        <v>2.7555418234719496E-2</v>
      </c>
      <c r="I1003" s="71">
        <f t="shared" si="100"/>
        <v>1.8219118487852497E-2</v>
      </c>
      <c r="L1003" s="74"/>
      <c r="M1003" s="74"/>
      <c r="N1003" s="74"/>
      <c r="O1003" s="74"/>
      <c r="P1003" s="74"/>
      <c r="Q1003" s="74"/>
      <c r="R1003" s="74"/>
      <c r="S1003" s="74"/>
      <c r="T1003" s="74"/>
      <c r="U1003" s="74"/>
      <c r="V1003" s="74"/>
      <c r="W1003" s="74"/>
      <c r="X1003" s="74"/>
      <c r="Y1003" s="74"/>
      <c r="Z1003" s="74"/>
    </row>
    <row r="1004" spans="1:26" x14ac:dyDescent="0.3">
      <c r="A1004" s="66">
        <f t="shared" si="98"/>
        <v>2089.6999999999093</v>
      </c>
      <c r="B1004" s="67">
        <f>LOOKUP(A1004+0.01,Amounts!$A$4:$A$103,Amounts!$B$4:$B$103)*0.1*$A$2</f>
        <v>0</v>
      </c>
      <c r="C1004" s="68">
        <f t="shared" si="97"/>
        <v>120665.52921499971</v>
      </c>
      <c r="D1004" s="67">
        <f t="array" ref="D1004">SUM($B$7:$B999*$F$1009*EXP(-$F$1009*($A1004-$A$7:$A999)))*$F$1010</f>
        <v>3313676.9056483316</v>
      </c>
      <c r="E1004" s="67">
        <f t="shared" si="95"/>
        <v>6.3172324890195677</v>
      </c>
      <c r="F1004" s="70">
        <f t="shared" si="99"/>
        <v>0.38358235673326813</v>
      </c>
      <c r="G1004" s="67">
        <f>E1004/'Lookup Tables'!$C$48</f>
        <v>12.634464978039135</v>
      </c>
      <c r="H1004" s="70">
        <f t="shared" si="96"/>
        <v>2.7516867640903196E-2</v>
      </c>
      <c r="I1004" s="71">
        <f t="shared" si="100"/>
        <v>1.8193629568376352E-2</v>
      </c>
      <c r="L1004" s="74"/>
      <c r="M1004" s="74"/>
      <c r="N1004" s="74"/>
      <c r="O1004" s="74"/>
      <c r="P1004" s="74"/>
      <c r="Q1004" s="74"/>
      <c r="R1004" s="74"/>
      <c r="S1004" s="74"/>
      <c r="T1004" s="74"/>
      <c r="U1004" s="74"/>
      <c r="V1004" s="74"/>
      <c r="W1004" s="74"/>
      <c r="X1004" s="74"/>
      <c r="Y1004" s="74"/>
      <c r="Z1004" s="74"/>
    </row>
    <row r="1005" spans="1:26" x14ac:dyDescent="0.3">
      <c r="A1005" s="66">
        <f t="shared" si="98"/>
        <v>2089.7999999999092</v>
      </c>
      <c r="B1005" s="67">
        <f>LOOKUP(A1005+0.01,Amounts!$A$4:$A$103,Amounts!$B$4:$B$103)*0.1*$A$2</f>
        <v>0</v>
      </c>
      <c r="C1005" s="68">
        <f t="shared" si="97"/>
        <v>120665.52921499971</v>
      </c>
      <c r="D1005" s="67">
        <f t="array" ref="D1005">SUM($B$7:$B1000*$F$1009*EXP(-$F$1009*($A1005-$A$7:$A1000)))*$F$1010</f>
        <v>3309041.0038688723</v>
      </c>
      <c r="E1005" s="67">
        <f t="shared" si="95"/>
        <v>6.3083945515347208</v>
      </c>
      <c r="F1005" s="70">
        <f t="shared" si="99"/>
        <v>0.38304571716918823</v>
      </c>
      <c r="G1005" s="67">
        <f>E1005/'Lookup Tables'!$C$48</f>
        <v>12.616789103069442</v>
      </c>
      <c r="H1005" s="70">
        <f t="shared" si="96"/>
        <v>2.7478370980156295E-2</v>
      </c>
      <c r="I1005" s="71">
        <f t="shared" si="100"/>
        <v>1.8168176308419996E-2</v>
      </c>
      <c r="L1005" s="74"/>
      <c r="M1005" s="74"/>
      <c r="N1005" s="74"/>
      <c r="O1005" s="74"/>
      <c r="P1005" s="74"/>
      <c r="Q1005" s="74"/>
      <c r="R1005" s="74"/>
      <c r="S1005" s="74"/>
      <c r="T1005" s="74"/>
      <c r="U1005" s="74"/>
      <c r="V1005" s="74"/>
      <c r="W1005" s="74"/>
      <c r="X1005" s="74"/>
      <c r="Y1005" s="74"/>
      <c r="Z1005" s="74"/>
    </row>
    <row r="1006" spans="1:26" x14ac:dyDescent="0.3">
      <c r="A1006" s="66">
        <f t="shared" si="98"/>
        <v>2089.8999999999091</v>
      </c>
      <c r="B1006" s="67">
        <f>LOOKUP(A1006+0.01,Amounts!$A$4:$A$103,Amounts!$B$4:$B$103)*0.1*$A$2</f>
        <v>0</v>
      </c>
      <c r="C1006" s="68">
        <f t="shared" si="97"/>
        <v>120665.52921499971</v>
      </c>
      <c r="D1006" s="67">
        <f t="array" ref="D1006">SUM($B$7:$B1001*$F$1009*EXP(-$F$1009*($A1006-$A$7:$A1001)))*$F$1010</f>
        <v>3304411.5878108381</v>
      </c>
      <c r="E1006" s="67">
        <f t="shared" si="95"/>
        <v>6.2995689785052091</v>
      </c>
      <c r="F1006" s="70">
        <f t="shared" si="99"/>
        <v>0.38250982837483632</v>
      </c>
      <c r="G1006" s="67">
        <f>E1006/'Lookup Tables'!$C$48</f>
        <v>12.599137957010418</v>
      </c>
      <c r="H1006" s="70">
        <f t="shared" si="96"/>
        <v>2.7439928177025279E-2</v>
      </c>
      <c r="I1006" s="71">
        <f t="shared" si="100"/>
        <v>1.8142758658095001E-2</v>
      </c>
      <c r="L1006" s="74"/>
      <c r="M1006" s="74"/>
      <c r="N1006" s="74"/>
      <c r="O1006" s="74"/>
      <c r="P1006" s="74"/>
      <c r="Q1006" s="74"/>
      <c r="R1006" s="74"/>
      <c r="S1006" s="74"/>
      <c r="T1006" s="74"/>
      <c r="U1006" s="74"/>
      <c r="V1006" s="74"/>
      <c r="W1006" s="74"/>
      <c r="X1006" s="74"/>
      <c r="Y1006" s="74"/>
      <c r="Z1006" s="74"/>
    </row>
    <row r="1007" spans="1:26" x14ac:dyDescent="0.3">
      <c r="A1007" s="66">
        <f>A1006+0.1</f>
        <v>2089.9999999999091</v>
      </c>
      <c r="B1007" s="67">
        <f>LOOKUP(A1007+0.01,Amounts!$A$4:$A$103,Amounts!$B$4:$B$103)*0.1*$A$2</f>
        <v>0</v>
      </c>
      <c r="C1007" s="68">
        <f>C1006+B1007</f>
        <v>120665.52921499971</v>
      </c>
      <c r="D1007" s="67">
        <f t="array" ref="D1007">SUM($B$7:$B1002*$F$1009*EXP(-$F$1009*($A1007-$A$7:$A1002)))*$F$1010</f>
        <v>3299788.6484005749</v>
      </c>
      <c r="E1007" s="67">
        <f t="shared" si="95"/>
        <v>6.2907557526329159</v>
      </c>
      <c r="F1007" s="70">
        <f t="shared" si="99"/>
        <v>0.38197468929987061</v>
      </c>
      <c r="G1007" s="67">
        <f>E1007/'Lookup Tables'!$C$48</f>
        <v>12.581511505265832</v>
      </c>
      <c r="H1007" s="70">
        <f t="shared" si="96"/>
        <v>2.7401539156162301E-2</v>
      </c>
      <c r="I1007" s="71">
        <f>G1007*60*24/1000000</f>
        <v>1.8117376567582798E-2</v>
      </c>
      <c r="L1007" s="74"/>
      <c r="M1007" s="74"/>
      <c r="N1007" s="74"/>
      <c r="O1007" s="74"/>
      <c r="P1007" s="74"/>
      <c r="Q1007" s="74"/>
      <c r="R1007" s="74"/>
      <c r="S1007" s="74"/>
      <c r="T1007" s="74"/>
      <c r="U1007" s="74"/>
      <c r="V1007" s="74"/>
      <c r="W1007" s="74"/>
      <c r="X1007" s="74"/>
      <c r="Y1007" s="74"/>
      <c r="Z1007" s="74"/>
    </row>
    <row r="1008" spans="1:26" x14ac:dyDescent="0.3">
      <c r="A1008" s="65" t="s">
        <v>11</v>
      </c>
      <c r="E1008" s="78"/>
      <c r="F1008" s="79">
        <f>'Lookup Tables'!C48</f>
        <v>0.5</v>
      </c>
    </row>
    <row r="1009" spans="1:10" x14ac:dyDescent="0.3">
      <c r="A1009" s="65" t="s">
        <v>36</v>
      </c>
      <c r="E1009" s="78"/>
      <c r="F1009" s="86">
        <f>'Lookup Tables'!F39</f>
        <v>1.4E-2</v>
      </c>
    </row>
    <row r="1010" spans="1:10" x14ac:dyDescent="0.3">
      <c r="A1010" s="65" t="s">
        <v>35</v>
      </c>
      <c r="E1010" s="78"/>
      <c r="F1010" s="81">
        <f>'Lookup Tables'!G39/F1011</f>
        <v>6406.1894540606027</v>
      </c>
      <c r="G1010" s="65" t="s">
        <v>12</v>
      </c>
    </row>
    <row r="1011" spans="1:10" x14ac:dyDescent="0.3">
      <c r="F1011" s="82">
        <v>3.1213999999999999E-2</v>
      </c>
      <c r="G1011" s="35" t="s">
        <v>13</v>
      </c>
    </row>
    <row r="1014" spans="1:10" x14ac:dyDescent="0.3">
      <c r="E1014" s="83"/>
      <c r="H1014" s="84"/>
      <c r="I1014" s="84"/>
      <c r="J1014" s="84"/>
    </row>
    <row r="1015" spans="1:10" x14ac:dyDescent="0.3">
      <c r="E1015" s="83"/>
      <c r="H1015" s="84"/>
      <c r="I1015" s="84"/>
      <c r="J1015" s="84"/>
    </row>
  </sheetData>
  <sheetProtection password="8BBD" sheet="1" objects="1" scenarios="1" selectLockedCells="1" selectUnlockedCells="1"/>
  <mergeCells count="1">
    <mergeCell ref="D4:F4"/>
  </mergeCells>
  <phoneticPr fontId="4" type="noConversion"/>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104"/>
  <sheetViews>
    <sheetView zoomScale="75" zoomScaleNormal="75" workbookViewId="0"/>
  </sheetViews>
  <sheetFormatPr defaultColWidth="9.75" defaultRowHeight="13.5" x14ac:dyDescent="0.25"/>
  <cols>
    <col min="1" max="1" width="9" style="20" bestFit="1" customWidth="1"/>
    <col min="2" max="2" width="17" style="20" bestFit="1" customWidth="1"/>
    <col min="3" max="3" width="13.25" style="20" customWidth="1"/>
    <col min="4" max="4" width="13.08203125" style="20" bestFit="1" customWidth="1"/>
    <col min="5" max="7" width="11.75" style="20" bestFit="1" customWidth="1"/>
    <col min="8" max="8" width="12.25" style="20" customWidth="1"/>
    <col min="9" max="9" width="3.08203125" style="20" customWidth="1"/>
    <col min="10" max="10" width="9.75" style="20" customWidth="1"/>
    <col min="11" max="11" width="10" style="20" bestFit="1" customWidth="1"/>
    <col min="12" max="15" width="9.75" style="20" customWidth="1"/>
    <col min="16" max="16" width="14.25" style="20" customWidth="1"/>
    <col min="17" max="16384" width="9.75" style="20"/>
  </cols>
  <sheetData>
    <row r="1" spans="1:15" ht="15" x14ac:dyDescent="0.3">
      <c r="A1" s="19"/>
      <c r="B1" s="19"/>
      <c r="C1" s="19"/>
      <c r="D1" s="450" t="s">
        <v>20</v>
      </c>
      <c r="E1" s="451"/>
      <c r="F1" s="451"/>
      <c r="G1" s="451"/>
    </row>
    <row r="2" spans="1:15" x14ac:dyDescent="0.25">
      <c r="B2" s="21">
        <f>SUM(D2:G2)</f>
        <v>0.56840000000000002</v>
      </c>
      <c r="D2" s="21">
        <f>IF(Inputs!$C$11="No",'Waste Composition'!$C$20,'Waste Composition'!$B$20)</f>
        <v>0.27279000000000003</v>
      </c>
      <c r="E2" s="21">
        <f>IF(Inputs!$C$11="No",'Waste Composition'!$C$21,'Waste Composition'!$B$21)</f>
        <v>8.2309999999999994E-2</v>
      </c>
      <c r="F2" s="21">
        <f>IF(Inputs!$C$11="No",'Waste Composition'!$C$22,'Waste Composition'!$B$22)</f>
        <v>0.20229999999999998</v>
      </c>
      <c r="G2" s="21">
        <f>IF(Inputs!$C$11="No",'Waste Composition'!$C$23,'Waste Composition'!$B$23)</f>
        <v>1.0999999999999999E-2</v>
      </c>
      <c r="I2" s="19"/>
    </row>
    <row r="3" spans="1:15" x14ac:dyDescent="0.25">
      <c r="B3" s="22" t="s">
        <v>15</v>
      </c>
      <c r="C3" s="23" t="s">
        <v>19</v>
      </c>
      <c r="D3" s="24">
        <v>1</v>
      </c>
      <c r="E3" s="24">
        <v>2</v>
      </c>
      <c r="F3" s="24">
        <v>3</v>
      </c>
      <c r="G3" s="24">
        <v>4</v>
      </c>
      <c r="O3" s="25"/>
    </row>
    <row r="4" spans="1:15" x14ac:dyDescent="0.25">
      <c r="A4" s="20">
        <f>Inputs!C12</f>
        <v>1990</v>
      </c>
      <c r="B4" s="26">
        <f>LOOKUP(A4,'Disposal&amp;LFG Recovery-wells'!A6:A105,'Disposal&amp;LFG Recovery-wells'!B6:B105)*1.1023</f>
        <v>0</v>
      </c>
      <c r="C4" s="27">
        <f>B4</f>
        <v>0</v>
      </c>
      <c r="D4" s="28">
        <f>$B4*D$2</f>
        <v>0</v>
      </c>
      <c r="E4" s="28">
        <f t="shared" ref="E4:G19" si="0">$B4*E$2</f>
        <v>0</v>
      </c>
      <c r="F4" s="28">
        <f t="shared" si="0"/>
        <v>0</v>
      </c>
      <c r="G4" s="28">
        <f t="shared" si="0"/>
        <v>0</v>
      </c>
      <c r="H4" s="29"/>
      <c r="O4" s="27"/>
    </row>
    <row r="5" spans="1:15" x14ac:dyDescent="0.25">
      <c r="A5" s="20">
        <f t="shared" ref="A5:A68" si="1">A4+1</f>
        <v>1991</v>
      </c>
      <c r="B5" s="26">
        <f>LOOKUP(A5,'Disposal&amp;LFG Recovery-wells'!A7:A106,'Disposal&amp;LFG Recovery-wells'!B7:B106)*1.1023</f>
        <v>0</v>
      </c>
      <c r="C5" s="27">
        <f>C4+B5</f>
        <v>0</v>
      </c>
      <c r="D5" s="28">
        <f t="shared" ref="D5:G36" si="2">$B5*D$2</f>
        <v>0</v>
      </c>
      <c r="E5" s="28">
        <f t="shared" si="0"/>
        <v>0</v>
      </c>
      <c r="F5" s="28">
        <f t="shared" si="0"/>
        <v>0</v>
      </c>
      <c r="G5" s="28">
        <f t="shared" si="0"/>
        <v>0</v>
      </c>
      <c r="H5" s="29"/>
      <c r="O5" s="27"/>
    </row>
    <row r="6" spans="1:15" x14ac:dyDescent="0.25">
      <c r="A6" s="20">
        <f t="shared" si="1"/>
        <v>1992</v>
      </c>
      <c r="B6" s="26">
        <f>LOOKUP(A6,'Disposal&amp;LFG Recovery-wells'!A8:A107,'Disposal&amp;LFG Recovery-wells'!B8:B107)*1.1023</f>
        <v>0</v>
      </c>
      <c r="C6" s="27">
        <f t="shared" ref="C6:C69" si="3">C5+B6</f>
        <v>0</v>
      </c>
      <c r="D6" s="28">
        <f t="shared" si="2"/>
        <v>0</v>
      </c>
      <c r="E6" s="28">
        <f t="shared" si="0"/>
        <v>0</v>
      </c>
      <c r="F6" s="28">
        <f t="shared" si="0"/>
        <v>0</v>
      </c>
      <c r="G6" s="28">
        <f t="shared" si="0"/>
        <v>0</v>
      </c>
      <c r="H6" s="29"/>
      <c r="O6" s="27"/>
    </row>
    <row r="7" spans="1:15" x14ac:dyDescent="0.25">
      <c r="A7" s="20">
        <f t="shared" si="1"/>
        <v>1993</v>
      </c>
      <c r="B7" s="26">
        <f>LOOKUP(A7,'Disposal&amp;LFG Recovery-wells'!A9:A108,'Disposal&amp;LFG Recovery-wells'!B9:B108)*1.1023</f>
        <v>0</v>
      </c>
      <c r="C7" s="27">
        <f t="shared" si="3"/>
        <v>0</v>
      </c>
      <c r="D7" s="28">
        <f t="shared" si="2"/>
        <v>0</v>
      </c>
      <c r="E7" s="28">
        <f t="shared" si="0"/>
        <v>0</v>
      </c>
      <c r="F7" s="28">
        <f t="shared" si="0"/>
        <v>0</v>
      </c>
      <c r="G7" s="28">
        <f t="shared" si="0"/>
        <v>0</v>
      </c>
      <c r="H7" s="29"/>
      <c r="I7" s="19"/>
      <c r="J7" s="19"/>
      <c r="K7" s="19"/>
      <c r="L7" s="19"/>
      <c r="M7" s="30"/>
      <c r="O7" s="27"/>
    </row>
    <row r="8" spans="1:15" x14ac:dyDescent="0.25">
      <c r="A8" s="20">
        <f t="shared" si="1"/>
        <v>1994</v>
      </c>
      <c r="B8" s="26">
        <f>LOOKUP(A8,'Disposal&amp;LFG Recovery-wells'!A10:A109,'Disposal&amp;LFG Recovery-wells'!B10:B109)*1.1023</f>
        <v>0</v>
      </c>
      <c r="C8" s="27">
        <f t="shared" si="3"/>
        <v>0</v>
      </c>
      <c r="D8" s="28">
        <f t="shared" si="2"/>
        <v>0</v>
      </c>
      <c r="E8" s="28">
        <f t="shared" si="0"/>
        <v>0</v>
      </c>
      <c r="F8" s="28">
        <f t="shared" si="0"/>
        <v>0</v>
      </c>
      <c r="G8" s="28">
        <f t="shared" si="0"/>
        <v>0</v>
      </c>
      <c r="H8" s="29"/>
      <c r="I8" s="19"/>
      <c r="J8" s="19"/>
      <c r="K8" s="19"/>
      <c r="L8" s="19"/>
      <c r="M8" s="30"/>
      <c r="O8" s="27"/>
    </row>
    <row r="9" spans="1:15" x14ac:dyDescent="0.25">
      <c r="A9" s="20">
        <f t="shared" si="1"/>
        <v>1995</v>
      </c>
      <c r="B9" s="26">
        <f>LOOKUP(A9,'Disposal&amp;LFG Recovery-wells'!A11:A110,'Disposal&amp;LFG Recovery-wells'!B11:B110)*1.1023</f>
        <v>0</v>
      </c>
      <c r="C9" s="27">
        <f t="shared" si="3"/>
        <v>0</v>
      </c>
      <c r="D9" s="28">
        <f t="shared" si="2"/>
        <v>0</v>
      </c>
      <c r="E9" s="28">
        <f t="shared" si="0"/>
        <v>0</v>
      </c>
      <c r="F9" s="28">
        <f t="shared" si="0"/>
        <v>0</v>
      </c>
      <c r="G9" s="28">
        <f t="shared" si="0"/>
        <v>0</v>
      </c>
      <c r="H9" s="29"/>
      <c r="I9" s="19"/>
      <c r="J9" s="19"/>
      <c r="K9" s="19"/>
      <c r="L9" s="19"/>
      <c r="M9" s="30"/>
      <c r="O9" s="27"/>
    </row>
    <row r="10" spans="1:15" x14ac:dyDescent="0.25">
      <c r="A10" s="20">
        <f t="shared" si="1"/>
        <v>1996</v>
      </c>
      <c r="B10" s="26">
        <f>LOOKUP(A10,'Disposal&amp;LFG Recovery-wells'!A12:A111,'Disposal&amp;LFG Recovery-wells'!B12:B111)*1.1023</f>
        <v>0</v>
      </c>
      <c r="C10" s="27">
        <f t="shared" si="3"/>
        <v>0</v>
      </c>
      <c r="D10" s="28">
        <f t="shared" si="2"/>
        <v>0</v>
      </c>
      <c r="E10" s="28">
        <f t="shared" si="0"/>
        <v>0</v>
      </c>
      <c r="F10" s="28">
        <f t="shared" si="0"/>
        <v>0</v>
      </c>
      <c r="G10" s="28">
        <f t="shared" si="0"/>
        <v>0</v>
      </c>
      <c r="H10" s="29"/>
      <c r="I10" s="19"/>
      <c r="J10" s="19"/>
      <c r="K10" s="19"/>
      <c r="L10" s="19"/>
      <c r="M10" s="30"/>
      <c r="O10" s="27"/>
    </row>
    <row r="11" spans="1:15" x14ac:dyDescent="0.25">
      <c r="A11" s="20">
        <f t="shared" si="1"/>
        <v>1997</v>
      </c>
      <c r="B11" s="26">
        <f>LOOKUP(A11,'Disposal&amp;LFG Recovery-wells'!A13:A112,'Disposal&amp;LFG Recovery-wells'!B13:B112)*1.1023</f>
        <v>0</v>
      </c>
      <c r="C11" s="27">
        <f t="shared" si="3"/>
        <v>0</v>
      </c>
      <c r="D11" s="28">
        <f t="shared" si="2"/>
        <v>0</v>
      </c>
      <c r="E11" s="28">
        <f t="shared" si="0"/>
        <v>0</v>
      </c>
      <c r="F11" s="28">
        <f t="shared" si="0"/>
        <v>0</v>
      </c>
      <c r="G11" s="28">
        <f t="shared" si="0"/>
        <v>0</v>
      </c>
      <c r="H11" s="29"/>
      <c r="I11" s="19"/>
      <c r="J11" s="19"/>
      <c r="K11" s="19"/>
      <c r="L11" s="19"/>
      <c r="M11" s="30"/>
      <c r="O11" s="27"/>
    </row>
    <row r="12" spans="1:15" x14ac:dyDescent="0.25">
      <c r="A12" s="20">
        <f t="shared" si="1"/>
        <v>1998</v>
      </c>
      <c r="B12" s="26">
        <f>LOOKUP(A12,'Disposal&amp;LFG Recovery-wells'!A14:A113,'Disposal&amp;LFG Recovery-wells'!B14:B113)*1.1023</f>
        <v>0</v>
      </c>
      <c r="C12" s="27">
        <f t="shared" si="3"/>
        <v>0</v>
      </c>
      <c r="D12" s="28">
        <f t="shared" si="2"/>
        <v>0</v>
      </c>
      <c r="E12" s="28">
        <f t="shared" si="0"/>
        <v>0</v>
      </c>
      <c r="F12" s="28">
        <f t="shared" si="0"/>
        <v>0</v>
      </c>
      <c r="G12" s="28">
        <f t="shared" si="0"/>
        <v>0</v>
      </c>
      <c r="H12" s="29"/>
      <c r="I12" s="19"/>
      <c r="J12" s="19"/>
      <c r="K12" s="19"/>
      <c r="L12" s="19"/>
      <c r="M12" s="30"/>
      <c r="O12" s="27"/>
    </row>
    <row r="13" spans="1:15" x14ac:dyDescent="0.25">
      <c r="A13" s="20">
        <f t="shared" si="1"/>
        <v>1999</v>
      </c>
      <c r="B13" s="26">
        <f>LOOKUP(A13,'Disposal&amp;LFG Recovery-wells'!A15:A114,'Disposal&amp;LFG Recovery-wells'!B15:B114)*1.1023</f>
        <v>0</v>
      </c>
      <c r="C13" s="27">
        <f t="shared" si="3"/>
        <v>0</v>
      </c>
      <c r="D13" s="28">
        <f t="shared" si="2"/>
        <v>0</v>
      </c>
      <c r="E13" s="28">
        <f t="shared" si="0"/>
        <v>0</v>
      </c>
      <c r="F13" s="28">
        <f t="shared" si="0"/>
        <v>0</v>
      </c>
      <c r="G13" s="28">
        <f t="shared" si="0"/>
        <v>0</v>
      </c>
      <c r="M13" s="30"/>
      <c r="O13" s="27"/>
    </row>
    <row r="14" spans="1:15" x14ac:dyDescent="0.25">
      <c r="A14" s="20">
        <f t="shared" si="1"/>
        <v>2000</v>
      </c>
      <c r="B14" s="26">
        <f>LOOKUP(A14,'Disposal&amp;LFG Recovery-wells'!A16:A115,'Disposal&amp;LFG Recovery-wells'!B16:B115)*1.1023</f>
        <v>374561.54000000004</v>
      </c>
      <c r="C14" s="27">
        <f t="shared" si="3"/>
        <v>374561.54000000004</v>
      </c>
      <c r="D14" s="28">
        <f t="shared" si="2"/>
        <v>102176.64249660002</v>
      </c>
      <c r="E14" s="28">
        <f t="shared" si="0"/>
        <v>30830.1603574</v>
      </c>
      <c r="F14" s="28">
        <f t="shared" si="0"/>
        <v>75773.799541999993</v>
      </c>
      <c r="G14" s="28">
        <f t="shared" si="0"/>
        <v>4120.1769400000003</v>
      </c>
      <c r="M14" s="30"/>
      <c r="O14" s="27"/>
    </row>
    <row r="15" spans="1:15" x14ac:dyDescent="0.25">
      <c r="A15" s="20">
        <f t="shared" si="1"/>
        <v>2001</v>
      </c>
      <c r="B15" s="26">
        <f>LOOKUP(A15,'Disposal&amp;LFG Recovery-wells'!A17:A116,'Disposal&amp;LFG Recovery-wells'!B17:B116)*1.1023</f>
        <v>382057.18</v>
      </c>
      <c r="C15" s="27">
        <f t="shared" si="3"/>
        <v>756618.72</v>
      </c>
      <c r="D15" s="28">
        <f t="shared" si="2"/>
        <v>104221.37813220001</v>
      </c>
      <c r="E15" s="28">
        <f t="shared" si="0"/>
        <v>31447.126485799996</v>
      </c>
      <c r="F15" s="28">
        <f t="shared" si="0"/>
        <v>77290.167513999986</v>
      </c>
      <c r="G15" s="28">
        <f t="shared" si="0"/>
        <v>4202.6289799999995</v>
      </c>
      <c r="M15" s="30"/>
      <c r="O15" s="27"/>
    </row>
    <row r="16" spans="1:15" x14ac:dyDescent="0.25">
      <c r="A16" s="20">
        <f t="shared" si="1"/>
        <v>2002</v>
      </c>
      <c r="B16" s="26">
        <f>LOOKUP(A16,'Disposal&amp;LFG Recovery-wells'!A18:A117,'Disposal&amp;LFG Recovery-wells'!B18:B117)*1.1023</f>
        <v>389696.11900000001</v>
      </c>
      <c r="C16" s="27">
        <f t="shared" si="3"/>
        <v>1146314.8389999999</v>
      </c>
      <c r="D16" s="28">
        <f t="shared" si="2"/>
        <v>106305.20430201001</v>
      </c>
      <c r="E16" s="28">
        <f t="shared" si="0"/>
        <v>32075.88755489</v>
      </c>
      <c r="F16" s="28">
        <f t="shared" si="0"/>
        <v>78835.524873699993</v>
      </c>
      <c r="G16" s="28">
        <f t="shared" si="0"/>
        <v>4286.6573090000002</v>
      </c>
      <c r="M16" s="30"/>
      <c r="O16" s="27"/>
    </row>
    <row r="17" spans="1:15" x14ac:dyDescent="0.25">
      <c r="A17" s="20">
        <f t="shared" si="1"/>
        <v>2003</v>
      </c>
      <c r="B17" s="26">
        <f>LOOKUP(A17,'Disposal&amp;LFG Recovery-wells'!A19:A118,'Disposal&amp;LFG Recovery-wells'!B19:B118)*1.1023</f>
        <v>397489.38</v>
      </c>
      <c r="C17" s="27">
        <f t="shared" si="3"/>
        <v>1543804.219</v>
      </c>
      <c r="D17" s="28">
        <f t="shared" si="2"/>
        <v>108431.12797020002</v>
      </c>
      <c r="E17" s="28">
        <f t="shared" si="0"/>
        <v>32717.3508678</v>
      </c>
      <c r="F17" s="28">
        <f t="shared" si="0"/>
        <v>80412.101573999986</v>
      </c>
      <c r="G17" s="28">
        <f t="shared" si="0"/>
        <v>4372.3831799999998</v>
      </c>
      <c r="M17" s="30"/>
      <c r="O17" s="27"/>
    </row>
    <row r="18" spans="1:15" x14ac:dyDescent="0.25">
      <c r="A18" s="20">
        <f t="shared" si="1"/>
        <v>2004</v>
      </c>
      <c r="B18" s="26">
        <f>LOOKUP(A18,'Disposal&amp;LFG Recovery-wells'!A20:A119,'Disposal&amp;LFG Recovery-wells'!B20:B119)*1.1023</f>
        <v>405436.96300000005</v>
      </c>
      <c r="C18" s="27">
        <f t="shared" si="3"/>
        <v>1949241.182</v>
      </c>
      <c r="D18" s="28">
        <f t="shared" si="2"/>
        <v>110599.14913677002</v>
      </c>
      <c r="E18" s="28">
        <f t="shared" si="0"/>
        <v>33371.516424530004</v>
      </c>
      <c r="F18" s="28">
        <f t="shared" si="0"/>
        <v>82019.897614900008</v>
      </c>
      <c r="G18" s="28">
        <f t="shared" si="0"/>
        <v>4459.8065930000002</v>
      </c>
      <c r="M18" s="30"/>
      <c r="O18" s="27"/>
    </row>
    <row r="19" spans="1:15" x14ac:dyDescent="0.25">
      <c r="A19" s="20">
        <f t="shared" si="1"/>
        <v>2005</v>
      </c>
      <c r="B19" s="26">
        <f>LOOKUP(A19,'Disposal&amp;LFG Recovery-wells'!A21:A120,'Disposal&amp;LFG Recovery-wells'!B21:B120)*1.1023</f>
        <v>413549.891</v>
      </c>
      <c r="C19" s="27">
        <f t="shared" si="3"/>
        <v>2362791.0729999999</v>
      </c>
      <c r="D19" s="28">
        <f t="shared" si="2"/>
        <v>112812.27476589002</v>
      </c>
      <c r="E19" s="28">
        <f t="shared" si="0"/>
        <v>34039.29152821</v>
      </c>
      <c r="F19" s="28">
        <f t="shared" si="0"/>
        <v>83661.142949299989</v>
      </c>
      <c r="G19" s="28">
        <f t="shared" si="0"/>
        <v>4549.0488009999999</v>
      </c>
      <c r="M19" s="30"/>
      <c r="O19" s="27"/>
    </row>
    <row r="20" spans="1:15" x14ac:dyDescent="0.25">
      <c r="A20" s="20">
        <f t="shared" si="1"/>
        <v>2006</v>
      </c>
      <c r="B20" s="26">
        <f>LOOKUP(A20,'Disposal&amp;LFG Recovery-wells'!A22:A121,'Disposal&amp;LFG Recovery-wells'!B22:B121)*1.1023</f>
        <v>421817.141</v>
      </c>
      <c r="C20" s="27">
        <f t="shared" si="3"/>
        <v>2784608.2139999997</v>
      </c>
      <c r="D20" s="28">
        <f t="shared" si="2"/>
        <v>115067.49789339001</v>
      </c>
      <c r="E20" s="28">
        <f t="shared" si="2"/>
        <v>34719.768875709997</v>
      </c>
      <c r="F20" s="28">
        <f t="shared" si="2"/>
        <v>85333.607624299999</v>
      </c>
      <c r="G20" s="28">
        <f t="shared" si="2"/>
        <v>4639.9885509999995</v>
      </c>
      <c r="I20" s="19"/>
      <c r="M20" s="30"/>
      <c r="O20" s="27"/>
    </row>
    <row r="21" spans="1:15" x14ac:dyDescent="0.25">
      <c r="A21" s="20">
        <f t="shared" si="1"/>
        <v>2007</v>
      </c>
      <c r="B21" s="26">
        <f>LOOKUP(A21,'Disposal&amp;LFG Recovery-wells'!A23:A122,'Disposal&amp;LFG Recovery-wells'!B23:B122)*1.1023</f>
        <v>430249.73600000003</v>
      </c>
      <c r="C21" s="27">
        <f t="shared" si="3"/>
        <v>3214857.9499999997</v>
      </c>
      <c r="D21" s="28">
        <f t="shared" si="2"/>
        <v>117367.82548344003</v>
      </c>
      <c r="E21" s="28">
        <f t="shared" si="2"/>
        <v>35413.85577016</v>
      </c>
      <c r="F21" s="28">
        <f t="shared" si="2"/>
        <v>87039.521592799996</v>
      </c>
      <c r="G21" s="28">
        <f t="shared" si="2"/>
        <v>4732.7470960000001</v>
      </c>
      <c r="I21" s="31"/>
      <c r="J21" s="29"/>
      <c r="M21" s="30"/>
      <c r="O21" s="27"/>
    </row>
    <row r="22" spans="1:15" x14ac:dyDescent="0.25">
      <c r="A22" s="20">
        <f t="shared" si="1"/>
        <v>2008</v>
      </c>
      <c r="B22" s="26">
        <f>LOOKUP(A22,'Disposal&amp;LFG Recovery-wells'!A24:A123,'Disposal&amp;LFG Recovery-wells'!B24:B123)*1.1023</f>
        <v>438858.69900000002</v>
      </c>
      <c r="C22" s="27">
        <f t="shared" si="3"/>
        <v>3653716.6489999997</v>
      </c>
      <c r="D22" s="28">
        <f t="shared" si="2"/>
        <v>119716.26450021002</v>
      </c>
      <c r="E22" s="28">
        <f t="shared" si="2"/>
        <v>36122.459514690003</v>
      </c>
      <c r="F22" s="28">
        <f t="shared" si="2"/>
        <v>88781.114807699996</v>
      </c>
      <c r="G22" s="28">
        <f t="shared" si="2"/>
        <v>4827.4456890000001</v>
      </c>
      <c r="I22" s="31"/>
      <c r="J22" s="29"/>
      <c r="M22" s="30"/>
      <c r="O22" s="27"/>
    </row>
    <row r="23" spans="1:15" x14ac:dyDescent="0.25">
      <c r="A23" s="20">
        <f t="shared" si="1"/>
        <v>2009</v>
      </c>
      <c r="B23" s="26">
        <f>LOOKUP(A23,'Disposal&amp;LFG Recovery-wells'!A25:A124,'Disposal&amp;LFG Recovery-wells'!B25:B124)*1.1023</f>
        <v>447633.00700000004</v>
      </c>
      <c r="C23" s="27">
        <f t="shared" si="3"/>
        <v>4101349.656</v>
      </c>
      <c r="D23" s="28">
        <f t="shared" si="2"/>
        <v>122109.80797953003</v>
      </c>
      <c r="E23" s="28">
        <f t="shared" si="2"/>
        <v>36844.672806169998</v>
      </c>
      <c r="F23" s="28">
        <f t="shared" si="2"/>
        <v>90556.157316099998</v>
      </c>
      <c r="G23" s="28">
        <f t="shared" si="2"/>
        <v>4923.9630770000003</v>
      </c>
      <c r="I23" s="31"/>
      <c r="J23" s="29"/>
      <c r="M23" s="30"/>
      <c r="O23" s="27"/>
    </row>
    <row r="24" spans="1:15" x14ac:dyDescent="0.25">
      <c r="A24" s="20">
        <f t="shared" si="1"/>
        <v>2010</v>
      </c>
      <c r="B24" s="26">
        <f>LOOKUP(A24,'Disposal&amp;LFG Recovery-wells'!A26:A125,'Disposal&amp;LFG Recovery-wells'!B26:B125)*1.1023</f>
        <v>456583.68300000002</v>
      </c>
      <c r="C24" s="27">
        <f t="shared" si="3"/>
        <v>4557933.3389999997</v>
      </c>
      <c r="D24" s="28">
        <f t="shared" si="2"/>
        <v>124551.46288557001</v>
      </c>
      <c r="E24" s="28">
        <f t="shared" si="2"/>
        <v>37581.402947729999</v>
      </c>
      <c r="F24" s="28">
        <f t="shared" si="2"/>
        <v>92366.879070899988</v>
      </c>
      <c r="G24" s="28">
        <f t="shared" si="2"/>
        <v>5022.420513</v>
      </c>
      <c r="I24" s="31"/>
      <c r="J24" s="29"/>
      <c r="M24" s="30"/>
      <c r="O24" s="27"/>
    </row>
    <row r="25" spans="1:15" x14ac:dyDescent="0.25">
      <c r="A25" s="20">
        <f t="shared" si="1"/>
        <v>2011</v>
      </c>
      <c r="B25" s="26">
        <f>LOOKUP(A25,'Disposal&amp;LFG Recovery-wells'!A27:A126,'Disposal&amp;LFG Recovery-wells'!B27:B126)*1.1023</f>
        <v>465710.72700000001</v>
      </c>
      <c r="C25" s="27">
        <f t="shared" si="3"/>
        <v>5023644.0659999996</v>
      </c>
      <c r="D25" s="28">
        <f t="shared" si="2"/>
        <v>127041.22921833002</v>
      </c>
      <c r="E25" s="28">
        <f t="shared" si="2"/>
        <v>38332.64993937</v>
      </c>
      <c r="F25" s="28">
        <f t="shared" si="2"/>
        <v>94213.280072099995</v>
      </c>
      <c r="G25" s="28">
        <f t="shared" si="2"/>
        <v>5122.8179970000001</v>
      </c>
      <c r="I25" s="31"/>
      <c r="J25" s="29"/>
      <c r="M25" s="30"/>
      <c r="O25" s="27"/>
    </row>
    <row r="26" spans="1:15" x14ac:dyDescent="0.25">
      <c r="A26" s="20">
        <f t="shared" si="1"/>
        <v>2012</v>
      </c>
      <c r="B26" s="26">
        <f>LOOKUP(A26,'Disposal&amp;LFG Recovery-wells'!A28:A127,'Disposal&amp;LFG Recovery-wells'!B28:B127)*1.1023</f>
        <v>496035</v>
      </c>
      <c r="C26" s="27">
        <f t="shared" si="3"/>
        <v>5519679.0659999996</v>
      </c>
      <c r="D26" s="28">
        <f t="shared" si="2"/>
        <v>135313.38765000002</v>
      </c>
      <c r="E26" s="28">
        <f t="shared" si="2"/>
        <v>40828.640849999996</v>
      </c>
      <c r="F26" s="28">
        <f t="shared" si="2"/>
        <v>100347.88049999998</v>
      </c>
      <c r="G26" s="28">
        <f t="shared" si="2"/>
        <v>5456.3849999999993</v>
      </c>
      <c r="I26" s="31"/>
      <c r="J26" s="29"/>
      <c r="M26" s="30"/>
      <c r="O26" s="27"/>
    </row>
    <row r="27" spans="1:15" x14ac:dyDescent="0.25">
      <c r="A27" s="20">
        <f t="shared" si="1"/>
        <v>2013</v>
      </c>
      <c r="B27" s="26">
        <f>LOOKUP(A27,'Disposal&amp;LFG Recovery-wells'!A29:A128,'Disposal&amp;LFG Recovery-wells'!B29:B128)*1.1023</f>
        <v>505955.7</v>
      </c>
      <c r="C27" s="27">
        <f t="shared" si="3"/>
        <v>6025634.7659999998</v>
      </c>
      <c r="D27" s="28">
        <f t="shared" si="2"/>
        <v>138019.65540300001</v>
      </c>
      <c r="E27" s="28">
        <f t="shared" si="2"/>
        <v>41645.213666999996</v>
      </c>
      <c r="F27" s="28">
        <f t="shared" si="2"/>
        <v>102354.83811</v>
      </c>
      <c r="G27" s="28">
        <f t="shared" si="2"/>
        <v>5565.5127000000002</v>
      </c>
      <c r="I27" s="31"/>
      <c r="J27" s="29"/>
      <c r="M27" s="30"/>
      <c r="O27" s="27"/>
    </row>
    <row r="28" spans="1:15" x14ac:dyDescent="0.25">
      <c r="A28" s="20">
        <f t="shared" si="1"/>
        <v>2014</v>
      </c>
      <c r="B28" s="26">
        <f>LOOKUP(A28,'Disposal&amp;LFG Recovery-wells'!A30:A129,'Disposal&amp;LFG Recovery-wells'!B30:B129)*1.1023</f>
        <v>516074.81400000001</v>
      </c>
      <c r="C28" s="27">
        <f t="shared" si="3"/>
        <v>6541709.5800000001</v>
      </c>
      <c r="D28" s="28">
        <f t="shared" si="2"/>
        <v>140780.04851106001</v>
      </c>
      <c r="E28" s="28">
        <f t="shared" si="2"/>
        <v>42478.117940339995</v>
      </c>
      <c r="F28" s="28">
        <f t="shared" si="2"/>
        <v>104401.93487219998</v>
      </c>
      <c r="G28" s="28">
        <f t="shared" si="2"/>
        <v>5676.8229540000002</v>
      </c>
      <c r="I28" s="31"/>
      <c r="J28" s="29"/>
      <c r="M28" s="30"/>
      <c r="O28" s="27"/>
    </row>
    <row r="29" spans="1:15" x14ac:dyDescent="0.25">
      <c r="A29" s="20">
        <f t="shared" si="1"/>
        <v>2015</v>
      </c>
      <c r="B29" s="26">
        <f>LOOKUP(A29,'Disposal&amp;LFG Recovery-wells'!A31:A130,'Disposal&amp;LFG Recovery-wells'!B31:B130)*1.1023</f>
        <v>526392.34200000006</v>
      </c>
      <c r="C29" s="27">
        <f t="shared" si="3"/>
        <v>7068101.9220000003</v>
      </c>
      <c r="D29" s="28">
        <f t="shared" si="2"/>
        <v>143594.56697418002</v>
      </c>
      <c r="E29" s="28">
        <f t="shared" si="2"/>
        <v>43327.353670020006</v>
      </c>
      <c r="F29" s="28">
        <f t="shared" si="2"/>
        <v>106489.17078660001</v>
      </c>
      <c r="G29" s="28">
        <f t="shared" si="2"/>
        <v>5790.3157620000002</v>
      </c>
      <c r="I29" s="31"/>
      <c r="J29" s="29"/>
      <c r="M29" s="30"/>
      <c r="O29" s="27"/>
    </row>
    <row r="30" spans="1:15" x14ac:dyDescent="0.25">
      <c r="A30" s="20">
        <f t="shared" si="1"/>
        <v>2016</v>
      </c>
      <c r="B30" s="26">
        <f>LOOKUP(A30,'Disposal&amp;LFG Recovery-wells'!A32:A131,'Disposal&amp;LFG Recovery-wells'!B32:B131)*1.1023</f>
        <v>536919.30700000003</v>
      </c>
      <c r="C30" s="27">
        <f t="shared" si="3"/>
        <v>7605021.2290000003</v>
      </c>
      <c r="D30" s="28">
        <f t="shared" si="2"/>
        <v>146466.21775653004</v>
      </c>
      <c r="E30" s="28">
        <f t="shared" si="2"/>
        <v>44193.82815917</v>
      </c>
      <c r="F30" s="28">
        <f t="shared" si="2"/>
        <v>108618.77580609999</v>
      </c>
      <c r="G30" s="28">
        <f t="shared" si="2"/>
        <v>5906.1123770000004</v>
      </c>
      <c r="I30" s="31"/>
      <c r="J30" s="29"/>
      <c r="M30" s="30"/>
      <c r="O30" s="27"/>
    </row>
    <row r="31" spans="1:15" x14ac:dyDescent="0.25">
      <c r="A31" s="20">
        <f t="shared" si="1"/>
        <v>2017</v>
      </c>
      <c r="B31" s="26">
        <f>LOOKUP(A31,'Disposal&amp;LFG Recovery-wells'!A33:A132,'Disposal&amp;LFG Recovery-wells'!B33:B132)*1.1023</f>
        <v>0</v>
      </c>
      <c r="C31" s="27">
        <f t="shared" si="3"/>
        <v>7605021.2290000003</v>
      </c>
      <c r="D31" s="28">
        <f t="shared" si="2"/>
        <v>0</v>
      </c>
      <c r="E31" s="28">
        <f t="shared" si="2"/>
        <v>0</v>
      </c>
      <c r="F31" s="28">
        <f t="shared" si="2"/>
        <v>0</v>
      </c>
      <c r="G31" s="28">
        <f t="shared" si="2"/>
        <v>0</v>
      </c>
      <c r="I31" s="31"/>
      <c r="J31" s="29"/>
      <c r="M31" s="30"/>
      <c r="O31" s="27"/>
    </row>
    <row r="32" spans="1:15" x14ac:dyDescent="0.25">
      <c r="A32" s="20">
        <f t="shared" si="1"/>
        <v>2018</v>
      </c>
      <c r="B32" s="26">
        <f>LOOKUP(A32,'Disposal&amp;LFG Recovery-wells'!A34:A133,'Disposal&amp;LFG Recovery-wells'!B34:B133)*1.1023</f>
        <v>0</v>
      </c>
      <c r="C32" s="27">
        <f t="shared" si="3"/>
        <v>7605021.2290000003</v>
      </c>
      <c r="D32" s="28">
        <f t="shared" si="2"/>
        <v>0</v>
      </c>
      <c r="E32" s="28">
        <f t="shared" si="2"/>
        <v>0</v>
      </c>
      <c r="F32" s="28">
        <f t="shared" si="2"/>
        <v>0</v>
      </c>
      <c r="G32" s="28">
        <f t="shared" si="2"/>
        <v>0</v>
      </c>
      <c r="I32" s="31"/>
      <c r="J32" s="29"/>
      <c r="M32" s="30"/>
      <c r="O32" s="27"/>
    </row>
    <row r="33" spans="1:15" x14ac:dyDescent="0.25">
      <c r="A33" s="20">
        <f t="shared" si="1"/>
        <v>2019</v>
      </c>
      <c r="B33" s="26">
        <f>LOOKUP(A33,'Disposal&amp;LFG Recovery-wells'!A35:A134,'Disposal&amp;LFG Recovery-wells'!B35:B134)*1.1023</f>
        <v>0</v>
      </c>
      <c r="C33" s="27">
        <f t="shared" si="3"/>
        <v>7605021.2290000003</v>
      </c>
      <c r="D33" s="28">
        <f t="shared" si="2"/>
        <v>0</v>
      </c>
      <c r="E33" s="28">
        <f t="shared" si="2"/>
        <v>0</v>
      </c>
      <c r="F33" s="28">
        <f t="shared" si="2"/>
        <v>0</v>
      </c>
      <c r="G33" s="28">
        <f t="shared" si="2"/>
        <v>0</v>
      </c>
      <c r="I33" s="31"/>
      <c r="J33" s="29"/>
      <c r="M33" s="30"/>
      <c r="O33" s="27"/>
    </row>
    <row r="34" spans="1:15" x14ac:dyDescent="0.25">
      <c r="A34" s="20">
        <f t="shared" si="1"/>
        <v>2020</v>
      </c>
      <c r="B34" s="26">
        <f>LOOKUP(A34,'Disposal&amp;LFG Recovery-wells'!A36:A135,'Disposal&amp;LFG Recovery-wells'!B36:B135)*1.1023</f>
        <v>0</v>
      </c>
      <c r="C34" s="27">
        <f t="shared" si="3"/>
        <v>7605021.2290000003</v>
      </c>
      <c r="D34" s="28">
        <f t="shared" si="2"/>
        <v>0</v>
      </c>
      <c r="E34" s="28">
        <f t="shared" si="2"/>
        <v>0</v>
      </c>
      <c r="F34" s="28">
        <f t="shared" si="2"/>
        <v>0</v>
      </c>
      <c r="G34" s="28">
        <f t="shared" si="2"/>
        <v>0</v>
      </c>
      <c r="I34" s="31"/>
      <c r="J34" s="29"/>
      <c r="M34" s="30"/>
      <c r="O34" s="27"/>
    </row>
    <row r="35" spans="1:15" x14ac:dyDescent="0.25">
      <c r="A35" s="20">
        <f t="shared" si="1"/>
        <v>2021</v>
      </c>
      <c r="B35" s="26">
        <f>LOOKUP(A35,'Disposal&amp;LFG Recovery-wells'!A37:A136,'Disposal&amp;LFG Recovery-wells'!B37:B136)*1.1023</f>
        <v>0</v>
      </c>
      <c r="C35" s="27">
        <f t="shared" si="3"/>
        <v>7605021.2290000003</v>
      </c>
      <c r="D35" s="28">
        <f t="shared" si="2"/>
        <v>0</v>
      </c>
      <c r="E35" s="28">
        <f t="shared" si="2"/>
        <v>0</v>
      </c>
      <c r="F35" s="28">
        <f t="shared" si="2"/>
        <v>0</v>
      </c>
      <c r="G35" s="28">
        <f t="shared" si="2"/>
        <v>0</v>
      </c>
      <c r="I35" s="32"/>
      <c r="M35" s="30"/>
      <c r="O35" s="27"/>
    </row>
    <row r="36" spans="1:15" x14ac:dyDescent="0.25">
      <c r="A36" s="20">
        <f t="shared" si="1"/>
        <v>2022</v>
      </c>
      <c r="B36" s="26">
        <f>LOOKUP(A36,'Disposal&amp;LFG Recovery-wells'!A38:A137,'Disposal&amp;LFG Recovery-wells'!B38:B137)*1.1023</f>
        <v>0</v>
      </c>
      <c r="C36" s="27">
        <f t="shared" si="3"/>
        <v>7605021.2290000003</v>
      </c>
      <c r="D36" s="28">
        <f t="shared" si="2"/>
        <v>0</v>
      </c>
      <c r="E36" s="28">
        <f t="shared" si="2"/>
        <v>0</v>
      </c>
      <c r="F36" s="28">
        <f t="shared" si="2"/>
        <v>0</v>
      </c>
      <c r="G36" s="28">
        <f t="shared" si="2"/>
        <v>0</v>
      </c>
      <c r="M36" s="30"/>
      <c r="O36" s="27"/>
    </row>
    <row r="37" spans="1:15" x14ac:dyDescent="0.25">
      <c r="A37" s="20">
        <f t="shared" si="1"/>
        <v>2023</v>
      </c>
      <c r="B37" s="26">
        <f>LOOKUP(A37,'Disposal&amp;LFG Recovery-wells'!A39:A138,'Disposal&amp;LFG Recovery-wells'!B39:B138)*1.1023</f>
        <v>0</v>
      </c>
      <c r="C37" s="27">
        <f t="shared" si="3"/>
        <v>7605021.2290000003</v>
      </c>
      <c r="D37" s="28">
        <f t="shared" ref="D37:G68" si="4">$B37*D$2</f>
        <v>0</v>
      </c>
      <c r="E37" s="28">
        <f t="shared" si="4"/>
        <v>0</v>
      </c>
      <c r="F37" s="28">
        <f t="shared" si="4"/>
        <v>0</v>
      </c>
      <c r="G37" s="28">
        <f t="shared" si="4"/>
        <v>0</v>
      </c>
      <c r="M37" s="30"/>
      <c r="O37" s="27"/>
    </row>
    <row r="38" spans="1:15" x14ac:dyDescent="0.25">
      <c r="A38" s="20">
        <f t="shared" si="1"/>
        <v>2024</v>
      </c>
      <c r="B38" s="26">
        <f>LOOKUP(A38,'Disposal&amp;LFG Recovery-wells'!A40:A139,'Disposal&amp;LFG Recovery-wells'!B40:B139)*1.1023</f>
        <v>0</v>
      </c>
      <c r="C38" s="27">
        <f t="shared" si="3"/>
        <v>7605021.2290000003</v>
      </c>
      <c r="D38" s="28">
        <f t="shared" si="4"/>
        <v>0</v>
      </c>
      <c r="E38" s="28">
        <f t="shared" si="4"/>
        <v>0</v>
      </c>
      <c r="F38" s="28">
        <f t="shared" si="4"/>
        <v>0</v>
      </c>
      <c r="G38" s="28">
        <f t="shared" si="4"/>
        <v>0</v>
      </c>
      <c r="M38" s="30"/>
      <c r="O38" s="27"/>
    </row>
    <row r="39" spans="1:15" x14ac:dyDescent="0.25">
      <c r="A39" s="20">
        <f t="shared" si="1"/>
        <v>2025</v>
      </c>
      <c r="B39" s="26">
        <f>LOOKUP(A39,'Disposal&amp;LFG Recovery-wells'!A41:A140,'Disposal&amp;LFG Recovery-wells'!B41:B140)*1.1023</f>
        <v>0</v>
      </c>
      <c r="C39" s="27">
        <f t="shared" si="3"/>
        <v>7605021.2290000003</v>
      </c>
      <c r="D39" s="28">
        <f t="shared" si="4"/>
        <v>0</v>
      </c>
      <c r="E39" s="28">
        <f t="shared" si="4"/>
        <v>0</v>
      </c>
      <c r="F39" s="28">
        <f t="shared" si="4"/>
        <v>0</v>
      </c>
      <c r="G39" s="28">
        <f t="shared" si="4"/>
        <v>0</v>
      </c>
      <c r="M39" s="30"/>
      <c r="O39" s="27"/>
    </row>
    <row r="40" spans="1:15" x14ac:dyDescent="0.25">
      <c r="A40" s="20">
        <f t="shared" si="1"/>
        <v>2026</v>
      </c>
      <c r="B40" s="26">
        <f>LOOKUP(A40,'Disposal&amp;LFG Recovery-wells'!A42:A141,'Disposal&amp;LFG Recovery-wells'!B42:B141)*1.1023</f>
        <v>0</v>
      </c>
      <c r="C40" s="27">
        <f t="shared" si="3"/>
        <v>7605021.2290000003</v>
      </c>
      <c r="D40" s="28">
        <f t="shared" si="4"/>
        <v>0</v>
      </c>
      <c r="E40" s="28">
        <f t="shared" si="4"/>
        <v>0</v>
      </c>
      <c r="F40" s="28">
        <f t="shared" si="4"/>
        <v>0</v>
      </c>
      <c r="G40" s="28">
        <f t="shared" si="4"/>
        <v>0</v>
      </c>
      <c r="M40" s="30"/>
      <c r="O40" s="27"/>
    </row>
    <row r="41" spans="1:15" x14ac:dyDescent="0.25">
      <c r="A41" s="20">
        <f t="shared" si="1"/>
        <v>2027</v>
      </c>
      <c r="B41" s="26">
        <f>LOOKUP(A41,'Disposal&amp;LFG Recovery-wells'!A43:A142,'Disposal&amp;LFG Recovery-wells'!B43:B142)*1.1023</f>
        <v>0</v>
      </c>
      <c r="C41" s="27">
        <f t="shared" si="3"/>
        <v>7605021.2290000003</v>
      </c>
      <c r="D41" s="28">
        <f t="shared" si="4"/>
        <v>0</v>
      </c>
      <c r="E41" s="28">
        <f t="shared" si="4"/>
        <v>0</v>
      </c>
      <c r="F41" s="28">
        <f t="shared" si="4"/>
        <v>0</v>
      </c>
      <c r="G41" s="28">
        <f t="shared" si="4"/>
        <v>0</v>
      </c>
      <c r="O41" s="27"/>
    </row>
    <row r="42" spans="1:15" x14ac:dyDescent="0.25">
      <c r="A42" s="20">
        <f t="shared" si="1"/>
        <v>2028</v>
      </c>
      <c r="B42" s="26">
        <f>LOOKUP(A42,'Disposal&amp;LFG Recovery-wells'!A44:A143,'Disposal&amp;LFG Recovery-wells'!B44:B143)*1.1023</f>
        <v>0</v>
      </c>
      <c r="C42" s="27">
        <f t="shared" si="3"/>
        <v>7605021.2290000003</v>
      </c>
      <c r="D42" s="28">
        <f t="shared" si="4"/>
        <v>0</v>
      </c>
      <c r="E42" s="28">
        <f t="shared" si="4"/>
        <v>0</v>
      </c>
      <c r="F42" s="28">
        <f t="shared" si="4"/>
        <v>0</v>
      </c>
      <c r="G42" s="28">
        <f t="shared" si="4"/>
        <v>0</v>
      </c>
    </row>
    <row r="43" spans="1:15" x14ac:dyDescent="0.25">
      <c r="A43" s="20">
        <f t="shared" si="1"/>
        <v>2029</v>
      </c>
      <c r="B43" s="26">
        <f>LOOKUP(A43,'Disposal&amp;LFG Recovery-wells'!A45:A144,'Disposal&amp;LFG Recovery-wells'!B45:B144)*1.1023</f>
        <v>0</v>
      </c>
      <c r="C43" s="27">
        <f t="shared" si="3"/>
        <v>7605021.2290000003</v>
      </c>
      <c r="D43" s="28">
        <f t="shared" si="4"/>
        <v>0</v>
      </c>
      <c r="E43" s="28">
        <f t="shared" si="4"/>
        <v>0</v>
      </c>
      <c r="F43" s="28">
        <f t="shared" si="4"/>
        <v>0</v>
      </c>
      <c r="G43" s="28">
        <f t="shared" si="4"/>
        <v>0</v>
      </c>
    </row>
    <row r="44" spans="1:15" x14ac:dyDescent="0.25">
      <c r="A44" s="20">
        <f t="shared" si="1"/>
        <v>2030</v>
      </c>
      <c r="B44" s="26">
        <f>LOOKUP(A44,'Disposal&amp;LFG Recovery-wells'!A46:A145,'Disposal&amp;LFG Recovery-wells'!B46:B145)*1.1023</f>
        <v>0</v>
      </c>
      <c r="C44" s="27">
        <f t="shared" si="3"/>
        <v>7605021.2290000003</v>
      </c>
      <c r="D44" s="28">
        <f t="shared" si="4"/>
        <v>0</v>
      </c>
      <c r="E44" s="28">
        <f t="shared" si="4"/>
        <v>0</v>
      </c>
      <c r="F44" s="28">
        <f t="shared" si="4"/>
        <v>0</v>
      </c>
      <c r="G44" s="28">
        <f t="shared" si="4"/>
        <v>0</v>
      </c>
    </row>
    <row r="45" spans="1:15" x14ac:dyDescent="0.25">
      <c r="A45" s="20">
        <f t="shared" si="1"/>
        <v>2031</v>
      </c>
      <c r="B45" s="26">
        <f>LOOKUP(A45,'Disposal&amp;LFG Recovery-wells'!A47:A146,'Disposal&amp;LFG Recovery-wells'!B47:B146)*1.1023</f>
        <v>0</v>
      </c>
      <c r="C45" s="27">
        <f t="shared" si="3"/>
        <v>7605021.2290000003</v>
      </c>
      <c r="D45" s="28">
        <f t="shared" si="4"/>
        <v>0</v>
      </c>
      <c r="E45" s="28">
        <f t="shared" si="4"/>
        <v>0</v>
      </c>
      <c r="F45" s="28">
        <f t="shared" si="4"/>
        <v>0</v>
      </c>
      <c r="G45" s="28">
        <f t="shared" si="4"/>
        <v>0</v>
      </c>
    </row>
    <row r="46" spans="1:15" x14ac:dyDescent="0.25">
      <c r="A46" s="20">
        <f t="shared" si="1"/>
        <v>2032</v>
      </c>
      <c r="B46" s="26">
        <f>LOOKUP(A46,'Disposal&amp;LFG Recovery-wells'!A48:A147,'Disposal&amp;LFG Recovery-wells'!B48:B147)*1.1023</f>
        <v>0</v>
      </c>
      <c r="C46" s="27">
        <f t="shared" si="3"/>
        <v>7605021.2290000003</v>
      </c>
      <c r="D46" s="28">
        <f t="shared" si="4"/>
        <v>0</v>
      </c>
      <c r="E46" s="28">
        <f t="shared" si="4"/>
        <v>0</v>
      </c>
      <c r="F46" s="28">
        <f t="shared" si="4"/>
        <v>0</v>
      </c>
      <c r="G46" s="28">
        <f t="shared" si="4"/>
        <v>0</v>
      </c>
    </row>
    <row r="47" spans="1:15" x14ac:dyDescent="0.25">
      <c r="A47" s="20">
        <f t="shared" si="1"/>
        <v>2033</v>
      </c>
      <c r="B47" s="26">
        <f>LOOKUP(A47,'Disposal&amp;LFG Recovery-wells'!A49:A148,'Disposal&amp;LFG Recovery-wells'!B49:B148)*1.1023</f>
        <v>0</v>
      </c>
      <c r="C47" s="27">
        <f t="shared" si="3"/>
        <v>7605021.2290000003</v>
      </c>
      <c r="D47" s="28">
        <f t="shared" si="4"/>
        <v>0</v>
      </c>
      <c r="E47" s="28">
        <f t="shared" si="4"/>
        <v>0</v>
      </c>
      <c r="F47" s="28">
        <f t="shared" si="4"/>
        <v>0</v>
      </c>
      <c r="G47" s="28">
        <f t="shared" si="4"/>
        <v>0</v>
      </c>
    </row>
    <row r="48" spans="1:15" x14ac:dyDescent="0.25">
      <c r="A48" s="20">
        <f t="shared" si="1"/>
        <v>2034</v>
      </c>
      <c r="B48" s="26">
        <f>LOOKUP(A48,'Disposal&amp;LFG Recovery-wells'!A50:A149,'Disposal&amp;LFG Recovery-wells'!B50:B149)*1.1023</f>
        <v>0</v>
      </c>
      <c r="C48" s="27">
        <f t="shared" si="3"/>
        <v>7605021.2290000003</v>
      </c>
      <c r="D48" s="28">
        <f t="shared" si="4"/>
        <v>0</v>
      </c>
      <c r="E48" s="28">
        <f t="shared" si="4"/>
        <v>0</v>
      </c>
      <c r="F48" s="28">
        <f t="shared" si="4"/>
        <v>0</v>
      </c>
      <c r="G48" s="28">
        <f t="shared" si="4"/>
        <v>0</v>
      </c>
    </row>
    <row r="49" spans="1:7" x14ac:dyDescent="0.25">
      <c r="A49" s="20">
        <f t="shared" si="1"/>
        <v>2035</v>
      </c>
      <c r="B49" s="26">
        <f>LOOKUP(A49,'Disposal&amp;LFG Recovery-wells'!A51:A150,'Disposal&amp;LFG Recovery-wells'!B51:B150)*1.1023</f>
        <v>0</v>
      </c>
      <c r="C49" s="27">
        <f t="shared" si="3"/>
        <v>7605021.2290000003</v>
      </c>
      <c r="D49" s="28">
        <f t="shared" si="4"/>
        <v>0</v>
      </c>
      <c r="E49" s="28">
        <f t="shared" si="4"/>
        <v>0</v>
      </c>
      <c r="F49" s="28">
        <f t="shared" si="4"/>
        <v>0</v>
      </c>
      <c r="G49" s="28">
        <f t="shared" si="4"/>
        <v>0</v>
      </c>
    </row>
    <row r="50" spans="1:7" x14ac:dyDescent="0.25">
      <c r="A50" s="20">
        <f t="shared" si="1"/>
        <v>2036</v>
      </c>
      <c r="B50" s="26">
        <f>LOOKUP(A50,'Disposal&amp;LFG Recovery-wells'!A52:A151,'Disposal&amp;LFG Recovery-wells'!B52:B151)*1.1023</f>
        <v>0</v>
      </c>
      <c r="C50" s="27">
        <f t="shared" si="3"/>
        <v>7605021.2290000003</v>
      </c>
      <c r="D50" s="28">
        <f t="shared" si="4"/>
        <v>0</v>
      </c>
      <c r="E50" s="28">
        <f t="shared" si="4"/>
        <v>0</v>
      </c>
      <c r="F50" s="28">
        <f t="shared" si="4"/>
        <v>0</v>
      </c>
      <c r="G50" s="28">
        <f t="shared" si="4"/>
        <v>0</v>
      </c>
    </row>
    <row r="51" spans="1:7" x14ac:dyDescent="0.25">
      <c r="A51" s="20">
        <f t="shared" si="1"/>
        <v>2037</v>
      </c>
      <c r="B51" s="26">
        <f>LOOKUP(A51,'Disposal&amp;LFG Recovery-wells'!A53:A152,'Disposal&amp;LFG Recovery-wells'!B53:B152)*1.1023</f>
        <v>0</v>
      </c>
      <c r="C51" s="27">
        <f t="shared" si="3"/>
        <v>7605021.2290000003</v>
      </c>
      <c r="D51" s="28">
        <f t="shared" si="4"/>
        <v>0</v>
      </c>
      <c r="E51" s="28">
        <f t="shared" si="4"/>
        <v>0</v>
      </c>
      <c r="F51" s="28">
        <f t="shared" si="4"/>
        <v>0</v>
      </c>
      <c r="G51" s="28">
        <f t="shared" si="4"/>
        <v>0</v>
      </c>
    </row>
    <row r="52" spans="1:7" x14ac:dyDescent="0.25">
      <c r="A52" s="20">
        <f t="shared" si="1"/>
        <v>2038</v>
      </c>
      <c r="B52" s="26">
        <f>LOOKUP(A52,'Disposal&amp;LFG Recovery-wells'!A54:A153,'Disposal&amp;LFG Recovery-wells'!B54:B153)*1.1023</f>
        <v>0</v>
      </c>
      <c r="C52" s="27">
        <f t="shared" si="3"/>
        <v>7605021.2290000003</v>
      </c>
      <c r="D52" s="28">
        <f t="shared" si="4"/>
        <v>0</v>
      </c>
      <c r="E52" s="28">
        <f t="shared" si="4"/>
        <v>0</v>
      </c>
      <c r="F52" s="28">
        <f t="shared" si="4"/>
        <v>0</v>
      </c>
      <c r="G52" s="28">
        <f t="shared" si="4"/>
        <v>0</v>
      </c>
    </row>
    <row r="53" spans="1:7" x14ac:dyDescent="0.25">
      <c r="A53" s="20">
        <f t="shared" si="1"/>
        <v>2039</v>
      </c>
      <c r="B53" s="26">
        <f>LOOKUP(A53,'Disposal&amp;LFG Recovery-wells'!A55:A154,'Disposal&amp;LFG Recovery-wells'!B55:B154)*1.1023</f>
        <v>0</v>
      </c>
      <c r="C53" s="27">
        <f t="shared" si="3"/>
        <v>7605021.2290000003</v>
      </c>
      <c r="D53" s="28">
        <f t="shared" si="4"/>
        <v>0</v>
      </c>
      <c r="E53" s="28">
        <f t="shared" si="4"/>
        <v>0</v>
      </c>
      <c r="F53" s="28">
        <f t="shared" si="4"/>
        <v>0</v>
      </c>
      <c r="G53" s="28">
        <f t="shared" si="4"/>
        <v>0</v>
      </c>
    </row>
    <row r="54" spans="1:7" x14ac:dyDescent="0.25">
      <c r="A54" s="20">
        <f t="shared" si="1"/>
        <v>2040</v>
      </c>
      <c r="B54" s="26">
        <f>LOOKUP(A54,'Disposal&amp;LFG Recovery-wells'!A56:A155,'Disposal&amp;LFG Recovery-wells'!B56:B155)*1.1023</f>
        <v>0</v>
      </c>
      <c r="C54" s="27">
        <f t="shared" si="3"/>
        <v>7605021.2290000003</v>
      </c>
      <c r="D54" s="28">
        <f t="shared" si="4"/>
        <v>0</v>
      </c>
      <c r="E54" s="28">
        <f t="shared" si="4"/>
        <v>0</v>
      </c>
      <c r="F54" s="28">
        <f t="shared" si="4"/>
        <v>0</v>
      </c>
      <c r="G54" s="28">
        <f t="shared" si="4"/>
        <v>0</v>
      </c>
    </row>
    <row r="55" spans="1:7" x14ac:dyDescent="0.25">
      <c r="A55" s="20">
        <f t="shared" si="1"/>
        <v>2041</v>
      </c>
      <c r="B55" s="26">
        <f>LOOKUP(A55,'Disposal&amp;LFG Recovery-wells'!A57:A156,'Disposal&amp;LFG Recovery-wells'!B57:B156)*1.1023</f>
        <v>0</v>
      </c>
      <c r="C55" s="27">
        <f t="shared" si="3"/>
        <v>7605021.2290000003</v>
      </c>
      <c r="D55" s="28">
        <f t="shared" si="4"/>
        <v>0</v>
      </c>
      <c r="E55" s="28">
        <f t="shared" si="4"/>
        <v>0</v>
      </c>
      <c r="F55" s="28">
        <f t="shared" si="4"/>
        <v>0</v>
      </c>
      <c r="G55" s="28">
        <f t="shared" si="4"/>
        <v>0</v>
      </c>
    </row>
    <row r="56" spans="1:7" x14ac:dyDescent="0.25">
      <c r="A56" s="20">
        <f t="shared" si="1"/>
        <v>2042</v>
      </c>
      <c r="B56" s="26">
        <f>LOOKUP(A56,'Disposal&amp;LFG Recovery-wells'!A58:A157,'Disposal&amp;LFG Recovery-wells'!B58:B157)*1.1023</f>
        <v>0</v>
      </c>
      <c r="C56" s="27">
        <f t="shared" si="3"/>
        <v>7605021.2290000003</v>
      </c>
      <c r="D56" s="28">
        <f t="shared" si="4"/>
        <v>0</v>
      </c>
      <c r="E56" s="28">
        <f t="shared" si="4"/>
        <v>0</v>
      </c>
      <c r="F56" s="28">
        <f t="shared" si="4"/>
        <v>0</v>
      </c>
      <c r="G56" s="28">
        <f t="shared" si="4"/>
        <v>0</v>
      </c>
    </row>
    <row r="57" spans="1:7" x14ac:dyDescent="0.25">
      <c r="A57" s="20">
        <f t="shared" si="1"/>
        <v>2043</v>
      </c>
      <c r="B57" s="26">
        <f>LOOKUP(A57,'Disposal&amp;LFG Recovery-wells'!A59:A158,'Disposal&amp;LFG Recovery-wells'!B59:B158)*1.1023</f>
        <v>0</v>
      </c>
      <c r="C57" s="27">
        <f t="shared" si="3"/>
        <v>7605021.2290000003</v>
      </c>
      <c r="D57" s="28">
        <f t="shared" si="4"/>
        <v>0</v>
      </c>
      <c r="E57" s="28">
        <f t="shared" si="4"/>
        <v>0</v>
      </c>
      <c r="F57" s="28">
        <f t="shared" si="4"/>
        <v>0</v>
      </c>
      <c r="G57" s="28">
        <f t="shared" si="4"/>
        <v>0</v>
      </c>
    </row>
    <row r="58" spans="1:7" x14ac:dyDescent="0.25">
      <c r="A58" s="20">
        <f t="shared" si="1"/>
        <v>2044</v>
      </c>
      <c r="B58" s="26">
        <f>LOOKUP(A58,'Disposal&amp;LFG Recovery-wells'!A60:A159,'Disposal&amp;LFG Recovery-wells'!B60:B159)*1.1023</f>
        <v>0</v>
      </c>
      <c r="C58" s="27">
        <f t="shared" si="3"/>
        <v>7605021.2290000003</v>
      </c>
      <c r="D58" s="28">
        <f t="shared" si="4"/>
        <v>0</v>
      </c>
      <c r="E58" s="28">
        <f t="shared" si="4"/>
        <v>0</v>
      </c>
      <c r="F58" s="28">
        <f t="shared" si="4"/>
        <v>0</v>
      </c>
      <c r="G58" s="28">
        <f t="shared" si="4"/>
        <v>0</v>
      </c>
    </row>
    <row r="59" spans="1:7" x14ac:dyDescent="0.25">
      <c r="A59" s="20">
        <f t="shared" si="1"/>
        <v>2045</v>
      </c>
      <c r="B59" s="26">
        <f>LOOKUP(A59,'Disposal&amp;LFG Recovery-wells'!A61:A160,'Disposal&amp;LFG Recovery-wells'!B61:B160)*1.1023</f>
        <v>0</v>
      </c>
      <c r="C59" s="27">
        <f t="shared" si="3"/>
        <v>7605021.2290000003</v>
      </c>
      <c r="D59" s="28">
        <f t="shared" si="4"/>
        <v>0</v>
      </c>
      <c r="E59" s="28">
        <f t="shared" si="4"/>
        <v>0</v>
      </c>
      <c r="F59" s="28">
        <f t="shared" si="4"/>
        <v>0</v>
      </c>
      <c r="G59" s="28">
        <f t="shared" si="4"/>
        <v>0</v>
      </c>
    </row>
    <row r="60" spans="1:7" x14ac:dyDescent="0.25">
      <c r="A60" s="20">
        <f t="shared" si="1"/>
        <v>2046</v>
      </c>
      <c r="B60" s="26">
        <f>LOOKUP(A60,'Disposal&amp;LFG Recovery-wells'!A62:A161,'Disposal&amp;LFG Recovery-wells'!B62:B161)*1.1023</f>
        <v>0</v>
      </c>
      <c r="C60" s="27">
        <f t="shared" si="3"/>
        <v>7605021.2290000003</v>
      </c>
      <c r="D60" s="28">
        <f t="shared" si="4"/>
        <v>0</v>
      </c>
      <c r="E60" s="28">
        <f t="shared" si="4"/>
        <v>0</v>
      </c>
      <c r="F60" s="28">
        <f t="shared" si="4"/>
        <v>0</v>
      </c>
      <c r="G60" s="28">
        <f t="shared" si="4"/>
        <v>0</v>
      </c>
    </row>
    <row r="61" spans="1:7" x14ac:dyDescent="0.25">
      <c r="A61" s="20">
        <f t="shared" si="1"/>
        <v>2047</v>
      </c>
      <c r="B61" s="26">
        <f>LOOKUP(A61,'Disposal&amp;LFG Recovery-wells'!A63:A162,'Disposal&amp;LFG Recovery-wells'!B63:B162)*1.1023</f>
        <v>0</v>
      </c>
      <c r="C61" s="27">
        <f t="shared" si="3"/>
        <v>7605021.2290000003</v>
      </c>
      <c r="D61" s="28">
        <f t="shared" si="4"/>
        <v>0</v>
      </c>
      <c r="E61" s="28">
        <f t="shared" si="4"/>
        <v>0</v>
      </c>
      <c r="F61" s="28">
        <f t="shared" si="4"/>
        <v>0</v>
      </c>
      <c r="G61" s="28">
        <f t="shared" si="4"/>
        <v>0</v>
      </c>
    </row>
    <row r="62" spans="1:7" x14ac:dyDescent="0.25">
      <c r="A62" s="20">
        <f t="shared" si="1"/>
        <v>2048</v>
      </c>
      <c r="B62" s="26">
        <f>LOOKUP(A62,'Disposal&amp;LFG Recovery-wells'!A64:A163,'Disposal&amp;LFG Recovery-wells'!B64:B163)*1.1023</f>
        <v>0</v>
      </c>
      <c r="C62" s="27">
        <f t="shared" si="3"/>
        <v>7605021.2290000003</v>
      </c>
      <c r="D62" s="28">
        <f t="shared" si="4"/>
        <v>0</v>
      </c>
      <c r="E62" s="28">
        <f t="shared" si="4"/>
        <v>0</v>
      </c>
      <c r="F62" s="28">
        <f t="shared" si="4"/>
        <v>0</v>
      </c>
      <c r="G62" s="28">
        <f t="shared" si="4"/>
        <v>0</v>
      </c>
    </row>
    <row r="63" spans="1:7" x14ac:dyDescent="0.25">
      <c r="A63" s="20">
        <f t="shared" si="1"/>
        <v>2049</v>
      </c>
      <c r="B63" s="26">
        <f>LOOKUP(A63,'Disposal&amp;LFG Recovery-wells'!A65:A164,'Disposal&amp;LFG Recovery-wells'!B65:B164)*1.1023</f>
        <v>0</v>
      </c>
      <c r="C63" s="27">
        <f t="shared" si="3"/>
        <v>7605021.2290000003</v>
      </c>
      <c r="D63" s="28">
        <f t="shared" si="4"/>
        <v>0</v>
      </c>
      <c r="E63" s="28">
        <f t="shared" si="4"/>
        <v>0</v>
      </c>
      <c r="F63" s="28">
        <f t="shared" si="4"/>
        <v>0</v>
      </c>
      <c r="G63" s="28">
        <f t="shared" si="4"/>
        <v>0</v>
      </c>
    </row>
    <row r="64" spans="1:7" x14ac:dyDescent="0.25">
      <c r="A64" s="20">
        <f t="shared" si="1"/>
        <v>2050</v>
      </c>
      <c r="B64" s="26">
        <f>LOOKUP(A64,'Disposal&amp;LFG Recovery-wells'!A66:A165,'Disposal&amp;LFG Recovery-wells'!B66:B165)*1.1023</f>
        <v>0</v>
      </c>
      <c r="C64" s="27">
        <f t="shared" si="3"/>
        <v>7605021.2290000003</v>
      </c>
      <c r="D64" s="28">
        <f t="shared" si="4"/>
        <v>0</v>
      </c>
      <c r="E64" s="28">
        <f t="shared" si="4"/>
        <v>0</v>
      </c>
      <c r="F64" s="28">
        <f t="shared" si="4"/>
        <v>0</v>
      </c>
      <c r="G64" s="28">
        <f t="shared" si="4"/>
        <v>0</v>
      </c>
    </row>
    <row r="65" spans="1:7" x14ac:dyDescent="0.25">
      <c r="A65" s="20">
        <f t="shared" si="1"/>
        <v>2051</v>
      </c>
      <c r="B65" s="26">
        <f>LOOKUP(A65,'Disposal&amp;LFG Recovery-wells'!A67:A166,'Disposal&amp;LFG Recovery-wells'!B67:B166)*1.1023</f>
        <v>0</v>
      </c>
      <c r="C65" s="27">
        <f t="shared" si="3"/>
        <v>7605021.2290000003</v>
      </c>
      <c r="D65" s="28">
        <f t="shared" si="4"/>
        <v>0</v>
      </c>
      <c r="E65" s="28">
        <f t="shared" si="4"/>
        <v>0</v>
      </c>
      <c r="F65" s="28">
        <f t="shared" si="4"/>
        <v>0</v>
      </c>
      <c r="G65" s="28">
        <f t="shared" si="4"/>
        <v>0</v>
      </c>
    </row>
    <row r="66" spans="1:7" x14ac:dyDescent="0.25">
      <c r="A66" s="20">
        <f t="shared" si="1"/>
        <v>2052</v>
      </c>
      <c r="B66" s="26">
        <f>LOOKUP(A66,'Disposal&amp;LFG Recovery-wells'!A68:A167,'Disposal&amp;LFG Recovery-wells'!B68:B167)*1.1023</f>
        <v>0</v>
      </c>
      <c r="C66" s="27">
        <f t="shared" si="3"/>
        <v>7605021.2290000003</v>
      </c>
      <c r="D66" s="28">
        <f t="shared" si="4"/>
        <v>0</v>
      </c>
      <c r="E66" s="28">
        <f t="shared" si="4"/>
        <v>0</v>
      </c>
      <c r="F66" s="28">
        <f t="shared" si="4"/>
        <v>0</v>
      </c>
      <c r="G66" s="28">
        <f t="shared" si="4"/>
        <v>0</v>
      </c>
    </row>
    <row r="67" spans="1:7" x14ac:dyDescent="0.25">
      <c r="A67" s="20">
        <f t="shared" si="1"/>
        <v>2053</v>
      </c>
      <c r="B67" s="26">
        <f>LOOKUP(A67,'Disposal&amp;LFG Recovery-wells'!A69:A168,'Disposal&amp;LFG Recovery-wells'!B69:B168)*1.1023</f>
        <v>0</v>
      </c>
      <c r="C67" s="27">
        <f t="shared" si="3"/>
        <v>7605021.2290000003</v>
      </c>
      <c r="D67" s="28">
        <f t="shared" si="4"/>
        <v>0</v>
      </c>
      <c r="E67" s="28">
        <f t="shared" si="4"/>
        <v>0</v>
      </c>
      <c r="F67" s="28">
        <f t="shared" si="4"/>
        <v>0</v>
      </c>
      <c r="G67" s="28">
        <f t="shared" si="4"/>
        <v>0</v>
      </c>
    </row>
    <row r="68" spans="1:7" x14ac:dyDescent="0.25">
      <c r="A68" s="20">
        <f t="shared" si="1"/>
        <v>2054</v>
      </c>
      <c r="B68" s="26">
        <f>LOOKUP(A68,'Disposal&amp;LFG Recovery-wells'!A70:A169,'Disposal&amp;LFG Recovery-wells'!B70:B169)*1.1023</f>
        <v>0</v>
      </c>
      <c r="C68" s="27">
        <f t="shared" si="3"/>
        <v>7605021.2290000003</v>
      </c>
      <c r="D68" s="28">
        <f t="shared" si="4"/>
        <v>0</v>
      </c>
      <c r="E68" s="28">
        <f t="shared" si="4"/>
        <v>0</v>
      </c>
      <c r="F68" s="28">
        <f t="shared" si="4"/>
        <v>0</v>
      </c>
      <c r="G68" s="28">
        <f t="shared" si="4"/>
        <v>0</v>
      </c>
    </row>
    <row r="69" spans="1:7" x14ac:dyDescent="0.25">
      <c r="A69" s="20">
        <f t="shared" ref="A69:A103" si="5">A68+1</f>
        <v>2055</v>
      </c>
      <c r="B69" s="26">
        <f>LOOKUP(A69,'Disposal&amp;LFG Recovery-wells'!A71:A170,'Disposal&amp;LFG Recovery-wells'!B71:B170)*1.1023</f>
        <v>0</v>
      </c>
      <c r="C69" s="27">
        <f t="shared" si="3"/>
        <v>7605021.2290000003</v>
      </c>
      <c r="D69" s="28">
        <f t="shared" ref="D69:G103" si="6">$B69*D$2</f>
        <v>0</v>
      </c>
      <c r="E69" s="28">
        <f t="shared" si="6"/>
        <v>0</v>
      </c>
      <c r="F69" s="28">
        <f t="shared" si="6"/>
        <v>0</v>
      </c>
      <c r="G69" s="28">
        <f t="shared" si="6"/>
        <v>0</v>
      </c>
    </row>
    <row r="70" spans="1:7" x14ac:dyDescent="0.25">
      <c r="A70" s="20">
        <f t="shared" si="5"/>
        <v>2056</v>
      </c>
      <c r="B70" s="26">
        <f>LOOKUP(A70,'Disposal&amp;LFG Recovery-wells'!A72:A171,'Disposal&amp;LFG Recovery-wells'!B72:B171)*1.1023</f>
        <v>0</v>
      </c>
      <c r="C70" s="27">
        <f t="shared" ref="C70:C103" si="7">C69+B70</f>
        <v>7605021.2290000003</v>
      </c>
      <c r="D70" s="28">
        <f t="shared" si="6"/>
        <v>0</v>
      </c>
      <c r="E70" s="28">
        <f t="shared" si="6"/>
        <v>0</v>
      </c>
      <c r="F70" s="28">
        <f t="shared" si="6"/>
        <v>0</v>
      </c>
      <c r="G70" s="28">
        <f t="shared" si="6"/>
        <v>0</v>
      </c>
    </row>
    <row r="71" spans="1:7" x14ac:dyDescent="0.25">
      <c r="A71" s="20">
        <f t="shared" si="5"/>
        <v>2057</v>
      </c>
      <c r="B71" s="26">
        <f>LOOKUP(A71,'Disposal&amp;LFG Recovery-wells'!A73:A172,'Disposal&amp;LFG Recovery-wells'!B73:B172)*1.1023</f>
        <v>0</v>
      </c>
      <c r="C71" s="27">
        <f t="shared" si="7"/>
        <v>7605021.2290000003</v>
      </c>
      <c r="D71" s="28">
        <f t="shared" si="6"/>
        <v>0</v>
      </c>
      <c r="E71" s="28">
        <f t="shared" si="6"/>
        <v>0</v>
      </c>
      <c r="F71" s="28">
        <f t="shared" si="6"/>
        <v>0</v>
      </c>
      <c r="G71" s="28">
        <f t="shared" si="6"/>
        <v>0</v>
      </c>
    </row>
    <row r="72" spans="1:7" x14ac:dyDescent="0.25">
      <c r="A72" s="20">
        <f t="shared" si="5"/>
        <v>2058</v>
      </c>
      <c r="B72" s="26">
        <f>LOOKUP(A72,'Disposal&amp;LFG Recovery-wells'!A74:A173,'Disposal&amp;LFG Recovery-wells'!B74:B173)*1.1023</f>
        <v>0</v>
      </c>
      <c r="C72" s="27">
        <f t="shared" si="7"/>
        <v>7605021.2290000003</v>
      </c>
      <c r="D72" s="28">
        <f t="shared" si="6"/>
        <v>0</v>
      </c>
      <c r="E72" s="28">
        <f t="shared" si="6"/>
        <v>0</v>
      </c>
      <c r="F72" s="28">
        <f t="shared" si="6"/>
        <v>0</v>
      </c>
      <c r="G72" s="28">
        <f t="shared" si="6"/>
        <v>0</v>
      </c>
    </row>
    <row r="73" spans="1:7" x14ac:dyDescent="0.25">
      <c r="A73" s="20">
        <f t="shared" si="5"/>
        <v>2059</v>
      </c>
      <c r="B73" s="26">
        <f>LOOKUP(A73,'Disposal&amp;LFG Recovery-wells'!A75:A174,'Disposal&amp;LFG Recovery-wells'!B75:B174)*1.1023</f>
        <v>0</v>
      </c>
      <c r="C73" s="27">
        <f t="shared" si="7"/>
        <v>7605021.2290000003</v>
      </c>
      <c r="D73" s="28">
        <f t="shared" si="6"/>
        <v>0</v>
      </c>
      <c r="E73" s="28">
        <f t="shared" si="6"/>
        <v>0</v>
      </c>
      <c r="F73" s="28">
        <f t="shared" si="6"/>
        <v>0</v>
      </c>
      <c r="G73" s="28">
        <f t="shared" si="6"/>
        <v>0</v>
      </c>
    </row>
    <row r="74" spans="1:7" x14ac:dyDescent="0.25">
      <c r="A74" s="20">
        <f t="shared" si="5"/>
        <v>2060</v>
      </c>
      <c r="B74" s="26">
        <f>LOOKUP(A74,'Disposal&amp;LFG Recovery-wells'!A76:A175,'Disposal&amp;LFG Recovery-wells'!B76:B175)*1.1023</f>
        <v>0</v>
      </c>
      <c r="C74" s="27">
        <f t="shared" si="7"/>
        <v>7605021.2290000003</v>
      </c>
      <c r="D74" s="28">
        <f t="shared" si="6"/>
        <v>0</v>
      </c>
      <c r="E74" s="28">
        <f t="shared" si="6"/>
        <v>0</v>
      </c>
      <c r="F74" s="28">
        <f t="shared" si="6"/>
        <v>0</v>
      </c>
      <c r="G74" s="28">
        <f t="shared" si="6"/>
        <v>0</v>
      </c>
    </row>
    <row r="75" spans="1:7" x14ac:dyDescent="0.25">
      <c r="A75" s="20">
        <f t="shared" si="5"/>
        <v>2061</v>
      </c>
      <c r="B75" s="26">
        <f>LOOKUP(A75,'Disposal&amp;LFG Recovery-wells'!A77:A176,'Disposal&amp;LFG Recovery-wells'!B77:B176)*1.1023</f>
        <v>0</v>
      </c>
      <c r="C75" s="27">
        <f t="shared" si="7"/>
        <v>7605021.2290000003</v>
      </c>
      <c r="D75" s="28">
        <f t="shared" si="6"/>
        <v>0</v>
      </c>
      <c r="E75" s="28">
        <f t="shared" si="6"/>
        <v>0</v>
      </c>
      <c r="F75" s="28">
        <f t="shared" si="6"/>
        <v>0</v>
      </c>
      <c r="G75" s="28">
        <f t="shared" si="6"/>
        <v>0</v>
      </c>
    </row>
    <row r="76" spans="1:7" x14ac:dyDescent="0.25">
      <c r="A76" s="20">
        <f t="shared" si="5"/>
        <v>2062</v>
      </c>
      <c r="B76" s="26">
        <f>LOOKUP(A76,'Disposal&amp;LFG Recovery-wells'!A78:A177,'Disposal&amp;LFG Recovery-wells'!B78:B177)*1.1023</f>
        <v>0</v>
      </c>
      <c r="C76" s="27">
        <f t="shared" si="7"/>
        <v>7605021.2290000003</v>
      </c>
      <c r="D76" s="28">
        <f t="shared" si="6"/>
        <v>0</v>
      </c>
      <c r="E76" s="28">
        <f t="shared" si="6"/>
        <v>0</v>
      </c>
      <c r="F76" s="28">
        <f t="shared" si="6"/>
        <v>0</v>
      </c>
      <c r="G76" s="28">
        <f t="shared" si="6"/>
        <v>0</v>
      </c>
    </row>
    <row r="77" spans="1:7" x14ac:dyDescent="0.25">
      <c r="A77" s="20">
        <f t="shared" si="5"/>
        <v>2063</v>
      </c>
      <c r="B77" s="26">
        <f>LOOKUP(A77,'Disposal&amp;LFG Recovery-wells'!A79:A178,'Disposal&amp;LFG Recovery-wells'!B79:B178)*1.1023</f>
        <v>0</v>
      </c>
      <c r="C77" s="27">
        <f t="shared" si="7"/>
        <v>7605021.2290000003</v>
      </c>
      <c r="D77" s="28">
        <f t="shared" si="6"/>
        <v>0</v>
      </c>
      <c r="E77" s="28">
        <f t="shared" si="6"/>
        <v>0</v>
      </c>
      <c r="F77" s="28">
        <f t="shared" si="6"/>
        <v>0</v>
      </c>
      <c r="G77" s="28">
        <f t="shared" si="6"/>
        <v>0</v>
      </c>
    </row>
    <row r="78" spans="1:7" x14ac:dyDescent="0.25">
      <c r="A78" s="20">
        <f t="shared" si="5"/>
        <v>2064</v>
      </c>
      <c r="B78" s="26">
        <f>LOOKUP(A78,'Disposal&amp;LFG Recovery-wells'!A80:A179,'Disposal&amp;LFG Recovery-wells'!B80:B179)*1.1023</f>
        <v>0</v>
      </c>
      <c r="C78" s="27">
        <f t="shared" si="7"/>
        <v>7605021.2290000003</v>
      </c>
      <c r="D78" s="28">
        <f t="shared" si="6"/>
        <v>0</v>
      </c>
      <c r="E78" s="28">
        <f t="shared" si="6"/>
        <v>0</v>
      </c>
      <c r="F78" s="28">
        <f t="shared" si="6"/>
        <v>0</v>
      </c>
      <c r="G78" s="28">
        <f t="shared" si="6"/>
        <v>0</v>
      </c>
    </row>
    <row r="79" spans="1:7" x14ac:dyDescent="0.25">
      <c r="A79" s="20">
        <f t="shared" si="5"/>
        <v>2065</v>
      </c>
      <c r="B79" s="26">
        <f>LOOKUP(A79,'Disposal&amp;LFG Recovery-wells'!A81:A180,'Disposal&amp;LFG Recovery-wells'!B81:B180)*1.1023</f>
        <v>0</v>
      </c>
      <c r="C79" s="27">
        <f t="shared" si="7"/>
        <v>7605021.2290000003</v>
      </c>
      <c r="D79" s="28">
        <f t="shared" si="6"/>
        <v>0</v>
      </c>
      <c r="E79" s="28">
        <f t="shared" si="6"/>
        <v>0</v>
      </c>
      <c r="F79" s="28">
        <f t="shared" si="6"/>
        <v>0</v>
      </c>
      <c r="G79" s="28">
        <f t="shared" si="6"/>
        <v>0</v>
      </c>
    </row>
    <row r="80" spans="1:7" x14ac:dyDescent="0.25">
      <c r="A80" s="20">
        <f t="shared" si="5"/>
        <v>2066</v>
      </c>
      <c r="B80" s="26">
        <f>LOOKUP(A80,'Disposal&amp;LFG Recovery-wells'!A82:A181,'Disposal&amp;LFG Recovery-wells'!B82:B181)*1.1023</f>
        <v>0</v>
      </c>
      <c r="C80" s="27">
        <f t="shared" si="7"/>
        <v>7605021.2290000003</v>
      </c>
      <c r="D80" s="28">
        <f t="shared" si="6"/>
        <v>0</v>
      </c>
      <c r="E80" s="28">
        <f t="shared" si="6"/>
        <v>0</v>
      </c>
      <c r="F80" s="28">
        <f t="shared" si="6"/>
        <v>0</v>
      </c>
      <c r="G80" s="28">
        <f t="shared" si="6"/>
        <v>0</v>
      </c>
    </row>
    <row r="81" spans="1:8" x14ac:dyDescent="0.25">
      <c r="A81" s="20">
        <f t="shared" si="5"/>
        <v>2067</v>
      </c>
      <c r="B81" s="26">
        <f>LOOKUP(A81,'Disposal&amp;LFG Recovery-wells'!A83:A182,'Disposal&amp;LFG Recovery-wells'!B83:B182)*1.1023</f>
        <v>0</v>
      </c>
      <c r="C81" s="27">
        <f t="shared" si="7"/>
        <v>7605021.2290000003</v>
      </c>
      <c r="D81" s="28">
        <f t="shared" si="6"/>
        <v>0</v>
      </c>
      <c r="E81" s="28">
        <f t="shared" si="6"/>
        <v>0</v>
      </c>
      <c r="F81" s="28">
        <f t="shared" si="6"/>
        <v>0</v>
      </c>
      <c r="G81" s="28">
        <f t="shared" si="6"/>
        <v>0</v>
      </c>
    </row>
    <row r="82" spans="1:8" x14ac:dyDescent="0.25">
      <c r="A82" s="20">
        <f t="shared" si="5"/>
        <v>2068</v>
      </c>
      <c r="B82" s="26">
        <f>LOOKUP(A82,'Disposal&amp;LFG Recovery-wells'!A84:A183,'Disposal&amp;LFG Recovery-wells'!B84:B183)*1.1023</f>
        <v>0</v>
      </c>
      <c r="C82" s="27">
        <f t="shared" si="7"/>
        <v>7605021.2290000003</v>
      </c>
      <c r="D82" s="28">
        <f t="shared" si="6"/>
        <v>0</v>
      </c>
      <c r="E82" s="28">
        <f t="shared" si="6"/>
        <v>0</v>
      </c>
      <c r="F82" s="28">
        <f t="shared" si="6"/>
        <v>0</v>
      </c>
      <c r="G82" s="28">
        <f t="shared" si="6"/>
        <v>0</v>
      </c>
    </row>
    <row r="83" spans="1:8" x14ac:dyDescent="0.25">
      <c r="A83" s="20">
        <f t="shared" si="5"/>
        <v>2069</v>
      </c>
      <c r="B83" s="26">
        <f>LOOKUP(A83,'Disposal&amp;LFG Recovery-wells'!A85:A184,'Disposal&amp;LFG Recovery-wells'!B85:B184)*1.1023</f>
        <v>0</v>
      </c>
      <c r="C83" s="27">
        <f t="shared" si="7"/>
        <v>7605021.2290000003</v>
      </c>
      <c r="D83" s="28">
        <f t="shared" si="6"/>
        <v>0</v>
      </c>
      <c r="E83" s="28">
        <f t="shared" si="6"/>
        <v>0</v>
      </c>
      <c r="F83" s="28">
        <f t="shared" si="6"/>
        <v>0</v>
      </c>
      <c r="G83" s="28">
        <f t="shared" si="6"/>
        <v>0</v>
      </c>
    </row>
    <row r="84" spans="1:8" x14ac:dyDescent="0.25">
      <c r="A84" s="20">
        <f t="shared" si="5"/>
        <v>2070</v>
      </c>
      <c r="B84" s="26">
        <f>LOOKUP(A84,'Disposal&amp;LFG Recovery-wells'!A86:A185,'Disposal&amp;LFG Recovery-wells'!B86:B185)*1.1023</f>
        <v>0</v>
      </c>
      <c r="C84" s="27">
        <f t="shared" si="7"/>
        <v>7605021.2290000003</v>
      </c>
      <c r="D84" s="28">
        <f t="shared" si="6"/>
        <v>0</v>
      </c>
      <c r="E84" s="28">
        <f t="shared" si="6"/>
        <v>0</v>
      </c>
      <c r="F84" s="28">
        <f t="shared" si="6"/>
        <v>0</v>
      </c>
      <c r="G84" s="28">
        <f t="shared" si="6"/>
        <v>0</v>
      </c>
    </row>
    <row r="85" spans="1:8" x14ac:dyDescent="0.25">
      <c r="A85" s="20">
        <f t="shared" si="5"/>
        <v>2071</v>
      </c>
      <c r="B85" s="26">
        <f>LOOKUP(A85,'Disposal&amp;LFG Recovery-wells'!A87:A186,'Disposal&amp;LFG Recovery-wells'!B87:B186)*1.1023</f>
        <v>0</v>
      </c>
      <c r="C85" s="27">
        <f t="shared" si="7"/>
        <v>7605021.2290000003</v>
      </c>
      <c r="D85" s="28">
        <f t="shared" si="6"/>
        <v>0</v>
      </c>
      <c r="E85" s="28">
        <f t="shared" si="6"/>
        <v>0</v>
      </c>
      <c r="F85" s="28">
        <f t="shared" si="6"/>
        <v>0</v>
      </c>
      <c r="G85" s="28">
        <f t="shared" si="6"/>
        <v>0</v>
      </c>
    </row>
    <row r="86" spans="1:8" x14ac:dyDescent="0.25">
      <c r="A86" s="20">
        <f t="shared" si="5"/>
        <v>2072</v>
      </c>
      <c r="B86" s="26">
        <f>LOOKUP(A86,'Disposal&amp;LFG Recovery-wells'!A88:A187,'Disposal&amp;LFG Recovery-wells'!B88:B187)*1.1023</f>
        <v>0</v>
      </c>
      <c r="C86" s="27">
        <f t="shared" si="7"/>
        <v>7605021.2290000003</v>
      </c>
      <c r="D86" s="28">
        <f t="shared" si="6"/>
        <v>0</v>
      </c>
      <c r="E86" s="28">
        <f t="shared" si="6"/>
        <v>0</v>
      </c>
      <c r="F86" s="28">
        <f t="shared" si="6"/>
        <v>0</v>
      </c>
      <c r="G86" s="28">
        <f t="shared" si="6"/>
        <v>0</v>
      </c>
    </row>
    <row r="87" spans="1:8" x14ac:dyDescent="0.25">
      <c r="A87" s="20">
        <f t="shared" si="5"/>
        <v>2073</v>
      </c>
      <c r="B87" s="26">
        <f>LOOKUP(A87,'Disposal&amp;LFG Recovery-wells'!A89:A188,'Disposal&amp;LFG Recovery-wells'!B89:B188)*1.1023</f>
        <v>0</v>
      </c>
      <c r="C87" s="27">
        <f t="shared" si="7"/>
        <v>7605021.2290000003</v>
      </c>
      <c r="D87" s="28">
        <f t="shared" si="6"/>
        <v>0</v>
      </c>
      <c r="E87" s="28">
        <f t="shared" si="6"/>
        <v>0</v>
      </c>
      <c r="F87" s="28">
        <f t="shared" si="6"/>
        <v>0</v>
      </c>
      <c r="G87" s="28">
        <f t="shared" si="6"/>
        <v>0</v>
      </c>
    </row>
    <row r="88" spans="1:8" x14ac:dyDescent="0.25">
      <c r="A88" s="20">
        <f t="shared" si="5"/>
        <v>2074</v>
      </c>
      <c r="B88" s="26">
        <f>LOOKUP(A88,'Disposal&amp;LFG Recovery-wells'!A90:A189,'Disposal&amp;LFG Recovery-wells'!B90:B189)*1.1023</f>
        <v>0</v>
      </c>
      <c r="C88" s="27">
        <f t="shared" si="7"/>
        <v>7605021.2290000003</v>
      </c>
      <c r="D88" s="28">
        <f t="shared" si="6"/>
        <v>0</v>
      </c>
      <c r="E88" s="28">
        <f t="shared" si="6"/>
        <v>0</v>
      </c>
      <c r="F88" s="28">
        <f t="shared" si="6"/>
        <v>0</v>
      </c>
      <c r="G88" s="28">
        <f t="shared" si="6"/>
        <v>0</v>
      </c>
      <c r="H88" s="33"/>
    </row>
    <row r="89" spans="1:8" x14ac:dyDescent="0.25">
      <c r="A89" s="20">
        <f t="shared" si="5"/>
        <v>2075</v>
      </c>
      <c r="B89" s="26">
        <f>LOOKUP(A89,'Disposal&amp;LFG Recovery-wells'!A91:A190,'Disposal&amp;LFG Recovery-wells'!B91:B190)*1.1023</f>
        <v>0</v>
      </c>
      <c r="C89" s="27">
        <f t="shared" si="7"/>
        <v>7605021.2290000003</v>
      </c>
      <c r="D89" s="28">
        <f t="shared" si="6"/>
        <v>0</v>
      </c>
      <c r="E89" s="28">
        <f t="shared" si="6"/>
        <v>0</v>
      </c>
      <c r="F89" s="28">
        <f t="shared" si="6"/>
        <v>0</v>
      </c>
      <c r="G89" s="28">
        <f t="shared" si="6"/>
        <v>0</v>
      </c>
      <c r="H89" s="33"/>
    </row>
    <row r="90" spans="1:8" x14ac:dyDescent="0.25">
      <c r="A90" s="20">
        <f t="shared" si="5"/>
        <v>2076</v>
      </c>
      <c r="B90" s="26">
        <f>LOOKUP(A90,'Disposal&amp;LFG Recovery-wells'!A92:A191,'Disposal&amp;LFG Recovery-wells'!B92:B191)*1.1023</f>
        <v>0</v>
      </c>
      <c r="C90" s="27">
        <f t="shared" si="7"/>
        <v>7605021.2290000003</v>
      </c>
      <c r="D90" s="28">
        <f t="shared" si="6"/>
        <v>0</v>
      </c>
      <c r="E90" s="28">
        <f t="shared" si="6"/>
        <v>0</v>
      </c>
      <c r="F90" s="28">
        <f t="shared" si="6"/>
        <v>0</v>
      </c>
      <c r="G90" s="28">
        <f t="shared" si="6"/>
        <v>0</v>
      </c>
      <c r="H90" s="33"/>
    </row>
    <row r="91" spans="1:8" x14ac:dyDescent="0.25">
      <c r="A91" s="20">
        <f t="shared" si="5"/>
        <v>2077</v>
      </c>
      <c r="B91" s="26">
        <f>LOOKUP(A91,'Disposal&amp;LFG Recovery-wells'!A93:A192,'Disposal&amp;LFG Recovery-wells'!B93:B192)*1.1023</f>
        <v>0</v>
      </c>
      <c r="C91" s="27">
        <f t="shared" si="7"/>
        <v>7605021.2290000003</v>
      </c>
      <c r="D91" s="28">
        <f t="shared" si="6"/>
        <v>0</v>
      </c>
      <c r="E91" s="28">
        <f t="shared" si="6"/>
        <v>0</v>
      </c>
      <c r="F91" s="28">
        <f t="shared" si="6"/>
        <v>0</v>
      </c>
      <c r="G91" s="28">
        <f t="shared" si="6"/>
        <v>0</v>
      </c>
    </row>
    <row r="92" spans="1:8" x14ac:dyDescent="0.25">
      <c r="A92" s="20">
        <f t="shared" si="5"/>
        <v>2078</v>
      </c>
      <c r="B92" s="26">
        <f>LOOKUP(A92,'Disposal&amp;LFG Recovery-wells'!A94:A193,'Disposal&amp;LFG Recovery-wells'!B94:B193)*1.1023</f>
        <v>0</v>
      </c>
      <c r="C92" s="27">
        <f t="shared" si="7"/>
        <v>7605021.2290000003</v>
      </c>
      <c r="D92" s="28">
        <f t="shared" si="6"/>
        <v>0</v>
      </c>
      <c r="E92" s="28">
        <f t="shared" si="6"/>
        <v>0</v>
      </c>
      <c r="F92" s="28">
        <f t="shared" si="6"/>
        <v>0</v>
      </c>
      <c r="G92" s="28">
        <f t="shared" si="6"/>
        <v>0</v>
      </c>
    </row>
    <row r="93" spans="1:8" x14ac:dyDescent="0.25">
      <c r="A93" s="20">
        <f t="shared" si="5"/>
        <v>2079</v>
      </c>
      <c r="B93" s="26">
        <f>LOOKUP(A93,'Disposal&amp;LFG Recovery-wells'!A95:A194,'Disposal&amp;LFG Recovery-wells'!B95:B194)*1.1023</f>
        <v>0</v>
      </c>
      <c r="C93" s="27">
        <f t="shared" si="7"/>
        <v>7605021.2290000003</v>
      </c>
      <c r="D93" s="28">
        <f t="shared" si="6"/>
        <v>0</v>
      </c>
      <c r="E93" s="28">
        <f t="shared" si="6"/>
        <v>0</v>
      </c>
      <c r="F93" s="28">
        <f t="shared" si="6"/>
        <v>0</v>
      </c>
      <c r="G93" s="28">
        <f t="shared" si="6"/>
        <v>0</v>
      </c>
    </row>
    <row r="94" spans="1:8" x14ac:dyDescent="0.25">
      <c r="A94" s="20">
        <f t="shared" si="5"/>
        <v>2080</v>
      </c>
      <c r="B94" s="26">
        <f>LOOKUP(A94,'Disposal&amp;LFG Recovery-wells'!A96:A195,'Disposal&amp;LFG Recovery-wells'!B96:B195)*1.1023</f>
        <v>0</v>
      </c>
      <c r="C94" s="27">
        <f t="shared" si="7"/>
        <v>7605021.2290000003</v>
      </c>
      <c r="D94" s="28">
        <f t="shared" si="6"/>
        <v>0</v>
      </c>
      <c r="E94" s="28">
        <f t="shared" si="6"/>
        <v>0</v>
      </c>
      <c r="F94" s="28">
        <f t="shared" si="6"/>
        <v>0</v>
      </c>
      <c r="G94" s="28">
        <f t="shared" si="6"/>
        <v>0</v>
      </c>
    </row>
    <row r="95" spans="1:8" x14ac:dyDescent="0.25">
      <c r="A95" s="20">
        <f t="shared" si="5"/>
        <v>2081</v>
      </c>
      <c r="B95" s="26">
        <f>LOOKUP(A95,'Disposal&amp;LFG Recovery-wells'!A97:A196,'Disposal&amp;LFG Recovery-wells'!B97:B196)*1.1023</f>
        <v>0</v>
      </c>
      <c r="C95" s="27">
        <f t="shared" si="7"/>
        <v>7605021.2290000003</v>
      </c>
      <c r="D95" s="28">
        <f t="shared" si="6"/>
        <v>0</v>
      </c>
      <c r="E95" s="28">
        <f t="shared" si="6"/>
        <v>0</v>
      </c>
      <c r="F95" s="28">
        <f t="shared" si="6"/>
        <v>0</v>
      </c>
      <c r="G95" s="28">
        <f t="shared" si="6"/>
        <v>0</v>
      </c>
    </row>
    <row r="96" spans="1:8" x14ac:dyDescent="0.25">
      <c r="A96" s="20">
        <f t="shared" si="5"/>
        <v>2082</v>
      </c>
      <c r="B96" s="26">
        <f>LOOKUP(A96,'Disposal&amp;LFG Recovery-wells'!A98:A197,'Disposal&amp;LFG Recovery-wells'!B98:B197)*1.1023</f>
        <v>0</v>
      </c>
      <c r="C96" s="27">
        <f t="shared" si="7"/>
        <v>7605021.2290000003</v>
      </c>
      <c r="D96" s="28">
        <f t="shared" si="6"/>
        <v>0</v>
      </c>
      <c r="E96" s="28">
        <f t="shared" si="6"/>
        <v>0</v>
      </c>
      <c r="F96" s="28">
        <f t="shared" si="6"/>
        <v>0</v>
      </c>
      <c r="G96" s="28">
        <f t="shared" si="6"/>
        <v>0</v>
      </c>
    </row>
    <row r="97" spans="1:7" x14ac:dyDescent="0.25">
      <c r="A97" s="20">
        <f t="shared" si="5"/>
        <v>2083</v>
      </c>
      <c r="B97" s="26">
        <f>LOOKUP(A97,'Disposal&amp;LFG Recovery-wells'!A99:A198,'Disposal&amp;LFG Recovery-wells'!B99:B198)*1.1023</f>
        <v>0</v>
      </c>
      <c r="C97" s="27">
        <f t="shared" si="7"/>
        <v>7605021.2290000003</v>
      </c>
      <c r="D97" s="28">
        <f t="shared" si="6"/>
        <v>0</v>
      </c>
      <c r="E97" s="28">
        <f t="shared" si="6"/>
        <v>0</v>
      </c>
      <c r="F97" s="28">
        <f t="shared" si="6"/>
        <v>0</v>
      </c>
      <c r="G97" s="28">
        <f t="shared" si="6"/>
        <v>0</v>
      </c>
    </row>
    <row r="98" spans="1:7" x14ac:dyDescent="0.25">
      <c r="A98" s="20">
        <f t="shared" si="5"/>
        <v>2084</v>
      </c>
      <c r="B98" s="26">
        <f>LOOKUP(A98,'Disposal&amp;LFG Recovery-wells'!A100:A199,'Disposal&amp;LFG Recovery-wells'!B100:B199)*1.1023</f>
        <v>0</v>
      </c>
      <c r="C98" s="27">
        <f t="shared" si="7"/>
        <v>7605021.2290000003</v>
      </c>
      <c r="D98" s="28">
        <f t="shared" si="6"/>
        <v>0</v>
      </c>
      <c r="E98" s="28">
        <f t="shared" si="6"/>
        <v>0</v>
      </c>
      <c r="F98" s="28">
        <f t="shared" si="6"/>
        <v>0</v>
      </c>
      <c r="G98" s="28">
        <f t="shared" si="6"/>
        <v>0</v>
      </c>
    </row>
    <row r="99" spans="1:7" x14ac:dyDescent="0.25">
      <c r="A99" s="20">
        <f t="shared" si="5"/>
        <v>2085</v>
      </c>
      <c r="B99" s="26">
        <f>LOOKUP(A99,'Disposal&amp;LFG Recovery-wells'!A101:A200,'Disposal&amp;LFG Recovery-wells'!B101:B200)*1.1023</f>
        <v>0</v>
      </c>
      <c r="C99" s="27">
        <f t="shared" si="7"/>
        <v>7605021.2290000003</v>
      </c>
      <c r="D99" s="28">
        <f t="shared" si="6"/>
        <v>0</v>
      </c>
      <c r="E99" s="28">
        <f t="shared" si="6"/>
        <v>0</v>
      </c>
      <c r="F99" s="28">
        <f t="shared" si="6"/>
        <v>0</v>
      </c>
      <c r="G99" s="28">
        <f t="shared" si="6"/>
        <v>0</v>
      </c>
    </row>
    <row r="100" spans="1:7" x14ac:dyDescent="0.25">
      <c r="A100" s="20">
        <f t="shared" si="5"/>
        <v>2086</v>
      </c>
      <c r="B100" s="26">
        <f>LOOKUP(A100,'Disposal&amp;LFG Recovery-wells'!A102:A201,'Disposal&amp;LFG Recovery-wells'!B102:B201)*1.1023</f>
        <v>0</v>
      </c>
      <c r="C100" s="27">
        <f t="shared" si="7"/>
        <v>7605021.2290000003</v>
      </c>
      <c r="D100" s="28">
        <f t="shared" si="6"/>
        <v>0</v>
      </c>
      <c r="E100" s="28">
        <f t="shared" si="6"/>
        <v>0</v>
      </c>
      <c r="F100" s="28">
        <f t="shared" si="6"/>
        <v>0</v>
      </c>
      <c r="G100" s="28">
        <f t="shared" si="6"/>
        <v>0</v>
      </c>
    </row>
    <row r="101" spans="1:7" x14ac:dyDescent="0.25">
      <c r="A101" s="20">
        <f t="shared" si="5"/>
        <v>2087</v>
      </c>
      <c r="B101" s="26">
        <f>LOOKUP(A101,'Disposal&amp;LFG Recovery-wells'!A103:A202,'Disposal&amp;LFG Recovery-wells'!B103:B202)*1.1023</f>
        <v>0</v>
      </c>
      <c r="C101" s="27">
        <f t="shared" si="7"/>
        <v>7605021.2290000003</v>
      </c>
      <c r="D101" s="28">
        <f t="shared" si="6"/>
        <v>0</v>
      </c>
      <c r="E101" s="28">
        <f t="shared" si="6"/>
        <v>0</v>
      </c>
      <c r="F101" s="28">
        <f t="shared" si="6"/>
        <v>0</v>
      </c>
      <c r="G101" s="28">
        <f t="shared" si="6"/>
        <v>0</v>
      </c>
    </row>
    <row r="102" spans="1:7" x14ac:dyDescent="0.25">
      <c r="A102" s="20">
        <f t="shared" si="5"/>
        <v>2088</v>
      </c>
      <c r="B102" s="26">
        <f>LOOKUP(A102,'Disposal&amp;LFG Recovery-wells'!A104:A203,'Disposal&amp;LFG Recovery-wells'!B104:B203)*1.1023</f>
        <v>0</v>
      </c>
      <c r="C102" s="27">
        <f t="shared" si="7"/>
        <v>7605021.2290000003</v>
      </c>
      <c r="D102" s="28">
        <f t="shared" si="6"/>
        <v>0</v>
      </c>
      <c r="E102" s="28">
        <f t="shared" si="6"/>
        <v>0</v>
      </c>
      <c r="F102" s="28">
        <f t="shared" si="6"/>
        <v>0</v>
      </c>
      <c r="G102" s="28">
        <f t="shared" si="6"/>
        <v>0</v>
      </c>
    </row>
    <row r="103" spans="1:7" x14ac:dyDescent="0.25">
      <c r="A103" s="20">
        <f t="shared" si="5"/>
        <v>2089</v>
      </c>
      <c r="B103" s="26">
        <f>LOOKUP(A103,'Disposal&amp;LFG Recovery-wells'!A105:A204,'Disposal&amp;LFG Recovery-wells'!B105:B204)*1.1023</f>
        <v>0</v>
      </c>
      <c r="C103" s="27">
        <f t="shared" si="7"/>
        <v>7605021.2290000003</v>
      </c>
      <c r="D103" s="28">
        <f t="shared" si="6"/>
        <v>0</v>
      </c>
      <c r="E103" s="28">
        <f t="shared" si="6"/>
        <v>0</v>
      </c>
      <c r="F103" s="28">
        <f t="shared" si="6"/>
        <v>0</v>
      </c>
      <c r="G103" s="28">
        <f t="shared" si="6"/>
        <v>0</v>
      </c>
    </row>
    <row r="104" spans="1:7" x14ac:dyDescent="0.25">
      <c r="B104" s="26"/>
      <c r="C104" s="27"/>
      <c r="D104" s="28"/>
      <c r="E104" s="28"/>
      <c r="F104" s="28"/>
      <c r="G104" s="28"/>
    </row>
  </sheetData>
  <mergeCells count="1">
    <mergeCell ref="D1:G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15"/>
  <sheetViews>
    <sheetView topLeftCell="A23" zoomScale="75" zoomScaleNormal="75" workbookViewId="0">
      <selection activeCell="K34" sqref="K34:M34"/>
    </sheetView>
  </sheetViews>
  <sheetFormatPr defaultColWidth="14.25" defaultRowHeight="13.5" x14ac:dyDescent="0.3"/>
  <cols>
    <col min="1" max="10" width="14.25" style="35"/>
    <col min="11" max="11" width="9.33203125" style="35" customWidth="1"/>
    <col min="12" max="12" width="9" style="35" customWidth="1"/>
    <col min="13" max="13" width="8.58203125" style="35" customWidth="1"/>
    <col min="14" max="14" width="9.33203125" style="35" customWidth="1"/>
    <col min="15" max="15" width="9.83203125" style="35" customWidth="1"/>
    <col min="16" max="16384" width="14.25" style="35"/>
  </cols>
  <sheetData>
    <row r="1" spans="1:25" ht="40.5" customHeight="1" x14ac:dyDescent="0.3">
      <c r="A1" s="34">
        <v>0.5</v>
      </c>
      <c r="B1" s="35" t="s">
        <v>16</v>
      </c>
      <c r="F1" s="34">
        <f>A1</f>
        <v>0.5</v>
      </c>
      <c r="G1" s="35" t="s">
        <v>37</v>
      </c>
    </row>
    <row r="2" spans="1:25" ht="14" thickBot="1" x14ac:dyDescent="0.35">
      <c r="A2" s="36">
        <f>Amounts!D2</f>
        <v>0.27279000000000003</v>
      </c>
      <c r="B2" s="37"/>
      <c r="C2" s="37"/>
      <c r="G2" s="35" t="s">
        <v>232</v>
      </c>
    </row>
    <row r="3" spans="1:25" ht="14" thickTop="1" x14ac:dyDescent="0.3">
      <c r="A3" s="38"/>
      <c r="B3" s="39"/>
      <c r="C3" s="39"/>
      <c r="D3" s="40"/>
      <c r="E3" s="41"/>
      <c r="F3" s="42"/>
      <c r="G3" s="43"/>
      <c r="H3" s="41"/>
      <c r="I3" s="44"/>
    </row>
    <row r="4" spans="1:25" x14ac:dyDescent="0.3">
      <c r="A4" s="45"/>
      <c r="B4" s="46"/>
      <c r="C4" s="47" t="s">
        <v>1</v>
      </c>
      <c r="D4" s="452" t="s">
        <v>33</v>
      </c>
      <c r="E4" s="453"/>
      <c r="F4" s="454"/>
      <c r="G4" s="48" t="s">
        <v>6</v>
      </c>
      <c r="H4" s="49"/>
      <c r="I4" s="50"/>
    </row>
    <row r="5" spans="1:25" x14ac:dyDescent="0.3">
      <c r="A5" s="45"/>
      <c r="B5" s="51" t="s">
        <v>2</v>
      </c>
      <c r="C5" s="52" t="s">
        <v>3</v>
      </c>
      <c r="D5" s="53"/>
      <c r="E5" s="54"/>
      <c r="F5" s="55"/>
      <c r="G5" s="56" t="s">
        <v>34</v>
      </c>
      <c r="H5" s="49"/>
      <c r="I5" s="57"/>
    </row>
    <row r="6" spans="1:25" x14ac:dyDescent="0.3">
      <c r="A6" s="58" t="s">
        <v>0</v>
      </c>
      <c r="B6" s="59" t="s">
        <v>4</v>
      </c>
      <c r="C6" s="59" t="s">
        <v>5</v>
      </c>
      <c r="D6" s="60" t="s">
        <v>14</v>
      </c>
      <c r="E6" s="60" t="s">
        <v>7</v>
      </c>
      <c r="F6" s="61" t="s">
        <v>8</v>
      </c>
      <c r="G6" s="62" t="s">
        <v>7</v>
      </c>
      <c r="H6" s="63" t="s">
        <v>9</v>
      </c>
      <c r="I6" s="64" t="s">
        <v>10</v>
      </c>
      <c r="L6" s="65"/>
      <c r="M6" s="65"/>
      <c r="N6" s="65"/>
    </row>
    <row r="7" spans="1:25" ht="14" thickBot="1" x14ac:dyDescent="0.35">
      <c r="A7" s="66">
        <f>Amounts!A4</f>
        <v>1990</v>
      </c>
      <c r="B7" s="67">
        <f>LOOKUP(A7+0.01,AmountsB!$A$4:$A$103,AmountsB!$B$4:$B$103)*0.1*$A$2</f>
        <v>0</v>
      </c>
      <c r="C7" s="68">
        <f>B7</f>
        <v>0</v>
      </c>
      <c r="D7" s="69">
        <v>0</v>
      </c>
      <c r="E7" s="67">
        <f t="shared" ref="E7:E70" si="0">D7/(365*24*60)*1.00201</f>
        <v>0</v>
      </c>
      <c r="F7" s="70">
        <f>E7*60*1012/1000000</f>
        <v>0</v>
      </c>
      <c r="G7" s="67">
        <f>E7/'Lookup Tables'!$C$48</f>
        <v>0</v>
      </c>
      <c r="H7" s="70" t="e">
        <f t="shared" ref="H7:H70" si="1">G7*60*24*365/(C7*2000)</f>
        <v>#DIV/0!</v>
      </c>
      <c r="I7" s="71">
        <f>G7*60*24/1000000</f>
        <v>0</v>
      </c>
      <c r="K7" s="72" t="s">
        <v>24</v>
      </c>
    </row>
    <row r="8" spans="1:25" ht="14" thickTop="1" x14ac:dyDescent="0.3">
      <c r="A8" s="66">
        <f>A7+0.1</f>
        <v>1990.1</v>
      </c>
      <c r="B8" s="67">
        <f>LOOKUP(A8+0.01,AmountsB!$A$4:$A$103,AmountsB!$B$4:$B$103)*0.1*$A$2</f>
        <v>0</v>
      </c>
      <c r="C8" s="68">
        <f>C7+B8</f>
        <v>0</v>
      </c>
      <c r="D8" s="69">
        <v>0</v>
      </c>
      <c r="E8" s="67">
        <f t="shared" si="0"/>
        <v>0</v>
      </c>
      <c r="F8" s="70">
        <f>E8*60*1012/1000000</f>
        <v>0</v>
      </c>
      <c r="G8" s="67">
        <f>E8/'Lookup Tables'!$C$48</f>
        <v>0</v>
      </c>
      <c r="H8" s="70" t="e">
        <f t="shared" si="1"/>
        <v>#DIV/0!</v>
      </c>
      <c r="I8" s="71">
        <f>G8*60*24/1000000</f>
        <v>0</v>
      </c>
      <c r="J8" s="35">
        <f>'Disposal &amp; LFG Recovery'!A6</f>
        <v>1990</v>
      </c>
      <c r="K8" s="73">
        <v>0</v>
      </c>
      <c r="L8" s="73">
        <v>0</v>
      </c>
      <c r="M8" s="73">
        <v>0</v>
      </c>
      <c r="N8" s="73">
        <v>0</v>
      </c>
      <c r="O8" s="74"/>
      <c r="P8" s="74"/>
      <c r="Q8" s="74"/>
      <c r="R8" s="74"/>
      <c r="S8" s="74"/>
      <c r="T8" s="74"/>
      <c r="U8" s="74"/>
      <c r="V8" s="74"/>
      <c r="W8" s="74"/>
      <c r="X8" s="74"/>
      <c r="Y8" s="74"/>
    </row>
    <row r="9" spans="1:25" x14ac:dyDescent="0.3">
      <c r="A9" s="66">
        <f t="shared" ref="A9:A15" si="2">A8+0.1</f>
        <v>1990.1999999999998</v>
      </c>
      <c r="B9" s="67">
        <f>LOOKUP(A9+0.01,AmountsB!$A$4:$A$103,AmountsB!$B$4:$B$103)*0.1*$A$2</f>
        <v>0</v>
      </c>
      <c r="C9" s="68">
        <f t="shared" ref="C9:C72" si="3">C8+B9</f>
        <v>0</v>
      </c>
      <c r="D9" s="69">
        <v>0</v>
      </c>
      <c r="E9" s="67">
        <f t="shared" si="0"/>
        <v>0</v>
      </c>
      <c r="F9" s="70">
        <f t="shared" ref="F9:F16" si="4">E9*60*1012/1000000</f>
        <v>0</v>
      </c>
      <c r="G9" s="67">
        <f>E9/'Lookup Tables'!$C$48</f>
        <v>0</v>
      </c>
      <c r="H9" s="70" t="e">
        <f t="shared" si="1"/>
        <v>#DIV/0!</v>
      </c>
      <c r="I9" s="71">
        <f t="shared" ref="I9:I15" si="5">G9*60*24/1000000</f>
        <v>0</v>
      </c>
      <c r="J9" s="35">
        <f>J8+1</f>
        <v>1991</v>
      </c>
      <c r="K9" s="75">
        <f>$G21</f>
        <v>0</v>
      </c>
      <c r="L9" s="75">
        <f>Calcs2b!K4</f>
        <v>0</v>
      </c>
      <c r="M9" s="75">
        <f>Calcs3b!K4</f>
        <v>0</v>
      </c>
      <c r="N9" s="75">
        <f>Calcs4b!K4</f>
        <v>0</v>
      </c>
      <c r="O9" s="74"/>
      <c r="P9" s="74"/>
      <c r="Q9" s="74"/>
      <c r="R9" s="74"/>
      <c r="S9" s="74"/>
      <c r="T9" s="74"/>
      <c r="U9" s="74"/>
      <c r="V9" s="74"/>
      <c r="W9" s="74"/>
      <c r="X9" s="74"/>
      <c r="Y9" s="74"/>
    </row>
    <row r="10" spans="1:25" x14ac:dyDescent="0.3">
      <c r="A10" s="66">
        <f t="shared" si="2"/>
        <v>1990.2999999999997</v>
      </c>
      <c r="B10" s="67">
        <f>LOOKUP(A10+0.01,AmountsB!$A$4:$A$103,AmountsB!$B$4:$B$103)*0.1*$A$2</f>
        <v>0</v>
      </c>
      <c r="C10" s="68">
        <f t="shared" si="3"/>
        <v>0</v>
      </c>
      <c r="D10" s="69">
        <v>0</v>
      </c>
      <c r="E10" s="67">
        <f t="shared" si="0"/>
        <v>0</v>
      </c>
      <c r="F10" s="70">
        <f t="shared" si="4"/>
        <v>0</v>
      </c>
      <c r="G10" s="67">
        <f>E10/'Lookup Tables'!$C$48</f>
        <v>0</v>
      </c>
      <c r="H10" s="70" t="e">
        <f t="shared" si="1"/>
        <v>#DIV/0!</v>
      </c>
      <c r="I10" s="71">
        <f t="shared" si="5"/>
        <v>0</v>
      </c>
      <c r="J10" s="35">
        <f t="shared" ref="J10:J73" si="6">J9+1</f>
        <v>1992</v>
      </c>
      <c r="K10" s="75">
        <f>$G31</f>
        <v>0</v>
      </c>
      <c r="L10" s="75">
        <f>Calcs2b!K5</f>
        <v>0</v>
      </c>
      <c r="M10" s="75">
        <f>Calcs3b!K5</f>
        <v>0</v>
      </c>
      <c r="N10" s="75">
        <f>Calcs4b!K5</f>
        <v>0</v>
      </c>
      <c r="O10" s="74"/>
      <c r="P10" s="74"/>
      <c r="Q10" s="74"/>
      <c r="R10" s="74"/>
      <c r="S10" s="74"/>
      <c r="T10" s="74"/>
      <c r="U10" s="74"/>
      <c r="V10" s="74"/>
      <c r="W10" s="74"/>
      <c r="X10" s="74"/>
      <c r="Y10" s="74"/>
    </row>
    <row r="11" spans="1:25" x14ac:dyDescent="0.3">
      <c r="A11" s="66">
        <f t="shared" si="2"/>
        <v>1990.3999999999996</v>
      </c>
      <c r="B11" s="67">
        <f>LOOKUP(A11+0.01,AmountsB!$A$4:$A$103,AmountsB!$B$4:$B$103)*0.1*$A$2</f>
        <v>0</v>
      </c>
      <c r="C11" s="68">
        <f t="shared" si="3"/>
        <v>0</v>
      </c>
      <c r="D11" s="69">
        <v>0</v>
      </c>
      <c r="E11" s="67">
        <f t="shared" si="0"/>
        <v>0</v>
      </c>
      <c r="F11" s="70">
        <f t="shared" si="4"/>
        <v>0</v>
      </c>
      <c r="G11" s="67">
        <f>E11/'Lookup Tables'!$C$48</f>
        <v>0</v>
      </c>
      <c r="H11" s="70" t="e">
        <f t="shared" si="1"/>
        <v>#DIV/0!</v>
      </c>
      <c r="I11" s="71">
        <f t="shared" si="5"/>
        <v>0</v>
      </c>
      <c r="J11" s="35">
        <f t="shared" si="6"/>
        <v>1993</v>
      </c>
      <c r="K11" s="75">
        <f>$G41</f>
        <v>0</v>
      </c>
      <c r="L11" s="75">
        <f>Calcs2b!K6</f>
        <v>0</v>
      </c>
      <c r="M11" s="75">
        <f>Calcs3b!K6</f>
        <v>0</v>
      </c>
      <c r="N11" s="75">
        <f>Calcs4b!K6</f>
        <v>0</v>
      </c>
      <c r="O11" s="74"/>
      <c r="P11" s="74"/>
      <c r="Q11" s="74"/>
      <c r="R11" s="74"/>
      <c r="S11" s="74"/>
      <c r="T11" s="74"/>
      <c r="U11" s="74"/>
      <c r="V11" s="74"/>
      <c r="W11" s="74"/>
      <c r="X11" s="74"/>
      <c r="Y11" s="74"/>
    </row>
    <row r="12" spans="1:25" x14ac:dyDescent="0.3">
      <c r="A12" s="66">
        <f t="shared" si="2"/>
        <v>1990.4999999999995</v>
      </c>
      <c r="B12" s="67">
        <f>LOOKUP(A12+0.01,AmountsB!$A$4:$A$103,AmountsB!$B$4:$B$103)*0.1*$A$2</f>
        <v>0</v>
      </c>
      <c r="C12" s="68">
        <f t="shared" si="3"/>
        <v>0</v>
      </c>
      <c r="D12" s="67">
        <f t="array" ref="D12">SUM($B7:$B$7*$F$1009*EXP(-$F$1009*($A12-$A7:$A$7)))*$F$1010</f>
        <v>0</v>
      </c>
      <c r="E12" s="67">
        <f t="shared" si="0"/>
        <v>0</v>
      </c>
      <c r="F12" s="70">
        <f t="shared" si="4"/>
        <v>0</v>
      </c>
      <c r="G12" s="67">
        <f>E12/'Lookup Tables'!$C$48</f>
        <v>0</v>
      </c>
      <c r="H12" s="70" t="e">
        <f t="shared" si="1"/>
        <v>#DIV/0!</v>
      </c>
      <c r="I12" s="71">
        <f t="shared" si="5"/>
        <v>0</v>
      </c>
      <c r="J12" s="35">
        <f t="shared" si="6"/>
        <v>1994</v>
      </c>
      <c r="K12" s="75">
        <f>$G51</f>
        <v>0</v>
      </c>
      <c r="L12" s="75">
        <f>Calcs2b!K7</f>
        <v>0</v>
      </c>
      <c r="M12" s="75">
        <f>Calcs3b!K7</f>
        <v>0</v>
      </c>
      <c r="N12" s="75">
        <f>Calcs4b!K7</f>
        <v>0</v>
      </c>
      <c r="O12" s="74"/>
      <c r="P12" s="74"/>
      <c r="Q12" s="74"/>
      <c r="R12" s="74"/>
      <c r="S12" s="74"/>
      <c r="T12" s="74"/>
      <c r="U12" s="74"/>
      <c r="V12" s="74"/>
      <c r="W12" s="74"/>
      <c r="X12" s="74"/>
      <c r="Y12" s="74"/>
    </row>
    <row r="13" spans="1:25" x14ac:dyDescent="0.3">
      <c r="A13" s="66">
        <f t="shared" si="2"/>
        <v>1990.5999999999995</v>
      </c>
      <c r="B13" s="67">
        <f>LOOKUP(A13+0.01,AmountsB!$A$4:$A$103,AmountsB!$B$4:$B$103)*0.1*$A$2</f>
        <v>0</v>
      </c>
      <c r="C13" s="68">
        <f t="shared" si="3"/>
        <v>0</v>
      </c>
      <c r="D13" s="67">
        <f t="array" ref="D13">SUM($B$7:$B8*$F$1009*EXP(-$F$1009*($A13-$A$7:$A8)))*$F$1010</f>
        <v>0</v>
      </c>
      <c r="E13" s="67">
        <f t="shared" si="0"/>
        <v>0</v>
      </c>
      <c r="F13" s="70">
        <f t="shared" si="4"/>
        <v>0</v>
      </c>
      <c r="G13" s="67">
        <f>E13/'Lookup Tables'!$C$48</f>
        <v>0</v>
      </c>
      <c r="H13" s="70" t="e">
        <f t="shared" si="1"/>
        <v>#DIV/0!</v>
      </c>
      <c r="I13" s="71">
        <f t="shared" si="5"/>
        <v>0</v>
      </c>
      <c r="J13" s="35">
        <f t="shared" si="6"/>
        <v>1995</v>
      </c>
      <c r="K13" s="75">
        <f>$G61</f>
        <v>0</v>
      </c>
      <c r="L13" s="75">
        <f>Calcs2b!K8</f>
        <v>0</v>
      </c>
      <c r="M13" s="75">
        <f>Calcs3b!K8</f>
        <v>0</v>
      </c>
      <c r="N13" s="75">
        <f>Calcs4b!K8</f>
        <v>0</v>
      </c>
      <c r="O13" s="74"/>
      <c r="P13" s="74"/>
      <c r="Q13" s="74"/>
      <c r="R13" s="74"/>
      <c r="S13" s="74"/>
      <c r="T13" s="74"/>
      <c r="U13" s="74"/>
      <c r="V13" s="74"/>
      <c r="W13" s="74"/>
      <c r="X13" s="74"/>
      <c r="Y13" s="74"/>
    </row>
    <row r="14" spans="1:25" x14ac:dyDescent="0.3">
      <c r="A14" s="66">
        <f t="shared" si="2"/>
        <v>1990.6999999999994</v>
      </c>
      <c r="B14" s="67">
        <f>LOOKUP(A14+0.01,AmountsB!$A$4:$A$103,AmountsB!$B$4:$B$103)*0.1*$A$2</f>
        <v>0</v>
      </c>
      <c r="C14" s="68">
        <f t="shared" si="3"/>
        <v>0</v>
      </c>
      <c r="D14" s="67">
        <f t="array" ref="D14">SUM($B$7:$B9*$F$1009*EXP(-$F$1009*($A14-$A$7:$A9)))*$F$1010</f>
        <v>0</v>
      </c>
      <c r="E14" s="67">
        <f t="shared" si="0"/>
        <v>0</v>
      </c>
      <c r="F14" s="70">
        <f t="shared" si="4"/>
        <v>0</v>
      </c>
      <c r="G14" s="67">
        <f>E14/'Lookup Tables'!$C$48</f>
        <v>0</v>
      </c>
      <c r="H14" s="70" t="e">
        <f t="shared" si="1"/>
        <v>#DIV/0!</v>
      </c>
      <c r="I14" s="71">
        <f t="shared" si="5"/>
        <v>0</v>
      </c>
      <c r="J14" s="35">
        <f t="shared" si="6"/>
        <v>1996</v>
      </c>
      <c r="K14" s="75">
        <f>$G71</f>
        <v>0</v>
      </c>
      <c r="L14" s="75">
        <f>Calcs2b!K9</f>
        <v>0</v>
      </c>
      <c r="M14" s="75">
        <f>Calcs3b!K9</f>
        <v>0</v>
      </c>
      <c r="N14" s="75">
        <f>Calcs4b!K9</f>
        <v>0</v>
      </c>
      <c r="O14" s="74"/>
      <c r="P14" s="74"/>
      <c r="Q14" s="74"/>
      <c r="R14" s="74"/>
      <c r="S14" s="74"/>
      <c r="T14" s="74"/>
      <c r="U14" s="74"/>
      <c r="V14" s="74"/>
      <c r="W14" s="74"/>
      <c r="X14" s="74"/>
      <c r="Y14" s="74"/>
    </row>
    <row r="15" spans="1:25" x14ac:dyDescent="0.3">
      <c r="A15" s="66">
        <f t="shared" si="2"/>
        <v>1990.7999999999993</v>
      </c>
      <c r="B15" s="67">
        <f>LOOKUP(A15+0.01,AmountsB!$A$4:$A$103,AmountsB!$B$4:$B$103)*0.1*$A$2</f>
        <v>0</v>
      </c>
      <c r="C15" s="68">
        <f t="shared" si="3"/>
        <v>0</v>
      </c>
      <c r="D15" s="67">
        <f t="array" ref="D15">SUM($B$7:$B10*$F$1009*EXP(-$F$1009*($A15-$A$7:$A10)))*$F$1010</f>
        <v>0</v>
      </c>
      <c r="E15" s="67">
        <f t="shared" si="0"/>
        <v>0</v>
      </c>
      <c r="F15" s="70">
        <f t="shared" si="4"/>
        <v>0</v>
      </c>
      <c r="G15" s="67">
        <f>E15/'Lookup Tables'!$C$48</f>
        <v>0</v>
      </c>
      <c r="H15" s="70" t="e">
        <f t="shared" si="1"/>
        <v>#DIV/0!</v>
      </c>
      <c r="I15" s="71">
        <f t="shared" si="5"/>
        <v>0</v>
      </c>
      <c r="J15" s="35">
        <f t="shared" si="6"/>
        <v>1997</v>
      </c>
      <c r="K15" s="75">
        <f>$G81</f>
        <v>0</v>
      </c>
      <c r="L15" s="75">
        <f>Calcs2b!K10</f>
        <v>0</v>
      </c>
      <c r="M15" s="75">
        <f>Calcs3b!K10</f>
        <v>0</v>
      </c>
      <c r="N15" s="75">
        <f>Calcs4b!K10</f>
        <v>0</v>
      </c>
      <c r="O15" s="74"/>
      <c r="P15" s="74"/>
      <c r="Q15" s="74"/>
      <c r="R15" s="74"/>
      <c r="S15" s="74"/>
      <c r="T15" s="74"/>
      <c r="U15" s="74"/>
      <c r="V15" s="74"/>
      <c r="W15" s="74"/>
      <c r="X15" s="74"/>
      <c r="Y15" s="74"/>
    </row>
    <row r="16" spans="1:25" x14ac:dyDescent="0.3">
      <c r="A16" s="66">
        <f>A15+0.1</f>
        <v>1990.8999999999992</v>
      </c>
      <c r="B16" s="67">
        <f>LOOKUP(A16+0.01,AmountsB!$A$4:$A$103,AmountsB!$B$4:$B$103)*0.1*$A$2</f>
        <v>0</v>
      </c>
      <c r="C16" s="68">
        <f t="shared" si="3"/>
        <v>0</v>
      </c>
      <c r="D16" s="67">
        <f t="array" ref="D16">SUM($B$7:$B11*$F$1009*EXP(-$F$1009*($A16-$A$7:$A11)))*$F$1010</f>
        <v>0</v>
      </c>
      <c r="E16" s="67">
        <f t="shared" si="0"/>
        <v>0</v>
      </c>
      <c r="F16" s="70">
        <f t="shared" si="4"/>
        <v>0</v>
      </c>
      <c r="G16" s="67">
        <f>E16/'Lookup Tables'!$C$48</f>
        <v>0</v>
      </c>
      <c r="H16" s="70" t="e">
        <f t="shared" si="1"/>
        <v>#DIV/0!</v>
      </c>
      <c r="I16" s="71">
        <f>G16*60*24/1000000</f>
        <v>0</v>
      </c>
      <c r="J16" s="35">
        <f t="shared" si="6"/>
        <v>1998</v>
      </c>
      <c r="K16" s="75">
        <f>$G91</f>
        <v>0</v>
      </c>
      <c r="L16" s="75">
        <f>Calcs2b!K11</f>
        <v>0</v>
      </c>
      <c r="M16" s="75">
        <f>Calcs3b!K11</f>
        <v>0</v>
      </c>
      <c r="N16" s="75">
        <f>Calcs4b!K11</f>
        <v>0</v>
      </c>
      <c r="O16" s="74"/>
      <c r="P16" s="74"/>
      <c r="Q16" s="74"/>
      <c r="R16" s="74"/>
      <c r="S16" s="74"/>
      <c r="T16" s="74"/>
      <c r="U16" s="74"/>
      <c r="V16" s="74"/>
      <c r="W16" s="74"/>
      <c r="X16" s="74"/>
      <c r="Y16" s="74"/>
    </row>
    <row r="17" spans="1:25" x14ac:dyDescent="0.3">
      <c r="A17" s="66">
        <f>A16+0.1</f>
        <v>1990.9999999999991</v>
      </c>
      <c r="B17" s="67">
        <f>LOOKUP(A17+0.01,AmountsB!$A$4:$A$103,AmountsB!$B$4:$B$103)*0.1*$A$2</f>
        <v>0</v>
      </c>
      <c r="C17" s="68">
        <f t="shared" si="3"/>
        <v>0</v>
      </c>
      <c r="D17" s="67">
        <f t="array" ref="D17">SUM($B$7:$B12*$F$1009*EXP(-$F$1009*($A17-$A$7:$A12)))*$F$1010</f>
        <v>0</v>
      </c>
      <c r="E17" s="67">
        <f t="shared" si="0"/>
        <v>0</v>
      </c>
      <c r="F17" s="70">
        <f>E17*60*1012/1000000</f>
        <v>0</v>
      </c>
      <c r="G17" s="67">
        <f>E17/'Lookup Tables'!$C$48</f>
        <v>0</v>
      </c>
      <c r="H17" s="70" t="e">
        <f t="shared" si="1"/>
        <v>#DIV/0!</v>
      </c>
      <c r="I17" s="71">
        <f>G17*60*24/1000000</f>
        <v>0</v>
      </c>
      <c r="J17" s="35">
        <f t="shared" si="6"/>
        <v>1999</v>
      </c>
      <c r="K17" s="75">
        <f>$G101</f>
        <v>0</v>
      </c>
      <c r="L17" s="75">
        <f>Calcs2b!K12</f>
        <v>0</v>
      </c>
      <c r="M17" s="75">
        <f>Calcs3b!K12</f>
        <v>0</v>
      </c>
      <c r="N17" s="75">
        <f>Calcs4b!K12</f>
        <v>0</v>
      </c>
      <c r="O17" s="74"/>
      <c r="P17" s="74"/>
      <c r="Q17" s="74"/>
      <c r="R17" s="74"/>
      <c r="S17" s="74"/>
      <c r="T17" s="74"/>
      <c r="U17" s="74"/>
      <c r="V17" s="74"/>
      <c r="W17" s="74"/>
      <c r="X17" s="74"/>
      <c r="Y17" s="74"/>
    </row>
    <row r="18" spans="1:25" x14ac:dyDescent="0.3">
      <c r="A18" s="66">
        <f>A17+0.1</f>
        <v>1991.099999999999</v>
      </c>
      <c r="B18" s="67">
        <f>LOOKUP(A18+0.01,AmountsB!$A$4:$A$103,AmountsB!$B$4:$B$103)*0.1*$A$2</f>
        <v>0</v>
      </c>
      <c r="C18" s="68">
        <f t="shared" si="3"/>
        <v>0</v>
      </c>
      <c r="D18" s="67">
        <f t="array" ref="D18">SUM($B$7:$B13*$F$1009*EXP(-$F$1009*($A18-$A$7:$A13)))*$F$1010</f>
        <v>0</v>
      </c>
      <c r="E18" s="67">
        <f t="shared" si="0"/>
        <v>0</v>
      </c>
      <c r="F18" s="70">
        <f>E18*60*1012/1000000</f>
        <v>0</v>
      </c>
      <c r="G18" s="67">
        <f>E18/'Lookup Tables'!$C$48</f>
        <v>0</v>
      </c>
      <c r="H18" s="70" t="e">
        <f t="shared" si="1"/>
        <v>#DIV/0!</v>
      </c>
      <c r="I18" s="71">
        <f>G18*60*24/1000000</f>
        <v>0</v>
      </c>
      <c r="J18" s="35">
        <f t="shared" si="6"/>
        <v>2000</v>
      </c>
      <c r="K18" s="75">
        <f>$G111</f>
        <v>0</v>
      </c>
      <c r="L18" s="75">
        <f>Calcs2b!K13</f>
        <v>0</v>
      </c>
      <c r="M18" s="75">
        <f>Calcs3b!K13</f>
        <v>0</v>
      </c>
      <c r="N18" s="75">
        <f>Calcs4b!K13</f>
        <v>0</v>
      </c>
      <c r="O18" s="74"/>
      <c r="P18" s="74"/>
      <c r="Q18" s="74"/>
      <c r="R18" s="74"/>
      <c r="S18" s="74"/>
      <c r="T18" s="74"/>
      <c r="U18" s="74"/>
      <c r="V18" s="74"/>
      <c r="W18" s="74"/>
      <c r="X18" s="74"/>
      <c r="Y18" s="74"/>
    </row>
    <row r="19" spans="1:25" x14ac:dyDescent="0.3">
      <c r="A19" s="66">
        <f t="shared" ref="A19:A82" si="7">A18+0.1</f>
        <v>1991.1999999999989</v>
      </c>
      <c r="B19" s="67">
        <f>LOOKUP(A19+0.01,AmountsB!$A$4:$A$103,AmountsB!$B$4:$B$103)*0.1*$A$2</f>
        <v>0</v>
      </c>
      <c r="C19" s="68">
        <f t="shared" si="3"/>
        <v>0</v>
      </c>
      <c r="D19" s="67">
        <f t="array" ref="D19">SUM($B$7:$B14*$F$1009*EXP(-$F$1009*($A19-$A$7:$A14)))*$F$1010</f>
        <v>0</v>
      </c>
      <c r="E19" s="67">
        <f t="shared" si="0"/>
        <v>0</v>
      </c>
      <c r="F19" s="70">
        <f t="shared" ref="F19:F82" si="8">E19*60*1012/1000000</f>
        <v>0</v>
      </c>
      <c r="G19" s="67">
        <f>E19/'Lookup Tables'!$C$48</f>
        <v>0</v>
      </c>
      <c r="H19" s="70" t="e">
        <f t="shared" si="1"/>
        <v>#DIV/0!</v>
      </c>
      <c r="I19" s="71">
        <f t="shared" ref="I19:I82" si="9">G19*60*24/1000000</f>
        <v>0</v>
      </c>
      <c r="J19" s="35">
        <f t="shared" si="6"/>
        <v>2001</v>
      </c>
      <c r="K19" s="75">
        <f>$G121</f>
        <v>106.79203024800773</v>
      </c>
      <c r="L19" s="75">
        <f>Calcs2b!K14</f>
        <v>22.945051241244183</v>
      </c>
      <c r="M19" s="75">
        <f>Calcs3b!K14</f>
        <v>45.885510064437952</v>
      </c>
      <c r="N19" s="75">
        <f>Calcs4b!K14</f>
        <v>1.3903296049639116</v>
      </c>
      <c r="O19" s="74"/>
      <c r="P19" s="74"/>
      <c r="Q19" s="74"/>
      <c r="R19" s="74"/>
      <c r="S19" s="74"/>
      <c r="T19" s="74"/>
      <c r="U19" s="74"/>
      <c r="V19" s="74"/>
      <c r="W19" s="74"/>
      <c r="X19" s="74"/>
      <c r="Y19" s="74"/>
    </row>
    <row r="20" spans="1:25" x14ac:dyDescent="0.3">
      <c r="A20" s="66">
        <f t="shared" si="7"/>
        <v>1991.2999999999988</v>
      </c>
      <c r="B20" s="67">
        <f>LOOKUP(A20+0.01,AmountsB!$A$4:$A$103,AmountsB!$B$4:$B$103)*0.1*$A$2</f>
        <v>0</v>
      </c>
      <c r="C20" s="68">
        <f t="shared" si="3"/>
        <v>0</v>
      </c>
      <c r="D20" s="67">
        <f t="array" ref="D20">SUM($B$7:$B15*$F$1009*EXP(-$F$1009*($A20-$A$7:$A15)))*$F$1010</f>
        <v>0</v>
      </c>
      <c r="E20" s="67">
        <f t="shared" si="0"/>
        <v>0</v>
      </c>
      <c r="F20" s="70">
        <f t="shared" si="8"/>
        <v>0</v>
      </c>
      <c r="G20" s="67">
        <f>E20/'Lookup Tables'!$C$48</f>
        <v>0</v>
      </c>
      <c r="H20" s="70" t="e">
        <f t="shared" si="1"/>
        <v>#DIV/0!</v>
      </c>
      <c r="I20" s="71">
        <f t="shared" si="9"/>
        <v>0</v>
      </c>
      <c r="J20" s="35">
        <f t="shared" si="6"/>
        <v>2002</v>
      </c>
      <c r="K20" s="75">
        <f>$G131</f>
        <v>201.76965894035018</v>
      </c>
      <c r="L20" s="75">
        <f>Calcs2b!K15</f>
        <v>44.798046341493858</v>
      </c>
      <c r="M20" s="75">
        <f>Calcs3b!K15</f>
        <v>91.42229660439267</v>
      </c>
      <c r="N20" s="75">
        <f>Calcs4b!K15</f>
        <v>2.7891531726802783</v>
      </c>
      <c r="O20" s="74"/>
      <c r="P20" s="74"/>
      <c r="Q20" s="74"/>
      <c r="R20" s="74"/>
      <c r="S20" s="74"/>
      <c r="T20" s="74"/>
      <c r="U20" s="74"/>
      <c r="V20" s="74"/>
      <c r="W20" s="74"/>
      <c r="X20" s="74"/>
      <c r="Y20" s="74"/>
    </row>
    <row r="21" spans="1:25" x14ac:dyDescent="0.3">
      <c r="A21" s="66">
        <f t="shared" si="7"/>
        <v>1991.3999999999987</v>
      </c>
      <c r="B21" s="67">
        <f>LOOKUP(A21+0.01,AmountsB!$A$4:$A$103,AmountsB!$B$4:$B$103)*0.1*$A$2</f>
        <v>0</v>
      </c>
      <c r="C21" s="68">
        <f t="shared" si="3"/>
        <v>0</v>
      </c>
      <c r="D21" s="67">
        <f t="array" ref="D21">SUM($B$7:$B16*$F$1009*EXP(-$F$1009*($A21-$A$7:$A16)))*$F$1010</f>
        <v>0</v>
      </c>
      <c r="E21" s="67">
        <f t="shared" si="0"/>
        <v>0</v>
      </c>
      <c r="F21" s="70">
        <f t="shared" si="8"/>
        <v>0</v>
      </c>
      <c r="G21" s="67">
        <f>E21/'Lookup Tables'!$C$48</f>
        <v>0</v>
      </c>
      <c r="H21" s="70" t="e">
        <f t="shared" si="1"/>
        <v>#DIV/0!</v>
      </c>
      <c r="I21" s="71">
        <f t="shared" si="9"/>
        <v>0</v>
      </c>
      <c r="J21" s="35">
        <f t="shared" si="6"/>
        <v>2003</v>
      </c>
      <c r="K21" s="75">
        <f>$G141</f>
        <v>286.51719662393077</v>
      </c>
      <c r="L21" s="75">
        <f>Calcs2b!K16</f>
        <v>65.641593316406514</v>
      </c>
      <c r="M21" s="75">
        <f>Calcs3b!K16</f>
        <v>136.63754323198529</v>
      </c>
      <c r="N21" s="75">
        <f>Calcs4b!K16</f>
        <v>4.196884525709506</v>
      </c>
      <c r="O21" s="74"/>
      <c r="P21" s="74"/>
      <c r="Q21" s="74"/>
      <c r="R21" s="74"/>
      <c r="S21" s="74"/>
      <c r="T21" s="74"/>
      <c r="U21" s="74"/>
      <c r="V21" s="74"/>
      <c r="W21" s="74"/>
      <c r="X21" s="74"/>
      <c r="Y21" s="74"/>
    </row>
    <row r="22" spans="1:25" x14ac:dyDescent="0.3">
      <c r="A22" s="66">
        <f t="shared" si="7"/>
        <v>1991.4999999999986</v>
      </c>
      <c r="B22" s="67">
        <f>LOOKUP(A22+0.01,AmountsB!$A$4:$A$103,AmountsB!$B$4:$B$103)*0.1*$A$2</f>
        <v>0</v>
      </c>
      <c r="C22" s="68">
        <f t="shared" si="3"/>
        <v>0</v>
      </c>
      <c r="D22" s="67">
        <f t="array" ref="D22">SUM($B$7:$B17*$F$1009*EXP(-$F$1009*($A22-$A$7:$A17)))*$F$1010</f>
        <v>0</v>
      </c>
      <c r="E22" s="67">
        <f t="shared" si="0"/>
        <v>0</v>
      </c>
      <c r="F22" s="70">
        <f t="shared" si="8"/>
        <v>0</v>
      </c>
      <c r="G22" s="67">
        <f>E22/'Lookup Tables'!$C$48</f>
        <v>0</v>
      </c>
      <c r="H22" s="70" t="e">
        <f t="shared" si="1"/>
        <v>#DIV/0!</v>
      </c>
      <c r="I22" s="71">
        <f t="shared" si="9"/>
        <v>0</v>
      </c>
      <c r="J22" s="35">
        <f t="shared" si="6"/>
        <v>2004</v>
      </c>
      <c r="K22" s="75">
        <f>$G151</f>
        <v>362.41511951089581</v>
      </c>
      <c r="L22" s="75">
        <f>Calcs2b!K17</f>
        <v>85.553390620911017</v>
      </c>
      <c r="M22" s="75">
        <f>Calcs3b!K17</f>
        <v>181.55903334356958</v>
      </c>
      <c r="N22" s="75">
        <f>Calcs4b!K17</f>
        <v>5.6139726495776809</v>
      </c>
      <c r="O22" s="74"/>
      <c r="P22" s="74"/>
      <c r="Q22" s="74"/>
      <c r="R22" s="74"/>
      <c r="S22" s="74"/>
      <c r="T22" s="74"/>
      <c r="U22" s="74"/>
      <c r="V22" s="74"/>
      <c r="W22" s="74"/>
      <c r="X22" s="74"/>
      <c r="Y22" s="74"/>
    </row>
    <row r="23" spans="1:25" x14ac:dyDescent="0.3">
      <c r="A23" s="66">
        <f t="shared" si="7"/>
        <v>1991.5999999999985</v>
      </c>
      <c r="B23" s="67">
        <f>LOOKUP(A23+0.01,AmountsB!$A$4:$A$103,AmountsB!$B$4:$B$103)*0.1*$A$2</f>
        <v>0</v>
      </c>
      <c r="C23" s="68">
        <f t="shared" si="3"/>
        <v>0</v>
      </c>
      <c r="D23" s="67">
        <f t="array" ref="D23">SUM($B$7:$B18*$F$1009*EXP(-$F$1009*($A23-$A$7:$A18)))*$F$1010</f>
        <v>0</v>
      </c>
      <c r="E23" s="67">
        <f t="shared" si="0"/>
        <v>0</v>
      </c>
      <c r="F23" s="70">
        <f t="shared" si="8"/>
        <v>0</v>
      </c>
      <c r="G23" s="67">
        <f>E23/'Lookup Tables'!$C$48</f>
        <v>0</v>
      </c>
      <c r="H23" s="70" t="e">
        <f t="shared" si="1"/>
        <v>#DIV/0!</v>
      </c>
      <c r="I23" s="71">
        <f t="shared" si="9"/>
        <v>0</v>
      </c>
      <c r="J23" s="35">
        <f t="shared" si="6"/>
        <v>2005</v>
      </c>
      <c r="K23" s="75">
        <f>$G161</f>
        <v>430.66355596504661</v>
      </c>
      <c r="L23" s="75">
        <f>Calcs2b!K18</f>
        <v>104.60588381419933</v>
      </c>
      <c r="M23" s="75">
        <f>Calcs3b!K18</f>
        <v>226.2137831905502</v>
      </c>
      <c r="N23" s="75">
        <f>Calcs4b!K18</f>
        <v>7.0408602878094833</v>
      </c>
      <c r="O23" s="74"/>
      <c r="P23" s="74"/>
      <c r="Q23" s="74"/>
      <c r="R23" s="74"/>
      <c r="S23" s="74"/>
      <c r="T23" s="74"/>
      <c r="U23" s="74"/>
      <c r="V23" s="74"/>
      <c r="W23" s="74"/>
      <c r="X23" s="74"/>
      <c r="Y23" s="74"/>
    </row>
    <row r="24" spans="1:25" x14ac:dyDescent="0.3">
      <c r="A24" s="66">
        <f t="shared" si="7"/>
        <v>1991.6999999999985</v>
      </c>
      <c r="B24" s="67">
        <f>LOOKUP(A24+0.01,AmountsB!$A$4:$A$103,AmountsB!$B$4:$B$103)*0.1*$A$2</f>
        <v>0</v>
      </c>
      <c r="C24" s="68">
        <f t="shared" si="3"/>
        <v>0</v>
      </c>
      <c r="D24" s="67">
        <f t="array" ref="D24">SUM($B$7:$B19*$F$1009*EXP(-$F$1009*($A24-$A$7:$A19)))*$F$1010</f>
        <v>0</v>
      </c>
      <c r="E24" s="67">
        <f t="shared" si="0"/>
        <v>0</v>
      </c>
      <c r="F24" s="70">
        <f t="shared" si="8"/>
        <v>0</v>
      </c>
      <c r="G24" s="67">
        <f>E24/'Lookup Tables'!$C$48</f>
        <v>0</v>
      </c>
      <c r="H24" s="70" t="e">
        <f t="shared" si="1"/>
        <v>#DIV/0!</v>
      </c>
      <c r="I24" s="71">
        <f t="shared" si="9"/>
        <v>0</v>
      </c>
      <c r="J24" s="35">
        <f t="shared" si="6"/>
        <v>2006</v>
      </c>
      <c r="K24" s="75">
        <f>$G171</f>
        <v>492.3089902537572</v>
      </c>
      <c r="L24" s="75">
        <f>Calcs2b!K19</f>
        <v>122.86729593959666</v>
      </c>
      <c r="M24" s="75">
        <f>Calcs3b!K19</f>
        <v>270.62941342966718</v>
      </c>
      <c r="N24" s="75">
        <f>Calcs4b!K19</f>
        <v>8.4780249448228542</v>
      </c>
      <c r="O24" s="74"/>
      <c r="P24" s="74"/>
      <c r="Q24" s="74"/>
      <c r="R24" s="74"/>
      <c r="S24" s="74"/>
      <c r="T24" s="74"/>
      <c r="U24" s="74"/>
      <c r="V24" s="74"/>
      <c r="W24" s="74"/>
      <c r="X24" s="74"/>
      <c r="Y24" s="74"/>
    </row>
    <row r="25" spans="1:25" x14ac:dyDescent="0.3">
      <c r="A25" s="66">
        <f t="shared" si="7"/>
        <v>1991.7999999999984</v>
      </c>
      <c r="B25" s="67">
        <f>LOOKUP(A25+0.01,AmountsB!$A$4:$A$103,AmountsB!$B$4:$B$103)*0.1*$A$2</f>
        <v>0</v>
      </c>
      <c r="C25" s="68">
        <f t="shared" si="3"/>
        <v>0</v>
      </c>
      <c r="D25" s="67">
        <f t="array" ref="D25">SUM($B$7:$B20*$F$1009*EXP(-$F$1009*($A25-$A$7:$A20)))*$F$1010</f>
        <v>0</v>
      </c>
      <c r="E25" s="67">
        <f t="shared" si="0"/>
        <v>0</v>
      </c>
      <c r="F25" s="70">
        <f t="shared" si="8"/>
        <v>0</v>
      </c>
      <c r="G25" s="67">
        <f>E25/'Lookup Tables'!$C$48</f>
        <v>0</v>
      </c>
      <c r="H25" s="70" t="e">
        <f t="shared" si="1"/>
        <v>#DIV/0!</v>
      </c>
      <c r="I25" s="71">
        <f t="shared" si="9"/>
        <v>0</v>
      </c>
      <c r="J25" s="35">
        <f t="shared" si="6"/>
        <v>2007</v>
      </c>
      <c r="K25" s="75">
        <f>$G181</f>
        <v>548.25804930231652</v>
      </c>
      <c r="L25" s="75">
        <f>Calcs2b!K20</f>
        <v>140.40056248941966</v>
      </c>
      <c r="M25" s="75">
        <f>Calcs3b!K20</f>
        <v>314.83143169805868</v>
      </c>
      <c r="N25" s="75">
        <f>Calcs4b!K20</f>
        <v>9.9258965704361746</v>
      </c>
      <c r="O25" s="74"/>
      <c r="P25" s="74"/>
      <c r="Q25" s="74"/>
      <c r="R25" s="74"/>
      <c r="S25" s="74"/>
      <c r="T25" s="74"/>
      <c r="U25" s="74"/>
      <c r="V25" s="74"/>
      <c r="W25" s="74"/>
      <c r="X25" s="74"/>
      <c r="Y25" s="74"/>
    </row>
    <row r="26" spans="1:25" x14ac:dyDescent="0.3">
      <c r="A26" s="66">
        <f t="shared" si="7"/>
        <v>1991.8999999999983</v>
      </c>
      <c r="B26" s="67">
        <f>LOOKUP(A26+0.01,AmountsB!$A$4:$A$103,AmountsB!$B$4:$B$103)*0.1*$A$2</f>
        <v>0</v>
      </c>
      <c r="C26" s="68">
        <f t="shared" si="3"/>
        <v>0</v>
      </c>
      <c r="D26" s="67">
        <f t="array" ref="D26">SUM($B$7:$B21*$F$1009*EXP(-$F$1009*($A26-$A$7:$A21)))*$F$1010</f>
        <v>0</v>
      </c>
      <c r="E26" s="67">
        <f t="shared" si="0"/>
        <v>0</v>
      </c>
      <c r="F26" s="70">
        <f t="shared" si="8"/>
        <v>0</v>
      </c>
      <c r="G26" s="67">
        <f>E26/'Lookup Tables'!$C$48</f>
        <v>0</v>
      </c>
      <c r="H26" s="70" t="e">
        <f t="shared" si="1"/>
        <v>#DIV/0!</v>
      </c>
      <c r="I26" s="71">
        <f t="shared" si="9"/>
        <v>0</v>
      </c>
      <c r="J26" s="35">
        <f t="shared" si="6"/>
        <v>2008</v>
      </c>
      <c r="K26" s="75">
        <f>$G191</f>
        <v>599.30205948542766</v>
      </c>
      <c r="L26" s="75">
        <f>Calcs2b!K21</f>
        <v>157.2650393794122</v>
      </c>
      <c r="M26" s="75">
        <f>Calcs3b!K21</f>
        <v>358.84599169350111</v>
      </c>
      <c r="N26" s="75">
        <f>Calcs4b!K21</f>
        <v>11.384940053225034</v>
      </c>
      <c r="O26" s="74"/>
      <c r="P26" s="74"/>
      <c r="Q26" s="74"/>
      <c r="R26" s="74"/>
      <c r="S26" s="74"/>
      <c r="T26" s="74"/>
      <c r="U26" s="74"/>
      <c r="V26" s="74"/>
      <c r="W26" s="74"/>
      <c r="X26" s="74"/>
      <c r="Y26" s="74"/>
    </row>
    <row r="27" spans="1:25" x14ac:dyDescent="0.3">
      <c r="A27" s="66">
        <f t="shared" si="7"/>
        <v>1991.9999999999982</v>
      </c>
      <c r="B27" s="67">
        <f>LOOKUP(A27+0.01,AmountsB!$A$4:$A$103,AmountsB!$B$4:$B$103)*0.1*$A$2</f>
        <v>0</v>
      </c>
      <c r="C27" s="68">
        <f t="shared" si="3"/>
        <v>0</v>
      </c>
      <c r="D27" s="67">
        <f t="array" ref="D27">SUM($B$7:$B22*$F$1009*EXP(-$F$1009*($A27-$A$7:$A22)))*$F$1010</f>
        <v>0</v>
      </c>
      <c r="E27" s="67">
        <f t="shared" si="0"/>
        <v>0</v>
      </c>
      <c r="F27" s="70">
        <f t="shared" si="8"/>
        <v>0</v>
      </c>
      <c r="G27" s="67">
        <f>E27/'Lookup Tables'!$C$48</f>
        <v>0</v>
      </c>
      <c r="H27" s="70" t="e">
        <f t="shared" si="1"/>
        <v>#DIV/0!</v>
      </c>
      <c r="I27" s="71">
        <f t="shared" si="9"/>
        <v>0</v>
      </c>
      <c r="J27" s="35">
        <f t="shared" si="6"/>
        <v>2009</v>
      </c>
      <c r="K27" s="75">
        <f>$G201</f>
        <v>646.13210969459124</v>
      </c>
      <c r="L27" s="75">
        <f>Calcs2b!K22</f>
        <v>173.51674495024378</v>
      </c>
      <c r="M27" s="75">
        <f>Calcs3b!K22</f>
        <v>402.69987533562244</v>
      </c>
      <c r="N27" s="75">
        <f>Calcs4b!K22</f>
        <v>12.855654734787674</v>
      </c>
      <c r="O27" s="74"/>
      <c r="P27" s="74"/>
      <c r="Q27" s="74"/>
      <c r="R27" s="74"/>
      <c r="S27" s="74"/>
      <c r="T27" s="74"/>
      <c r="U27" s="74"/>
      <c r="V27" s="74"/>
      <c r="W27" s="74"/>
      <c r="X27" s="74"/>
      <c r="Y27" s="74"/>
    </row>
    <row r="28" spans="1:25" x14ac:dyDescent="0.3">
      <c r="A28" s="66">
        <f t="shared" si="7"/>
        <v>1992.0999999999981</v>
      </c>
      <c r="B28" s="67">
        <f>LOOKUP(A28+0.01,AmountsB!$A$4:$A$103,AmountsB!$B$4:$B$103)*0.1*$A$2</f>
        <v>0</v>
      </c>
      <c r="C28" s="68">
        <f t="shared" si="3"/>
        <v>0</v>
      </c>
      <c r="D28" s="67">
        <f t="array" ref="D28">SUM($B$7:$B23*$F$1009*EXP(-$F$1009*($A28-$A$7:$A23)))*$F$1010</f>
        <v>0</v>
      </c>
      <c r="E28" s="67">
        <f t="shared" si="0"/>
        <v>0</v>
      </c>
      <c r="F28" s="70">
        <f t="shared" si="8"/>
        <v>0</v>
      </c>
      <c r="G28" s="67">
        <f>E28/'Lookup Tables'!$C$48</f>
        <v>0</v>
      </c>
      <c r="H28" s="70" t="e">
        <f t="shared" si="1"/>
        <v>#DIV/0!</v>
      </c>
      <c r="I28" s="71">
        <f t="shared" si="9"/>
        <v>0</v>
      </c>
      <c r="J28" s="35">
        <f t="shared" si="6"/>
        <v>2010</v>
      </c>
      <c r="K28" s="75">
        <f>$G211</f>
        <v>689.34586095826114</v>
      </c>
      <c r="L28" s="75">
        <f>Calcs2b!K23</f>
        <v>189.20723510490086</v>
      </c>
      <c r="M28" s="75">
        <f>Calcs3b!K23</f>
        <v>446.41777468334777</v>
      </c>
      <c r="N28" s="75">
        <f>Calcs4b!K23</f>
        <v>14.338492098532374</v>
      </c>
      <c r="O28" s="74"/>
      <c r="P28" s="74"/>
      <c r="Q28" s="74"/>
      <c r="R28" s="74"/>
      <c r="S28" s="74"/>
      <c r="T28" s="74"/>
      <c r="U28" s="74"/>
      <c r="V28" s="74"/>
      <c r="W28" s="74"/>
      <c r="X28" s="74"/>
      <c r="Y28" s="74"/>
    </row>
    <row r="29" spans="1:25" x14ac:dyDescent="0.3">
      <c r="A29" s="66">
        <f t="shared" si="7"/>
        <v>1992.199999999998</v>
      </c>
      <c r="B29" s="67">
        <f>LOOKUP(A29+0.01,AmountsB!$A$4:$A$103,AmountsB!$B$4:$B$103)*0.1*$A$2</f>
        <v>0</v>
      </c>
      <c r="C29" s="68">
        <f t="shared" si="3"/>
        <v>0</v>
      </c>
      <c r="D29" s="67">
        <f t="array" ref="D29">SUM($B$7:$B24*$F$1009*EXP(-$F$1009*($A29-$A$7:$A24)))*$F$1010</f>
        <v>0</v>
      </c>
      <c r="E29" s="67">
        <f t="shared" si="0"/>
        <v>0</v>
      </c>
      <c r="F29" s="70">
        <f t="shared" si="8"/>
        <v>0</v>
      </c>
      <c r="G29" s="67">
        <f>E29/'Lookup Tables'!$C$48</f>
        <v>0</v>
      </c>
      <c r="H29" s="70" t="e">
        <f t="shared" si="1"/>
        <v>#DIV/0!</v>
      </c>
      <c r="I29" s="71">
        <f t="shared" si="9"/>
        <v>0</v>
      </c>
      <c r="J29" s="35">
        <f t="shared" si="6"/>
        <v>2011</v>
      </c>
      <c r="K29" s="75">
        <f>$G221</f>
        <v>729.46603760426683</v>
      </c>
      <c r="L29" s="75">
        <f>Calcs2b!K24</f>
        <v>204.38525550036306</v>
      </c>
      <c r="M29" s="75">
        <f>Calcs3b!K24</f>
        <v>490.02505037568937</v>
      </c>
      <c r="N29" s="75">
        <f>Calcs4b!K24</f>
        <v>15.833938267254796</v>
      </c>
      <c r="O29" s="74"/>
      <c r="P29" s="74"/>
      <c r="Q29" s="74"/>
      <c r="R29" s="74"/>
      <c r="S29" s="74"/>
      <c r="T29" s="74"/>
      <c r="U29" s="74"/>
      <c r="V29" s="74"/>
      <c r="W29" s="74"/>
      <c r="X29" s="74"/>
      <c r="Y29" s="74"/>
    </row>
    <row r="30" spans="1:25" x14ac:dyDescent="0.3">
      <c r="A30" s="66">
        <f t="shared" si="7"/>
        <v>1992.2999999999979</v>
      </c>
      <c r="B30" s="67">
        <f>LOOKUP(A30+0.01,AmountsB!$A$4:$A$103,AmountsB!$B$4:$B$103)*0.1*$A$2</f>
        <v>0</v>
      </c>
      <c r="C30" s="68">
        <f t="shared" si="3"/>
        <v>0</v>
      </c>
      <c r="D30" s="67">
        <f t="array" ref="D30">SUM($B$7:$B25*$F$1009*EXP(-$F$1009*($A30-$A$7:$A25)))*$F$1010</f>
        <v>0</v>
      </c>
      <c r="E30" s="67">
        <f t="shared" si="0"/>
        <v>0</v>
      </c>
      <c r="F30" s="70">
        <f t="shared" si="8"/>
        <v>0</v>
      </c>
      <c r="G30" s="67">
        <f>E30/'Lookup Tables'!$C$48</f>
        <v>0</v>
      </c>
      <c r="H30" s="70" t="e">
        <f t="shared" si="1"/>
        <v>#DIV/0!</v>
      </c>
      <c r="I30" s="71">
        <f t="shared" si="9"/>
        <v>0</v>
      </c>
      <c r="J30" s="35">
        <f t="shared" si="6"/>
        <v>2012</v>
      </c>
      <c r="K30" s="75">
        <f>$G231</f>
        <v>766.94707433185044</v>
      </c>
      <c r="L30" s="75">
        <f>Calcs2b!K25</f>
        <v>219.0962562859452</v>
      </c>
      <c r="M30" s="75">
        <f>Calcs3b!K25</f>
        <v>533.54636280299701</v>
      </c>
      <c r="N30" s="75">
        <f>Calcs4b!K25</f>
        <v>17.342472605449966</v>
      </c>
      <c r="O30" s="74"/>
      <c r="P30" s="74"/>
      <c r="Q30" s="74"/>
      <c r="R30" s="74"/>
      <c r="S30" s="74"/>
      <c r="T30" s="74"/>
      <c r="U30" s="74"/>
      <c r="V30" s="74"/>
      <c r="W30" s="74"/>
      <c r="X30" s="74"/>
      <c r="Y30" s="74"/>
    </row>
    <row r="31" spans="1:25" x14ac:dyDescent="0.3">
      <c r="A31" s="66">
        <f t="shared" si="7"/>
        <v>1992.3999999999978</v>
      </c>
      <c r="B31" s="67">
        <f>LOOKUP(A31+0.01,AmountsB!$A$4:$A$103,AmountsB!$B$4:$B$103)*0.1*$A$2</f>
        <v>0</v>
      </c>
      <c r="C31" s="68">
        <f t="shared" si="3"/>
        <v>0</v>
      </c>
      <c r="D31" s="67">
        <f t="array" ref="D31">SUM($B$7:$B26*$F$1009*EXP(-$F$1009*($A31-$A$7:$A26)))*$F$1010</f>
        <v>0</v>
      </c>
      <c r="E31" s="67">
        <f t="shared" si="0"/>
        <v>0</v>
      </c>
      <c r="F31" s="70">
        <f t="shared" si="8"/>
        <v>0</v>
      </c>
      <c r="G31" s="67">
        <f>E31/'Lookup Tables'!$C$48</f>
        <v>0</v>
      </c>
      <c r="H31" s="70" t="e">
        <f t="shared" si="1"/>
        <v>#DIV/0!</v>
      </c>
      <c r="I31" s="71">
        <f t="shared" si="9"/>
        <v>0</v>
      </c>
      <c r="J31" s="35">
        <f t="shared" si="6"/>
        <v>2013</v>
      </c>
      <c r="K31" s="75">
        <f>$G241</f>
        <v>808.17733968109519</v>
      </c>
      <c r="L31" s="75">
        <f>Calcs2b!K26</f>
        <v>234.67031980631114</v>
      </c>
      <c r="M31" s="75">
        <f>Calcs3b!K26</f>
        <v>579.58084352239405</v>
      </c>
      <c r="N31" s="75">
        <f>Calcs4b!K26</f>
        <v>18.94259484554313</v>
      </c>
      <c r="O31" s="74"/>
      <c r="P31" s="74"/>
      <c r="Q31" s="74"/>
      <c r="R31" s="74"/>
      <c r="S31" s="74"/>
      <c r="T31" s="74"/>
      <c r="U31" s="74"/>
      <c r="V31" s="74"/>
      <c r="W31" s="74"/>
      <c r="X31" s="74"/>
      <c r="Y31" s="74"/>
    </row>
    <row r="32" spans="1:25" x14ac:dyDescent="0.3">
      <c r="A32" s="66">
        <f t="shared" si="7"/>
        <v>1992.4999999999977</v>
      </c>
      <c r="B32" s="67">
        <f>LOOKUP(A32+0.01,AmountsB!$A$4:$A$103,AmountsB!$B$4:$B$103)*0.1*$A$2</f>
        <v>0</v>
      </c>
      <c r="C32" s="68">
        <f t="shared" si="3"/>
        <v>0</v>
      </c>
      <c r="D32" s="67">
        <f t="array" ref="D32">SUM($B$7:$B27*$F$1009*EXP(-$F$1009*($A32-$A$7:$A27)))*$F$1010</f>
        <v>0</v>
      </c>
      <c r="E32" s="67">
        <f t="shared" si="0"/>
        <v>0</v>
      </c>
      <c r="F32" s="70">
        <f t="shared" si="8"/>
        <v>0</v>
      </c>
      <c r="G32" s="67">
        <f>E32/'Lookup Tables'!$C$48</f>
        <v>0</v>
      </c>
      <c r="H32" s="70" t="e">
        <f t="shared" si="1"/>
        <v>#DIV/0!</v>
      </c>
      <c r="I32" s="71">
        <f t="shared" si="9"/>
        <v>0</v>
      </c>
      <c r="J32" s="35">
        <f t="shared" si="6"/>
        <v>2014</v>
      </c>
      <c r="K32" s="75">
        <f>$G251</f>
        <v>846.84972210005537</v>
      </c>
      <c r="L32" s="75">
        <f>Calcs2b!K27</f>
        <v>249.79920687313896</v>
      </c>
      <c r="M32" s="75">
        <f>Calcs3b!K27</f>
        <v>625.55956838934549</v>
      </c>
      <c r="N32" s="75">
        <f>Calcs4b!K27</f>
        <v>20.557295960976663</v>
      </c>
      <c r="O32" s="74">
        <f t="shared" ref="O32:O95" si="10">SUM(K32:N32)</f>
        <v>1742.7657933235166</v>
      </c>
      <c r="P32" s="74"/>
      <c r="Q32" s="74"/>
      <c r="R32" s="74"/>
      <c r="S32" s="74"/>
      <c r="T32" s="74"/>
      <c r="U32" s="74"/>
      <c r="V32" s="74"/>
      <c r="W32" s="74"/>
      <c r="X32" s="74"/>
      <c r="Y32" s="74"/>
    </row>
    <row r="33" spans="1:25" x14ac:dyDescent="0.3">
      <c r="A33" s="66">
        <f t="shared" si="7"/>
        <v>1992.5999999999976</v>
      </c>
      <c r="B33" s="67">
        <f>LOOKUP(A33+0.01,AmountsB!$A$4:$A$103,AmountsB!$B$4:$B$103)*0.1*$A$2</f>
        <v>0</v>
      </c>
      <c r="C33" s="68">
        <f t="shared" si="3"/>
        <v>0</v>
      </c>
      <c r="D33" s="67">
        <f t="array" ref="D33">SUM($B$7:$B28*$F$1009*EXP(-$F$1009*($A33-$A$7:$A28)))*$F$1010</f>
        <v>0</v>
      </c>
      <c r="E33" s="67">
        <f t="shared" si="0"/>
        <v>0</v>
      </c>
      <c r="F33" s="70">
        <f t="shared" si="8"/>
        <v>0</v>
      </c>
      <c r="G33" s="67">
        <f>E33/'Lookup Tables'!$C$48</f>
        <v>0</v>
      </c>
      <c r="H33" s="70" t="e">
        <f t="shared" si="1"/>
        <v>#DIV/0!</v>
      </c>
      <c r="I33" s="71">
        <f t="shared" si="9"/>
        <v>0</v>
      </c>
      <c r="J33" s="35">
        <f t="shared" si="6"/>
        <v>2015</v>
      </c>
      <c r="K33" s="75">
        <f>$G261</f>
        <v>883.35495816218497</v>
      </c>
      <c r="L33" s="75">
        <f>Calcs2b!K28</f>
        <v>264.52516869571252</v>
      </c>
      <c r="M33" s="75">
        <f>Calcs3b!K28</f>
        <v>671.50838354087136</v>
      </c>
      <c r="N33" s="75">
        <f>Calcs4b!K28</f>
        <v>22.187109759660597</v>
      </c>
      <c r="O33" s="74">
        <f t="shared" si="10"/>
        <v>1841.5756201584295</v>
      </c>
      <c r="P33" s="74"/>
      <c r="Q33" s="74"/>
      <c r="R33" s="74"/>
      <c r="S33" s="74"/>
      <c r="T33" s="74"/>
      <c r="U33" s="74"/>
      <c r="V33" s="74"/>
      <c r="W33" s="74"/>
      <c r="X33" s="74"/>
      <c r="Y33" s="74"/>
    </row>
    <row r="34" spans="1:25" x14ac:dyDescent="0.3">
      <c r="A34" s="66">
        <f t="shared" si="7"/>
        <v>1992.6999999999975</v>
      </c>
      <c r="B34" s="67">
        <f>LOOKUP(A34+0.01,AmountsB!$A$4:$A$103,AmountsB!$B$4:$B$103)*0.1*$A$2</f>
        <v>0</v>
      </c>
      <c r="C34" s="68">
        <f t="shared" si="3"/>
        <v>0</v>
      </c>
      <c r="D34" s="67">
        <f t="array" ref="D34">SUM($B$7:$B29*$F$1009*EXP(-$F$1009*($A34-$A$7:$A29)))*$F$1010</f>
        <v>0</v>
      </c>
      <c r="E34" s="67">
        <f t="shared" si="0"/>
        <v>0</v>
      </c>
      <c r="F34" s="70">
        <f t="shared" si="8"/>
        <v>0</v>
      </c>
      <c r="G34" s="67">
        <f>E34/'Lookup Tables'!$C$48</f>
        <v>0</v>
      </c>
      <c r="H34" s="70" t="e">
        <f t="shared" si="1"/>
        <v>#DIV/0!</v>
      </c>
      <c r="I34" s="71">
        <f t="shared" si="9"/>
        <v>0</v>
      </c>
      <c r="J34" s="35">
        <f t="shared" si="6"/>
        <v>2016</v>
      </c>
      <c r="K34" s="75">
        <f>$G271</f>
        <v>918.0327379254868</v>
      </c>
      <c r="L34" s="75">
        <f>Calcs2b!K29</f>
        <v>278.88760004045156</v>
      </c>
      <c r="M34" s="75">
        <f>Calcs3b!K29</f>
        <v>717.45242145993711</v>
      </c>
      <c r="N34" s="75">
        <f>Calcs4b!K29</f>
        <v>23.832562628264096</v>
      </c>
      <c r="O34" s="74">
        <f t="shared" si="10"/>
        <v>1938.2053220541395</v>
      </c>
      <c r="P34" s="74"/>
      <c r="Q34" s="74"/>
      <c r="R34" s="74"/>
      <c r="S34" s="74"/>
      <c r="T34" s="74"/>
      <c r="U34" s="74"/>
      <c r="V34" s="74"/>
      <c r="W34" s="74"/>
      <c r="X34" s="74"/>
      <c r="Y34" s="74"/>
    </row>
    <row r="35" spans="1:25" x14ac:dyDescent="0.3">
      <c r="A35" s="66">
        <f t="shared" si="7"/>
        <v>1992.7999999999975</v>
      </c>
      <c r="B35" s="67">
        <f>LOOKUP(A35+0.01,AmountsB!$A$4:$A$103,AmountsB!$B$4:$B$103)*0.1*$A$2</f>
        <v>0</v>
      </c>
      <c r="C35" s="68">
        <f t="shared" si="3"/>
        <v>0</v>
      </c>
      <c r="D35" s="67">
        <f t="array" ref="D35">SUM($B$7:$B30*$F$1009*EXP(-$F$1009*($A35-$A$7:$A30)))*$F$1010</f>
        <v>0</v>
      </c>
      <c r="E35" s="67">
        <f t="shared" si="0"/>
        <v>0</v>
      </c>
      <c r="F35" s="70">
        <f t="shared" si="8"/>
        <v>0</v>
      </c>
      <c r="G35" s="67">
        <f>E35/'Lookup Tables'!$C$48</f>
        <v>0</v>
      </c>
      <c r="H35" s="70" t="e">
        <f t="shared" si="1"/>
        <v>#DIV/0!</v>
      </c>
      <c r="I35" s="71">
        <f t="shared" si="9"/>
        <v>0</v>
      </c>
      <c r="J35" s="35">
        <f t="shared" si="6"/>
        <v>2017</v>
      </c>
      <c r="K35" s="75">
        <f>$G281</f>
        <v>951.18151653013683</v>
      </c>
      <c r="L35" s="75">
        <f>Calcs2b!K30</f>
        <v>292.92390759575778</v>
      </c>
      <c r="M35" s="75">
        <f>Calcs3b!K30</f>
        <v>763.41747104876504</v>
      </c>
      <c r="N35" s="75">
        <f>Calcs4b!K30</f>
        <v>25.494214551504523</v>
      </c>
      <c r="O35" s="74">
        <f t="shared" si="10"/>
        <v>2033.0171097261641</v>
      </c>
      <c r="P35" s="74"/>
      <c r="Q35" s="74"/>
      <c r="R35" s="74"/>
      <c r="S35" s="74"/>
      <c r="T35" s="74"/>
      <c r="U35" s="74"/>
      <c r="V35" s="74"/>
      <c r="W35" s="74"/>
      <c r="X35" s="74"/>
      <c r="Y35" s="74"/>
    </row>
    <row r="36" spans="1:25" x14ac:dyDescent="0.3">
      <c r="A36" s="66">
        <f t="shared" si="7"/>
        <v>1992.8999999999974</v>
      </c>
      <c r="B36" s="67">
        <f>LOOKUP(A36+0.01,AmountsB!$A$4:$A$103,AmountsB!$B$4:$B$103)*0.1*$A$2</f>
        <v>0</v>
      </c>
      <c r="C36" s="68">
        <f t="shared" si="3"/>
        <v>0</v>
      </c>
      <c r="D36" s="67">
        <f t="array" ref="D36">SUM($B$7:$B31*$F$1009*EXP(-$F$1009*($A36-$A$7:$A31)))*$F$1010</f>
        <v>0</v>
      </c>
      <c r="E36" s="67">
        <f t="shared" si="0"/>
        <v>0</v>
      </c>
      <c r="F36" s="70">
        <f t="shared" si="8"/>
        <v>0</v>
      </c>
      <c r="G36" s="67">
        <f>E36/'Lookup Tables'!$C$48</f>
        <v>0</v>
      </c>
      <c r="H36" s="70" t="e">
        <f t="shared" si="1"/>
        <v>#DIV/0!</v>
      </c>
      <c r="I36" s="71">
        <f t="shared" si="9"/>
        <v>0</v>
      </c>
      <c r="J36" s="35">
        <f t="shared" si="6"/>
        <v>2018</v>
      </c>
      <c r="K36" s="75">
        <f>$G291</f>
        <v>826.91748475470547</v>
      </c>
      <c r="L36" s="75">
        <f>Calcs2b!K31</f>
        <v>273.12044114500276</v>
      </c>
      <c r="M36" s="75">
        <f>Calcs3b!K31</f>
        <v>742.33826786066572</v>
      </c>
      <c r="N36" s="75">
        <f>Calcs4b!K31</f>
        <v>25.139782362149475</v>
      </c>
      <c r="O36" s="74">
        <f t="shared" si="10"/>
        <v>1867.5159761225234</v>
      </c>
      <c r="P36" s="74"/>
      <c r="Q36" s="74"/>
      <c r="R36" s="74"/>
      <c r="S36" s="74"/>
      <c r="T36" s="74"/>
      <c r="U36" s="74"/>
      <c r="V36" s="74"/>
      <c r="W36" s="74"/>
      <c r="X36" s="74"/>
      <c r="Y36" s="74"/>
    </row>
    <row r="37" spans="1:25" x14ac:dyDescent="0.3">
      <c r="A37" s="66">
        <f t="shared" si="7"/>
        <v>1992.9999999999973</v>
      </c>
      <c r="B37" s="67">
        <f>LOOKUP(A37+0.01,AmountsB!$A$4:$A$103,AmountsB!$B$4:$B$103)*0.1*$A$2</f>
        <v>0</v>
      </c>
      <c r="C37" s="68">
        <f t="shared" si="3"/>
        <v>0</v>
      </c>
      <c r="D37" s="67">
        <f t="array" ref="D37">SUM($B$7:$B32*$F$1009*EXP(-$F$1009*($A37-$A$7:$A32)))*$F$1010</f>
        <v>0</v>
      </c>
      <c r="E37" s="67">
        <f t="shared" si="0"/>
        <v>0</v>
      </c>
      <c r="F37" s="70">
        <f t="shared" si="8"/>
        <v>0</v>
      </c>
      <c r="G37" s="67">
        <f>E37/'Lookup Tables'!$C$48</f>
        <v>0</v>
      </c>
      <c r="H37" s="70" t="e">
        <f t="shared" si="1"/>
        <v>#DIV/0!</v>
      </c>
      <c r="I37" s="71">
        <f t="shared" si="9"/>
        <v>0</v>
      </c>
      <c r="J37" s="35">
        <f t="shared" si="6"/>
        <v>2019</v>
      </c>
      <c r="K37" s="75">
        <f>$G301</f>
        <v>718.88752536686104</v>
      </c>
      <c r="L37" s="75">
        <f>Calcs2b!K32</f>
        <v>254.65581141360309</v>
      </c>
      <c r="M37" s="75">
        <f>Calcs3b!K32</f>
        <v>721.84109589911782</v>
      </c>
      <c r="N37" s="75">
        <f>Calcs4b!K32</f>
        <v>24.790277650618702</v>
      </c>
      <c r="O37" s="74">
        <f t="shared" si="10"/>
        <v>1720.1747103302007</v>
      </c>
      <c r="P37" s="74"/>
      <c r="Q37" s="74"/>
      <c r="R37" s="74"/>
      <c r="S37" s="74"/>
      <c r="T37" s="74"/>
      <c r="U37" s="74"/>
      <c r="V37" s="74"/>
      <c r="W37" s="74"/>
      <c r="X37" s="74"/>
      <c r="Y37" s="74"/>
    </row>
    <row r="38" spans="1:25" x14ac:dyDescent="0.3">
      <c r="A38" s="66">
        <f t="shared" si="7"/>
        <v>1993.0999999999972</v>
      </c>
      <c r="B38" s="67">
        <f>LOOKUP(A38+0.01,AmountsB!$A$4:$A$103,AmountsB!$B$4:$B$103)*0.1*$A$2</f>
        <v>0</v>
      </c>
      <c r="C38" s="68">
        <f t="shared" si="3"/>
        <v>0</v>
      </c>
      <c r="D38" s="67">
        <f t="array" ref="D38">SUM($B$7:$B33*$F$1009*EXP(-$F$1009*($A38-$A$7:$A33)))*$F$1010</f>
        <v>0</v>
      </c>
      <c r="E38" s="67">
        <f t="shared" si="0"/>
        <v>0</v>
      </c>
      <c r="F38" s="70">
        <f t="shared" si="8"/>
        <v>0</v>
      </c>
      <c r="G38" s="67">
        <f>E38/'Lookup Tables'!$C$48</f>
        <v>0</v>
      </c>
      <c r="H38" s="70" t="e">
        <f t="shared" si="1"/>
        <v>#DIV/0!</v>
      </c>
      <c r="I38" s="71">
        <f t="shared" si="9"/>
        <v>0</v>
      </c>
      <c r="J38" s="35">
        <f t="shared" si="6"/>
        <v>2020</v>
      </c>
      <c r="K38" s="75">
        <f>$G311</f>
        <v>624.97079050322782</v>
      </c>
      <c r="L38" s="75">
        <f>Calcs2b!K33</f>
        <v>237.43950476519331</v>
      </c>
      <c r="M38" s="75">
        <f>Calcs3b!K33</f>
        <v>701.90988433138307</v>
      </c>
      <c r="N38" s="75">
        <f>Calcs4b!K33</f>
        <v>24.445631912869935</v>
      </c>
      <c r="O38" s="74">
        <f t="shared" si="10"/>
        <v>1588.7658115126742</v>
      </c>
      <c r="P38" s="74"/>
      <c r="Q38" s="74"/>
      <c r="R38" s="74"/>
      <c r="S38" s="74"/>
      <c r="T38" s="74"/>
      <c r="U38" s="74"/>
      <c r="V38" s="74"/>
      <c r="W38" s="74"/>
      <c r="X38" s="74"/>
      <c r="Y38" s="74"/>
    </row>
    <row r="39" spans="1:25" x14ac:dyDescent="0.3">
      <c r="A39" s="66">
        <f t="shared" si="7"/>
        <v>1993.1999999999971</v>
      </c>
      <c r="B39" s="67">
        <f>LOOKUP(A39+0.01,AmountsB!$A$4:$A$103,AmountsB!$B$4:$B$103)*0.1*$A$2</f>
        <v>0</v>
      </c>
      <c r="C39" s="68">
        <f t="shared" si="3"/>
        <v>0</v>
      </c>
      <c r="D39" s="67">
        <f t="array" ref="D39">SUM($B$7:$B34*$F$1009*EXP(-$F$1009*($A39-$A$7:$A34)))*$F$1010</f>
        <v>0</v>
      </c>
      <c r="E39" s="67">
        <f t="shared" si="0"/>
        <v>0</v>
      </c>
      <c r="F39" s="70">
        <f t="shared" si="8"/>
        <v>0</v>
      </c>
      <c r="G39" s="67">
        <f>E39/'Lookup Tables'!$C$48</f>
        <v>0</v>
      </c>
      <c r="H39" s="70" t="e">
        <f t="shared" si="1"/>
        <v>#DIV/0!</v>
      </c>
      <c r="I39" s="71">
        <f t="shared" si="9"/>
        <v>0</v>
      </c>
      <c r="J39" s="35">
        <f t="shared" si="6"/>
        <v>2021</v>
      </c>
      <c r="K39" s="75">
        <f>$G321</f>
        <v>543.32350360775206</v>
      </c>
      <c r="L39" s="75">
        <f>Calcs2b!K34</f>
        <v>221.38712684460924</v>
      </c>
      <c r="M39" s="75">
        <f>Calcs3b!K34</f>
        <v>682.5290060666631</v>
      </c>
      <c r="N39" s="75">
        <f>Calcs4b!K34</f>
        <v>24.105777597235189</v>
      </c>
      <c r="O39" s="74">
        <f t="shared" si="10"/>
        <v>1471.3454141162595</v>
      </c>
      <c r="P39" s="74"/>
      <c r="Q39" s="74"/>
      <c r="R39" s="74"/>
      <c r="S39" s="74"/>
      <c r="T39" s="74"/>
      <c r="U39" s="74"/>
      <c r="V39" s="74"/>
      <c r="W39" s="74"/>
      <c r="X39" s="74"/>
      <c r="Y39" s="74"/>
    </row>
    <row r="40" spans="1:25" x14ac:dyDescent="0.3">
      <c r="A40" s="66">
        <f t="shared" si="7"/>
        <v>1993.299999999997</v>
      </c>
      <c r="B40" s="67">
        <f>LOOKUP(A40+0.01,AmountsB!$A$4:$A$103,AmountsB!$B$4:$B$103)*0.1*$A$2</f>
        <v>0</v>
      </c>
      <c r="C40" s="68">
        <f t="shared" si="3"/>
        <v>0</v>
      </c>
      <c r="D40" s="67">
        <f t="array" ref="D40">SUM($B$7:$B35*$F$1009*EXP(-$F$1009*($A40-$A$7:$A35)))*$F$1010</f>
        <v>0</v>
      </c>
      <c r="E40" s="67">
        <f t="shared" si="0"/>
        <v>0</v>
      </c>
      <c r="F40" s="70">
        <f t="shared" si="8"/>
        <v>0</v>
      </c>
      <c r="G40" s="67">
        <f>E40/'Lookup Tables'!$C$48</f>
        <v>0</v>
      </c>
      <c r="H40" s="70" t="e">
        <f t="shared" si="1"/>
        <v>#DIV/0!</v>
      </c>
      <c r="I40" s="71">
        <f t="shared" si="9"/>
        <v>0</v>
      </c>
      <c r="J40" s="35">
        <f t="shared" si="6"/>
        <v>2022</v>
      </c>
      <c r="K40" s="75">
        <f>$G331</f>
        <v>472.34276234719221</v>
      </c>
      <c r="L40" s="75">
        <f>Calcs2b!K35</f>
        <v>206.41998887666114</v>
      </c>
      <c r="M40" s="75">
        <f>Calcs3b!K35</f>
        <v>663.68326550365737</v>
      </c>
      <c r="N40" s="75">
        <f>Calcs4b!K35</f>
        <v>23.770648091180629</v>
      </c>
      <c r="O40" s="74">
        <f t="shared" si="10"/>
        <v>1366.2166648186912</v>
      </c>
      <c r="P40" s="74"/>
      <c r="Q40" s="74"/>
      <c r="R40" s="74"/>
      <c r="S40" s="74"/>
      <c r="T40" s="74"/>
      <c r="U40" s="74"/>
      <c r="V40" s="74"/>
      <c r="W40" s="74"/>
      <c r="X40" s="74"/>
      <c r="Y40" s="74"/>
    </row>
    <row r="41" spans="1:25" x14ac:dyDescent="0.3">
      <c r="A41" s="66">
        <f t="shared" si="7"/>
        <v>1993.3999999999969</v>
      </c>
      <c r="B41" s="67">
        <f>LOOKUP(A41+0.01,AmountsB!$A$4:$A$103,AmountsB!$B$4:$B$103)*0.1*$A$2</f>
        <v>0</v>
      </c>
      <c r="C41" s="68">
        <f t="shared" si="3"/>
        <v>0</v>
      </c>
      <c r="D41" s="67">
        <f t="array" ref="D41">SUM($B$7:$B36*$F$1009*EXP(-$F$1009*($A41-$A$7:$A36)))*$F$1010</f>
        <v>0</v>
      </c>
      <c r="E41" s="67">
        <f t="shared" si="0"/>
        <v>0</v>
      </c>
      <c r="F41" s="70">
        <f t="shared" si="8"/>
        <v>0</v>
      </c>
      <c r="G41" s="67">
        <f>E41/'Lookup Tables'!$C$48</f>
        <v>0</v>
      </c>
      <c r="H41" s="70" t="e">
        <f t="shared" si="1"/>
        <v>#DIV/0!</v>
      </c>
      <c r="I41" s="71">
        <f t="shared" si="9"/>
        <v>0</v>
      </c>
      <c r="J41" s="35">
        <f t="shared" si="6"/>
        <v>2023</v>
      </c>
      <c r="K41" s="75">
        <f>$G341</f>
        <v>410.63507037760485</v>
      </c>
      <c r="L41" s="75">
        <f>Calcs2b!K36</f>
        <v>192.46472193366566</v>
      </c>
      <c r="M41" s="75">
        <f>Calcs3b!K36</f>
        <v>645.35788661643642</v>
      </c>
      <c r="N41" s="75">
        <f>Calcs4b!K36</f>
        <v>23.440177708250214</v>
      </c>
      <c r="O41" s="74">
        <f t="shared" si="10"/>
        <v>1271.8978566359572</v>
      </c>
      <c r="P41" s="74"/>
      <c r="Q41" s="74"/>
      <c r="R41" s="74"/>
      <c r="S41" s="74"/>
      <c r="T41" s="74"/>
      <c r="U41" s="74"/>
      <c r="V41" s="74"/>
      <c r="W41" s="74"/>
      <c r="X41" s="74"/>
      <c r="Y41" s="74"/>
    </row>
    <row r="42" spans="1:25" x14ac:dyDescent="0.3">
      <c r="A42" s="66">
        <f t="shared" si="7"/>
        <v>1993.4999999999968</v>
      </c>
      <c r="B42" s="67">
        <f>LOOKUP(A42+0.01,AmountsB!$A$4:$A$103,AmountsB!$B$4:$B$103)*0.1*$A$2</f>
        <v>0</v>
      </c>
      <c r="C42" s="68">
        <f t="shared" si="3"/>
        <v>0</v>
      </c>
      <c r="D42" s="67">
        <f t="array" ref="D42">SUM($B$7:$B37*$F$1009*EXP(-$F$1009*($A42-$A$7:$A37)))*$F$1010</f>
        <v>0</v>
      </c>
      <c r="E42" s="67">
        <f t="shared" si="0"/>
        <v>0</v>
      </c>
      <c r="F42" s="70">
        <f t="shared" si="8"/>
        <v>0</v>
      </c>
      <c r="G42" s="67">
        <f>E42/'Lookup Tables'!$C$48</f>
        <v>0</v>
      </c>
      <c r="H42" s="70" t="e">
        <f t="shared" si="1"/>
        <v>#DIV/0!</v>
      </c>
      <c r="I42" s="71">
        <f t="shared" si="9"/>
        <v>0</v>
      </c>
      <c r="J42" s="35">
        <f t="shared" si="6"/>
        <v>2024</v>
      </c>
      <c r="K42" s="75">
        <f>$G351</f>
        <v>356.98898017638447</v>
      </c>
      <c r="L42" s="75">
        <f>Calcs2b!K37</f>
        <v>179.4529172808781</v>
      </c>
      <c r="M42" s="75">
        <f>Calcs3b!K37</f>
        <v>627.53850136927713</v>
      </c>
      <c r="N42" s="75">
        <f>Calcs4b!K37</f>
        <v>23.114301675190919</v>
      </c>
      <c r="O42" s="74">
        <f t="shared" si="10"/>
        <v>1187.0947005017308</v>
      </c>
      <c r="P42" s="74"/>
      <c r="Q42" s="74"/>
      <c r="R42" s="74"/>
      <c r="S42" s="74"/>
      <c r="T42" s="74"/>
      <c r="U42" s="74"/>
      <c r="V42" s="74"/>
      <c r="W42" s="74"/>
      <c r="X42" s="74"/>
      <c r="Y42" s="74"/>
    </row>
    <row r="43" spans="1:25" x14ac:dyDescent="0.3">
      <c r="A43" s="66">
        <f t="shared" si="7"/>
        <v>1993.5999999999967</v>
      </c>
      <c r="B43" s="67">
        <f>LOOKUP(A43+0.01,AmountsB!$A$4:$A$103,AmountsB!$B$4:$B$103)*0.1*$A$2</f>
        <v>0</v>
      </c>
      <c r="C43" s="68">
        <f t="shared" si="3"/>
        <v>0</v>
      </c>
      <c r="D43" s="67">
        <f t="array" ref="D43">SUM($B$7:$B38*$F$1009*EXP(-$F$1009*($A43-$A$7:$A38)))*$F$1010</f>
        <v>0</v>
      </c>
      <c r="E43" s="67">
        <f t="shared" si="0"/>
        <v>0</v>
      </c>
      <c r="F43" s="70">
        <f t="shared" si="8"/>
        <v>0</v>
      </c>
      <c r="G43" s="67">
        <f>E43/'Lookup Tables'!$C$48</f>
        <v>0</v>
      </c>
      <c r="H43" s="70" t="e">
        <f t="shared" si="1"/>
        <v>#DIV/0!</v>
      </c>
      <c r="I43" s="71">
        <f t="shared" si="9"/>
        <v>0</v>
      </c>
      <c r="J43" s="35">
        <f t="shared" si="6"/>
        <v>2025</v>
      </c>
      <c r="K43" s="75">
        <f>$G361</f>
        <v>310.35130986300044</v>
      </c>
      <c r="L43" s="75">
        <f>Calcs2b!K38</f>
        <v>167.32079103679467</v>
      </c>
      <c r="M43" s="75">
        <f>Calcs3b!K38</f>
        <v>610.21113845138927</v>
      </c>
      <c r="N43" s="75">
        <f>Calcs4b!K38</f>
        <v>22.792956119257003</v>
      </c>
      <c r="O43" s="74">
        <f t="shared" si="10"/>
        <v>1110.6761954704414</v>
      </c>
      <c r="P43" s="74"/>
      <c r="Q43" s="74"/>
      <c r="R43" s="74"/>
      <c r="S43" s="74"/>
      <c r="T43" s="74"/>
      <c r="U43" s="74"/>
      <c r="V43" s="74"/>
      <c r="W43" s="74"/>
      <c r="X43" s="74"/>
      <c r="Y43" s="74"/>
    </row>
    <row r="44" spans="1:25" x14ac:dyDescent="0.3">
      <c r="A44" s="66">
        <f t="shared" si="7"/>
        <v>1993.6999999999966</v>
      </c>
      <c r="B44" s="67">
        <f>LOOKUP(A44+0.01,AmountsB!$A$4:$A$103,AmountsB!$B$4:$B$103)*0.1*$A$2</f>
        <v>0</v>
      </c>
      <c r="C44" s="68">
        <f t="shared" si="3"/>
        <v>0</v>
      </c>
      <c r="D44" s="67">
        <f t="array" ref="D44">SUM($B$7:$B39*$F$1009*EXP(-$F$1009*($A44-$A$7:$A39)))*$F$1010</f>
        <v>0</v>
      </c>
      <c r="E44" s="67">
        <f t="shared" si="0"/>
        <v>0</v>
      </c>
      <c r="F44" s="70">
        <f t="shared" si="8"/>
        <v>0</v>
      </c>
      <c r="G44" s="67">
        <f>E44/'Lookup Tables'!$C$48</f>
        <v>0</v>
      </c>
      <c r="H44" s="70" t="e">
        <f t="shared" si="1"/>
        <v>#DIV/0!</v>
      </c>
      <c r="I44" s="71">
        <f t="shared" si="9"/>
        <v>0</v>
      </c>
      <c r="J44" s="35">
        <f t="shared" si="6"/>
        <v>2026</v>
      </c>
      <c r="K44" s="75">
        <f>$G371</f>
        <v>269.80646709624034</v>
      </c>
      <c r="L44" s="75">
        <f>Calcs2b!K39</f>
        <v>156.00887150449185</v>
      </c>
      <c r="M44" s="75">
        <f>Calcs3b!K39</f>
        <v>593.36221232269043</v>
      </c>
      <c r="N44" s="75">
        <f>Calcs4b!K39</f>
        <v>22.476078055690795</v>
      </c>
      <c r="O44" s="74">
        <f>SUM(K44:N44)</f>
        <v>1041.6536289791134</v>
      </c>
      <c r="P44" s="74"/>
      <c r="Q44" s="74"/>
      <c r="R44" s="74"/>
      <c r="S44" s="74"/>
      <c r="T44" s="74"/>
      <c r="U44" s="74"/>
      <c r="V44" s="74"/>
      <c r="W44" s="74"/>
      <c r="X44" s="74"/>
      <c r="Y44" s="74"/>
    </row>
    <row r="45" spans="1:25" x14ac:dyDescent="0.3">
      <c r="A45" s="66">
        <f t="shared" si="7"/>
        <v>1993.7999999999965</v>
      </c>
      <c r="B45" s="67">
        <f>LOOKUP(A45+0.01,AmountsB!$A$4:$A$103,AmountsB!$B$4:$B$103)*0.1*$A$2</f>
        <v>0</v>
      </c>
      <c r="C45" s="68">
        <f t="shared" si="3"/>
        <v>0</v>
      </c>
      <c r="D45" s="67">
        <f t="array" ref="D45">SUM($B$7:$B40*$F$1009*EXP(-$F$1009*($A45-$A$7:$A40)))*$F$1010</f>
        <v>0</v>
      </c>
      <c r="E45" s="67">
        <f t="shared" si="0"/>
        <v>0</v>
      </c>
      <c r="F45" s="70">
        <f t="shared" si="8"/>
        <v>0</v>
      </c>
      <c r="G45" s="67">
        <f>E45/'Lookup Tables'!$C$48</f>
        <v>0</v>
      </c>
      <c r="H45" s="70" t="e">
        <f t="shared" si="1"/>
        <v>#DIV/0!</v>
      </c>
      <c r="I45" s="71">
        <f t="shared" si="9"/>
        <v>0</v>
      </c>
      <c r="J45" s="35">
        <f t="shared" si="6"/>
        <v>2027</v>
      </c>
      <c r="K45" s="75">
        <f>$G381</f>
        <v>234.55847413400338</v>
      </c>
      <c r="L45" s="75">
        <f>Calcs2b!K40</f>
        <v>145.46170764129863</v>
      </c>
      <c r="M45" s="75">
        <f>Calcs3b!K40</f>
        <v>576.97851256205092</v>
      </c>
      <c r="N45" s="75">
        <f>Calcs4b!K40</f>
        <v>22.163605375377362</v>
      </c>
      <c r="O45" s="74">
        <f t="shared" si="10"/>
        <v>979.16229971273037</v>
      </c>
      <c r="P45" s="74"/>
      <c r="Q45" s="74"/>
      <c r="R45" s="74"/>
      <c r="S45" s="74"/>
      <c r="T45" s="74"/>
      <c r="U45" s="74"/>
      <c r="V45" s="74"/>
      <c r="W45" s="74"/>
      <c r="X45" s="74"/>
      <c r="Y45" s="74"/>
    </row>
    <row r="46" spans="1:25" x14ac:dyDescent="0.3">
      <c r="A46" s="66">
        <f t="shared" si="7"/>
        <v>1993.8999999999965</v>
      </c>
      <c r="B46" s="67">
        <f>LOOKUP(A46+0.01,AmountsB!$A$4:$A$103,AmountsB!$B$4:$B$103)*0.1*$A$2</f>
        <v>0</v>
      </c>
      <c r="C46" s="68">
        <f t="shared" si="3"/>
        <v>0</v>
      </c>
      <c r="D46" s="67">
        <f t="array" ref="D46">SUM($B$7:$B41*$F$1009*EXP(-$F$1009*($A46-$A$7:$A41)))*$F$1010</f>
        <v>0</v>
      </c>
      <c r="E46" s="67">
        <f t="shared" si="0"/>
        <v>0</v>
      </c>
      <c r="F46" s="70">
        <f t="shared" si="8"/>
        <v>0</v>
      </c>
      <c r="G46" s="67">
        <f>E46/'Lookup Tables'!$C$48</f>
        <v>0</v>
      </c>
      <c r="H46" s="70" t="e">
        <f t="shared" si="1"/>
        <v>#DIV/0!</v>
      </c>
      <c r="I46" s="71">
        <f t="shared" si="9"/>
        <v>0</v>
      </c>
      <c r="J46" s="35">
        <f t="shared" si="6"/>
        <v>2028</v>
      </c>
      <c r="K46" s="75">
        <f>$G391</f>
        <v>203.91534117099954</v>
      </c>
      <c r="L46" s="75">
        <f>Calcs2b!K41</f>
        <v>135.62759723772143</v>
      </c>
      <c r="M46" s="75">
        <f>Calcs3b!K41</f>
        <v>561.04719350963967</v>
      </c>
      <c r="N46" s="75">
        <f>Calcs4b!K41</f>
        <v>21.855476832671062</v>
      </c>
      <c r="O46" s="74">
        <f t="shared" si="10"/>
        <v>922.44560875103173</v>
      </c>
      <c r="P46" s="74"/>
      <c r="Q46" s="74"/>
      <c r="R46" s="74"/>
      <c r="S46" s="74"/>
      <c r="T46" s="74"/>
      <c r="U46" s="74"/>
      <c r="V46" s="74"/>
      <c r="W46" s="74"/>
      <c r="X46" s="74"/>
      <c r="Y46" s="74"/>
    </row>
    <row r="47" spans="1:25" x14ac:dyDescent="0.3">
      <c r="A47" s="66">
        <f t="shared" si="7"/>
        <v>1993.9999999999964</v>
      </c>
      <c r="B47" s="67">
        <f>LOOKUP(A47+0.01,AmountsB!$A$4:$A$103,AmountsB!$B$4:$B$103)*0.1*$A$2</f>
        <v>0</v>
      </c>
      <c r="C47" s="68">
        <f t="shared" si="3"/>
        <v>0</v>
      </c>
      <c r="D47" s="67">
        <f t="array" ref="D47">SUM($B$7:$B42*$F$1009*EXP(-$F$1009*($A47-$A$7:$A42)))*$F$1010</f>
        <v>0</v>
      </c>
      <c r="E47" s="67">
        <f t="shared" si="0"/>
        <v>0</v>
      </c>
      <c r="F47" s="70">
        <f t="shared" si="8"/>
        <v>0</v>
      </c>
      <c r="G47" s="67">
        <f>E47/'Lookup Tables'!$C$48</f>
        <v>0</v>
      </c>
      <c r="H47" s="70" t="e">
        <f t="shared" si="1"/>
        <v>#DIV/0!</v>
      </c>
      <c r="I47" s="71">
        <f t="shared" si="9"/>
        <v>0</v>
      </c>
      <c r="J47" s="35">
        <f t="shared" si="6"/>
        <v>2029</v>
      </c>
      <c r="K47" s="75">
        <f>$G401</f>
        <v>177.27548117118823</v>
      </c>
      <c r="L47" s="75">
        <f>Calcs2b!K42</f>
        <v>126.45833347315252</v>
      </c>
      <c r="M47" s="75">
        <f>Calcs3b!K42</f>
        <v>545.5557641952754</v>
      </c>
      <c r="N47" s="75">
        <f>Calcs4b!K42</f>
        <v>21.551632033391087</v>
      </c>
      <c r="O47" s="74">
        <f t="shared" si="10"/>
        <v>870.8412108730073</v>
      </c>
      <c r="P47" s="74"/>
      <c r="Q47" s="74"/>
      <c r="R47" s="74"/>
      <c r="S47" s="74"/>
      <c r="T47" s="74"/>
      <c r="U47" s="74"/>
      <c r="V47" s="74"/>
      <c r="W47" s="74"/>
      <c r="X47" s="74"/>
      <c r="Y47" s="74"/>
    </row>
    <row r="48" spans="1:25" x14ac:dyDescent="0.3">
      <c r="A48" s="66">
        <f t="shared" si="7"/>
        <v>1994.0999999999963</v>
      </c>
      <c r="B48" s="67">
        <f>LOOKUP(A48+0.01,AmountsB!$A$4:$A$103,AmountsB!$B$4:$B$103)*0.1*$A$2</f>
        <v>0</v>
      </c>
      <c r="C48" s="68">
        <f t="shared" si="3"/>
        <v>0</v>
      </c>
      <c r="D48" s="67">
        <f t="array" ref="D48">SUM($B$7:$B43*$F$1009*EXP(-$F$1009*($A48-$A$7:$A43)))*$F$1010</f>
        <v>0</v>
      </c>
      <c r="E48" s="67">
        <f t="shared" si="0"/>
        <v>0</v>
      </c>
      <c r="F48" s="70">
        <f t="shared" si="8"/>
        <v>0</v>
      </c>
      <c r="G48" s="67">
        <f>E48/'Lookup Tables'!$C$48</f>
        <v>0</v>
      </c>
      <c r="H48" s="70" t="e">
        <f t="shared" si="1"/>
        <v>#DIV/0!</v>
      </c>
      <c r="I48" s="71">
        <f t="shared" si="9"/>
        <v>0</v>
      </c>
      <c r="J48" s="35">
        <f t="shared" si="6"/>
        <v>2030</v>
      </c>
      <c r="K48" s="75">
        <f>$G411</f>
        <v>154.115899490478</v>
      </c>
      <c r="L48" s="75">
        <f>Calcs2b!K43</f>
        <v>117.90896860598043</v>
      </c>
      <c r="M48" s="75">
        <f>Calcs3b!K43</f>
        <v>530.49207854486349</v>
      </c>
      <c r="N48" s="75">
        <f>Calcs4b!K43</f>
        <v>21.252011422984051</v>
      </c>
      <c r="O48" s="74">
        <f t="shared" si="10"/>
        <v>823.76895806430605</v>
      </c>
      <c r="P48" s="74"/>
      <c r="Q48" s="74"/>
      <c r="R48" s="74"/>
      <c r="S48" s="74"/>
      <c r="T48" s="74"/>
      <c r="U48" s="74"/>
      <c r="V48" s="74"/>
      <c r="W48" s="74"/>
      <c r="X48" s="74"/>
      <c r="Y48" s="74"/>
    </row>
    <row r="49" spans="1:25" x14ac:dyDescent="0.3">
      <c r="A49" s="66">
        <f t="shared" si="7"/>
        <v>1994.1999999999962</v>
      </c>
      <c r="B49" s="67">
        <f>LOOKUP(A49+0.01,AmountsB!$A$4:$A$103,AmountsB!$B$4:$B$103)*0.1*$A$2</f>
        <v>0</v>
      </c>
      <c r="C49" s="68">
        <f t="shared" si="3"/>
        <v>0</v>
      </c>
      <c r="D49" s="67">
        <f t="array" ref="D49">SUM($B$7:$B44*$F$1009*EXP(-$F$1009*($A49-$A$7:$A44)))*$F$1010</f>
        <v>0</v>
      </c>
      <c r="E49" s="67">
        <f t="shared" si="0"/>
        <v>0</v>
      </c>
      <c r="F49" s="70">
        <f t="shared" si="8"/>
        <v>0</v>
      </c>
      <c r="G49" s="67">
        <f>E49/'Lookup Tables'!$C$48</f>
        <v>0</v>
      </c>
      <c r="H49" s="70" t="e">
        <f t="shared" si="1"/>
        <v>#DIV/0!</v>
      </c>
      <c r="I49" s="71">
        <f t="shared" si="9"/>
        <v>0</v>
      </c>
      <c r="J49" s="35">
        <f t="shared" si="6"/>
        <v>2031</v>
      </c>
      <c r="K49" s="75">
        <f>$G421</f>
        <v>133.98192642795877</v>
      </c>
      <c r="L49" s="75">
        <f>Calcs2b!K44</f>
        <v>109.93759363970752</v>
      </c>
      <c r="M49" s="75">
        <f>Calcs3b!K44</f>
        <v>515.84432585725153</v>
      </c>
      <c r="N49" s="75">
        <f>Calcs4b!K44</f>
        <v>20.956556274851131</v>
      </c>
      <c r="O49" s="74">
        <f t="shared" si="10"/>
        <v>780.72040219976896</v>
      </c>
      <c r="P49" s="74"/>
      <c r="Q49" s="74"/>
      <c r="R49" s="74"/>
      <c r="S49" s="74"/>
      <c r="T49" s="74"/>
      <c r="U49" s="74"/>
      <c r="V49" s="74"/>
      <c r="W49" s="74"/>
      <c r="X49" s="74"/>
      <c r="Y49" s="74"/>
    </row>
    <row r="50" spans="1:25" x14ac:dyDescent="0.3">
      <c r="A50" s="66">
        <f t="shared" si="7"/>
        <v>1994.2999999999961</v>
      </c>
      <c r="B50" s="67">
        <f>LOOKUP(A50+0.01,AmountsB!$A$4:$A$103,AmountsB!$B$4:$B$103)*0.1*$A$2</f>
        <v>0</v>
      </c>
      <c r="C50" s="68">
        <f t="shared" si="3"/>
        <v>0</v>
      </c>
      <c r="D50" s="67">
        <f t="array" ref="D50">SUM($B$7:$B45*$F$1009*EXP(-$F$1009*($A50-$A$7:$A45)))*$F$1010</f>
        <v>0</v>
      </c>
      <c r="E50" s="67">
        <f t="shared" si="0"/>
        <v>0</v>
      </c>
      <c r="F50" s="70">
        <f t="shared" si="8"/>
        <v>0</v>
      </c>
      <c r="G50" s="67">
        <f>E50/'Lookup Tables'!$C$48</f>
        <v>0</v>
      </c>
      <c r="H50" s="70" t="e">
        <f t="shared" si="1"/>
        <v>#DIV/0!</v>
      </c>
      <c r="I50" s="71">
        <f t="shared" si="9"/>
        <v>0</v>
      </c>
      <c r="J50" s="35">
        <f t="shared" si="6"/>
        <v>2032</v>
      </c>
      <c r="K50" s="75">
        <f>$G431</f>
        <v>116.4782911347577</v>
      </c>
      <c r="L50" s="75">
        <f>Calcs2b!K45</f>
        <v>102.50513288500134</v>
      </c>
      <c r="M50" s="75">
        <f>Calcs3b!K45</f>
        <v>501.60102154403597</v>
      </c>
      <c r="N50" s="75">
        <f>Calcs4b!K45</f>
        <v>20.665208678837445</v>
      </c>
      <c r="O50" s="74">
        <f t="shared" si="10"/>
        <v>741.24965424263246</v>
      </c>
      <c r="P50" s="74"/>
      <c r="Q50" s="74"/>
      <c r="R50" s="74"/>
      <c r="S50" s="74"/>
      <c r="T50" s="74"/>
      <c r="U50" s="74"/>
      <c r="V50" s="74"/>
      <c r="W50" s="74"/>
      <c r="X50" s="74"/>
      <c r="Y50" s="74"/>
    </row>
    <row r="51" spans="1:25" x14ac:dyDescent="0.3">
      <c r="A51" s="66">
        <f t="shared" si="7"/>
        <v>1994.399999999996</v>
      </c>
      <c r="B51" s="67">
        <f>LOOKUP(A51+0.01,AmountsB!$A$4:$A$103,AmountsB!$B$4:$B$103)*0.1*$A$2</f>
        <v>0</v>
      </c>
      <c r="C51" s="68">
        <f t="shared" si="3"/>
        <v>0</v>
      </c>
      <c r="D51" s="67">
        <f t="array" ref="D51">SUM($B$7:$B46*$F$1009*EXP(-$F$1009*($A51-$A$7:$A46)))*$F$1010</f>
        <v>0</v>
      </c>
      <c r="E51" s="67">
        <f t="shared" si="0"/>
        <v>0</v>
      </c>
      <c r="F51" s="70">
        <f t="shared" si="8"/>
        <v>0</v>
      </c>
      <c r="G51" s="67">
        <f>E51/'Lookup Tables'!$C$48</f>
        <v>0</v>
      </c>
      <c r="H51" s="70" t="e">
        <f t="shared" si="1"/>
        <v>#DIV/0!</v>
      </c>
      <c r="I51" s="71">
        <f t="shared" si="9"/>
        <v>0</v>
      </c>
      <c r="J51" s="35">
        <f t="shared" si="6"/>
        <v>2033</v>
      </c>
      <c r="K51" s="75">
        <f>$G441</f>
        <v>101.26136164319421</v>
      </c>
      <c r="L51" s="75">
        <f>Calcs2b!K46</f>
        <v>95.575152410619353</v>
      </c>
      <c r="M51" s="75">
        <f>Calcs3b!K46</f>
        <v>487.75099812505471</v>
      </c>
      <c r="N51" s="75">
        <f>Calcs4b!K46</f>
        <v>20.37791152988142</v>
      </c>
      <c r="O51" s="74">
        <f t="shared" si="10"/>
        <v>704.96542370874977</v>
      </c>
      <c r="P51" s="74"/>
      <c r="Q51" s="74"/>
      <c r="R51" s="74"/>
      <c r="S51" s="74"/>
      <c r="T51" s="74"/>
      <c r="U51" s="74"/>
      <c r="V51" s="74"/>
      <c r="W51" s="74"/>
      <c r="X51" s="74"/>
      <c r="Y51" s="74"/>
    </row>
    <row r="52" spans="1:25" x14ac:dyDescent="0.3">
      <c r="A52" s="66">
        <f t="shared" si="7"/>
        <v>1994.4999999999959</v>
      </c>
      <c r="B52" s="67">
        <f>LOOKUP(A52+0.01,AmountsB!$A$4:$A$103,AmountsB!$B$4:$B$103)*0.1*$A$2</f>
        <v>0</v>
      </c>
      <c r="C52" s="68">
        <f t="shared" si="3"/>
        <v>0</v>
      </c>
      <c r="D52" s="67">
        <f t="array" ref="D52">SUM($B$7:$B47*$F$1009*EXP(-$F$1009*($A52-$A$7:$A47)))*$F$1010</f>
        <v>0</v>
      </c>
      <c r="E52" s="67">
        <f t="shared" si="0"/>
        <v>0</v>
      </c>
      <c r="F52" s="70">
        <f t="shared" si="8"/>
        <v>0</v>
      </c>
      <c r="G52" s="67">
        <f>E52/'Lookup Tables'!$C$48</f>
        <v>0</v>
      </c>
      <c r="H52" s="70" t="e">
        <f t="shared" si="1"/>
        <v>#DIV/0!</v>
      </c>
      <c r="I52" s="71">
        <f t="shared" si="9"/>
        <v>0</v>
      </c>
      <c r="J52" s="35">
        <f t="shared" si="6"/>
        <v>2034</v>
      </c>
      <c r="K52" s="75">
        <f>$G451</f>
        <v>88.032398672218818</v>
      </c>
      <c r="L52" s="75">
        <f>Calcs2b!K47</f>
        <v>89.113681444236235</v>
      </c>
      <c r="M52" s="75">
        <f>Calcs3b!K47</f>
        <v>474.28339647251187</v>
      </c>
      <c r="N52" s="75">
        <f>Calcs4b!K47</f>
        <v>20.094608516822174</v>
      </c>
      <c r="O52" s="74">
        <f t="shared" si="10"/>
        <v>671.52408510578914</v>
      </c>
      <c r="P52" s="74"/>
      <c r="Q52" s="74"/>
      <c r="R52" s="74"/>
      <c r="S52" s="74"/>
      <c r="T52" s="74"/>
      <c r="U52" s="74"/>
      <c r="V52" s="74"/>
      <c r="W52" s="74"/>
      <c r="X52" s="74"/>
      <c r="Y52" s="74"/>
    </row>
    <row r="53" spans="1:25" x14ac:dyDescent="0.3">
      <c r="A53" s="66">
        <f t="shared" si="7"/>
        <v>1994.5999999999958</v>
      </c>
      <c r="B53" s="67">
        <f>LOOKUP(A53+0.01,AmountsB!$A$4:$A$103,AmountsB!$B$4:$B$103)*0.1*$A$2</f>
        <v>0</v>
      </c>
      <c r="C53" s="68">
        <f t="shared" si="3"/>
        <v>0</v>
      </c>
      <c r="D53" s="67">
        <f t="array" ref="D53">SUM($B$7:$B48*$F$1009*EXP(-$F$1009*($A53-$A$7:$A48)))*$F$1010</f>
        <v>0</v>
      </c>
      <c r="E53" s="67">
        <f t="shared" si="0"/>
        <v>0</v>
      </c>
      <c r="F53" s="70">
        <f t="shared" si="8"/>
        <v>0</v>
      </c>
      <c r="G53" s="67">
        <f>E53/'Lookup Tables'!$C$48</f>
        <v>0</v>
      </c>
      <c r="H53" s="70" t="e">
        <f t="shared" si="1"/>
        <v>#DIV/0!</v>
      </c>
      <c r="I53" s="71">
        <f t="shared" si="9"/>
        <v>0</v>
      </c>
      <c r="J53" s="35">
        <f t="shared" si="6"/>
        <v>2035</v>
      </c>
      <c r="K53" s="75">
        <f>$G461</f>
        <v>76.531690767614108</v>
      </c>
      <c r="L53" s="75">
        <f>Calcs2b!K48</f>
        <v>83.089045847678548</v>
      </c>
      <c r="M53" s="75">
        <f>Calcs3b!K48</f>
        <v>461.18765729686601</v>
      </c>
      <c r="N53" s="75">
        <f>Calcs4b!K48</f>
        <v>19.815244111362194</v>
      </c>
      <c r="O53" s="74">
        <f t="shared" si="10"/>
        <v>640.62363802352081</v>
      </c>
      <c r="P53" s="74"/>
      <c r="Q53" s="74"/>
      <c r="R53" s="74"/>
      <c r="S53" s="74"/>
      <c r="T53" s="74"/>
      <c r="U53" s="74"/>
      <c r="V53" s="74"/>
      <c r="W53" s="74"/>
      <c r="X53" s="74"/>
      <c r="Y53" s="74"/>
    </row>
    <row r="54" spans="1:25" x14ac:dyDescent="0.3">
      <c r="A54" s="66">
        <f t="shared" si="7"/>
        <v>1994.6999999999957</v>
      </c>
      <c r="B54" s="67">
        <f>LOOKUP(A54+0.01,AmountsB!$A$4:$A$103,AmountsB!$B$4:$B$103)*0.1*$A$2</f>
        <v>0</v>
      </c>
      <c r="C54" s="68">
        <f t="shared" si="3"/>
        <v>0</v>
      </c>
      <c r="D54" s="67">
        <f t="array" ref="D54">SUM($B$7:$B49*$F$1009*EXP(-$F$1009*($A54-$A$7:$A49)))*$F$1010</f>
        <v>0</v>
      </c>
      <c r="E54" s="67">
        <f t="shared" si="0"/>
        <v>0</v>
      </c>
      <c r="F54" s="70">
        <f t="shared" si="8"/>
        <v>0</v>
      </c>
      <c r="G54" s="67">
        <f>E54/'Lookup Tables'!$C$48</f>
        <v>0</v>
      </c>
      <c r="H54" s="70" t="e">
        <f t="shared" si="1"/>
        <v>#DIV/0!</v>
      </c>
      <c r="I54" s="71">
        <f t="shared" si="9"/>
        <v>0</v>
      </c>
      <c r="J54" s="35">
        <f t="shared" si="6"/>
        <v>2036</v>
      </c>
      <c r="K54" s="75">
        <f>$G471</f>
        <v>66.533455637828538</v>
      </c>
      <c r="L54" s="75">
        <f>Calcs2b!K49</f>
        <v>77.471712850262364</v>
      </c>
      <c r="M54" s="75">
        <f>Calcs3b!K49</f>
        <v>448.45351286780385</v>
      </c>
      <c r="N54" s="75">
        <f>Calcs4b!K49</f>
        <v>19.539763557183651</v>
      </c>
      <c r="O54" s="74">
        <f t="shared" si="10"/>
        <v>611.9984449130784</v>
      </c>
      <c r="P54" s="74"/>
      <c r="Q54" s="74"/>
      <c r="R54" s="74"/>
      <c r="S54" s="74"/>
      <c r="T54" s="74"/>
      <c r="U54" s="74"/>
      <c r="V54" s="74"/>
      <c r="W54" s="74"/>
      <c r="X54" s="74"/>
      <c r="Y54" s="74"/>
    </row>
    <row r="55" spans="1:25" x14ac:dyDescent="0.3">
      <c r="A55" s="66">
        <f t="shared" si="7"/>
        <v>1994.7999999999956</v>
      </c>
      <c r="B55" s="67">
        <f>LOOKUP(A55+0.01,AmountsB!$A$4:$A$103,AmountsB!$B$4:$B$103)*0.1*$A$2</f>
        <v>0</v>
      </c>
      <c r="C55" s="68">
        <f t="shared" si="3"/>
        <v>0</v>
      </c>
      <c r="D55" s="67">
        <f t="array" ref="D55">SUM($B$7:$B50*$F$1009*EXP(-$F$1009*($A55-$A$7:$A50)))*$F$1010</f>
        <v>0</v>
      </c>
      <c r="E55" s="67">
        <f t="shared" si="0"/>
        <v>0</v>
      </c>
      <c r="F55" s="70">
        <f t="shared" si="8"/>
        <v>0</v>
      </c>
      <c r="G55" s="67">
        <f>E55/'Lookup Tables'!$C$48</f>
        <v>0</v>
      </c>
      <c r="H55" s="70" t="e">
        <f t="shared" si="1"/>
        <v>#DIV/0!</v>
      </c>
      <c r="I55" s="71">
        <f t="shared" si="9"/>
        <v>0</v>
      </c>
      <c r="J55" s="35">
        <f t="shared" si="6"/>
        <v>2037</v>
      </c>
      <c r="K55" s="75">
        <f>$G481</f>
        <v>57.841407588294715</v>
      </c>
      <c r="L55" s="75">
        <f>Calcs2b!K50</f>
        <v>72.23414627911751</v>
      </c>
      <c r="M55" s="75">
        <f>Calcs3b!K50</f>
        <v>436.07097896381714</v>
      </c>
      <c r="N55" s="75">
        <f>Calcs4b!K50</f>
        <v>19.268112859216014</v>
      </c>
      <c r="O55" s="74">
        <f t="shared" si="10"/>
        <v>585.41464569044535</v>
      </c>
      <c r="P55" s="74"/>
      <c r="Q55" s="74"/>
      <c r="R55" s="74"/>
      <c r="S55" s="74"/>
      <c r="T55" s="74"/>
      <c r="U55" s="74"/>
      <c r="V55" s="74"/>
      <c r="W55" s="74"/>
      <c r="X55" s="74"/>
      <c r="Y55" s="74"/>
    </row>
    <row r="56" spans="1:25" x14ac:dyDescent="0.3">
      <c r="A56" s="66">
        <f t="shared" si="7"/>
        <v>1994.8999999999955</v>
      </c>
      <c r="B56" s="67">
        <f>LOOKUP(A56+0.01,AmountsB!$A$4:$A$103,AmountsB!$B$4:$B$103)*0.1*$A$2</f>
        <v>0</v>
      </c>
      <c r="C56" s="68">
        <f t="shared" si="3"/>
        <v>0</v>
      </c>
      <c r="D56" s="67">
        <f t="array" ref="D56">SUM($B$7:$B51*$F$1009*EXP(-$F$1009*($A56-$A$7:$A51)))*$F$1010</f>
        <v>0</v>
      </c>
      <c r="E56" s="67">
        <f t="shared" si="0"/>
        <v>0</v>
      </c>
      <c r="F56" s="70">
        <f t="shared" si="8"/>
        <v>0</v>
      </c>
      <c r="G56" s="67">
        <f>E56/'Lookup Tables'!$C$48</f>
        <v>0</v>
      </c>
      <c r="H56" s="70" t="e">
        <f t="shared" si="1"/>
        <v>#DIV/0!</v>
      </c>
      <c r="I56" s="71">
        <f t="shared" si="9"/>
        <v>0</v>
      </c>
      <c r="J56" s="35">
        <f t="shared" si="6"/>
        <v>2038</v>
      </c>
      <c r="K56" s="75">
        <f>$G491</f>
        <v>50.284904033949395</v>
      </c>
      <c r="L56" s="75">
        <f>Calcs2b!K51</f>
        <v>67.350671576835666</v>
      </c>
      <c r="M56" s="75">
        <f>Calcs3b!K51</f>
        <v>424.03034704405752</v>
      </c>
      <c r="N56" s="75">
        <f>Calcs4b!K51</f>
        <v>19.000238773052825</v>
      </c>
      <c r="O56" s="74">
        <f t="shared" si="10"/>
        <v>560.66616142789542</v>
      </c>
      <c r="P56" s="74"/>
      <c r="Q56" s="74"/>
      <c r="R56" s="74"/>
      <c r="S56" s="74"/>
      <c r="T56" s="74"/>
      <c r="U56" s="74"/>
      <c r="V56" s="74"/>
      <c r="W56" s="74"/>
      <c r="X56" s="74"/>
      <c r="Y56" s="74"/>
    </row>
    <row r="57" spans="1:25" x14ac:dyDescent="0.3">
      <c r="A57" s="66">
        <f t="shared" si="7"/>
        <v>1994.9999999999955</v>
      </c>
      <c r="B57" s="67">
        <f>LOOKUP(A57+0.01,AmountsB!$A$4:$A$103,AmountsB!$B$4:$B$103)*0.1*$A$2</f>
        <v>0</v>
      </c>
      <c r="C57" s="68">
        <f t="shared" si="3"/>
        <v>0</v>
      </c>
      <c r="D57" s="67">
        <f t="array" ref="D57">SUM($B$7:$B52*$F$1009*EXP(-$F$1009*($A57-$A$7:$A52)))*$F$1010</f>
        <v>0</v>
      </c>
      <c r="E57" s="67">
        <f t="shared" si="0"/>
        <v>0</v>
      </c>
      <c r="F57" s="70">
        <f t="shared" si="8"/>
        <v>0</v>
      </c>
      <c r="G57" s="67">
        <f>E57/'Lookup Tables'!$C$48</f>
        <v>0</v>
      </c>
      <c r="H57" s="70" t="e">
        <f t="shared" si="1"/>
        <v>#DIV/0!</v>
      </c>
      <c r="I57" s="71">
        <f t="shared" si="9"/>
        <v>0</v>
      </c>
      <c r="J57" s="35">
        <f t="shared" si="6"/>
        <v>2039</v>
      </c>
      <c r="K57" s="75">
        <f>$G501</f>
        <v>43.715595438158097</v>
      </c>
      <c r="L57" s="75">
        <f>Calcs2b!K52</f>
        <v>62.797349944760782</v>
      </c>
      <c r="M57" s="75">
        <f>Calcs3b!K52</f>
        <v>412.32217663634765</v>
      </c>
      <c r="N57" s="75">
        <f>Calcs4b!K52</f>
        <v>18.736088794515634</v>
      </c>
      <c r="O57" s="74">
        <f t="shared" si="10"/>
        <v>537.57121081378205</v>
      </c>
      <c r="P57" s="74"/>
      <c r="Q57" s="74"/>
      <c r="R57" s="74"/>
      <c r="S57" s="74"/>
      <c r="T57" s="74"/>
      <c r="U57" s="74"/>
      <c r="V57" s="74"/>
      <c r="W57" s="74"/>
      <c r="X57" s="74"/>
      <c r="Y57" s="74"/>
    </row>
    <row r="58" spans="1:25" x14ac:dyDescent="0.3">
      <c r="A58" s="66">
        <f t="shared" si="7"/>
        <v>1995.0999999999954</v>
      </c>
      <c r="B58" s="67">
        <f>LOOKUP(A58+0.01,AmountsB!$A$4:$A$103,AmountsB!$B$4:$B$103)*0.1*$A$2</f>
        <v>0</v>
      </c>
      <c r="C58" s="68">
        <f t="shared" si="3"/>
        <v>0</v>
      </c>
      <c r="D58" s="67">
        <f t="array" ref="D58">SUM($B$7:$B53*$F$1009*EXP(-$F$1009*($A58-$A$7:$A53)))*$F$1010</f>
        <v>0</v>
      </c>
      <c r="E58" s="67">
        <f t="shared" si="0"/>
        <v>0</v>
      </c>
      <c r="F58" s="70">
        <f t="shared" si="8"/>
        <v>0</v>
      </c>
      <c r="G58" s="67">
        <f>E58/'Lookup Tables'!$C$48</f>
        <v>0</v>
      </c>
      <c r="H58" s="70" t="e">
        <f t="shared" si="1"/>
        <v>#DIV/0!</v>
      </c>
      <c r="I58" s="71">
        <f t="shared" si="9"/>
        <v>0</v>
      </c>
      <c r="J58" s="35">
        <f t="shared" si="6"/>
        <v>2040</v>
      </c>
      <c r="K58" s="76">
        <f>$G511</f>
        <v>38.004512909530064</v>
      </c>
      <c r="L58" s="75">
        <f>Calcs2b!K53</f>
        <v>58.551860994969836</v>
      </c>
      <c r="M58" s="75">
        <f>Calcs3b!K53</f>
        <v>400.93728793536354</v>
      </c>
      <c r="N58" s="75">
        <f>Calcs4b!K53</f>
        <v>18.475611149363022</v>
      </c>
      <c r="O58" s="74">
        <f t="shared" si="10"/>
        <v>515.9692729892264</v>
      </c>
      <c r="P58" s="74"/>
      <c r="Q58" s="74"/>
      <c r="R58" s="74"/>
      <c r="S58" s="74"/>
      <c r="T58" s="74"/>
      <c r="U58" s="74"/>
      <c r="V58" s="74"/>
      <c r="W58" s="74"/>
      <c r="X58" s="74"/>
      <c r="Y58" s="74"/>
    </row>
    <row r="59" spans="1:25" x14ac:dyDescent="0.3">
      <c r="A59" s="66">
        <f t="shared" si="7"/>
        <v>1995.1999999999953</v>
      </c>
      <c r="B59" s="67">
        <f>LOOKUP(A59+0.01,AmountsB!$A$4:$A$103,AmountsB!$B$4:$B$103)*0.1*$A$2</f>
        <v>0</v>
      </c>
      <c r="C59" s="68">
        <f t="shared" si="3"/>
        <v>0</v>
      </c>
      <c r="D59" s="67">
        <f t="array" ref="D59">SUM($B$7:$B54*$F$1009*EXP(-$F$1009*($A59-$A$7:$A54)))*$F$1010</f>
        <v>0</v>
      </c>
      <c r="E59" s="67">
        <f t="shared" si="0"/>
        <v>0</v>
      </c>
      <c r="F59" s="70">
        <f t="shared" si="8"/>
        <v>0</v>
      </c>
      <c r="G59" s="67">
        <f>E59/'Lookup Tables'!$C$48</f>
        <v>0</v>
      </c>
      <c r="H59" s="70" t="e">
        <f t="shared" si="1"/>
        <v>#DIV/0!</v>
      </c>
      <c r="I59" s="71">
        <f t="shared" si="9"/>
        <v>0</v>
      </c>
      <c r="J59" s="35">
        <f t="shared" si="6"/>
        <v>2041</v>
      </c>
      <c r="K59" s="77">
        <f>$G521</f>
        <v>33.039536280224382</v>
      </c>
      <c r="L59" s="75">
        <f>Calcs2b!K54</f>
        <v>54.593393335705464</v>
      </c>
      <c r="M59" s="75">
        <f>Calcs3b!K54</f>
        <v>389.86675460519933</v>
      </c>
      <c r="N59" s="75">
        <f>Calcs4b!K54</f>
        <v>18.218754783142657</v>
      </c>
      <c r="O59" s="74">
        <f t="shared" si="10"/>
        <v>495.71843900427189</v>
      </c>
      <c r="P59" s="74"/>
      <c r="Q59" s="74"/>
      <c r="R59" s="74"/>
      <c r="S59" s="74"/>
      <c r="T59" s="74"/>
      <c r="U59" s="74"/>
      <c r="V59" s="74"/>
      <c r="W59" s="74"/>
      <c r="X59" s="74"/>
      <c r="Y59" s="74"/>
    </row>
    <row r="60" spans="1:25" x14ac:dyDescent="0.3">
      <c r="A60" s="66">
        <f t="shared" si="7"/>
        <v>1995.2999999999952</v>
      </c>
      <c r="B60" s="67">
        <f>LOOKUP(A60+0.01,AmountsB!$A$4:$A$103,AmountsB!$B$4:$B$103)*0.1*$A$2</f>
        <v>0</v>
      </c>
      <c r="C60" s="68">
        <f t="shared" si="3"/>
        <v>0</v>
      </c>
      <c r="D60" s="67">
        <f t="array" ref="D60">SUM($B$7:$B55*$F$1009*EXP(-$F$1009*($A60-$A$7:$A55)))*$F$1010</f>
        <v>0</v>
      </c>
      <c r="E60" s="67">
        <f t="shared" si="0"/>
        <v>0</v>
      </c>
      <c r="F60" s="70">
        <f t="shared" si="8"/>
        <v>0</v>
      </c>
      <c r="G60" s="67">
        <f>E60/'Lookup Tables'!$C$48</f>
        <v>0</v>
      </c>
      <c r="H60" s="70" t="e">
        <f t="shared" si="1"/>
        <v>#DIV/0!</v>
      </c>
      <c r="I60" s="71">
        <f t="shared" si="9"/>
        <v>0</v>
      </c>
      <c r="J60" s="35">
        <f t="shared" si="6"/>
        <v>2042</v>
      </c>
      <c r="K60" s="75">
        <f>$G531</f>
        <v>28.723192958974352</v>
      </c>
      <c r="L60" s="75">
        <f>Calcs2b!K55</f>
        <v>50.902542553909633</v>
      </c>
      <c r="M60" s="75">
        <f>Calcs3b!K55</f>
        <v>379.10189678066178</v>
      </c>
      <c r="N60" s="75">
        <f>Calcs4b!K55</f>
        <v>17.965469351184474</v>
      </c>
      <c r="O60" s="74">
        <f t="shared" si="10"/>
        <v>476.69310164473023</v>
      </c>
      <c r="P60" s="74"/>
      <c r="Q60" s="74"/>
      <c r="R60" s="74"/>
      <c r="S60" s="74"/>
      <c r="T60" s="74"/>
      <c r="U60" s="74"/>
      <c r="V60" s="74"/>
      <c r="W60" s="74"/>
      <c r="X60" s="74"/>
      <c r="Y60" s="74"/>
    </row>
    <row r="61" spans="1:25" x14ac:dyDescent="0.3">
      <c r="A61" s="66">
        <f t="shared" si="7"/>
        <v>1995.3999999999951</v>
      </c>
      <c r="B61" s="67">
        <f>LOOKUP(A61+0.01,AmountsB!$A$4:$A$103,AmountsB!$B$4:$B$103)*0.1*$A$2</f>
        <v>0</v>
      </c>
      <c r="C61" s="68">
        <f t="shared" si="3"/>
        <v>0</v>
      </c>
      <c r="D61" s="67">
        <f t="array" ref="D61">SUM($B$7:$B56*$F$1009*EXP(-$F$1009*($A61-$A$7:$A56)))*$F$1010</f>
        <v>0</v>
      </c>
      <c r="E61" s="67">
        <f t="shared" si="0"/>
        <v>0</v>
      </c>
      <c r="F61" s="70">
        <f t="shared" si="8"/>
        <v>0</v>
      </c>
      <c r="G61" s="67">
        <f>E61/'Lookup Tables'!$C$48</f>
        <v>0</v>
      </c>
      <c r="H61" s="70" t="e">
        <f t="shared" si="1"/>
        <v>#DIV/0!</v>
      </c>
      <c r="I61" s="71">
        <f t="shared" si="9"/>
        <v>0</v>
      </c>
      <c r="J61" s="35">
        <f t="shared" si="6"/>
        <v>2043</v>
      </c>
      <c r="K61" s="75">
        <f>$G541</f>
        <v>24.970744345836515</v>
      </c>
      <c r="L61" s="75">
        <f>Calcs2b!K56</f>
        <v>47.461216094767892</v>
      </c>
      <c r="M61" s="75">
        <f>Calcs3b!K56</f>
        <v>368.63427426181221</v>
      </c>
      <c r="N61" s="75">
        <f>Calcs4b!K56</f>
        <v>17.715705208732945</v>
      </c>
      <c r="O61" s="74">
        <f t="shared" si="10"/>
        <v>458.78193991114961</v>
      </c>
      <c r="P61" s="74"/>
      <c r="Q61" s="74"/>
      <c r="R61" s="74"/>
      <c r="S61" s="74"/>
      <c r="T61" s="74"/>
      <c r="U61" s="74"/>
      <c r="V61" s="74"/>
      <c r="W61" s="74"/>
      <c r="X61" s="74"/>
      <c r="Y61" s="74"/>
    </row>
    <row r="62" spans="1:25" x14ac:dyDescent="0.3">
      <c r="A62" s="66">
        <f t="shared" si="7"/>
        <v>1995.499999999995</v>
      </c>
      <c r="B62" s="67">
        <f>LOOKUP(A62+0.01,AmountsB!$A$4:$A$103,AmountsB!$B$4:$B$103)*0.1*$A$2</f>
        <v>0</v>
      </c>
      <c r="C62" s="68">
        <f t="shared" si="3"/>
        <v>0</v>
      </c>
      <c r="D62" s="67">
        <f t="array" ref="D62">SUM($B$7:$B57*$F$1009*EXP(-$F$1009*($A62-$A$7:$A57)))*$F$1010</f>
        <v>0</v>
      </c>
      <c r="E62" s="67">
        <f t="shared" si="0"/>
        <v>0</v>
      </c>
      <c r="F62" s="70">
        <f t="shared" si="8"/>
        <v>0</v>
      </c>
      <c r="G62" s="67">
        <f>E62/'Lookup Tables'!$C$48</f>
        <v>0</v>
      </c>
      <c r="H62" s="70" t="e">
        <f t="shared" si="1"/>
        <v>#DIV/0!</v>
      </c>
      <c r="I62" s="71">
        <f t="shared" si="9"/>
        <v>0</v>
      </c>
      <c r="J62" s="35">
        <f t="shared" si="6"/>
        <v>2044</v>
      </c>
      <c r="K62" s="75">
        <f>$G551</f>
        <v>21.708522241093917</v>
      </c>
      <c r="L62" s="75">
        <f>Calcs2b!K57</f>
        <v>44.252544571985119</v>
      </c>
      <c r="M62" s="75">
        <f>Calcs3b!K57</f>
        <v>358.45567989641569</v>
      </c>
      <c r="N62" s="75">
        <f>Calcs4b!K57</f>
        <v>17.46941340121657</v>
      </c>
      <c r="O62" s="74">
        <f t="shared" si="10"/>
        <v>441.88616011071133</v>
      </c>
      <c r="P62" s="74"/>
      <c r="Q62" s="74"/>
      <c r="R62" s="74"/>
      <c r="S62" s="74"/>
      <c r="T62" s="74"/>
      <c r="U62" s="74"/>
      <c r="V62" s="74"/>
      <c r="W62" s="74"/>
      <c r="X62" s="74"/>
      <c r="Y62" s="74"/>
    </row>
    <row r="63" spans="1:25" x14ac:dyDescent="0.3">
      <c r="A63" s="66">
        <f t="shared" si="7"/>
        <v>1995.5999999999949</v>
      </c>
      <c r="B63" s="67">
        <f>LOOKUP(A63+0.01,AmountsB!$A$4:$A$103,AmountsB!$B$4:$B$103)*0.1*$A$2</f>
        <v>0</v>
      </c>
      <c r="C63" s="68">
        <f t="shared" si="3"/>
        <v>0</v>
      </c>
      <c r="D63" s="67">
        <f t="array" ref="D63">SUM($B$7:$B58*$F$1009*EXP(-$F$1009*($A63-$A$7:$A58)))*$F$1010</f>
        <v>0</v>
      </c>
      <c r="E63" s="67">
        <f t="shared" si="0"/>
        <v>0</v>
      </c>
      <c r="F63" s="70">
        <f t="shared" si="8"/>
        <v>0</v>
      </c>
      <c r="G63" s="67">
        <f>E63/'Lookup Tables'!$C$48</f>
        <v>0</v>
      </c>
      <c r="H63" s="70" t="e">
        <f t="shared" si="1"/>
        <v>#DIV/0!</v>
      </c>
      <c r="I63" s="71">
        <f t="shared" si="9"/>
        <v>0</v>
      </c>
      <c r="J63" s="35">
        <f t="shared" si="6"/>
        <v>2045</v>
      </c>
      <c r="K63" s="75">
        <f>$G561</f>
        <v>18.872482588635524</v>
      </c>
      <c r="L63" s="75">
        <f>Calcs2b!K58</f>
        <v>41.260799074034061</v>
      </c>
      <c r="M63" s="75">
        <f>Calcs3b!K58</f>
        <v>348.55813314511488</v>
      </c>
      <c r="N63" s="75">
        <f>Calcs4b!K58</f>
        <v>17.226545654652611</v>
      </c>
      <c r="O63" s="74">
        <f t="shared" si="10"/>
        <v>425.91796046243707</v>
      </c>
      <c r="P63" s="74"/>
      <c r="Q63" s="74"/>
      <c r="R63" s="74"/>
      <c r="S63" s="74"/>
      <c r="T63" s="74"/>
      <c r="U63" s="74"/>
      <c r="V63" s="74"/>
      <c r="W63" s="74"/>
      <c r="X63" s="74"/>
      <c r="Y63" s="74"/>
    </row>
    <row r="64" spans="1:25" x14ac:dyDescent="0.3">
      <c r="A64" s="66">
        <f t="shared" si="7"/>
        <v>1995.6999999999948</v>
      </c>
      <c r="B64" s="67">
        <f>LOOKUP(A64+0.01,AmountsB!$A$4:$A$103,AmountsB!$B$4:$B$103)*0.1*$A$2</f>
        <v>0</v>
      </c>
      <c r="C64" s="68">
        <f t="shared" si="3"/>
        <v>0</v>
      </c>
      <c r="D64" s="67">
        <f t="array" ref="D64">SUM($B$7:$B59*$F$1009*EXP(-$F$1009*($A64-$A$7:$A59)))*$F$1010</f>
        <v>0</v>
      </c>
      <c r="E64" s="67">
        <f t="shared" si="0"/>
        <v>0</v>
      </c>
      <c r="F64" s="70">
        <f t="shared" si="8"/>
        <v>0</v>
      </c>
      <c r="G64" s="67">
        <f>E64/'Lookup Tables'!$C$48</f>
        <v>0</v>
      </c>
      <c r="H64" s="70" t="e">
        <f t="shared" si="1"/>
        <v>#DIV/0!</v>
      </c>
      <c r="I64" s="71">
        <f t="shared" si="9"/>
        <v>0</v>
      </c>
      <c r="J64" s="35">
        <f t="shared" si="6"/>
        <v>2046</v>
      </c>
      <c r="K64" s="75">
        <f>$G571</f>
        <v>16.40694816085297</v>
      </c>
      <c r="L64" s="75">
        <f>Calcs2b!K59</f>
        <v>38.471314061012897</v>
      </c>
      <c r="M64" s="75">
        <f>Calcs3b!K59</f>
        <v>338.93387382427841</v>
      </c>
      <c r="N64" s="75">
        <f>Calcs4b!K59</f>
        <v>16.98705436618523</v>
      </c>
      <c r="O64" s="74">
        <f t="shared" si="10"/>
        <v>410.79919041232949</v>
      </c>
      <c r="P64" s="74"/>
      <c r="Q64" s="74"/>
      <c r="R64" s="74"/>
      <c r="S64" s="74"/>
      <c r="T64" s="74"/>
      <c r="U64" s="74"/>
      <c r="V64" s="74"/>
      <c r="W64" s="74"/>
      <c r="X64" s="74"/>
      <c r="Y64" s="74"/>
    </row>
    <row r="65" spans="1:25" x14ac:dyDescent="0.3">
      <c r="A65" s="66">
        <f t="shared" si="7"/>
        <v>1995.7999999999947</v>
      </c>
      <c r="B65" s="67">
        <f>LOOKUP(A65+0.01,AmountsB!$A$4:$A$103,AmountsB!$B$4:$B$103)*0.1*$A$2</f>
        <v>0</v>
      </c>
      <c r="C65" s="68">
        <f t="shared" si="3"/>
        <v>0</v>
      </c>
      <c r="D65" s="67">
        <f t="array" ref="D65">SUM($B$7:$B60*$F$1009*EXP(-$F$1009*($A65-$A$7:$A60)))*$F$1010</f>
        <v>0</v>
      </c>
      <c r="E65" s="67">
        <f t="shared" si="0"/>
        <v>0</v>
      </c>
      <c r="F65" s="70">
        <f t="shared" si="8"/>
        <v>0</v>
      </c>
      <c r="G65" s="67">
        <f>E65/'Lookup Tables'!$C$48</f>
        <v>0</v>
      </c>
      <c r="H65" s="70" t="e">
        <f t="shared" si="1"/>
        <v>#DIV/0!</v>
      </c>
      <c r="I65" s="71">
        <f t="shared" si="9"/>
        <v>0</v>
      </c>
      <c r="J65" s="35">
        <f t="shared" si="6"/>
        <v>2047</v>
      </c>
      <c r="K65" s="75">
        <f>$G581</f>
        <v>14.263515501400635</v>
      </c>
      <c r="L65" s="75">
        <f>Calcs2b!K60</f>
        <v>35.870415474151493</v>
      </c>
      <c r="M65" s="75">
        <f>Calcs3b!K60</f>
        <v>329.57535602161852</v>
      </c>
      <c r="N65" s="75">
        <f>Calcs4b!K60</f>
        <v>16.750892594755214</v>
      </c>
      <c r="O65" s="74">
        <f t="shared" si="10"/>
        <v>396.46017959192585</v>
      </c>
      <c r="P65" s="74"/>
      <c r="Q65" s="74"/>
      <c r="R65" s="74"/>
      <c r="S65" s="74"/>
      <c r="T65" s="74"/>
      <c r="U65" s="74"/>
      <c r="V65" s="74"/>
      <c r="W65" s="74"/>
      <c r="X65" s="74"/>
      <c r="Y65" s="74"/>
    </row>
    <row r="66" spans="1:25" x14ac:dyDescent="0.3">
      <c r="A66" s="66">
        <f t="shared" si="7"/>
        <v>1995.8999999999946</v>
      </c>
      <c r="B66" s="67">
        <f>LOOKUP(A66+0.01,AmountsB!$A$4:$A$103,AmountsB!$B$4:$B$103)*0.1*$A$2</f>
        <v>0</v>
      </c>
      <c r="C66" s="68">
        <f t="shared" si="3"/>
        <v>0</v>
      </c>
      <c r="D66" s="67">
        <f t="array" ref="D66">SUM($B$7:$B61*$F$1009*EXP(-$F$1009*($A66-$A$7:$A61)))*$F$1010</f>
        <v>0</v>
      </c>
      <c r="E66" s="67">
        <f t="shared" si="0"/>
        <v>0</v>
      </c>
      <c r="F66" s="70">
        <f t="shared" si="8"/>
        <v>0</v>
      </c>
      <c r="G66" s="67">
        <f>E66/'Lookup Tables'!$C$48</f>
        <v>0</v>
      </c>
      <c r="H66" s="70" t="e">
        <f t="shared" si="1"/>
        <v>#DIV/0!</v>
      </c>
      <c r="I66" s="71">
        <f t="shared" si="9"/>
        <v>0</v>
      </c>
      <c r="J66" s="35">
        <f t="shared" si="6"/>
        <v>2048</v>
      </c>
      <c r="K66" s="75">
        <f>$G591</f>
        <v>12.400104666882747</v>
      </c>
      <c r="L66" s="75">
        <f>Calcs2b!K61</f>
        <v>33.445353705559675</v>
      </c>
      <c r="M66" s="75">
        <f>Calcs3b!K61</f>
        <v>320.47524217980919</v>
      </c>
      <c r="N66" s="75">
        <f>Calcs4b!K61</f>
        <v>16.518014051899279</v>
      </c>
      <c r="O66" s="74">
        <f t="shared" si="10"/>
        <v>382.83871460415088</v>
      </c>
      <c r="P66" s="74"/>
      <c r="Q66" s="74"/>
      <c r="R66" s="74"/>
      <c r="S66" s="74"/>
      <c r="T66" s="74"/>
      <c r="U66" s="74"/>
      <c r="V66" s="74"/>
      <c r="W66" s="74"/>
      <c r="X66" s="74"/>
      <c r="Y66" s="74"/>
    </row>
    <row r="67" spans="1:25" x14ac:dyDescent="0.3">
      <c r="A67" s="66">
        <f t="shared" si="7"/>
        <v>1995.9999999999945</v>
      </c>
      <c r="B67" s="67">
        <f>LOOKUP(A67+0.01,AmountsB!$A$4:$A$103,AmountsB!$B$4:$B$103)*0.1*$A$2</f>
        <v>0</v>
      </c>
      <c r="C67" s="68">
        <f t="shared" si="3"/>
        <v>0</v>
      </c>
      <c r="D67" s="67">
        <f t="array" ref="D67">SUM($B$7:$B62*$F$1009*EXP(-$F$1009*($A67-$A$7:$A62)))*$F$1010</f>
        <v>0</v>
      </c>
      <c r="E67" s="67">
        <f t="shared" si="0"/>
        <v>0</v>
      </c>
      <c r="F67" s="70">
        <f t="shared" si="8"/>
        <v>0</v>
      </c>
      <c r="G67" s="67">
        <f>E67/'Lookup Tables'!$C$48</f>
        <v>0</v>
      </c>
      <c r="H67" s="70" t="e">
        <f t="shared" si="1"/>
        <v>#DIV/0!</v>
      </c>
      <c r="I67" s="71">
        <f t="shared" si="9"/>
        <v>0</v>
      </c>
      <c r="J67" s="35">
        <f t="shared" si="6"/>
        <v>2049</v>
      </c>
      <c r="K67" s="75">
        <f>$G601</f>
        <v>10.780133111963053</v>
      </c>
      <c r="L67" s="75">
        <f>Calcs2b!K62</f>
        <v>31.184241099634335</v>
      </c>
      <c r="M67" s="75">
        <f>Calcs3b!K62</f>
        <v>311.62639734346664</v>
      </c>
      <c r="N67" s="75">
        <f>Calcs4b!K62</f>
        <v>16.288373092677528</v>
      </c>
      <c r="O67" s="74">
        <f t="shared" si="10"/>
        <v>369.87914464774155</v>
      </c>
      <c r="P67" s="74"/>
      <c r="Q67" s="74"/>
      <c r="R67" s="74"/>
      <c r="S67" s="74"/>
      <c r="T67" s="74"/>
      <c r="U67" s="74"/>
      <c r="V67" s="74"/>
      <c r="W67" s="74"/>
      <c r="X67" s="74"/>
      <c r="Y67" s="74"/>
    </row>
    <row r="68" spans="1:25" x14ac:dyDescent="0.3">
      <c r="A68" s="66">
        <f t="shared" si="7"/>
        <v>1996.0999999999945</v>
      </c>
      <c r="B68" s="67">
        <f>LOOKUP(A68+0.01,AmountsB!$A$4:$A$103,AmountsB!$B$4:$B$103)*0.1*$A$2</f>
        <v>0</v>
      </c>
      <c r="C68" s="68">
        <f t="shared" si="3"/>
        <v>0</v>
      </c>
      <c r="D68" s="67">
        <f t="array" ref="D68">SUM($B$7:$B63*$F$1009*EXP(-$F$1009*($A68-$A$7:$A63)))*$F$1010</f>
        <v>0</v>
      </c>
      <c r="E68" s="67">
        <f t="shared" si="0"/>
        <v>0</v>
      </c>
      <c r="F68" s="70">
        <f t="shared" si="8"/>
        <v>0</v>
      </c>
      <c r="G68" s="67">
        <f>E68/'Lookup Tables'!$C$48</f>
        <v>0</v>
      </c>
      <c r="H68" s="70" t="e">
        <f t="shared" si="1"/>
        <v>#DIV/0!</v>
      </c>
      <c r="I68" s="71">
        <f t="shared" si="9"/>
        <v>0</v>
      </c>
      <c r="J68" s="35">
        <f t="shared" si="6"/>
        <v>2050</v>
      </c>
      <c r="K68" s="75">
        <f>$G611</f>
        <v>9.3717974995816284</v>
      </c>
      <c r="L68" s="75">
        <f>Calcs2b!K63</f>
        <v>29.075993679757996</v>
      </c>
      <c r="M68" s="75">
        <f>Calcs3b!K63</f>
        <v>303.02188356497766</v>
      </c>
      <c r="N68" s="75">
        <f>Calcs4b!K63</f>
        <v>16.061924706726792</v>
      </c>
      <c r="O68" s="74">
        <f t="shared" si="10"/>
        <v>357.53159945104409</v>
      </c>
      <c r="P68" s="74"/>
      <c r="Q68" s="74"/>
      <c r="R68" s="74"/>
      <c r="S68" s="74"/>
      <c r="T68" s="74"/>
      <c r="U68" s="74"/>
      <c r="V68" s="74"/>
      <c r="W68" s="74"/>
      <c r="X68" s="74"/>
      <c r="Y68" s="74"/>
    </row>
    <row r="69" spans="1:25" x14ac:dyDescent="0.3">
      <c r="A69" s="66">
        <f t="shared" si="7"/>
        <v>1996.1999999999944</v>
      </c>
      <c r="B69" s="67">
        <f>LOOKUP(A69+0.01,AmountsB!$A$4:$A$103,AmountsB!$B$4:$B$103)*0.1*$A$2</f>
        <v>0</v>
      </c>
      <c r="C69" s="68">
        <f t="shared" si="3"/>
        <v>0</v>
      </c>
      <c r="D69" s="67">
        <f t="array" ref="D69">SUM($B$7:$B64*$F$1009*EXP(-$F$1009*($A69-$A$7:$A64)))*$F$1010</f>
        <v>0</v>
      </c>
      <c r="E69" s="67">
        <f t="shared" si="0"/>
        <v>0</v>
      </c>
      <c r="F69" s="70">
        <f t="shared" si="8"/>
        <v>0</v>
      </c>
      <c r="G69" s="67">
        <f>E69/'Lookup Tables'!$C$48</f>
        <v>0</v>
      </c>
      <c r="H69" s="70" t="e">
        <f t="shared" si="1"/>
        <v>#DIV/0!</v>
      </c>
      <c r="I69" s="71">
        <f t="shared" si="9"/>
        <v>0</v>
      </c>
      <c r="J69" s="35">
        <f t="shared" si="6"/>
        <v>2051</v>
      </c>
      <c r="K69" s="75">
        <f>$G621</f>
        <v>8.1474493367522633</v>
      </c>
      <c r="L69" s="75">
        <f>Calcs2b!K64</f>
        <v>27.110276814632471</v>
      </c>
      <c r="M69" s="75">
        <f>Calcs3b!K64</f>
        <v>294.65495446479383</v>
      </c>
      <c r="N69" s="75">
        <f>Calcs4b!K64</f>
        <v>15.838624509438478</v>
      </c>
      <c r="O69" s="74">
        <f t="shared" si="10"/>
        <v>345.75130512561708</v>
      </c>
      <c r="P69" s="74"/>
      <c r="Q69" s="74"/>
      <c r="R69" s="74"/>
      <c r="S69" s="74"/>
      <c r="T69" s="74"/>
      <c r="U69" s="74"/>
      <c r="V69" s="74"/>
      <c r="W69" s="74"/>
      <c r="X69" s="74"/>
      <c r="Y69" s="74"/>
    </row>
    <row r="70" spans="1:25" x14ac:dyDescent="0.3">
      <c r="A70" s="66">
        <f t="shared" si="7"/>
        <v>1996.2999999999943</v>
      </c>
      <c r="B70" s="67">
        <f>LOOKUP(A70+0.01,AmountsB!$A$4:$A$103,AmountsB!$B$4:$B$103)*0.1*$A$2</f>
        <v>0</v>
      </c>
      <c r="C70" s="68">
        <f t="shared" si="3"/>
        <v>0</v>
      </c>
      <c r="D70" s="67">
        <f t="array" ref="D70">SUM($B$7:$B65*$F$1009*EXP(-$F$1009*($A70-$A$7:$A65)))*$F$1010</f>
        <v>0</v>
      </c>
      <c r="E70" s="67">
        <f t="shared" si="0"/>
        <v>0</v>
      </c>
      <c r="F70" s="70">
        <f t="shared" si="8"/>
        <v>0</v>
      </c>
      <c r="G70" s="67">
        <f>E70/'Lookup Tables'!$C$48</f>
        <v>0</v>
      </c>
      <c r="H70" s="70" t="e">
        <f t="shared" si="1"/>
        <v>#DIV/0!</v>
      </c>
      <c r="I70" s="71">
        <f t="shared" si="9"/>
        <v>0</v>
      </c>
      <c r="J70" s="35">
        <f t="shared" si="6"/>
        <v>2052</v>
      </c>
      <c r="K70" s="75">
        <f>$G631</f>
        <v>7.0830521784010214</v>
      </c>
      <c r="L70" s="75">
        <f>Calcs2b!K65</f>
        <v>25.277454557904434</v>
      </c>
      <c r="M70" s="75">
        <f>Calcs3b!K65</f>
        <v>286.51904994192398</v>
      </c>
      <c r="N70" s="75">
        <f>Calcs4b!K65</f>
        <v>15.618428733259057</v>
      </c>
      <c r="O70" s="74">
        <f t="shared" si="10"/>
        <v>334.49798541148851</v>
      </c>
      <c r="P70" s="74"/>
      <c r="Q70" s="74"/>
      <c r="R70" s="74"/>
      <c r="S70" s="74"/>
      <c r="T70" s="74"/>
      <c r="U70" s="74"/>
      <c r="V70" s="74"/>
      <c r="W70" s="74"/>
      <c r="X70" s="74"/>
      <c r="Y70" s="74"/>
    </row>
    <row r="71" spans="1:25" x14ac:dyDescent="0.3">
      <c r="A71" s="66">
        <f t="shared" si="7"/>
        <v>1996.3999999999942</v>
      </c>
      <c r="B71" s="67">
        <f>LOOKUP(A71+0.01,AmountsB!$A$4:$A$103,AmountsB!$B$4:$B$103)*0.1*$A$2</f>
        <v>0</v>
      </c>
      <c r="C71" s="68">
        <f t="shared" si="3"/>
        <v>0</v>
      </c>
      <c r="D71" s="67">
        <f t="array" ref="D71">SUM($B$7:$B66*$F$1009*EXP(-$F$1009*($A71-$A$7:$A66)))*$F$1010</f>
        <v>0</v>
      </c>
      <c r="E71" s="67">
        <f t="shared" ref="E71:E134" si="11">D71/(365*24*60)*1.00201</f>
        <v>0</v>
      </c>
      <c r="F71" s="70">
        <f t="shared" si="8"/>
        <v>0</v>
      </c>
      <c r="G71" s="67">
        <f>E71/'Lookup Tables'!$C$48</f>
        <v>0</v>
      </c>
      <c r="H71" s="70" t="e">
        <f t="shared" ref="H71:H134" si="12">G71*60*24*365/(C71*2000)</f>
        <v>#DIV/0!</v>
      </c>
      <c r="I71" s="71">
        <f t="shared" si="9"/>
        <v>0</v>
      </c>
      <c r="J71" s="35">
        <f t="shared" si="6"/>
        <v>2053</v>
      </c>
      <c r="K71" s="75">
        <f>$G641</f>
        <v>6.15770974305316</v>
      </c>
      <c r="L71" s="75">
        <f>Calcs2b!K66</f>
        <v>23.56854241274505</v>
      </c>
      <c r="M71" s="75">
        <f>Calcs3b!K66</f>
        <v>278.60779103047946</v>
      </c>
      <c r="N71" s="75">
        <f>Calcs4b!K66</f>
        <v>15.401294219111477</v>
      </c>
      <c r="O71" s="74">
        <f t="shared" si="10"/>
        <v>323.73533740538915</v>
      </c>
      <c r="P71" s="74"/>
      <c r="Q71" s="74"/>
      <c r="R71" s="74"/>
      <c r="S71" s="74"/>
      <c r="T71" s="74"/>
      <c r="U71" s="74"/>
      <c r="V71" s="74"/>
      <c r="W71" s="74"/>
      <c r="X71" s="74"/>
      <c r="Y71" s="74"/>
    </row>
    <row r="72" spans="1:25" x14ac:dyDescent="0.3">
      <c r="A72" s="66">
        <f t="shared" si="7"/>
        <v>1996.4999999999941</v>
      </c>
      <c r="B72" s="67">
        <f>LOOKUP(A72+0.01,AmountsB!$A$4:$A$103,AmountsB!$B$4:$B$103)*0.1*$A$2</f>
        <v>0</v>
      </c>
      <c r="C72" s="68">
        <f t="shared" si="3"/>
        <v>0</v>
      </c>
      <c r="D72" s="67">
        <f t="array" ref="D72">SUM($B$7:$B67*$F$1009*EXP(-$F$1009*($A72-$A$7:$A67)))*$F$1010</f>
        <v>0</v>
      </c>
      <c r="E72" s="67">
        <f t="shared" si="11"/>
        <v>0</v>
      </c>
      <c r="F72" s="70">
        <f t="shared" si="8"/>
        <v>0</v>
      </c>
      <c r="G72" s="67">
        <f>E72/'Lookup Tables'!$C$48</f>
        <v>0</v>
      </c>
      <c r="H72" s="70" t="e">
        <f t="shared" si="12"/>
        <v>#DIV/0!</v>
      </c>
      <c r="I72" s="71">
        <f t="shared" si="9"/>
        <v>0</v>
      </c>
      <c r="J72" s="35">
        <f t="shared" si="6"/>
        <v>2054</v>
      </c>
      <c r="K72" s="75">
        <f>$G651</f>
        <v>5.3532556763194137</v>
      </c>
      <c r="L72" s="75">
        <f>Calcs2b!K67</f>
        <v>21.975163289836114</v>
      </c>
      <c r="M72" s="75">
        <f>Calcs3b!K67</f>
        <v>270.91497489823786</v>
      </c>
      <c r="N72" s="75">
        <f>Calcs4b!K67</f>
        <v>15.187178407935825</v>
      </c>
      <c r="O72" s="74">
        <f t="shared" si="10"/>
        <v>313.43057227232924</v>
      </c>
      <c r="P72" s="74"/>
      <c r="Q72" s="74"/>
      <c r="R72" s="74"/>
      <c r="S72" s="74"/>
      <c r="T72" s="74"/>
      <c r="U72" s="74"/>
      <c r="V72" s="74"/>
      <c r="W72" s="74"/>
      <c r="X72" s="74"/>
      <c r="Y72" s="74"/>
    </row>
    <row r="73" spans="1:25" x14ac:dyDescent="0.3">
      <c r="A73" s="66">
        <f t="shared" si="7"/>
        <v>1996.599999999994</v>
      </c>
      <c r="B73" s="67">
        <f>LOOKUP(A73+0.01,AmountsB!$A$4:$A$103,AmountsB!$B$4:$B$103)*0.1*$A$2</f>
        <v>0</v>
      </c>
      <c r="C73" s="68">
        <f t="shared" ref="C73:C136" si="13">C72+B73</f>
        <v>0</v>
      </c>
      <c r="D73" s="67">
        <f t="array" ref="D73">SUM($B$7:$B68*$F$1009*EXP(-$F$1009*($A73-$A$7:$A68)))*$F$1010</f>
        <v>0</v>
      </c>
      <c r="E73" s="67">
        <f t="shared" si="11"/>
        <v>0</v>
      </c>
      <c r="F73" s="70">
        <f t="shared" si="8"/>
        <v>0</v>
      </c>
      <c r="G73" s="67">
        <f>E73/'Lookup Tables'!$C$48</f>
        <v>0</v>
      </c>
      <c r="H73" s="70" t="e">
        <f t="shared" si="12"/>
        <v>#DIV/0!</v>
      </c>
      <c r="I73" s="71">
        <f t="shared" si="9"/>
        <v>0</v>
      </c>
      <c r="J73" s="35">
        <f t="shared" si="6"/>
        <v>2055</v>
      </c>
      <c r="K73" s="75">
        <f>$G661</f>
        <v>4.6538969084042803</v>
      </c>
      <c r="L73" s="75">
        <f>Calcs2b!K68</f>
        <v>20.489506442868556</v>
      </c>
      <c r="M73" s="75">
        <f>Calcs3b!K68</f>
        <v>263.43456998330493</v>
      </c>
      <c r="N73" s="75">
        <f>Calcs4b!K68</f>
        <v>14.976039332347673</v>
      </c>
      <c r="O73" s="74">
        <f t="shared" si="10"/>
        <v>303.55401266692547</v>
      </c>
      <c r="P73" s="74"/>
      <c r="Q73" s="74"/>
      <c r="R73" s="74"/>
      <c r="S73" s="74"/>
      <c r="T73" s="74"/>
      <c r="U73" s="74"/>
      <c r="V73" s="74"/>
      <c r="W73" s="74"/>
      <c r="X73" s="74"/>
      <c r="Y73" s="74"/>
    </row>
    <row r="74" spans="1:25" x14ac:dyDescent="0.3">
      <c r="A74" s="66">
        <f t="shared" si="7"/>
        <v>1996.6999999999939</v>
      </c>
      <c r="B74" s="67">
        <f>LOOKUP(A74+0.01,AmountsB!$A$4:$A$103,AmountsB!$B$4:$B$103)*0.1*$A$2</f>
        <v>0</v>
      </c>
      <c r="C74" s="68">
        <f t="shared" si="13"/>
        <v>0</v>
      </c>
      <c r="D74" s="67">
        <f t="array" ref="D74">SUM($B$7:$B69*$F$1009*EXP(-$F$1009*($A74-$A$7:$A69)))*$F$1010</f>
        <v>0</v>
      </c>
      <c r="E74" s="67">
        <f t="shared" si="11"/>
        <v>0</v>
      </c>
      <c r="F74" s="70">
        <f t="shared" si="8"/>
        <v>0</v>
      </c>
      <c r="G74" s="67">
        <f>E74/'Lookup Tables'!$C$48</f>
        <v>0</v>
      </c>
      <c r="H74" s="70" t="e">
        <f t="shared" si="12"/>
        <v>#DIV/0!</v>
      </c>
      <c r="I74" s="71">
        <f t="shared" si="9"/>
        <v>0</v>
      </c>
      <c r="J74" s="35">
        <f t="shared" ref="J74:J107" si="14">J73+1</f>
        <v>2056</v>
      </c>
      <c r="K74" s="75">
        <f>$G$671</f>
        <v>4.0459036040188163</v>
      </c>
      <c r="L74" s="75">
        <f>Calcs2b!K69</f>
        <v>19.10428918025497</v>
      </c>
      <c r="M74" s="75">
        <f>Calcs3b!K69</f>
        <v>256.16071126506125</v>
      </c>
      <c r="N74" s="75">
        <f>Calcs4b!K69</f>
        <v>14.767835608412261</v>
      </c>
      <c r="O74" s="74">
        <f t="shared" si="10"/>
        <v>294.07873965774729</v>
      </c>
      <c r="P74" s="74"/>
      <c r="Q74" s="74"/>
      <c r="R74" s="74"/>
      <c r="S74" s="74"/>
      <c r="T74" s="74"/>
      <c r="U74" s="74"/>
      <c r="V74" s="74"/>
      <c r="W74" s="74"/>
      <c r="X74" s="74"/>
      <c r="Y74" s="74"/>
    </row>
    <row r="75" spans="1:25" x14ac:dyDescent="0.3">
      <c r="A75" s="66">
        <f t="shared" si="7"/>
        <v>1996.7999999999938</v>
      </c>
      <c r="B75" s="67">
        <f>LOOKUP(A75+0.01,AmountsB!$A$4:$A$103,AmountsB!$B$4:$B$103)*0.1*$A$2</f>
        <v>0</v>
      </c>
      <c r="C75" s="68">
        <f t="shared" si="13"/>
        <v>0</v>
      </c>
      <c r="D75" s="67">
        <f t="array" ref="D75">SUM($B$7:$B70*$F$1009*EXP(-$F$1009*($A75-$A$7:$A70)))*$F$1010</f>
        <v>0</v>
      </c>
      <c r="E75" s="67">
        <f t="shared" si="11"/>
        <v>0</v>
      </c>
      <c r="F75" s="70">
        <f t="shared" si="8"/>
        <v>0</v>
      </c>
      <c r="G75" s="67">
        <f>E75/'Lookup Tables'!$C$48</f>
        <v>0</v>
      </c>
      <c r="H75" s="70" t="e">
        <f t="shared" si="12"/>
        <v>#DIV/0!</v>
      </c>
      <c r="I75" s="71">
        <f t="shared" si="9"/>
        <v>0</v>
      </c>
      <c r="J75" s="35">
        <f t="shared" si="14"/>
        <v>2057</v>
      </c>
      <c r="K75" s="75">
        <f>$G$681</f>
        <v>3.5173396177839167</v>
      </c>
      <c r="L75" s="75">
        <f>Calcs2b!K70</f>
        <v>17.812721165366938</v>
      </c>
      <c r="M75" s="75">
        <f>Calcs3b!K70</f>
        <v>249.08769566568503</v>
      </c>
      <c r="N75" s="75">
        <f>Calcs4b!K70</f>
        <v>14.562526427533161</v>
      </c>
      <c r="O75" s="74">
        <f t="shared" si="10"/>
        <v>284.98028287636907</v>
      </c>
      <c r="P75" s="74"/>
      <c r="Q75" s="74"/>
      <c r="R75" s="74"/>
      <c r="S75" s="74"/>
      <c r="T75" s="74"/>
      <c r="U75" s="74"/>
      <c r="V75" s="74"/>
      <c r="W75" s="74"/>
      <c r="X75" s="74"/>
      <c r="Y75" s="74"/>
    </row>
    <row r="76" spans="1:25" x14ac:dyDescent="0.3">
      <c r="A76" s="66">
        <f t="shared" si="7"/>
        <v>1996.8999999999937</v>
      </c>
      <c r="B76" s="67">
        <f>LOOKUP(A76+0.01,AmountsB!$A$4:$A$103,AmountsB!$B$4:$B$103)*0.1*$A$2</f>
        <v>0</v>
      </c>
      <c r="C76" s="68">
        <f t="shared" si="13"/>
        <v>0</v>
      </c>
      <c r="D76" s="67">
        <f t="array" ref="D76">SUM($B$7:$B71*$F$1009*EXP(-$F$1009*($A76-$A$7:$A71)))*$F$1010</f>
        <v>0</v>
      </c>
      <c r="E76" s="67">
        <f t="shared" si="11"/>
        <v>0</v>
      </c>
      <c r="F76" s="70">
        <f t="shared" si="8"/>
        <v>0</v>
      </c>
      <c r="G76" s="67">
        <f>E76/'Lookup Tables'!$C$48</f>
        <v>0</v>
      </c>
      <c r="H76" s="70" t="e">
        <f t="shared" si="12"/>
        <v>#DIV/0!</v>
      </c>
      <c r="I76" s="71">
        <f t="shared" si="9"/>
        <v>0</v>
      </c>
      <c r="J76" s="35">
        <f t="shared" si="14"/>
        <v>2058</v>
      </c>
      <c r="K76" s="75">
        <f>$G$691</f>
        <v>3.0578281634153246</v>
      </c>
      <c r="L76" s="75">
        <f>Calcs2b!K71</f>
        <v>16.608471130297072</v>
      </c>
      <c r="M76" s="75">
        <f>Calcs3b!K71</f>
        <v>242.20997757864771</v>
      </c>
      <c r="N76" s="75">
        <f>Calcs4b!K71</f>
        <v>14.360071548453661</v>
      </c>
      <c r="O76" s="74">
        <f t="shared" si="10"/>
        <v>276.23634842081378</v>
      </c>
      <c r="P76" s="74"/>
      <c r="Q76" s="74"/>
      <c r="R76" s="74"/>
      <c r="S76" s="74"/>
      <c r="T76" s="74"/>
      <c r="U76" s="74"/>
      <c r="V76" s="74"/>
      <c r="W76" s="74"/>
      <c r="X76" s="74"/>
      <c r="Y76" s="74"/>
    </row>
    <row r="77" spans="1:25" x14ac:dyDescent="0.3">
      <c r="A77" s="66">
        <f t="shared" si="7"/>
        <v>1996.9999999999936</v>
      </c>
      <c r="B77" s="67">
        <f>LOOKUP(A77+0.01,AmountsB!$A$4:$A$103,AmountsB!$B$4:$B$103)*0.1*$A$2</f>
        <v>0</v>
      </c>
      <c r="C77" s="68">
        <f t="shared" si="13"/>
        <v>0</v>
      </c>
      <c r="D77" s="67">
        <f t="array" ref="D77">SUM($B$7:$B72*$F$1009*EXP(-$F$1009*($A77-$A$7:$A72)))*$F$1010</f>
        <v>0</v>
      </c>
      <c r="E77" s="67">
        <f t="shared" si="11"/>
        <v>0</v>
      </c>
      <c r="F77" s="70">
        <f t="shared" si="8"/>
        <v>0</v>
      </c>
      <c r="G77" s="67">
        <f>E77/'Lookup Tables'!$C$48</f>
        <v>0</v>
      </c>
      <c r="H77" s="70" t="e">
        <f t="shared" si="12"/>
        <v>#DIV/0!</v>
      </c>
      <c r="I77" s="71">
        <f t="shared" si="9"/>
        <v>0</v>
      </c>
      <c r="J77" s="35">
        <f t="shared" si="14"/>
        <v>2059</v>
      </c>
      <c r="K77" s="75">
        <f>$G$701</f>
        <v>2.6583480962998554</v>
      </c>
      <c r="L77" s="75">
        <f>Calcs2b!K72</f>
        <v>15.485635839976332</v>
      </c>
      <c r="M77" s="75">
        <f>Calcs3b!K72</f>
        <v>235.52216452067358</v>
      </c>
      <c r="N77" s="75">
        <f>Calcs4b!K72</f>
        <v>14.16043128936932</v>
      </c>
      <c r="O77" s="74">
        <f t="shared" si="10"/>
        <v>267.82657974631911</v>
      </c>
      <c r="P77" s="74"/>
      <c r="Q77" s="74"/>
      <c r="R77" s="74"/>
      <c r="S77" s="74"/>
      <c r="T77" s="74"/>
      <c r="U77" s="74"/>
      <c r="V77" s="74"/>
      <c r="W77" s="74"/>
      <c r="X77" s="74"/>
      <c r="Y77" s="74"/>
    </row>
    <row r="78" spans="1:25" x14ac:dyDescent="0.3">
      <c r="A78" s="66">
        <f t="shared" si="7"/>
        <v>1997.0999999999935</v>
      </c>
      <c r="B78" s="67">
        <f>LOOKUP(A78+0.01,AmountsB!$A$4:$A$103,AmountsB!$B$4:$B$103)*0.1*$A$2</f>
        <v>0</v>
      </c>
      <c r="C78" s="68">
        <f t="shared" si="13"/>
        <v>0</v>
      </c>
      <c r="D78" s="67">
        <f t="array" ref="D78">SUM($B$7:$B73*$F$1009*EXP(-$F$1009*($A78-$A$7:$A73)))*$F$1010</f>
        <v>0</v>
      </c>
      <c r="E78" s="67">
        <f t="shared" si="11"/>
        <v>0</v>
      </c>
      <c r="F78" s="70">
        <f t="shared" si="8"/>
        <v>0</v>
      </c>
      <c r="G78" s="67">
        <f>E78/'Lookup Tables'!$C$48</f>
        <v>0</v>
      </c>
      <c r="H78" s="70" t="e">
        <f t="shared" si="12"/>
        <v>#DIV/0!</v>
      </c>
      <c r="I78" s="71">
        <f t="shared" si="9"/>
        <v>0</v>
      </c>
      <c r="J78" s="35">
        <f t="shared" si="14"/>
        <v>2060</v>
      </c>
      <c r="K78" s="75">
        <f>$G$711</f>
        <v>2.3110568100753115</v>
      </c>
      <c r="L78" s="75">
        <f>Calcs2b!K73</f>
        <v>14.438711154508908</v>
      </c>
      <c r="M78" s="75">
        <f>Calcs3b!K73</f>
        <v>229.01901290375827</v>
      </c>
      <c r="N78" s="75">
        <f>Calcs4b!K73</f>
        <v>13.963566520150257</v>
      </c>
      <c r="O78" s="74">
        <f t="shared" si="10"/>
        <v>259.73234738849271</v>
      </c>
      <c r="P78" s="74"/>
      <c r="Q78" s="74"/>
      <c r="R78" s="74"/>
      <c r="S78" s="74"/>
      <c r="T78" s="74"/>
      <c r="U78" s="74"/>
      <c r="V78" s="74"/>
      <c r="W78" s="74"/>
      <c r="X78" s="74"/>
      <c r="Y78" s="74"/>
    </row>
    <row r="79" spans="1:25" x14ac:dyDescent="0.3">
      <c r="A79" s="66">
        <f t="shared" si="7"/>
        <v>1997.1999999999935</v>
      </c>
      <c r="B79" s="67">
        <f>LOOKUP(A79+0.01,AmountsB!$A$4:$A$103,AmountsB!$B$4:$B$103)*0.1*$A$2</f>
        <v>0</v>
      </c>
      <c r="C79" s="68">
        <f t="shared" si="13"/>
        <v>0</v>
      </c>
      <c r="D79" s="67">
        <f t="array" ref="D79">SUM($B$7:$B74*$F$1009*EXP(-$F$1009*($A79-$A$7:$A74)))*$F$1010</f>
        <v>0</v>
      </c>
      <c r="E79" s="67">
        <f t="shared" si="11"/>
        <v>0</v>
      </c>
      <c r="F79" s="70">
        <f t="shared" si="8"/>
        <v>0</v>
      </c>
      <c r="G79" s="67">
        <f>E79/'Lookup Tables'!$C$48</f>
        <v>0</v>
      </c>
      <c r="H79" s="70" t="e">
        <f t="shared" si="12"/>
        <v>#DIV/0!</v>
      </c>
      <c r="I79" s="71">
        <f t="shared" si="9"/>
        <v>0</v>
      </c>
      <c r="J79" s="35">
        <f t="shared" si="14"/>
        <v>2061</v>
      </c>
      <c r="K79" s="75">
        <f>$G$721</f>
        <v>2.0091362703137219</v>
      </c>
      <c r="L79" s="75">
        <f>Calcs2b!K74</f>
        <v>13.462565047872047</v>
      </c>
      <c r="M79" s="75">
        <f>Calcs3b!K74</f>
        <v>222.69542392392498</v>
      </c>
      <c r="N79" s="75">
        <f>Calcs4b!K74</f>
        <v>13.769438654671465</v>
      </c>
      <c r="O79" s="74">
        <f t="shared" si="10"/>
        <v>251.93656389678222</v>
      </c>
      <c r="P79" s="74"/>
      <c r="Q79" s="74"/>
      <c r="R79" s="74"/>
      <c r="S79" s="74"/>
      <c r="T79" s="74"/>
      <c r="U79" s="74"/>
      <c r="V79" s="74"/>
      <c r="W79" s="74"/>
      <c r="X79" s="74"/>
      <c r="Y79" s="74"/>
    </row>
    <row r="80" spans="1:25" x14ac:dyDescent="0.3">
      <c r="A80" s="66">
        <f t="shared" si="7"/>
        <v>1997.2999999999934</v>
      </c>
      <c r="B80" s="67">
        <f>LOOKUP(A80+0.01,AmountsB!$A$4:$A$103,AmountsB!$B$4:$B$103)*0.1*$A$2</f>
        <v>0</v>
      </c>
      <c r="C80" s="68">
        <f t="shared" si="13"/>
        <v>0</v>
      </c>
      <c r="D80" s="67">
        <f t="array" ref="D80">SUM($B$7:$B75*$F$1009*EXP(-$F$1009*($A80-$A$7:$A75)))*$F$1010</f>
        <v>0</v>
      </c>
      <c r="E80" s="67">
        <f t="shared" si="11"/>
        <v>0</v>
      </c>
      <c r="F80" s="70">
        <f t="shared" si="8"/>
        <v>0</v>
      </c>
      <c r="G80" s="67">
        <f>E80/'Lookup Tables'!$C$48</f>
        <v>0</v>
      </c>
      <c r="H80" s="70" t="e">
        <f t="shared" si="12"/>
        <v>#DIV/0!</v>
      </c>
      <c r="I80" s="71">
        <f t="shared" si="9"/>
        <v>0</v>
      </c>
      <c r="J80" s="35">
        <f t="shared" si="14"/>
        <v>2062</v>
      </c>
      <c r="K80" s="75">
        <f>$G$731</f>
        <v>1.7466591626358972</v>
      </c>
      <c r="L80" s="75">
        <f>Calcs2b!K75</f>
        <v>12.552412450718522</v>
      </c>
      <c r="M80" s="75">
        <f>Calcs3b!K75</f>
        <v>216.54643956350225</v>
      </c>
      <c r="N80" s="75">
        <f>Calcs4b!K75</f>
        <v>13.578009643249821</v>
      </c>
      <c r="O80" s="74">
        <f t="shared" si="10"/>
        <v>244.42352082010649</v>
      </c>
      <c r="P80" s="74"/>
      <c r="Q80" s="74"/>
      <c r="R80" s="74"/>
      <c r="S80" s="74"/>
      <c r="T80" s="74"/>
      <c r="U80" s="74"/>
      <c r="V80" s="74"/>
      <c r="W80" s="74"/>
      <c r="X80" s="74"/>
      <c r="Y80" s="74"/>
    </row>
    <row r="81" spans="1:25" x14ac:dyDescent="0.3">
      <c r="A81" s="66">
        <f t="shared" si="7"/>
        <v>1997.3999999999933</v>
      </c>
      <c r="B81" s="67">
        <f>LOOKUP(A81+0.01,AmountsB!$A$4:$A$103,AmountsB!$B$4:$B$103)*0.1*$A$2</f>
        <v>0</v>
      </c>
      <c r="C81" s="68">
        <f t="shared" si="13"/>
        <v>0</v>
      </c>
      <c r="D81" s="67">
        <f t="array" ref="D81">SUM($B$7:$B76*$F$1009*EXP(-$F$1009*($A81-$A$7:$A76)))*$F$1010</f>
        <v>0</v>
      </c>
      <c r="E81" s="67">
        <f t="shared" si="11"/>
        <v>0</v>
      </c>
      <c r="F81" s="70">
        <f t="shared" si="8"/>
        <v>0</v>
      </c>
      <c r="G81" s="67">
        <f>E81/'Lookup Tables'!$C$48</f>
        <v>0</v>
      </c>
      <c r="H81" s="70" t="e">
        <f t="shared" si="12"/>
        <v>#DIV/0!</v>
      </c>
      <c r="I81" s="71">
        <f t="shared" si="9"/>
        <v>0</v>
      </c>
      <c r="J81" s="35">
        <f t="shared" si="14"/>
        <v>2063</v>
      </c>
      <c r="K81" s="75">
        <f>$G$741</f>
        <v>1.5184725274724931</v>
      </c>
      <c r="L81" s="75">
        <f>Calcs2b!K76</f>
        <v>11.703791793961168</v>
      </c>
      <c r="M81" s="75">
        <f>Calcs3b!K76</f>
        <v>210.5672387037842</v>
      </c>
      <c r="N81" s="75">
        <f>Calcs4b!K76</f>
        <v>13.389241965186288</v>
      </c>
      <c r="O81" s="74">
        <f t="shared" si="10"/>
        <v>237.17874499040417</v>
      </c>
      <c r="P81" s="74"/>
      <c r="Q81" s="74"/>
      <c r="R81" s="74"/>
      <c r="S81" s="74"/>
      <c r="T81" s="74"/>
      <c r="U81" s="74"/>
      <c r="V81" s="74"/>
      <c r="W81" s="74"/>
      <c r="X81" s="74"/>
      <c r="Y81" s="74"/>
    </row>
    <row r="82" spans="1:25" x14ac:dyDescent="0.3">
      <c r="A82" s="66">
        <f t="shared" si="7"/>
        <v>1997.4999999999932</v>
      </c>
      <c r="B82" s="67">
        <f>LOOKUP(A82+0.01,AmountsB!$A$4:$A$103,AmountsB!$B$4:$B$103)*0.1*$A$2</f>
        <v>0</v>
      </c>
      <c r="C82" s="68">
        <f t="shared" si="13"/>
        <v>0</v>
      </c>
      <c r="D82" s="67">
        <f t="array" ref="D82">SUM($B$7:$B77*$F$1009*EXP(-$F$1009*($A82-$A$7:$A77)))*$F$1010</f>
        <v>0</v>
      </c>
      <c r="E82" s="67">
        <f t="shared" si="11"/>
        <v>0</v>
      </c>
      <c r="F82" s="70">
        <f t="shared" si="8"/>
        <v>0</v>
      </c>
      <c r="G82" s="67">
        <f>E82/'Lookup Tables'!$C$48</f>
        <v>0</v>
      </c>
      <c r="H82" s="70" t="e">
        <f t="shared" si="12"/>
        <v>#DIV/0!</v>
      </c>
      <c r="I82" s="71">
        <f t="shared" si="9"/>
        <v>0</v>
      </c>
      <c r="J82" s="35">
        <f t="shared" si="14"/>
        <v>2064</v>
      </c>
      <c r="K82" s="75">
        <f>$G$751</f>
        <v>1.3200965969852194</v>
      </c>
      <c r="L82" s="75">
        <f>Calcs2b!K77</f>
        <v>10.912543138156042</v>
      </c>
      <c r="M82" s="75">
        <f>Calcs3b!K77</f>
        <v>204.75313334502627</v>
      </c>
      <c r="N82" s="75">
        <f>Calcs4b!K77</f>
        <v>13.203098621411614</v>
      </c>
      <c r="O82" s="74">
        <f t="shared" si="10"/>
        <v>230.18887170157913</v>
      </c>
      <c r="P82" s="74"/>
      <c r="Q82" s="74"/>
      <c r="R82" s="74"/>
      <c r="S82" s="74"/>
      <c r="T82" s="74"/>
      <c r="U82" s="74"/>
      <c r="V82" s="74"/>
      <c r="W82" s="74"/>
      <c r="X82" s="74"/>
      <c r="Y82" s="74"/>
    </row>
    <row r="83" spans="1:25" x14ac:dyDescent="0.3">
      <c r="A83" s="66">
        <f t="shared" ref="A83:A146" si="15">A82+0.1</f>
        <v>1997.5999999999931</v>
      </c>
      <c r="B83" s="67">
        <f>LOOKUP(A83+0.01,AmountsB!$A$4:$A$103,AmountsB!$B$4:$B$103)*0.1*$A$2</f>
        <v>0</v>
      </c>
      <c r="C83" s="68">
        <f t="shared" si="13"/>
        <v>0</v>
      </c>
      <c r="D83" s="67">
        <f t="array" ref="D83">SUM($B$7:$B78*$F$1009*EXP(-$F$1009*($A83-$A$7:$A78)))*$F$1010</f>
        <v>0</v>
      </c>
      <c r="E83" s="67">
        <f t="shared" si="11"/>
        <v>0</v>
      </c>
      <c r="F83" s="70">
        <f t="shared" ref="F83:F146" si="16">E83*60*1012/1000000</f>
        <v>0</v>
      </c>
      <c r="G83" s="67">
        <f>E83/'Lookup Tables'!$C$48</f>
        <v>0</v>
      </c>
      <c r="H83" s="70" t="e">
        <f t="shared" si="12"/>
        <v>#DIV/0!</v>
      </c>
      <c r="I83" s="71">
        <f t="shared" ref="I83:I146" si="17">G83*60*24/1000000</f>
        <v>0</v>
      </c>
      <c r="J83" s="35">
        <f t="shared" si="14"/>
        <v>2065</v>
      </c>
      <c r="K83" s="75">
        <f>$G$761</f>
        <v>1.1476368481111849</v>
      </c>
      <c r="L83" s="75">
        <f>Calcs2b!K78</f>
        <v>10.174787781474402</v>
      </c>
      <c r="M83" s="75">
        <f>Calcs3b!K78</f>
        <v>199.09956493081324</v>
      </c>
      <c r="N83" s="75">
        <f>Calcs4b!K78</f>
        <v>13.01954312723454</v>
      </c>
      <c r="O83" s="74">
        <f t="shared" si="10"/>
        <v>223.44153268763336</v>
      </c>
      <c r="P83" s="74"/>
      <c r="Q83" s="74"/>
      <c r="R83" s="74"/>
      <c r="S83" s="74"/>
      <c r="T83" s="74"/>
      <c r="U83" s="74"/>
      <c r="V83" s="74"/>
      <c r="W83" s="74"/>
      <c r="X83" s="74"/>
      <c r="Y83" s="74"/>
    </row>
    <row r="84" spans="1:25" x14ac:dyDescent="0.3">
      <c r="A84" s="66">
        <f t="shared" si="15"/>
        <v>1997.699999999993</v>
      </c>
      <c r="B84" s="67">
        <f>LOOKUP(A84+0.01,AmountsB!$A$4:$A$103,AmountsB!$B$4:$B$103)*0.1*$A$2</f>
        <v>0</v>
      </c>
      <c r="C84" s="68">
        <f t="shared" si="13"/>
        <v>0</v>
      </c>
      <c r="D84" s="67">
        <f t="array" ref="D84">SUM($B$7:$B79*$F$1009*EXP(-$F$1009*($A84-$A$7:$A79)))*$F$1010</f>
        <v>0</v>
      </c>
      <c r="E84" s="67">
        <f t="shared" si="11"/>
        <v>0</v>
      </c>
      <c r="F84" s="70">
        <f t="shared" si="16"/>
        <v>0</v>
      </c>
      <c r="G84" s="67">
        <f>E84/'Lookup Tables'!$C$48</f>
        <v>0</v>
      </c>
      <c r="H84" s="70" t="e">
        <f t="shared" si="12"/>
        <v>#DIV/0!</v>
      </c>
      <c r="I84" s="71">
        <f t="shared" si="17"/>
        <v>0</v>
      </c>
      <c r="J84" s="35">
        <f t="shared" si="14"/>
        <v>2066</v>
      </c>
      <c r="K84" s="75">
        <f>$G$771</f>
        <v>0.9977075451527142</v>
      </c>
      <c r="L84" s="75">
        <f>Calcs2b!K79</f>
        <v>9.4869092463018898</v>
      </c>
      <c r="M84" s="75">
        <f>Calcs3b!K79</f>
        <v>193.60210077391707</v>
      </c>
      <c r="N84" s="75">
        <f>Calcs4b!K79</f>
        <v>12.838539505190564</v>
      </c>
      <c r="O84" s="74">
        <f t="shared" si="10"/>
        <v>216.92525707056225</v>
      </c>
      <c r="P84" s="74"/>
      <c r="Q84" s="74"/>
      <c r="R84" s="74"/>
      <c r="S84" s="74"/>
      <c r="T84" s="74"/>
      <c r="U84" s="74"/>
      <c r="V84" s="74"/>
      <c r="W84" s="74"/>
      <c r="X84" s="74"/>
      <c r="Y84" s="74"/>
    </row>
    <row r="85" spans="1:25" x14ac:dyDescent="0.3">
      <c r="A85" s="66">
        <f t="shared" si="15"/>
        <v>1997.7999999999929</v>
      </c>
      <c r="B85" s="67">
        <f>LOOKUP(A85+0.01,AmountsB!$A$4:$A$103,AmountsB!$B$4:$B$103)*0.1*$A$2</f>
        <v>0</v>
      </c>
      <c r="C85" s="68">
        <f t="shared" si="13"/>
        <v>0</v>
      </c>
      <c r="D85" s="67">
        <f t="array" ref="D85">SUM($B$7:$B80*$F$1009*EXP(-$F$1009*($A85-$A$7:$A80)))*$F$1010</f>
        <v>0</v>
      </c>
      <c r="E85" s="67">
        <f t="shared" si="11"/>
        <v>0</v>
      </c>
      <c r="F85" s="70">
        <f t="shared" si="16"/>
        <v>0</v>
      </c>
      <c r="G85" s="67">
        <f>E85/'Lookup Tables'!$C$48</f>
        <v>0</v>
      </c>
      <c r="H85" s="70" t="e">
        <f t="shared" si="12"/>
        <v>#DIV/0!</v>
      </c>
      <c r="I85" s="71">
        <f t="shared" si="17"/>
        <v>0</v>
      </c>
      <c r="J85" s="35">
        <f t="shared" si="14"/>
        <v>2067</v>
      </c>
      <c r="K85" s="75">
        <f>$G$781</f>
        <v>0.86736527089814852</v>
      </c>
      <c r="L85" s="75">
        <f>Calcs2b!K80</f>
        <v>8.8455355512610367</v>
      </c>
      <c r="M85" s="75">
        <f>Calcs3b!K80</f>
        <v>188.25643058084444</v>
      </c>
      <c r="N85" s="75">
        <f>Calcs4b!K80</f>
        <v>12.660052277990319</v>
      </c>
      <c r="O85" s="74">
        <f t="shared" si="10"/>
        <v>210.62938368099395</v>
      </c>
      <c r="P85" s="74"/>
      <c r="Q85" s="74"/>
      <c r="R85" s="74"/>
      <c r="S85" s="74"/>
      <c r="T85" s="74"/>
      <c r="U85" s="74"/>
      <c r="V85" s="74"/>
      <c r="W85" s="74"/>
      <c r="X85" s="74"/>
      <c r="Y85" s="74"/>
    </row>
    <row r="86" spans="1:25" x14ac:dyDescent="0.3">
      <c r="A86" s="66">
        <f t="shared" si="15"/>
        <v>1997.8999999999928</v>
      </c>
      <c r="B86" s="67">
        <f>LOOKUP(A86+0.01,AmountsB!$A$4:$A$103,AmountsB!$B$4:$B$103)*0.1*$A$2</f>
        <v>0</v>
      </c>
      <c r="C86" s="68">
        <f t="shared" si="13"/>
        <v>0</v>
      </c>
      <c r="D86" s="67">
        <f t="array" ref="D86">SUM($B$7:$B81*$F$1009*EXP(-$F$1009*($A86-$A$7:$A81)))*$F$1010</f>
        <v>0</v>
      </c>
      <c r="E86" s="67">
        <f t="shared" si="11"/>
        <v>0</v>
      </c>
      <c r="F86" s="70">
        <f t="shared" si="16"/>
        <v>0</v>
      </c>
      <c r="G86" s="67">
        <f>E86/'Lookup Tables'!$C$48</f>
        <v>0</v>
      </c>
      <c r="H86" s="70" t="e">
        <f t="shared" si="12"/>
        <v>#DIV/0!</v>
      </c>
      <c r="I86" s="71">
        <f t="shared" si="17"/>
        <v>0</v>
      </c>
      <c r="J86" s="35">
        <f t="shared" si="14"/>
        <v>2068</v>
      </c>
      <c r="K86" s="75">
        <f>$G$791</f>
        <v>0.75405114135431728</v>
      </c>
      <c r="L86" s="75">
        <f>Calcs2b!K81</f>
        <v>8.2475226817546741</v>
      </c>
      <c r="M86" s="75">
        <f>Calcs3b!K81</f>
        <v>183.05836307234421</v>
      </c>
      <c r="N86" s="75">
        <f>Calcs4b!K81</f>
        <v>12.484046461565866</v>
      </c>
      <c r="O86" s="74">
        <f t="shared" si="10"/>
        <v>204.54398335701907</v>
      </c>
      <c r="P86" s="74"/>
      <c r="Q86" s="74"/>
      <c r="R86" s="74"/>
      <c r="S86" s="74"/>
      <c r="T86" s="74"/>
      <c r="U86" s="74"/>
      <c r="V86" s="74"/>
      <c r="W86" s="74"/>
      <c r="X86" s="74"/>
      <c r="Y86" s="74"/>
    </row>
    <row r="87" spans="1:25" x14ac:dyDescent="0.3">
      <c r="A87" s="66">
        <f t="shared" si="15"/>
        <v>1997.9999999999927</v>
      </c>
      <c r="B87" s="67">
        <f>LOOKUP(A87+0.01,AmountsB!$A$4:$A$103,AmountsB!$B$4:$B$103)*0.1*$A$2</f>
        <v>0</v>
      </c>
      <c r="C87" s="68">
        <f t="shared" si="13"/>
        <v>0</v>
      </c>
      <c r="D87" s="67">
        <f t="array" ref="D87">SUM($B$7:$B82*$F$1009*EXP(-$F$1009*($A87-$A$7:$A82)))*$F$1010</f>
        <v>0</v>
      </c>
      <c r="E87" s="67">
        <f t="shared" si="11"/>
        <v>0</v>
      </c>
      <c r="F87" s="70">
        <f t="shared" si="16"/>
        <v>0</v>
      </c>
      <c r="G87" s="67">
        <f>E87/'Lookup Tables'!$C$48</f>
        <v>0</v>
      </c>
      <c r="H87" s="70" t="e">
        <f t="shared" si="12"/>
        <v>#DIV/0!</v>
      </c>
      <c r="I87" s="71">
        <f t="shared" si="17"/>
        <v>0</v>
      </c>
      <c r="J87" s="35">
        <f t="shared" si="14"/>
        <v>2069</v>
      </c>
      <c r="K87" s="75">
        <f>$G$801</f>
        <v>0.65554056964832841</v>
      </c>
      <c r="L87" s="75">
        <f>Calcs2b!K82</f>
        <v>7.6899391780026809</v>
      </c>
      <c r="M87" s="75">
        <f>Calcs3b!K82</f>
        <v>178.00382269723107</v>
      </c>
      <c r="N87" s="75">
        <f>Calcs4b!K82</f>
        <v>12.310487558213728</v>
      </c>
      <c r="O87" s="74">
        <f t="shared" si="10"/>
        <v>198.65979000309582</v>
      </c>
      <c r="P87" s="74"/>
      <c r="Q87" s="74"/>
      <c r="R87" s="74"/>
      <c r="S87" s="74"/>
      <c r="T87" s="74"/>
      <c r="U87" s="74"/>
      <c r="V87" s="74"/>
      <c r="W87" s="74"/>
      <c r="X87" s="74"/>
      <c r="Y87" s="74"/>
    </row>
    <row r="88" spans="1:25" x14ac:dyDescent="0.3">
      <c r="A88" s="66">
        <f t="shared" si="15"/>
        <v>1998.0999999999926</v>
      </c>
      <c r="B88" s="67">
        <f>LOOKUP(A88+0.01,AmountsB!$A$4:$A$103,AmountsB!$B$4:$B$103)*0.1*$A$2</f>
        <v>0</v>
      </c>
      <c r="C88" s="68">
        <f t="shared" si="13"/>
        <v>0</v>
      </c>
      <c r="D88" s="67">
        <f t="array" ref="D88">SUM($B$7:$B83*$F$1009*EXP(-$F$1009*($A88-$A$7:$A83)))*$F$1010</f>
        <v>0</v>
      </c>
      <c r="E88" s="67">
        <f t="shared" si="11"/>
        <v>0</v>
      </c>
      <c r="F88" s="70">
        <f t="shared" si="16"/>
        <v>0</v>
      </c>
      <c r="G88" s="67">
        <f>E88/'Lookup Tables'!$C$48</f>
        <v>0</v>
      </c>
      <c r="H88" s="70" t="e">
        <f t="shared" si="12"/>
        <v>#DIV/0!</v>
      </c>
      <c r="I88" s="71">
        <f t="shared" si="17"/>
        <v>0</v>
      </c>
      <c r="J88" s="35">
        <f t="shared" si="14"/>
        <v>2070</v>
      </c>
      <c r="K88" s="75">
        <f>$G$811</f>
        <v>0.56989959286187086</v>
      </c>
      <c r="L88" s="75">
        <f>Calcs2b!K83</f>
        <v>7.1700517650227873</v>
      </c>
      <c r="M88" s="75">
        <f>Calcs3b!K83</f>
        <v>173.0888464369437</v>
      </c>
      <c r="N88" s="75">
        <f>Calcs4b!K83</f>
        <v>12.139341549833224</v>
      </c>
      <c r="O88" s="74">
        <f t="shared" si="10"/>
        <v>192.96813934466158</v>
      </c>
      <c r="P88" s="74"/>
      <c r="Q88" s="74"/>
      <c r="R88" s="74"/>
      <c r="S88" s="74"/>
      <c r="T88" s="74"/>
      <c r="U88" s="74"/>
      <c r="V88" s="74"/>
      <c r="W88" s="74"/>
      <c r="X88" s="74"/>
      <c r="Y88" s="74"/>
    </row>
    <row r="89" spans="1:25" x14ac:dyDescent="0.3">
      <c r="A89" s="66">
        <f t="shared" si="15"/>
        <v>1998.1999999999925</v>
      </c>
      <c r="B89" s="67">
        <f>LOOKUP(A89+0.01,AmountsB!$A$4:$A$103,AmountsB!$B$4:$B$103)*0.1*$A$2</f>
        <v>0</v>
      </c>
      <c r="C89" s="68">
        <f t="shared" si="13"/>
        <v>0</v>
      </c>
      <c r="D89" s="67">
        <f t="array" ref="D89">SUM($B$7:$B84*$F$1009*EXP(-$F$1009*($A89-$A$7:$A84)))*$F$1010</f>
        <v>0</v>
      </c>
      <c r="E89" s="67">
        <f t="shared" si="11"/>
        <v>0</v>
      </c>
      <c r="F89" s="70">
        <f t="shared" si="16"/>
        <v>0</v>
      </c>
      <c r="G89" s="67">
        <f>E89/'Lookup Tables'!$C$48</f>
        <v>0</v>
      </c>
      <c r="H89" s="70" t="e">
        <f t="shared" si="12"/>
        <v>#DIV/0!</v>
      </c>
      <c r="I89" s="71">
        <f t="shared" si="17"/>
        <v>0</v>
      </c>
      <c r="J89" s="35">
        <f t="shared" si="14"/>
        <v>2071</v>
      </c>
      <c r="K89" s="75">
        <f>$G$821</f>
        <v>0.49544690440495726</v>
      </c>
      <c r="L89" s="75">
        <f>Calcs2b!K84</f>
        <v>6.6853119541134038</v>
      </c>
      <c r="M89" s="75">
        <f>Calcs3b!K84</f>
        <v>168.30958069833579</v>
      </c>
      <c r="N89" s="75">
        <f>Calcs4b!K84</f>
        <v>11.970574891258813</v>
      </c>
      <c r="O89" s="74">
        <f t="shared" si="10"/>
        <v>187.46091444811299</v>
      </c>
      <c r="P89" s="74"/>
      <c r="Q89" s="74"/>
      <c r="R89" s="74"/>
      <c r="S89" s="74"/>
      <c r="T89" s="74"/>
      <c r="U89" s="74"/>
      <c r="V89" s="74"/>
      <c r="W89" s="74"/>
      <c r="X89" s="74"/>
      <c r="Y89" s="74"/>
    </row>
    <row r="90" spans="1:25" x14ac:dyDescent="0.3">
      <c r="A90" s="66">
        <f t="shared" si="15"/>
        <v>1998.2999999999925</v>
      </c>
      <c r="B90" s="67">
        <f>LOOKUP(A90+0.01,AmountsB!$A$4:$A$103,AmountsB!$B$4:$B$103)*0.1*$A$2</f>
        <v>0</v>
      </c>
      <c r="C90" s="68">
        <f t="shared" si="13"/>
        <v>0</v>
      </c>
      <c r="D90" s="67">
        <f t="array" ref="D90">SUM($B$7:$B85*$F$1009*EXP(-$F$1009*($A90-$A$7:$A85)))*$F$1010</f>
        <v>0</v>
      </c>
      <c r="E90" s="67">
        <f t="shared" si="11"/>
        <v>0</v>
      </c>
      <c r="F90" s="70">
        <f t="shared" si="16"/>
        <v>0</v>
      </c>
      <c r="G90" s="67">
        <f>E90/'Lookup Tables'!$C$48</f>
        <v>0</v>
      </c>
      <c r="H90" s="70" t="e">
        <f t="shared" si="12"/>
        <v>#DIV/0!</v>
      </c>
      <c r="I90" s="71">
        <f t="shared" si="17"/>
        <v>0</v>
      </c>
      <c r="J90" s="35">
        <f t="shared" si="14"/>
        <v>2072</v>
      </c>
      <c r="K90" s="75">
        <f>$G$831</f>
        <v>0.43072084654734943</v>
      </c>
      <c r="L90" s="75">
        <f>Calcs2b!K85</f>
        <v>6.2333435501590913</v>
      </c>
      <c r="M90" s="75">
        <f>Calcs3b!K85</f>
        <v>163.6622782922615</v>
      </c>
      <c r="N90" s="75">
        <f>Calcs4b!K85</f>
        <v>11.804154503685147</v>
      </c>
      <c r="O90" s="74">
        <f t="shared" si="10"/>
        <v>182.13049719265308</v>
      </c>
      <c r="P90" s="74"/>
      <c r="Q90" s="74"/>
      <c r="R90" s="74"/>
      <c r="S90" s="74"/>
      <c r="T90" s="74"/>
      <c r="U90" s="74"/>
      <c r="V90" s="74"/>
      <c r="W90" s="74"/>
      <c r="X90" s="74"/>
      <c r="Y90" s="74"/>
    </row>
    <row r="91" spans="1:25" x14ac:dyDescent="0.3">
      <c r="A91" s="66">
        <f t="shared" si="15"/>
        <v>1998.3999999999924</v>
      </c>
      <c r="B91" s="67">
        <f>LOOKUP(A91+0.01,AmountsB!$A$4:$A$103,AmountsB!$B$4:$B$103)*0.1*$A$2</f>
        <v>0</v>
      </c>
      <c r="C91" s="68">
        <f t="shared" si="13"/>
        <v>0</v>
      </c>
      <c r="D91" s="67">
        <f t="array" ref="D91">SUM($B$7:$B86*$F$1009*EXP(-$F$1009*($A91-$A$7:$A86)))*$F$1010</f>
        <v>0</v>
      </c>
      <c r="E91" s="67">
        <f t="shared" si="11"/>
        <v>0</v>
      </c>
      <c r="F91" s="70">
        <f t="shared" si="16"/>
        <v>0</v>
      </c>
      <c r="G91" s="67">
        <f>E91/'Lookup Tables'!$C$48</f>
        <v>0</v>
      </c>
      <c r="H91" s="70" t="e">
        <f t="shared" si="12"/>
        <v>#DIV/0!</v>
      </c>
      <c r="I91" s="71">
        <f t="shared" si="17"/>
        <v>0</v>
      </c>
      <c r="J91" s="35">
        <f t="shared" si="14"/>
        <v>2073</v>
      </c>
      <c r="K91" s="75">
        <f>$G$841</f>
        <v>0.37445071510393113</v>
      </c>
      <c r="L91" s="75">
        <f>Calcs2b!K86</f>
        <v>5.8119310035193124</v>
      </c>
      <c r="M91" s="75">
        <f>Calcs3b!K86</f>
        <v>159.14329549558738</v>
      </c>
      <c r="N91" s="75">
        <f>Calcs4b!K86</f>
        <v>11.640047768183473</v>
      </c>
      <c r="O91" s="74">
        <f t="shared" si="10"/>
        <v>176.9697249823941</v>
      </c>
      <c r="P91" s="74"/>
      <c r="Q91" s="74"/>
      <c r="R91" s="74"/>
      <c r="S91" s="74"/>
      <c r="T91" s="74"/>
      <c r="U91" s="74"/>
      <c r="V91" s="74"/>
      <c r="W91" s="74"/>
      <c r="X91" s="74"/>
      <c r="Y91" s="74"/>
    </row>
    <row r="92" spans="1:25" x14ac:dyDescent="0.3">
      <c r="A92" s="66">
        <f t="shared" si="15"/>
        <v>1998.4999999999923</v>
      </c>
      <c r="B92" s="67">
        <f>LOOKUP(A92+0.01,AmountsB!$A$4:$A$103,AmountsB!$B$4:$B$103)*0.1*$A$2</f>
        <v>0</v>
      </c>
      <c r="C92" s="68">
        <f t="shared" si="13"/>
        <v>0</v>
      </c>
      <c r="D92" s="67">
        <f t="array" ref="D92">SUM($B$7:$B87*$F$1009*EXP(-$F$1009*($A92-$A$7:$A87)))*$F$1010</f>
        <v>0</v>
      </c>
      <c r="E92" s="67">
        <f t="shared" si="11"/>
        <v>0</v>
      </c>
      <c r="F92" s="70">
        <f t="shared" si="16"/>
        <v>0</v>
      </c>
      <c r="G92" s="67">
        <f>E92/'Lookup Tables'!$C$48</f>
        <v>0</v>
      </c>
      <c r="H92" s="70" t="e">
        <f t="shared" si="12"/>
        <v>#DIV/0!</v>
      </c>
      <c r="I92" s="71">
        <f t="shared" si="17"/>
        <v>0</v>
      </c>
      <c r="J92" s="35">
        <f t="shared" si="14"/>
        <v>2074</v>
      </c>
      <c r="K92" s="75">
        <f>$G$851</f>
        <v>0.3255318129266162</v>
      </c>
      <c r="L92" s="75">
        <f>Calcs2b!K87</f>
        <v>5.4190085494015312</v>
      </c>
      <c r="M92" s="75">
        <f>Calcs3b!K87</f>
        <v>154.7490891943263</v>
      </c>
      <c r="N92" s="75">
        <f>Calcs4b!K87</f>
        <v>11.478222519308277</v>
      </c>
      <c r="O92" s="74">
        <f t="shared" si="10"/>
        <v>171.97185207596272</v>
      </c>
      <c r="P92" s="74"/>
      <c r="Q92" s="74"/>
      <c r="R92" s="74"/>
      <c r="S92" s="74"/>
      <c r="T92" s="74"/>
      <c r="U92" s="74"/>
      <c r="V92" s="74"/>
      <c r="W92" s="74"/>
      <c r="X92" s="74"/>
      <c r="Y92" s="74"/>
    </row>
    <row r="93" spans="1:25" x14ac:dyDescent="0.3">
      <c r="A93" s="66">
        <f t="shared" si="15"/>
        <v>1998.5999999999922</v>
      </c>
      <c r="B93" s="67">
        <f>LOOKUP(A93+0.01,AmountsB!$A$4:$A$103,AmountsB!$B$4:$B$103)*0.1*$A$2</f>
        <v>0</v>
      </c>
      <c r="C93" s="68">
        <f t="shared" si="13"/>
        <v>0</v>
      </c>
      <c r="D93" s="67">
        <f t="array" ref="D93">SUM($B$7:$B88*$F$1009*EXP(-$F$1009*($A93-$A$7:$A88)))*$F$1010</f>
        <v>0</v>
      </c>
      <c r="E93" s="67">
        <f t="shared" si="11"/>
        <v>0</v>
      </c>
      <c r="F93" s="70">
        <f t="shared" si="16"/>
        <v>0</v>
      </c>
      <c r="G93" s="67">
        <f>E93/'Lookup Tables'!$C$48</f>
        <v>0</v>
      </c>
      <c r="H93" s="70" t="e">
        <f t="shared" si="12"/>
        <v>#DIV/0!</v>
      </c>
      <c r="I93" s="71">
        <f t="shared" si="17"/>
        <v>0</v>
      </c>
      <c r="J93" s="35">
        <f t="shared" si="14"/>
        <v>2075</v>
      </c>
      <c r="K93" s="75">
        <f>$G$861</f>
        <v>0.28300376245209308</v>
      </c>
      <c r="L93" s="75">
        <f>Calcs2b!K88</f>
        <v>5.0526500814798041</v>
      </c>
      <c r="M93" s="75">
        <f>Calcs3b!K88</f>
        <v>150.4762141056554</v>
      </c>
      <c r="N93" s="75">
        <f>Calcs4b!K88</f>
        <v>11.318647038792712</v>
      </c>
      <c r="O93" s="74">
        <f t="shared" si="10"/>
        <v>167.13051498838001</v>
      </c>
      <c r="P93" s="74"/>
      <c r="Q93" s="74"/>
      <c r="R93" s="74"/>
      <c r="S93" s="74"/>
      <c r="T93" s="74"/>
      <c r="U93" s="74"/>
      <c r="V93" s="74"/>
      <c r="W93" s="74"/>
      <c r="X93" s="74"/>
      <c r="Y93" s="74"/>
    </row>
    <row r="94" spans="1:25" x14ac:dyDescent="0.3">
      <c r="A94" s="66">
        <f t="shared" si="15"/>
        <v>1998.6999999999921</v>
      </c>
      <c r="B94" s="67">
        <f>LOOKUP(A94+0.01,AmountsB!$A$4:$A$103,AmountsB!$B$4:$B$103)*0.1*$A$2</f>
        <v>0</v>
      </c>
      <c r="C94" s="68">
        <f t="shared" si="13"/>
        <v>0</v>
      </c>
      <c r="D94" s="67">
        <f t="array" ref="D94">SUM($B$7:$B89*$F$1009*EXP(-$F$1009*($A94-$A$7:$A89)))*$F$1010</f>
        <v>0</v>
      </c>
      <c r="E94" s="67">
        <f t="shared" si="11"/>
        <v>0</v>
      </c>
      <c r="F94" s="70">
        <f t="shared" si="16"/>
        <v>0</v>
      </c>
      <c r="G94" s="67">
        <f>E94/'Lookup Tables'!$C$48</f>
        <v>0</v>
      </c>
      <c r="H94" s="70" t="e">
        <f t="shared" si="12"/>
        <v>#DIV/0!</v>
      </c>
      <c r="I94" s="71">
        <f t="shared" si="17"/>
        <v>0</v>
      </c>
      <c r="J94" s="35">
        <f t="shared" si="14"/>
        <v>2076</v>
      </c>
      <c r="K94" s="75">
        <f>$G$871</f>
        <v>0.24603165153660578</v>
      </c>
      <c r="L94" s="75">
        <f>Calcs2b!K89</f>
        <v>4.7110597101193559</v>
      </c>
      <c r="M94" s="75">
        <f>Calcs3b!K89</f>
        <v>146.32132007663677</v>
      </c>
      <c r="N94" s="75">
        <f>Calcs4b!K89</f>
        <v>11.16129004933175</v>
      </c>
      <c r="O94" s="74">
        <f t="shared" si="10"/>
        <v>162.43970148762446</v>
      </c>
      <c r="P94" s="74"/>
      <c r="Q94" s="74"/>
      <c r="R94" s="74"/>
      <c r="S94" s="74"/>
      <c r="T94" s="74"/>
      <c r="U94" s="74"/>
      <c r="V94" s="74"/>
      <c r="W94" s="74"/>
      <c r="X94" s="74"/>
      <c r="Y94" s="74"/>
    </row>
    <row r="95" spans="1:25" x14ac:dyDescent="0.3">
      <c r="A95" s="66">
        <f t="shared" si="15"/>
        <v>1998.799999999992</v>
      </c>
      <c r="B95" s="67">
        <f>LOOKUP(A95+0.01,AmountsB!$A$4:$A$103,AmountsB!$B$4:$B$103)*0.1*$A$2</f>
        <v>0</v>
      </c>
      <c r="C95" s="68">
        <f t="shared" si="13"/>
        <v>0</v>
      </c>
      <c r="D95" s="67">
        <f t="array" ref="D95">SUM($B$7:$B90*$F$1009*EXP(-$F$1009*($A95-$A$7:$A90)))*$F$1010</f>
        <v>0</v>
      </c>
      <c r="E95" s="67">
        <f t="shared" si="11"/>
        <v>0</v>
      </c>
      <c r="F95" s="70">
        <f t="shared" si="16"/>
        <v>0</v>
      </c>
      <c r="G95" s="67">
        <f>E95/'Lookup Tables'!$C$48</f>
        <v>0</v>
      </c>
      <c r="H95" s="70" t="e">
        <f t="shared" si="12"/>
        <v>#DIV/0!</v>
      </c>
      <c r="I95" s="71">
        <f t="shared" si="17"/>
        <v>0</v>
      </c>
      <c r="J95" s="35">
        <f t="shared" si="14"/>
        <v>2077</v>
      </c>
      <c r="K95" s="75">
        <f>$G$881</f>
        <v>0.2138896424321447</v>
      </c>
      <c r="L95" s="75">
        <f>Calcs2b!K90</f>
        <v>4.3925629589234738</v>
      </c>
      <c r="M95" s="75">
        <f>Calcs3b!K90</f>
        <v>142.28114945752691</v>
      </c>
      <c r="N95" s="75">
        <f>Calcs4b!K90</f>
        <v>11.006120708451695</v>
      </c>
      <c r="O95" s="74">
        <f t="shared" si="10"/>
        <v>157.89372276733422</v>
      </c>
      <c r="P95" s="74"/>
      <c r="Q95" s="74"/>
      <c r="R95" s="74"/>
      <c r="S95" s="74"/>
      <c r="T95" s="74"/>
      <c r="U95" s="74"/>
      <c r="V95" s="74"/>
      <c r="W95" s="74"/>
      <c r="X95" s="74"/>
      <c r="Y95" s="74"/>
    </row>
    <row r="96" spans="1:25" x14ac:dyDescent="0.3">
      <c r="A96" s="66">
        <f t="shared" si="15"/>
        <v>1998.8999999999919</v>
      </c>
      <c r="B96" s="67">
        <f>LOOKUP(A96+0.01,AmountsB!$A$4:$A$103,AmountsB!$B$4:$B$103)*0.1*$A$2</f>
        <v>0</v>
      </c>
      <c r="C96" s="68">
        <f t="shared" si="13"/>
        <v>0</v>
      </c>
      <c r="D96" s="67">
        <f t="array" ref="D96">SUM($B$7:$B91*$F$1009*EXP(-$F$1009*($A96-$A$7:$A91)))*$F$1010</f>
        <v>0</v>
      </c>
      <c r="E96" s="67">
        <f t="shared" si="11"/>
        <v>0</v>
      </c>
      <c r="F96" s="70">
        <f t="shared" si="16"/>
        <v>0</v>
      </c>
      <c r="G96" s="67">
        <f>E96/'Lookup Tables'!$C$48</f>
        <v>0</v>
      </c>
      <c r="H96" s="70" t="e">
        <f t="shared" si="12"/>
        <v>#DIV/0!</v>
      </c>
      <c r="I96" s="71">
        <f t="shared" si="17"/>
        <v>0</v>
      </c>
      <c r="J96" s="35">
        <f t="shared" si="14"/>
        <v>2078</v>
      </c>
      <c r="K96" s="75">
        <f>$G$891</f>
        <v>0.18594672211491456</v>
      </c>
      <c r="L96" s="75">
        <f>Calcs2b!K91</f>
        <v>4.0955985564482917</v>
      </c>
      <c r="M96" s="75">
        <f>Calcs3b!K91</f>
        <v>138.35253454761218</v>
      </c>
      <c r="N96" s="75">
        <f>Calcs4b!K91</f>
        <v>10.853108602464978</v>
      </c>
      <c r="O96" s="74">
        <f t="shared" ref="O96:O107" si="18">SUM(K96:N96)</f>
        <v>153.48718842864037</v>
      </c>
      <c r="P96" s="74"/>
      <c r="Q96" s="74"/>
      <c r="R96" s="74"/>
      <c r="S96" s="74"/>
      <c r="T96" s="74"/>
      <c r="U96" s="74"/>
      <c r="V96" s="74"/>
      <c r="W96" s="74"/>
      <c r="X96" s="74"/>
      <c r="Y96" s="74"/>
    </row>
    <row r="97" spans="1:25" x14ac:dyDescent="0.3">
      <c r="A97" s="66">
        <f t="shared" si="15"/>
        <v>1998.9999999999918</v>
      </c>
      <c r="B97" s="67">
        <f>LOOKUP(A97+0.01,AmountsB!$A$4:$A$103,AmountsB!$B$4:$B$103)*0.1*$A$2</f>
        <v>0</v>
      </c>
      <c r="C97" s="68">
        <f t="shared" si="13"/>
        <v>0</v>
      </c>
      <c r="D97" s="67">
        <f t="array" ref="D97">SUM($B$7:$B92*$F$1009*EXP(-$F$1009*($A97-$A$7:$A92)))*$F$1010</f>
        <v>0</v>
      </c>
      <c r="E97" s="67">
        <f t="shared" si="11"/>
        <v>0</v>
      </c>
      <c r="F97" s="70">
        <f t="shared" si="16"/>
        <v>0</v>
      </c>
      <c r="G97" s="67">
        <f>E97/'Lookup Tables'!$C$48</f>
        <v>0</v>
      </c>
      <c r="H97" s="70" t="e">
        <f t="shared" si="12"/>
        <v>#DIV/0!</v>
      </c>
      <c r="I97" s="71">
        <f t="shared" si="17"/>
        <v>0</v>
      </c>
      <c r="J97" s="35">
        <f t="shared" si="14"/>
        <v>2079</v>
      </c>
      <c r="K97" s="75">
        <f>$G$901</f>
        <v>0.16165431421603485</v>
      </c>
      <c r="L97" s="75">
        <f>Calcs2b!K92</f>
        <v>3.8187107828483553</v>
      </c>
      <c r="M97" s="75">
        <f>Calcs3b!K92</f>
        <v>134.53239511156914</v>
      </c>
      <c r="N97" s="75">
        <f>Calcs4b!K92</f>
        <v>10.702223740508995</v>
      </c>
      <c r="O97" s="74">
        <f t="shared" si="18"/>
        <v>149.21498394914252</v>
      </c>
      <c r="P97" s="74"/>
      <c r="Q97" s="74"/>
      <c r="R97" s="74"/>
      <c r="S97" s="74"/>
      <c r="T97" s="74"/>
      <c r="U97" s="74"/>
      <c r="V97" s="74"/>
      <c r="W97" s="74"/>
      <c r="X97" s="74"/>
      <c r="Y97" s="74"/>
    </row>
    <row r="98" spans="1:25" x14ac:dyDescent="0.3">
      <c r="A98" s="66">
        <f t="shared" si="15"/>
        <v>1999.0999999999917</v>
      </c>
      <c r="B98" s="67">
        <f>LOOKUP(A98+0.01,AmountsB!$A$4:$A$103,AmountsB!$B$4:$B$103)*0.1*$A$2</f>
        <v>0</v>
      </c>
      <c r="C98" s="68">
        <f t="shared" si="13"/>
        <v>0</v>
      </c>
      <c r="D98" s="67">
        <f t="array" ref="D98">SUM($B$7:$B93*$F$1009*EXP(-$F$1009*($A98-$A$7:$A93)))*$F$1010</f>
        <v>0</v>
      </c>
      <c r="E98" s="67">
        <f t="shared" si="11"/>
        <v>0</v>
      </c>
      <c r="F98" s="70">
        <f t="shared" si="16"/>
        <v>0</v>
      </c>
      <c r="G98" s="67">
        <f>E98/'Lookup Tables'!$C$48</f>
        <v>0</v>
      </c>
      <c r="H98" s="70" t="e">
        <f t="shared" si="12"/>
        <v>#DIV/0!</v>
      </c>
      <c r="I98" s="71">
        <f t="shared" si="17"/>
        <v>0</v>
      </c>
      <c r="J98" s="35">
        <f t="shared" si="14"/>
        <v>2080</v>
      </c>
      <c r="K98" s="75">
        <f>$G$911</f>
        <v>0.14053550935147396</v>
      </c>
      <c r="L98" s="75">
        <f>Calcs2b!K93</f>
        <v>3.5605423339362385</v>
      </c>
      <c r="M98" s="75">
        <f>Calcs3b!K93</f>
        <v>130.81773596440215</v>
      </c>
      <c r="N98" s="75">
        <f>Calcs4b!K93</f>
        <v>10.553436548667751</v>
      </c>
      <c r="O98" s="74">
        <f t="shared" si="18"/>
        <v>145.07225035635761</v>
      </c>
      <c r="P98" s="74"/>
      <c r="Q98" s="74"/>
      <c r="R98" s="74"/>
      <c r="S98" s="74"/>
      <c r="T98" s="74"/>
      <c r="U98" s="74"/>
      <c r="V98" s="74"/>
      <c r="W98" s="74"/>
      <c r="X98" s="74"/>
      <c r="Y98" s="74"/>
    </row>
    <row r="99" spans="1:25" x14ac:dyDescent="0.3">
      <c r="A99" s="66">
        <f t="shared" si="15"/>
        <v>1999.1999999999916</v>
      </c>
      <c r="B99" s="67">
        <f>LOOKUP(A99+0.01,AmountsB!$A$4:$A$103,AmountsB!$B$4:$B$103)*0.1*$A$2</f>
        <v>0</v>
      </c>
      <c r="C99" s="68">
        <f t="shared" si="13"/>
        <v>0</v>
      </c>
      <c r="D99" s="67">
        <f t="array" ref="D99">SUM($B$7:$B94*$F$1009*EXP(-$F$1009*($A99-$A$7:$A94)))*$F$1010</f>
        <v>0</v>
      </c>
      <c r="E99" s="67">
        <f t="shared" si="11"/>
        <v>0</v>
      </c>
      <c r="F99" s="70">
        <f t="shared" si="16"/>
        <v>0</v>
      </c>
      <c r="G99" s="67">
        <f>E99/'Lookup Tables'!$C$48</f>
        <v>0</v>
      </c>
      <c r="H99" s="70" t="e">
        <f t="shared" si="12"/>
        <v>#DIV/0!</v>
      </c>
      <c r="I99" s="71">
        <f t="shared" si="17"/>
        <v>0</v>
      </c>
      <c r="J99" s="35">
        <f t="shared" si="14"/>
        <v>2081</v>
      </c>
      <c r="K99" s="75">
        <f>$G$921</f>
        <v>0.12217570242068537</v>
      </c>
      <c r="L99" s="75">
        <f>Calcs2b!K94</f>
        <v>3.31982766767586</v>
      </c>
      <c r="M99" s="75">
        <f>Calcs3b!K94</f>
        <v>127.20564462306498</v>
      </c>
      <c r="N99" s="75">
        <f>Calcs4b!K94</f>
        <v>10.406717864175336</v>
      </c>
      <c r="O99" s="74">
        <f t="shared" si="18"/>
        <v>141.05436585733688</v>
      </c>
      <c r="P99" s="74"/>
      <c r="Q99" s="74"/>
      <c r="R99" s="74"/>
      <c r="S99" s="74"/>
      <c r="T99" s="74"/>
      <c r="U99" s="74"/>
      <c r="V99" s="74"/>
      <c r="W99" s="74"/>
      <c r="X99" s="74"/>
      <c r="Y99" s="74"/>
    </row>
    <row r="100" spans="1:25" x14ac:dyDescent="0.3">
      <c r="A100" s="66">
        <f t="shared" si="15"/>
        <v>1999.2999999999915</v>
      </c>
      <c r="B100" s="67">
        <f>LOOKUP(A100+0.01,AmountsB!$A$4:$A$103,AmountsB!$B$4:$B$103)*0.1*$A$2</f>
        <v>0</v>
      </c>
      <c r="C100" s="68">
        <f t="shared" si="13"/>
        <v>0</v>
      </c>
      <c r="D100" s="67">
        <f t="array" ref="D100">SUM($B$7:$B95*$F$1009*EXP(-$F$1009*($A100-$A$7:$A95)))*$F$1010</f>
        <v>0</v>
      </c>
      <c r="E100" s="67">
        <f t="shared" si="11"/>
        <v>0</v>
      </c>
      <c r="F100" s="70">
        <f t="shared" si="16"/>
        <v>0</v>
      </c>
      <c r="G100" s="67">
        <f>E100/'Lookup Tables'!$C$48</f>
        <v>0</v>
      </c>
      <c r="H100" s="70" t="e">
        <f t="shared" si="12"/>
        <v>#DIV/0!</v>
      </c>
      <c r="I100" s="71">
        <f t="shared" si="17"/>
        <v>0</v>
      </c>
      <c r="J100" s="35">
        <f t="shared" si="14"/>
        <v>2082</v>
      </c>
      <c r="K100" s="75">
        <f>$G$931</f>
        <v>0.1062144530650702</v>
      </c>
      <c r="L100" s="75">
        <f>Calcs2b!K95</f>
        <v>3.0953868004939471</v>
      </c>
      <c r="M100" s="75">
        <f>Calcs3b!K95</f>
        <v>123.69328902292504</v>
      </c>
      <c r="N100" s="75">
        <f>Calcs4b!K95</f>
        <v>10.262038929699891</v>
      </c>
      <c r="O100" s="74">
        <f t="shared" si="18"/>
        <v>137.15692920618395</v>
      </c>
      <c r="P100" s="74"/>
      <c r="Q100" s="74"/>
      <c r="R100" s="74"/>
      <c r="S100" s="74"/>
      <c r="T100" s="74"/>
      <c r="U100" s="74"/>
      <c r="V100" s="74"/>
      <c r="W100" s="74"/>
      <c r="X100" s="74"/>
      <c r="Y100" s="74"/>
    </row>
    <row r="101" spans="1:25" x14ac:dyDescent="0.3">
      <c r="A101" s="66">
        <f t="shared" si="15"/>
        <v>1999.3999999999915</v>
      </c>
      <c r="B101" s="67">
        <f>LOOKUP(A101+0.01,AmountsB!$A$4:$A$103,AmountsB!$B$4:$B$103)*0.1*$A$2</f>
        <v>0</v>
      </c>
      <c r="C101" s="68">
        <f t="shared" si="13"/>
        <v>0</v>
      </c>
      <c r="D101" s="67">
        <f t="array" ref="D101">SUM($B$7:$B96*$F$1009*EXP(-$F$1009*($A101-$A$7:$A96)))*$F$1010</f>
        <v>0</v>
      </c>
      <c r="E101" s="67">
        <f t="shared" si="11"/>
        <v>0</v>
      </c>
      <c r="F101" s="70">
        <f t="shared" si="16"/>
        <v>0</v>
      </c>
      <c r="G101" s="67">
        <f>E101/'Lookup Tables'!$C$48</f>
        <v>0</v>
      </c>
      <c r="H101" s="70" t="e">
        <f t="shared" si="12"/>
        <v>#DIV/0!</v>
      </c>
      <c r="I101" s="71">
        <f t="shared" si="17"/>
        <v>0</v>
      </c>
      <c r="J101" s="35">
        <f t="shared" si="14"/>
        <v>2083</v>
      </c>
      <c r="K101" s="75">
        <f>$G$941</f>
        <v>9.2338409490510462E-2</v>
      </c>
      <c r="L101" s="75">
        <f>Calcs2b!K96</f>
        <v>2.8861195229991874</v>
      </c>
      <c r="M101" s="75">
        <f>Calcs3b!K96</f>
        <v>120.2779152972797</v>
      </c>
      <c r="N101" s="75">
        <f>Calcs4b!K96</f>
        <v>10.119371387707075</v>
      </c>
      <c r="O101" s="74">
        <f t="shared" si="18"/>
        <v>133.37574461747647</v>
      </c>
      <c r="P101" s="74"/>
      <c r="Q101" s="74"/>
      <c r="R101" s="74"/>
      <c r="S101" s="74"/>
      <c r="T101" s="74"/>
      <c r="U101" s="74"/>
      <c r="V101" s="74"/>
      <c r="W101" s="74"/>
      <c r="X101" s="74"/>
      <c r="Y101" s="74"/>
    </row>
    <row r="102" spans="1:25" x14ac:dyDescent="0.3">
      <c r="A102" s="66">
        <f t="shared" si="15"/>
        <v>1999.4999999999914</v>
      </c>
      <c r="B102" s="67">
        <f>LOOKUP(A102+0.01,AmountsB!$A$4:$A$103,AmountsB!$B$4:$B$103)*0.1*$A$2</f>
        <v>0</v>
      </c>
      <c r="C102" s="68">
        <f t="shared" si="13"/>
        <v>0</v>
      </c>
      <c r="D102" s="67">
        <f t="array" ref="D102">SUM($B$7:$B97*$F$1009*EXP(-$F$1009*($A102-$A$7:$A97)))*$F$1010</f>
        <v>0</v>
      </c>
      <c r="E102" s="67">
        <f t="shared" si="11"/>
        <v>0</v>
      </c>
      <c r="F102" s="70">
        <f t="shared" si="16"/>
        <v>0</v>
      </c>
      <c r="G102" s="67">
        <f>E102/'Lookup Tables'!$C$48</f>
        <v>0</v>
      </c>
      <c r="H102" s="70" t="e">
        <f t="shared" si="12"/>
        <v>#DIV/0!</v>
      </c>
      <c r="I102" s="71">
        <f t="shared" si="17"/>
        <v>0</v>
      </c>
      <c r="J102" s="35">
        <f t="shared" si="14"/>
        <v>2084</v>
      </c>
      <c r="K102" s="75">
        <f>$G$951</f>
        <v>8.0275156734212691E-2</v>
      </c>
      <c r="L102" s="75">
        <f>Calcs2b!K97</f>
        <v>2.6910000067545155</v>
      </c>
      <c r="M102" s="75">
        <f>Calcs3b!K97</f>
        <v>116.95684561818362</v>
      </c>
      <c r="N102" s="75">
        <f>Calcs4b!K97</f>
        <v>9.9786872749019491</v>
      </c>
      <c r="O102" s="74">
        <f t="shared" si="18"/>
        <v>129.70680805657429</v>
      </c>
      <c r="P102" s="74"/>
      <c r="Q102" s="74"/>
      <c r="R102" s="74"/>
      <c r="S102" s="74"/>
      <c r="T102" s="74"/>
      <c r="U102" s="74"/>
      <c r="V102" s="74"/>
      <c r="W102" s="74"/>
      <c r="X102" s="74"/>
      <c r="Y102" s="74"/>
    </row>
    <row r="103" spans="1:25" x14ac:dyDescent="0.3">
      <c r="A103" s="66">
        <f t="shared" si="15"/>
        <v>1999.5999999999913</v>
      </c>
      <c r="B103" s="67">
        <f>LOOKUP(A103+0.01,AmountsB!$A$4:$A$103,AmountsB!$B$4:$B$103)*0.1*$A$2</f>
        <v>0</v>
      </c>
      <c r="C103" s="68">
        <f t="shared" si="13"/>
        <v>0</v>
      </c>
      <c r="D103" s="67">
        <f t="array" ref="D103">SUM($B$7:$B98*$F$1009*EXP(-$F$1009*($A103-$A$7:$A98)))*$F$1010</f>
        <v>0</v>
      </c>
      <c r="E103" s="67">
        <f t="shared" si="11"/>
        <v>0</v>
      </c>
      <c r="F103" s="70">
        <f t="shared" si="16"/>
        <v>0</v>
      </c>
      <c r="G103" s="67">
        <f>E103/'Lookup Tables'!$C$48</f>
        <v>0</v>
      </c>
      <c r="H103" s="70" t="e">
        <f t="shared" si="12"/>
        <v>#DIV/0!</v>
      </c>
      <c r="I103" s="71">
        <f t="shared" si="17"/>
        <v>0</v>
      </c>
      <c r="J103" s="35">
        <f t="shared" si="14"/>
        <v>2085</v>
      </c>
      <c r="K103" s="75">
        <f>$G$961</f>
        <v>6.9787868604826636E-2</v>
      </c>
      <c r="L103" s="75">
        <f>Calcs2b!K98</f>
        <v>2.5090717756649359</v>
      </c>
      <c r="M103" s="75">
        <f>Calcs3b!K98</f>
        <v>113.72747609689401</v>
      </c>
      <c r="N103" s="75">
        <f>Calcs4b!K98</f>
        <v>9.8399590167480042</v>
      </c>
      <c r="O103" s="74">
        <f t="shared" si="18"/>
        <v>126.14629475791176</v>
      </c>
      <c r="P103" s="74"/>
      <c r="Q103" s="74"/>
      <c r="R103" s="74"/>
      <c r="S103" s="74"/>
      <c r="T103" s="74"/>
      <c r="U103" s="74"/>
      <c r="V103" s="74"/>
      <c r="W103" s="74"/>
      <c r="X103" s="74"/>
      <c r="Y103" s="74"/>
    </row>
    <row r="104" spans="1:25" x14ac:dyDescent="0.3">
      <c r="A104" s="66">
        <f t="shared" si="15"/>
        <v>1999.6999999999912</v>
      </c>
      <c r="B104" s="67">
        <f>LOOKUP(A104+0.01,AmountsB!$A$4:$A$103,AmountsB!$B$4:$B$103)*0.1*$A$2</f>
        <v>0</v>
      </c>
      <c r="C104" s="68">
        <f t="shared" si="13"/>
        <v>0</v>
      </c>
      <c r="D104" s="67">
        <f t="array" ref="D104">SUM($B$7:$B99*$F$1009*EXP(-$F$1009*($A104-$A$7:$A99)))*$F$1010</f>
        <v>0</v>
      </c>
      <c r="E104" s="67">
        <f t="shared" si="11"/>
        <v>0</v>
      </c>
      <c r="F104" s="70">
        <f t="shared" si="16"/>
        <v>0</v>
      </c>
      <c r="G104" s="67">
        <f>E104/'Lookup Tables'!$C$48</f>
        <v>0</v>
      </c>
      <c r="H104" s="70" t="e">
        <f t="shared" si="12"/>
        <v>#DIV/0!</v>
      </c>
      <c r="I104" s="71">
        <f t="shared" si="17"/>
        <v>0</v>
      </c>
      <c r="J104" s="35">
        <f t="shared" si="14"/>
        <v>2086</v>
      </c>
      <c r="K104" s="75">
        <f>$G$971</f>
        <v>6.0670658302543506E-2</v>
      </c>
      <c r="L104" s="75">
        <f>Calcs2b!K99</f>
        <v>2.3394430173305776</v>
      </c>
      <c r="M104" s="75">
        <f>Calcs3b!K99</f>
        <v>110.5872747422894</v>
      </c>
      <c r="N104" s="75">
        <f>Calcs4b!K99</f>
        <v>9.7031594220625319</v>
      </c>
      <c r="O104" s="74">
        <f t="shared" si="18"/>
        <v>122.69054783998504</v>
      </c>
      <c r="P104" s="74"/>
      <c r="Q104" s="74"/>
      <c r="R104" s="74"/>
      <c r="S104" s="74"/>
      <c r="T104" s="74"/>
      <c r="U104" s="74"/>
      <c r="V104" s="74"/>
      <c r="W104" s="74"/>
      <c r="X104" s="74"/>
      <c r="Y104" s="74"/>
    </row>
    <row r="105" spans="1:25" x14ac:dyDescent="0.3">
      <c r="A105" s="66">
        <f t="shared" si="15"/>
        <v>1999.7999999999911</v>
      </c>
      <c r="B105" s="67">
        <f>LOOKUP(A105+0.01,AmountsB!$A$4:$A$103,AmountsB!$B$4:$B$103)*0.1*$A$2</f>
        <v>0</v>
      </c>
      <c r="C105" s="68">
        <f t="shared" si="13"/>
        <v>0</v>
      </c>
      <c r="D105" s="67">
        <f t="array" ref="D105">SUM($B$7:$B100*$F$1009*EXP(-$F$1009*($A105-$A$7:$A100)))*$F$1010</f>
        <v>0</v>
      </c>
      <c r="E105" s="67">
        <f t="shared" si="11"/>
        <v>0</v>
      </c>
      <c r="F105" s="70">
        <f t="shared" si="16"/>
        <v>0</v>
      </c>
      <c r="G105" s="67">
        <f>E105/'Lookup Tables'!$C$48</f>
        <v>0</v>
      </c>
      <c r="H105" s="70" t="e">
        <f t="shared" si="12"/>
        <v>#DIV/0!</v>
      </c>
      <c r="I105" s="71">
        <f t="shared" si="17"/>
        <v>0</v>
      </c>
      <c r="J105" s="35">
        <f t="shared" si="14"/>
        <v>2087</v>
      </c>
      <c r="K105" s="75">
        <f>$G$981</f>
        <v>5.2744536442389835E-2</v>
      </c>
      <c r="L105" s="75">
        <f>Calcs2b!K100</f>
        <v>2.1812822113812964</v>
      </c>
      <c r="M105" s="75">
        <f>Calcs3b!K100</f>
        <v>107.53377947565832</v>
      </c>
      <c r="N105" s="75">
        <f>Calcs4b!K100</f>
        <v>9.5682616776870404</v>
      </c>
      <c r="O105" s="74">
        <f t="shared" si="18"/>
        <v>119.33606790116906</v>
      </c>
      <c r="P105" s="74"/>
      <c r="Q105" s="74"/>
      <c r="R105" s="74"/>
      <c r="S105" s="74"/>
      <c r="T105" s="74"/>
      <c r="U105" s="74"/>
      <c r="V105" s="74"/>
      <c r="W105" s="74"/>
      <c r="X105" s="74"/>
      <c r="Y105" s="74"/>
    </row>
    <row r="106" spans="1:25" x14ac:dyDescent="0.3">
      <c r="A106" s="66">
        <f t="shared" si="15"/>
        <v>1999.899999999991</v>
      </c>
      <c r="B106" s="67">
        <f>LOOKUP(A106+0.01,AmountsB!$A$4:$A$103,AmountsB!$B$4:$B$103)*0.1*$A$2</f>
        <v>0</v>
      </c>
      <c r="C106" s="68">
        <f t="shared" si="13"/>
        <v>0</v>
      </c>
      <c r="D106" s="67">
        <f t="array" ref="D106">SUM($B$7:$B101*$F$1009*EXP(-$F$1009*($A106-$A$7:$A101)))*$F$1010</f>
        <v>0</v>
      </c>
      <c r="E106" s="67">
        <f t="shared" si="11"/>
        <v>0</v>
      </c>
      <c r="F106" s="70">
        <f t="shared" si="16"/>
        <v>0</v>
      </c>
      <c r="G106" s="67">
        <f>E106/'Lookup Tables'!$C$48</f>
        <v>0</v>
      </c>
      <c r="H106" s="70" t="e">
        <f t="shared" si="12"/>
        <v>#DIV/0!</v>
      </c>
      <c r="I106" s="71">
        <f t="shared" si="17"/>
        <v>0</v>
      </c>
      <c r="J106" s="35">
        <f t="shared" si="14"/>
        <v>2088</v>
      </c>
      <c r="K106" s="75">
        <f>$G$991</f>
        <v>4.5853897128489876E-2</v>
      </c>
      <c r="L106" s="75">
        <f>Calcs2b!K101</f>
        <v>2.0338140533628302</v>
      </c>
      <c r="M106" s="75">
        <f>Calcs3b!K101</f>
        <v>104.56459620030353</v>
      </c>
      <c r="N106" s="75">
        <f>Calcs4b!K101</f>
        <v>9.4352393432317569</v>
      </c>
      <c r="O106" s="74">
        <f t="shared" si="18"/>
        <v>116.0795034940266</v>
      </c>
      <c r="P106" s="74"/>
      <c r="Q106" s="74"/>
      <c r="R106" s="74"/>
      <c r="S106" s="74"/>
      <c r="T106" s="74"/>
      <c r="U106" s="74"/>
      <c r="V106" s="74"/>
      <c r="W106" s="74"/>
      <c r="X106" s="74"/>
      <c r="Y106" s="74"/>
    </row>
    <row r="107" spans="1:25" x14ac:dyDescent="0.3">
      <c r="A107" s="66">
        <f t="shared" si="15"/>
        <v>1999.9999999999909</v>
      </c>
      <c r="B107" s="67">
        <f>LOOKUP(A107+0.01,AmountsB!$A$4:$A$103,AmountsB!$B$4:$B$103)*0.1*$A$2</f>
        <v>10217.664249660002</v>
      </c>
      <c r="C107" s="68">
        <f t="shared" si="13"/>
        <v>10217.664249660002</v>
      </c>
      <c r="D107" s="67">
        <f t="array" ref="D107">SUM($B$7:$B102*$F$1009*EXP(-$F$1009*($A107-$A$7:$A102)))*$F$1010</f>
        <v>0</v>
      </c>
      <c r="E107" s="67">
        <f t="shared" si="11"/>
        <v>0</v>
      </c>
      <c r="F107" s="70">
        <f t="shared" si="16"/>
        <v>0</v>
      </c>
      <c r="G107" s="67">
        <f>E107/'Lookup Tables'!$C$48</f>
        <v>0</v>
      </c>
      <c r="H107" s="70">
        <f t="shared" si="12"/>
        <v>0</v>
      </c>
      <c r="I107" s="71">
        <f t="shared" si="17"/>
        <v>0</v>
      </c>
      <c r="J107" s="35">
        <f t="shared" si="14"/>
        <v>2089</v>
      </c>
      <c r="K107" s="75">
        <f>$G$1001</f>
        <v>3.9863463093787417E-2</v>
      </c>
      <c r="L107" s="75">
        <f>Calcs2b!K102</f>
        <v>1.8963156541934889</v>
      </c>
      <c r="M107" s="75">
        <f>Calcs3b!K102</f>
        <v>101.67739692444761</v>
      </c>
      <c r="N107" s="75">
        <f>Calcs4b!K102</f>
        <v>9.304066345893288</v>
      </c>
      <c r="O107" s="74">
        <f t="shared" si="18"/>
        <v>112.91764238762818</v>
      </c>
      <c r="P107" s="74"/>
      <c r="Q107" s="74"/>
      <c r="R107" s="74"/>
      <c r="S107" s="74"/>
      <c r="T107" s="74"/>
      <c r="U107" s="74"/>
      <c r="V107" s="74"/>
      <c r="W107" s="74"/>
      <c r="X107" s="74"/>
      <c r="Y107" s="74"/>
    </row>
    <row r="108" spans="1:25" x14ac:dyDescent="0.3">
      <c r="A108" s="66">
        <f t="shared" si="15"/>
        <v>2000.0999999999908</v>
      </c>
      <c r="B108" s="67">
        <f>LOOKUP(A108+0.01,AmountsB!$A$4:$A$103,AmountsB!$B$4:$B$103)*0.1*$A$2</f>
        <v>10217.664249660002</v>
      </c>
      <c r="C108" s="68">
        <f t="shared" si="13"/>
        <v>20435.328499320003</v>
      </c>
      <c r="D108" s="67">
        <f t="array" ref="D108">SUM($B$7:$B103*$F$1009*EXP(-$F$1009*($A108-$A$7:$A103)))*$F$1010</f>
        <v>0</v>
      </c>
      <c r="E108" s="67">
        <f t="shared" si="11"/>
        <v>0</v>
      </c>
      <c r="F108" s="70">
        <f t="shared" si="16"/>
        <v>0</v>
      </c>
      <c r="G108" s="67">
        <f>E108/'Lookup Tables'!$C$48</f>
        <v>0</v>
      </c>
      <c r="H108" s="70">
        <f t="shared" si="12"/>
        <v>0</v>
      </c>
      <c r="I108" s="71">
        <f t="shared" si="17"/>
        <v>0</v>
      </c>
      <c r="L108" s="74"/>
      <c r="M108" s="74"/>
      <c r="N108" s="74"/>
      <c r="O108" s="74"/>
      <c r="P108" s="74"/>
      <c r="Q108" s="74"/>
      <c r="R108" s="74"/>
      <c r="S108" s="74"/>
      <c r="T108" s="74"/>
      <c r="U108" s="74"/>
      <c r="V108" s="74"/>
      <c r="W108" s="74"/>
      <c r="X108" s="74"/>
      <c r="Y108" s="74"/>
    </row>
    <row r="109" spans="1:25" x14ac:dyDescent="0.3">
      <c r="A109" s="66">
        <f t="shared" si="15"/>
        <v>2000.1999999999907</v>
      </c>
      <c r="B109" s="67">
        <f>LOOKUP(A109+0.01,AmountsB!$A$4:$A$103,AmountsB!$B$4:$B$103)*0.1*$A$2</f>
        <v>10217.664249660002</v>
      </c>
      <c r="C109" s="68">
        <f t="shared" si="13"/>
        <v>30652.992748980003</v>
      </c>
      <c r="D109" s="67">
        <f t="array" ref="D109">SUM($B$7:$B104*$F$1009*EXP(-$F$1009*($A109-$A$7:$A104)))*$F$1010</f>
        <v>0</v>
      </c>
      <c r="E109" s="67">
        <f t="shared" si="11"/>
        <v>0</v>
      </c>
      <c r="F109" s="70">
        <f t="shared" si="16"/>
        <v>0</v>
      </c>
      <c r="G109" s="67">
        <f>E109/'Lookup Tables'!$C$48</f>
        <v>0</v>
      </c>
      <c r="H109" s="70">
        <f t="shared" si="12"/>
        <v>0</v>
      </c>
      <c r="I109" s="71">
        <f t="shared" si="17"/>
        <v>0</v>
      </c>
      <c r="L109" s="74"/>
      <c r="M109" s="74"/>
      <c r="N109" s="74"/>
      <c r="O109" s="74"/>
      <c r="P109" s="74"/>
      <c r="Q109" s="74"/>
      <c r="R109" s="74"/>
      <c r="S109" s="74"/>
      <c r="T109" s="74"/>
      <c r="U109" s="74"/>
      <c r="V109" s="74"/>
      <c r="W109" s="74"/>
      <c r="X109" s="74"/>
      <c r="Y109" s="74"/>
    </row>
    <row r="110" spans="1:25" x14ac:dyDescent="0.3">
      <c r="A110" s="66">
        <f t="shared" si="15"/>
        <v>2000.2999999999906</v>
      </c>
      <c r="B110" s="67">
        <f>LOOKUP(A110+0.01,AmountsB!$A$4:$A$103,AmountsB!$B$4:$B$103)*0.1*$A$2</f>
        <v>10217.664249660002</v>
      </c>
      <c r="C110" s="68">
        <f t="shared" si="13"/>
        <v>40870.656998640006</v>
      </c>
      <c r="D110" s="67">
        <f t="array" ref="D110">SUM($B$7:$B105*$F$1009*EXP(-$F$1009*($A110-$A$7:$A105)))*$F$1010</f>
        <v>0</v>
      </c>
      <c r="E110" s="67">
        <f t="shared" si="11"/>
        <v>0</v>
      </c>
      <c r="F110" s="70">
        <f t="shared" si="16"/>
        <v>0</v>
      </c>
      <c r="G110" s="67">
        <f>E110/'Lookup Tables'!$C$48</f>
        <v>0</v>
      </c>
      <c r="H110" s="70">
        <f t="shared" si="12"/>
        <v>0</v>
      </c>
      <c r="I110" s="71">
        <f t="shared" si="17"/>
        <v>0</v>
      </c>
      <c r="L110" s="74"/>
      <c r="M110" s="74"/>
      <c r="N110" s="74"/>
      <c r="O110" s="74"/>
      <c r="P110" s="74"/>
      <c r="Q110" s="74"/>
      <c r="R110" s="74"/>
      <c r="S110" s="74"/>
      <c r="T110" s="74"/>
      <c r="U110" s="74"/>
      <c r="V110" s="74"/>
      <c r="W110" s="74"/>
      <c r="X110" s="74"/>
      <c r="Y110" s="74"/>
    </row>
    <row r="111" spans="1:25" x14ac:dyDescent="0.3">
      <c r="A111" s="66">
        <f t="shared" si="15"/>
        <v>2000.3999999999905</v>
      </c>
      <c r="B111" s="67">
        <f>LOOKUP(A111+0.01,AmountsB!$A$4:$A$103,AmountsB!$B$4:$B$103)*0.1*$A$2</f>
        <v>10217.664249660002</v>
      </c>
      <c r="C111" s="68">
        <f t="shared" si="13"/>
        <v>51088.32124830001</v>
      </c>
      <c r="D111" s="67">
        <f t="array" ref="D111">SUM($B$7:$B106*$F$1009*EXP(-$F$1009*($A111-$A$7:$A106)))*$F$1010</f>
        <v>0</v>
      </c>
      <c r="E111" s="67">
        <f t="shared" si="11"/>
        <v>0</v>
      </c>
      <c r="F111" s="70">
        <f t="shared" si="16"/>
        <v>0</v>
      </c>
      <c r="G111" s="67">
        <f>E111/'Lookup Tables'!$C$48</f>
        <v>0</v>
      </c>
      <c r="H111" s="70">
        <f t="shared" si="12"/>
        <v>0</v>
      </c>
      <c r="I111" s="71">
        <f t="shared" si="17"/>
        <v>0</v>
      </c>
      <c r="L111" s="74"/>
      <c r="M111" s="74"/>
      <c r="N111" s="74"/>
      <c r="O111" s="74"/>
      <c r="P111" s="74"/>
      <c r="Q111" s="74"/>
      <c r="R111" s="74"/>
      <c r="S111" s="74"/>
      <c r="T111" s="74"/>
      <c r="U111" s="74"/>
      <c r="V111" s="74"/>
      <c r="W111" s="74"/>
      <c r="X111" s="74"/>
      <c r="Y111" s="74"/>
    </row>
    <row r="112" spans="1:25" x14ac:dyDescent="0.3">
      <c r="A112" s="66">
        <f t="shared" si="15"/>
        <v>2000.4999999999905</v>
      </c>
      <c r="B112" s="67">
        <f>LOOKUP(A112+0.01,AmountsB!$A$4:$A$103,AmountsB!$B$4:$B$103)*0.1*$A$2</f>
        <v>10217.664249660002</v>
      </c>
      <c r="C112" s="68">
        <f t="shared" si="13"/>
        <v>61305.985497960013</v>
      </c>
      <c r="D112" s="67">
        <f t="array" ref="D112">SUM($B$7:$B107*$F$1009*EXP(-$F$1009*($A112-$A$7:$A107)))*$F$1010</f>
        <v>2980585.8224479412</v>
      </c>
      <c r="E112" s="67">
        <f t="shared" si="11"/>
        <v>5.6822237441991286</v>
      </c>
      <c r="F112" s="70">
        <f t="shared" si="16"/>
        <v>0.34502462574777104</v>
      </c>
      <c r="G112" s="67">
        <f>E112/'Lookup Tables'!$C$48</f>
        <v>11.364447488398257</v>
      </c>
      <c r="H112" s="70">
        <f t="shared" si="12"/>
        <v>4.8715908825092476E-2</v>
      </c>
      <c r="I112" s="71">
        <f t="shared" si="17"/>
        <v>1.6364804383293487E-2</v>
      </c>
      <c r="L112" s="74"/>
      <c r="M112" s="74"/>
      <c r="N112" s="74"/>
      <c r="O112" s="74"/>
      <c r="P112" s="74"/>
      <c r="Q112" s="74"/>
      <c r="R112" s="74"/>
      <c r="S112" s="74"/>
      <c r="T112" s="74"/>
      <c r="U112" s="74"/>
      <c r="V112" s="74"/>
      <c r="W112" s="74"/>
      <c r="X112" s="74"/>
      <c r="Y112" s="74"/>
    </row>
    <row r="113" spans="1:25" x14ac:dyDescent="0.3">
      <c r="A113" s="66">
        <f t="shared" si="15"/>
        <v>2000.5999999999904</v>
      </c>
      <c r="B113" s="67">
        <f>LOOKUP(A113+0.01,AmountsB!$A$4:$A$103,AmountsB!$B$4:$B$103)*0.1*$A$2</f>
        <v>10217.664249660002</v>
      </c>
      <c r="C113" s="68">
        <f t="shared" si="13"/>
        <v>71523.649747620017</v>
      </c>
      <c r="D113" s="67">
        <f t="array" ref="D113">SUM($B$7:$B108*$F$1009*EXP(-$F$1009*($A113-$A$7:$A108)))*$F$1010</f>
        <v>5919734.1824285956</v>
      </c>
      <c r="E113" s="67">
        <f t="shared" si="11"/>
        <v>11.285450624306083</v>
      </c>
      <c r="F113" s="70">
        <f t="shared" si="16"/>
        <v>0.68525256190786532</v>
      </c>
      <c r="G113" s="67">
        <f>E113/'Lookup Tables'!$C$48</f>
        <v>22.570901248612167</v>
      </c>
      <c r="H113" s="70">
        <f t="shared" si="12"/>
        <v>8.2932468757757352E-2</v>
      </c>
      <c r="I113" s="71">
        <f t="shared" si="17"/>
        <v>3.2502097798001513E-2</v>
      </c>
      <c r="L113" s="74"/>
      <c r="M113" s="74"/>
      <c r="N113" s="74"/>
      <c r="O113" s="74"/>
      <c r="P113" s="74"/>
      <c r="Q113" s="74"/>
      <c r="R113" s="74"/>
      <c r="S113" s="74"/>
      <c r="T113" s="74"/>
      <c r="U113" s="74"/>
      <c r="V113" s="74"/>
      <c r="W113" s="74"/>
      <c r="X113" s="74"/>
      <c r="Y113" s="74"/>
    </row>
    <row r="114" spans="1:25" x14ac:dyDescent="0.3">
      <c r="A114" s="66">
        <f t="shared" si="15"/>
        <v>2000.6999999999903</v>
      </c>
      <c r="B114" s="67">
        <f>LOOKUP(A114+0.01,AmountsB!$A$4:$A$103,AmountsB!$B$4:$B$103)*0.1*$A$2</f>
        <v>10217.664249660002</v>
      </c>
      <c r="C114" s="68">
        <f t="shared" si="13"/>
        <v>81741.313997280013</v>
      </c>
      <c r="D114" s="67">
        <f t="array" ref="D114">SUM($B$7:$B109*$F$1009*EXP(-$F$1009*($A114-$A$7:$A109)))*$F$1010</f>
        <v>8818021.1624297742</v>
      </c>
      <c r="E114" s="67">
        <f t="shared" si="11"/>
        <v>16.810778890727281</v>
      </c>
      <c r="F114" s="70">
        <f t="shared" si="16"/>
        <v>1.0207504942449606</v>
      </c>
      <c r="G114" s="67">
        <f>E114/'Lookup Tables'!$C$48</f>
        <v>33.621557781454563</v>
      </c>
      <c r="H114" s="70">
        <f t="shared" si="12"/>
        <v>0.10809399742779119</v>
      </c>
      <c r="I114" s="71">
        <f t="shared" si="17"/>
        <v>4.8415043205294571E-2</v>
      </c>
      <c r="L114" s="74"/>
      <c r="M114" s="74"/>
      <c r="N114" s="74"/>
      <c r="O114" s="74"/>
      <c r="P114" s="74"/>
      <c r="Q114" s="74"/>
      <c r="R114" s="74"/>
      <c r="S114" s="74"/>
      <c r="T114" s="74"/>
      <c r="U114" s="74"/>
      <c r="V114" s="74"/>
      <c r="W114" s="74"/>
      <c r="X114" s="74"/>
      <c r="Y114" s="74"/>
    </row>
    <row r="115" spans="1:25" x14ac:dyDescent="0.3">
      <c r="A115" s="66">
        <f t="shared" si="15"/>
        <v>2000.7999999999902</v>
      </c>
      <c r="B115" s="67">
        <f>LOOKUP(A115+0.01,AmountsB!$A$4:$A$103,AmountsB!$B$4:$B$103)*0.1*$A$2</f>
        <v>10217.664249660002</v>
      </c>
      <c r="C115" s="68">
        <f t="shared" si="13"/>
        <v>91958.978246940009</v>
      </c>
      <c r="D115" s="67">
        <f t="array" ref="D115">SUM($B$7:$B110*$F$1009*EXP(-$F$1009*($A115-$A$7:$A110)))*$F$1010</f>
        <v>11676014.835978001</v>
      </c>
      <c r="E115" s="67">
        <f t="shared" si="11"/>
        <v>22.259291525491474</v>
      </c>
      <c r="F115" s="70">
        <f t="shared" si="16"/>
        <v>1.3515841814278424</v>
      </c>
      <c r="G115" s="67">
        <f>E115/'Lookup Tables'!$C$48</f>
        <v>44.518583050982947</v>
      </c>
      <c r="H115" s="70">
        <f t="shared" si="12"/>
        <v>0.12722502847281938</v>
      </c>
      <c r="I115" s="71">
        <f t="shared" si="17"/>
        <v>6.4106759593415455E-2</v>
      </c>
      <c r="L115" s="74"/>
      <c r="M115" s="74"/>
      <c r="N115" s="74"/>
      <c r="O115" s="74"/>
      <c r="P115" s="74"/>
      <c r="Q115" s="74"/>
      <c r="R115" s="74"/>
      <c r="S115" s="74"/>
      <c r="T115" s="74"/>
      <c r="U115" s="74"/>
      <c r="V115" s="74"/>
      <c r="W115" s="74"/>
      <c r="X115" s="74"/>
      <c r="Y115" s="74"/>
    </row>
    <row r="116" spans="1:25" x14ac:dyDescent="0.3">
      <c r="A116" s="66">
        <f t="shared" si="15"/>
        <v>2000.8999999999901</v>
      </c>
      <c r="B116" s="67">
        <f>LOOKUP(A116+0.01,AmountsB!$A$4:$A$103,AmountsB!$B$4:$B$103)*0.1*$A$2</f>
        <v>10217.664249660002</v>
      </c>
      <c r="C116" s="68">
        <f t="shared" si="13"/>
        <v>102176.6424966</v>
      </c>
      <c r="D116" s="67">
        <f t="array" ref="D116">SUM($B$7:$B111*$F$1009*EXP(-$F$1009*($A116-$A$7:$A111)))*$F$1010</f>
        <v>14494275.378982736</v>
      </c>
      <c r="E116" s="67">
        <f t="shared" si="11"/>
        <v>27.632056454517677</v>
      </c>
      <c r="F116" s="70">
        <f t="shared" si="16"/>
        <v>1.6778184679183132</v>
      </c>
      <c r="G116" s="67">
        <f>E116/'Lookup Tables'!$C$48</f>
        <v>55.264112909035354</v>
      </c>
      <c r="H116" s="70">
        <f t="shared" si="12"/>
        <v>0.14214020462629476</v>
      </c>
      <c r="I116" s="71">
        <f t="shared" si="17"/>
        <v>7.9580322589010904E-2</v>
      </c>
      <c r="L116" s="74"/>
      <c r="M116" s="74"/>
      <c r="N116" s="74"/>
      <c r="O116" s="74"/>
      <c r="P116" s="74"/>
      <c r="Q116" s="74"/>
      <c r="R116" s="74"/>
      <c r="S116" s="74"/>
      <c r="T116" s="74"/>
      <c r="U116" s="74"/>
      <c r="V116" s="74"/>
      <c r="W116" s="74"/>
      <c r="X116" s="74"/>
      <c r="Y116" s="74"/>
    </row>
    <row r="117" spans="1:25" x14ac:dyDescent="0.3">
      <c r="A117" s="66">
        <f t="shared" si="15"/>
        <v>2000.99999999999</v>
      </c>
      <c r="B117" s="67">
        <f>LOOKUP(A117+0.01,AmountsB!$A$4:$A$103,AmountsB!$B$4:$B$103)*0.1*$A$2</f>
        <v>10422.137813220001</v>
      </c>
      <c r="C117" s="68">
        <f t="shared" si="13"/>
        <v>112598.78030982001</v>
      </c>
      <c r="D117" s="67">
        <f t="array" ref="D117">SUM($B$7:$B112*$F$1009*EXP(-$F$1009*($A117-$A$7:$A112)))*$F$1010</f>
        <v>17273355.179532662</v>
      </c>
      <c r="E117" s="67">
        <f t="shared" si="11"/>
        <v>32.930126756932125</v>
      </c>
      <c r="F117" s="70">
        <f t="shared" si="16"/>
        <v>1.9995172966809187</v>
      </c>
      <c r="G117" s="67">
        <f>E117/'Lookup Tables'!$C$48</f>
        <v>65.860253513864251</v>
      </c>
      <c r="H117" s="70">
        <f t="shared" si="12"/>
        <v>0.15371458354894849</v>
      </c>
      <c r="I117" s="71">
        <f t="shared" si="17"/>
        <v>9.4838765059964525E-2</v>
      </c>
      <c r="L117" s="74"/>
      <c r="M117" s="74"/>
      <c r="N117" s="74"/>
      <c r="O117" s="74"/>
      <c r="P117" s="74"/>
      <c r="Q117" s="74"/>
      <c r="R117" s="74"/>
      <c r="S117" s="74"/>
      <c r="T117" s="74"/>
      <c r="U117" s="74"/>
      <c r="V117" s="74"/>
      <c r="W117" s="74"/>
      <c r="X117" s="74"/>
      <c r="Y117" s="74"/>
    </row>
    <row r="118" spans="1:25" x14ac:dyDescent="0.3">
      <c r="A118" s="66">
        <f t="shared" si="15"/>
        <v>2001.0999999999899</v>
      </c>
      <c r="B118" s="67">
        <f>LOOKUP(A118+0.01,AmountsB!$A$4:$A$103,AmountsB!$B$4:$B$103)*0.1*$A$2</f>
        <v>10422.137813220001</v>
      </c>
      <c r="C118" s="68">
        <f t="shared" si="13"/>
        <v>123020.91812304001</v>
      </c>
      <c r="D118" s="67">
        <f t="array" ref="D118">SUM($B$7:$B113*$F$1009*EXP(-$F$1009*($A118-$A$7:$A113)))*$F$1010</f>
        <v>20013798.946165498</v>
      </c>
      <c r="E118" s="67">
        <f t="shared" si="11"/>
        <v>38.154540871475064</v>
      </c>
      <c r="F118" s="70">
        <f t="shared" si="16"/>
        <v>2.3167437217159659</v>
      </c>
      <c r="G118" s="67">
        <f>E118/'Lookup Tables'!$C$48</f>
        <v>76.309081742950127</v>
      </c>
      <c r="H118" s="70">
        <f t="shared" si="12"/>
        <v>0.16301314433363398</v>
      </c>
      <c r="I118" s="71">
        <f t="shared" si="17"/>
        <v>0.10988507770984818</v>
      </c>
      <c r="L118" s="74"/>
      <c r="M118" s="74"/>
      <c r="N118" s="74"/>
      <c r="O118" s="74"/>
      <c r="P118" s="74"/>
      <c r="Q118" s="74"/>
      <c r="R118" s="74"/>
      <c r="S118" s="74"/>
      <c r="T118" s="74"/>
      <c r="U118" s="74"/>
      <c r="V118" s="74"/>
      <c r="W118" s="74"/>
      <c r="X118" s="74"/>
      <c r="Y118" s="74"/>
    </row>
    <row r="119" spans="1:25" x14ac:dyDescent="0.3">
      <c r="A119" s="66">
        <f t="shared" si="15"/>
        <v>2001.1999999999898</v>
      </c>
      <c r="B119" s="67">
        <f>LOOKUP(A119+0.01,AmountsB!$A$4:$A$103,AmountsB!$B$4:$B$103)*0.1*$A$2</f>
        <v>10422.137813220001</v>
      </c>
      <c r="C119" s="68">
        <f t="shared" si="13"/>
        <v>133443.05593626</v>
      </c>
      <c r="D119" s="67">
        <f t="array" ref="D119">SUM($B$7:$B114*$F$1009*EXP(-$F$1009*($A119-$A$7:$A114)))*$F$1010</f>
        <v>22716143.814632647</v>
      </c>
      <c r="E119" s="67">
        <f t="shared" si="11"/>
        <v>43.306322800038167</v>
      </c>
      <c r="F119" s="70">
        <f t="shared" si="16"/>
        <v>2.6295599204183175</v>
      </c>
      <c r="G119" s="67">
        <f>E119/'Lookup Tables'!$C$48</f>
        <v>86.612645600076334</v>
      </c>
      <c r="H119" s="70">
        <f t="shared" si="12"/>
        <v>0.17057315649734817</v>
      </c>
      <c r="I119" s="71">
        <f t="shared" si="17"/>
        <v>0.12472220966410992</v>
      </c>
      <c r="L119" s="74"/>
      <c r="M119" s="74"/>
      <c r="N119" s="74"/>
      <c r="O119" s="74"/>
      <c r="P119" s="74"/>
      <c r="Q119" s="74"/>
      <c r="R119" s="74"/>
      <c r="S119" s="74"/>
      <c r="T119" s="74"/>
      <c r="U119" s="74"/>
      <c r="V119" s="74"/>
      <c r="W119" s="74"/>
      <c r="X119" s="74"/>
      <c r="Y119" s="74"/>
    </row>
    <row r="120" spans="1:25" x14ac:dyDescent="0.3">
      <c r="A120" s="66">
        <f t="shared" si="15"/>
        <v>2001.2999999999897</v>
      </c>
      <c r="B120" s="67">
        <f>LOOKUP(A120+0.01,AmountsB!$A$4:$A$103,AmountsB!$B$4:$B$103)*0.1*$A$2</f>
        <v>10422.137813220001</v>
      </c>
      <c r="C120" s="68">
        <f t="shared" si="13"/>
        <v>143865.19374948001</v>
      </c>
      <c r="D120" s="67">
        <f t="array" ref="D120">SUM($B$7:$B115*$F$1009*EXP(-$F$1009*($A120-$A$7:$A115)))*$F$1010</f>
        <v>25380919.453179479</v>
      </c>
      <c r="E120" s="67">
        <f t="shared" si="11"/>
        <v>48.386482308372088</v>
      </c>
      <c r="F120" s="70">
        <f t="shared" si="16"/>
        <v>2.9380272057643526</v>
      </c>
      <c r="G120" s="67">
        <f>E120/'Lookup Tables'!$C$48</f>
        <v>96.772964616744176</v>
      </c>
      <c r="H120" s="70">
        <f t="shared" si="12"/>
        <v>0.17677615021717016</v>
      </c>
      <c r="I120" s="71">
        <f t="shared" si="17"/>
        <v>0.13935306904811162</v>
      </c>
      <c r="L120" s="74"/>
      <c r="M120" s="74"/>
      <c r="N120" s="74"/>
      <c r="O120" s="74"/>
      <c r="P120" s="74"/>
      <c r="Q120" s="74"/>
      <c r="R120" s="74"/>
      <c r="S120" s="74"/>
      <c r="T120" s="74"/>
      <c r="U120" s="74"/>
      <c r="V120" s="74"/>
      <c r="W120" s="74"/>
      <c r="X120" s="74"/>
      <c r="Y120" s="74"/>
    </row>
    <row r="121" spans="1:25" x14ac:dyDescent="0.3">
      <c r="A121" s="66">
        <f t="shared" si="15"/>
        <v>2001.3999999999896</v>
      </c>
      <c r="B121" s="67">
        <f>LOOKUP(A121+0.01,AmountsB!$A$4:$A$103,AmountsB!$B$4:$B$103)*0.1*$A$2</f>
        <v>10422.137813220001</v>
      </c>
      <c r="C121" s="68">
        <f t="shared" si="13"/>
        <v>154287.33156270001</v>
      </c>
      <c r="D121" s="67">
        <f t="array" ref="D121">SUM($B$7:$B116*$F$1009*EXP(-$F$1009*($A121-$A$7:$A116)))*$F$1010</f>
        <v>28008648.166362043</v>
      </c>
      <c r="E121" s="67">
        <f t="shared" si="11"/>
        <v>53.396015124003867</v>
      </c>
      <c r="F121" s="70">
        <f t="shared" si="16"/>
        <v>3.242206038329515</v>
      </c>
      <c r="G121" s="67">
        <f>E121/'Lookup Tables'!$C$48</f>
        <v>106.79203024800773</v>
      </c>
      <c r="H121" s="70">
        <f t="shared" si="12"/>
        <v>0.18190051811072558</v>
      </c>
      <c r="I121" s="71">
        <f t="shared" si="17"/>
        <v>0.15378052355713115</v>
      </c>
      <c r="L121" s="74"/>
      <c r="M121" s="74"/>
      <c r="N121" s="74"/>
      <c r="O121" s="74"/>
      <c r="P121" s="74"/>
      <c r="Q121" s="74"/>
      <c r="R121" s="74"/>
      <c r="S121" s="74"/>
      <c r="T121" s="74"/>
      <c r="U121" s="74"/>
      <c r="V121" s="74"/>
      <c r="W121" s="74"/>
      <c r="X121" s="74"/>
      <c r="Y121" s="74"/>
    </row>
    <row r="122" spans="1:25" x14ac:dyDescent="0.3">
      <c r="A122" s="66">
        <f t="shared" si="15"/>
        <v>2001.4999999999895</v>
      </c>
      <c r="B122" s="67">
        <f>LOOKUP(A122+0.01,AmountsB!$A$4:$A$103,AmountsB!$B$4:$B$103)*0.1*$A$2</f>
        <v>10422.137813220001</v>
      </c>
      <c r="C122" s="68">
        <f t="shared" si="13"/>
        <v>164709.46937592002</v>
      </c>
      <c r="D122" s="67">
        <f t="array" ref="D122">SUM($B$7:$B117*$F$1009*EXP(-$F$1009*($A122-$A$7:$A117)))*$F$1010</f>
        <v>30659491.800223961</v>
      </c>
      <c r="E122" s="67">
        <f t="shared" si="11"/>
        <v>58.449614495324226</v>
      </c>
      <c r="F122" s="70">
        <f t="shared" si="16"/>
        <v>3.5490605921560872</v>
      </c>
      <c r="G122" s="67">
        <f>E122/'Lookup Tables'!$C$48</f>
        <v>116.89922899064845</v>
      </c>
      <c r="H122" s="70">
        <f t="shared" si="12"/>
        <v>0.18651700776612262</v>
      </c>
      <c r="I122" s="71">
        <f t="shared" si="17"/>
        <v>0.16833488974653377</v>
      </c>
      <c r="L122" s="74"/>
      <c r="M122" s="74"/>
      <c r="N122" s="74"/>
      <c r="O122" s="74"/>
      <c r="P122" s="74"/>
      <c r="Q122" s="74"/>
      <c r="R122" s="74"/>
      <c r="S122" s="74"/>
      <c r="T122" s="74"/>
      <c r="U122" s="74"/>
      <c r="V122" s="74"/>
      <c r="W122" s="74"/>
      <c r="X122" s="74"/>
      <c r="Y122" s="74"/>
    </row>
    <row r="123" spans="1:25" x14ac:dyDescent="0.3">
      <c r="A123" s="66">
        <f t="shared" si="15"/>
        <v>2001.5999999999894</v>
      </c>
      <c r="B123" s="67">
        <f>LOOKUP(A123+0.01,AmountsB!$A$4:$A$103,AmountsB!$B$4:$B$103)*0.1*$A$2</f>
        <v>10422.137813220001</v>
      </c>
      <c r="C123" s="68">
        <f t="shared" si="13"/>
        <v>175131.60718914002</v>
      </c>
      <c r="D123" s="67">
        <f t="array" ref="D123">SUM($B$7:$B118*$F$1009*EXP(-$F$1009*($A123-$A$7:$A118)))*$F$1010</f>
        <v>33273482.197800074</v>
      </c>
      <c r="E123" s="67">
        <f t="shared" si="11"/>
        <v>63.432956425071637</v>
      </c>
      <c r="F123" s="70">
        <f t="shared" si="16"/>
        <v>3.8516491141303497</v>
      </c>
      <c r="G123" s="67">
        <f>E123/'Lookup Tables'!$C$48</f>
        <v>126.86591285014327</v>
      </c>
      <c r="H123" s="70">
        <f t="shared" si="12"/>
        <v>0.19037318524125951</v>
      </c>
      <c r="I123" s="71">
        <f t="shared" si="17"/>
        <v>0.18268691450420629</v>
      </c>
      <c r="L123" s="74"/>
      <c r="M123" s="74"/>
      <c r="N123" s="74"/>
      <c r="O123" s="74"/>
      <c r="P123" s="74"/>
      <c r="Q123" s="74"/>
      <c r="R123" s="74"/>
      <c r="S123" s="74"/>
      <c r="T123" s="74"/>
      <c r="U123" s="74"/>
      <c r="V123" s="74"/>
      <c r="W123" s="74"/>
      <c r="X123" s="74"/>
      <c r="Y123" s="74"/>
    </row>
    <row r="124" spans="1:25" x14ac:dyDescent="0.3">
      <c r="A124" s="66">
        <f t="shared" si="15"/>
        <v>2001.6999999999894</v>
      </c>
      <c r="B124" s="67">
        <f>LOOKUP(A124+0.01,AmountsB!$A$4:$A$103,AmountsB!$B$4:$B$103)*0.1*$A$2</f>
        <v>10422.137813220001</v>
      </c>
      <c r="C124" s="68">
        <f t="shared" si="13"/>
        <v>185553.74500236002</v>
      </c>
      <c r="D124" s="67">
        <f t="array" ref="D124">SUM($B$7:$B119*$F$1009*EXP(-$F$1009*($A124-$A$7:$A119)))*$F$1010</f>
        <v>35851131.709576607</v>
      </c>
      <c r="E124" s="67">
        <f t="shared" si="11"/>
        <v>68.347017664217759</v>
      </c>
      <c r="F124" s="70">
        <f t="shared" si="16"/>
        <v>4.1500309125713022</v>
      </c>
      <c r="G124" s="67">
        <f>E124/'Lookup Tables'!$C$48</f>
        <v>136.69403532843552</v>
      </c>
      <c r="H124" s="70">
        <f t="shared" si="12"/>
        <v>0.19359993237461176</v>
      </c>
      <c r="I124" s="71">
        <f t="shared" si="17"/>
        <v>0.19683941087294715</v>
      </c>
      <c r="L124" s="74"/>
      <c r="M124" s="74"/>
      <c r="N124" s="74"/>
      <c r="O124" s="74"/>
      <c r="P124" s="74"/>
      <c r="Q124" s="74"/>
      <c r="R124" s="74"/>
      <c r="S124" s="74"/>
      <c r="T124" s="74"/>
      <c r="U124" s="74"/>
      <c r="V124" s="74"/>
      <c r="W124" s="74"/>
      <c r="X124" s="74"/>
      <c r="Y124" s="74"/>
    </row>
    <row r="125" spans="1:25" x14ac:dyDescent="0.3">
      <c r="A125" s="66">
        <f t="shared" si="15"/>
        <v>2001.7999999999893</v>
      </c>
      <c r="B125" s="67">
        <f>LOOKUP(A125+0.01,AmountsB!$A$4:$A$103,AmountsB!$B$4:$B$103)*0.1*$A$2</f>
        <v>10422.137813220001</v>
      </c>
      <c r="C125" s="68">
        <f t="shared" si="13"/>
        <v>195975.88281558003</v>
      </c>
      <c r="D125" s="67">
        <f t="array" ref="D125">SUM($B$7:$B120*$F$1009*EXP(-$F$1009*($A125-$A$7:$A120)))*$F$1010</f>
        <v>38392945.563109852</v>
      </c>
      <c r="E125" s="67">
        <f t="shared" si="11"/>
        <v>73.192761384497146</v>
      </c>
      <c r="F125" s="70">
        <f t="shared" si="16"/>
        <v>4.444264471266667</v>
      </c>
      <c r="G125" s="67">
        <f>E125/'Lookup Tables'!$C$48</f>
        <v>146.38552276899429</v>
      </c>
      <c r="H125" s="70">
        <f t="shared" si="12"/>
        <v>0.19630025302599804</v>
      </c>
      <c r="I125" s="71">
        <f t="shared" si="17"/>
        <v>0.21079515278735181</v>
      </c>
      <c r="L125" s="74"/>
      <c r="M125" s="74"/>
      <c r="N125" s="74"/>
      <c r="O125" s="74"/>
      <c r="P125" s="74"/>
      <c r="Q125" s="74"/>
      <c r="R125" s="74"/>
      <c r="S125" s="74"/>
      <c r="T125" s="74"/>
      <c r="U125" s="74"/>
      <c r="V125" s="74"/>
      <c r="W125" s="74"/>
      <c r="X125" s="74"/>
      <c r="Y125" s="74"/>
    </row>
    <row r="126" spans="1:25" x14ac:dyDescent="0.3">
      <c r="A126" s="66">
        <f t="shared" si="15"/>
        <v>2001.8999999999892</v>
      </c>
      <c r="B126" s="67">
        <f>LOOKUP(A126+0.01,AmountsB!$A$4:$A$103,AmountsB!$B$4:$B$103)*0.1*$A$2</f>
        <v>10422.137813220001</v>
      </c>
      <c r="C126" s="68">
        <f t="shared" si="13"/>
        <v>206398.02062880003</v>
      </c>
      <c r="D126" s="67">
        <f t="array" ref="D126">SUM($B$7:$B121*$F$1009*EXP(-$F$1009*($A126-$A$7:$A121)))*$F$1010</f>
        <v>40899421.962052338</v>
      </c>
      <c r="E126" s="67">
        <f t="shared" si="11"/>
        <v>77.971137367191915</v>
      </c>
      <c r="F126" s="70">
        <f t="shared" si="16"/>
        <v>4.734407460935893</v>
      </c>
      <c r="G126" s="67">
        <f>E126/'Lookup Tables'!$C$48</f>
        <v>155.94227473438383</v>
      </c>
      <c r="H126" s="70">
        <f t="shared" si="12"/>
        <v>0.19855631209710178</v>
      </c>
      <c r="I126" s="71">
        <f t="shared" si="17"/>
        <v>0.22455687561751272</v>
      </c>
      <c r="L126" s="74"/>
      <c r="M126" s="74"/>
      <c r="N126" s="74"/>
      <c r="O126" s="74"/>
      <c r="P126" s="74"/>
      <c r="Q126" s="74"/>
      <c r="R126" s="74"/>
      <c r="S126" s="74"/>
      <c r="T126" s="74"/>
      <c r="U126" s="74"/>
      <c r="V126" s="74"/>
      <c r="W126" s="74"/>
      <c r="X126" s="74"/>
      <c r="Y126" s="74"/>
    </row>
    <row r="127" spans="1:25" x14ac:dyDescent="0.3">
      <c r="A127" s="66">
        <f t="shared" si="15"/>
        <v>2001.9999999999891</v>
      </c>
      <c r="B127" s="67">
        <f>LOOKUP(A127+0.01,AmountsB!$A$4:$A$103,AmountsB!$B$4:$B$103)*0.1*$A$2</f>
        <v>10630.520430201002</v>
      </c>
      <c r="C127" s="68">
        <f t="shared" si="13"/>
        <v>217028.54105900103</v>
      </c>
      <c r="D127" s="67">
        <f t="array" ref="D127">SUM($B$7:$B122*$F$1009*EXP(-$F$1009*($A127-$A$7:$A122)))*$F$1010</f>
        <v>43371052.183802381</v>
      </c>
      <c r="E127" s="67">
        <f t="shared" si="11"/>
        <v>82.683082189291895</v>
      </c>
      <c r="F127" s="70">
        <f t="shared" si="16"/>
        <v>5.0205167505338046</v>
      </c>
      <c r="G127" s="67">
        <f>E127/'Lookup Tables'!$C$48</f>
        <v>165.36616437858379</v>
      </c>
      <c r="H127" s="70">
        <f t="shared" si="12"/>
        <v>0.20024199483918267</v>
      </c>
      <c r="I127" s="71">
        <f t="shared" si="17"/>
        <v>0.23812727670516068</v>
      </c>
      <c r="L127" s="74"/>
      <c r="M127" s="74"/>
      <c r="N127" s="74"/>
      <c r="O127" s="74"/>
      <c r="P127" s="74"/>
      <c r="Q127" s="74"/>
      <c r="R127" s="74"/>
      <c r="S127" s="74"/>
      <c r="T127" s="74"/>
      <c r="U127" s="74"/>
      <c r="V127" s="74"/>
      <c r="W127" s="74"/>
      <c r="X127" s="74"/>
      <c r="Y127" s="74"/>
    </row>
    <row r="128" spans="1:25" x14ac:dyDescent="0.3">
      <c r="A128" s="66">
        <f t="shared" si="15"/>
        <v>2002.099999999989</v>
      </c>
      <c r="B128" s="67">
        <f>LOOKUP(A128+0.01,AmountsB!$A$4:$A$103,AmountsB!$B$4:$B$103)*0.1*$A$2</f>
        <v>10630.520430201002</v>
      </c>
      <c r="C128" s="68">
        <f t="shared" si="13"/>
        <v>227659.06148920202</v>
      </c>
      <c r="D128" s="67">
        <f t="array" ref="D128">SUM($B$7:$B123*$F$1009*EXP(-$F$1009*($A128-$A$7:$A123)))*$F$1010</f>
        <v>45808320.675796002</v>
      </c>
      <c r="E128" s="67">
        <f t="shared" si="11"/>
        <v>87.329519407066897</v>
      </c>
      <c r="F128" s="70">
        <f t="shared" si="16"/>
        <v>5.3026484183971014</v>
      </c>
      <c r="G128" s="67">
        <f>E128/'Lookup Tables'!$C$48</f>
        <v>174.65903881413379</v>
      </c>
      <c r="H128" s="70">
        <f t="shared" si="12"/>
        <v>0.20161901353762471</v>
      </c>
      <c r="I128" s="71">
        <f t="shared" si="17"/>
        <v>0.25150901589235264</v>
      </c>
      <c r="L128" s="74"/>
      <c r="M128" s="74"/>
      <c r="N128" s="74"/>
      <c r="O128" s="74"/>
      <c r="P128" s="74"/>
      <c r="Q128" s="74"/>
      <c r="R128" s="74"/>
      <c r="S128" s="74"/>
      <c r="T128" s="74"/>
      <c r="U128" s="74"/>
      <c r="V128" s="74"/>
      <c r="W128" s="74"/>
      <c r="X128" s="74"/>
      <c r="Y128" s="74"/>
    </row>
    <row r="129" spans="1:25" x14ac:dyDescent="0.3">
      <c r="A129" s="66">
        <f t="shared" si="15"/>
        <v>2002.1999999999889</v>
      </c>
      <c r="B129" s="67">
        <f>LOOKUP(A129+0.01,AmountsB!$A$4:$A$103,AmountsB!$B$4:$B$103)*0.1*$A$2</f>
        <v>10630.520430201002</v>
      </c>
      <c r="C129" s="68">
        <f t="shared" si="13"/>
        <v>238289.58191940302</v>
      </c>
      <c r="D129" s="67">
        <f t="array" ref="D129">SUM($B$7:$B124*$F$1009*EXP(-$F$1009*($A129-$A$7:$A124)))*$F$1010</f>
        <v>48211705.150460191</v>
      </c>
      <c r="E129" s="67">
        <f t="shared" si="11"/>
        <v>91.911359737086414</v>
      </c>
      <c r="F129" s="70">
        <f t="shared" si="16"/>
        <v>5.5808577632358869</v>
      </c>
      <c r="G129" s="67">
        <f>E129/'Lookup Tables'!$C$48</f>
        <v>183.82271947417283</v>
      </c>
      <c r="H129" s="70">
        <f t="shared" si="12"/>
        <v>0.20273068712736295</v>
      </c>
      <c r="I129" s="71">
        <f t="shared" si="17"/>
        <v>0.26470471604280882</v>
      </c>
      <c r="L129" s="74"/>
      <c r="M129" s="74"/>
      <c r="N129" s="74"/>
      <c r="O129" s="74"/>
      <c r="P129" s="74"/>
      <c r="Q129" s="74"/>
      <c r="R129" s="74"/>
      <c r="S129" s="74"/>
      <c r="T129" s="74"/>
      <c r="U129" s="74"/>
      <c r="V129" s="74"/>
      <c r="W129" s="74"/>
      <c r="X129" s="74"/>
      <c r="Y129" s="74"/>
    </row>
    <row r="130" spans="1:25" x14ac:dyDescent="0.3">
      <c r="A130" s="66">
        <f t="shared" si="15"/>
        <v>2002.2999999999888</v>
      </c>
      <c r="B130" s="67">
        <f>LOOKUP(A130+0.01,AmountsB!$A$4:$A$103,AmountsB!$B$4:$B$103)*0.1*$A$2</f>
        <v>10630.520430201002</v>
      </c>
      <c r="C130" s="68">
        <f t="shared" si="13"/>
        <v>248920.10234960401</v>
      </c>
      <c r="D130" s="67">
        <f t="array" ref="D130">SUM($B$7:$B125*$F$1009*EXP(-$F$1009*($A130-$A$7:$A125)))*$F$1010</f>
        <v>50581676.678846046</v>
      </c>
      <c r="E130" s="67">
        <f t="shared" si="11"/>
        <v>96.429501234723233</v>
      </c>
      <c r="F130" s="70">
        <f t="shared" si="16"/>
        <v>5.8551993149723947</v>
      </c>
      <c r="G130" s="67">
        <f>E130/'Lookup Tables'!$C$48</f>
        <v>192.85900246944647</v>
      </c>
      <c r="H130" s="70">
        <f t="shared" si="12"/>
        <v>0.20361290779877092</v>
      </c>
      <c r="I130" s="71">
        <f t="shared" si="17"/>
        <v>0.27771696355600295</v>
      </c>
      <c r="L130" s="74"/>
      <c r="M130" s="74"/>
      <c r="N130" s="74"/>
      <c r="O130" s="74"/>
      <c r="P130" s="74"/>
      <c r="Q130" s="74"/>
      <c r="R130" s="74"/>
      <c r="S130" s="74"/>
      <c r="T130" s="74"/>
      <c r="U130" s="74"/>
      <c r="V130" s="74"/>
      <c r="W130" s="74"/>
      <c r="X130" s="74"/>
      <c r="Y130" s="74"/>
    </row>
    <row r="131" spans="1:25" x14ac:dyDescent="0.3">
      <c r="A131" s="66">
        <f t="shared" si="15"/>
        <v>2002.3999999999887</v>
      </c>
      <c r="B131" s="67">
        <f>LOOKUP(A131+0.01,AmountsB!$A$4:$A$103,AmountsB!$B$4:$B$103)*0.1*$A$2</f>
        <v>10630.520430201002</v>
      </c>
      <c r="C131" s="68">
        <f t="shared" si="13"/>
        <v>259550.62277980501</v>
      </c>
      <c r="D131" s="67">
        <f t="array" ref="D131">SUM($B$7:$B126*$F$1009*EXP(-$F$1009*($A131-$A$7:$A126)))*$F$1010</f>
        <v>52918699.782960281</v>
      </c>
      <c r="E131" s="67">
        <f t="shared" si="11"/>
        <v>100.88482947017509</v>
      </c>
      <c r="F131" s="70">
        <f t="shared" si="16"/>
        <v>6.125726845429031</v>
      </c>
      <c r="G131" s="67">
        <f>E131/'Lookup Tables'!$C$48</f>
        <v>201.76965894035018</v>
      </c>
      <c r="H131" s="70">
        <f t="shared" si="12"/>
        <v>0.20429566225510046</v>
      </c>
      <c r="I131" s="71">
        <f t="shared" si="17"/>
        <v>0.29054830887410421</v>
      </c>
      <c r="L131" s="74"/>
      <c r="M131" s="74"/>
      <c r="N131" s="74"/>
      <c r="O131" s="74"/>
      <c r="P131" s="74"/>
      <c r="Q131" s="74"/>
      <c r="R131" s="74"/>
      <c r="S131" s="74"/>
      <c r="T131" s="74"/>
      <c r="U131" s="74"/>
      <c r="V131" s="74"/>
      <c r="W131" s="74"/>
      <c r="X131" s="74"/>
      <c r="Y131" s="74"/>
    </row>
    <row r="132" spans="1:25" x14ac:dyDescent="0.3">
      <c r="A132" s="66">
        <f t="shared" si="15"/>
        <v>2002.4999999999886</v>
      </c>
      <c r="B132" s="67">
        <f>LOOKUP(A132+0.01,AmountsB!$A$4:$A$103,AmountsB!$B$4:$B$103)*0.1*$A$2</f>
        <v>10630.520430201002</v>
      </c>
      <c r="C132" s="68">
        <f t="shared" si="13"/>
        <v>270181.143210006</v>
      </c>
      <c r="D132" s="67">
        <f t="array" ref="D132">SUM($B$7:$B127*$F$1009*EXP(-$F$1009*($A132-$A$7:$A127)))*$F$1010</f>
        <v>55284019.636140652</v>
      </c>
      <c r="E132" s="67">
        <f t="shared" si="11"/>
        <v>105.39410295968284</v>
      </c>
      <c r="F132" s="70">
        <f t="shared" si="16"/>
        <v>6.3995299317119416</v>
      </c>
      <c r="G132" s="67">
        <f>E132/'Lookup Tables'!$C$48</f>
        <v>210.78820591936568</v>
      </c>
      <c r="H132" s="70">
        <f t="shared" si="12"/>
        <v>0.20502963255489615</v>
      </c>
      <c r="I132" s="71">
        <f t="shared" si="17"/>
        <v>0.30353501652388659</v>
      </c>
      <c r="L132" s="74"/>
      <c r="M132" s="74"/>
      <c r="N132" s="74"/>
      <c r="O132" s="74"/>
      <c r="P132" s="74"/>
      <c r="Q132" s="74"/>
      <c r="R132" s="74"/>
      <c r="S132" s="74"/>
      <c r="T132" s="74"/>
      <c r="U132" s="74"/>
      <c r="V132" s="74"/>
      <c r="W132" s="74"/>
      <c r="X132" s="74"/>
      <c r="Y132" s="74"/>
    </row>
    <row r="133" spans="1:25" x14ac:dyDescent="0.3">
      <c r="A133" s="66">
        <f t="shared" si="15"/>
        <v>2002.5999999999885</v>
      </c>
      <c r="B133" s="67">
        <f>LOOKUP(A133+0.01,AmountsB!$A$4:$A$103,AmountsB!$B$4:$B$103)*0.1*$A$2</f>
        <v>10630.520430201002</v>
      </c>
      <c r="C133" s="68">
        <f t="shared" si="13"/>
        <v>280811.66364020703</v>
      </c>
      <c r="D133" s="67">
        <f t="array" ref="D133">SUM($B$7:$B128*$F$1009*EXP(-$F$1009*($A133-$A$7:$A128)))*$F$1010</f>
        <v>57616455.734758049</v>
      </c>
      <c r="E133" s="67">
        <f t="shared" si="11"/>
        <v>109.84068647409612</v>
      </c>
      <c r="F133" s="70">
        <f t="shared" si="16"/>
        <v>6.6695264827071155</v>
      </c>
      <c r="G133" s="67">
        <f>E133/'Lookup Tables'!$C$48</f>
        <v>219.68137294819223</v>
      </c>
      <c r="H133" s="70">
        <f t="shared" si="12"/>
        <v>0.20559069399893234</v>
      </c>
      <c r="I133" s="71">
        <f t="shared" si="17"/>
        <v>0.31634117704539683</v>
      </c>
      <c r="L133" s="74"/>
      <c r="M133" s="74"/>
      <c r="N133" s="74"/>
      <c r="O133" s="74"/>
      <c r="P133" s="74"/>
      <c r="Q133" s="74"/>
      <c r="R133" s="74"/>
      <c r="S133" s="74"/>
      <c r="T133" s="74"/>
      <c r="U133" s="74"/>
      <c r="V133" s="74"/>
      <c r="W133" s="74"/>
      <c r="X133" s="74"/>
      <c r="Y133" s="74"/>
    </row>
    <row r="134" spans="1:25" x14ac:dyDescent="0.3">
      <c r="A134" s="66">
        <f t="shared" si="15"/>
        <v>2002.6999999999884</v>
      </c>
      <c r="B134" s="67">
        <f>LOOKUP(A134+0.01,AmountsB!$A$4:$A$103,AmountsB!$B$4:$B$103)*0.1*$A$2</f>
        <v>10630.520430201002</v>
      </c>
      <c r="C134" s="68">
        <f t="shared" si="13"/>
        <v>291442.18407040805</v>
      </c>
      <c r="D134" s="67">
        <f t="array" ref="D134">SUM($B$7:$B129*$F$1009*EXP(-$F$1009*($A134-$A$7:$A129)))*$F$1010</f>
        <v>59916465.243754752</v>
      </c>
      <c r="E134" s="67">
        <f t="shared" si="11"/>
        <v>114.22545155801883</v>
      </c>
      <c r="F134" s="70">
        <f t="shared" si="16"/>
        <v>6.9357694186029031</v>
      </c>
      <c r="G134" s="67">
        <f>E134/'Lookup Tables'!$C$48</f>
        <v>228.45090311603767</v>
      </c>
      <c r="H134" s="70">
        <f t="shared" si="12"/>
        <v>0.20599933921848007</v>
      </c>
      <c r="I134" s="71">
        <f t="shared" si="17"/>
        <v>0.32896930048709422</v>
      </c>
      <c r="L134" s="74"/>
      <c r="M134" s="74"/>
      <c r="N134" s="74"/>
      <c r="O134" s="74"/>
      <c r="P134" s="74"/>
      <c r="Q134" s="74"/>
      <c r="R134" s="74"/>
      <c r="S134" s="74"/>
      <c r="T134" s="74"/>
      <c r="U134" s="74"/>
      <c r="V134" s="74"/>
      <c r="W134" s="74"/>
      <c r="X134" s="74"/>
      <c r="Y134" s="74"/>
    </row>
    <row r="135" spans="1:25" x14ac:dyDescent="0.3">
      <c r="A135" s="66">
        <f t="shared" si="15"/>
        <v>2002.7999999999884</v>
      </c>
      <c r="B135" s="67">
        <f>LOOKUP(A135+0.01,AmountsB!$A$4:$A$103,AmountsB!$B$4:$B$103)*0.1*$A$2</f>
        <v>10630.520430201002</v>
      </c>
      <c r="C135" s="68">
        <f t="shared" si="13"/>
        <v>302072.70450060908</v>
      </c>
      <c r="D135" s="67">
        <f t="array" ref="D135">SUM($B$7:$B130*$F$1009*EXP(-$F$1009*($A135-$A$7:$A130)))*$F$1010</f>
        <v>62184498.972357661</v>
      </c>
      <c r="E135" s="67">
        <f t="shared" ref="E135:E198" si="19">D135/(365*24*60)*1.00201</f>
        <v>118.54925763944465</v>
      </c>
      <c r="F135" s="70">
        <f t="shared" si="16"/>
        <v>7.1983109238670782</v>
      </c>
      <c r="G135" s="67">
        <f>E135/'Lookup Tables'!$C$48</f>
        <v>237.09851527888929</v>
      </c>
      <c r="H135" s="70">
        <f t="shared" ref="H135:H198" si="20">G135*60*24*365/(C135*2000)</f>
        <v>0.20627315506147118</v>
      </c>
      <c r="I135" s="71">
        <f t="shared" si="17"/>
        <v>0.34142186200160057</v>
      </c>
      <c r="L135" s="74"/>
      <c r="M135" s="74"/>
      <c r="N135" s="74"/>
      <c r="O135" s="74"/>
      <c r="P135" s="74"/>
      <c r="Q135" s="74"/>
      <c r="R135" s="74"/>
      <c r="S135" s="74"/>
      <c r="T135" s="74"/>
      <c r="U135" s="74"/>
      <c r="V135" s="74"/>
      <c r="W135" s="74"/>
      <c r="X135" s="74"/>
      <c r="Y135" s="74"/>
    </row>
    <row r="136" spans="1:25" x14ac:dyDescent="0.3">
      <c r="A136" s="66">
        <f t="shared" si="15"/>
        <v>2002.8999999999883</v>
      </c>
      <c r="B136" s="67">
        <f>LOOKUP(A136+0.01,AmountsB!$A$4:$A$103,AmountsB!$B$4:$B$103)*0.1*$A$2</f>
        <v>10630.520430201002</v>
      </c>
      <c r="C136" s="68">
        <f t="shared" si="13"/>
        <v>312703.2249308101</v>
      </c>
      <c r="D136" s="67">
        <f t="array" ref="D136">SUM($B$7:$B131*$F$1009*EXP(-$F$1009*($A136-$A$7:$A131)))*$F$1010</f>
        <v>64421001.462438345</v>
      </c>
      <c r="E136" s="67">
        <f t="shared" si="19"/>
        <v>122.81295219820747</v>
      </c>
      <c r="F136" s="70">
        <f t="shared" si="16"/>
        <v>7.4572024574751579</v>
      </c>
      <c r="G136" s="67">
        <f>E136/'Lookup Tables'!$C$48</f>
        <v>245.62590439641494</v>
      </c>
      <c r="H136" s="70">
        <f t="shared" si="20"/>
        <v>0.20642731679425605</v>
      </c>
      <c r="I136" s="71">
        <f t="shared" si="17"/>
        <v>0.35370130233083746</v>
      </c>
      <c r="L136" s="74"/>
      <c r="M136" s="74"/>
      <c r="N136" s="74"/>
      <c r="O136" s="74"/>
      <c r="P136" s="74"/>
      <c r="Q136" s="74"/>
      <c r="R136" s="74"/>
      <c r="S136" s="74"/>
      <c r="T136" s="74"/>
      <c r="U136" s="74"/>
      <c r="V136" s="74"/>
      <c r="W136" s="74"/>
      <c r="X136" s="74"/>
      <c r="Y136" s="74"/>
    </row>
    <row r="137" spans="1:25" x14ac:dyDescent="0.3">
      <c r="A137" s="66">
        <f t="shared" si="15"/>
        <v>2002.9999999999882</v>
      </c>
      <c r="B137" s="67">
        <f>LOOKUP(A137+0.01,AmountsB!$A$4:$A$103,AmountsB!$B$4:$B$103)*0.1*$A$2</f>
        <v>10843.112797020001</v>
      </c>
      <c r="C137" s="68">
        <f t="shared" ref="C137:C200" si="21">C136+B137</f>
        <v>323546.3377278301</v>
      </c>
      <c r="D137" s="67">
        <f t="array" ref="D137">SUM($B$7:$B132*$F$1009*EXP(-$F$1009*($A137-$A$7:$A132)))*$F$1010</f>
        <v>66626411.075644732</v>
      </c>
      <c r="E137" s="67">
        <f t="shared" si="19"/>
        <v>127.01737093209053</v>
      </c>
      <c r="F137" s="70">
        <f t="shared" si="16"/>
        <v>7.7124947629965375</v>
      </c>
      <c r="G137" s="67">
        <f>E137/'Lookup Tables'!$C$48</f>
        <v>254.03474186418106</v>
      </c>
      <c r="H137" s="70">
        <f t="shared" si="20"/>
        <v>0.20633931643530495</v>
      </c>
      <c r="I137" s="71">
        <f t="shared" si="17"/>
        <v>0.36581002828442072</v>
      </c>
      <c r="L137" s="74"/>
      <c r="M137" s="74"/>
      <c r="N137" s="74"/>
      <c r="O137" s="74"/>
      <c r="P137" s="74"/>
      <c r="Q137" s="74"/>
      <c r="R137" s="74"/>
      <c r="S137" s="74"/>
      <c r="T137" s="74"/>
      <c r="U137" s="74"/>
      <c r="V137" s="74"/>
      <c r="W137" s="74"/>
      <c r="X137" s="74"/>
      <c r="Y137" s="74"/>
    </row>
    <row r="138" spans="1:25" x14ac:dyDescent="0.3">
      <c r="A138" s="66">
        <f t="shared" si="15"/>
        <v>2003.0999999999881</v>
      </c>
      <c r="B138" s="67">
        <f>LOOKUP(A138+0.01,AmountsB!$A$4:$A$103,AmountsB!$B$4:$B$103)*0.1*$A$2</f>
        <v>10843.112797020001</v>
      </c>
      <c r="C138" s="68">
        <f t="shared" si="21"/>
        <v>334389.45052485011</v>
      </c>
      <c r="D138" s="67">
        <f t="array" ref="D138">SUM($B$7:$B133*$F$1009*EXP(-$F$1009*($A138-$A$7:$A133)))*$F$1010</f>
        <v>68801160.07932128</v>
      </c>
      <c r="E138" s="67">
        <f t="shared" si="19"/>
        <v>131.16333792062542</v>
      </c>
      <c r="F138" s="70">
        <f t="shared" si="16"/>
        <v>7.9642378785403753</v>
      </c>
      <c r="G138" s="67">
        <f>E138/'Lookup Tables'!$C$48</f>
        <v>262.32667584125085</v>
      </c>
      <c r="H138" s="70">
        <f t="shared" si="20"/>
        <v>0.20616514756334242</v>
      </c>
      <c r="I138" s="71">
        <f t="shared" si="17"/>
        <v>0.37775041321140118</v>
      </c>
      <c r="L138" s="74"/>
      <c r="M138" s="74"/>
      <c r="N138" s="74"/>
      <c r="O138" s="74"/>
      <c r="P138" s="74"/>
      <c r="Q138" s="74"/>
      <c r="R138" s="74"/>
      <c r="S138" s="74"/>
      <c r="T138" s="74"/>
      <c r="U138" s="74"/>
      <c r="V138" s="74"/>
      <c r="W138" s="74"/>
      <c r="X138" s="74"/>
      <c r="Y138" s="74"/>
    </row>
    <row r="139" spans="1:25" x14ac:dyDescent="0.3">
      <c r="A139" s="66">
        <f t="shared" si="15"/>
        <v>2003.199999999988</v>
      </c>
      <c r="B139" s="67">
        <f>LOOKUP(A139+0.01,AmountsB!$A$4:$A$103,AmountsB!$B$4:$B$103)*0.1*$A$2</f>
        <v>10843.112797020001</v>
      </c>
      <c r="C139" s="68">
        <f t="shared" si="21"/>
        <v>345232.56332187011</v>
      </c>
      <c r="D139" s="67">
        <f t="array" ref="D139">SUM($B$7:$B134*$F$1009*EXP(-$F$1009*($A139-$A$7:$A134)))*$F$1010</f>
        <v>70945674.731234863</v>
      </c>
      <c r="E139" s="67">
        <f t="shared" si="19"/>
        <v>135.25166578661464</v>
      </c>
      <c r="F139" s="70">
        <f t="shared" si="16"/>
        <v>8.2124811465632401</v>
      </c>
      <c r="G139" s="67">
        <f>E139/'Lookup Tables'!$C$48</f>
        <v>270.50333157322927</v>
      </c>
      <c r="H139" s="70">
        <f t="shared" si="20"/>
        <v>0.20591416653581152</v>
      </c>
      <c r="I139" s="71">
        <f t="shared" si="17"/>
        <v>0.38952479746545016</v>
      </c>
      <c r="L139" s="74"/>
      <c r="M139" s="74"/>
      <c r="N139" s="74"/>
      <c r="O139" s="74"/>
      <c r="P139" s="74"/>
      <c r="Q139" s="74"/>
      <c r="R139" s="74"/>
      <c r="S139" s="74"/>
      <c r="T139" s="74"/>
      <c r="U139" s="74"/>
      <c r="V139" s="74"/>
      <c r="W139" s="74"/>
      <c r="X139" s="74"/>
      <c r="Y139" s="74"/>
    </row>
    <row r="140" spans="1:25" x14ac:dyDescent="0.3">
      <c r="A140" s="66">
        <f t="shared" si="15"/>
        <v>2003.2999999999879</v>
      </c>
      <c r="B140" s="67">
        <f>LOOKUP(A140+0.01,AmountsB!$A$4:$A$103,AmountsB!$B$4:$B$103)*0.1*$A$2</f>
        <v>10843.112797020001</v>
      </c>
      <c r="C140" s="68">
        <f t="shared" si="21"/>
        <v>356075.67611889011</v>
      </c>
      <c r="D140" s="67">
        <f t="array" ref="D140">SUM($B$7:$B135*$F$1009*EXP(-$F$1009*($A140-$A$7:$A135)))*$F$1010</f>
        <v>73060375.363122582</v>
      </c>
      <c r="E140" s="67">
        <f t="shared" si="19"/>
        <v>139.28315585540804</v>
      </c>
      <c r="F140" s="70">
        <f t="shared" si="16"/>
        <v>8.4572732235403763</v>
      </c>
      <c r="G140" s="67">
        <f>E140/'Lookup Tables'!$C$48</f>
        <v>278.56631171081608</v>
      </c>
      <c r="H140" s="70">
        <f t="shared" si="20"/>
        <v>0.20559457336580131</v>
      </c>
      <c r="I140" s="71">
        <f t="shared" si="17"/>
        <v>0.40113548886357514</v>
      </c>
      <c r="L140" s="74"/>
      <c r="M140" s="74"/>
      <c r="N140" s="74"/>
      <c r="O140" s="74"/>
      <c r="P140" s="74"/>
      <c r="Q140" s="74"/>
      <c r="R140" s="74"/>
      <c r="S140" s="74"/>
      <c r="T140" s="74"/>
      <c r="U140" s="74"/>
      <c r="V140" s="74"/>
      <c r="W140" s="74"/>
      <c r="X140" s="74"/>
      <c r="Y140" s="74"/>
    </row>
    <row r="141" spans="1:25" x14ac:dyDescent="0.3">
      <c r="A141" s="66">
        <f t="shared" si="15"/>
        <v>2003.3999999999878</v>
      </c>
      <c r="B141" s="67">
        <f>LOOKUP(A141+0.01,AmountsB!$A$4:$A$103,AmountsB!$B$4:$B$103)*0.1*$A$2</f>
        <v>10843.112797020001</v>
      </c>
      <c r="C141" s="68">
        <f t="shared" si="21"/>
        <v>366918.78891591012</v>
      </c>
      <c r="D141" s="67">
        <f t="array" ref="D141">SUM($B$7:$B136*$F$1009*EXP(-$F$1009*($A141-$A$7:$A136)))*$F$1010</f>
        <v>75145676.463078216</v>
      </c>
      <c r="E141" s="67">
        <f t="shared" si="19"/>
        <v>143.25859831196539</v>
      </c>
      <c r="F141" s="70">
        <f t="shared" si="16"/>
        <v>8.6986620895025393</v>
      </c>
      <c r="G141" s="67">
        <f>E141/'Lookup Tables'!$C$48</f>
        <v>286.51719662393077</v>
      </c>
      <c r="H141" s="70">
        <f t="shared" si="20"/>
        <v>0.20521358280735361</v>
      </c>
      <c r="I141" s="71">
        <f t="shared" si="17"/>
        <v>0.41258476313846032</v>
      </c>
      <c r="L141" s="74"/>
      <c r="M141" s="74"/>
      <c r="N141" s="74"/>
      <c r="O141" s="74"/>
      <c r="P141" s="74"/>
      <c r="Q141" s="74"/>
      <c r="R141" s="74"/>
      <c r="S141" s="74"/>
      <c r="T141" s="74"/>
      <c r="U141" s="74"/>
      <c r="V141" s="74"/>
      <c r="W141" s="74"/>
      <c r="X141" s="74"/>
      <c r="Y141" s="74"/>
    </row>
    <row r="142" spans="1:25" x14ac:dyDescent="0.3">
      <c r="A142" s="66">
        <f t="shared" si="15"/>
        <v>2003.4999999999877</v>
      </c>
      <c r="B142" s="67">
        <f>LOOKUP(A142+0.01,AmountsB!$A$4:$A$103,AmountsB!$B$4:$B$103)*0.1*$A$2</f>
        <v>10843.112797020001</v>
      </c>
      <c r="C142" s="68">
        <f t="shared" si="21"/>
        <v>377761.90171293012</v>
      </c>
      <c r="D142" s="67">
        <f t="array" ref="D142">SUM($B$7:$B137*$F$1009*EXP(-$F$1009*($A142-$A$7:$A137)))*$F$1010</f>
        <v>77264001.888531536</v>
      </c>
      <c r="E142" s="67">
        <f t="shared" si="19"/>
        <v>147.29699872969462</v>
      </c>
      <c r="F142" s="70">
        <f t="shared" si="16"/>
        <v>8.9438737628670584</v>
      </c>
      <c r="G142" s="67">
        <f>E142/'Lookup Tables'!$C$48</f>
        <v>294.59399745938924</v>
      </c>
      <c r="H142" s="70">
        <f t="shared" si="20"/>
        <v>0.20494206054468717</v>
      </c>
      <c r="I142" s="71">
        <f t="shared" si="17"/>
        <v>0.42421535634152052</v>
      </c>
      <c r="L142" s="74"/>
      <c r="M142" s="74"/>
      <c r="N142" s="74"/>
      <c r="O142" s="74"/>
      <c r="P142" s="74"/>
      <c r="Q142" s="74"/>
      <c r="R142" s="74"/>
      <c r="S142" s="74"/>
      <c r="T142" s="74"/>
      <c r="U142" s="74"/>
      <c r="V142" s="74"/>
      <c r="W142" s="74"/>
      <c r="X142" s="74"/>
      <c r="Y142" s="74"/>
    </row>
    <row r="143" spans="1:25" x14ac:dyDescent="0.3">
      <c r="A143" s="66">
        <f t="shared" si="15"/>
        <v>2003.5999999999876</v>
      </c>
      <c r="B143" s="67">
        <f>LOOKUP(A143+0.01,AmountsB!$A$4:$A$103,AmountsB!$B$4:$B$103)*0.1*$A$2</f>
        <v>10843.112797020001</v>
      </c>
      <c r="C143" s="68">
        <f t="shared" si="21"/>
        <v>388605.01450995012</v>
      </c>
      <c r="D143" s="67">
        <f t="array" ref="D143">SUM($B$7:$B138*$F$1009*EXP(-$F$1009*($A143-$A$7:$A138)))*$F$1010</f>
        <v>79352877.388520673</v>
      </c>
      <c r="E143" s="67">
        <f t="shared" si="19"/>
        <v>151.27925546436759</v>
      </c>
      <c r="F143" s="70">
        <f t="shared" si="16"/>
        <v>9.1856763917964006</v>
      </c>
      <c r="G143" s="67">
        <f>E143/'Lookup Tables'!$C$48</f>
        <v>302.55851092873519</v>
      </c>
      <c r="H143" s="70">
        <f t="shared" si="20"/>
        <v>0.20460975464338929</v>
      </c>
      <c r="I143" s="71">
        <f t="shared" si="17"/>
        <v>0.43568425573737873</v>
      </c>
      <c r="L143" s="74"/>
      <c r="M143" s="74"/>
      <c r="N143" s="74"/>
      <c r="O143" s="74"/>
      <c r="P143" s="74"/>
      <c r="Q143" s="74"/>
      <c r="R143" s="74"/>
      <c r="S143" s="74"/>
      <c r="T143" s="74"/>
      <c r="U143" s="74"/>
      <c r="V143" s="74"/>
      <c r="W143" s="74"/>
      <c r="X143" s="74"/>
      <c r="Y143" s="74"/>
    </row>
    <row r="144" spans="1:25" x14ac:dyDescent="0.3">
      <c r="A144" s="66">
        <f t="shared" si="15"/>
        <v>2003.6999999999875</v>
      </c>
      <c r="B144" s="67">
        <f>LOOKUP(A144+0.01,AmountsB!$A$4:$A$103,AmountsB!$B$4:$B$103)*0.1*$A$2</f>
        <v>10843.112797020001</v>
      </c>
      <c r="C144" s="68">
        <f t="shared" si="21"/>
        <v>399448.12730697013</v>
      </c>
      <c r="D144" s="67">
        <f t="array" ref="D144">SUM($B$7:$B139*$F$1009*EXP(-$F$1009*($A144-$A$7:$A139)))*$F$1010</f>
        <v>81412712.389330834</v>
      </c>
      <c r="E144" s="67">
        <f t="shared" si="19"/>
        <v>155.20614905105288</v>
      </c>
      <c r="F144" s="70">
        <f t="shared" si="16"/>
        <v>9.4241173703799301</v>
      </c>
      <c r="G144" s="67">
        <f>E144/'Lookup Tables'!$C$48</f>
        <v>310.41229810210575</v>
      </c>
      <c r="H144" s="70">
        <f t="shared" si="20"/>
        <v>0.20422264210176944</v>
      </c>
      <c r="I144" s="71">
        <f t="shared" si="17"/>
        <v>0.44699370926703236</v>
      </c>
      <c r="L144" s="74"/>
      <c r="M144" s="74"/>
      <c r="N144" s="74"/>
      <c r="O144" s="74"/>
      <c r="P144" s="74"/>
      <c r="Q144" s="74"/>
      <c r="R144" s="74"/>
      <c r="S144" s="74"/>
      <c r="T144" s="74"/>
      <c r="U144" s="74"/>
      <c r="V144" s="74"/>
      <c r="W144" s="74"/>
      <c r="X144" s="74"/>
      <c r="Y144" s="74"/>
    </row>
    <row r="145" spans="1:25" x14ac:dyDescent="0.3">
      <c r="A145" s="66">
        <f t="shared" si="15"/>
        <v>2003.7999999999874</v>
      </c>
      <c r="B145" s="67">
        <f>LOOKUP(A145+0.01,AmountsB!$A$4:$A$103,AmountsB!$B$4:$B$103)*0.1*$A$2</f>
        <v>10843.112797020001</v>
      </c>
      <c r="C145" s="68">
        <f t="shared" si="21"/>
        <v>410291.24010399013</v>
      </c>
      <c r="D145" s="67">
        <f t="array" ref="D145">SUM($B$7:$B140*$F$1009*EXP(-$F$1009*($A145-$A$7:$A140)))*$F$1010</f>
        <v>83443910.625216469</v>
      </c>
      <c r="E145" s="67">
        <f t="shared" si="19"/>
        <v>159.07844917346492</v>
      </c>
      <c r="F145" s="70">
        <f t="shared" si="16"/>
        <v>9.6592434338127902</v>
      </c>
      <c r="G145" s="67">
        <f>E145/'Lookup Tables'!$C$48</f>
        <v>318.15689834692984</v>
      </c>
      <c r="H145" s="70">
        <f t="shared" si="20"/>
        <v>0.20378605418039494</v>
      </c>
      <c r="I145" s="71">
        <f t="shared" si="17"/>
        <v>0.45814593361957895</v>
      </c>
      <c r="L145" s="74"/>
      <c r="M145" s="74"/>
      <c r="N145" s="74"/>
      <c r="O145" s="74"/>
      <c r="P145" s="74"/>
      <c r="Q145" s="74"/>
      <c r="R145" s="74"/>
      <c r="S145" s="74"/>
      <c r="T145" s="74"/>
      <c r="U145" s="74"/>
      <c r="V145" s="74"/>
      <c r="W145" s="74"/>
      <c r="X145" s="74"/>
      <c r="Y145" s="74"/>
    </row>
    <row r="146" spans="1:25" x14ac:dyDescent="0.3">
      <c r="A146" s="66">
        <f t="shared" si="15"/>
        <v>2003.8999999999874</v>
      </c>
      <c r="B146" s="67">
        <f>LOOKUP(A146+0.01,AmountsB!$A$4:$A$103,AmountsB!$B$4:$B$103)*0.1*$A$2</f>
        <v>10843.112797020001</v>
      </c>
      <c r="C146" s="68">
        <f t="shared" si="21"/>
        <v>421134.35290101013</v>
      </c>
      <c r="D146" s="67">
        <f t="array" ref="D146">SUM($B$7:$B141*$F$1009*EXP(-$F$1009*($A146-$A$7:$A141)))*$F$1010</f>
        <v>85446870.217534363</v>
      </c>
      <c r="E146" s="67">
        <f t="shared" si="19"/>
        <v>162.89691481482421</v>
      </c>
      <c r="F146" s="70">
        <f t="shared" si="16"/>
        <v>9.8911006675561257</v>
      </c>
      <c r="G146" s="67">
        <f>E146/'Lookup Tables'!$C$48</f>
        <v>325.79382962964843</v>
      </c>
      <c r="H146" s="70">
        <f t="shared" si="20"/>
        <v>0.20330475972069825</v>
      </c>
      <c r="I146" s="71">
        <f t="shared" si="17"/>
        <v>0.46914311466669373</v>
      </c>
      <c r="L146" s="74"/>
      <c r="M146" s="74"/>
      <c r="N146" s="74"/>
      <c r="O146" s="74"/>
      <c r="P146" s="74"/>
      <c r="Q146" s="74"/>
      <c r="R146" s="74"/>
      <c r="S146" s="74"/>
      <c r="T146" s="74"/>
      <c r="U146" s="74"/>
      <c r="V146" s="74"/>
      <c r="W146" s="74"/>
      <c r="X146" s="74"/>
      <c r="Y146" s="74"/>
    </row>
    <row r="147" spans="1:25" x14ac:dyDescent="0.3">
      <c r="A147" s="66">
        <f t="shared" ref="A147:A210" si="22">A146+0.1</f>
        <v>2003.9999999999873</v>
      </c>
      <c r="B147" s="67">
        <f>LOOKUP(A147+0.01,AmountsB!$A$4:$A$103,AmountsB!$B$4:$B$103)*0.1*$A$2</f>
        <v>11059.914913677005</v>
      </c>
      <c r="C147" s="68">
        <f t="shared" si="21"/>
        <v>432194.26781468716</v>
      </c>
      <c r="D147" s="67">
        <f t="array" ref="D147">SUM($B$7:$B142*$F$1009*EXP(-$F$1009*($A147-$A$7:$A142)))*$F$1010</f>
        <v>87421983.752776802</v>
      </c>
      <c r="E147" s="67">
        <f t="shared" si="19"/>
        <v>166.66229440662079</v>
      </c>
      <c r="F147" s="70">
        <f t="shared" ref="F147:F210" si="23">E147*60*1012/1000000</f>
        <v>10.119734516370015</v>
      </c>
      <c r="G147" s="67">
        <f>E147/'Lookup Tables'!$C$48</f>
        <v>333.32458881324158</v>
      </c>
      <c r="H147" s="70">
        <f t="shared" si="20"/>
        <v>0.20268131362093711</v>
      </c>
      <c r="I147" s="71">
        <f t="shared" ref="I147:I210" si="24">G147*60*24/1000000</f>
        <v>0.47998740789106792</v>
      </c>
      <c r="L147" s="74"/>
      <c r="M147" s="74"/>
      <c r="N147" s="74"/>
      <c r="O147" s="74"/>
      <c r="P147" s="74"/>
      <c r="Q147" s="74"/>
      <c r="R147" s="74"/>
      <c r="S147" s="74"/>
      <c r="T147" s="74"/>
      <c r="U147" s="74"/>
      <c r="V147" s="74"/>
      <c r="W147" s="74"/>
      <c r="X147" s="74"/>
      <c r="Y147" s="74"/>
    </row>
    <row r="148" spans="1:25" x14ac:dyDescent="0.3">
      <c r="A148" s="66">
        <f t="shared" si="22"/>
        <v>2004.0999999999872</v>
      </c>
      <c r="B148" s="67">
        <f>LOOKUP(A148+0.01,AmountsB!$A$4:$A$103,AmountsB!$B$4:$B$103)*0.1*$A$2</f>
        <v>11059.914913677005</v>
      </c>
      <c r="C148" s="68">
        <f t="shared" si="21"/>
        <v>443254.18272836419</v>
      </c>
      <c r="D148" s="67">
        <f t="array" ref="D148">SUM($B$7:$B143*$F$1009*EXP(-$F$1009*($A148-$A$7:$A143)))*$F$1010</f>
        <v>89369638.359519735</v>
      </c>
      <c r="E148" s="67">
        <f t="shared" si="19"/>
        <v>170.37532597530893</v>
      </c>
      <c r="F148" s="70">
        <f t="shared" si="23"/>
        <v>10.345189793220758</v>
      </c>
      <c r="G148" s="67">
        <f>E148/'Lookup Tables'!$C$48</f>
        <v>340.75065195061785</v>
      </c>
      <c r="H148" s="70">
        <f t="shared" si="20"/>
        <v>0.20202690650637384</v>
      </c>
      <c r="I148" s="71">
        <f t="shared" si="24"/>
        <v>0.49068093880888969</v>
      </c>
      <c r="L148" s="74"/>
      <c r="M148" s="74"/>
      <c r="N148" s="74"/>
      <c r="O148" s="74"/>
      <c r="P148" s="74"/>
      <c r="Q148" s="74"/>
      <c r="R148" s="74"/>
      <c r="S148" s="74"/>
      <c r="T148" s="74"/>
      <c r="U148" s="74"/>
      <c r="V148" s="74"/>
      <c r="W148" s="74"/>
      <c r="X148" s="74"/>
      <c r="Y148" s="74"/>
    </row>
    <row r="149" spans="1:25" x14ac:dyDescent="0.3">
      <c r="A149" s="66">
        <f t="shared" si="22"/>
        <v>2004.1999999999871</v>
      </c>
      <c r="B149" s="67">
        <f>LOOKUP(A149+0.01,AmountsB!$A$4:$A$103,AmountsB!$B$4:$B$103)*0.1*$A$2</f>
        <v>11059.914913677005</v>
      </c>
      <c r="C149" s="68">
        <f t="shared" si="21"/>
        <v>454314.09764204122</v>
      </c>
      <c r="D149" s="67">
        <f t="array" ref="D149">SUM($B$7:$B144*$F$1009*EXP(-$F$1009*($A149-$A$7:$A144)))*$F$1010</f>
        <v>91290215.784301206</v>
      </c>
      <c r="E149" s="67">
        <f t="shared" si="19"/>
        <v>174.03673728696282</v>
      </c>
      <c r="F149" s="70">
        <f t="shared" si="23"/>
        <v>10.567510688064383</v>
      </c>
      <c r="G149" s="67">
        <f>E149/'Lookup Tables'!$C$48</f>
        <v>348.07347457392564</v>
      </c>
      <c r="H149" s="70">
        <f t="shared" si="20"/>
        <v>0.20134464149976861</v>
      </c>
      <c r="I149" s="71">
        <f t="shared" si="24"/>
        <v>0.50122580338645295</v>
      </c>
      <c r="L149" s="74"/>
      <c r="M149" s="74"/>
      <c r="N149" s="74"/>
      <c r="O149" s="74"/>
      <c r="P149" s="74"/>
      <c r="Q149" s="74"/>
      <c r="R149" s="74"/>
      <c r="S149" s="74"/>
      <c r="T149" s="74"/>
      <c r="U149" s="74"/>
      <c r="V149" s="74"/>
      <c r="W149" s="74"/>
      <c r="X149" s="74"/>
      <c r="Y149" s="74"/>
    </row>
    <row r="150" spans="1:25" x14ac:dyDescent="0.3">
      <c r="A150" s="66">
        <f t="shared" si="22"/>
        <v>2004.299999999987</v>
      </c>
      <c r="B150" s="67">
        <f>LOOKUP(A150+0.01,AmountsB!$A$4:$A$103,AmountsB!$B$4:$B$103)*0.1*$A$2</f>
        <v>11059.914913677005</v>
      </c>
      <c r="C150" s="68">
        <f t="shared" si="21"/>
        <v>465374.01255571825</v>
      </c>
      <c r="D150" s="67">
        <f t="array" ref="D150">SUM($B$7:$B145*$F$1009*EXP(-$F$1009*($A150-$A$7:$A145)))*$F$1010</f>
        <v>93184092.466444939</v>
      </c>
      <c r="E150" s="67">
        <f t="shared" si="19"/>
        <v>177.64724598992103</v>
      </c>
      <c r="F150" s="70">
        <f t="shared" si="23"/>
        <v>10.786740776508005</v>
      </c>
      <c r="G150" s="67">
        <f>E150/'Lookup Tables'!$C$48</f>
        <v>355.29449197984206</v>
      </c>
      <c r="H150" s="70">
        <f t="shared" si="20"/>
        <v>0.20063731530587633</v>
      </c>
      <c r="I150" s="71">
        <f t="shared" si="24"/>
        <v>0.51162406845097252</v>
      </c>
      <c r="L150" s="74"/>
      <c r="M150" s="74"/>
      <c r="N150" s="74"/>
      <c r="O150" s="74"/>
      <c r="P150" s="74"/>
      <c r="Q150" s="74"/>
      <c r="R150" s="74"/>
      <c r="S150" s="74"/>
      <c r="T150" s="74"/>
      <c r="U150" s="74"/>
      <c r="V150" s="74"/>
      <c r="W150" s="74"/>
      <c r="X150" s="74"/>
      <c r="Y150" s="74"/>
    </row>
    <row r="151" spans="1:25" x14ac:dyDescent="0.3">
      <c r="A151" s="66">
        <f t="shared" si="22"/>
        <v>2004.3999999999869</v>
      </c>
      <c r="B151" s="67">
        <f>LOOKUP(A151+0.01,AmountsB!$A$4:$A$103,AmountsB!$B$4:$B$103)*0.1*$A$2</f>
        <v>11059.914913677005</v>
      </c>
      <c r="C151" s="68">
        <f t="shared" si="21"/>
        <v>476433.92746939528</v>
      </c>
      <c r="D151" s="67">
        <f t="array" ref="D151">SUM($B$7:$B146*$F$1009*EXP(-$F$1009*($A151-$A$7:$A146)))*$F$1010</f>
        <v>95051639.611843601</v>
      </c>
      <c r="E151" s="67">
        <f t="shared" si="19"/>
        <v>181.2075597554479</v>
      </c>
      <c r="F151" s="70">
        <f t="shared" si="23"/>
        <v>11.002923028350796</v>
      </c>
      <c r="G151" s="67">
        <f>E151/'Lookup Tables'!$C$48</f>
        <v>362.41511951089581</v>
      </c>
      <c r="H151" s="70">
        <f t="shared" si="20"/>
        <v>0.19990745393248996</v>
      </c>
      <c r="I151" s="71">
        <f t="shared" si="24"/>
        <v>0.52187777209568986</v>
      </c>
      <c r="L151" s="74"/>
      <c r="M151" s="74"/>
      <c r="N151" s="74"/>
      <c r="O151" s="74"/>
      <c r="P151" s="74"/>
      <c r="Q151" s="74"/>
      <c r="R151" s="74"/>
      <c r="S151" s="74"/>
      <c r="T151" s="74"/>
      <c r="U151" s="74"/>
      <c r="V151" s="74"/>
      <c r="W151" s="74"/>
      <c r="X151" s="74"/>
      <c r="Y151" s="74"/>
    </row>
    <row r="152" spans="1:25" x14ac:dyDescent="0.3">
      <c r="A152" s="66">
        <f t="shared" si="22"/>
        <v>2004.4999999999868</v>
      </c>
      <c r="B152" s="67">
        <f>LOOKUP(A152+0.01,AmountsB!$A$4:$A$103,AmountsB!$B$4:$B$103)*0.1*$A$2</f>
        <v>11059.914913677005</v>
      </c>
      <c r="C152" s="68">
        <f t="shared" si="21"/>
        <v>487493.8423830723</v>
      </c>
      <c r="D152" s="67">
        <f t="array" ref="D152">SUM($B$7:$B147*$F$1009*EXP(-$F$1009*($A152-$A$7:$A147)))*$F$1010</f>
        <v>96956466.419865415</v>
      </c>
      <c r="E152" s="67">
        <f t="shared" si="19"/>
        <v>184.83894390671489</v>
      </c>
      <c r="F152" s="70">
        <f t="shared" si="23"/>
        <v>11.223420674015728</v>
      </c>
      <c r="G152" s="67">
        <f>E152/'Lookup Tables'!$C$48</f>
        <v>369.67788781342978</v>
      </c>
      <c r="H152" s="70">
        <f t="shared" si="20"/>
        <v>0.1992873354921843</v>
      </c>
      <c r="I152" s="71">
        <f t="shared" si="24"/>
        <v>0.53233615845133886</v>
      </c>
      <c r="L152" s="74"/>
      <c r="M152" s="74"/>
      <c r="N152" s="74"/>
      <c r="O152" s="74"/>
      <c r="P152" s="74"/>
      <c r="Q152" s="74"/>
      <c r="R152" s="74"/>
      <c r="S152" s="74"/>
      <c r="T152" s="74"/>
      <c r="U152" s="74"/>
      <c r="V152" s="74"/>
      <c r="W152" s="74"/>
      <c r="X152" s="74"/>
      <c r="Y152" s="74"/>
    </row>
    <row r="153" spans="1:25" x14ac:dyDescent="0.3">
      <c r="A153" s="66">
        <f t="shared" si="22"/>
        <v>2004.5999999999867</v>
      </c>
      <c r="B153" s="67">
        <f>LOOKUP(A153+0.01,AmountsB!$A$4:$A$103,AmountsB!$B$4:$B$103)*0.1*$A$2</f>
        <v>11059.914913677005</v>
      </c>
      <c r="C153" s="68">
        <f t="shared" si="21"/>
        <v>498553.75729674933</v>
      </c>
      <c r="D153" s="67">
        <f t="array" ref="D153">SUM($B$7:$B148*$F$1009*EXP(-$F$1009*($A153-$A$7:$A148)))*$F$1010</f>
        <v>98834811.457501799</v>
      </c>
      <c r="E153" s="67">
        <f t="shared" si="19"/>
        <v>188.41984290055439</v>
      </c>
      <c r="F153" s="70">
        <f t="shared" si="23"/>
        <v>11.440852860921662</v>
      </c>
      <c r="G153" s="67">
        <f>E153/'Lookup Tables'!$C$48</f>
        <v>376.83968580110877</v>
      </c>
      <c r="H153" s="70">
        <f t="shared" si="20"/>
        <v>0.19864150651578513</v>
      </c>
      <c r="I153" s="71">
        <f t="shared" si="24"/>
        <v>0.54264914755359661</v>
      </c>
      <c r="L153" s="74"/>
      <c r="M153" s="74"/>
      <c r="N153" s="74"/>
      <c r="O153" s="74"/>
      <c r="P153" s="74"/>
      <c r="Q153" s="74"/>
      <c r="R153" s="74"/>
      <c r="S153" s="74"/>
      <c r="T153" s="74"/>
      <c r="U153" s="74"/>
      <c r="V153" s="74"/>
      <c r="W153" s="74"/>
      <c r="X153" s="74"/>
      <c r="Y153" s="74"/>
    </row>
    <row r="154" spans="1:25" x14ac:dyDescent="0.3">
      <c r="A154" s="66">
        <f t="shared" si="22"/>
        <v>2004.6999999999866</v>
      </c>
      <c r="B154" s="67">
        <f>LOOKUP(A154+0.01,AmountsB!$A$4:$A$103,AmountsB!$B$4:$B$103)*0.1*$A$2</f>
        <v>11059.914913677005</v>
      </c>
      <c r="C154" s="68">
        <f t="shared" si="21"/>
        <v>509613.67221042636</v>
      </c>
      <c r="D154" s="67">
        <f t="array" ref="D154">SUM($B$7:$B149*$F$1009*EXP(-$F$1009*($A154-$A$7:$A149)))*$F$1010</f>
        <v>100687042.88639341</v>
      </c>
      <c r="E154" s="67">
        <f t="shared" si="19"/>
        <v>191.95095860463292</v>
      </c>
      <c r="F154" s="70">
        <f t="shared" si="23"/>
        <v>11.655262206473312</v>
      </c>
      <c r="G154" s="67">
        <f>E154/'Lookup Tables'!$C$48</f>
        <v>383.90191720926583</v>
      </c>
      <c r="H154" s="70">
        <f t="shared" si="20"/>
        <v>0.19797236484058942</v>
      </c>
      <c r="I154" s="71">
        <f t="shared" si="24"/>
        <v>0.55281876078134284</v>
      </c>
      <c r="L154" s="74"/>
      <c r="M154" s="74"/>
      <c r="N154" s="74"/>
      <c r="O154" s="74"/>
      <c r="P154" s="74"/>
      <c r="Q154" s="74"/>
      <c r="R154" s="74"/>
      <c r="S154" s="74"/>
      <c r="T154" s="74"/>
      <c r="U154" s="74"/>
      <c r="V154" s="74"/>
      <c r="W154" s="74"/>
      <c r="X154" s="74"/>
      <c r="Y154" s="74"/>
    </row>
    <row r="155" spans="1:25" x14ac:dyDescent="0.3">
      <c r="A155" s="66">
        <f t="shared" si="22"/>
        <v>2004.7999999999865</v>
      </c>
      <c r="B155" s="67">
        <f>LOOKUP(A155+0.01,AmountsB!$A$4:$A$103,AmountsB!$B$4:$B$103)*0.1*$A$2</f>
        <v>11059.914913677005</v>
      </c>
      <c r="C155" s="68">
        <f t="shared" si="21"/>
        <v>520673.58712410339</v>
      </c>
      <c r="D155" s="67">
        <f t="array" ref="D155">SUM($B$7:$B150*$F$1009*EXP(-$F$1009*($A155-$A$7:$A150)))*$F$1010</f>
        <v>102513523.74982995</v>
      </c>
      <c r="E155" s="67">
        <f t="shared" si="19"/>
        <v>195.43298312893285</v>
      </c>
      <c r="F155" s="70">
        <f t="shared" si="23"/>
        <v>11.866690735588802</v>
      </c>
      <c r="G155" s="67">
        <f>E155/'Lookup Tables'!$C$48</f>
        <v>390.86596625786569</v>
      </c>
      <c r="H155" s="70">
        <f t="shared" si="20"/>
        <v>0.19728209471874694</v>
      </c>
      <c r="I155" s="71">
        <f t="shared" si="24"/>
        <v>0.56284699141132655</v>
      </c>
      <c r="L155" s="74"/>
      <c r="M155" s="74"/>
      <c r="N155" s="74"/>
      <c r="O155" s="74"/>
      <c r="P155" s="74"/>
      <c r="Q155" s="74"/>
      <c r="R155" s="74"/>
      <c r="S155" s="74"/>
      <c r="T155" s="74"/>
      <c r="U155" s="74"/>
      <c r="V155" s="74"/>
      <c r="W155" s="74"/>
      <c r="X155" s="74"/>
      <c r="Y155" s="74"/>
    </row>
    <row r="156" spans="1:25" x14ac:dyDescent="0.3">
      <c r="A156" s="66">
        <f t="shared" si="22"/>
        <v>2004.8999999999864</v>
      </c>
      <c r="B156" s="67">
        <f>LOOKUP(A156+0.01,AmountsB!$A$4:$A$103,AmountsB!$B$4:$B$103)*0.1*$A$2</f>
        <v>11059.914913677005</v>
      </c>
      <c r="C156" s="68">
        <f t="shared" si="21"/>
        <v>531733.50203778036</v>
      </c>
      <c r="D156" s="67">
        <f t="array" ref="D156">SUM($B$7:$B151*$F$1009*EXP(-$F$1009*($A156-$A$7:$A151)))*$F$1010</f>
        <v>104314612.04390785</v>
      </c>
      <c r="E156" s="67">
        <f t="shared" si="19"/>
        <v>198.86659896140813</v>
      </c>
      <c r="F156" s="70">
        <f t="shared" si="23"/>
        <v>12.075179888936701</v>
      </c>
      <c r="G156" s="67">
        <f>E156/'Lookup Tables'!$C$48</f>
        <v>397.73319792281626</v>
      </c>
      <c r="H156" s="70">
        <f t="shared" si="20"/>
        <v>0.19657268916392168</v>
      </c>
      <c r="I156" s="71">
        <f t="shared" si="24"/>
        <v>0.57273580500885546</v>
      </c>
      <c r="L156" s="74"/>
      <c r="M156" s="74"/>
      <c r="N156" s="74"/>
      <c r="O156" s="74"/>
      <c r="P156" s="74"/>
      <c r="Q156" s="74"/>
      <c r="R156" s="74"/>
      <c r="S156" s="74"/>
      <c r="T156" s="74"/>
      <c r="U156" s="74"/>
      <c r="V156" s="74"/>
      <c r="W156" s="74"/>
      <c r="X156" s="74"/>
      <c r="Y156" s="74"/>
    </row>
    <row r="157" spans="1:25" x14ac:dyDescent="0.3">
      <c r="A157" s="66">
        <f t="shared" si="22"/>
        <v>2004.9999999999864</v>
      </c>
      <c r="B157" s="67">
        <f>LOOKUP(A157+0.01,AmountsB!$A$4:$A$103,AmountsB!$B$4:$B$103)*0.1*$A$2</f>
        <v>11281.227476589003</v>
      </c>
      <c r="C157" s="68">
        <f t="shared" si="21"/>
        <v>543014.72951436939</v>
      </c>
      <c r="D157" s="67">
        <f t="array" ref="D157">SUM($B$7:$B152*$F$1009*EXP(-$F$1009*($A157-$A$7:$A152)))*$F$1010</f>
        <v>106090660.78769867</v>
      </c>
      <c r="E157" s="67">
        <f t="shared" si="19"/>
        <v>202.25247910175409</v>
      </c>
      <c r="F157" s="70">
        <f t="shared" si="23"/>
        <v>12.28077053105851</v>
      </c>
      <c r="G157" s="67">
        <f>E157/'Lookup Tables'!$C$48</f>
        <v>404.50495820350818</v>
      </c>
      <c r="H157" s="70">
        <f t="shared" si="20"/>
        <v>0.19576615004707515</v>
      </c>
      <c r="I157" s="71">
        <f t="shared" si="24"/>
        <v>0.58248713981305178</v>
      </c>
      <c r="L157" s="74"/>
      <c r="M157" s="74"/>
      <c r="N157" s="74"/>
      <c r="O157" s="74"/>
      <c r="P157" s="74"/>
      <c r="Q157" s="74"/>
      <c r="R157" s="74"/>
      <c r="S157" s="74"/>
      <c r="T157" s="74"/>
      <c r="U157" s="74"/>
      <c r="V157" s="74"/>
      <c r="W157" s="74"/>
      <c r="X157" s="74"/>
      <c r="Y157" s="74"/>
    </row>
    <row r="158" spans="1:25" x14ac:dyDescent="0.3">
      <c r="A158" s="66">
        <f t="shared" si="22"/>
        <v>2005.0999999999863</v>
      </c>
      <c r="B158" s="67">
        <f>LOOKUP(A158+0.01,AmountsB!$A$4:$A$103,AmountsB!$B$4:$B$103)*0.1*$A$2</f>
        <v>11281.227476589003</v>
      </c>
      <c r="C158" s="68">
        <f t="shared" si="21"/>
        <v>554295.95699095842</v>
      </c>
      <c r="D158" s="67">
        <f t="array" ref="D158">SUM($B$7:$B153*$F$1009*EXP(-$F$1009*($A158-$A$7:$A153)))*$F$1010</f>
        <v>107842018.09244198</v>
      </c>
      <c r="E158" s="67">
        <f t="shared" si="19"/>
        <v>205.59128719331773</v>
      </c>
      <c r="F158" s="70">
        <f t="shared" si="23"/>
        <v>12.483502958378251</v>
      </c>
      <c r="G158" s="67">
        <f>E158/'Lookup Tables'!$C$48</f>
        <v>411.18257438663545</v>
      </c>
      <c r="H158" s="70">
        <f t="shared" si="20"/>
        <v>0.1949478057451724</v>
      </c>
      <c r="I158" s="71">
        <f t="shared" si="24"/>
        <v>0.59210290711675506</v>
      </c>
      <c r="L158" s="74"/>
      <c r="M158" s="74"/>
      <c r="N158" s="74"/>
      <c r="O158" s="74"/>
      <c r="P158" s="74"/>
      <c r="Q158" s="74"/>
      <c r="R158" s="74"/>
      <c r="S158" s="74"/>
      <c r="T158" s="74"/>
      <c r="U158" s="74"/>
      <c r="V158" s="74"/>
      <c r="W158" s="74"/>
      <c r="X158" s="74"/>
      <c r="Y158" s="74"/>
    </row>
    <row r="159" spans="1:25" x14ac:dyDescent="0.3">
      <c r="A159" s="66">
        <f t="shared" si="22"/>
        <v>2005.1999999999862</v>
      </c>
      <c r="B159" s="67">
        <f>LOOKUP(A159+0.01,AmountsB!$A$4:$A$103,AmountsB!$B$4:$B$103)*0.1*$A$2</f>
        <v>11281.227476589003</v>
      </c>
      <c r="C159" s="68">
        <f t="shared" si="21"/>
        <v>565577.18446754746</v>
      </c>
      <c r="D159" s="67">
        <f t="array" ref="D159">SUM($B$7:$B154*$F$1009*EXP(-$F$1009*($A159-$A$7:$A154)))*$F$1010</f>
        <v>109569027.22977617</v>
      </c>
      <c r="E159" s="67">
        <f t="shared" si="19"/>
        <v>208.88367765317358</v>
      </c>
      <c r="F159" s="70">
        <f t="shared" si="23"/>
        <v>12.6834169071007</v>
      </c>
      <c r="G159" s="67">
        <f>E159/'Lookup Tables'!$C$48</f>
        <v>417.76735530634716</v>
      </c>
      <c r="H159" s="70">
        <f t="shared" si="20"/>
        <v>0.19411897083130605</v>
      </c>
      <c r="I159" s="71">
        <f t="shared" si="24"/>
        <v>0.60158499164113999</v>
      </c>
      <c r="L159" s="74"/>
      <c r="M159" s="74"/>
      <c r="N159" s="74"/>
      <c r="O159" s="74"/>
      <c r="P159" s="74"/>
      <c r="Q159" s="74"/>
      <c r="R159" s="74"/>
      <c r="S159" s="74"/>
      <c r="T159" s="74"/>
      <c r="U159" s="74"/>
      <c r="V159" s="74"/>
      <c r="W159" s="74"/>
      <c r="X159" s="74"/>
      <c r="Y159" s="74"/>
    </row>
    <row r="160" spans="1:25" x14ac:dyDescent="0.3">
      <c r="A160" s="66">
        <f t="shared" si="22"/>
        <v>2005.2999999999861</v>
      </c>
      <c r="B160" s="67">
        <f>LOOKUP(A160+0.01,AmountsB!$A$4:$A$103,AmountsB!$B$4:$B$103)*0.1*$A$2</f>
        <v>11281.227476589003</v>
      </c>
      <c r="C160" s="68">
        <f t="shared" si="21"/>
        <v>576858.41194413649</v>
      </c>
      <c r="D160" s="67">
        <f t="array" ref="D160">SUM($B$7:$B155*$F$1009*EXP(-$F$1009*($A160-$A$7:$A155)))*$F$1010</f>
        <v>111272026.699021</v>
      </c>
      <c r="E160" s="67">
        <f t="shared" si="19"/>
        <v>212.13029580039199</v>
      </c>
      <c r="F160" s="70">
        <f t="shared" si="23"/>
        <v>12.880551560999802</v>
      </c>
      <c r="G160" s="67">
        <f>E160/'Lookup Tables'!$C$48</f>
        <v>424.26059160078398</v>
      </c>
      <c r="H160" s="70">
        <f t="shared" si="20"/>
        <v>0.19328084875614743</v>
      </c>
      <c r="I160" s="71">
        <f t="shared" si="24"/>
        <v>0.61093525190512898</v>
      </c>
      <c r="L160" s="74"/>
      <c r="M160" s="74"/>
      <c r="N160" s="74"/>
      <c r="O160" s="74"/>
      <c r="P160" s="74"/>
      <c r="Q160" s="74"/>
      <c r="R160" s="74"/>
      <c r="S160" s="74"/>
      <c r="T160" s="74"/>
      <c r="U160" s="74"/>
      <c r="V160" s="74"/>
      <c r="W160" s="74"/>
      <c r="X160" s="74"/>
      <c r="Y160" s="74"/>
    </row>
    <row r="161" spans="1:25" x14ac:dyDescent="0.3">
      <c r="A161" s="66">
        <f t="shared" si="22"/>
        <v>2005.399999999986</v>
      </c>
      <c r="B161" s="67">
        <f>LOOKUP(A161+0.01,AmountsB!$A$4:$A$103,AmountsB!$B$4:$B$103)*0.1*$A$2</f>
        <v>11281.227476589003</v>
      </c>
      <c r="C161" s="68">
        <f t="shared" si="21"/>
        <v>588139.63942072552</v>
      </c>
      <c r="D161" s="67">
        <f t="array" ref="D161">SUM($B$7:$B156*$F$1009*EXP(-$F$1009*($A161-$A$7:$A156)))*$F$1010</f>
        <v>112951350.29352427</v>
      </c>
      <c r="E161" s="67">
        <f t="shared" si="19"/>
        <v>215.33177798252331</v>
      </c>
      <c r="F161" s="70">
        <f t="shared" si="23"/>
        <v>13.074945559098815</v>
      </c>
      <c r="G161" s="67">
        <f>E161/'Lookup Tables'!$C$48</f>
        <v>430.66355596504661</v>
      </c>
      <c r="H161" s="70">
        <f t="shared" si="20"/>
        <v>0.1924345426182916</v>
      </c>
      <c r="I161" s="71">
        <f t="shared" si="24"/>
        <v>0.62015552058966716</v>
      </c>
      <c r="L161" s="74"/>
      <c r="M161" s="74"/>
      <c r="N161" s="74"/>
      <c r="O161" s="74"/>
      <c r="P161" s="74"/>
      <c r="Q161" s="74"/>
      <c r="R161" s="74"/>
      <c r="S161" s="74"/>
      <c r="T161" s="74"/>
      <c r="U161" s="74"/>
      <c r="V161" s="74"/>
      <c r="W161" s="74"/>
      <c r="X161" s="74"/>
      <c r="Y161" s="74"/>
    </row>
    <row r="162" spans="1:25" x14ac:dyDescent="0.3">
      <c r="A162" s="66">
        <f t="shared" si="22"/>
        <v>2005.4999999999859</v>
      </c>
      <c r="B162" s="67">
        <f>LOOKUP(A162+0.01,AmountsB!$A$4:$A$103,AmountsB!$B$4:$B$103)*0.1*$A$2</f>
        <v>11281.227476589003</v>
      </c>
      <c r="C162" s="68">
        <f t="shared" si="21"/>
        <v>599420.86689731455</v>
      </c>
      <c r="D162" s="67">
        <f t="array" ref="D162">SUM($B$7:$B157*$F$1009*EXP(-$F$1009*($A162-$A$7:$A157)))*$F$1010</f>
        <v>114671886.05853288</v>
      </c>
      <c r="E162" s="67">
        <f t="shared" si="19"/>
        <v>218.61182752951015</v>
      </c>
      <c r="F162" s="70">
        <f t="shared" si="23"/>
        <v>13.274110167591857</v>
      </c>
      <c r="G162" s="67">
        <f>E162/'Lookup Tables'!$C$48</f>
        <v>437.2236550590203</v>
      </c>
      <c r="H162" s="70">
        <f t="shared" si="20"/>
        <v>0.19168898330860779</v>
      </c>
      <c r="I162" s="71">
        <f t="shared" si="24"/>
        <v>0.62960206328498924</v>
      </c>
      <c r="L162" s="74"/>
      <c r="M162" s="74"/>
      <c r="N162" s="74"/>
      <c r="O162" s="74"/>
      <c r="P162" s="74"/>
      <c r="Q162" s="74"/>
      <c r="R162" s="74"/>
      <c r="S162" s="74"/>
      <c r="T162" s="74"/>
      <c r="U162" s="74"/>
      <c r="V162" s="74"/>
      <c r="W162" s="74"/>
      <c r="X162" s="74"/>
      <c r="Y162" s="74"/>
    </row>
    <row r="163" spans="1:25" x14ac:dyDescent="0.3">
      <c r="A163" s="66">
        <f t="shared" si="22"/>
        <v>2005.5999999999858</v>
      </c>
      <c r="B163" s="67">
        <f>LOOKUP(A163+0.01,AmountsB!$A$4:$A$103,AmountsB!$B$4:$B$103)*0.1*$A$2</f>
        <v>11281.227476589003</v>
      </c>
      <c r="C163" s="68">
        <f t="shared" si="21"/>
        <v>610702.09437390359</v>
      </c>
      <c r="D163" s="67">
        <f t="array" ref="D163">SUM($B$7:$B158*$F$1009*EXP(-$F$1009*($A163-$A$7:$A158)))*$F$1010</f>
        <v>116368502.1512243</v>
      </c>
      <c r="E163" s="67">
        <f t="shared" si="19"/>
        <v>221.84627633285439</v>
      </c>
      <c r="F163" s="70">
        <f t="shared" si="23"/>
        <v>13.470505898930918</v>
      </c>
      <c r="G163" s="67">
        <f>E163/'Lookup Tables'!$C$48</f>
        <v>443.69255266570877</v>
      </c>
      <c r="H163" s="70">
        <f t="shared" si="20"/>
        <v>0.19093172254483573</v>
      </c>
      <c r="I163" s="71">
        <f t="shared" si="24"/>
        <v>0.63891727583862057</v>
      </c>
      <c r="L163" s="74"/>
      <c r="M163" s="74"/>
      <c r="N163" s="74"/>
      <c r="O163" s="74"/>
      <c r="P163" s="74"/>
      <c r="Q163" s="74"/>
      <c r="R163" s="74"/>
      <c r="S163" s="74"/>
      <c r="T163" s="74"/>
      <c r="U163" s="74"/>
      <c r="V163" s="74"/>
      <c r="W163" s="74"/>
      <c r="X163" s="74"/>
      <c r="Y163" s="74"/>
    </row>
    <row r="164" spans="1:25" x14ac:dyDescent="0.3">
      <c r="A164" s="66">
        <f t="shared" si="22"/>
        <v>2005.6999999999857</v>
      </c>
      <c r="B164" s="67">
        <f>LOOKUP(A164+0.01,AmountsB!$A$4:$A$103,AmountsB!$B$4:$B$103)*0.1*$A$2</f>
        <v>11281.227476589003</v>
      </c>
      <c r="C164" s="68">
        <f t="shared" si="21"/>
        <v>621983.32185049262</v>
      </c>
      <c r="D164" s="67">
        <f t="array" ref="D164">SUM($B$7:$B159*$F$1009*EXP(-$F$1009*($A164-$A$7:$A159)))*$F$1010</f>
        <v>118041531.11378416</v>
      </c>
      <c r="E164" s="67">
        <f t="shared" si="19"/>
        <v>225.03575835487612</v>
      </c>
      <c r="F164" s="70">
        <f t="shared" si="23"/>
        <v>13.664171247308078</v>
      </c>
      <c r="G164" s="67">
        <f>E164/'Lookup Tables'!$C$48</f>
        <v>450.07151670975225</v>
      </c>
      <c r="H164" s="70">
        <f t="shared" si="20"/>
        <v>0.19016393275534454</v>
      </c>
      <c r="I164" s="71">
        <f t="shared" si="24"/>
        <v>0.64810298406204325</v>
      </c>
      <c r="L164" s="74"/>
      <c r="M164" s="74"/>
      <c r="N164" s="74"/>
      <c r="O164" s="74"/>
      <c r="P164" s="74"/>
      <c r="Q164" s="74"/>
      <c r="R164" s="74"/>
      <c r="S164" s="74"/>
      <c r="T164" s="74"/>
      <c r="U164" s="74"/>
      <c r="V164" s="74"/>
      <c r="W164" s="74"/>
      <c r="X164" s="74"/>
      <c r="Y164" s="74"/>
    </row>
    <row r="165" spans="1:25" x14ac:dyDescent="0.3">
      <c r="A165" s="66">
        <f t="shared" si="22"/>
        <v>2005.7999999999856</v>
      </c>
      <c r="B165" s="67">
        <f>LOOKUP(A165+0.01,AmountsB!$A$4:$A$103,AmountsB!$B$4:$B$103)*0.1*$A$2</f>
        <v>11281.227476589003</v>
      </c>
      <c r="C165" s="68">
        <f t="shared" si="21"/>
        <v>633264.54932708165</v>
      </c>
      <c r="D165" s="67">
        <f t="array" ref="D165">SUM($B$7:$B160*$F$1009*EXP(-$F$1009*($A165-$A$7:$A160)))*$F$1010</f>
        <v>119691300.86524515</v>
      </c>
      <c r="E165" s="67">
        <f t="shared" si="19"/>
        <v>228.18089874426235</v>
      </c>
      <c r="F165" s="70">
        <f t="shared" si="23"/>
        <v>13.855144171751611</v>
      </c>
      <c r="G165" s="67">
        <f>E165/'Lookup Tables'!$C$48</f>
        <v>456.3617974885247</v>
      </c>
      <c r="H165" s="70">
        <f t="shared" si="20"/>
        <v>0.18938669550889287</v>
      </c>
      <c r="I165" s="71">
        <f t="shared" si="24"/>
        <v>0.65716098838347559</v>
      </c>
      <c r="L165" s="74"/>
      <c r="M165" s="74"/>
      <c r="N165" s="74"/>
      <c r="O165" s="74"/>
      <c r="P165" s="74"/>
      <c r="Q165" s="74"/>
      <c r="R165" s="74"/>
      <c r="S165" s="74"/>
      <c r="T165" s="74"/>
      <c r="U165" s="74"/>
      <c r="V165" s="74"/>
      <c r="W165" s="74"/>
      <c r="X165" s="74"/>
      <c r="Y165" s="74"/>
    </row>
    <row r="166" spans="1:25" x14ac:dyDescent="0.3">
      <c r="A166" s="66">
        <f t="shared" si="22"/>
        <v>2005.8999999999855</v>
      </c>
      <c r="B166" s="67">
        <f>LOOKUP(A166+0.01,AmountsB!$A$4:$A$103,AmountsB!$B$4:$B$103)*0.1*$A$2</f>
        <v>11281.227476589003</v>
      </c>
      <c r="C166" s="68">
        <f t="shared" si="21"/>
        <v>644545.77680367068</v>
      </c>
      <c r="D166" s="67">
        <f t="array" ref="D166">SUM($B$7:$B161*$F$1009*EXP(-$F$1009*($A166-$A$7:$A161)))*$F$1010</f>
        <v>121318134.76575999</v>
      </c>
      <c r="E166" s="67">
        <f t="shared" si="19"/>
        <v>231.28231395859811</v>
      </c>
      <c r="F166" s="70">
        <f t="shared" si="23"/>
        <v>14.043462103566078</v>
      </c>
      <c r="G166" s="67">
        <f>E166/'Lookup Tables'!$C$48</f>
        <v>462.56462791719622</v>
      </c>
      <c r="H166" s="70">
        <f t="shared" si="20"/>
        <v>0.18860100956594597</v>
      </c>
      <c r="I166" s="71">
        <f t="shared" si="24"/>
        <v>0.66609306420076253</v>
      </c>
      <c r="L166" s="74"/>
      <c r="M166" s="74"/>
      <c r="N166" s="74"/>
      <c r="O166" s="74"/>
      <c r="P166" s="74"/>
      <c r="Q166" s="74"/>
      <c r="R166" s="74"/>
      <c r="S166" s="74"/>
      <c r="T166" s="74"/>
      <c r="U166" s="74"/>
      <c r="V166" s="74"/>
      <c r="W166" s="74"/>
      <c r="X166" s="74"/>
      <c r="Y166" s="74"/>
    </row>
    <row r="167" spans="1:25" x14ac:dyDescent="0.3">
      <c r="A167" s="66">
        <f t="shared" si="22"/>
        <v>2005.9999999999854</v>
      </c>
      <c r="B167" s="67">
        <f>LOOKUP(A167+0.01,AmountsB!$A$4:$A$103,AmountsB!$B$4:$B$103)*0.1*$A$2</f>
        <v>11506.749789339003</v>
      </c>
      <c r="C167" s="68">
        <f t="shared" si="21"/>
        <v>656052.52659300971</v>
      </c>
      <c r="D167" s="67">
        <f t="array" ref="D167">SUM($B$7:$B162*$F$1009*EXP(-$F$1009*($A167-$A$7:$A162)))*$F$1010</f>
        <v>122922351.67998123</v>
      </c>
      <c r="E167" s="67">
        <f t="shared" si="19"/>
        <v>234.34061188519408</v>
      </c>
      <c r="F167" s="70">
        <f t="shared" si="23"/>
        <v>14.229161953668985</v>
      </c>
      <c r="G167" s="67">
        <f>E167/'Lookup Tables'!$C$48</f>
        <v>468.68122377038816</v>
      </c>
      <c r="H167" s="70">
        <f t="shared" si="20"/>
        <v>0.18774323794848777</v>
      </c>
      <c r="I167" s="71">
        <f t="shared" si="24"/>
        <v>0.67490096222935891</v>
      </c>
      <c r="L167" s="74"/>
      <c r="M167" s="74"/>
      <c r="N167" s="74"/>
      <c r="O167" s="74"/>
      <c r="P167" s="74"/>
      <c r="Q167" s="74"/>
      <c r="R167" s="74"/>
      <c r="S167" s="74"/>
      <c r="T167" s="74"/>
      <c r="U167" s="74"/>
      <c r="V167" s="74"/>
      <c r="W167" s="74"/>
      <c r="X167" s="74"/>
      <c r="Y167" s="74"/>
    </row>
    <row r="168" spans="1:25" x14ac:dyDescent="0.3">
      <c r="A168" s="66">
        <f t="shared" si="22"/>
        <v>2006.0999999999854</v>
      </c>
      <c r="B168" s="67">
        <f>LOOKUP(A168+0.01,AmountsB!$A$4:$A$103,AmountsB!$B$4:$B$103)*0.1*$A$2</f>
        <v>11506.749789339003</v>
      </c>
      <c r="C168" s="68">
        <f t="shared" si="21"/>
        <v>667559.27638234873</v>
      </c>
      <c r="D168" s="67">
        <f t="array" ref="D168">SUM($B$7:$B163*$F$1009*EXP(-$F$1009*($A168-$A$7:$A163)))*$F$1010</f>
        <v>124504266.0395598</v>
      </c>
      <c r="E168" s="67">
        <f t="shared" si="19"/>
        <v>237.35639196023462</v>
      </c>
      <c r="F168" s="70">
        <f t="shared" si="23"/>
        <v>14.412280119825445</v>
      </c>
      <c r="G168" s="67">
        <f>E168/'Lookup Tables'!$C$48</f>
        <v>474.71278392046923</v>
      </c>
      <c r="H168" s="70">
        <f t="shared" si="20"/>
        <v>0.1868815609759355</v>
      </c>
      <c r="I168" s="71">
        <f t="shared" si="24"/>
        <v>0.68358640884547561</v>
      </c>
      <c r="L168" s="74"/>
      <c r="M168" s="74"/>
      <c r="N168" s="74"/>
      <c r="O168" s="74"/>
      <c r="P168" s="74"/>
      <c r="Q168" s="74"/>
      <c r="R168" s="74"/>
      <c r="S168" s="74"/>
      <c r="T168" s="74"/>
      <c r="U168" s="74"/>
      <c r="V168" s="74"/>
      <c r="W168" s="74"/>
      <c r="X168" s="74"/>
      <c r="Y168" s="74"/>
    </row>
    <row r="169" spans="1:25" x14ac:dyDescent="0.3">
      <c r="A169" s="66">
        <f t="shared" si="22"/>
        <v>2006.1999999999853</v>
      </c>
      <c r="B169" s="67">
        <f>LOOKUP(A169+0.01,AmountsB!$A$4:$A$103,AmountsB!$B$4:$B$103)*0.1*$A$2</f>
        <v>11506.749789339003</v>
      </c>
      <c r="C169" s="68">
        <f t="shared" si="21"/>
        <v>679066.02617168776</v>
      </c>
      <c r="D169" s="67">
        <f t="array" ref="D169">SUM($B$7:$B164*$F$1009*EXP(-$F$1009*($A169-$A$7:$A164)))*$F$1010</f>
        <v>126064187.90477441</v>
      </c>
      <c r="E169" s="67">
        <f t="shared" si="19"/>
        <v>240.33024528626908</v>
      </c>
      <c r="F169" s="70">
        <f t="shared" si="23"/>
        <v>14.592852493782258</v>
      </c>
      <c r="G169" s="67">
        <f>E169/'Lookup Tables'!$C$48</f>
        <v>480.66049057253815</v>
      </c>
      <c r="H169" s="70">
        <f t="shared" si="20"/>
        <v>0.18601663469249491</v>
      </c>
      <c r="I169" s="71">
        <f t="shared" si="24"/>
        <v>0.69215110642445499</v>
      </c>
      <c r="L169" s="74"/>
      <c r="M169" s="74"/>
      <c r="N169" s="74"/>
      <c r="O169" s="74"/>
      <c r="P169" s="74"/>
      <c r="Q169" s="74"/>
      <c r="R169" s="74"/>
      <c r="S169" s="74"/>
      <c r="T169" s="74"/>
      <c r="U169" s="74"/>
      <c r="V169" s="74"/>
      <c r="W169" s="74"/>
      <c r="X169" s="74"/>
      <c r="Y169" s="74"/>
    </row>
    <row r="170" spans="1:25" x14ac:dyDescent="0.3">
      <c r="A170" s="66">
        <f t="shared" si="22"/>
        <v>2006.2999999999852</v>
      </c>
      <c r="B170" s="67">
        <f>LOOKUP(A170+0.01,AmountsB!$A$4:$A$103,AmountsB!$B$4:$B$103)*0.1*$A$2</f>
        <v>11506.749789339003</v>
      </c>
      <c r="C170" s="68">
        <f t="shared" si="21"/>
        <v>690572.77596102678</v>
      </c>
      <c r="D170" s="67">
        <f t="array" ref="D170">SUM($B$7:$B165*$F$1009*EXP(-$F$1009*($A170-$A$7:$A165)))*$F$1010</f>
        <v>127602423.02530447</v>
      </c>
      <c r="E170" s="67">
        <f t="shared" si="19"/>
        <v>243.26275474806951</v>
      </c>
      <c r="F170" s="70">
        <f t="shared" si="23"/>
        <v>14.770914468302781</v>
      </c>
      <c r="G170" s="67">
        <f>E170/'Lookup Tables'!$C$48</f>
        <v>486.52550949613902</v>
      </c>
      <c r="H170" s="70">
        <f t="shared" si="20"/>
        <v>0.18514906516210708</v>
      </c>
      <c r="I170" s="71">
        <f t="shared" si="24"/>
        <v>0.7005967336744402</v>
      </c>
      <c r="L170" s="74"/>
      <c r="M170" s="74"/>
      <c r="N170" s="74"/>
      <c r="O170" s="74"/>
      <c r="P170" s="74"/>
      <c r="Q170" s="74"/>
      <c r="R170" s="74"/>
      <c r="S170" s="74"/>
      <c r="T170" s="74"/>
      <c r="U170" s="74"/>
      <c r="V170" s="74"/>
      <c r="W170" s="74"/>
      <c r="X170" s="74"/>
      <c r="Y170" s="74"/>
    </row>
    <row r="171" spans="1:25" x14ac:dyDescent="0.3">
      <c r="A171" s="66">
        <f t="shared" si="22"/>
        <v>2006.3999999999851</v>
      </c>
      <c r="B171" s="67">
        <f>LOOKUP(A171+0.01,AmountsB!$A$4:$A$103,AmountsB!$B$4:$B$103)*0.1*$A$2</f>
        <v>11506.749789339003</v>
      </c>
      <c r="C171" s="68">
        <f t="shared" si="21"/>
        <v>702079.52575036581</v>
      </c>
      <c r="D171" s="67">
        <f t="array" ref="D171">SUM($B$7:$B166*$F$1009*EXP(-$F$1009*($A171-$A$7:$A166)))*$F$1010</f>
        <v>129119272.90015806</v>
      </c>
      <c r="E171" s="67">
        <f t="shared" si="19"/>
        <v>246.1544951268786</v>
      </c>
      <c r="F171" s="70">
        <f t="shared" si="23"/>
        <v>14.946500944104068</v>
      </c>
      <c r="G171" s="67">
        <f>E171/'Lookup Tables'!$C$48</f>
        <v>492.3089902537572</v>
      </c>
      <c r="H171" s="70">
        <f t="shared" si="20"/>
        <v>0.18427941264974279</v>
      </c>
      <c r="I171" s="71">
        <f t="shared" si="24"/>
        <v>0.70892494596541034</v>
      </c>
      <c r="L171" s="74"/>
      <c r="M171" s="74"/>
      <c r="N171" s="74"/>
      <c r="O171" s="74"/>
      <c r="P171" s="74"/>
      <c r="Q171" s="74"/>
      <c r="R171" s="74"/>
      <c r="S171" s="74"/>
      <c r="T171" s="74"/>
      <c r="U171" s="74"/>
      <c r="V171" s="74"/>
      <c r="W171" s="74"/>
      <c r="X171" s="74"/>
      <c r="Y171" s="74"/>
    </row>
    <row r="172" spans="1:25" x14ac:dyDescent="0.3">
      <c r="A172" s="66">
        <f t="shared" si="22"/>
        <v>2006.499999999985</v>
      </c>
      <c r="B172" s="67">
        <f>LOOKUP(A172+0.01,AmountsB!$A$4:$A$103,AmountsB!$B$4:$B$103)*0.1*$A$2</f>
        <v>11506.749789339003</v>
      </c>
      <c r="C172" s="68">
        <f t="shared" si="21"/>
        <v>713586.27553970483</v>
      </c>
      <c r="D172" s="67">
        <f t="array" ref="D172">SUM($B$7:$B167*$F$1009*EXP(-$F$1009*($A172-$A$7:$A167)))*$F$1010</f>
        <v>130680821.7516235</v>
      </c>
      <c r="E172" s="67">
        <f t="shared" si="19"/>
        <v>249.13145015856978</v>
      </c>
      <c r="F172" s="70">
        <f t="shared" si="23"/>
        <v>15.127261653628358</v>
      </c>
      <c r="G172" s="67">
        <f>E172/'Lookup Tables'!$C$48</f>
        <v>498.26290031713955</v>
      </c>
      <c r="H172" s="70">
        <f t="shared" si="20"/>
        <v>0.18350057265928793</v>
      </c>
      <c r="I172" s="71">
        <f t="shared" si="24"/>
        <v>0.71749857645668091</v>
      </c>
      <c r="L172" s="74"/>
      <c r="M172" s="74"/>
      <c r="N172" s="74"/>
      <c r="O172" s="74"/>
      <c r="P172" s="74"/>
      <c r="Q172" s="74"/>
      <c r="R172" s="74"/>
      <c r="S172" s="74"/>
      <c r="T172" s="74"/>
      <c r="U172" s="74"/>
      <c r="V172" s="74"/>
      <c r="W172" s="74"/>
      <c r="X172" s="74"/>
      <c r="Y172" s="74"/>
    </row>
    <row r="173" spans="1:25" x14ac:dyDescent="0.3">
      <c r="A173" s="66">
        <f t="shared" si="22"/>
        <v>2006.5999999999849</v>
      </c>
      <c r="B173" s="67">
        <f>LOOKUP(A173+0.01,AmountsB!$A$4:$A$103,AmountsB!$B$4:$B$103)*0.1*$A$2</f>
        <v>11506.749789339003</v>
      </c>
      <c r="C173" s="68">
        <f t="shared" si="21"/>
        <v>725093.02532904386</v>
      </c>
      <c r="D173" s="67">
        <f t="array" ref="D173">SUM($B$7:$B168*$F$1009*EXP(-$F$1009*($A173-$A$7:$A168)))*$F$1010</f>
        <v>132220661.23930007</v>
      </c>
      <c r="E173" s="67">
        <f t="shared" si="19"/>
        <v>252.06701820470144</v>
      </c>
      <c r="F173" s="70">
        <f t="shared" si="23"/>
        <v>15.305509345389471</v>
      </c>
      <c r="G173" s="67">
        <f>E173/'Lookup Tables'!$C$48</f>
        <v>504.13403640940288</v>
      </c>
      <c r="H173" s="70">
        <f t="shared" si="20"/>
        <v>0.18271645173840881</v>
      </c>
      <c r="I173" s="71">
        <f t="shared" si="24"/>
        <v>0.72595301242954013</v>
      </c>
      <c r="L173" s="74"/>
      <c r="M173" s="74"/>
      <c r="N173" s="74"/>
      <c r="O173" s="74"/>
      <c r="P173" s="74"/>
      <c r="Q173" s="74"/>
      <c r="R173" s="74"/>
      <c r="S173" s="74"/>
      <c r="T173" s="74"/>
      <c r="U173" s="74"/>
      <c r="V173" s="74"/>
      <c r="W173" s="74"/>
      <c r="X173" s="74"/>
      <c r="Y173" s="74"/>
    </row>
    <row r="174" spans="1:25" x14ac:dyDescent="0.3">
      <c r="A174" s="66">
        <f t="shared" si="22"/>
        <v>2006.6999999999848</v>
      </c>
      <c r="B174" s="67">
        <f>LOOKUP(A174+0.01,AmountsB!$A$4:$A$103,AmountsB!$B$4:$B$103)*0.1*$A$2</f>
        <v>11506.749789339003</v>
      </c>
      <c r="C174" s="68">
        <f t="shared" si="21"/>
        <v>736599.77511838288</v>
      </c>
      <c r="D174" s="67">
        <f t="array" ref="D174">SUM($B$7:$B169*$F$1009*EXP(-$F$1009*($A174-$A$7:$A169)))*$F$1010</f>
        <v>133739093.17665696</v>
      </c>
      <c r="E174" s="67">
        <f t="shared" si="19"/>
        <v>254.96177464600845</v>
      </c>
      <c r="F174" s="70">
        <f t="shared" si="23"/>
        <v>15.481278956505632</v>
      </c>
      <c r="G174" s="67">
        <f>E174/'Lookup Tables'!$C$48</f>
        <v>509.9235492920169</v>
      </c>
      <c r="H174" s="70">
        <f t="shared" si="20"/>
        <v>0.1819277079366538</v>
      </c>
      <c r="I174" s="71">
        <f t="shared" si="24"/>
        <v>0.73428991098050433</v>
      </c>
      <c r="L174" s="74"/>
      <c r="M174" s="74"/>
      <c r="N174" s="74"/>
      <c r="O174" s="74"/>
      <c r="P174" s="74"/>
      <c r="Q174" s="74"/>
      <c r="R174" s="74"/>
      <c r="S174" s="74"/>
      <c r="T174" s="74"/>
      <c r="U174" s="74"/>
      <c r="V174" s="74"/>
      <c r="W174" s="74"/>
      <c r="X174" s="74"/>
      <c r="Y174" s="74"/>
    </row>
    <row r="175" spans="1:25" x14ac:dyDescent="0.3">
      <c r="A175" s="66">
        <f t="shared" si="22"/>
        <v>2006.7999999999847</v>
      </c>
      <c r="B175" s="67">
        <f>LOOKUP(A175+0.01,AmountsB!$A$4:$A$103,AmountsB!$B$4:$B$103)*0.1*$A$2</f>
        <v>11506.749789339003</v>
      </c>
      <c r="C175" s="68">
        <f t="shared" si="21"/>
        <v>748106.52490772191</v>
      </c>
      <c r="D175" s="67">
        <f t="array" ref="D175">SUM($B$7:$B170*$F$1009*EXP(-$F$1009*($A175-$A$7:$A170)))*$F$1010</f>
        <v>135236415.18121487</v>
      </c>
      <c r="E175" s="67">
        <f t="shared" si="19"/>
        <v>257.81628686402036</v>
      </c>
      <c r="F175" s="70">
        <f t="shared" si="23"/>
        <v>15.654604938383317</v>
      </c>
      <c r="G175" s="67">
        <f>E175/'Lookup Tables'!$C$48</f>
        <v>515.63257372804071</v>
      </c>
      <c r="H175" s="70">
        <f t="shared" si="20"/>
        <v>0.18113495319726547</v>
      </c>
      <c r="I175" s="71">
        <f t="shared" si="24"/>
        <v>0.74251090616837867</v>
      </c>
      <c r="L175" s="74"/>
      <c r="M175" s="74"/>
      <c r="N175" s="74"/>
      <c r="O175" s="74"/>
      <c r="P175" s="74"/>
      <c r="Q175" s="74"/>
      <c r="R175" s="74"/>
      <c r="S175" s="74"/>
      <c r="T175" s="74"/>
      <c r="U175" s="74"/>
      <c r="V175" s="74"/>
      <c r="W175" s="74"/>
      <c r="X175" s="74"/>
      <c r="Y175" s="74"/>
    </row>
    <row r="176" spans="1:25" x14ac:dyDescent="0.3">
      <c r="A176" s="66">
        <f t="shared" si="22"/>
        <v>2006.8999999999846</v>
      </c>
      <c r="B176" s="67">
        <f>LOOKUP(A176+0.01,AmountsB!$A$4:$A$103,AmountsB!$B$4:$B$103)*0.1*$A$2</f>
        <v>11506.749789339003</v>
      </c>
      <c r="C176" s="68">
        <f t="shared" si="21"/>
        <v>759613.27469706093</v>
      </c>
      <c r="D176" s="67">
        <f t="array" ref="D176">SUM($B$7:$B171*$F$1009*EXP(-$F$1009*($A176-$A$7:$A171)))*$F$1010</f>
        <v>136712920.7328802</v>
      </c>
      <c r="E176" s="67">
        <f t="shared" si="19"/>
        <v>260.63111435227034</v>
      </c>
      <c r="F176" s="70">
        <f t="shared" si="23"/>
        <v>15.825521263469856</v>
      </c>
      <c r="G176" s="67">
        <f>E176/'Lookup Tables'!$C$48</f>
        <v>521.26222870454069</v>
      </c>
      <c r="H176" s="70">
        <f t="shared" si="20"/>
        <v>0.18033875692625953</v>
      </c>
      <c r="I176" s="71">
        <f t="shared" si="24"/>
        <v>0.75061760933453858</v>
      </c>
      <c r="L176" s="74"/>
      <c r="M176" s="74"/>
      <c r="N176" s="74"/>
      <c r="O176" s="74"/>
      <c r="P176" s="74"/>
      <c r="Q176" s="74"/>
      <c r="R176" s="74"/>
      <c r="S176" s="74"/>
      <c r="T176" s="74"/>
      <c r="U176" s="74"/>
      <c r="V176" s="74"/>
      <c r="W176" s="74"/>
      <c r="X176" s="74"/>
      <c r="Y176" s="74"/>
    </row>
    <row r="177" spans="1:25" x14ac:dyDescent="0.3">
      <c r="A177" s="66">
        <f t="shared" si="22"/>
        <v>2006.9999999999845</v>
      </c>
      <c r="B177" s="67">
        <f>LOOKUP(A177+0.01,AmountsB!$A$4:$A$103,AmountsB!$B$4:$B$103)*0.1*$A$2</f>
        <v>11736.782548344003</v>
      </c>
      <c r="C177" s="68">
        <f t="shared" si="21"/>
        <v>771350.05724540493</v>
      </c>
      <c r="D177" s="67">
        <f t="array" ref="D177">SUM($B$7:$B172*$F$1009*EXP(-$F$1009*($A177-$A$7:$A172)))*$F$1010</f>
        <v>138168899.23146793</v>
      </c>
      <c r="E177" s="67">
        <f t="shared" si="19"/>
        <v>263.4068088259574</v>
      </c>
      <c r="F177" s="70">
        <f t="shared" si="23"/>
        <v>15.994061431912133</v>
      </c>
      <c r="G177" s="67">
        <f>E177/'Lookup Tables'!$C$48</f>
        <v>526.8136176519148</v>
      </c>
      <c r="H177" s="70">
        <f t="shared" si="20"/>
        <v>0.17948610675331347</v>
      </c>
      <c r="I177" s="71">
        <f t="shared" si="24"/>
        <v>0.75861160941875727</v>
      </c>
      <c r="L177" s="74"/>
      <c r="M177" s="74"/>
      <c r="N177" s="74"/>
      <c r="O177" s="74"/>
      <c r="P177" s="74"/>
      <c r="Q177" s="74"/>
      <c r="R177" s="74"/>
      <c r="S177" s="74"/>
      <c r="T177" s="74"/>
      <c r="U177" s="74"/>
      <c r="V177" s="74"/>
      <c r="W177" s="74"/>
      <c r="X177" s="74"/>
      <c r="Y177" s="74"/>
    </row>
    <row r="178" spans="1:25" x14ac:dyDescent="0.3">
      <c r="A178" s="66">
        <f t="shared" si="22"/>
        <v>2007.0999999999844</v>
      </c>
      <c r="B178" s="67">
        <f>LOOKUP(A178+0.01,AmountsB!$A$4:$A$103,AmountsB!$B$4:$B$103)*0.1*$A$2</f>
        <v>11736.782548344003</v>
      </c>
      <c r="C178" s="68">
        <f t="shared" si="21"/>
        <v>783086.83979374892</v>
      </c>
      <c r="D178" s="67">
        <f t="array" ref="D178">SUM($B$7:$B173*$F$1009*EXP(-$F$1009*($A178-$A$7:$A173)))*$F$1010</f>
        <v>139604636.05342481</v>
      </c>
      <c r="E178" s="67">
        <f t="shared" si="19"/>
        <v>266.1439143300841</v>
      </c>
      <c r="F178" s="70">
        <f t="shared" si="23"/>
        <v>16.160258478122707</v>
      </c>
      <c r="G178" s="67">
        <f>E178/'Lookup Tables'!$C$48</f>
        <v>532.2878286601682</v>
      </c>
      <c r="H178" s="70">
        <f t="shared" si="20"/>
        <v>0.17863311482636521</v>
      </c>
      <c r="I178" s="71">
        <f t="shared" si="24"/>
        <v>0.76649447327064224</v>
      </c>
      <c r="L178" s="74"/>
      <c r="M178" s="74"/>
      <c r="N178" s="74"/>
      <c r="O178" s="74"/>
      <c r="P178" s="74"/>
      <c r="Q178" s="74"/>
      <c r="R178" s="74"/>
      <c r="S178" s="74"/>
      <c r="T178" s="74"/>
      <c r="U178" s="74"/>
      <c r="V178" s="74"/>
      <c r="W178" s="74"/>
      <c r="X178" s="74"/>
      <c r="Y178" s="74"/>
    </row>
    <row r="179" spans="1:25" x14ac:dyDescent="0.3">
      <c r="A179" s="66">
        <f t="shared" si="22"/>
        <v>2007.1999999999844</v>
      </c>
      <c r="B179" s="67">
        <f>LOOKUP(A179+0.01,AmountsB!$A$4:$A$103,AmountsB!$B$4:$B$103)*0.1*$A$2</f>
        <v>11736.782548344003</v>
      </c>
      <c r="C179" s="68">
        <f t="shared" si="21"/>
        <v>794823.62234209292</v>
      </c>
      <c r="D179" s="67">
        <f t="array" ref="D179">SUM($B$7:$B174*$F$1009*EXP(-$F$1009*($A179-$A$7:$A174)))*$F$1010</f>
        <v>141020412.60776424</v>
      </c>
      <c r="E179" s="67">
        <f t="shared" si="19"/>
        <v>268.84296734609183</v>
      </c>
      <c r="F179" s="70">
        <f t="shared" si="23"/>
        <v>16.324144977254697</v>
      </c>
      <c r="G179" s="67">
        <f>E179/'Lookup Tables'!$C$48</f>
        <v>537.68593469218365</v>
      </c>
      <c r="H179" s="70">
        <f t="shared" si="20"/>
        <v>0.17778015104876757</v>
      </c>
      <c r="I179" s="71">
        <f t="shared" si="24"/>
        <v>0.77426774595674441</v>
      </c>
      <c r="L179" s="74"/>
      <c r="M179" s="74"/>
      <c r="N179" s="74"/>
      <c r="O179" s="74"/>
      <c r="P179" s="74"/>
      <c r="Q179" s="74"/>
      <c r="R179" s="74"/>
      <c r="S179" s="74"/>
      <c r="T179" s="74"/>
      <c r="U179" s="74"/>
      <c r="V179" s="74"/>
      <c r="W179" s="74"/>
      <c r="X179" s="74"/>
      <c r="Y179" s="74"/>
    </row>
    <row r="180" spans="1:25" x14ac:dyDescent="0.3">
      <c r="A180" s="66">
        <f t="shared" si="22"/>
        <v>2007.2999999999843</v>
      </c>
      <c r="B180" s="67">
        <f>LOOKUP(A180+0.01,AmountsB!$A$4:$A$103,AmountsB!$B$4:$B$103)*0.1*$A$2</f>
        <v>11736.782548344003</v>
      </c>
      <c r="C180" s="68">
        <f t="shared" si="21"/>
        <v>806560.40489043691</v>
      </c>
      <c r="D180" s="67">
        <f t="array" ref="D180">SUM($B$7:$B175*$F$1009*EXP(-$F$1009*($A180-$A$7:$A175)))*$F$1010</f>
        <v>142416506.39122337</v>
      </c>
      <c r="E180" s="67">
        <f t="shared" si="19"/>
        <v>271.50449689701242</v>
      </c>
      <c r="F180" s="70">
        <f t="shared" si="23"/>
        <v>16.485753051586595</v>
      </c>
      <c r="G180" s="67">
        <f>E180/'Lookup Tables'!$C$48</f>
        <v>543.00899379402483</v>
      </c>
      <c r="H180" s="70">
        <f t="shared" si="20"/>
        <v>0.17692755893274287</v>
      </c>
      <c r="I180" s="71">
        <f t="shared" si="24"/>
        <v>0.78193295106339566</v>
      </c>
      <c r="L180" s="74"/>
      <c r="M180" s="74"/>
      <c r="N180" s="74"/>
      <c r="O180" s="74"/>
      <c r="P180" s="74"/>
      <c r="Q180" s="74"/>
      <c r="R180" s="74"/>
      <c r="S180" s="74"/>
      <c r="T180" s="74"/>
      <c r="U180" s="74"/>
      <c r="V180" s="74"/>
      <c r="W180" s="74"/>
      <c r="X180" s="74"/>
      <c r="Y180" s="74"/>
    </row>
    <row r="181" spans="1:25" x14ac:dyDescent="0.3">
      <c r="A181" s="66">
        <f t="shared" si="22"/>
        <v>2007.3999999999842</v>
      </c>
      <c r="B181" s="67">
        <f>LOOKUP(A181+0.01,AmountsB!$A$4:$A$103,AmountsB!$B$4:$B$103)*0.1*$A$2</f>
        <v>11736.782548344003</v>
      </c>
      <c r="C181" s="68">
        <f t="shared" si="21"/>
        <v>818297.18743878091</v>
      </c>
      <c r="D181" s="67">
        <f t="array" ref="D181">SUM($B$7:$B176*$F$1009*EXP(-$F$1009*($A181-$A$7:$A176)))*$F$1010</f>
        <v>143793191.04265305</v>
      </c>
      <c r="E181" s="67">
        <f t="shared" si="19"/>
        <v>274.12902465115826</v>
      </c>
      <c r="F181" s="70">
        <f t="shared" si="23"/>
        <v>16.645114376818331</v>
      </c>
      <c r="G181" s="67">
        <f>E181/'Lookup Tables'!$C$48</f>
        <v>548.25804930231652</v>
      </c>
      <c r="H181" s="70">
        <f t="shared" si="20"/>
        <v>0.17607565755861526</v>
      </c>
      <c r="I181" s="71">
        <f t="shared" si="24"/>
        <v>0.78949159099533583</v>
      </c>
      <c r="L181" s="74"/>
      <c r="M181" s="74"/>
      <c r="N181" s="74"/>
      <c r="O181" s="74"/>
      <c r="P181" s="74"/>
      <c r="Q181" s="74"/>
      <c r="R181" s="74"/>
      <c r="S181" s="74"/>
      <c r="T181" s="74"/>
      <c r="U181" s="74"/>
      <c r="V181" s="74"/>
      <c r="W181" s="74"/>
      <c r="X181" s="74"/>
      <c r="Y181" s="74"/>
    </row>
    <row r="182" spans="1:25" x14ac:dyDescent="0.3">
      <c r="A182" s="66">
        <f t="shared" si="22"/>
        <v>2007.4999999999841</v>
      </c>
      <c r="B182" s="67">
        <f>LOOKUP(A182+0.01,AmountsB!$A$4:$A$103,AmountsB!$B$4:$B$103)*0.1*$A$2</f>
        <v>11736.782548344003</v>
      </c>
      <c r="C182" s="68">
        <f t="shared" si="21"/>
        <v>830033.9699871249</v>
      </c>
      <c r="D182" s="67">
        <f t="array" ref="D182">SUM($B$7:$B177*$F$1009*EXP(-$F$1009*($A182-$A$7:$A177)))*$F$1010</f>
        <v>145217839.04980627</v>
      </c>
      <c r="E182" s="67">
        <f t="shared" si="19"/>
        <v>276.84499030878311</v>
      </c>
      <c r="F182" s="70">
        <f t="shared" si="23"/>
        <v>16.810027811549311</v>
      </c>
      <c r="G182" s="67">
        <f>E182/'Lookup Tables'!$C$48</f>
        <v>553.68998061756622</v>
      </c>
      <c r="H182" s="70">
        <f t="shared" si="20"/>
        <v>0.17530574912319971</v>
      </c>
      <c r="I182" s="71">
        <f t="shared" si="24"/>
        <v>0.79731357208929532</v>
      </c>
      <c r="L182" s="74"/>
      <c r="M182" s="74"/>
      <c r="N182" s="74"/>
      <c r="O182" s="74"/>
      <c r="P182" s="74"/>
      <c r="Q182" s="74"/>
      <c r="R182" s="74"/>
      <c r="S182" s="74"/>
      <c r="T182" s="74"/>
      <c r="U182" s="74"/>
      <c r="V182" s="74"/>
      <c r="W182" s="74"/>
      <c r="X182" s="74"/>
      <c r="Y182" s="74"/>
    </row>
    <row r="183" spans="1:25" x14ac:dyDescent="0.3">
      <c r="A183" s="66">
        <f t="shared" si="22"/>
        <v>2007.599999999984</v>
      </c>
      <c r="B183" s="67">
        <f>LOOKUP(A183+0.01,AmountsB!$A$4:$A$103,AmountsB!$B$4:$B$103)*0.1*$A$2</f>
        <v>11736.782548344003</v>
      </c>
      <c r="C183" s="68">
        <f t="shared" si="21"/>
        <v>841770.7525354689</v>
      </c>
      <c r="D183" s="67">
        <f t="array" ref="D183">SUM($B$7:$B178*$F$1009*EXP(-$F$1009*($A183-$A$7:$A178)))*$F$1010</f>
        <v>146622680.95109901</v>
      </c>
      <c r="E183" s="67">
        <f t="shared" si="19"/>
        <v>279.52319737406913</v>
      </c>
      <c r="F183" s="70">
        <f t="shared" si="23"/>
        <v>16.972648544553476</v>
      </c>
      <c r="G183" s="67">
        <f>E183/'Lookup Tables'!$C$48</f>
        <v>559.04639474813825</v>
      </c>
      <c r="H183" s="70">
        <f t="shared" si="20"/>
        <v>0.1745337339142348</v>
      </c>
      <c r="I183" s="71">
        <f t="shared" si="24"/>
        <v>0.805026808437319</v>
      </c>
      <c r="L183" s="74"/>
      <c r="M183" s="74"/>
      <c r="N183" s="74"/>
      <c r="O183" s="74"/>
      <c r="P183" s="74"/>
      <c r="Q183" s="74"/>
      <c r="R183" s="74"/>
      <c r="S183" s="74"/>
      <c r="T183" s="74"/>
      <c r="U183" s="74"/>
      <c r="V183" s="74"/>
      <c r="W183" s="74"/>
      <c r="X183" s="74"/>
      <c r="Y183" s="74"/>
    </row>
    <row r="184" spans="1:25" x14ac:dyDescent="0.3">
      <c r="A184" s="66">
        <f t="shared" si="22"/>
        <v>2007.6999999999839</v>
      </c>
      <c r="B184" s="67">
        <f>LOOKUP(A184+0.01,AmountsB!$A$4:$A$103,AmountsB!$B$4:$B$103)*0.1*$A$2</f>
        <v>11736.782548344003</v>
      </c>
      <c r="C184" s="68">
        <f t="shared" si="21"/>
        <v>853507.53508381289</v>
      </c>
      <c r="D184" s="67">
        <f t="array" ref="D184">SUM($B$7:$B179*$F$1009*EXP(-$F$1009*($A184-$A$7:$A179)))*$F$1010</f>
        <v>148007992.10004139</v>
      </c>
      <c r="E184" s="67">
        <f t="shared" si="19"/>
        <v>282.16417078417521</v>
      </c>
      <c r="F184" s="70">
        <f t="shared" si="23"/>
        <v>17.133008450015115</v>
      </c>
      <c r="G184" s="67">
        <f>E184/'Lookup Tables'!$C$48</f>
        <v>564.32834156835042</v>
      </c>
      <c r="H184" s="70">
        <f t="shared" si="20"/>
        <v>0.17376002210642363</v>
      </c>
      <c r="I184" s="71">
        <f t="shared" si="24"/>
        <v>0.81263281185842462</v>
      </c>
      <c r="L184" s="74"/>
      <c r="M184" s="74"/>
      <c r="N184" s="74"/>
      <c r="O184" s="74"/>
      <c r="P184" s="74"/>
      <c r="Q184" s="74"/>
      <c r="R184" s="74"/>
      <c r="S184" s="74"/>
      <c r="T184" s="74"/>
      <c r="U184" s="74"/>
      <c r="V184" s="74"/>
      <c r="W184" s="74"/>
      <c r="X184" s="74"/>
      <c r="Y184" s="74"/>
    </row>
    <row r="185" spans="1:25" x14ac:dyDescent="0.3">
      <c r="A185" s="66">
        <f t="shared" si="22"/>
        <v>2007.7999999999838</v>
      </c>
      <c r="B185" s="67">
        <f>LOOKUP(A185+0.01,AmountsB!$A$4:$A$103,AmountsB!$B$4:$B$103)*0.1*$A$2</f>
        <v>11736.782548344003</v>
      </c>
      <c r="C185" s="68">
        <f t="shared" si="21"/>
        <v>865244.31763215689</v>
      </c>
      <c r="D185" s="67">
        <f t="array" ref="D185">SUM($B$7:$B180*$F$1009*EXP(-$F$1009*($A185-$A$7:$A180)))*$F$1010</f>
        <v>149374044.02205351</v>
      </c>
      <c r="E185" s="67">
        <f t="shared" si="19"/>
        <v>284.76842817834449</v>
      </c>
      <c r="F185" s="70">
        <f t="shared" si="23"/>
        <v>17.29113895898908</v>
      </c>
      <c r="G185" s="67">
        <f>E185/'Lookup Tables'!$C$48</f>
        <v>569.53685635668899</v>
      </c>
      <c r="H185" s="70">
        <f t="shared" si="20"/>
        <v>0.17298499718569577</v>
      </c>
      <c r="I185" s="71">
        <f t="shared" si="24"/>
        <v>0.82013307315363226</v>
      </c>
      <c r="L185" s="74"/>
      <c r="M185" s="74"/>
      <c r="N185" s="74"/>
      <c r="O185" s="74"/>
      <c r="P185" s="74"/>
      <c r="Q185" s="74"/>
      <c r="R185" s="74"/>
      <c r="S185" s="74"/>
      <c r="T185" s="74"/>
      <c r="U185" s="74"/>
      <c r="V185" s="74"/>
      <c r="W185" s="74"/>
      <c r="X185" s="74"/>
      <c r="Y185" s="74"/>
    </row>
    <row r="186" spans="1:25" x14ac:dyDescent="0.3">
      <c r="A186" s="66">
        <f t="shared" si="22"/>
        <v>2007.8999999999837</v>
      </c>
      <c r="B186" s="67">
        <f>LOOKUP(A186+0.01,AmountsB!$A$4:$A$103,AmountsB!$B$4:$B$103)*0.1*$A$2</f>
        <v>11736.782548344003</v>
      </c>
      <c r="C186" s="68">
        <f t="shared" si="21"/>
        <v>876981.10018050089</v>
      </c>
      <c r="D186" s="67">
        <f t="array" ref="D186">SUM($B$7:$B181*$F$1009*EXP(-$F$1009*($A186-$A$7:$A181)))*$F$1010</f>
        <v>150721104.46768516</v>
      </c>
      <c r="E186" s="67">
        <f t="shared" si="19"/>
        <v>287.33647999936301</v>
      </c>
      <c r="F186" s="70">
        <f t="shared" si="23"/>
        <v>17.447071065561321</v>
      </c>
      <c r="G186" s="67">
        <f>E186/'Lookup Tables'!$C$48</f>
        <v>574.67295999872601</v>
      </c>
      <c r="H186" s="70">
        <f t="shared" si="20"/>
        <v>0.17220901779591524</v>
      </c>
      <c r="I186" s="71">
        <f t="shared" si="24"/>
        <v>0.82752906239816548</v>
      </c>
      <c r="L186" s="74"/>
      <c r="M186" s="74"/>
      <c r="N186" s="74"/>
      <c r="O186" s="74"/>
      <c r="P186" s="74"/>
      <c r="Q186" s="74"/>
      <c r="R186" s="74"/>
      <c r="S186" s="74"/>
      <c r="T186" s="74"/>
      <c r="U186" s="74"/>
      <c r="V186" s="74"/>
      <c r="W186" s="74"/>
      <c r="X186" s="74"/>
      <c r="Y186" s="74"/>
    </row>
    <row r="187" spans="1:25" x14ac:dyDescent="0.3">
      <c r="A187" s="66">
        <f t="shared" si="22"/>
        <v>2007.9999999999836</v>
      </c>
      <c r="B187" s="67">
        <f>LOOKUP(A187+0.01,AmountsB!$A$4:$A$103,AmountsB!$B$4:$B$103)*0.1*$A$2</f>
        <v>11971.626450021004</v>
      </c>
      <c r="C187" s="68">
        <f t="shared" si="21"/>
        <v>888952.72663052194</v>
      </c>
      <c r="D187" s="67">
        <f t="array" ref="D187">SUM($B$7:$B182*$F$1009*EXP(-$F$1009*($A187-$A$7:$A182)))*$F$1010</f>
        <v>152049437.46509627</v>
      </c>
      <c r="E187" s="67">
        <f t="shared" si="19"/>
        <v>289.86882959360941</v>
      </c>
      <c r="F187" s="70">
        <f t="shared" si="23"/>
        <v>17.600835332923964</v>
      </c>
      <c r="G187" s="67">
        <f>E187/'Lookup Tables'!$C$48</f>
        <v>579.73765918721881</v>
      </c>
      <c r="H187" s="70">
        <f t="shared" si="20"/>
        <v>0.17138713035043643</v>
      </c>
      <c r="I187" s="71">
        <f t="shared" si="24"/>
        <v>0.83482222922959515</v>
      </c>
      <c r="L187" s="74"/>
      <c r="M187" s="74"/>
      <c r="N187" s="74"/>
      <c r="O187" s="74"/>
      <c r="P187" s="74"/>
      <c r="Q187" s="74"/>
      <c r="R187" s="74"/>
      <c r="S187" s="74"/>
      <c r="T187" s="74"/>
      <c r="U187" s="74"/>
      <c r="V187" s="74"/>
      <c r="W187" s="74"/>
      <c r="X187" s="74"/>
      <c r="Y187" s="74"/>
    </row>
    <row r="188" spans="1:25" x14ac:dyDescent="0.3">
      <c r="A188" s="66">
        <f t="shared" si="22"/>
        <v>2008.0999999999835</v>
      </c>
      <c r="B188" s="67">
        <f>LOOKUP(A188+0.01,AmountsB!$A$4:$A$103,AmountsB!$B$4:$B$103)*0.1*$A$2</f>
        <v>11971.626450021004</v>
      </c>
      <c r="C188" s="68">
        <f t="shared" si="21"/>
        <v>900924.35308054299</v>
      </c>
      <c r="D188" s="67">
        <f t="array" ref="D188">SUM($B$7:$B183*$F$1009*EXP(-$F$1009*($A188-$A$7:$A183)))*$F$1010</f>
        <v>153359303.37180665</v>
      </c>
      <c r="E188" s="67">
        <f t="shared" si="19"/>
        <v>292.3659733097108</v>
      </c>
      <c r="F188" s="70">
        <f t="shared" si="23"/>
        <v>17.752461899365638</v>
      </c>
      <c r="G188" s="67">
        <f>E188/'Lookup Tables'!$C$48</f>
        <v>584.73194661942159</v>
      </c>
      <c r="H188" s="70">
        <f t="shared" si="20"/>
        <v>0.17056654650986666</v>
      </c>
      <c r="I188" s="71">
        <f t="shared" si="24"/>
        <v>0.84201400313196706</v>
      </c>
      <c r="L188" s="74"/>
      <c r="M188" s="74"/>
      <c r="N188" s="74"/>
      <c r="O188" s="74"/>
      <c r="P188" s="74"/>
      <c r="Q188" s="74"/>
      <c r="R188" s="74"/>
      <c r="S188" s="74"/>
      <c r="T188" s="74"/>
      <c r="U188" s="74"/>
      <c r="V188" s="74"/>
      <c r="W188" s="74"/>
      <c r="X188" s="74"/>
      <c r="Y188" s="74"/>
    </row>
    <row r="189" spans="1:25" x14ac:dyDescent="0.3">
      <c r="A189" s="66">
        <f t="shared" si="22"/>
        <v>2008.1999999999834</v>
      </c>
      <c r="B189" s="67">
        <f>LOOKUP(A189+0.01,AmountsB!$A$4:$A$103,AmountsB!$B$4:$B$103)*0.1*$A$2</f>
        <v>11971.626450021004</v>
      </c>
      <c r="C189" s="68">
        <f t="shared" si="21"/>
        <v>912895.97953056404</v>
      </c>
      <c r="D189" s="67">
        <f t="array" ref="D189">SUM($B$7:$B184*$F$1009*EXP(-$F$1009*($A189-$A$7:$A184)))*$F$1010</f>
        <v>154650958.92572743</v>
      </c>
      <c r="E189" s="67">
        <f t="shared" si="19"/>
        <v>294.82840059582981</v>
      </c>
      <c r="F189" s="70">
        <f t="shared" si="23"/>
        <v>17.90198048417879</v>
      </c>
      <c r="G189" s="67">
        <f>E189/'Lookup Tables'!$C$48</f>
        <v>589.65680119165961</v>
      </c>
      <c r="H189" s="70">
        <f t="shared" si="20"/>
        <v>0.16974749678802806</v>
      </c>
      <c r="I189" s="71">
        <f t="shared" si="24"/>
        <v>0.84910579371598993</v>
      </c>
      <c r="L189" s="74"/>
      <c r="M189" s="74"/>
      <c r="N189" s="74"/>
      <c r="O189" s="74"/>
      <c r="P189" s="74"/>
      <c r="Q189" s="74"/>
      <c r="R189" s="74"/>
      <c r="S189" s="74"/>
      <c r="T189" s="74"/>
      <c r="U189" s="74"/>
      <c r="V189" s="74"/>
      <c r="W189" s="74"/>
      <c r="X189" s="74"/>
      <c r="Y189" s="74"/>
    </row>
    <row r="190" spans="1:25" x14ac:dyDescent="0.3">
      <c r="A190" s="66">
        <f t="shared" si="22"/>
        <v>2008.2999999999834</v>
      </c>
      <c r="B190" s="67">
        <f>LOOKUP(A190+0.01,AmountsB!$A$4:$A$103,AmountsB!$B$4:$B$103)*0.1*$A$2</f>
        <v>11971.626450021004</v>
      </c>
      <c r="C190" s="68">
        <f t="shared" si="21"/>
        <v>924867.6059805851</v>
      </c>
      <c r="D190" s="67">
        <f t="array" ref="D190">SUM($B$7:$B185*$F$1009*EXP(-$F$1009*($A190-$A$7:$A185)))*$F$1010</f>
        <v>155924657.29548219</v>
      </c>
      <c r="E190" s="67">
        <f t="shared" si="19"/>
        <v>297.25659409559762</v>
      </c>
      <c r="F190" s="70">
        <f t="shared" si="23"/>
        <v>18.049420393484688</v>
      </c>
      <c r="G190" s="67">
        <f>E190/'Lookup Tables'!$C$48</f>
        <v>594.51318819119524</v>
      </c>
      <c r="H190" s="70">
        <f t="shared" si="20"/>
        <v>0.16893019589652045</v>
      </c>
      <c r="I190" s="71">
        <f t="shared" si="24"/>
        <v>0.85609899099532116</v>
      </c>
      <c r="L190" s="74"/>
      <c r="M190" s="74"/>
      <c r="N190" s="74"/>
      <c r="O190" s="74"/>
      <c r="P190" s="74"/>
      <c r="Q190" s="74"/>
      <c r="R190" s="74"/>
      <c r="S190" s="74"/>
      <c r="T190" s="74"/>
      <c r="U190" s="74"/>
      <c r="V190" s="74"/>
      <c r="W190" s="74"/>
      <c r="X190" s="74"/>
      <c r="Y190" s="74"/>
    </row>
    <row r="191" spans="1:25" x14ac:dyDescent="0.3">
      <c r="A191" s="66">
        <f t="shared" si="22"/>
        <v>2008.3999999999833</v>
      </c>
      <c r="B191" s="67">
        <f>LOOKUP(A191+0.01,AmountsB!$A$4:$A$103,AmountsB!$B$4:$B$103)*0.1*$A$2</f>
        <v>11971.626450021004</v>
      </c>
      <c r="C191" s="68">
        <f t="shared" si="21"/>
        <v>936839.23243060615</v>
      </c>
      <c r="D191" s="67">
        <f t="array" ref="D191">SUM($B$7:$B186*$F$1009*EXP(-$F$1009*($A191-$A$7:$A186)))*$F$1010</f>
        <v>157180648.13002899</v>
      </c>
      <c r="E191" s="67">
        <f t="shared" si="19"/>
        <v>299.65102974271383</v>
      </c>
      <c r="F191" s="70">
        <f t="shared" si="23"/>
        <v>18.19481052597758</v>
      </c>
      <c r="G191" s="67">
        <f>E191/'Lookup Tables'!$C$48</f>
        <v>599.30205948542766</v>
      </c>
      <c r="H191" s="70">
        <f t="shared" si="20"/>
        <v>0.1681148438074582</v>
      </c>
      <c r="I191" s="71">
        <f t="shared" si="24"/>
        <v>0.86299496565901579</v>
      </c>
      <c r="L191" s="74"/>
      <c r="M191" s="74"/>
      <c r="N191" s="74"/>
      <c r="O191" s="74"/>
      <c r="P191" s="74"/>
      <c r="Q191" s="74"/>
      <c r="R191" s="74"/>
      <c r="S191" s="74"/>
      <c r="T191" s="74"/>
      <c r="U191" s="74"/>
      <c r="V191" s="74"/>
      <c r="W191" s="74"/>
      <c r="X191" s="74"/>
      <c r="Y191" s="74"/>
    </row>
    <row r="192" spans="1:25" x14ac:dyDescent="0.3">
      <c r="A192" s="66">
        <f t="shared" si="22"/>
        <v>2008.4999999999832</v>
      </c>
      <c r="B192" s="67">
        <f>LOOKUP(A192+0.01,AmountsB!$A$4:$A$103,AmountsB!$B$4:$B$103)*0.1*$A$2</f>
        <v>11971.626450021004</v>
      </c>
      <c r="C192" s="68">
        <f t="shared" si="21"/>
        <v>948810.8588806272</v>
      </c>
      <c r="D192" s="67">
        <f t="array" ref="D192">SUM($B$7:$B187*$F$1009*EXP(-$F$1009*($A192-$A$7:$A187)))*$F$1010</f>
        <v>158487683.71492988</v>
      </c>
      <c r="E192" s="67">
        <f t="shared" si="19"/>
        <v>302.14277770014633</v>
      </c>
      <c r="F192" s="70">
        <f t="shared" si="23"/>
        <v>18.346109461952885</v>
      </c>
      <c r="G192" s="67">
        <f>E192/'Lookup Tables'!$C$48</f>
        <v>604.28555540029265</v>
      </c>
      <c r="H192" s="70">
        <f t="shared" si="20"/>
        <v>0.16737397393043202</v>
      </c>
      <c r="I192" s="71">
        <f t="shared" si="24"/>
        <v>0.87017119977642143</v>
      </c>
      <c r="L192" s="74"/>
      <c r="M192" s="74"/>
      <c r="N192" s="74"/>
      <c r="O192" s="74"/>
      <c r="P192" s="74"/>
      <c r="Q192" s="74"/>
      <c r="R192" s="74"/>
      <c r="S192" s="74"/>
      <c r="T192" s="74"/>
      <c r="U192" s="74"/>
      <c r="V192" s="74"/>
      <c r="W192" s="74"/>
      <c r="X192" s="74"/>
      <c r="Y192" s="74"/>
    </row>
    <row r="193" spans="1:25" x14ac:dyDescent="0.3">
      <c r="A193" s="66">
        <f t="shared" si="22"/>
        <v>2008.5999999999831</v>
      </c>
      <c r="B193" s="67">
        <f>LOOKUP(A193+0.01,AmountsB!$A$4:$A$103,AmountsB!$B$4:$B$103)*0.1*$A$2</f>
        <v>11971.626450021004</v>
      </c>
      <c r="C193" s="68">
        <f t="shared" si="21"/>
        <v>960782.48533064825</v>
      </c>
      <c r="D193" s="67">
        <f t="array" ref="D193">SUM($B$7:$B188*$F$1009*EXP(-$F$1009*($A193-$A$7:$A188)))*$F$1010</f>
        <v>159776548.29546484</v>
      </c>
      <c r="E193" s="67">
        <f t="shared" si="19"/>
        <v>304.59988424189254</v>
      </c>
      <c r="F193" s="70">
        <f t="shared" si="23"/>
        <v>18.495304971167716</v>
      </c>
      <c r="G193" s="67">
        <f>E193/'Lookup Tables'!$C$48</f>
        <v>609.19976848378508</v>
      </c>
      <c r="H193" s="70">
        <f t="shared" si="20"/>
        <v>0.16663261622888756</v>
      </c>
      <c r="I193" s="71">
        <f t="shared" si="24"/>
        <v>0.87724766661665055</v>
      </c>
      <c r="L193" s="74"/>
      <c r="M193" s="74"/>
      <c r="N193" s="74"/>
      <c r="O193" s="74"/>
      <c r="P193" s="74"/>
      <c r="Q193" s="74"/>
      <c r="R193" s="74"/>
      <c r="S193" s="74"/>
      <c r="T193" s="74"/>
      <c r="U193" s="74"/>
      <c r="V193" s="74"/>
      <c r="W193" s="74"/>
      <c r="X193" s="74"/>
      <c r="Y193" s="74"/>
    </row>
    <row r="194" spans="1:25" x14ac:dyDescent="0.3">
      <c r="A194" s="66">
        <f t="shared" si="22"/>
        <v>2008.699999999983</v>
      </c>
      <c r="B194" s="67">
        <f>LOOKUP(A194+0.01,AmountsB!$A$4:$A$103,AmountsB!$B$4:$B$103)*0.1*$A$2</f>
        <v>11971.626450021004</v>
      </c>
      <c r="C194" s="68">
        <f t="shared" si="21"/>
        <v>972754.11178066931</v>
      </c>
      <c r="D194" s="67">
        <f t="array" ref="D194">SUM($B$7:$B189*$F$1009*EXP(-$F$1009*($A194-$A$7:$A189)))*$F$1010</f>
        <v>161047494.49321774</v>
      </c>
      <c r="E194" s="67">
        <f t="shared" si="19"/>
        <v>307.0228309687007</v>
      </c>
      <c r="F194" s="70">
        <f t="shared" si="23"/>
        <v>18.642426296419504</v>
      </c>
      <c r="G194" s="67">
        <f>E194/'Lookup Tables'!$C$48</f>
        <v>614.04566193740141</v>
      </c>
      <c r="H194" s="70">
        <f t="shared" si="20"/>
        <v>0.16589104893296414</v>
      </c>
      <c r="I194" s="71">
        <f t="shared" si="24"/>
        <v>0.88422575318985808</v>
      </c>
      <c r="L194" s="74"/>
      <c r="M194" s="74"/>
      <c r="N194" s="74"/>
      <c r="O194" s="74"/>
      <c r="P194" s="74"/>
      <c r="Q194" s="74"/>
      <c r="R194" s="74"/>
      <c r="S194" s="74"/>
      <c r="T194" s="74"/>
      <c r="U194" s="74"/>
      <c r="V194" s="74"/>
      <c r="W194" s="74"/>
      <c r="X194" s="74"/>
      <c r="Y194" s="74"/>
    </row>
    <row r="195" spans="1:25" x14ac:dyDescent="0.3">
      <c r="A195" s="66">
        <f t="shared" si="22"/>
        <v>2008.7999999999829</v>
      </c>
      <c r="B195" s="67">
        <f>LOOKUP(A195+0.01,AmountsB!$A$4:$A$103,AmountsB!$B$4:$B$103)*0.1*$A$2</f>
        <v>11971.626450021004</v>
      </c>
      <c r="C195" s="68">
        <f t="shared" si="21"/>
        <v>984725.73823069036</v>
      </c>
      <c r="D195" s="67">
        <f t="array" ref="D195">SUM($B$7:$B190*$F$1009*EXP(-$F$1009*($A195-$A$7:$A190)))*$F$1010</f>
        <v>162300771.41771215</v>
      </c>
      <c r="E195" s="67">
        <f t="shared" si="19"/>
        <v>309.41209278588616</v>
      </c>
      <c r="F195" s="70">
        <f t="shared" si="23"/>
        <v>18.78750227395901</v>
      </c>
      <c r="G195" s="67">
        <f>E195/'Lookup Tables'!$C$48</f>
        <v>618.82418557177232</v>
      </c>
      <c r="H195" s="70">
        <f t="shared" si="20"/>
        <v>0.16514953316896383</v>
      </c>
      <c r="I195" s="71">
        <f t="shared" si="24"/>
        <v>0.8911068272233521</v>
      </c>
      <c r="L195" s="74"/>
      <c r="M195" s="74"/>
      <c r="N195" s="74"/>
      <c r="O195" s="74"/>
      <c r="P195" s="74"/>
      <c r="Q195" s="74"/>
      <c r="R195" s="74"/>
      <c r="S195" s="74"/>
      <c r="T195" s="74"/>
      <c r="U195" s="74"/>
      <c r="V195" s="74"/>
      <c r="W195" s="74"/>
      <c r="X195" s="74"/>
      <c r="Y195" s="74"/>
    </row>
    <row r="196" spans="1:25" x14ac:dyDescent="0.3">
      <c r="A196" s="66">
        <f t="shared" si="22"/>
        <v>2008.8999999999828</v>
      </c>
      <c r="B196" s="67">
        <f>LOOKUP(A196+0.01,AmountsB!$A$4:$A$103,AmountsB!$B$4:$B$103)*0.1*$A$2</f>
        <v>11971.626450021004</v>
      </c>
      <c r="C196" s="68">
        <f t="shared" si="21"/>
        <v>996697.36468071141</v>
      </c>
      <c r="D196" s="67">
        <f t="array" ref="D196">SUM($B$7:$B191*$F$1009*EXP(-$F$1009*($A196-$A$7:$A191)))*$F$1010</f>
        <v>163536624.71523741</v>
      </c>
      <c r="E196" s="67">
        <f t="shared" si="19"/>
        <v>311.76813799641371</v>
      </c>
      <c r="F196" s="70">
        <f t="shared" si="23"/>
        <v>18.93056133914224</v>
      </c>
      <c r="G196" s="67">
        <f>E196/'Lookup Tables'!$C$48</f>
        <v>623.53627599282743</v>
      </c>
      <c r="H196" s="70">
        <f t="shared" si="20"/>
        <v>0.16440831403563383</v>
      </c>
      <c r="I196" s="71">
        <f t="shared" si="24"/>
        <v>0.89789223742967161</v>
      </c>
      <c r="L196" s="74"/>
      <c r="M196" s="74"/>
      <c r="N196" s="74"/>
      <c r="O196" s="74"/>
      <c r="P196" s="74"/>
      <c r="Q196" s="74"/>
      <c r="R196" s="74"/>
      <c r="S196" s="74"/>
      <c r="T196" s="74"/>
      <c r="U196" s="74"/>
      <c r="V196" s="74"/>
      <c r="W196" s="74"/>
      <c r="X196" s="74"/>
      <c r="Y196" s="74"/>
    </row>
    <row r="197" spans="1:25" x14ac:dyDescent="0.3">
      <c r="A197" s="66">
        <f t="shared" si="22"/>
        <v>2008.9999999999827</v>
      </c>
      <c r="B197" s="67">
        <f>LOOKUP(A197+0.01,AmountsB!$A$4:$A$103,AmountsB!$B$4:$B$103)*0.1*$A$2</f>
        <v>12210.980797953003</v>
      </c>
      <c r="C197" s="68">
        <f t="shared" si="21"/>
        <v>1008908.3454786644</v>
      </c>
      <c r="D197" s="67">
        <f t="array" ref="D197">SUM($B$7:$B192*$F$1009*EXP(-$F$1009*($A197-$A$7:$A192)))*$F$1010</f>
        <v>164755296.61699623</v>
      </c>
      <c r="E197" s="67">
        <f t="shared" si="19"/>
        <v>314.09142839268719</v>
      </c>
      <c r="F197" s="70">
        <f t="shared" si="23"/>
        <v>19.07163153200397</v>
      </c>
      <c r="G197" s="67">
        <f>E197/'Lookup Tables'!$C$48</f>
        <v>628.18285678537438</v>
      </c>
      <c r="H197" s="70">
        <f t="shared" si="20"/>
        <v>0.16362879294538207</v>
      </c>
      <c r="I197" s="71">
        <f t="shared" si="24"/>
        <v>0.90458331377093915</v>
      </c>
      <c r="L197" s="74"/>
      <c r="M197" s="74"/>
      <c r="N197" s="74"/>
      <c r="O197" s="74"/>
      <c r="P197" s="74"/>
      <c r="Q197" s="74"/>
      <c r="R197" s="74"/>
      <c r="S197" s="74"/>
      <c r="T197" s="74"/>
      <c r="U197" s="74"/>
      <c r="V197" s="74"/>
      <c r="W197" s="74"/>
      <c r="X197" s="74"/>
      <c r="Y197" s="74"/>
    </row>
    <row r="198" spans="1:25" x14ac:dyDescent="0.3">
      <c r="A198" s="66">
        <f t="shared" si="22"/>
        <v>2009.0999999999826</v>
      </c>
      <c r="B198" s="67">
        <f>LOOKUP(A198+0.01,AmountsB!$A$4:$A$103,AmountsB!$B$4:$B$103)*0.1*$A$2</f>
        <v>12210.980797953003</v>
      </c>
      <c r="C198" s="68">
        <f t="shared" si="21"/>
        <v>1021119.3262766174</v>
      </c>
      <c r="D198" s="67">
        <f t="array" ref="D198">SUM($B$7:$B193*$F$1009*EXP(-$F$1009*($A198-$A$7:$A193)))*$F$1010</f>
        <v>165957025.98658282</v>
      </c>
      <c r="E198" s="67">
        <f t="shared" si="19"/>
        <v>316.38241934706213</v>
      </c>
      <c r="F198" s="70">
        <f t="shared" si="23"/>
        <v>19.210740502753612</v>
      </c>
      <c r="G198" s="67">
        <f>E198/'Lookup Tables'!$C$48</f>
        <v>632.76483869412425</v>
      </c>
      <c r="H198" s="70">
        <f t="shared" si="20"/>
        <v>0.16285129007906796</v>
      </c>
      <c r="I198" s="71">
        <f t="shared" si="24"/>
        <v>0.91118136771953895</v>
      </c>
      <c r="L198" s="74"/>
      <c r="M198" s="74"/>
      <c r="N198" s="74"/>
      <c r="O198" s="74"/>
      <c r="P198" s="74"/>
      <c r="Q198" s="74"/>
      <c r="R198" s="74"/>
      <c r="S198" s="74"/>
      <c r="T198" s="74"/>
      <c r="U198" s="74"/>
      <c r="V198" s="74"/>
      <c r="W198" s="74"/>
      <c r="X198" s="74"/>
      <c r="Y198" s="74"/>
    </row>
    <row r="199" spans="1:25" x14ac:dyDescent="0.3">
      <c r="A199" s="66">
        <f t="shared" si="22"/>
        <v>2009.1999999999825</v>
      </c>
      <c r="B199" s="67">
        <f>LOOKUP(A199+0.01,AmountsB!$A$4:$A$103,AmountsB!$B$4:$B$103)*0.1*$A$2</f>
        <v>12210.980797953003</v>
      </c>
      <c r="C199" s="68">
        <f t="shared" si="21"/>
        <v>1033330.3070745703</v>
      </c>
      <c r="D199" s="67">
        <f t="array" ref="D199">SUM($B$7:$B194*$F$1009*EXP(-$F$1009*($A199-$A$7:$A194)))*$F$1010</f>
        <v>167142048.36680064</v>
      </c>
      <c r="E199" s="67">
        <f t="shared" ref="E199:E262" si="25">D199/(365*24*60)*1.00201</f>
        <v>318.64155990109953</v>
      </c>
      <c r="F199" s="70">
        <f t="shared" si="23"/>
        <v>19.347915517194764</v>
      </c>
      <c r="G199" s="67">
        <f>E199/'Lookup Tables'!$C$48</f>
        <v>637.28311980219905</v>
      </c>
      <c r="H199" s="70">
        <f t="shared" ref="H199:H262" si="26">G199*60*24*365/(C199*2000)</f>
        <v>0.16207596229143781</v>
      </c>
      <c r="I199" s="71">
        <f t="shared" si="24"/>
        <v>0.91768769251516658</v>
      </c>
      <c r="L199" s="74"/>
      <c r="M199" s="74"/>
      <c r="N199" s="74"/>
      <c r="O199" s="74"/>
      <c r="P199" s="74"/>
      <c r="Q199" s="74"/>
      <c r="R199" s="74"/>
      <c r="S199" s="74"/>
      <c r="T199" s="74"/>
      <c r="U199" s="74"/>
      <c r="V199" s="74"/>
      <c r="W199" s="74"/>
      <c r="X199" s="74"/>
      <c r="Y199" s="74"/>
    </row>
    <row r="200" spans="1:25" x14ac:dyDescent="0.3">
      <c r="A200" s="66">
        <f t="shared" si="22"/>
        <v>2009.2999999999824</v>
      </c>
      <c r="B200" s="67">
        <f>LOOKUP(A200+0.01,AmountsB!$A$4:$A$103,AmountsB!$B$4:$B$103)*0.1*$A$2</f>
        <v>12210.980797953003</v>
      </c>
      <c r="C200" s="68">
        <f t="shared" si="21"/>
        <v>1045541.2878725233</v>
      </c>
      <c r="D200" s="67">
        <f t="array" ref="D200">SUM($B$7:$B195*$F$1009*EXP(-$F$1009*($A200-$A$7:$A195)))*$F$1010</f>
        <v>168310596.02583003</v>
      </c>
      <c r="E200" s="67">
        <f t="shared" si="25"/>
        <v>320.86929285358059</v>
      </c>
      <c r="F200" s="70">
        <f t="shared" si="23"/>
        <v>19.483183462069416</v>
      </c>
      <c r="G200" s="67">
        <f>E200/'Lookup Tables'!$C$48</f>
        <v>641.73858570716118</v>
      </c>
      <c r="H200" s="70">
        <f t="shared" si="26"/>
        <v>0.16130295597126562</v>
      </c>
      <c r="I200" s="71">
        <f t="shared" si="24"/>
        <v>0.92410356341831223</v>
      </c>
      <c r="L200" s="74"/>
      <c r="M200" s="74"/>
      <c r="N200" s="74"/>
      <c r="O200" s="74"/>
      <c r="P200" s="74"/>
      <c r="Q200" s="74"/>
      <c r="R200" s="74"/>
      <c r="S200" s="74"/>
      <c r="T200" s="74"/>
      <c r="U200" s="74"/>
      <c r="V200" s="74"/>
      <c r="W200" s="74"/>
      <c r="X200" s="74"/>
      <c r="Y200" s="74"/>
    </row>
    <row r="201" spans="1:25" x14ac:dyDescent="0.3">
      <c r="A201" s="66">
        <f t="shared" si="22"/>
        <v>2009.3999999999824</v>
      </c>
      <c r="B201" s="67">
        <f>LOOKUP(A201+0.01,AmountsB!$A$4:$A$103,AmountsB!$B$4:$B$103)*0.1*$A$2</f>
        <v>12210.980797953003</v>
      </c>
      <c r="C201" s="68">
        <f t="shared" ref="C201:C264" si="27">C200+B201</f>
        <v>1057752.2686704763</v>
      </c>
      <c r="D201" s="67">
        <f t="array" ref="D201">SUM($B$7:$B196*$F$1009*EXP(-$F$1009*($A201-$A$7:$A196)))*$F$1010</f>
        <v>169462898.00275305</v>
      </c>
      <c r="E201" s="67">
        <f t="shared" si="25"/>
        <v>323.06605484729562</v>
      </c>
      <c r="F201" s="70">
        <f t="shared" si="23"/>
        <v>19.616570850327793</v>
      </c>
      <c r="G201" s="67">
        <f>E201/'Lookup Tables'!$C$48</f>
        <v>646.13210969459124</v>
      </c>
      <c r="H201" s="70">
        <f t="shared" si="26"/>
        <v>0.16053240768858879</v>
      </c>
      <c r="I201" s="71">
        <f t="shared" si="24"/>
        <v>0.93043023796021151</v>
      </c>
      <c r="L201" s="74"/>
      <c r="M201" s="74"/>
      <c r="N201" s="74"/>
      <c r="O201" s="74"/>
      <c r="P201" s="74"/>
      <c r="Q201" s="74"/>
      <c r="R201" s="74"/>
      <c r="S201" s="74"/>
      <c r="T201" s="74"/>
      <c r="U201" s="74"/>
      <c r="V201" s="74"/>
      <c r="W201" s="74"/>
      <c r="X201" s="74"/>
      <c r="Y201" s="74"/>
    </row>
    <row r="202" spans="1:25" x14ac:dyDescent="0.3">
      <c r="A202" s="66">
        <f t="shared" si="22"/>
        <v>2009.4999999999823</v>
      </c>
      <c r="B202" s="67">
        <f>LOOKUP(A202+0.01,AmountsB!$A$4:$A$103,AmountsB!$B$4:$B$103)*0.1*$A$2</f>
        <v>12210.980797953003</v>
      </c>
      <c r="C202" s="68">
        <f t="shared" si="27"/>
        <v>1069963.2494684292</v>
      </c>
      <c r="D202" s="67">
        <f t="array" ref="D202">SUM($B$7:$B197*$F$1009*EXP(-$F$1009*($A202-$A$7:$A197)))*$F$1010</f>
        <v>170669001.99808082</v>
      </c>
      <c r="E202" s="67">
        <f t="shared" si="25"/>
        <v>325.3653856394539</v>
      </c>
      <c r="F202" s="70">
        <f t="shared" si="23"/>
        <v>19.75618621602764</v>
      </c>
      <c r="G202" s="67">
        <f>E202/'Lookup Tables'!$C$48</f>
        <v>650.73077127890781</v>
      </c>
      <c r="H202" s="70">
        <f t="shared" si="26"/>
        <v>0.15982983226485381</v>
      </c>
      <c r="I202" s="71">
        <f t="shared" si="24"/>
        <v>0.93705231064162731</v>
      </c>
      <c r="L202" s="74"/>
      <c r="M202" s="74"/>
      <c r="N202" s="74"/>
      <c r="O202" s="74"/>
      <c r="P202" s="74"/>
      <c r="Q202" s="74"/>
      <c r="R202" s="74"/>
      <c r="S202" s="74"/>
      <c r="T202" s="74"/>
      <c r="U202" s="74"/>
      <c r="V202" s="74"/>
      <c r="W202" s="74"/>
      <c r="X202" s="74"/>
      <c r="Y202" s="74"/>
    </row>
    <row r="203" spans="1:25" x14ac:dyDescent="0.3">
      <c r="A203" s="66">
        <f t="shared" si="22"/>
        <v>2009.5999999999822</v>
      </c>
      <c r="B203" s="67">
        <f>LOOKUP(A203+0.01,AmountsB!$A$4:$A$103,AmountsB!$B$4:$B$103)*0.1*$A$2</f>
        <v>12210.980797953003</v>
      </c>
      <c r="C203" s="68">
        <f t="shared" si="27"/>
        <v>1082174.2302663822</v>
      </c>
      <c r="D203" s="67">
        <f t="array" ref="D203">SUM($B$7:$B198*$F$1009*EXP(-$F$1009*($A203-$A$7:$A198)))*$F$1010</f>
        <v>171858338.18599918</v>
      </c>
      <c r="E203" s="67">
        <f t="shared" si="25"/>
        <v>327.6327500870492</v>
      </c>
      <c r="F203" s="70">
        <f t="shared" si="23"/>
        <v>19.893860585285626</v>
      </c>
      <c r="G203" s="67">
        <f>E203/'Lookup Tables'!$C$48</f>
        <v>655.26550017409841</v>
      </c>
      <c r="H203" s="70">
        <f t="shared" si="26"/>
        <v>0.1591275865101355</v>
      </c>
      <c r="I203" s="71">
        <f t="shared" si="24"/>
        <v>0.94358232025070166</v>
      </c>
      <c r="L203" s="74"/>
      <c r="M203" s="74"/>
      <c r="N203" s="74"/>
      <c r="O203" s="74"/>
      <c r="P203" s="74"/>
      <c r="Q203" s="74"/>
      <c r="R203" s="74"/>
      <c r="S203" s="74"/>
      <c r="T203" s="74"/>
      <c r="U203" s="74"/>
      <c r="V203" s="74"/>
      <c r="W203" s="74"/>
      <c r="X203" s="74"/>
      <c r="Y203" s="74"/>
    </row>
    <row r="204" spans="1:25" x14ac:dyDescent="0.3">
      <c r="A204" s="66">
        <f t="shared" si="22"/>
        <v>2009.6999999999821</v>
      </c>
      <c r="B204" s="67">
        <f>LOOKUP(A204+0.01,AmountsB!$A$4:$A$103,AmountsB!$B$4:$B$103)*0.1*$A$2</f>
        <v>12210.980797953003</v>
      </c>
      <c r="C204" s="68">
        <f t="shared" si="27"/>
        <v>1094385.2110643352</v>
      </c>
      <c r="D204" s="67">
        <f t="array" ref="D204">SUM($B$7:$B199*$F$1009*EXP(-$F$1009*($A204-$A$7:$A199)))*$F$1010</f>
        <v>173031139.68020841</v>
      </c>
      <c r="E204" s="67">
        <f t="shared" si="25"/>
        <v>329.86859260077176</v>
      </c>
      <c r="F204" s="70">
        <f t="shared" si="23"/>
        <v>20.029620942718861</v>
      </c>
      <c r="G204" s="67">
        <f>E204/'Lookup Tables'!$C$48</f>
        <v>659.73718520154353</v>
      </c>
      <c r="H204" s="70">
        <f t="shared" si="26"/>
        <v>0.15842587282621207</v>
      </c>
      <c r="I204" s="71">
        <f t="shared" si="24"/>
        <v>0.95002154669022254</v>
      </c>
      <c r="L204" s="74"/>
      <c r="M204" s="74"/>
      <c r="N204" s="74"/>
      <c r="O204" s="74"/>
      <c r="P204" s="74"/>
      <c r="Q204" s="74"/>
      <c r="R204" s="74"/>
      <c r="S204" s="74"/>
      <c r="T204" s="74"/>
      <c r="U204" s="74"/>
      <c r="V204" s="74"/>
      <c r="W204" s="74"/>
      <c r="X204" s="74"/>
      <c r="Y204" s="74"/>
    </row>
    <row r="205" spans="1:25" x14ac:dyDescent="0.3">
      <c r="A205" s="66">
        <f t="shared" si="22"/>
        <v>2009.799999999982</v>
      </c>
      <c r="B205" s="67">
        <f>LOOKUP(A205+0.01,AmountsB!$A$4:$A$103,AmountsB!$B$4:$B$103)*0.1*$A$2</f>
        <v>12210.980797953003</v>
      </c>
      <c r="C205" s="68">
        <f t="shared" si="27"/>
        <v>1106596.1918622882</v>
      </c>
      <c r="D205" s="67">
        <f t="array" ref="D205">SUM($B$7:$B200*$F$1009*EXP(-$F$1009*($A205-$A$7:$A200)))*$F$1010</f>
        <v>174187636.35355601</v>
      </c>
      <c r="E205" s="67">
        <f t="shared" si="25"/>
        <v>332.07335141291225</v>
      </c>
      <c r="F205" s="70">
        <f t="shared" si="23"/>
        <v>20.16349389779203</v>
      </c>
      <c r="G205" s="67">
        <f>E205/'Lookup Tables'!$C$48</f>
        <v>664.14670282582449</v>
      </c>
      <c r="H205" s="70">
        <f t="shared" si="26"/>
        <v>0.15772488174651808</v>
      </c>
      <c r="I205" s="71">
        <f t="shared" si="24"/>
        <v>0.95637125206918727</v>
      </c>
      <c r="L205" s="74"/>
      <c r="M205" s="74"/>
      <c r="N205" s="74"/>
      <c r="O205" s="74"/>
      <c r="P205" s="74"/>
      <c r="Q205" s="74"/>
      <c r="R205" s="74"/>
      <c r="S205" s="74"/>
      <c r="T205" s="74"/>
      <c r="U205" s="74"/>
      <c r="V205" s="74"/>
      <c r="W205" s="74"/>
      <c r="X205" s="74"/>
      <c r="Y205" s="74"/>
    </row>
    <row r="206" spans="1:25" x14ac:dyDescent="0.3">
      <c r="A206" s="66">
        <f t="shared" si="22"/>
        <v>2009.8999999999819</v>
      </c>
      <c r="B206" s="67">
        <f>LOOKUP(A206+0.01,AmountsB!$A$4:$A$103,AmountsB!$B$4:$B$103)*0.1*$A$2</f>
        <v>12210.980797953003</v>
      </c>
      <c r="C206" s="68">
        <f t="shared" si="27"/>
        <v>1118807.1726602411</v>
      </c>
      <c r="D206" s="67">
        <f t="array" ref="D206">SUM($B$7:$B201*$F$1009*EXP(-$F$1009*($A206-$A$7:$A201)))*$F$1010</f>
        <v>175328054.88309219</v>
      </c>
      <c r="E206" s="67">
        <f t="shared" si="25"/>
        <v>334.24745866325577</v>
      </c>
      <c r="F206" s="70">
        <f t="shared" si="23"/>
        <v>20.29550569003289</v>
      </c>
      <c r="G206" s="67">
        <f>E206/'Lookup Tables'!$C$48</f>
        <v>668.49491732651154</v>
      </c>
      <c r="H206" s="70">
        <f t="shared" si="26"/>
        <v>0.15702479262416902</v>
      </c>
      <c r="I206" s="71">
        <f t="shared" si="24"/>
        <v>0.96263268095017651</v>
      </c>
      <c r="L206" s="74"/>
      <c r="M206" s="74"/>
      <c r="N206" s="74"/>
      <c r="O206" s="74"/>
      <c r="P206" s="74"/>
      <c r="Q206" s="74"/>
      <c r="R206" s="74"/>
      <c r="S206" s="74"/>
      <c r="T206" s="74"/>
      <c r="U206" s="74"/>
      <c r="V206" s="74"/>
      <c r="W206" s="74"/>
      <c r="X206" s="74"/>
      <c r="Y206" s="74"/>
    </row>
    <row r="207" spans="1:25" x14ac:dyDescent="0.3">
      <c r="A207" s="66">
        <f t="shared" si="22"/>
        <v>2009.9999999999818</v>
      </c>
      <c r="B207" s="67">
        <f>LOOKUP(A207+0.01,AmountsB!$A$4:$A$103,AmountsB!$B$4:$B$103)*0.1*$A$2</f>
        <v>12455.146288557002</v>
      </c>
      <c r="C207" s="68">
        <f t="shared" si="27"/>
        <v>1131262.3189487981</v>
      </c>
      <c r="D207" s="67">
        <f t="array" ref="D207">SUM($B$7:$B202*$F$1009*EXP(-$F$1009*($A207-$A$7:$A202)))*$F$1010</f>
        <v>176452618.79449978</v>
      </c>
      <c r="E207" s="67">
        <f t="shared" si="25"/>
        <v>336.39134048378372</v>
      </c>
      <c r="F207" s="70">
        <f t="shared" si="23"/>
        <v>20.425682194175348</v>
      </c>
      <c r="G207" s="67">
        <f>E207/'Lookup Tables'!$C$48</f>
        <v>672.78268096756744</v>
      </c>
      <c r="H207" s="70">
        <f t="shared" si="26"/>
        <v>0.15629203377212386</v>
      </c>
      <c r="I207" s="71">
        <f t="shared" si="24"/>
        <v>0.96880706059329702</v>
      </c>
      <c r="L207" s="74"/>
      <c r="M207" s="74"/>
      <c r="N207" s="74"/>
      <c r="O207" s="74"/>
      <c r="P207" s="74"/>
      <c r="Q207" s="74"/>
      <c r="R207" s="74"/>
      <c r="S207" s="74"/>
      <c r="T207" s="74"/>
      <c r="U207" s="74"/>
      <c r="V207" s="74"/>
      <c r="W207" s="74"/>
      <c r="X207" s="74"/>
      <c r="Y207" s="74"/>
    </row>
    <row r="208" spans="1:25" x14ac:dyDescent="0.3">
      <c r="A208" s="66">
        <f t="shared" si="22"/>
        <v>2010.0999999999817</v>
      </c>
      <c r="B208" s="67">
        <f>LOOKUP(A208+0.01,AmountsB!$A$4:$A$103,AmountsB!$B$4:$B$103)*0.1*$A$2</f>
        <v>12455.146288557002</v>
      </c>
      <c r="C208" s="68">
        <f t="shared" si="27"/>
        <v>1143717.4652373551</v>
      </c>
      <c r="D208" s="67">
        <f t="array" ref="D208">SUM($B$7:$B203*$F$1009*EXP(-$F$1009*($A208-$A$7:$A203)))*$F$1010</f>
        <v>177561548.50590548</v>
      </c>
      <c r="E208" s="67">
        <f t="shared" si="25"/>
        <v>338.50541708219629</v>
      </c>
      <c r="F208" s="70">
        <f t="shared" si="23"/>
        <v>20.554048925230962</v>
      </c>
      <c r="G208" s="67">
        <f>E208/'Lookup Tables'!$C$48</f>
        <v>677.01083416439258</v>
      </c>
      <c r="H208" s="70">
        <f t="shared" si="26"/>
        <v>0.1555615373780089</v>
      </c>
      <c r="I208" s="71">
        <f t="shared" si="24"/>
        <v>0.97489560119672536</v>
      </c>
      <c r="L208" s="74"/>
      <c r="M208" s="74"/>
      <c r="N208" s="74"/>
      <c r="O208" s="74"/>
      <c r="P208" s="74"/>
      <c r="Q208" s="74"/>
      <c r="R208" s="74"/>
      <c r="S208" s="74"/>
      <c r="T208" s="74"/>
      <c r="U208" s="74"/>
      <c r="V208" s="74"/>
      <c r="W208" s="74"/>
      <c r="X208" s="74"/>
      <c r="Y208" s="74"/>
    </row>
    <row r="209" spans="1:25" x14ac:dyDescent="0.3">
      <c r="A209" s="66">
        <f t="shared" si="22"/>
        <v>2010.1999999999816</v>
      </c>
      <c r="B209" s="67">
        <f>LOOKUP(A209+0.01,AmountsB!$A$4:$A$103,AmountsB!$B$4:$B$103)*0.1*$A$2</f>
        <v>12455.146288557002</v>
      </c>
      <c r="C209" s="68">
        <f t="shared" si="27"/>
        <v>1156172.6115259121</v>
      </c>
      <c r="D209" s="67">
        <f t="array" ref="D209">SUM($B$7:$B204*$F$1009*EXP(-$F$1009*($A209-$A$7:$A204)))*$F$1010</f>
        <v>178655061.37108269</v>
      </c>
      <c r="E209" s="67">
        <f t="shared" si="25"/>
        <v>340.59010282427431</v>
      </c>
      <c r="F209" s="70">
        <f t="shared" si="23"/>
        <v>20.680631043489935</v>
      </c>
      <c r="G209" s="67">
        <f>E209/'Lookup Tables'!$C$48</f>
        <v>681.18020564854862</v>
      </c>
      <c r="H209" s="70">
        <f t="shared" si="26"/>
        <v>0.15483341869530742</v>
      </c>
      <c r="I209" s="71">
        <f t="shared" si="24"/>
        <v>0.98089949613391003</v>
      </c>
      <c r="L209" s="74"/>
      <c r="M209" s="74"/>
      <c r="N209" s="74"/>
      <c r="O209" s="74"/>
      <c r="P209" s="74"/>
      <c r="Q209" s="74"/>
      <c r="R209" s="74"/>
      <c r="S209" s="74"/>
      <c r="T209" s="74"/>
      <c r="U209" s="74"/>
      <c r="V209" s="74"/>
      <c r="W209" s="74"/>
      <c r="X209" s="74"/>
      <c r="Y209" s="74"/>
    </row>
    <row r="210" spans="1:25" x14ac:dyDescent="0.3">
      <c r="A210" s="66">
        <f t="shared" si="22"/>
        <v>2010.2999999999815</v>
      </c>
      <c r="B210" s="67">
        <f>LOOKUP(A210+0.01,AmountsB!$A$4:$A$103,AmountsB!$B$4:$B$103)*0.1*$A$2</f>
        <v>12455.146288557002</v>
      </c>
      <c r="C210" s="68">
        <f t="shared" si="27"/>
        <v>1168627.757814469</v>
      </c>
      <c r="D210" s="67">
        <f t="array" ref="D210">SUM($B$7:$B205*$F$1009*EXP(-$F$1009*($A210-$A$7:$A205)))*$F$1010</f>
        <v>179733371.72205389</v>
      </c>
      <c r="E210" s="67">
        <f t="shared" si="25"/>
        <v>342.64580631509745</v>
      </c>
      <c r="F210" s="70">
        <f t="shared" si="23"/>
        <v>20.805453359452716</v>
      </c>
      <c r="G210" s="67">
        <f>E210/'Lookup Tables'!$C$48</f>
        <v>685.29161263019489</v>
      </c>
      <c r="H210" s="70">
        <f t="shared" si="26"/>
        <v>0.15410778547312834</v>
      </c>
      <c r="I210" s="71">
        <f t="shared" si="24"/>
        <v>0.9868199221874806</v>
      </c>
      <c r="L210" s="74"/>
      <c r="M210" s="74"/>
      <c r="N210" s="74"/>
      <c r="O210" s="74"/>
      <c r="P210" s="74"/>
      <c r="Q210" s="74"/>
      <c r="R210" s="74"/>
      <c r="S210" s="74"/>
      <c r="T210" s="74"/>
      <c r="U210" s="74"/>
      <c r="V210" s="74"/>
      <c r="W210" s="74"/>
      <c r="X210" s="74"/>
      <c r="Y210" s="74"/>
    </row>
    <row r="211" spans="1:25" x14ac:dyDescent="0.3">
      <c r="A211" s="66">
        <f t="shared" ref="A211:A274" si="28">A210+0.1</f>
        <v>2010.3999999999814</v>
      </c>
      <c r="B211" s="67">
        <f>LOOKUP(A211+0.01,AmountsB!$A$4:$A$103,AmountsB!$B$4:$B$103)*0.1*$A$2</f>
        <v>12455.146288557002</v>
      </c>
      <c r="C211" s="68">
        <f t="shared" si="27"/>
        <v>1181082.904103026</v>
      </c>
      <c r="D211" s="67">
        <f t="array" ref="D211">SUM($B$7:$B206*$F$1009*EXP(-$F$1009*($A211-$A$7:$A206)))*$F$1010</f>
        <v>180796690.9110997</v>
      </c>
      <c r="E211" s="67">
        <f t="shared" si="25"/>
        <v>344.67293047913057</v>
      </c>
      <c r="F211" s="70">
        <f t="shared" ref="F211:F274" si="29">E211*60*1012/1000000</f>
        <v>20.928540338692805</v>
      </c>
      <c r="G211" s="67">
        <f>E211/'Lookup Tables'!$C$48</f>
        <v>689.34586095826114</v>
      </c>
      <c r="H211" s="70">
        <f t="shared" si="26"/>
        <v>0.15338473838753355</v>
      </c>
      <c r="I211" s="71">
        <f t="shared" ref="I211:I274" si="30">G211*60*24/1000000</f>
        <v>0.99265803977989608</v>
      </c>
      <c r="L211" s="74"/>
      <c r="M211" s="74"/>
      <c r="N211" s="74"/>
      <c r="O211" s="74"/>
      <c r="P211" s="74"/>
      <c r="Q211" s="74"/>
      <c r="R211" s="74"/>
      <c r="S211" s="74"/>
      <c r="T211" s="74"/>
      <c r="U211" s="74"/>
      <c r="V211" s="74"/>
      <c r="W211" s="74"/>
      <c r="X211" s="74"/>
      <c r="Y211" s="74"/>
    </row>
    <row r="212" spans="1:25" x14ac:dyDescent="0.3">
      <c r="A212" s="66">
        <f t="shared" si="28"/>
        <v>2010.4999999999814</v>
      </c>
      <c r="B212" s="67">
        <f>LOOKUP(A212+0.01,AmountsB!$A$4:$A$103,AmountsB!$B$4:$B$103)*0.1*$A$2</f>
        <v>12455.146288557002</v>
      </c>
      <c r="C212" s="68">
        <f t="shared" si="27"/>
        <v>1193538.050391583</v>
      </c>
      <c r="D212" s="67">
        <f t="array" ref="D212">SUM($B$7:$B207*$F$1009*EXP(-$F$1009*($A212-$A$7:$A207)))*$F$1010</f>
        <v>181916452.65200382</v>
      </c>
      <c r="E212" s="67">
        <f t="shared" si="25"/>
        <v>346.80765738552964</v>
      </c>
      <c r="F212" s="70">
        <f t="shared" si="29"/>
        <v>21.05816095644936</v>
      </c>
      <c r="G212" s="67">
        <f>E212/'Lookup Tables'!$C$48</f>
        <v>693.61531477105927</v>
      </c>
      <c r="H212" s="70">
        <f t="shared" si="26"/>
        <v>0.15272416716168385</v>
      </c>
      <c r="I212" s="71">
        <f t="shared" si="30"/>
        <v>0.99880605327032534</v>
      </c>
      <c r="L212" s="74"/>
      <c r="M212" s="74"/>
      <c r="N212" s="74"/>
      <c r="O212" s="74"/>
      <c r="P212" s="74"/>
      <c r="Q212" s="74"/>
      <c r="R212" s="74"/>
      <c r="S212" s="74"/>
      <c r="T212" s="74"/>
      <c r="U212" s="74"/>
      <c r="V212" s="74"/>
      <c r="W212" s="74"/>
      <c r="X212" s="74"/>
      <c r="Y212" s="74"/>
    </row>
    <row r="213" spans="1:25" x14ac:dyDescent="0.3">
      <c r="A213" s="66">
        <f t="shared" si="28"/>
        <v>2010.5999999999813</v>
      </c>
      <c r="B213" s="67">
        <f>LOOKUP(A213+0.01,AmountsB!$A$4:$A$103,AmountsB!$B$4:$B$103)*0.1*$A$2</f>
        <v>12455.146288557002</v>
      </c>
      <c r="C213" s="68">
        <f t="shared" si="27"/>
        <v>1205993.19668014</v>
      </c>
      <c r="D213" s="67">
        <f t="array" ref="D213">SUM($B$7:$B208*$F$1009*EXP(-$F$1009*($A213-$A$7:$A208)))*$F$1010</f>
        <v>183020646.95486888</v>
      </c>
      <c r="E213" s="67">
        <f t="shared" si="25"/>
        <v>348.91270634560158</v>
      </c>
      <c r="F213" s="70">
        <f t="shared" si="29"/>
        <v>21.18597952930493</v>
      </c>
      <c r="G213" s="67">
        <f>E213/'Lookup Tables'!$C$48</f>
        <v>697.82541269120316</v>
      </c>
      <c r="H213" s="70">
        <f t="shared" si="26"/>
        <v>0.152064305967961</v>
      </c>
      <c r="I213" s="71">
        <f t="shared" si="30"/>
        <v>1.0048685942753326</v>
      </c>
      <c r="L213" s="74"/>
      <c r="M213" s="74"/>
      <c r="N213" s="74"/>
      <c r="O213" s="74"/>
      <c r="P213" s="74"/>
      <c r="Q213" s="74"/>
      <c r="R213" s="74"/>
      <c r="S213" s="74"/>
      <c r="T213" s="74"/>
      <c r="U213" s="74"/>
      <c r="V213" s="74"/>
      <c r="W213" s="74"/>
      <c r="X213" s="74"/>
      <c r="Y213" s="74"/>
    </row>
    <row r="214" spans="1:25" x14ac:dyDescent="0.3">
      <c r="A214" s="66">
        <f t="shared" si="28"/>
        <v>2010.6999999999812</v>
      </c>
      <c r="B214" s="67">
        <f>LOOKUP(A214+0.01,AmountsB!$A$4:$A$103,AmountsB!$B$4:$B$103)*0.1*$A$2</f>
        <v>12455.146288557002</v>
      </c>
      <c r="C214" s="68">
        <f t="shared" si="27"/>
        <v>1218448.342968697</v>
      </c>
      <c r="D214" s="67">
        <f t="array" ref="D214">SUM($B$7:$B209*$F$1009*EXP(-$F$1009*($A214-$A$7:$A209)))*$F$1010</f>
        <v>184109490.2453132</v>
      </c>
      <c r="E214" s="67">
        <f t="shared" si="25"/>
        <v>350.9884899556817</v>
      </c>
      <c r="F214" s="70">
        <f t="shared" si="29"/>
        <v>21.312021110108994</v>
      </c>
      <c r="G214" s="67">
        <f>E214/'Lookup Tables'!$C$48</f>
        <v>701.9769799113634</v>
      </c>
      <c r="H214" s="70">
        <f t="shared" si="26"/>
        <v>0.15140531101321031</v>
      </c>
      <c r="I214" s="71">
        <f t="shared" si="30"/>
        <v>1.0108468510723634</v>
      </c>
      <c r="L214" s="74"/>
      <c r="M214" s="74"/>
      <c r="N214" s="74"/>
      <c r="O214" s="74"/>
      <c r="P214" s="74"/>
      <c r="Q214" s="74"/>
      <c r="R214" s="74"/>
      <c r="S214" s="74"/>
      <c r="T214" s="74"/>
      <c r="U214" s="74"/>
      <c r="V214" s="74"/>
      <c r="W214" s="74"/>
      <c r="X214" s="74"/>
      <c r="Y214" s="74"/>
    </row>
    <row r="215" spans="1:25" x14ac:dyDescent="0.3">
      <c r="A215" s="66">
        <f t="shared" si="28"/>
        <v>2010.7999999999811</v>
      </c>
      <c r="B215" s="67">
        <f>LOOKUP(A215+0.01,AmountsB!$A$4:$A$103,AmountsB!$B$4:$B$103)*0.1*$A$2</f>
        <v>12455.146288557002</v>
      </c>
      <c r="C215" s="68">
        <f t="shared" si="27"/>
        <v>1230903.4892572539</v>
      </c>
      <c r="D215" s="67">
        <f t="array" ref="D215">SUM($B$7:$B210*$F$1009*EXP(-$F$1009*($A215-$A$7:$A210)))*$F$1010</f>
        <v>185183195.94010741</v>
      </c>
      <c r="E215" s="67">
        <f t="shared" si="25"/>
        <v>353.03541507600272</v>
      </c>
      <c r="F215" s="70">
        <f t="shared" si="29"/>
        <v>21.436310403414883</v>
      </c>
      <c r="G215" s="67">
        <f>E215/'Lookup Tables'!$C$48</f>
        <v>706.07083015200544</v>
      </c>
      <c r="H215" s="70">
        <f t="shared" si="26"/>
        <v>0.15074732973249919</v>
      </c>
      <c r="I215" s="71">
        <f t="shared" si="30"/>
        <v>1.0167419954188879</v>
      </c>
      <c r="L215" s="74"/>
      <c r="M215" s="74"/>
      <c r="N215" s="74"/>
      <c r="O215" s="74"/>
      <c r="P215" s="74"/>
      <c r="Q215" s="74"/>
      <c r="R215" s="74"/>
      <c r="S215" s="74"/>
      <c r="T215" s="74"/>
      <c r="U215" s="74"/>
      <c r="V215" s="74"/>
      <c r="W215" s="74"/>
      <c r="X215" s="74"/>
      <c r="Y215" s="74"/>
    </row>
    <row r="216" spans="1:25" x14ac:dyDescent="0.3">
      <c r="A216" s="66">
        <f t="shared" si="28"/>
        <v>2010.899999999981</v>
      </c>
      <c r="B216" s="67">
        <f>LOOKUP(A216+0.01,AmountsB!$A$4:$A$103,AmountsB!$B$4:$B$103)*0.1*$A$2</f>
        <v>12455.146288557002</v>
      </c>
      <c r="C216" s="68">
        <f t="shared" si="27"/>
        <v>1243358.6355458109</v>
      </c>
      <c r="D216" s="67">
        <f t="array" ref="D216">SUM($B$7:$B211*$F$1009*EXP(-$F$1009*($A216-$A$7:$A211)))*$F$1010</f>
        <v>186241974.48900503</v>
      </c>
      <c r="E216" s="67">
        <f t="shared" si="25"/>
        <v>355.0538829104413</v>
      </c>
      <c r="F216" s="70">
        <f t="shared" si="29"/>
        <v>21.558871770321996</v>
      </c>
      <c r="G216" s="67">
        <f>E216/'Lookup Tables'!$C$48</f>
        <v>710.10776582088261</v>
      </c>
      <c r="H216" s="70">
        <f t="shared" si="26"/>
        <v>0.1500905012621776</v>
      </c>
      <c r="I216" s="71">
        <f t="shared" si="30"/>
        <v>1.0225551827820709</v>
      </c>
      <c r="L216" s="74"/>
      <c r="M216" s="74"/>
      <c r="N216" s="74"/>
      <c r="O216" s="74"/>
      <c r="P216" s="74"/>
      <c r="Q216" s="74"/>
      <c r="R216" s="74"/>
      <c r="S216" s="74"/>
      <c r="T216" s="74"/>
      <c r="U216" s="74"/>
      <c r="V216" s="74"/>
      <c r="W216" s="74"/>
      <c r="X216" s="74"/>
      <c r="Y216" s="74"/>
    </row>
    <row r="217" spans="1:25" x14ac:dyDescent="0.3">
      <c r="A217" s="66">
        <f t="shared" si="28"/>
        <v>2010.9999999999809</v>
      </c>
      <c r="B217" s="67">
        <f>LOOKUP(A217+0.01,AmountsB!$A$4:$A$103,AmountsB!$B$4:$B$103)*0.1*$A$2</f>
        <v>12704.122921833003</v>
      </c>
      <c r="C217" s="68">
        <f t="shared" si="27"/>
        <v>1256062.758467644</v>
      </c>
      <c r="D217" s="67">
        <f t="array" ref="D217">SUM($B$7:$B212*$F$1009*EXP(-$F$1009*($A217-$A$7:$A212)))*$F$1010</f>
        <v>187286033.41599116</v>
      </c>
      <c r="E217" s="67">
        <f t="shared" si="25"/>
        <v>357.04428908515467</v>
      </c>
      <c r="F217" s="70">
        <f t="shared" si="29"/>
        <v>21.67972923325059</v>
      </c>
      <c r="G217" s="67">
        <f>E217/'Lookup Tables'!$C$48</f>
        <v>714.08857817030935</v>
      </c>
      <c r="H217" s="70">
        <f t="shared" si="26"/>
        <v>0.14940533590224381</v>
      </c>
      <c r="I217" s="71">
        <f t="shared" si="30"/>
        <v>1.0282875525652455</v>
      </c>
      <c r="L217" s="74"/>
      <c r="M217" s="74"/>
      <c r="N217" s="74"/>
      <c r="O217" s="74"/>
      <c r="P217" s="74"/>
      <c r="Q217" s="74"/>
      <c r="R217" s="74"/>
      <c r="S217" s="74"/>
      <c r="T217" s="74"/>
      <c r="U217" s="74"/>
      <c r="V217" s="74"/>
      <c r="W217" s="74"/>
      <c r="X217" s="74"/>
      <c r="Y217" s="74"/>
    </row>
    <row r="218" spans="1:25" x14ac:dyDescent="0.3">
      <c r="A218" s="66">
        <f t="shared" si="28"/>
        <v>2011.0999999999808</v>
      </c>
      <c r="B218" s="67">
        <f>LOOKUP(A218+0.01,AmountsB!$A$4:$A$103,AmountsB!$B$4:$B$103)*0.1*$A$2</f>
        <v>12704.122921833003</v>
      </c>
      <c r="C218" s="68">
        <f t="shared" si="27"/>
        <v>1268766.8813894771</v>
      </c>
      <c r="D218" s="67">
        <f t="array" ref="D218">SUM($B$7:$B213*$F$1009*EXP(-$F$1009*($A218-$A$7:$A213)))*$F$1010</f>
        <v>188315577.35995796</v>
      </c>
      <c r="E218" s="67">
        <f t="shared" si="25"/>
        <v>359.00702372612534</v>
      </c>
      <c r="F218" s="70">
        <f t="shared" si="29"/>
        <v>21.798906480650331</v>
      </c>
      <c r="G218" s="67">
        <f>E218/'Lookup Tables'!$C$48</f>
        <v>718.01404745225068</v>
      </c>
      <c r="H218" s="70">
        <f t="shared" si="26"/>
        <v>0.14872242839740984</v>
      </c>
      <c r="I218" s="71">
        <f t="shared" si="30"/>
        <v>1.0339402283312411</v>
      </c>
      <c r="L218" s="74"/>
      <c r="M218" s="74"/>
      <c r="N218" s="74"/>
      <c r="O218" s="74"/>
      <c r="P218" s="74"/>
      <c r="Q218" s="74"/>
      <c r="R218" s="74"/>
      <c r="S218" s="74"/>
      <c r="T218" s="74"/>
      <c r="U218" s="74"/>
      <c r="V218" s="74"/>
      <c r="W218" s="74"/>
      <c r="X218" s="74"/>
      <c r="Y218" s="74"/>
    </row>
    <row r="219" spans="1:25" x14ac:dyDescent="0.3">
      <c r="A219" s="66">
        <f t="shared" si="28"/>
        <v>2011.1999999999807</v>
      </c>
      <c r="B219" s="67">
        <f>LOOKUP(A219+0.01,AmountsB!$A$4:$A$103,AmountsB!$B$4:$B$103)*0.1*$A$2</f>
        <v>12704.122921833003</v>
      </c>
      <c r="C219" s="68">
        <f t="shared" si="27"/>
        <v>1281471.0043113101</v>
      </c>
      <c r="D219" s="67">
        <f t="array" ref="D219">SUM($B$7:$B214*$F$1009*EXP(-$F$1009*($A219-$A$7:$A214)))*$F$1010</f>
        <v>189330808.11481431</v>
      </c>
      <c r="E219" s="67">
        <f t="shared" si="25"/>
        <v>360.94247153562611</v>
      </c>
      <c r="F219" s="70">
        <f t="shared" si="29"/>
        <v>21.916426871643214</v>
      </c>
      <c r="G219" s="67">
        <f>E219/'Lookup Tables'!$C$48</f>
        <v>721.88494307125222</v>
      </c>
      <c r="H219" s="70">
        <f t="shared" si="26"/>
        <v>0.14804186938359953</v>
      </c>
      <c r="I219" s="71">
        <f t="shared" si="30"/>
        <v>1.0395143180226032</v>
      </c>
      <c r="L219" s="74"/>
      <c r="M219" s="74"/>
      <c r="N219" s="74"/>
      <c r="O219" s="74"/>
      <c r="P219" s="74"/>
      <c r="Q219" s="74"/>
      <c r="R219" s="74"/>
      <c r="S219" s="74"/>
      <c r="T219" s="74"/>
      <c r="U219" s="74"/>
      <c r="V219" s="74"/>
      <c r="W219" s="74"/>
      <c r="X219" s="74"/>
      <c r="Y219" s="74"/>
    </row>
    <row r="220" spans="1:25" x14ac:dyDescent="0.3">
      <c r="A220" s="66">
        <f t="shared" si="28"/>
        <v>2011.2999999999806</v>
      </c>
      <c r="B220" s="67">
        <f>LOOKUP(A220+0.01,AmountsB!$A$4:$A$103,AmountsB!$B$4:$B$103)*0.1*$A$2</f>
        <v>12704.122921833003</v>
      </c>
      <c r="C220" s="68">
        <f t="shared" si="27"/>
        <v>1294175.1272331432</v>
      </c>
      <c r="D220" s="67">
        <f t="array" ref="D220">SUM($B$7:$B215*$F$1009*EXP(-$F$1009*($A220-$A$7:$A215)))*$F$1010</f>
        <v>190331924.66903833</v>
      </c>
      <c r="E220" s="67">
        <f t="shared" si="25"/>
        <v>362.85101186762387</v>
      </c>
      <c r="F220" s="70">
        <f t="shared" si="29"/>
        <v>22.03231344060212</v>
      </c>
      <c r="G220" s="67">
        <f>E220/'Lookup Tables'!$C$48</f>
        <v>725.70202373524774</v>
      </c>
      <c r="H220" s="70">
        <f t="shared" si="26"/>
        <v>0.14736374376577419</v>
      </c>
      <c r="I220" s="71">
        <f t="shared" si="30"/>
        <v>1.0450109141787567</v>
      </c>
      <c r="L220" s="74"/>
      <c r="M220" s="74"/>
      <c r="N220" s="74"/>
      <c r="O220" s="74"/>
      <c r="P220" s="74"/>
      <c r="Q220" s="74"/>
      <c r="R220" s="74"/>
      <c r="S220" s="74"/>
      <c r="T220" s="74"/>
      <c r="U220" s="74"/>
      <c r="V220" s="74"/>
      <c r="W220" s="74"/>
      <c r="X220" s="74"/>
      <c r="Y220" s="74"/>
    </row>
    <row r="221" spans="1:25" x14ac:dyDescent="0.3">
      <c r="A221" s="66">
        <f t="shared" si="28"/>
        <v>2011.3999999999805</v>
      </c>
      <c r="B221" s="67">
        <f>LOOKUP(A221+0.01,AmountsB!$A$4:$A$103,AmountsB!$B$4:$B$103)*0.1*$A$2</f>
        <v>12704.122921833003</v>
      </c>
      <c r="C221" s="68">
        <f t="shared" si="27"/>
        <v>1306879.2501549763</v>
      </c>
      <c r="D221" s="67">
        <f t="array" ref="D221">SUM($B$7:$B216*$F$1009*EXP(-$F$1009*($A221-$A$7:$A216)))*$F$1010</f>
        <v>191319123.24467951</v>
      </c>
      <c r="E221" s="67">
        <f t="shared" si="25"/>
        <v>364.73301880213342</v>
      </c>
      <c r="F221" s="70">
        <f t="shared" si="29"/>
        <v>22.146588901665542</v>
      </c>
      <c r="G221" s="67">
        <f>E221/'Lookup Tables'!$C$48</f>
        <v>729.46603760426683</v>
      </c>
      <c r="H221" s="70">
        <f t="shared" si="26"/>
        <v>0.14668813102638834</v>
      </c>
      <c r="I221" s="71">
        <f t="shared" si="30"/>
        <v>1.0504310941501442</v>
      </c>
      <c r="L221" s="74"/>
      <c r="M221" s="74"/>
      <c r="N221" s="74"/>
      <c r="O221" s="74"/>
      <c r="P221" s="74"/>
      <c r="Q221" s="74"/>
      <c r="R221" s="74"/>
      <c r="S221" s="74"/>
      <c r="T221" s="74"/>
      <c r="U221" s="74"/>
      <c r="V221" s="74"/>
      <c r="W221" s="74"/>
      <c r="X221" s="74"/>
      <c r="Y221" s="74"/>
    </row>
    <row r="222" spans="1:25" x14ac:dyDescent="0.3">
      <c r="A222" s="66">
        <f t="shared" si="28"/>
        <v>2011.4999999999804</v>
      </c>
      <c r="B222" s="67">
        <f>LOOKUP(A222+0.01,AmountsB!$A$4:$A$103,AmountsB!$B$4:$B$103)*0.1*$A$2</f>
        <v>12704.122921833003</v>
      </c>
      <c r="C222" s="68">
        <f t="shared" si="27"/>
        <v>1319583.3730768093</v>
      </c>
      <c r="D222" s="67">
        <f t="array" ref="D222">SUM($B$7:$B217*$F$1009*EXP(-$F$1009*($A222-$A$7:$A217)))*$F$1010</f>
        <v>192365226.08982107</v>
      </c>
      <c r="E222" s="67">
        <f t="shared" si="25"/>
        <v>366.72732152637292</v>
      </c>
      <c r="F222" s="70">
        <f t="shared" si="29"/>
        <v>22.267682963081363</v>
      </c>
      <c r="G222" s="67">
        <f>E222/'Lookup Tables'!$C$48</f>
        <v>733.45464305274584</v>
      </c>
      <c r="H222" s="70">
        <f t="shared" si="26"/>
        <v>0.14607025529946718</v>
      </c>
      <c r="I222" s="71">
        <f t="shared" si="30"/>
        <v>1.056174685995954</v>
      </c>
      <c r="L222" s="74"/>
      <c r="M222" s="74"/>
      <c r="N222" s="74"/>
      <c r="O222" s="74"/>
      <c r="P222" s="74"/>
      <c r="Q222" s="74"/>
      <c r="R222" s="74"/>
      <c r="S222" s="74"/>
      <c r="T222" s="74"/>
      <c r="U222" s="74"/>
      <c r="V222" s="74"/>
      <c r="W222" s="74"/>
      <c r="X222" s="74"/>
      <c r="Y222" s="74"/>
    </row>
    <row r="223" spans="1:25" x14ac:dyDescent="0.3">
      <c r="A223" s="66">
        <f t="shared" si="28"/>
        <v>2011.5999999999804</v>
      </c>
      <c r="B223" s="67">
        <f>LOOKUP(A223+0.01,AmountsB!$A$4:$A$103,AmountsB!$B$4:$B$103)*0.1*$A$2</f>
        <v>12704.122921833003</v>
      </c>
      <c r="C223" s="68">
        <f t="shared" si="27"/>
        <v>1332287.4959986424</v>
      </c>
      <c r="D223" s="67">
        <f t="array" ref="D223">SUM($B$7:$B218*$F$1009*EXP(-$F$1009*($A223-$A$7:$A218)))*$F$1010</f>
        <v>193396785.53646162</v>
      </c>
      <c r="E223" s="67">
        <f t="shared" si="25"/>
        <v>368.69389854526241</v>
      </c>
      <c r="F223" s="70">
        <f t="shared" si="29"/>
        <v>22.387093519668333</v>
      </c>
      <c r="G223" s="67">
        <f>E223/'Lookup Tables'!$C$48</f>
        <v>737.38779709052483</v>
      </c>
      <c r="H223" s="70">
        <f t="shared" si="26"/>
        <v>0.14545322511650097</v>
      </c>
      <c r="I223" s="71">
        <f t="shared" si="30"/>
        <v>1.0618384278103559</v>
      </c>
      <c r="L223" s="74"/>
      <c r="M223" s="74"/>
      <c r="N223" s="74"/>
      <c r="O223" s="74"/>
      <c r="P223" s="74"/>
      <c r="Q223" s="74"/>
      <c r="R223" s="74"/>
      <c r="S223" s="74"/>
      <c r="T223" s="74"/>
      <c r="U223" s="74"/>
      <c r="V223" s="74"/>
      <c r="W223" s="74"/>
      <c r="X223" s="74"/>
      <c r="Y223" s="74"/>
    </row>
    <row r="224" spans="1:25" x14ac:dyDescent="0.3">
      <c r="A224" s="66">
        <f t="shared" si="28"/>
        <v>2011.6999999999803</v>
      </c>
      <c r="B224" s="67">
        <f>LOOKUP(A224+0.01,AmountsB!$A$4:$A$103,AmountsB!$B$4:$B$103)*0.1*$A$2</f>
        <v>12704.122921833003</v>
      </c>
      <c r="C224" s="68">
        <f t="shared" si="27"/>
        <v>1344991.6189204755</v>
      </c>
      <c r="D224" s="67">
        <f t="array" ref="D224">SUM($B$7:$B219*$F$1009*EXP(-$F$1009*($A224-$A$7:$A219)))*$F$1010</f>
        <v>194414003.77355495</v>
      </c>
      <c r="E224" s="67">
        <f t="shared" si="25"/>
        <v>370.63313531419294</v>
      </c>
      <c r="F224" s="70">
        <f t="shared" si="29"/>
        <v>22.504843976277794</v>
      </c>
      <c r="G224" s="67">
        <f>E224/'Lookup Tables'!$C$48</f>
        <v>741.26627062838588</v>
      </c>
      <c r="H224" s="70">
        <f t="shared" si="26"/>
        <v>0.14483716714717901</v>
      </c>
      <c r="I224" s="71">
        <f t="shared" si="30"/>
        <v>1.0674234297048757</v>
      </c>
      <c r="L224" s="74"/>
      <c r="M224" s="74"/>
      <c r="N224" s="74"/>
      <c r="O224" s="74"/>
      <c r="P224" s="74"/>
      <c r="Q224" s="74"/>
      <c r="R224" s="74"/>
      <c r="S224" s="74"/>
      <c r="T224" s="74"/>
      <c r="U224" s="74"/>
      <c r="V224" s="74"/>
      <c r="W224" s="74"/>
      <c r="X224" s="74"/>
      <c r="Y224" s="74"/>
    </row>
    <row r="225" spans="1:25" x14ac:dyDescent="0.3">
      <c r="A225" s="66">
        <f t="shared" si="28"/>
        <v>2011.7999999999802</v>
      </c>
      <c r="B225" s="67">
        <f>LOOKUP(A225+0.01,AmountsB!$A$4:$A$103,AmountsB!$B$4:$B$103)*0.1*$A$2</f>
        <v>12704.122921833003</v>
      </c>
      <c r="C225" s="68">
        <f t="shared" si="27"/>
        <v>1357695.7418423085</v>
      </c>
      <c r="D225" s="67">
        <f t="array" ref="D225">SUM($B$7:$B220*$F$1009*EXP(-$F$1009*($A225-$A$7:$A220)))*$F$1010</f>
        <v>195417080.17913213</v>
      </c>
      <c r="E225" s="67">
        <f t="shared" si="25"/>
        <v>372.54541192977968</v>
      </c>
      <c r="F225" s="70">
        <f t="shared" si="29"/>
        <v>22.620957412376224</v>
      </c>
      <c r="G225" s="67">
        <f>E225/'Lookup Tables'!$C$48</f>
        <v>745.09082385955935</v>
      </c>
      <c r="H225" s="70">
        <f t="shared" si="26"/>
        <v>0.14422220124561222</v>
      </c>
      <c r="I225" s="71">
        <f t="shared" si="30"/>
        <v>1.0729307863577655</v>
      </c>
      <c r="L225" s="74"/>
      <c r="M225" s="74"/>
      <c r="N225" s="74"/>
      <c r="O225" s="74"/>
      <c r="P225" s="74"/>
      <c r="Q225" s="74"/>
      <c r="R225" s="74"/>
      <c r="S225" s="74"/>
      <c r="T225" s="74"/>
      <c r="U225" s="74"/>
      <c r="V225" s="74"/>
      <c r="W225" s="74"/>
      <c r="X225" s="74"/>
      <c r="Y225" s="74"/>
    </row>
    <row r="226" spans="1:25" x14ac:dyDescent="0.3">
      <c r="A226" s="66">
        <f t="shared" si="28"/>
        <v>2011.8999999999801</v>
      </c>
      <c r="B226" s="67">
        <f>LOOKUP(A226+0.01,AmountsB!$A$4:$A$103,AmountsB!$B$4:$B$103)*0.1*$A$2</f>
        <v>12704.122921833003</v>
      </c>
      <c r="C226" s="68">
        <f t="shared" si="27"/>
        <v>1370399.8647641416</v>
      </c>
      <c r="D226" s="67">
        <f t="array" ref="D226">SUM($B$7:$B221*$F$1009*EXP(-$F$1009*($A226-$A$7:$A221)))*$F$1010</f>
        <v>196406211.35937986</v>
      </c>
      <c r="E226" s="67">
        <f t="shared" si="25"/>
        <v>374.43110320436119</v>
      </c>
      <c r="F226" s="70">
        <f t="shared" si="29"/>
        <v>22.735456586568809</v>
      </c>
      <c r="G226" s="67">
        <f>E226/'Lookup Tables'!$C$48</f>
        <v>748.86220640872239</v>
      </c>
      <c r="H226" s="70">
        <f t="shared" si="26"/>
        <v>0.14360844079482121</v>
      </c>
      <c r="I226" s="71">
        <f t="shared" si="30"/>
        <v>1.0783615772285602</v>
      </c>
      <c r="L226" s="74"/>
      <c r="M226" s="74"/>
      <c r="N226" s="74"/>
      <c r="O226" s="74"/>
      <c r="P226" s="74"/>
      <c r="Q226" s="74"/>
      <c r="R226" s="74"/>
      <c r="S226" s="74"/>
      <c r="T226" s="74"/>
      <c r="U226" s="74"/>
      <c r="V226" s="74"/>
      <c r="W226" s="74"/>
      <c r="X226" s="74"/>
      <c r="Y226" s="74"/>
    </row>
    <row r="227" spans="1:25" x14ac:dyDescent="0.3">
      <c r="A227" s="66">
        <f t="shared" si="28"/>
        <v>2011.99999999998</v>
      </c>
      <c r="B227" s="67">
        <f>LOOKUP(A227+0.01,AmountsB!$A$4:$A$103,AmountsB!$B$4:$B$103)*0.1*$A$2</f>
        <v>13531.338765000002</v>
      </c>
      <c r="C227" s="68">
        <f t="shared" si="27"/>
        <v>1383931.2035291416</v>
      </c>
      <c r="D227" s="67">
        <f t="array" ref="D227">SUM($B$7:$B222*$F$1009*EXP(-$F$1009*($A227-$A$7:$A222)))*$F$1010</f>
        <v>197381591.18717596</v>
      </c>
      <c r="E227" s="67">
        <f t="shared" si="25"/>
        <v>376.29057873946385</v>
      </c>
      <c r="F227" s="70">
        <f t="shared" si="29"/>
        <v>22.848363941060246</v>
      </c>
      <c r="G227" s="67">
        <f>E227/'Lookup Tables'!$C$48</f>
        <v>752.58115747892771</v>
      </c>
      <c r="H227" s="70">
        <f t="shared" si="26"/>
        <v>0.14291052017695005</v>
      </c>
      <c r="I227" s="71">
        <f t="shared" si="30"/>
        <v>1.083716866769656</v>
      </c>
      <c r="L227" s="74"/>
      <c r="M227" s="74"/>
      <c r="N227" s="74"/>
      <c r="O227" s="74"/>
      <c r="P227" s="74"/>
      <c r="Q227" s="74"/>
      <c r="R227" s="74"/>
      <c r="S227" s="74"/>
      <c r="T227" s="74"/>
      <c r="U227" s="74"/>
      <c r="V227" s="74"/>
      <c r="W227" s="74"/>
      <c r="X227" s="74"/>
      <c r="Y227" s="74"/>
    </row>
    <row r="228" spans="1:25" x14ac:dyDescent="0.3">
      <c r="A228" s="66">
        <f t="shared" si="28"/>
        <v>2012.0999999999799</v>
      </c>
      <c r="B228" s="67">
        <f>LOOKUP(A228+0.01,AmountsB!$A$4:$A$103,AmountsB!$B$4:$B$103)*0.1*$A$2</f>
        <v>13531.338765000002</v>
      </c>
      <c r="C228" s="68">
        <f t="shared" si="27"/>
        <v>1397462.5422941416</v>
      </c>
      <c r="D228" s="67">
        <f t="array" ref="D228">SUM($B$7:$B223*$F$1009*EXP(-$F$1009*($A228-$A$7:$A223)))*$F$1010</f>
        <v>198343410.84008926</v>
      </c>
      <c r="E228" s="67">
        <f t="shared" si="25"/>
        <v>378.12420299824555</v>
      </c>
      <c r="F228" s="70">
        <f t="shared" si="29"/>
        <v>22.959701606053468</v>
      </c>
      <c r="G228" s="67">
        <f>E228/'Lookup Tables'!$C$48</f>
        <v>756.2484059964911</v>
      </c>
      <c r="H228" s="70">
        <f t="shared" si="26"/>
        <v>0.14221639226881411</v>
      </c>
      <c r="I228" s="71">
        <f t="shared" si="30"/>
        <v>1.0889977046349473</v>
      </c>
      <c r="L228" s="74"/>
      <c r="M228" s="74"/>
      <c r="N228" s="74"/>
      <c r="O228" s="74"/>
      <c r="P228" s="74"/>
      <c r="Q228" s="74"/>
      <c r="R228" s="74"/>
      <c r="S228" s="74"/>
      <c r="T228" s="74"/>
      <c r="U228" s="74"/>
      <c r="V228" s="74"/>
      <c r="W228" s="74"/>
      <c r="X228" s="74"/>
      <c r="Y228" s="74"/>
    </row>
    <row r="229" spans="1:25" x14ac:dyDescent="0.3">
      <c r="A229" s="66">
        <f t="shared" si="28"/>
        <v>2012.1999999999798</v>
      </c>
      <c r="B229" s="67">
        <f>LOOKUP(A229+0.01,AmountsB!$A$4:$A$103,AmountsB!$B$4:$B$103)*0.1*$A$2</f>
        <v>13531.338765000002</v>
      </c>
      <c r="C229" s="68">
        <f t="shared" si="27"/>
        <v>1410993.8810591416</v>
      </c>
      <c r="D229" s="67">
        <f t="array" ref="D229">SUM($B$7:$B224*$F$1009*EXP(-$F$1009*($A229-$A$7:$A224)))*$F$1010</f>
        <v>199291858.83785072</v>
      </c>
      <c r="E229" s="67">
        <f t="shared" si="25"/>
        <v>379.93233537693072</v>
      </c>
      <c r="F229" s="70">
        <f t="shared" si="29"/>
        <v>23.069491404087234</v>
      </c>
      <c r="G229" s="67">
        <f>E229/'Lookup Tables'!$C$48</f>
        <v>759.86467075386145</v>
      </c>
      <c r="H229" s="70">
        <f t="shared" si="26"/>
        <v>0.14152608183121151</v>
      </c>
      <c r="I229" s="71">
        <f t="shared" si="30"/>
        <v>1.0942051258855607</v>
      </c>
      <c r="L229" s="74"/>
      <c r="M229" s="74"/>
      <c r="N229" s="74"/>
      <c r="O229" s="74"/>
      <c r="P229" s="74"/>
      <c r="Q229" s="74"/>
      <c r="R229" s="74"/>
      <c r="S229" s="74"/>
      <c r="T229" s="74"/>
      <c r="U229" s="74"/>
      <c r="V229" s="74"/>
      <c r="W229" s="74"/>
      <c r="X229" s="74"/>
      <c r="Y229" s="74"/>
    </row>
    <row r="230" spans="1:25" x14ac:dyDescent="0.3">
      <c r="A230" s="66">
        <f t="shared" si="28"/>
        <v>2012.2999999999797</v>
      </c>
      <c r="B230" s="67">
        <f>LOOKUP(A230+0.01,AmountsB!$A$4:$A$103,AmountsB!$B$4:$B$103)*0.1*$A$2</f>
        <v>13531.338765000002</v>
      </c>
      <c r="C230" s="68">
        <f t="shared" si="27"/>
        <v>1424525.2198241416</v>
      </c>
      <c r="D230" s="67">
        <f t="array" ref="D230">SUM($B$7:$B225*$F$1009*EXP(-$F$1009*($A230-$A$7:$A225)))*$F$1010</f>
        <v>200227121.07930449</v>
      </c>
      <c r="E230" s="67">
        <f t="shared" si="25"/>
        <v>381.71533027525476</v>
      </c>
      <c r="F230" s="70">
        <f t="shared" si="29"/>
        <v>23.177754854313466</v>
      </c>
      <c r="G230" s="67">
        <f>E230/'Lookup Tables'!$C$48</f>
        <v>763.43066055050951</v>
      </c>
      <c r="H230" s="70">
        <f t="shared" si="26"/>
        <v>0.14083961084061516</v>
      </c>
      <c r="I230" s="71">
        <f t="shared" si="30"/>
        <v>1.0993401511927337</v>
      </c>
      <c r="L230" s="74"/>
      <c r="M230" s="74"/>
      <c r="N230" s="74"/>
      <c r="O230" s="74"/>
      <c r="P230" s="74"/>
      <c r="Q230" s="74"/>
      <c r="R230" s="74"/>
      <c r="S230" s="74"/>
      <c r="T230" s="74"/>
      <c r="U230" s="74"/>
      <c r="V230" s="74"/>
      <c r="W230" s="74"/>
      <c r="X230" s="74"/>
      <c r="Y230" s="74"/>
    </row>
    <row r="231" spans="1:25" x14ac:dyDescent="0.3">
      <c r="A231" s="66">
        <f t="shared" si="28"/>
        <v>2012.3999999999796</v>
      </c>
      <c r="B231" s="67">
        <f>LOOKUP(A231+0.01,AmountsB!$A$4:$A$103,AmountsB!$B$4:$B$103)*0.1*$A$2</f>
        <v>13531.338765000002</v>
      </c>
      <c r="C231" s="68">
        <f t="shared" si="27"/>
        <v>1438056.5585891416</v>
      </c>
      <c r="D231" s="67">
        <f t="array" ref="D231">SUM($B$7:$B226*$F$1009*EXP(-$F$1009*($A231-$A$7:$A226)))*$F$1010</f>
        <v>201149380.87884381</v>
      </c>
      <c r="E231" s="67">
        <f t="shared" si="25"/>
        <v>383.47353716592522</v>
      </c>
      <c r="F231" s="70">
        <f t="shared" si="29"/>
        <v>23.284513176714981</v>
      </c>
      <c r="G231" s="67">
        <f>E231/'Lookup Tables'!$C$48</f>
        <v>766.94707433185044</v>
      </c>
      <c r="H231" s="70">
        <f t="shared" si="26"/>
        <v>0.14015699864555534</v>
      </c>
      <c r="I231" s="71">
        <f t="shared" si="30"/>
        <v>1.1044037870378645</v>
      </c>
      <c r="L231" s="74"/>
      <c r="M231" s="74"/>
      <c r="N231" s="74"/>
      <c r="O231" s="74"/>
      <c r="P231" s="74"/>
      <c r="Q231" s="74"/>
      <c r="R231" s="74"/>
      <c r="S231" s="74"/>
      <c r="T231" s="74"/>
      <c r="U231" s="74"/>
      <c r="V231" s="74"/>
      <c r="W231" s="74"/>
      <c r="X231" s="74"/>
      <c r="Y231" s="74"/>
    </row>
    <row r="232" spans="1:25" x14ac:dyDescent="0.3">
      <c r="A232" s="66">
        <f t="shared" si="28"/>
        <v>2012.4999999999795</v>
      </c>
      <c r="B232" s="67">
        <f>LOOKUP(A232+0.01,AmountsB!$A$4:$A$103,AmountsB!$B$4:$B$103)*0.1*$A$2</f>
        <v>13531.338765000002</v>
      </c>
      <c r="C232" s="68">
        <f t="shared" si="27"/>
        <v>1451587.8973541416</v>
      </c>
      <c r="D232" s="67">
        <f t="array" ref="D232">SUM($B$7:$B227*$F$1009*EXP(-$F$1009*($A232-$A$7:$A227)))*$F$1010</f>
        <v>202300125.40603679</v>
      </c>
      <c r="E232" s="67">
        <f t="shared" si="25"/>
        <v>385.66733001922177</v>
      </c>
      <c r="F232" s="70">
        <f t="shared" si="29"/>
        <v>23.417720278767145</v>
      </c>
      <c r="G232" s="67">
        <f>E232/'Lookup Tables'!$C$48</f>
        <v>771.33466003844353</v>
      </c>
      <c r="H232" s="70">
        <f t="shared" si="26"/>
        <v>0.13964483241254866</v>
      </c>
      <c r="I232" s="71">
        <f t="shared" si="30"/>
        <v>1.1107219104553587</v>
      </c>
      <c r="L232" s="74"/>
      <c r="M232" s="74"/>
      <c r="N232" s="74"/>
      <c r="O232" s="74"/>
      <c r="P232" s="74"/>
      <c r="Q232" s="74"/>
      <c r="R232" s="74"/>
      <c r="S232" s="74"/>
      <c r="T232" s="74"/>
      <c r="U232" s="74"/>
      <c r="V232" s="74"/>
      <c r="W232" s="74"/>
      <c r="X232" s="74"/>
      <c r="Y232" s="74"/>
    </row>
    <row r="233" spans="1:25" x14ac:dyDescent="0.3">
      <c r="A233" s="66">
        <f t="shared" si="28"/>
        <v>2012.5999999999794</v>
      </c>
      <c r="B233" s="67">
        <f>LOOKUP(A233+0.01,AmountsB!$A$4:$A$103,AmountsB!$B$4:$B$103)*0.1*$A$2</f>
        <v>13531.338765000002</v>
      </c>
      <c r="C233" s="68">
        <f t="shared" si="27"/>
        <v>1465119.2361191416</v>
      </c>
      <c r="D233" s="67">
        <f t="array" ref="D233">SUM($B$7:$B228*$F$1009*EXP(-$F$1009*($A233-$A$7:$A228)))*$F$1010</f>
        <v>203434871.75837582</v>
      </c>
      <c r="E233" s="67">
        <f t="shared" si="25"/>
        <v>387.83062376447901</v>
      </c>
      <c r="F233" s="70">
        <f t="shared" si="29"/>
        <v>23.549075474979166</v>
      </c>
      <c r="G233" s="67">
        <f>E233/'Lookup Tables'!$C$48</f>
        <v>775.66124752895803</v>
      </c>
      <c r="H233" s="70">
        <f t="shared" si="26"/>
        <v>0.1391311852478018</v>
      </c>
      <c r="I233" s="71">
        <f t="shared" si="30"/>
        <v>1.1169521964416995</v>
      </c>
      <c r="L233" s="74"/>
      <c r="M233" s="74"/>
      <c r="N233" s="74"/>
      <c r="O233" s="74"/>
      <c r="P233" s="74"/>
      <c r="Q233" s="74"/>
      <c r="R233" s="74"/>
      <c r="S233" s="74"/>
      <c r="T233" s="74"/>
      <c r="U233" s="74"/>
      <c r="V233" s="74"/>
      <c r="W233" s="74"/>
      <c r="X233" s="74"/>
      <c r="Y233" s="74"/>
    </row>
    <row r="234" spans="1:25" x14ac:dyDescent="0.3">
      <c r="A234" s="66">
        <f t="shared" si="28"/>
        <v>2012.6999999999794</v>
      </c>
      <c r="B234" s="67">
        <f>LOOKUP(A234+0.01,AmountsB!$A$4:$A$103,AmountsB!$B$4:$B$103)*0.1*$A$2</f>
        <v>13531.338765000002</v>
      </c>
      <c r="C234" s="68">
        <f t="shared" si="27"/>
        <v>1478650.5748841416</v>
      </c>
      <c r="D234" s="67">
        <f t="array" ref="D234">SUM($B$7:$B229*$F$1009*EXP(-$F$1009*($A234-$A$7:$A229)))*$F$1010</f>
        <v>204553842.3497785</v>
      </c>
      <c r="E234" s="67">
        <f t="shared" si="25"/>
        <v>389.96384241419628</v>
      </c>
      <c r="F234" s="70">
        <f t="shared" si="29"/>
        <v>23.678604511390002</v>
      </c>
      <c r="G234" s="67">
        <f>E234/'Lookup Tables'!$C$48</f>
        <v>779.92768482839256</v>
      </c>
      <c r="H234" s="70">
        <f t="shared" si="26"/>
        <v>0.13861624852711496</v>
      </c>
      <c r="I234" s="71">
        <f t="shared" si="30"/>
        <v>1.1230958661528854</v>
      </c>
      <c r="L234" s="74"/>
      <c r="M234" s="74"/>
      <c r="N234" s="74"/>
      <c r="O234" s="74"/>
      <c r="P234" s="74"/>
      <c r="Q234" s="74"/>
      <c r="R234" s="74"/>
      <c r="S234" s="74"/>
      <c r="T234" s="74"/>
      <c r="U234" s="74"/>
      <c r="V234" s="74"/>
      <c r="W234" s="74"/>
      <c r="X234" s="74"/>
      <c r="Y234" s="74"/>
    </row>
    <row r="235" spans="1:25" x14ac:dyDescent="0.3">
      <c r="A235" s="66">
        <f t="shared" si="28"/>
        <v>2012.7999999999793</v>
      </c>
      <c r="B235" s="67">
        <f>LOOKUP(A235+0.01,AmountsB!$A$4:$A$103,AmountsB!$B$4:$B$103)*0.1*$A$2</f>
        <v>13531.338765000002</v>
      </c>
      <c r="C235" s="68">
        <f t="shared" si="27"/>
        <v>1492181.9136491416</v>
      </c>
      <c r="D235" s="67">
        <f t="array" ref="D235">SUM($B$7:$B230*$F$1009*EXP(-$F$1009*($A235-$A$7:$A230)))*$F$1010</f>
        <v>205657256.5020631</v>
      </c>
      <c r="E235" s="67">
        <f t="shared" si="25"/>
        <v>392.06740408605833</v>
      </c>
      <c r="F235" s="70">
        <f t="shared" si="29"/>
        <v>23.80633277610546</v>
      </c>
      <c r="G235" s="67">
        <f>E235/'Lookup Tables'!$C$48</f>
        <v>784.13480817211666</v>
      </c>
      <c r="H235" s="70">
        <f t="shared" si="26"/>
        <v>0.13810020460822034</v>
      </c>
      <c r="I235" s="71">
        <f t="shared" si="30"/>
        <v>1.129154123767848</v>
      </c>
      <c r="L235" s="74"/>
      <c r="M235" s="74"/>
      <c r="N235" s="74"/>
      <c r="O235" s="74"/>
      <c r="P235" s="74"/>
      <c r="Q235" s="74"/>
      <c r="R235" s="74"/>
      <c r="S235" s="74"/>
      <c r="T235" s="74"/>
      <c r="U235" s="74"/>
      <c r="V235" s="74"/>
      <c r="W235" s="74"/>
      <c r="X235" s="74"/>
      <c r="Y235" s="74"/>
    </row>
    <row r="236" spans="1:25" x14ac:dyDescent="0.3">
      <c r="A236" s="66">
        <f t="shared" si="28"/>
        <v>2012.8999999999792</v>
      </c>
      <c r="B236" s="67">
        <f>LOOKUP(A236+0.01,AmountsB!$A$4:$A$103,AmountsB!$B$4:$B$103)*0.1*$A$2</f>
        <v>13531.338765000002</v>
      </c>
      <c r="C236" s="68">
        <f t="shared" si="27"/>
        <v>1505713.2524141415</v>
      </c>
      <c r="D236" s="67">
        <f t="array" ref="D236">SUM($B$7:$B231*$F$1009*EXP(-$F$1009*($A236-$A$7:$A231)))*$F$1010</f>
        <v>206745330.48793587</v>
      </c>
      <c r="E236" s="67">
        <f t="shared" si="25"/>
        <v>394.14172108488702</v>
      </c>
      <c r="F236" s="70">
        <f t="shared" si="29"/>
        <v>23.932285304274345</v>
      </c>
      <c r="G236" s="67">
        <f>E236/'Lookup Tables'!$C$48</f>
        <v>788.28344216977405</v>
      </c>
      <c r="H236" s="70">
        <f t="shared" si="26"/>
        <v>0.13758322726460118</v>
      </c>
      <c r="I236" s="71">
        <f t="shared" si="30"/>
        <v>1.1351281567244746</v>
      </c>
      <c r="L236" s="74"/>
      <c r="M236" s="74"/>
      <c r="N236" s="74"/>
      <c r="O236" s="74"/>
      <c r="P236" s="74"/>
      <c r="Q236" s="74"/>
      <c r="R236" s="74"/>
      <c r="S236" s="74"/>
      <c r="T236" s="74"/>
      <c r="U236" s="74"/>
      <c r="V236" s="74"/>
      <c r="W236" s="74"/>
      <c r="X236" s="74"/>
      <c r="Y236" s="74"/>
    </row>
    <row r="237" spans="1:25" x14ac:dyDescent="0.3">
      <c r="A237" s="66">
        <f t="shared" si="28"/>
        <v>2012.9999999999791</v>
      </c>
      <c r="B237" s="67">
        <f>LOOKUP(A237+0.01,AmountsB!$A$4:$A$103,AmountsB!$B$4:$B$103)*0.1*$A$2</f>
        <v>13801.965540300003</v>
      </c>
      <c r="C237" s="68">
        <f t="shared" si="27"/>
        <v>1519515.2179544414</v>
      </c>
      <c r="D237" s="67">
        <f t="array" ref="D237">SUM($B$7:$B232*$F$1009*EXP(-$F$1009*($A237-$A$7:$A232)))*$F$1010</f>
        <v>207818277.5733813</v>
      </c>
      <c r="E237" s="67">
        <f t="shared" si="25"/>
        <v>396.18719998345472</v>
      </c>
      <c r="F237" s="70">
        <f t="shared" si="29"/>
        <v>24.056486782995368</v>
      </c>
      <c r="G237" s="67">
        <f>E237/'Lookup Tables'!$C$48</f>
        <v>792.37439996690944</v>
      </c>
      <c r="H237" s="70">
        <f t="shared" si="26"/>
        <v>0.1370410706327965</v>
      </c>
      <c r="I237" s="71">
        <f t="shared" si="30"/>
        <v>1.1410191359523496</v>
      </c>
      <c r="L237" s="74"/>
      <c r="M237" s="74"/>
      <c r="N237" s="74"/>
      <c r="O237" s="74"/>
      <c r="P237" s="74"/>
      <c r="Q237" s="74"/>
      <c r="R237" s="74"/>
      <c r="S237" s="74"/>
      <c r="T237" s="74"/>
      <c r="U237" s="74"/>
      <c r="V237" s="74"/>
      <c r="W237" s="74"/>
      <c r="X237" s="74"/>
      <c r="Y237" s="74"/>
    </row>
    <row r="238" spans="1:25" x14ac:dyDescent="0.3">
      <c r="A238" s="66">
        <f t="shared" si="28"/>
        <v>2013.099999999979</v>
      </c>
      <c r="B238" s="67">
        <f>LOOKUP(A238+0.01,AmountsB!$A$4:$A$103,AmountsB!$B$4:$B$103)*0.1*$A$2</f>
        <v>13801.965540300003</v>
      </c>
      <c r="C238" s="68">
        <f t="shared" si="27"/>
        <v>1533317.1834947413</v>
      </c>
      <c r="D238" s="67">
        <f t="array" ref="D238">SUM($B$7:$B233*$F$1009*EXP(-$F$1009*($A238-$A$7:$A233)))*$F$1010</f>
        <v>208876308.05946302</v>
      </c>
      <c r="E238" s="67">
        <f t="shared" si="25"/>
        <v>398.20424170217382</v>
      </c>
      <c r="F238" s="70">
        <f t="shared" si="29"/>
        <v>24.178961556155993</v>
      </c>
      <c r="G238" s="67">
        <f>E238/'Lookup Tables'!$C$48</f>
        <v>796.40848340434763</v>
      </c>
      <c r="H238" s="70">
        <f t="shared" si="26"/>
        <v>0.136498926439756</v>
      </c>
      <c r="I238" s="71">
        <f t="shared" si="30"/>
        <v>1.1468282161022607</v>
      </c>
      <c r="L238" s="74"/>
      <c r="M238" s="74"/>
      <c r="N238" s="74"/>
      <c r="O238" s="74"/>
      <c r="P238" s="74"/>
      <c r="Q238" s="74"/>
      <c r="R238" s="74"/>
      <c r="S238" s="74"/>
      <c r="T238" s="74"/>
      <c r="U238" s="74"/>
      <c r="V238" s="74"/>
      <c r="W238" s="74"/>
      <c r="X238" s="74"/>
      <c r="Y238" s="74"/>
    </row>
    <row r="239" spans="1:25" x14ac:dyDescent="0.3">
      <c r="A239" s="66">
        <f t="shared" si="28"/>
        <v>2013.1999999999789</v>
      </c>
      <c r="B239" s="67">
        <f>LOOKUP(A239+0.01,AmountsB!$A$4:$A$103,AmountsB!$B$4:$B$103)*0.1*$A$2</f>
        <v>13801.965540300003</v>
      </c>
      <c r="C239" s="68">
        <f t="shared" si="27"/>
        <v>1547119.1490350412</v>
      </c>
      <c r="D239" s="67">
        <f t="array" ref="D239">SUM($B$7:$B234*$F$1009*EXP(-$F$1009*($A239-$A$7:$A234)))*$F$1010</f>
        <v>209919629.32354352</v>
      </c>
      <c r="E239" s="67">
        <f t="shared" si="25"/>
        <v>400.19324158767859</v>
      </c>
      <c r="F239" s="70">
        <f t="shared" si="29"/>
        <v>24.299733629203846</v>
      </c>
      <c r="G239" s="67">
        <f>E239/'Lookup Tables'!$C$48</f>
        <v>800.38648317535717</v>
      </c>
      <c r="H239" s="70">
        <f t="shared" si="26"/>
        <v>0.13595692866297771</v>
      </c>
      <c r="I239" s="71">
        <f t="shared" si="30"/>
        <v>1.1525565357725145</v>
      </c>
      <c r="L239" s="74"/>
      <c r="M239" s="74"/>
      <c r="N239" s="74"/>
      <c r="O239" s="74"/>
      <c r="P239" s="74"/>
      <c r="Q239" s="74"/>
      <c r="R239" s="74"/>
      <c r="S239" s="74"/>
      <c r="T239" s="74"/>
      <c r="U239" s="74"/>
      <c r="V239" s="74"/>
      <c r="W239" s="74"/>
      <c r="X239" s="74"/>
      <c r="Y239" s="74"/>
    </row>
    <row r="240" spans="1:25" x14ac:dyDescent="0.3">
      <c r="A240" s="66">
        <f t="shared" si="28"/>
        <v>2013.2999999999788</v>
      </c>
      <c r="B240" s="67">
        <f>LOOKUP(A240+0.01,AmountsB!$A$4:$A$103,AmountsB!$B$4:$B$103)*0.1*$A$2</f>
        <v>13801.965540300003</v>
      </c>
      <c r="C240" s="68">
        <f t="shared" si="27"/>
        <v>1560921.1145753411</v>
      </c>
      <c r="D240" s="67">
        <f t="array" ref="D240">SUM($B$7:$B235*$F$1009*EXP(-$F$1009*($A240-$A$7:$A235)))*$F$1010</f>
        <v>210948445.85993046</v>
      </c>
      <c r="E240" s="67">
        <f t="shared" si="25"/>
        <v>402.15458949031381</v>
      </c>
      <c r="F240" s="70">
        <f t="shared" si="29"/>
        <v>24.418826673851854</v>
      </c>
      <c r="G240" s="67">
        <f>E240/'Lookup Tables'!$C$48</f>
        <v>804.30917898062762</v>
      </c>
      <c r="H240" s="70">
        <f t="shared" si="26"/>
        <v>0.13541520469060614</v>
      </c>
      <c r="I240" s="71">
        <f t="shared" si="30"/>
        <v>1.1582052177321038</v>
      </c>
      <c r="L240" s="74"/>
      <c r="M240" s="74"/>
      <c r="N240" s="74"/>
      <c r="O240" s="74"/>
      <c r="P240" s="74"/>
      <c r="Q240" s="74"/>
      <c r="R240" s="74"/>
      <c r="S240" s="74"/>
      <c r="T240" s="74"/>
      <c r="U240" s="74"/>
      <c r="V240" s="74"/>
      <c r="W240" s="74"/>
      <c r="X240" s="74"/>
      <c r="Y240" s="74"/>
    </row>
    <row r="241" spans="1:25" x14ac:dyDescent="0.3">
      <c r="A241" s="66">
        <f t="shared" si="28"/>
        <v>2013.3999999999787</v>
      </c>
      <c r="B241" s="67">
        <f>LOOKUP(A241+0.01,AmountsB!$A$4:$A$103,AmountsB!$B$4:$B$103)*0.1*$A$2</f>
        <v>13801.965540300003</v>
      </c>
      <c r="C241" s="68">
        <f t="shared" si="27"/>
        <v>1574723.080115641</v>
      </c>
      <c r="D241" s="67">
        <f t="array" ref="D241">SUM($B$7:$B236*$F$1009*EXP(-$F$1009*($A241-$A$7:$A236)))*$F$1010</f>
        <v>211962959.31995869</v>
      </c>
      <c r="E241" s="67">
        <f t="shared" si="25"/>
        <v>404.0886698405476</v>
      </c>
      <c r="F241" s="70">
        <f t="shared" si="29"/>
        <v>24.536264032718051</v>
      </c>
      <c r="G241" s="67">
        <f>E241/'Lookup Tables'!$C$48</f>
        <v>808.17733968109519</v>
      </c>
      <c r="H241" s="70">
        <f t="shared" si="26"/>
        <v>0.13487387563570533</v>
      </c>
      <c r="I241" s="71">
        <f t="shared" si="30"/>
        <v>1.1637753691407771</v>
      </c>
      <c r="L241" s="74"/>
      <c r="M241" s="74"/>
      <c r="N241" s="74"/>
      <c r="O241" s="74"/>
      <c r="P241" s="74"/>
      <c r="Q241" s="74"/>
      <c r="R241" s="74"/>
      <c r="S241" s="74"/>
      <c r="T241" s="74"/>
      <c r="U241" s="74"/>
      <c r="V241" s="74"/>
      <c r="W241" s="74"/>
      <c r="X241" s="74"/>
      <c r="Y241" s="74"/>
    </row>
    <row r="242" spans="1:25" x14ac:dyDescent="0.3">
      <c r="A242" s="66">
        <f t="shared" si="28"/>
        <v>2013.4999999999786</v>
      </c>
      <c r="B242" s="67">
        <f>LOOKUP(A242+0.01,AmountsB!$A$4:$A$103,AmountsB!$B$4:$B$103)*0.1*$A$2</f>
        <v>13801.965540300003</v>
      </c>
      <c r="C242" s="68">
        <f t="shared" si="27"/>
        <v>1588525.0456559409</v>
      </c>
      <c r="D242" s="67">
        <f t="array" ref="D242">SUM($B$7:$B237*$F$1009*EXP(-$F$1009*($A242-$A$7:$A237)))*$F$1010</f>
        <v>213042312.84934244</v>
      </c>
      <c r="E242" s="67">
        <f t="shared" si="25"/>
        <v>406.14636205892248</v>
      </c>
      <c r="F242" s="70">
        <f t="shared" si="29"/>
        <v>24.661207104217777</v>
      </c>
      <c r="G242" s="67">
        <f>E242/'Lookup Tables'!$C$48</f>
        <v>812.29272411784495</v>
      </c>
      <c r="H242" s="70">
        <f t="shared" si="26"/>
        <v>0.13438285312651296</v>
      </c>
      <c r="I242" s="71">
        <f t="shared" si="30"/>
        <v>1.1697015227296967</v>
      </c>
      <c r="L242" s="74"/>
      <c r="M242" s="74"/>
      <c r="N242" s="74"/>
      <c r="O242" s="74"/>
      <c r="P242" s="74"/>
      <c r="Q242" s="74"/>
      <c r="R242" s="74"/>
      <c r="S242" s="74"/>
      <c r="T242" s="74"/>
      <c r="U242" s="74"/>
      <c r="V242" s="74"/>
      <c r="W242" s="74"/>
      <c r="X242" s="74"/>
      <c r="Y242" s="74"/>
    </row>
    <row r="243" spans="1:25" x14ac:dyDescent="0.3">
      <c r="A243" s="66">
        <f t="shared" si="28"/>
        <v>2013.5999999999785</v>
      </c>
      <c r="B243" s="67">
        <f>LOOKUP(A243+0.01,AmountsB!$A$4:$A$103,AmountsB!$B$4:$B$103)*0.1*$A$2</f>
        <v>13801.965540300003</v>
      </c>
      <c r="C243" s="68">
        <f t="shared" si="27"/>
        <v>1602327.0111962408</v>
      </c>
      <c r="D243" s="67">
        <f t="array" ref="D243">SUM($B$7:$B238*$F$1009*EXP(-$F$1009*($A243-$A$7:$A238)))*$F$1010</f>
        <v>214106660.71405911</v>
      </c>
      <c r="E243" s="67">
        <f t="shared" si="25"/>
        <v>408.17544730231049</v>
      </c>
      <c r="F243" s="70">
        <f t="shared" si="29"/>
        <v>24.784413160196294</v>
      </c>
      <c r="G243" s="67">
        <f>E243/'Lookup Tables'!$C$48</f>
        <v>816.35089460462098</v>
      </c>
      <c r="H243" s="70">
        <f t="shared" si="26"/>
        <v>0.13389090591559624</v>
      </c>
      <c r="I243" s="71">
        <f t="shared" si="30"/>
        <v>1.1755452882306543</v>
      </c>
      <c r="L243" s="74"/>
      <c r="M243" s="74"/>
      <c r="N243" s="74"/>
      <c r="O243" s="74"/>
      <c r="P243" s="74"/>
      <c r="Q243" s="74"/>
      <c r="R243" s="74"/>
      <c r="S243" s="74"/>
      <c r="T243" s="74"/>
      <c r="U243" s="74"/>
      <c r="V243" s="74"/>
      <c r="W243" s="74"/>
      <c r="X243" s="74"/>
      <c r="Y243" s="74"/>
    </row>
    <row r="244" spans="1:25" x14ac:dyDescent="0.3">
      <c r="A244" s="66">
        <f t="shared" si="28"/>
        <v>2013.6999999999784</v>
      </c>
      <c r="B244" s="67">
        <f>LOOKUP(A244+0.01,AmountsB!$A$4:$A$103,AmountsB!$B$4:$B$103)*0.1*$A$2</f>
        <v>13801.965540300003</v>
      </c>
      <c r="C244" s="68">
        <f t="shared" si="27"/>
        <v>1616128.9767365407</v>
      </c>
      <c r="D244" s="67">
        <f t="array" ref="D244">SUM($B$7:$B239*$F$1009*EXP(-$F$1009*($A244-$A$7:$A239)))*$F$1010</f>
        <v>215156211.52969772</v>
      </c>
      <c r="E244" s="67">
        <f t="shared" si="25"/>
        <v>410.17632327791551</v>
      </c>
      <c r="F244" s="70">
        <f t="shared" si="29"/>
        <v>24.905906349435028</v>
      </c>
      <c r="G244" s="67">
        <f>E244/'Lookup Tables'!$C$48</f>
        <v>820.35264655583103</v>
      </c>
      <c r="H244" s="70">
        <f t="shared" si="26"/>
        <v>0.13339818703715836</v>
      </c>
      <c r="I244" s="71">
        <f t="shared" si="30"/>
        <v>1.1813078110403965</v>
      </c>
      <c r="L244" s="74"/>
      <c r="M244" s="74"/>
      <c r="N244" s="74"/>
      <c r="O244" s="74"/>
      <c r="P244" s="74"/>
      <c r="Q244" s="74"/>
      <c r="R244" s="74"/>
      <c r="S244" s="74"/>
      <c r="T244" s="74"/>
      <c r="U244" s="74"/>
      <c r="V244" s="74"/>
      <c r="W244" s="74"/>
      <c r="X244" s="74"/>
      <c r="Y244" s="74"/>
    </row>
    <row r="245" spans="1:25" x14ac:dyDescent="0.3">
      <c r="A245" s="66">
        <f t="shared" si="28"/>
        <v>2013.7999999999784</v>
      </c>
      <c r="B245" s="67">
        <f>LOOKUP(A245+0.01,AmountsB!$A$4:$A$103,AmountsB!$B$4:$B$103)*0.1*$A$2</f>
        <v>13801.965540300003</v>
      </c>
      <c r="C245" s="68">
        <f t="shared" si="27"/>
        <v>1629930.9422768406</v>
      </c>
      <c r="D245" s="67">
        <f t="array" ref="D245">SUM($B$7:$B240*$F$1009*EXP(-$F$1009*($A245-$A$7:$A240)))*$F$1010</f>
        <v>216191171.01157808</v>
      </c>
      <c r="E245" s="67">
        <f t="shared" si="25"/>
        <v>412.14938216383439</v>
      </c>
      <c r="F245" s="70">
        <f t="shared" si="29"/>
        <v>25.025710484988025</v>
      </c>
      <c r="G245" s="67">
        <f>E245/'Lookup Tables'!$C$48</f>
        <v>824.29876432766878</v>
      </c>
      <c r="H245" s="70">
        <f t="shared" si="26"/>
        <v>0.13290484255897872</v>
      </c>
      <c r="I245" s="71">
        <f t="shared" si="30"/>
        <v>1.186990220631843</v>
      </c>
      <c r="L245" s="74"/>
      <c r="M245" s="74"/>
      <c r="N245" s="74"/>
      <c r="O245" s="74"/>
      <c r="P245" s="74"/>
      <c r="Q245" s="74"/>
      <c r="R245" s="74"/>
      <c r="S245" s="74"/>
      <c r="T245" s="74"/>
      <c r="U245" s="74"/>
      <c r="V245" s="74"/>
      <c r="W245" s="74"/>
      <c r="X245" s="74"/>
      <c r="Y245" s="74"/>
    </row>
    <row r="246" spans="1:25" x14ac:dyDescent="0.3">
      <c r="A246" s="66">
        <f t="shared" si="28"/>
        <v>2013.8999999999783</v>
      </c>
      <c r="B246" s="67">
        <f>LOOKUP(A246+0.01,AmountsB!$A$4:$A$103,AmountsB!$B$4:$B$103)*0.1*$A$2</f>
        <v>13801.965540300003</v>
      </c>
      <c r="C246" s="68">
        <f t="shared" si="27"/>
        <v>1643732.9078171405</v>
      </c>
      <c r="D246" s="67">
        <f t="array" ref="D246">SUM($B$7:$B241*$F$1009*EXP(-$F$1009*($A246-$A$7:$A241)))*$F$1010</f>
        <v>217211742.01507184</v>
      </c>
      <c r="E246" s="67">
        <f t="shared" si="25"/>
        <v>414.09501068592493</v>
      </c>
      <c r="F246" s="70">
        <f t="shared" si="29"/>
        <v>25.143849048849361</v>
      </c>
      <c r="G246" s="67">
        <f>E246/'Lookup Tables'!$C$48</f>
        <v>828.19002137184987</v>
      </c>
      <c r="H246" s="70">
        <f t="shared" si="26"/>
        <v>0.13241101189946777</v>
      </c>
      <c r="I246" s="71">
        <f t="shared" si="30"/>
        <v>1.1925936307754639</v>
      </c>
      <c r="L246" s="74"/>
      <c r="M246" s="74"/>
      <c r="N246" s="74"/>
      <c r="O246" s="74"/>
      <c r="P246" s="74"/>
      <c r="Q246" s="74"/>
      <c r="R246" s="74"/>
      <c r="S246" s="74"/>
      <c r="T246" s="74"/>
      <c r="U246" s="74"/>
      <c r="V246" s="74"/>
      <c r="W246" s="74"/>
      <c r="X246" s="74"/>
      <c r="Y246" s="74"/>
    </row>
    <row r="247" spans="1:25" x14ac:dyDescent="0.3">
      <c r="A247" s="66">
        <f t="shared" si="28"/>
        <v>2013.9999999999782</v>
      </c>
      <c r="B247" s="67">
        <f>LOOKUP(A247+0.01,AmountsB!$A$4:$A$103,AmountsB!$B$4:$B$103)*0.1*$A$2</f>
        <v>14078.004851106003</v>
      </c>
      <c r="C247" s="68">
        <f t="shared" si="27"/>
        <v>1657810.9126682465</v>
      </c>
      <c r="D247" s="67">
        <f t="array" ref="D247">SUM($B$7:$B242*$F$1009*EXP(-$F$1009*($A247-$A$7:$A242)))*$F$1010</f>
        <v>218218124.57536292</v>
      </c>
      <c r="E247" s="67">
        <f t="shared" si="25"/>
        <v>416.01359019360621</v>
      </c>
      <c r="F247" s="70">
        <f t="shared" si="29"/>
        <v>25.260345196555768</v>
      </c>
      <c r="G247" s="67">
        <f>E247/'Lookup Tables'!$C$48</f>
        <v>832.02718038721241</v>
      </c>
      <c r="H247" s="70">
        <f t="shared" si="26"/>
        <v>0.13189486287904292</v>
      </c>
      <c r="I247" s="71">
        <f t="shared" si="30"/>
        <v>1.1981191397575857</v>
      </c>
      <c r="L247" s="74"/>
      <c r="M247" s="74"/>
      <c r="N247" s="74"/>
      <c r="O247" s="74"/>
      <c r="P247" s="74"/>
      <c r="Q247" s="74"/>
      <c r="R247" s="74"/>
      <c r="S247" s="74"/>
      <c r="T247" s="74"/>
      <c r="U247" s="74"/>
      <c r="V247" s="74"/>
      <c r="W247" s="74"/>
      <c r="X247" s="74"/>
      <c r="Y247" s="74"/>
    </row>
    <row r="248" spans="1:25" x14ac:dyDescent="0.3">
      <c r="A248" s="66">
        <f t="shared" si="28"/>
        <v>2014.0999999999781</v>
      </c>
      <c r="B248" s="67">
        <f>LOOKUP(A248+0.01,AmountsB!$A$4:$A$103,AmountsB!$B$4:$B$103)*0.1*$A$2</f>
        <v>14078.004851106003</v>
      </c>
      <c r="C248" s="68">
        <f t="shared" si="27"/>
        <v>1671888.9175193526</v>
      </c>
      <c r="D248" s="67">
        <f t="array" ref="D248">SUM($B$7:$B243*$F$1009*EXP(-$F$1009*($A248-$A$7:$A243)))*$F$1010</f>
        <v>219210515.94665495</v>
      </c>
      <c r="E248" s="67">
        <f t="shared" si="25"/>
        <v>417.90549673460379</v>
      </c>
      <c r="F248" s="70">
        <f t="shared" si="29"/>
        <v>25.375221761725143</v>
      </c>
      <c r="G248" s="67">
        <f>E248/'Lookup Tables'!$C$48</f>
        <v>835.81099346920757</v>
      </c>
      <c r="H248" s="70">
        <f t="shared" si="26"/>
        <v>0.13137902092778553</v>
      </c>
      <c r="I248" s="71">
        <f t="shared" si="30"/>
        <v>1.2035678305956587</v>
      </c>
      <c r="L248" s="74"/>
      <c r="M248" s="74"/>
      <c r="N248" s="74"/>
      <c r="O248" s="74"/>
      <c r="P248" s="74"/>
      <c r="Q248" s="74"/>
      <c r="R248" s="74"/>
      <c r="S248" s="74"/>
      <c r="T248" s="74"/>
      <c r="U248" s="74"/>
      <c r="V248" s="74"/>
      <c r="W248" s="74"/>
      <c r="X248" s="74"/>
      <c r="Y248" s="74"/>
    </row>
    <row r="249" spans="1:25" x14ac:dyDescent="0.3">
      <c r="A249" s="66">
        <f t="shared" si="28"/>
        <v>2014.199999999978</v>
      </c>
      <c r="B249" s="67">
        <f>LOOKUP(A249+0.01,AmountsB!$A$4:$A$103,AmountsB!$B$4:$B$103)*0.1*$A$2</f>
        <v>14078.004851106003</v>
      </c>
      <c r="C249" s="68">
        <f t="shared" si="27"/>
        <v>1685966.9223704587</v>
      </c>
      <c r="D249" s="67">
        <f t="array" ref="D249">SUM($B$7:$B244*$F$1009*EXP(-$F$1009*($A249-$A$7:$A244)))*$F$1010</f>
        <v>220189110.64083368</v>
      </c>
      <c r="E249" s="67">
        <f t="shared" si="25"/>
        <v>419.77110112865637</v>
      </c>
      <c r="F249" s="70">
        <f t="shared" si="29"/>
        <v>25.488501260532015</v>
      </c>
      <c r="G249" s="67">
        <f>E249/'Lookup Tables'!$C$48</f>
        <v>839.54220225731274</v>
      </c>
      <c r="H249" s="70">
        <f t="shared" si="26"/>
        <v>0.13086359395652616</v>
      </c>
      <c r="I249" s="71">
        <f t="shared" si="30"/>
        <v>1.2089407712505305</v>
      </c>
      <c r="L249" s="74"/>
      <c r="M249" s="74"/>
      <c r="N249" s="74"/>
      <c r="O249" s="74"/>
      <c r="P249" s="74"/>
      <c r="Q249" s="74"/>
      <c r="R249" s="74"/>
      <c r="S249" s="74"/>
      <c r="T249" s="74"/>
      <c r="U249" s="74"/>
      <c r="V249" s="74"/>
      <c r="W249" s="74"/>
      <c r="X249" s="74"/>
      <c r="Y249" s="74"/>
    </row>
    <row r="250" spans="1:25" x14ac:dyDescent="0.3">
      <c r="A250" s="66">
        <f t="shared" si="28"/>
        <v>2014.2999999999779</v>
      </c>
      <c r="B250" s="67">
        <f>LOOKUP(A250+0.01,AmountsB!$A$4:$A$103,AmountsB!$B$4:$B$103)*0.1*$A$2</f>
        <v>14078.004851106003</v>
      </c>
      <c r="C250" s="68">
        <f t="shared" si="27"/>
        <v>1700044.9272215648</v>
      </c>
      <c r="D250" s="67">
        <f t="array" ref="D250">SUM($B$7:$B245*$F$1009*EXP(-$F$1009*($A250-$A$7:$A245)))*$F$1010</f>
        <v>221154100.46559203</v>
      </c>
      <c r="E250" s="67">
        <f t="shared" si="25"/>
        <v>421.61076904019768</v>
      </c>
      <c r="F250" s="70">
        <f t="shared" si="29"/>
        <v>25.600205896120801</v>
      </c>
      <c r="G250" s="67">
        <f>E250/'Lookup Tables'!$C$48</f>
        <v>843.22153808039536</v>
      </c>
      <c r="H250" s="70">
        <f t="shared" si="26"/>
        <v>0.13034868470781727</v>
      </c>
      <c r="I250" s="71">
        <f t="shared" si="30"/>
        <v>1.2142390148357693</v>
      </c>
      <c r="L250" s="74"/>
      <c r="M250" s="74"/>
      <c r="N250" s="74"/>
      <c r="O250" s="74"/>
      <c r="P250" s="74"/>
      <c r="Q250" s="74"/>
      <c r="R250" s="74"/>
      <c r="S250" s="74"/>
      <c r="T250" s="74"/>
      <c r="U250" s="74"/>
      <c r="V250" s="74"/>
      <c r="W250" s="74"/>
      <c r="X250" s="74"/>
      <c r="Y250" s="74"/>
    </row>
    <row r="251" spans="1:25" x14ac:dyDescent="0.3">
      <c r="A251" s="66">
        <f t="shared" si="28"/>
        <v>2014.3999999999778</v>
      </c>
      <c r="B251" s="67">
        <f>LOOKUP(A251+0.01,AmountsB!$A$4:$A$103,AmountsB!$B$4:$B$103)*0.1*$A$2</f>
        <v>14078.004851106003</v>
      </c>
      <c r="C251" s="68">
        <f t="shared" si="27"/>
        <v>1714122.9320726709</v>
      </c>
      <c r="D251" s="67">
        <f t="array" ref="D251">SUM($B$7:$B246*$F$1009*EXP(-$F$1009*($A251-$A$7:$A246)))*$F$1010</f>
        <v>222105674.56202489</v>
      </c>
      <c r="E251" s="67">
        <f t="shared" si="25"/>
        <v>423.42486105002769</v>
      </c>
      <c r="F251" s="70">
        <f t="shared" si="29"/>
        <v>25.710357562957679</v>
      </c>
      <c r="G251" s="67">
        <f>E251/'Lookup Tables'!$C$48</f>
        <v>846.84972210005537</v>
      </c>
      <c r="H251" s="70">
        <f t="shared" si="26"/>
        <v>0.12983439099014363</v>
      </c>
      <c r="I251" s="71">
        <f t="shared" si="30"/>
        <v>1.2194635998240797</v>
      </c>
      <c r="L251" s="74"/>
      <c r="M251" s="74"/>
      <c r="N251" s="74"/>
      <c r="O251" s="74"/>
      <c r="P251" s="74"/>
      <c r="Q251" s="74"/>
      <c r="R251" s="74"/>
      <c r="S251" s="74"/>
      <c r="T251" s="74"/>
      <c r="U251" s="74"/>
      <c r="V251" s="74"/>
      <c r="W251" s="74"/>
      <c r="X251" s="74"/>
      <c r="Y251" s="74"/>
    </row>
    <row r="252" spans="1:25" x14ac:dyDescent="0.3">
      <c r="A252" s="66">
        <f t="shared" si="28"/>
        <v>2014.4999999999777</v>
      </c>
      <c r="B252" s="67">
        <f>LOOKUP(A252+0.01,AmountsB!$A$4:$A$103,AmountsB!$B$4:$B$103)*0.1*$A$2</f>
        <v>14078.004851106003</v>
      </c>
      <c r="C252" s="68">
        <f t="shared" si="27"/>
        <v>1728200.936923777</v>
      </c>
      <c r="D252" s="67">
        <f t="array" ref="D252">SUM($B$7:$B247*$F$1009*EXP(-$F$1009*($A252-$A$7:$A247)))*$F$1010</f>
        <v>223124542.62548628</v>
      </c>
      <c r="E252" s="67">
        <f t="shared" si="25"/>
        <v>425.36724306728217</v>
      </c>
      <c r="F252" s="70">
        <f t="shared" si="29"/>
        <v>25.828298999045373</v>
      </c>
      <c r="G252" s="67">
        <f>E252/'Lookup Tables'!$C$48</f>
        <v>850.73448613456435</v>
      </c>
      <c r="H252" s="70">
        <f t="shared" si="26"/>
        <v>0.12936749320025642</v>
      </c>
      <c r="I252" s="71">
        <f t="shared" si="30"/>
        <v>1.2250576600337726</v>
      </c>
      <c r="L252" s="74"/>
      <c r="M252" s="74"/>
      <c r="N252" s="74"/>
      <c r="O252" s="74"/>
      <c r="P252" s="74"/>
      <c r="Q252" s="74"/>
      <c r="R252" s="74"/>
      <c r="S252" s="74"/>
      <c r="T252" s="74"/>
      <c r="U252" s="74"/>
      <c r="V252" s="74"/>
      <c r="W252" s="74"/>
      <c r="X252" s="74"/>
      <c r="Y252" s="74"/>
    </row>
    <row r="253" spans="1:25" x14ac:dyDescent="0.3">
      <c r="A253" s="66">
        <f t="shared" si="28"/>
        <v>2014.5999999999776</v>
      </c>
      <c r="B253" s="67">
        <f>LOOKUP(A253+0.01,AmountsB!$A$4:$A$103,AmountsB!$B$4:$B$103)*0.1*$A$2</f>
        <v>14078.004851106003</v>
      </c>
      <c r="C253" s="68">
        <f t="shared" si="27"/>
        <v>1742278.9417748831</v>
      </c>
      <c r="D253" s="67">
        <f t="array" ref="D253">SUM($B$7:$B248*$F$1009*EXP(-$F$1009*($A253-$A$7:$A248)))*$F$1010</f>
        <v>224129245.92079344</v>
      </c>
      <c r="E253" s="67">
        <f t="shared" si="25"/>
        <v>427.28262120451723</v>
      </c>
      <c r="F253" s="70">
        <f t="shared" si="29"/>
        <v>25.944600759538286</v>
      </c>
      <c r="G253" s="67">
        <f>E253/'Lookup Tables'!$C$48</f>
        <v>854.56524240903445</v>
      </c>
      <c r="H253" s="70">
        <f t="shared" si="26"/>
        <v>0.12889999432370561</v>
      </c>
      <c r="I253" s="71">
        <f t="shared" si="30"/>
        <v>1.2305739490690095</v>
      </c>
      <c r="L253" s="74"/>
      <c r="M253" s="74"/>
      <c r="N253" s="74"/>
      <c r="O253" s="74"/>
      <c r="P253" s="74"/>
      <c r="Q253" s="74"/>
      <c r="R253" s="74"/>
      <c r="S253" s="74"/>
      <c r="T253" s="74"/>
      <c r="U253" s="74"/>
      <c r="V253" s="74"/>
      <c r="W253" s="74"/>
      <c r="X253" s="74"/>
      <c r="Y253" s="74"/>
    </row>
    <row r="254" spans="1:25" x14ac:dyDescent="0.3">
      <c r="A254" s="66">
        <f t="shared" si="28"/>
        <v>2014.6999999999775</v>
      </c>
      <c r="B254" s="67">
        <f>LOOKUP(A254+0.01,AmountsB!$A$4:$A$103,AmountsB!$B$4:$B$103)*0.1*$A$2</f>
        <v>14078.004851106003</v>
      </c>
      <c r="C254" s="68">
        <f t="shared" si="27"/>
        <v>1756356.9466259892</v>
      </c>
      <c r="D254" s="67">
        <f t="array" ref="D254">SUM($B$7:$B249*$F$1009*EXP(-$F$1009*($A254-$A$7:$A249)))*$F$1010</f>
        <v>225119981.37300861</v>
      </c>
      <c r="E254" s="67">
        <f t="shared" si="25"/>
        <v>429.17137088197939</v>
      </c>
      <c r="F254" s="70">
        <f t="shared" si="29"/>
        <v>26.059285639953789</v>
      </c>
      <c r="G254" s="67">
        <f>E254/'Lookup Tables'!$C$48</f>
        <v>858.34274176395877</v>
      </c>
      <c r="H254" s="70">
        <f t="shared" si="26"/>
        <v>0.12843202116113095</v>
      </c>
      <c r="I254" s="71">
        <f t="shared" si="30"/>
        <v>1.2360135481401007</v>
      </c>
      <c r="L254" s="74"/>
      <c r="M254" s="74"/>
      <c r="N254" s="74"/>
      <c r="O254" s="74"/>
      <c r="P254" s="74"/>
      <c r="Q254" s="74"/>
      <c r="R254" s="74"/>
      <c r="S254" s="74"/>
      <c r="T254" s="74"/>
      <c r="U254" s="74"/>
      <c r="V254" s="74"/>
      <c r="W254" s="74"/>
      <c r="X254" s="74"/>
      <c r="Y254" s="74"/>
    </row>
    <row r="255" spans="1:25" x14ac:dyDescent="0.3">
      <c r="A255" s="66">
        <f t="shared" si="28"/>
        <v>2014.7999999999774</v>
      </c>
      <c r="B255" s="67">
        <f>LOOKUP(A255+0.01,AmountsB!$A$4:$A$103,AmountsB!$B$4:$B$103)*0.1*$A$2</f>
        <v>14078.004851106003</v>
      </c>
      <c r="C255" s="68">
        <f t="shared" si="27"/>
        <v>1770434.9514770953</v>
      </c>
      <c r="D255" s="67">
        <f t="array" ref="D255">SUM($B$7:$B250*$F$1009*EXP(-$F$1009*($A255-$A$7:$A250)))*$F$1010</f>
        <v>226096943.16945216</v>
      </c>
      <c r="E255" s="67">
        <f t="shared" si="25"/>
        <v>431.03386230065217</v>
      </c>
      <c r="F255" s="70">
        <f t="shared" si="29"/>
        <v>26.172376118895603</v>
      </c>
      <c r="G255" s="67">
        <f>E255/'Lookup Tables'!$C$48</f>
        <v>862.06772460130435</v>
      </c>
      <c r="H255" s="70">
        <f t="shared" si="26"/>
        <v>0.12796369493056392</v>
      </c>
      <c r="I255" s="71">
        <f t="shared" si="30"/>
        <v>1.2413775234258781</v>
      </c>
      <c r="L255" s="74"/>
      <c r="M255" s="74"/>
      <c r="N255" s="74"/>
      <c r="O255" s="74"/>
      <c r="P255" s="74"/>
      <c r="Q255" s="74"/>
      <c r="R255" s="74"/>
      <c r="S255" s="74"/>
      <c r="T255" s="74"/>
      <c r="U255" s="74"/>
      <c r="V255" s="74"/>
      <c r="W255" s="74"/>
      <c r="X255" s="74"/>
      <c r="Y255" s="74"/>
    </row>
    <row r="256" spans="1:25" x14ac:dyDescent="0.3">
      <c r="A256" s="66">
        <f t="shared" si="28"/>
        <v>2014.8999999999774</v>
      </c>
      <c r="B256" s="67">
        <f>LOOKUP(A256+0.01,AmountsB!$A$4:$A$103,AmountsB!$B$4:$B$103)*0.1*$A$2</f>
        <v>14078.004851106003</v>
      </c>
      <c r="C256" s="68">
        <f t="shared" si="27"/>
        <v>1784512.9563282013</v>
      </c>
      <c r="D256" s="67">
        <f t="array" ref="D256">SUM($B$7:$B251*$F$1009*EXP(-$F$1009*($A256-$A$7:$A251)))*$F$1010</f>
        <v>227060322.79776382</v>
      </c>
      <c r="E256" s="67">
        <f t="shared" si="25"/>
        <v>432.8704605148161</v>
      </c>
      <c r="F256" s="70">
        <f t="shared" si="29"/>
        <v>26.283894362459634</v>
      </c>
      <c r="G256" s="67">
        <f>E256/'Lookup Tables'!$C$48</f>
        <v>865.7409210296322</v>
      </c>
      <c r="H256" s="70">
        <f t="shared" si="26"/>
        <v>0.12749513150900502</v>
      </c>
      <c r="I256" s="71">
        <f t="shared" si="30"/>
        <v>1.2466669262826704</v>
      </c>
      <c r="L256" s="74"/>
      <c r="M256" s="74"/>
      <c r="N256" s="74"/>
      <c r="O256" s="74"/>
      <c r="P256" s="74"/>
      <c r="Q256" s="74"/>
      <c r="R256" s="74"/>
      <c r="S256" s="74"/>
      <c r="T256" s="74"/>
      <c r="U256" s="74"/>
      <c r="V256" s="74"/>
      <c r="W256" s="74"/>
      <c r="X256" s="74"/>
      <c r="Y256" s="74"/>
    </row>
    <row r="257" spans="1:25" x14ac:dyDescent="0.3">
      <c r="A257" s="66">
        <f t="shared" si="28"/>
        <v>2014.9999999999773</v>
      </c>
      <c r="B257" s="67">
        <f>LOOKUP(A257+0.01,AmountsB!$A$4:$A$103,AmountsB!$B$4:$B$103)*0.1*$A$2</f>
        <v>14359.456697418003</v>
      </c>
      <c r="C257" s="68">
        <f t="shared" si="27"/>
        <v>1798872.4130256192</v>
      </c>
      <c r="D257" s="67">
        <f t="array" ref="D257">SUM($B$7:$B252*$F$1009*EXP(-$F$1009*($A257-$A$7:$A252)))*$F$1010</f>
        <v>228010309.08343482</v>
      </c>
      <c r="E257" s="67">
        <f t="shared" si="25"/>
        <v>434.68152550360071</v>
      </c>
      <c r="F257" s="70">
        <f t="shared" si="29"/>
        <v>26.393862228578634</v>
      </c>
      <c r="G257" s="67">
        <f>E257/'Lookup Tables'!$C$48</f>
        <v>869.36305100720142</v>
      </c>
      <c r="H257" s="70">
        <f t="shared" si="26"/>
        <v>0.12700656708633326</v>
      </c>
      <c r="I257" s="71">
        <f t="shared" si="30"/>
        <v>1.25188279345037</v>
      </c>
      <c r="L257" s="74"/>
      <c r="M257" s="74"/>
      <c r="N257" s="74"/>
      <c r="O257" s="74"/>
      <c r="P257" s="74"/>
      <c r="Q257" s="74"/>
      <c r="R257" s="74"/>
      <c r="S257" s="74"/>
      <c r="T257" s="74"/>
      <c r="U257" s="74"/>
      <c r="V257" s="74"/>
      <c r="W257" s="74"/>
      <c r="X257" s="74"/>
      <c r="Y257" s="74"/>
    </row>
    <row r="258" spans="1:25" x14ac:dyDescent="0.3">
      <c r="A258" s="66">
        <f t="shared" si="28"/>
        <v>2015.0999999999772</v>
      </c>
      <c r="B258" s="67">
        <f>LOOKUP(A258+0.01,AmountsB!$A$4:$A$103,AmountsB!$B$4:$B$103)*0.1*$A$2</f>
        <v>14359.456697418003</v>
      </c>
      <c r="C258" s="68">
        <f t="shared" si="27"/>
        <v>1813231.8697230371</v>
      </c>
      <c r="D258" s="67">
        <f t="array" ref="D258">SUM($B$7:$B253*$F$1009*EXP(-$F$1009*($A258-$A$7:$A253)))*$F$1010</f>
        <v>228947088.22681844</v>
      </c>
      <c r="E258" s="67">
        <f t="shared" si="25"/>
        <v>436.46741224154175</v>
      </c>
      <c r="F258" s="70">
        <f t="shared" si="29"/>
        <v>26.502301271306415</v>
      </c>
      <c r="G258" s="67">
        <f>E258/'Lookup Tables'!$C$48</f>
        <v>872.9348244830835</v>
      </c>
      <c r="H258" s="70">
        <f t="shared" si="26"/>
        <v>0.12651844240372595</v>
      </c>
      <c r="I258" s="71">
        <f t="shared" si="30"/>
        <v>1.2570261472556403</v>
      </c>
      <c r="L258" s="74"/>
      <c r="M258" s="74"/>
      <c r="N258" s="74"/>
      <c r="O258" s="74"/>
      <c r="P258" s="74"/>
      <c r="Q258" s="74"/>
      <c r="R258" s="74"/>
      <c r="S258" s="74"/>
      <c r="T258" s="74"/>
      <c r="U258" s="74"/>
      <c r="V258" s="74"/>
      <c r="W258" s="74"/>
      <c r="X258" s="74"/>
      <c r="Y258" s="74"/>
    </row>
    <row r="259" spans="1:25" x14ac:dyDescent="0.3">
      <c r="A259" s="66">
        <f t="shared" si="28"/>
        <v>2015.1999999999771</v>
      </c>
      <c r="B259" s="67">
        <f>LOOKUP(A259+0.01,AmountsB!$A$4:$A$103,AmountsB!$B$4:$B$103)*0.1*$A$2</f>
        <v>14359.456697418003</v>
      </c>
      <c r="C259" s="68">
        <f t="shared" si="27"/>
        <v>1827591.326420455</v>
      </c>
      <c r="D259" s="67">
        <f t="array" ref="D259">SUM($B$7:$B254*$F$1009*EXP(-$F$1009*($A259-$A$7:$A254)))*$F$1010</f>
        <v>229870843.83962572</v>
      </c>
      <c r="E259" s="67">
        <f t="shared" si="25"/>
        <v>438.22847076815714</v>
      </c>
      <c r="F259" s="70">
        <f t="shared" si="29"/>
        <v>26.609232745042497</v>
      </c>
      <c r="G259" s="67">
        <f>E259/'Lookup Tables'!$C$48</f>
        <v>876.45694153631428</v>
      </c>
      <c r="H259" s="70">
        <f t="shared" si="26"/>
        <v>0.12603084776445972</v>
      </c>
      <c r="I259" s="71">
        <f t="shared" si="30"/>
        <v>1.2620979958122924</v>
      </c>
      <c r="L259" s="74"/>
      <c r="M259" s="74"/>
      <c r="N259" s="74"/>
      <c r="O259" s="74"/>
      <c r="P259" s="74"/>
      <c r="Q259" s="74"/>
      <c r="R259" s="74"/>
      <c r="S259" s="74"/>
      <c r="T259" s="74"/>
      <c r="U259" s="74"/>
      <c r="V259" s="74"/>
      <c r="W259" s="74"/>
      <c r="X259" s="74"/>
      <c r="Y259" s="74"/>
    </row>
    <row r="260" spans="1:25" x14ac:dyDescent="0.3">
      <c r="A260" s="66">
        <f t="shared" si="28"/>
        <v>2015.299999999977</v>
      </c>
      <c r="B260" s="67">
        <f>LOOKUP(A260+0.01,AmountsB!$A$4:$A$103,AmountsB!$B$4:$B$103)*0.1*$A$2</f>
        <v>14359.456697418003</v>
      </c>
      <c r="C260" s="68">
        <f t="shared" si="27"/>
        <v>1841950.7831178729</v>
      </c>
      <c r="D260" s="67">
        <f t="array" ref="D260">SUM($B$7:$B255*$F$1009*EXP(-$F$1009*($A260-$A$7:$A255)))*$F$1010</f>
        <v>230781756.98091397</v>
      </c>
      <c r="E260" s="67">
        <f t="shared" si="25"/>
        <v>439.96504625655558</v>
      </c>
      <c r="F260" s="70">
        <f t="shared" si="29"/>
        <v>26.714677608698054</v>
      </c>
      <c r="G260" s="67">
        <f>E260/'Lookup Tables'!$C$48</f>
        <v>879.93009251311116</v>
      </c>
      <c r="H260" s="70">
        <f t="shared" si="26"/>
        <v>0.12554386926724273</v>
      </c>
      <c r="I260" s="71">
        <f t="shared" si="30"/>
        <v>1.26709933321888</v>
      </c>
      <c r="L260" s="74"/>
      <c r="M260" s="74"/>
      <c r="N260" s="74"/>
      <c r="O260" s="74"/>
      <c r="P260" s="74"/>
      <c r="Q260" s="74"/>
      <c r="R260" s="74"/>
      <c r="S260" s="74"/>
      <c r="T260" s="74"/>
      <c r="U260" s="74"/>
      <c r="V260" s="74"/>
      <c r="W260" s="74"/>
      <c r="X260" s="74"/>
      <c r="Y260" s="74"/>
    </row>
    <row r="261" spans="1:25" x14ac:dyDescent="0.3">
      <c r="A261" s="66">
        <f t="shared" si="28"/>
        <v>2015.3999999999769</v>
      </c>
      <c r="B261" s="67">
        <f>LOOKUP(A261+0.01,AmountsB!$A$4:$A$103,AmountsB!$B$4:$B$103)*0.1*$A$2</f>
        <v>14359.456697418003</v>
      </c>
      <c r="C261" s="68">
        <f t="shared" si="27"/>
        <v>1856310.2398152908</v>
      </c>
      <c r="D261" s="67">
        <f t="array" ref="D261">SUM($B$7:$B256*$F$1009*EXP(-$F$1009*($A261-$A$7:$A256)))*$F$1010</f>
        <v>231680006.19257513</v>
      </c>
      <c r="E261" s="67">
        <f t="shared" si="25"/>
        <v>441.67747908109249</v>
      </c>
      <c r="F261" s="70">
        <f t="shared" si="29"/>
        <v>26.818656529803935</v>
      </c>
      <c r="G261" s="67">
        <f>E261/'Lookup Tables'!$C$48</f>
        <v>883.35495816218497</v>
      </c>
      <c r="H261" s="70">
        <f t="shared" si="26"/>
        <v>0.12505758898799238</v>
      </c>
      <c r="I261" s="71">
        <f t="shared" si="30"/>
        <v>1.2720311397535464</v>
      </c>
      <c r="L261" s="74"/>
      <c r="M261" s="74"/>
      <c r="N261" s="74"/>
      <c r="O261" s="74"/>
      <c r="P261" s="74"/>
      <c r="Q261" s="74"/>
      <c r="R261" s="74"/>
      <c r="S261" s="74"/>
      <c r="T261" s="74"/>
      <c r="U261" s="74"/>
      <c r="V261" s="74"/>
      <c r="W261" s="74"/>
      <c r="X261" s="74"/>
      <c r="Y261" s="74"/>
    </row>
    <row r="262" spans="1:25" x14ac:dyDescent="0.3">
      <c r="A262" s="66">
        <f t="shared" si="28"/>
        <v>2015.4999999999768</v>
      </c>
      <c r="B262" s="67">
        <f>LOOKUP(A262+0.01,AmountsB!$A$4:$A$103,AmountsB!$B$4:$B$103)*0.1*$A$2</f>
        <v>14359.456697418003</v>
      </c>
      <c r="C262" s="68">
        <f t="shared" si="27"/>
        <v>1870669.6965127087</v>
      </c>
      <c r="D262" s="67">
        <f t="array" ref="D262">SUM($B$7:$B257*$F$1009*EXP(-$F$1009*($A262-$A$7:$A257)))*$F$1010</f>
        <v>232647869.60407162</v>
      </c>
      <c r="E262" s="67">
        <f t="shared" si="25"/>
        <v>443.52262523206963</v>
      </c>
      <c r="F262" s="70">
        <f t="shared" si="29"/>
        <v>26.930693804091266</v>
      </c>
      <c r="G262" s="67">
        <f>E262/'Lookup Tables'!$C$48</f>
        <v>887.04525046413926</v>
      </c>
      <c r="H262" s="70">
        <f t="shared" si="26"/>
        <v>0.12461606250240131</v>
      </c>
      <c r="I262" s="71">
        <f t="shared" si="30"/>
        <v>1.2773451606683606</v>
      </c>
      <c r="L262" s="74"/>
      <c r="M262" s="74"/>
      <c r="N262" s="74"/>
      <c r="O262" s="74"/>
      <c r="P262" s="74"/>
      <c r="Q262" s="74"/>
      <c r="R262" s="74"/>
      <c r="S262" s="74"/>
      <c r="T262" s="74"/>
      <c r="U262" s="74"/>
      <c r="V262" s="74"/>
      <c r="W262" s="74"/>
      <c r="X262" s="74"/>
      <c r="Y262" s="74"/>
    </row>
    <row r="263" spans="1:25" x14ac:dyDescent="0.3">
      <c r="A263" s="66">
        <f t="shared" si="28"/>
        <v>2015.5999999999767</v>
      </c>
      <c r="B263" s="67">
        <f>LOOKUP(A263+0.01,AmountsB!$A$4:$A$103,AmountsB!$B$4:$B$103)*0.1*$A$2</f>
        <v>14359.456697418003</v>
      </c>
      <c r="C263" s="68">
        <f t="shared" si="27"/>
        <v>1885029.1532101266</v>
      </c>
      <c r="D263" s="67">
        <f t="array" ref="D263">SUM($B$7:$B258*$F$1009*EXP(-$F$1009*($A263-$A$7:$A258)))*$F$1010</f>
        <v>233602277.3373301</v>
      </c>
      <c r="E263" s="67">
        <f t="shared" ref="E263:E326" si="31">D263/(365*24*60)*1.00201</f>
        <v>445.34211932035419</v>
      </c>
      <c r="F263" s="70">
        <f t="shared" si="29"/>
        <v>27.041173485131907</v>
      </c>
      <c r="G263" s="67">
        <f>E263/'Lookup Tables'!$C$48</f>
        <v>890.68423864070837</v>
      </c>
      <c r="H263" s="70">
        <f t="shared" ref="H263:H326" si="32">G263*60*24*365/(C263*2000)</f>
        <v>0.1241741102603976</v>
      </c>
      <c r="I263" s="71">
        <f t="shared" si="30"/>
        <v>1.28258530364262</v>
      </c>
      <c r="L263" s="74"/>
      <c r="M263" s="74"/>
      <c r="N263" s="74"/>
      <c r="O263" s="74"/>
      <c r="P263" s="74"/>
      <c r="Q263" s="74"/>
      <c r="R263" s="74"/>
      <c r="S263" s="74"/>
      <c r="T263" s="74"/>
      <c r="U263" s="74"/>
      <c r="V263" s="74"/>
      <c r="W263" s="74"/>
      <c r="X263" s="74"/>
      <c r="Y263" s="74"/>
    </row>
    <row r="264" spans="1:25" x14ac:dyDescent="0.3">
      <c r="A264" s="66">
        <f t="shared" si="28"/>
        <v>2015.6999999999766</v>
      </c>
      <c r="B264" s="67">
        <f>LOOKUP(A264+0.01,AmountsB!$A$4:$A$103,AmountsB!$B$4:$B$103)*0.1*$A$2</f>
        <v>14359.456697418003</v>
      </c>
      <c r="C264" s="68">
        <f t="shared" si="27"/>
        <v>1899388.6099075445</v>
      </c>
      <c r="D264" s="67">
        <f t="array" ref="D264">SUM($B$7:$B259*$F$1009*EXP(-$F$1009*($A264-$A$7:$A259)))*$F$1010</f>
        <v>234543416.45932186</v>
      </c>
      <c r="E264" s="67">
        <f t="shared" si="31"/>
        <v>447.13631797261246</v>
      </c>
      <c r="F264" s="70">
        <f t="shared" si="29"/>
        <v>27.150117227297031</v>
      </c>
      <c r="G264" s="67">
        <f>E264/'Lookup Tables'!$C$48</f>
        <v>894.27263594522492</v>
      </c>
      <c r="H264" s="70">
        <f t="shared" si="32"/>
        <v>0.12373184060414306</v>
      </c>
      <c r="I264" s="71">
        <f t="shared" si="30"/>
        <v>1.287752595761124</v>
      </c>
      <c r="L264" s="74"/>
      <c r="M264" s="74"/>
      <c r="N264" s="74"/>
      <c r="O264" s="74"/>
      <c r="P264" s="74"/>
      <c r="Q264" s="74"/>
      <c r="R264" s="74"/>
      <c r="S264" s="74"/>
      <c r="T264" s="74"/>
      <c r="U264" s="74"/>
      <c r="V264" s="74"/>
      <c r="W264" s="74"/>
      <c r="X264" s="74"/>
      <c r="Y264" s="74"/>
    </row>
    <row r="265" spans="1:25" x14ac:dyDescent="0.3">
      <c r="A265" s="66">
        <f t="shared" si="28"/>
        <v>2015.7999999999765</v>
      </c>
      <c r="B265" s="67">
        <f>LOOKUP(A265+0.01,AmountsB!$A$4:$A$103,AmountsB!$B$4:$B$103)*0.1*$A$2</f>
        <v>14359.456697418003</v>
      </c>
      <c r="C265" s="68">
        <f t="shared" ref="C265:C328" si="33">C264+B265</f>
        <v>1913748.0666049623</v>
      </c>
      <c r="D265" s="67">
        <f t="array" ref="D265">SUM($B$7:$B260*$F$1009*EXP(-$F$1009*($A265-$A$7:$A260)))*$F$1010</f>
        <v>235471471.43632767</v>
      </c>
      <c r="E265" s="67">
        <f t="shared" si="31"/>
        <v>448.90557285752419</v>
      </c>
      <c r="F265" s="70">
        <f t="shared" si="29"/>
        <v>27.257546383908867</v>
      </c>
      <c r="G265" s="67">
        <f>E265/'Lookup Tables'!$C$48</f>
        <v>897.81114571504838</v>
      </c>
      <c r="H265" s="70">
        <f t="shared" si="32"/>
        <v>0.12328935726241476</v>
      </c>
      <c r="I265" s="71">
        <f t="shared" si="30"/>
        <v>1.2928480498296697</v>
      </c>
      <c r="L265" s="74"/>
      <c r="M265" s="74"/>
      <c r="N265" s="74"/>
      <c r="O265" s="74"/>
      <c r="P265" s="74"/>
      <c r="Q265" s="74"/>
      <c r="R265" s="74"/>
      <c r="S265" s="74"/>
      <c r="T265" s="74"/>
      <c r="U265" s="74"/>
      <c r="V265" s="74"/>
      <c r="W265" s="74"/>
      <c r="X265" s="74"/>
      <c r="Y265" s="74"/>
    </row>
    <row r="266" spans="1:25" x14ac:dyDescent="0.3">
      <c r="A266" s="66">
        <f t="shared" si="28"/>
        <v>2015.8999999999764</v>
      </c>
      <c r="B266" s="67">
        <f>LOOKUP(A266+0.01,AmountsB!$A$4:$A$103,AmountsB!$B$4:$B$103)*0.1*$A$2</f>
        <v>14359.456697418003</v>
      </c>
      <c r="C266" s="68">
        <f t="shared" si="33"/>
        <v>1928107.5233023802</v>
      </c>
      <c r="D266" s="67">
        <f t="array" ref="D266">SUM($B$7:$B261*$F$1009*EXP(-$F$1009*($A266-$A$7:$A261)))*$F$1010</f>
        <v>236386624.17009398</v>
      </c>
      <c r="E266" s="67">
        <f t="shared" si="31"/>
        <v>450.65023075471061</v>
      </c>
      <c r="F266" s="70">
        <f t="shared" si="29"/>
        <v>27.363482011426029</v>
      </c>
      <c r="G266" s="67">
        <f>E266/'Lookup Tables'!$C$48</f>
        <v>901.30046150942121</v>
      </c>
      <c r="H266" s="70">
        <f t="shared" si="32"/>
        <v>0.12284675954118429</v>
      </c>
      <c r="I266" s="71">
        <f t="shared" si="30"/>
        <v>1.2978726645735665</v>
      </c>
      <c r="L266" s="74"/>
      <c r="M266" s="74"/>
      <c r="N266" s="74"/>
      <c r="O266" s="74"/>
      <c r="P266" s="74"/>
      <c r="Q266" s="74"/>
      <c r="R266" s="74"/>
      <c r="S266" s="74"/>
      <c r="T266" s="74"/>
      <c r="U266" s="74"/>
      <c r="V266" s="74"/>
      <c r="W266" s="74"/>
      <c r="X266" s="74"/>
      <c r="Y266" s="74"/>
    </row>
    <row r="267" spans="1:25" x14ac:dyDescent="0.3">
      <c r="A267" s="66">
        <f t="shared" si="28"/>
        <v>2015.9999999999764</v>
      </c>
      <c r="B267" s="67">
        <f>LOOKUP(A267+0.01,AmountsB!$A$4:$A$103,AmountsB!$B$4:$B$103)*0.1*$A$2</f>
        <v>14646.621775653002</v>
      </c>
      <c r="C267" s="68">
        <f t="shared" si="33"/>
        <v>1942754.1450780332</v>
      </c>
      <c r="D267" s="67">
        <f t="array" ref="D267">SUM($B$7:$B262*$F$1009*EXP(-$F$1009*($A267-$A$7:$A262)))*$F$1010</f>
        <v>237289054.03348646</v>
      </c>
      <c r="E267" s="67">
        <f t="shared" si="31"/>
        <v>452.37063362270504</v>
      </c>
      <c r="F267" s="70">
        <f t="shared" si="29"/>
        <v>27.467944873570652</v>
      </c>
      <c r="G267" s="67">
        <f>E267/'Lookup Tables'!$C$48</f>
        <v>904.74126724541009</v>
      </c>
      <c r="H267" s="70">
        <f t="shared" si="32"/>
        <v>0.12238604953409767</v>
      </c>
      <c r="I267" s="71">
        <f t="shared" si="30"/>
        <v>1.3028274248333904</v>
      </c>
      <c r="L267" s="74"/>
      <c r="M267" s="74"/>
      <c r="N267" s="74"/>
      <c r="O267" s="74"/>
      <c r="P267" s="74"/>
      <c r="Q267" s="74"/>
      <c r="R267" s="74"/>
      <c r="S267" s="74"/>
      <c r="T267" s="74"/>
      <c r="U267" s="74"/>
      <c r="V267" s="74"/>
      <c r="W267" s="74"/>
      <c r="X267" s="74"/>
      <c r="Y267" s="74"/>
    </row>
    <row r="268" spans="1:25" x14ac:dyDescent="0.3">
      <c r="A268" s="66">
        <f t="shared" si="28"/>
        <v>2016.0999999999763</v>
      </c>
      <c r="B268" s="67">
        <f>LOOKUP(A268+0.01,AmountsB!$A$4:$A$103,AmountsB!$B$4:$B$103)*0.1*$A$2</f>
        <v>14646.621775653002</v>
      </c>
      <c r="C268" s="68">
        <f t="shared" si="33"/>
        <v>1957400.7668536862</v>
      </c>
      <c r="D268" s="67">
        <f t="array" ref="D268">SUM($B$7:$B263*$F$1009*EXP(-$F$1009*($A268-$A$7:$A263)))*$F$1010</f>
        <v>238178937.90564719</v>
      </c>
      <c r="E268" s="67">
        <f t="shared" si="31"/>
        <v>454.06711866597709</v>
      </c>
      <c r="F268" s="70">
        <f t="shared" si="29"/>
        <v>27.570955445398127</v>
      </c>
      <c r="G268" s="67">
        <f>E268/'Lookup Tables'!$C$48</f>
        <v>908.13423733195418</v>
      </c>
      <c r="H268" s="70">
        <f t="shared" si="32"/>
        <v>0.12192581182772008</v>
      </c>
      <c r="I268" s="71">
        <f t="shared" si="30"/>
        <v>1.3077133017580138</v>
      </c>
      <c r="L268" s="74"/>
      <c r="M268" s="74"/>
      <c r="N268" s="74"/>
      <c r="O268" s="74"/>
      <c r="P268" s="74"/>
      <c r="Q268" s="74"/>
      <c r="R268" s="74"/>
      <c r="S268" s="74"/>
      <c r="T268" s="74"/>
      <c r="U268" s="74"/>
      <c r="V268" s="74"/>
      <c r="W268" s="74"/>
      <c r="X268" s="74"/>
      <c r="Y268" s="74"/>
    </row>
    <row r="269" spans="1:25" x14ac:dyDescent="0.3">
      <c r="A269" s="66">
        <f t="shared" si="28"/>
        <v>2016.1999999999762</v>
      </c>
      <c r="B269" s="67">
        <f>LOOKUP(A269+0.01,AmountsB!$A$4:$A$103,AmountsB!$B$4:$B$103)*0.1*$A$2</f>
        <v>14646.621775653002</v>
      </c>
      <c r="C269" s="68">
        <f t="shared" si="33"/>
        <v>1972047.3886293392</v>
      </c>
      <c r="D269" s="67">
        <f t="array" ref="D269">SUM($B$7:$B264*$F$1009*EXP(-$F$1009*($A269-$A$7:$A264)))*$F$1010</f>
        <v>239056450.20666403</v>
      </c>
      <c r="E269" s="67">
        <f t="shared" si="31"/>
        <v>455.74001840102636</v>
      </c>
      <c r="F269" s="70">
        <f t="shared" si="29"/>
        <v>27.672533917310322</v>
      </c>
      <c r="G269" s="67">
        <f>E269/'Lookup Tables'!$C$48</f>
        <v>911.48003680205272</v>
      </c>
      <c r="H269" s="70">
        <f t="shared" si="32"/>
        <v>0.12146612452252901</v>
      </c>
      <c r="I269" s="71">
        <f t="shared" si="30"/>
        <v>1.312531252994956</v>
      </c>
      <c r="L269" s="74"/>
      <c r="M269" s="74"/>
      <c r="N269" s="74"/>
      <c r="O269" s="74"/>
      <c r="P269" s="74"/>
      <c r="Q269" s="74"/>
      <c r="R269" s="74"/>
      <c r="S269" s="74"/>
      <c r="T269" s="74"/>
      <c r="U269" s="74"/>
      <c r="V269" s="74"/>
      <c r="W269" s="74"/>
      <c r="X269" s="74"/>
      <c r="Y269" s="74"/>
    </row>
    <row r="270" spans="1:25" x14ac:dyDescent="0.3">
      <c r="A270" s="66">
        <f t="shared" si="28"/>
        <v>2016.2999999999761</v>
      </c>
      <c r="B270" s="67">
        <f>LOOKUP(A270+0.01,AmountsB!$A$4:$A$103,AmountsB!$B$4:$B$103)*0.1*$A$2</f>
        <v>14646.621775653002</v>
      </c>
      <c r="C270" s="68">
        <f t="shared" si="33"/>
        <v>1986694.0104049922</v>
      </c>
      <c r="D270" s="67">
        <f t="array" ref="D270">SUM($B$7:$B265*$F$1009*EXP(-$F$1009*($A270-$A$7:$A265)))*$F$1010</f>
        <v>239921762.93175724</v>
      </c>
      <c r="E270" s="67">
        <f t="shared" si="31"/>
        <v>457.38966072155654</v>
      </c>
      <c r="F270" s="70">
        <f t="shared" si="29"/>
        <v>27.772700199012913</v>
      </c>
      <c r="G270" s="67">
        <f>E270/'Lookup Tables'!$C$48</f>
        <v>914.77932144311308</v>
      </c>
      <c r="H270" s="70">
        <f t="shared" si="32"/>
        <v>0.12100706219285536</v>
      </c>
      <c r="I270" s="71">
        <f t="shared" si="30"/>
        <v>1.3172822228780829</v>
      </c>
      <c r="L270" s="74"/>
      <c r="M270" s="74"/>
      <c r="N270" s="74"/>
      <c r="O270" s="74"/>
      <c r="P270" s="74"/>
      <c r="Q270" s="74"/>
      <c r="R270" s="74"/>
      <c r="S270" s="74"/>
      <c r="T270" s="74"/>
      <c r="U270" s="74"/>
      <c r="V270" s="74"/>
      <c r="W270" s="74"/>
      <c r="X270" s="74"/>
      <c r="Y270" s="74"/>
    </row>
    <row r="271" spans="1:25" x14ac:dyDescent="0.3">
      <c r="A271" s="66">
        <f t="shared" si="28"/>
        <v>2016.399999999976</v>
      </c>
      <c r="B271" s="67">
        <f>LOOKUP(A271+0.01,AmountsB!$A$4:$A$103,AmountsB!$B$4:$B$103)*0.1*$A$2</f>
        <v>14646.621775653002</v>
      </c>
      <c r="C271" s="68">
        <f t="shared" si="33"/>
        <v>2001340.6321806451</v>
      </c>
      <c r="D271" s="67">
        <f t="array" ref="D271">SUM($B$7:$B266*$F$1009*EXP(-$F$1009*($A271-$A$7:$A266)))*$F$1010</f>
        <v>240775045.68499106</v>
      </c>
      <c r="E271" s="67">
        <f t="shared" si="31"/>
        <v>459.0163689627434</v>
      </c>
      <c r="F271" s="70">
        <f t="shared" si="29"/>
        <v>27.871473923417781</v>
      </c>
      <c r="G271" s="67">
        <f>E271/'Lookup Tables'!$C$48</f>
        <v>918.0327379254868</v>
      </c>
      <c r="H271" s="70">
        <f t="shared" si="32"/>
        <v>0.12054869603279078</v>
      </c>
      <c r="I271" s="71">
        <f t="shared" si="30"/>
        <v>1.3219671426127011</v>
      </c>
      <c r="L271" s="74"/>
      <c r="M271" s="74"/>
      <c r="N271" s="74"/>
      <c r="O271" s="74"/>
      <c r="P271" s="74"/>
      <c r="Q271" s="74"/>
      <c r="R271" s="74"/>
      <c r="S271" s="74"/>
      <c r="T271" s="74"/>
      <c r="U271" s="74"/>
      <c r="V271" s="74"/>
      <c r="W271" s="74"/>
      <c r="X271" s="74"/>
      <c r="Y271" s="74"/>
    </row>
    <row r="272" spans="1:25" x14ac:dyDescent="0.3">
      <c r="A272" s="66">
        <f t="shared" si="28"/>
        <v>2016.4999999999759</v>
      </c>
      <c r="B272" s="67">
        <f>LOOKUP(A272+0.01,AmountsB!$A$4:$A$103,AmountsB!$B$4:$B$103)*0.1*$A$2</f>
        <v>14646.621775653002</v>
      </c>
      <c r="C272" s="68">
        <f t="shared" si="33"/>
        <v>2015987.2539562981</v>
      </c>
      <c r="D272" s="67">
        <f t="array" ref="D272">SUM($B$7:$B267*$F$1009*EXP(-$F$1009*($A272-$A$7:$A267)))*$F$1010</f>
        <v>241700234.38410115</v>
      </c>
      <c r="E272" s="67">
        <f t="shared" si="31"/>
        <v>460.78015954188209</v>
      </c>
      <c r="F272" s="70">
        <f t="shared" si="29"/>
        <v>27.97857128738308</v>
      </c>
      <c r="G272" s="67">
        <f>E272/'Lookup Tables'!$C$48</f>
        <v>921.56031908376417</v>
      </c>
      <c r="H272" s="70">
        <f t="shared" si="32"/>
        <v>0.12013272969852976</v>
      </c>
      <c r="I272" s="71">
        <f t="shared" si="30"/>
        <v>1.3270468594806204</v>
      </c>
      <c r="L272" s="74"/>
      <c r="M272" s="74"/>
      <c r="N272" s="74"/>
      <c r="O272" s="74"/>
      <c r="P272" s="74"/>
      <c r="Q272" s="74"/>
      <c r="R272" s="74"/>
      <c r="S272" s="74"/>
      <c r="T272" s="74"/>
      <c r="U272" s="74"/>
      <c r="V272" s="74"/>
      <c r="W272" s="74"/>
      <c r="X272" s="74"/>
      <c r="Y272" s="74"/>
    </row>
    <row r="273" spans="1:25" x14ac:dyDescent="0.3">
      <c r="A273" s="66">
        <f t="shared" si="28"/>
        <v>2016.5999999999758</v>
      </c>
      <c r="B273" s="67">
        <f>LOOKUP(A273+0.01,AmountsB!$A$4:$A$103,AmountsB!$B$4:$B$103)*0.1*$A$2</f>
        <v>14646.621775653002</v>
      </c>
      <c r="C273" s="68">
        <f t="shared" si="33"/>
        <v>2030633.8757319511</v>
      </c>
      <c r="D273" s="67">
        <f t="array" ref="D273">SUM($B$7:$B268*$F$1009*EXP(-$F$1009*($A273-$A$7:$A268)))*$F$1010</f>
        <v>242612560.68827346</v>
      </c>
      <c r="E273" s="67">
        <f t="shared" si="31"/>
        <v>462.51942910056488</v>
      </c>
      <c r="F273" s="70">
        <f t="shared" si="29"/>
        <v>28.0841797349863</v>
      </c>
      <c r="G273" s="67">
        <f>E273/'Lookup Tables'!$C$48</f>
        <v>925.03885820112976</v>
      </c>
      <c r="H273" s="70">
        <f t="shared" si="32"/>
        <v>0.11971641704619469</v>
      </c>
      <c r="I273" s="71">
        <f t="shared" si="30"/>
        <v>1.332055955809627</v>
      </c>
      <c r="L273" s="74"/>
      <c r="M273" s="74"/>
      <c r="N273" s="74"/>
      <c r="O273" s="74"/>
      <c r="P273" s="74"/>
      <c r="Q273" s="74"/>
      <c r="R273" s="74"/>
      <c r="S273" s="74"/>
      <c r="T273" s="74"/>
      <c r="U273" s="74"/>
      <c r="V273" s="74"/>
      <c r="W273" s="74"/>
      <c r="X273" s="74"/>
      <c r="Y273" s="74"/>
    </row>
    <row r="274" spans="1:25" x14ac:dyDescent="0.3">
      <c r="A274" s="66">
        <f t="shared" si="28"/>
        <v>2016.6999999999757</v>
      </c>
      <c r="B274" s="67">
        <f>LOOKUP(A274+0.01,AmountsB!$A$4:$A$103,AmountsB!$B$4:$B$103)*0.1*$A$2</f>
        <v>14646.621775653002</v>
      </c>
      <c r="C274" s="68">
        <f t="shared" si="33"/>
        <v>2045280.4975076041</v>
      </c>
      <c r="D274" s="67">
        <f t="array" ref="D274">SUM($B$7:$B269*$F$1009*EXP(-$F$1009*($A274-$A$7:$A269)))*$F$1010</f>
        <v>243512203.41638419</v>
      </c>
      <c r="E274" s="67">
        <f t="shared" si="31"/>
        <v>464.23451854119321</v>
      </c>
      <c r="F274" s="70">
        <f t="shared" si="29"/>
        <v>28.18831996582125</v>
      </c>
      <c r="G274" s="67">
        <f>E274/'Lookup Tables'!$C$48</f>
        <v>928.46903708238642</v>
      </c>
      <c r="H274" s="70">
        <f t="shared" si="32"/>
        <v>0.11929985312165917</v>
      </c>
      <c r="I274" s="71">
        <f t="shared" si="30"/>
        <v>1.3369954133986366</v>
      </c>
      <c r="L274" s="74"/>
      <c r="M274" s="74"/>
      <c r="N274" s="74"/>
      <c r="O274" s="74"/>
      <c r="P274" s="74"/>
      <c r="Q274" s="74"/>
      <c r="R274" s="74"/>
      <c r="S274" s="74"/>
      <c r="T274" s="74"/>
      <c r="U274" s="74"/>
      <c r="V274" s="74"/>
      <c r="W274" s="74"/>
      <c r="X274" s="74"/>
      <c r="Y274" s="74"/>
    </row>
    <row r="275" spans="1:25" x14ac:dyDescent="0.3">
      <c r="A275" s="66">
        <f t="shared" ref="A275:A338" si="34">A274+0.1</f>
        <v>2016.7999999999756</v>
      </c>
      <c r="B275" s="67">
        <f>LOOKUP(A275+0.01,AmountsB!$A$4:$A$103,AmountsB!$B$4:$B$103)*0.1*$A$2</f>
        <v>14646.621775653002</v>
      </c>
      <c r="C275" s="68">
        <f t="shared" si="33"/>
        <v>2059927.1192832571</v>
      </c>
      <c r="D275" s="67">
        <f t="array" ref="D275">SUM($B$7:$B270*$F$1009*EXP(-$F$1009*($A275-$A$7:$A270)))*$F$1010</f>
        <v>244399338.90128812</v>
      </c>
      <c r="E275" s="67">
        <f t="shared" si="31"/>
        <v>465.92576402678793</v>
      </c>
      <c r="F275" s="70">
        <f t="shared" ref="F275:F338" si="35">E275*60*1012/1000000</f>
        <v>28.291012391706563</v>
      </c>
      <c r="G275" s="67">
        <f>E275/'Lookup Tables'!$C$48</f>
        <v>931.85152805357586</v>
      </c>
      <c r="H275" s="70">
        <f t="shared" si="32"/>
        <v>0.11888312905831755</v>
      </c>
      <c r="I275" s="71">
        <f t="shared" ref="I275:I338" si="36">G275*60*24/1000000</f>
        <v>1.3418662003971491</v>
      </c>
      <c r="L275" s="74"/>
      <c r="M275" s="74"/>
      <c r="N275" s="74"/>
      <c r="O275" s="74"/>
      <c r="P275" s="74"/>
      <c r="Q275" s="74"/>
      <c r="R275" s="74"/>
      <c r="S275" s="74"/>
      <c r="T275" s="74"/>
      <c r="U275" s="74"/>
      <c r="V275" s="74"/>
      <c r="W275" s="74"/>
      <c r="X275" s="74"/>
      <c r="Y275" s="74"/>
    </row>
    <row r="276" spans="1:25" x14ac:dyDescent="0.3">
      <c r="A276" s="66">
        <f t="shared" si="34"/>
        <v>2016.8999999999755</v>
      </c>
      <c r="B276" s="67">
        <f>LOOKUP(A276+0.01,AmountsB!$A$4:$A$103,AmountsB!$B$4:$B$103)*0.1*$A$2</f>
        <v>14646.621775653002</v>
      </c>
      <c r="C276" s="68">
        <f t="shared" si="33"/>
        <v>2074573.74105891</v>
      </c>
      <c r="D276" s="67">
        <f t="array" ref="D276">SUM($B$7:$B271*$F$1009*EXP(-$F$1009*($A276-$A$7:$A271)))*$F$1010</f>
        <v>245274141.0243803</v>
      </c>
      <c r="E276" s="67">
        <f t="shared" si="31"/>
        <v>467.59349704687844</v>
      </c>
      <c r="F276" s="70">
        <f t="shared" si="35"/>
        <v>28.392277140686456</v>
      </c>
      <c r="G276" s="67">
        <f>E276/'Lookup Tables'!$C$48</f>
        <v>935.18699409375688</v>
      </c>
      <c r="H276" s="70">
        <f t="shared" si="32"/>
        <v>0.11846633223188976</v>
      </c>
      <c r="I276" s="71">
        <f t="shared" si="36"/>
        <v>1.3466692714950097</v>
      </c>
      <c r="L276" s="74"/>
      <c r="M276" s="74"/>
      <c r="N276" s="74"/>
      <c r="O276" s="74"/>
      <c r="P276" s="74"/>
      <c r="Q276" s="74"/>
      <c r="R276" s="74"/>
      <c r="S276" s="74"/>
      <c r="T276" s="74"/>
      <c r="U276" s="74"/>
      <c r="V276" s="74"/>
      <c r="W276" s="74"/>
      <c r="X276" s="74"/>
      <c r="Y276" s="74"/>
    </row>
    <row r="277" spans="1:25" x14ac:dyDescent="0.3">
      <c r="A277" s="66">
        <f t="shared" si="34"/>
        <v>2016.9999999999754</v>
      </c>
      <c r="B277" s="67">
        <f>LOOKUP(A277+0.01,AmountsB!$A$4:$A$103,AmountsB!$B$4:$B$103)*0.1*$A$2</f>
        <v>0</v>
      </c>
      <c r="C277" s="68">
        <f t="shared" si="33"/>
        <v>2074573.74105891</v>
      </c>
      <c r="D277" s="67">
        <f t="array" ref="D277">SUM($B$7:$B272*$F$1009*EXP(-$F$1009*($A277-$A$7:$A272)))*$F$1010</f>
        <v>246136781.24967745</v>
      </c>
      <c r="E277" s="67">
        <f t="shared" si="31"/>
        <v>469.23804448247586</v>
      </c>
      <c r="F277" s="70">
        <f t="shared" si="35"/>
        <v>28.492134060975935</v>
      </c>
      <c r="G277" s="67">
        <f>E277/'Lookup Tables'!$C$48</f>
        <v>938.47608896495171</v>
      </c>
      <c r="H277" s="70">
        <f t="shared" si="32"/>
        <v>0.11888298366974553</v>
      </c>
      <c r="I277" s="71">
        <f t="shared" si="36"/>
        <v>1.3514055681095305</v>
      </c>
      <c r="L277" s="74"/>
      <c r="M277" s="74"/>
      <c r="N277" s="74"/>
      <c r="O277" s="74"/>
      <c r="P277" s="74"/>
      <c r="Q277" s="74"/>
      <c r="R277" s="74"/>
      <c r="S277" s="74"/>
      <c r="T277" s="74"/>
      <c r="U277" s="74"/>
      <c r="V277" s="74"/>
      <c r="W277" s="74"/>
      <c r="X277" s="74"/>
      <c r="Y277" s="74"/>
    </row>
    <row r="278" spans="1:25" x14ac:dyDescent="0.3">
      <c r="A278" s="66">
        <f t="shared" si="34"/>
        <v>2017.0999999999754</v>
      </c>
      <c r="B278" s="67">
        <f>LOOKUP(A278+0.01,AmountsB!$A$4:$A$103,AmountsB!$B$4:$B$103)*0.1*$A$2</f>
        <v>0</v>
      </c>
      <c r="C278" s="68">
        <f t="shared" si="33"/>
        <v>2074573.74105891</v>
      </c>
      <c r="D278" s="67">
        <f t="array" ref="D278">SUM($B$7:$B273*$F$1009*EXP(-$F$1009*($A278-$A$7:$A273)))*$F$1010</f>
        <v>246987428.6574254</v>
      </c>
      <c r="E278" s="67">
        <f t="shared" si="31"/>
        <v>470.85972867014237</v>
      </c>
      <c r="F278" s="70">
        <f t="shared" si="35"/>
        <v>28.590602724851045</v>
      </c>
      <c r="G278" s="67">
        <f>E278/'Lookup Tables'!$C$48</f>
        <v>941.71945734028475</v>
      </c>
      <c r="H278" s="70">
        <f t="shared" si="32"/>
        <v>0.11929384262942873</v>
      </c>
      <c r="I278" s="71">
        <f t="shared" si="36"/>
        <v>1.35607601857001</v>
      </c>
      <c r="L278" s="74"/>
      <c r="M278" s="74"/>
      <c r="N278" s="74"/>
      <c r="O278" s="74"/>
      <c r="P278" s="74"/>
      <c r="Q278" s="74"/>
      <c r="R278" s="74"/>
      <c r="S278" s="74"/>
      <c r="T278" s="74"/>
      <c r="U278" s="74"/>
      <c r="V278" s="74"/>
      <c r="W278" s="74"/>
      <c r="X278" s="74"/>
      <c r="Y278" s="74"/>
    </row>
    <row r="279" spans="1:25" x14ac:dyDescent="0.3">
      <c r="A279" s="66">
        <f t="shared" si="34"/>
        <v>2017.1999999999753</v>
      </c>
      <c r="B279" s="67">
        <f>LOOKUP(A279+0.01,AmountsB!$A$4:$A$103,AmountsB!$B$4:$B$103)*0.1*$A$2</f>
        <v>0</v>
      </c>
      <c r="C279" s="68">
        <f t="shared" si="33"/>
        <v>2074573.74105891</v>
      </c>
      <c r="D279" s="67">
        <f t="array" ref="D279">SUM($B$7:$B274*$F$1009*EXP(-$F$1009*($A279-$A$7:$A274)))*$F$1010</f>
        <v>247826249.97723925</v>
      </c>
      <c r="E279" s="67">
        <f t="shared" si="31"/>
        <v>472.45886746517033</v>
      </c>
      <c r="F279" s="70">
        <f t="shared" si="35"/>
        <v>28.687702432485143</v>
      </c>
      <c r="G279" s="67">
        <f>E279/'Lookup Tables'!$C$48</f>
        <v>944.91773493034066</v>
      </c>
      <c r="H279" s="70">
        <f t="shared" si="32"/>
        <v>0.11969898964061072</v>
      </c>
      <c r="I279" s="71">
        <f t="shared" si="36"/>
        <v>1.3606815382996904</v>
      </c>
      <c r="L279" s="74"/>
      <c r="M279" s="74"/>
      <c r="N279" s="74"/>
      <c r="O279" s="74"/>
      <c r="P279" s="74"/>
      <c r="Q279" s="74"/>
      <c r="R279" s="74"/>
      <c r="S279" s="74"/>
      <c r="T279" s="74"/>
      <c r="U279" s="74"/>
      <c r="V279" s="74"/>
      <c r="W279" s="74"/>
      <c r="X279" s="74"/>
      <c r="Y279" s="74"/>
    </row>
    <row r="280" spans="1:25" x14ac:dyDescent="0.3">
      <c r="A280" s="66">
        <f t="shared" si="34"/>
        <v>2017.2999999999752</v>
      </c>
      <c r="B280" s="67">
        <f>LOOKUP(A280+0.01,AmountsB!$A$4:$A$103,AmountsB!$B$4:$B$103)*0.1*$A$2</f>
        <v>0</v>
      </c>
      <c r="C280" s="68">
        <f t="shared" si="33"/>
        <v>2074573.74105891</v>
      </c>
      <c r="D280" s="67">
        <f t="array" ref="D280">SUM($B$7:$B275*$F$1009*EXP(-$F$1009*($A280-$A$7:$A275)))*$F$1010</f>
        <v>248653409.62078297</v>
      </c>
      <c r="E280" s="67">
        <f t="shared" si="31"/>
        <v>474.0357743038827</v>
      </c>
      <c r="F280" s="70">
        <f t="shared" si="35"/>
        <v>28.783452215731756</v>
      </c>
      <c r="G280" s="67">
        <f>E280/'Lookup Tables'!$C$48</f>
        <v>948.07154860776541</v>
      </c>
      <c r="H280" s="70">
        <f t="shared" si="32"/>
        <v>0.1200985041134027</v>
      </c>
      <c r="I280" s="71">
        <f t="shared" si="36"/>
        <v>1.365223029995182</v>
      </c>
      <c r="L280" s="74"/>
      <c r="M280" s="74"/>
      <c r="N280" s="74"/>
      <c r="O280" s="74"/>
      <c r="P280" s="74"/>
      <c r="Q280" s="74"/>
      <c r="R280" s="74"/>
      <c r="S280" s="74"/>
      <c r="T280" s="74"/>
      <c r="U280" s="74"/>
      <c r="V280" s="74"/>
      <c r="W280" s="74"/>
      <c r="X280" s="74"/>
      <c r="Y280" s="74"/>
    </row>
    <row r="281" spans="1:25" x14ac:dyDescent="0.3">
      <c r="A281" s="66">
        <f t="shared" si="34"/>
        <v>2017.3999999999751</v>
      </c>
      <c r="B281" s="67">
        <f>LOOKUP(A281+0.01,AmountsB!$A$4:$A$103,AmountsB!$B$4:$B$103)*0.1*$A$2</f>
        <v>0</v>
      </c>
      <c r="C281" s="68">
        <f t="shared" si="33"/>
        <v>2074573.74105891</v>
      </c>
      <c r="D281" s="67">
        <f t="array" ref="D281">SUM($B$7:$B276*$F$1009*EXP(-$F$1009*($A281-$A$7:$A276)))*$F$1010</f>
        <v>249469069.71399483</v>
      </c>
      <c r="E281" s="67">
        <f t="shared" si="31"/>
        <v>475.59075826506842</v>
      </c>
      <c r="F281" s="70">
        <f t="shared" si="35"/>
        <v>28.877870841854953</v>
      </c>
      <c r="G281" s="67">
        <f>E281/'Lookup Tables'!$C$48</f>
        <v>951.18151653013683</v>
      </c>
      <c r="H281" s="70">
        <f t="shared" si="32"/>
        <v>0.12049246435392037</v>
      </c>
      <c r="I281" s="71">
        <f t="shared" si="36"/>
        <v>1.3697013838033969</v>
      </c>
      <c r="L281" s="74"/>
      <c r="M281" s="74"/>
      <c r="N281" s="74"/>
      <c r="O281" s="74"/>
      <c r="P281" s="74"/>
      <c r="Q281" s="74"/>
      <c r="R281" s="74"/>
      <c r="S281" s="74"/>
      <c r="T281" s="74"/>
      <c r="U281" s="74"/>
      <c r="V281" s="74"/>
      <c r="W281" s="74"/>
      <c r="X281" s="74"/>
      <c r="Y281" s="74"/>
    </row>
    <row r="282" spans="1:25" x14ac:dyDescent="0.3">
      <c r="A282" s="66">
        <f t="shared" si="34"/>
        <v>2017.499999999975</v>
      </c>
      <c r="B282" s="67">
        <f>LOOKUP(A282+0.01,AmountsB!$A$4:$A$103,AmountsB!$B$4:$B$103)*0.1*$A$2</f>
        <v>0</v>
      </c>
      <c r="C282" s="68">
        <f t="shared" si="33"/>
        <v>2074573.74105891</v>
      </c>
      <c r="D282" s="67">
        <f t="array" ref="D282">SUM($B$7:$B277*$F$1009*EXP(-$F$1009*($A282-$A$7:$A277)))*$F$1010</f>
        <v>246000837.01451415</v>
      </c>
      <c r="E282" s="67">
        <f t="shared" si="31"/>
        <v>468.97887879930238</v>
      </c>
      <c r="F282" s="70">
        <f t="shared" si="35"/>
        <v>28.476397520693641</v>
      </c>
      <c r="G282" s="67">
        <f>E282/'Lookup Tables'!$C$48</f>
        <v>937.95775759860476</v>
      </c>
      <c r="H282" s="70">
        <f t="shared" si="32"/>
        <v>0.11881732320158284</v>
      </c>
      <c r="I282" s="71">
        <f t="shared" si="36"/>
        <v>1.3506591709419908</v>
      </c>
      <c r="L282" s="74"/>
      <c r="M282" s="74"/>
      <c r="N282" s="74"/>
      <c r="O282" s="74"/>
      <c r="P282" s="74"/>
      <c r="Q282" s="74"/>
      <c r="R282" s="74"/>
      <c r="S282" s="74"/>
      <c r="T282" s="74"/>
      <c r="U282" s="74"/>
      <c r="V282" s="74"/>
      <c r="W282" s="74"/>
      <c r="X282" s="74"/>
      <c r="Y282" s="74"/>
    </row>
    <row r="283" spans="1:25" x14ac:dyDescent="0.3">
      <c r="A283" s="66">
        <f t="shared" si="34"/>
        <v>2017.5999999999749</v>
      </c>
      <c r="B283" s="67">
        <f>LOOKUP(A283+0.01,AmountsB!$A$4:$A$103,AmountsB!$B$4:$B$103)*0.1*$A$2</f>
        <v>0</v>
      </c>
      <c r="C283" s="68">
        <f t="shared" si="33"/>
        <v>2074573.74105891</v>
      </c>
      <c r="D283" s="67">
        <f t="array" ref="D283">SUM($B$7:$B278*$F$1009*EXP(-$F$1009*($A283-$A$7:$A278)))*$F$1010</f>
        <v>242580821.266624</v>
      </c>
      <c r="E283" s="67">
        <f t="shared" si="31"/>
        <v>462.45892069514832</v>
      </c>
      <c r="F283" s="70">
        <f t="shared" si="35"/>
        <v>28.080505664609404</v>
      </c>
      <c r="G283" s="67">
        <f>E283/'Lookup Tables'!$C$48</f>
        <v>924.91784139029664</v>
      </c>
      <c r="H283" s="70">
        <f t="shared" si="32"/>
        <v>0.11716547062496908</v>
      </c>
      <c r="I283" s="71">
        <f t="shared" si="36"/>
        <v>1.3318816916020271</v>
      </c>
      <c r="L283" s="74"/>
      <c r="M283" s="74"/>
      <c r="N283" s="74"/>
      <c r="O283" s="74"/>
      <c r="P283" s="74"/>
      <c r="Q283" s="74"/>
      <c r="R283" s="74"/>
      <c r="S283" s="74"/>
      <c r="T283" s="74"/>
      <c r="U283" s="74"/>
      <c r="V283" s="74"/>
      <c r="W283" s="74"/>
      <c r="X283" s="74"/>
      <c r="Y283" s="74"/>
    </row>
    <row r="284" spans="1:25" x14ac:dyDescent="0.3">
      <c r="A284" s="66">
        <f t="shared" si="34"/>
        <v>2017.6999999999748</v>
      </c>
      <c r="B284" s="67">
        <f>LOOKUP(A284+0.01,AmountsB!$A$4:$A$103,AmountsB!$B$4:$B$103)*0.1*$A$2</f>
        <v>0</v>
      </c>
      <c r="C284" s="68">
        <f t="shared" si="33"/>
        <v>2074573.74105891</v>
      </c>
      <c r="D284" s="67">
        <f t="array" ref="D284">SUM($B$7:$B279*$F$1009*EXP(-$F$1009*($A284-$A$7:$A279)))*$F$1010</f>
        <v>239208352.13628915</v>
      </c>
      <c r="E284" s="67">
        <f t="shared" si="31"/>
        <v>456.02960601994499</v>
      </c>
      <c r="F284" s="70">
        <f t="shared" si="35"/>
        <v>27.69011767753106</v>
      </c>
      <c r="G284" s="67">
        <f>E284/'Lookup Tables'!$C$48</f>
        <v>912.05921203988999</v>
      </c>
      <c r="H284" s="70">
        <f t="shared" si="32"/>
        <v>0.11553658285568592</v>
      </c>
      <c r="I284" s="71">
        <f t="shared" si="36"/>
        <v>1.3133652653374417</v>
      </c>
      <c r="L284" s="74"/>
      <c r="M284" s="74"/>
      <c r="N284" s="74"/>
      <c r="O284" s="74"/>
      <c r="P284" s="74"/>
      <c r="Q284" s="74"/>
      <c r="R284" s="74"/>
      <c r="S284" s="74"/>
      <c r="T284" s="74"/>
      <c r="U284" s="74"/>
      <c r="V284" s="74"/>
      <c r="W284" s="74"/>
      <c r="X284" s="74"/>
      <c r="Y284" s="74"/>
    </row>
    <row r="285" spans="1:25" x14ac:dyDescent="0.3">
      <c r="A285" s="66">
        <f t="shared" si="34"/>
        <v>2017.7999999999747</v>
      </c>
      <c r="B285" s="67">
        <f>LOOKUP(A285+0.01,AmountsB!$A$4:$A$103,AmountsB!$B$4:$B$103)*0.1*$A$2</f>
        <v>0</v>
      </c>
      <c r="C285" s="68">
        <f t="shared" si="33"/>
        <v>2074573.74105891</v>
      </c>
      <c r="D285" s="67">
        <f t="array" ref="D285">SUM($B$7:$B280*$F$1009*EXP(-$F$1009*($A285-$A$7:$A280)))*$F$1010</f>
        <v>235882768.60876364</v>
      </c>
      <c r="E285" s="67">
        <f t="shared" si="31"/>
        <v>449.68967460743391</v>
      </c>
      <c r="F285" s="70">
        <f t="shared" si="35"/>
        <v>27.30515704216339</v>
      </c>
      <c r="G285" s="67">
        <f>E285/'Lookup Tables'!$C$48</f>
        <v>899.37934921486783</v>
      </c>
      <c r="H285" s="70">
        <f t="shared" si="32"/>
        <v>0.11393034062651602</v>
      </c>
      <c r="I285" s="71">
        <f t="shared" si="36"/>
        <v>1.2951062628694097</v>
      </c>
      <c r="L285" s="74"/>
      <c r="M285" s="74"/>
      <c r="N285" s="74"/>
      <c r="O285" s="74"/>
      <c r="P285" s="74"/>
      <c r="Q285" s="74"/>
      <c r="R285" s="74"/>
      <c r="S285" s="74"/>
      <c r="T285" s="74"/>
      <c r="U285" s="74"/>
      <c r="V285" s="74"/>
      <c r="W285" s="74"/>
      <c r="X285" s="74"/>
      <c r="Y285" s="74"/>
    </row>
    <row r="286" spans="1:25" x14ac:dyDescent="0.3">
      <c r="A286" s="66">
        <f t="shared" si="34"/>
        <v>2017.8999999999746</v>
      </c>
      <c r="B286" s="67">
        <f>LOOKUP(A286+0.01,AmountsB!$A$4:$A$103,AmountsB!$B$4:$B$103)*0.1*$A$2</f>
        <v>0</v>
      </c>
      <c r="C286" s="68">
        <f t="shared" si="33"/>
        <v>2074573.74105891</v>
      </c>
      <c r="D286" s="67">
        <f t="array" ref="D286">SUM($B$7:$B281*$F$1009*EXP(-$F$1009*($A286-$A$7:$A281)))*$F$1010</f>
        <v>232603418.85902974</v>
      </c>
      <c r="E286" s="67">
        <f t="shared" si="31"/>
        <v>443.43788381076178</v>
      </c>
      <c r="F286" s="70">
        <f t="shared" si="35"/>
        <v>26.925548304989459</v>
      </c>
      <c r="G286" s="67">
        <f>E286/'Lookup Tables'!$C$48</f>
        <v>886.87576762152355</v>
      </c>
      <c r="H286" s="70">
        <f t="shared" si="32"/>
        <v>0.11234642910884028</v>
      </c>
      <c r="I286" s="71">
        <f t="shared" si="36"/>
        <v>1.2771011053749939</v>
      </c>
      <c r="L286" s="74"/>
      <c r="M286" s="74"/>
      <c r="N286" s="74"/>
      <c r="O286" s="74"/>
      <c r="P286" s="74"/>
      <c r="Q286" s="74"/>
      <c r="R286" s="74"/>
      <c r="S286" s="74"/>
      <c r="T286" s="74"/>
      <c r="U286" s="74"/>
      <c r="V286" s="74"/>
      <c r="W286" s="74"/>
      <c r="X286" s="74"/>
      <c r="Y286" s="74"/>
    </row>
    <row r="287" spans="1:25" x14ac:dyDescent="0.3">
      <c r="A287" s="66">
        <f t="shared" si="34"/>
        <v>2017.9999999999745</v>
      </c>
      <c r="B287" s="67">
        <f>LOOKUP(A287+0.01,AmountsB!$A$4:$A$103,AmountsB!$B$4:$B$103)*0.1*$A$2</f>
        <v>0</v>
      </c>
      <c r="C287" s="68">
        <f t="shared" si="33"/>
        <v>2074573.74105891</v>
      </c>
      <c r="D287" s="67">
        <f t="array" ref="D287">SUM($B$7:$B282*$F$1009*EXP(-$F$1009*($A287-$A$7:$A282)))*$F$1010</f>
        <v>229369660.12403804</v>
      </c>
      <c r="E287" s="67">
        <f t="shared" si="31"/>
        <v>437.27300825891814</v>
      </c>
      <c r="F287" s="70">
        <f t="shared" si="35"/>
        <v>26.551217061481509</v>
      </c>
      <c r="G287" s="67">
        <f>E287/'Lookup Tables'!$C$48</f>
        <v>874.54601651783628</v>
      </c>
      <c r="H287" s="70">
        <f t="shared" si="32"/>
        <v>0.11078453785093052</v>
      </c>
      <c r="I287" s="71">
        <f t="shared" si="36"/>
        <v>1.2593462637856843</v>
      </c>
      <c r="L287" s="74"/>
      <c r="M287" s="74"/>
      <c r="N287" s="74"/>
      <c r="O287" s="74"/>
      <c r="P287" s="74"/>
      <c r="Q287" s="74"/>
      <c r="R287" s="74"/>
      <c r="S287" s="74"/>
      <c r="T287" s="74"/>
      <c r="U287" s="74"/>
      <c r="V287" s="74"/>
      <c r="W287" s="74"/>
      <c r="X287" s="74"/>
      <c r="Y287" s="74"/>
    </row>
    <row r="288" spans="1:25" x14ac:dyDescent="0.3">
      <c r="A288" s="66">
        <f t="shared" si="34"/>
        <v>2018.0999999999744</v>
      </c>
      <c r="B288" s="67">
        <f>LOOKUP(A288+0.01,AmountsB!$A$4:$A$103,AmountsB!$B$4:$B$103)*0.1*$A$2</f>
        <v>0</v>
      </c>
      <c r="C288" s="68">
        <f t="shared" si="33"/>
        <v>2074573.74105891</v>
      </c>
      <c r="D288" s="67">
        <f t="array" ref="D288">SUM($B$7:$B283*$F$1009*EXP(-$F$1009*($A288-$A$7:$A283)))*$F$1010</f>
        <v>226180858.57672405</v>
      </c>
      <c r="E288" s="67">
        <f t="shared" si="31"/>
        <v>431.19383961655876</v>
      </c>
      <c r="F288" s="70">
        <f t="shared" si="35"/>
        <v>26.182089941517447</v>
      </c>
      <c r="G288" s="67">
        <f>E288/'Lookup Tables'!$C$48</f>
        <v>862.38767923311752</v>
      </c>
      <c r="H288" s="70">
        <f t="shared" si="32"/>
        <v>0.10924436071710004</v>
      </c>
      <c r="I288" s="71">
        <f t="shared" si="36"/>
        <v>1.241838258095689</v>
      </c>
      <c r="L288" s="74"/>
      <c r="M288" s="74"/>
      <c r="N288" s="74"/>
      <c r="O288" s="74"/>
      <c r="P288" s="74"/>
      <c r="Q288" s="74"/>
      <c r="R288" s="74"/>
      <c r="S288" s="74"/>
      <c r="T288" s="74"/>
      <c r="U288" s="74"/>
      <c r="V288" s="74"/>
      <c r="W288" s="74"/>
      <c r="X288" s="74"/>
      <c r="Y288" s="74"/>
    </row>
    <row r="289" spans="1:25" x14ac:dyDescent="0.3">
      <c r="A289" s="66">
        <f t="shared" si="34"/>
        <v>2018.1999999999744</v>
      </c>
      <c r="B289" s="67">
        <f>LOOKUP(A289+0.01,AmountsB!$A$4:$A$103,AmountsB!$B$4:$B$103)*0.1*$A$2</f>
        <v>0</v>
      </c>
      <c r="C289" s="68">
        <f t="shared" si="33"/>
        <v>2074573.74105891</v>
      </c>
      <c r="D289" s="67">
        <f t="array" ref="D289">SUM($B$7:$B284*$F$1009*EXP(-$F$1009*($A289-$A$7:$A284)))*$F$1010</f>
        <v>223036389.20177615</v>
      </c>
      <c r="E289" s="67">
        <f t="shared" si="31"/>
        <v>425.19918634716845</v>
      </c>
      <c r="F289" s="70">
        <f t="shared" si="35"/>
        <v>25.818094595000069</v>
      </c>
      <c r="G289" s="67">
        <f>E289/'Lookup Tables'!$C$48</f>
        <v>850.3983726943369</v>
      </c>
      <c r="H289" s="70">
        <f t="shared" si="32"/>
        <v>0.10772559582770001</v>
      </c>
      <c r="I289" s="71">
        <f t="shared" si="36"/>
        <v>1.2245736566798451</v>
      </c>
      <c r="L289" s="74"/>
      <c r="M289" s="74"/>
      <c r="N289" s="74"/>
      <c r="O289" s="74"/>
      <c r="P289" s="74"/>
      <c r="Q289" s="74"/>
      <c r="R289" s="74"/>
      <c r="S289" s="74"/>
      <c r="T289" s="74"/>
      <c r="U289" s="74"/>
      <c r="V289" s="74"/>
      <c r="W289" s="74"/>
      <c r="X289" s="74"/>
      <c r="Y289" s="74"/>
    </row>
    <row r="290" spans="1:25" x14ac:dyDescent="0.3">
      <c r="A290" s="66">
        <f t="shared" si="34"/>
        <v>2018.2999999999743</v>
      </c>
      <c r="B290" s="67">
        <f>LOOKUP(A290+0.01,AmountsB!$A$4:$A$103,AmountsB!$B$4:$B$103)*0.1*$A$2</f>
        <v>0</v>
      </c>
      <c r="C290" s="68">
        <f t="shared" si="33"/>
        <v>2074573.74105891</v>
      </c>
      <c r="D290" s="67">
        <f t="array" ref="D290">SUM($B$7:$B285*$F$1009*EXP(-$F$1009*($A290-$A$7:$A285)))*$F$1010</f>
        <v>219935635.67313012</v>
      </c>
      <c r="E290" s="67">
        <f t="shared" si="31"/>
        <v>419.2878734795151</v>
      </c>
      <c r="F290" s="70">
        <f t="shared" si="35"/>
        <v>25.459159677676155</v>
      </c>
      <c r="G290" s="67">
        <f>E290/'Lookup Tables'!$C$48</f>
        <v>838.5757469590302</v>
      </c>
      <c r="H290" s="70">
        <f t="shared" si="32"/>
        <v>0.10622794549994993</v>
      </c>
      <c r="I290" s="71">
        <f t="shared" si="36"/>
        <v>1.2075490756210034</v>
      </c>
      <c r="L290" s="74"/>
      <c r="M290" s="74"/>
      <c r="N290" s="74"/>
      <c r="O290" s="74"/>
      <c r="P290" s="74"/>
      <c r="Q290" s="74"/>
      <c r="R290" s="74"/>
      <c r="S290" s="74"/>
      <c r="T290" s="74"/>
      <c r="U290" s="74"/>
      <c r="V290" s="74"/>
      <c r="W290" s="74"/>
      <c r="X290" s="74"/>
      <c r="Y290" s="74"/>
    </row>
    <row r="291" spans="1:25" x14ac:dyDescent="0.3">
      <c r="A291" s="66">
        <f t="shared" si="34"/>
        <v>2018.3999999999742</v>
      </c>
      <c r="B291" s="67">
        <f>LOOKUP(A291+0.01,AmountsB!$A$4:$A$103,AmountsB!$B$4:$B$103)*0.1*$A$2</f>
        <v>0</v>
      </c>
      <c r="C291" s="68">
        <f t="shared" si="33"/>
        <v>2074573.74105891</v>
      </c>
      <c r="D291" s="67">
        <f t="array" ref="D291">SUM($B$7:$B286*$F$1009*EXP(-$F$1009*($A291-$A$7:$A286)))*$F$1010</f>
        <v>216877990.23316792</v>
      </c>
      <c r="E291" s="67">
        <f t="shared" si="31"/>
        <v>413.45874237735273</v>
      </c>
      <c r="F291" s="70">
        <f t="shared" si="35"/>
        <v>25.105214837152857</v>
      </c>
      <c r="G291" s="67">
        <f>E291/'Lookup Tables'!$C$48</f>
        <v>826.91748475470547</v>
      </c>
      <c r="H291" s="70">
        <f t="shared" si="32"/>
        <v>0.10475111618959113</v>
      </c>
      <c r="I291" s="71">
        <f t="shared" si="36"/>
        <v>1.1907611780467759</v>
      </c>
      <c r="L291" s="74"/>
      <c r="M291" s="74"/>
      <c r="N291" s="74"/>
      <c r="O291" s="74"/>
      <c r="P291" s="74"/>
      <c r="Q291" s="74"/>
      <c r="R291" s="74"/>
      <c r="S291" s="74"/>
      <c r="T291" s="74"/>
      <c r="U291" s="74"/>
      <c r="V291" s="74"/>
      <c r="W291" s="74"/>
      <c r="X291" s="74"/>
      <c r="Y291" s="74"/>
    </row>
    <row r="292" spans="1:25" x14ac:dyDescent="0.3">
      <c r="A292" s="66">
        <f t="shared" si="34"/>
        <v>2018.4999999999741</v>
      </c>
      <c r="B292" s="67">
        <f>LOOKUP(A292+0.01,AmountsB!$A$4:$A$103,AmountsB!$B$4:$B$103)*0.1*$A$2</f>
        <v>0</v>
      </c>
      <c r="C292" s="68">
        <f t="shared" si="33"/>
        <v>2074573.74105891</v>
      </c>
      <c r="D292" s="67">
        <f t="array" ref="D292">SUM($B$7:$B287*$F$1009*EXP(-$F$1009*($A292-$A$7:$A287)))*$F$1010</f>
        <v>213862853.57359454</v>
      </c>
      <c r="E292" s="67">
        <f t="shared" si="31"/>
        <v>407.71065051232398</v>
      </c>
      <c r="F292" s="70">
        <f t="shared" si="35"/>
        <v>24.756190699108313</v>
      </c>
      <c r="G292" s="67">
        <f>E292/'Lookup Tables'!$C$48</f>
        <v>815.42130102464796</v>
      </c>
      <c r="H292" s="70">
        <f t="shared" si="32"/>
        <v>0.10329481843335082</v>
      </c>
      <c r="I292" s="71">
        <f t="shared" si="36"/>
        <v>1.1742066734754932</v>
      </c>
      <c r="L292" s="74"/>
      <c r="M292" s="74"/>
      <c r="N292" s="74"/>
      <c r="O292" s="74"/>
      <c r="P292" s="74"/>
      <c r="Q292" s="74"/>
      <c r="R292" s="74"/>
      <c r="S292" s="74"/>
      <c r="T292" s="74"/>
      <c r="U292" s="74"/>
      <c r="V292" s="74"/>
      <c r="W292" s="74"/>
      <c r="X292" s="74"/>
      <c r="Y292" s="74"/>
    </row>
    <row r="293" spans="1:25" x14ac:dyDescent="0.3">
      <c r="A293" s="66">
        <f t="shared" si="34"/>
        <v>2018.599999999974</v>
      </c>
      <c r="B293" s="67">
        <f>LOOKUP(A293+0.01,AmountsB!$A$4:$A$103,AmountsB!$B$4:$B$103)*0.1*$A$2</f>
        <v>0</v>
      </c>
      <c r="C293" s="68">
        <f t="shared" si="33"/>
        <v>2074573.74105891</v>
      </c>
      <c r="D293" s="67">
        <f t="array" ref="D293">SUM($B$7:$B288*$F$1009*EXP(-$F$1009*($A293-$A$7:$A288)))*$F$1010</f>
        <v>210889634.71797231</v>
      </c>
      <c r="E293" s="67">
        <f t="shared" si="31"/>
        <v>402.04247124002183</v>
      </c>
      <c r="F293" s="70">
        <f t="shared" si="35"/>
        <v>24.412018853694125</v>
      </c>
      <c r="G293" s="67">
        <f>E293/'Lookup Tables'!$C$48</f>
        <v>804.08494248004365</v>
      </c>
      <c r="H293" s="70">
        <f t="shared" si="32"/>
        <v>0.10185876679220676</v>
      </c>
      <c r="I293" s="71">
        <f t="shared" si="36"/>
        <v>1.1578823171712629</v>
      </c>
      <c r="L293" s="74"/>
      <c r="M293" s="74"/>
      <c r="N293" s="74"/>
      <c r="O293" s="74"/>
      <c r="P293" s="74"/>
      <c r="Q293" s="74"/>
      <c r="R293" s="74"/>
      <c r="S293" s="74"/>
      <c r="T293" s="74"/>
      <c r="U293" s="74"/>
      <c r="V293" s="74"/>
      <c r="W293" s="74"/>
      <c r="X293" s="74"/>
      <c r="Y293" s="74"/>
    </row>
    <row r="294" spans="1:25" x14ac:dyDescent="0.3">
      <c r="A294" s="66">
        <f t="shared" si="34"/>
        <v>2018.6999999999739</v>
      </c>
      <c r="B294" s="67">
        <f>LOOKUP(A294+0.01,AmountsB!$A$4:$A$103,AmountsB!$B$4:$B$103)*0.1*$A$2</f>
        <v>0</v>
      </c>
      <c r="C294" s="68">
        <f t="shared" si="33"/>
        <v>2074573.74105891</v>
      </c>
      <c r="D294" s="67">
        <f t="array" ref="D294">SUM($B$7:$B289*$F$1009*EXP(-$F$1009*($A294-$A$7:$A289)))*$F$1010</f>
        <v>207957750.90588716</v>
      </c>
      <c r="E294" s="67">
        <f t="shared" si="31"/>
        <v>396.4530935791629</v>
      </c>
      <c r="F294" s="70">
        <f t="shared" si="35"/>
        <v>24.072631842126771</v>
      </c>
      <c r="G294" s="67">
        <f>E294/'Lookup Tables'!$C$48</f>
        <v>792.90618715832579</v>
      </c>
      <c r="H294" s="70">
        <f t="shared" si="32"/>
        <v>0.10044267979543994</v>
      </c>
      <c r="I294" s="71">
        <f t="shared" si="36"/>
        <v>1.1417849095079893</v>
      </c>
      <c r="L294" s="74"/>
      <c r="M294" s="74"/>
      <c r="N294" s="74"/>
      <c r="O294" s="74"/>
      <c r="P294" s="74"/>
      <c r="Q294" s="74"/>
      <c r="R294" s="74"/>
      <c r="S294" s="74"/>
      <c r="T294" s="74"/>
      <c r="U294" s="74"/>
      <c r="V294" s="74"/>
      <c r="W294" s="74"/>
      <c r="X294" s="74"/>
      <c r="Y294" s="74"/>
    </row>
    <row r="295" spans="1:25" x14ac:dyDescent="0.3">
      <c r="A295" s="66">
        <f t="shared" si="34"/>
        <v>2018.7999999999738</v>
      </c>
      <c r="B295" s="67">
        <f>LOOKUP(A295+0.01,AmountsB!$A$4:$A$103,AmountsB!$B$4:$B$103)*0.1*$A$2</f>
        <v>0</v>
      </c>
      <c r="C295" s="68">
        <f t="shared" si="33"/>
        <v>2074573.74105891</v>
      </c>
      <c r="D295" s="67">
        <f t="array" ref="D295">SUM($B$7:$B290*$F$1009*EXP(-$F$1009*($A295-$A$7:$A290)))*$F$1010</f>
        <v>205066627.47872588</v>
      </c>
      <c r="E295" s="67">
        <f t="shared" si="31"/>
        <v>390.94142199383208</v>
      </c>
      <c r="F295" s="70">
        <f t="shared" si="35"/>
        <v>23.737963143465485</v>
      </c>
      <c r="G295" s="67">
        <f>E295/'Lookup Tables'!$C$48</f>
        <v>781.88284398766416</v>
      </c>
      <c r="H295" s="70">
        <f t="shared" si="32"/>
        <v>9.9046279885465563E-2</v>
      </c>
      <c r="I295" s="71">
        <f t="shared" si="36"/>
        <v>1.1259112953422366</v>
      </c>
      <c r="L295" s="74"/>
      <c r="M295" s="74"/>
      <c r="N295" s="74"/>
      <c r="O295" s="74"/>
      <c r="P295" s="74"/>
      <c r="Q295" s="74"/>
      <c r="R295" s="74"/>
      <c r="S295" s="74"/>
      <c r="T295" s="74"/>
      <c r="U295" s="74"/>
      <c r="V295" s="74"/>
      <c r="W295" s="74"/>
      <c r="X295" s="74"/>
      <c r="Y295" s="74"/>
    </row>
    <row r="296" spans="1:25" x14ac:dyDescent="0.3">
      <c r="A296" s="66">
        <f t="shared" si="34"/>
        <v>2018.8999999999737</v>
      </c>
      <c r="B296" s="67">
        <f>LOOKUP(A296+0.01,AmountsB!$A$4:$A$103,AmountsB!$B$4:$B$103)*0.1*$A$2</f>
        <v>0</v>
      </c>
      <c r="C296" s="68">
        <f t="shared" si="33"/>
        <v>2074573.74105891</v>
      </c>
      <c r="D296" s="67">
        <f t="array" ref="D296">SUM($B$7:$B291*$F$1009*EXP(-$F$1009*($A296-$A$7:$A291)))*$F$1010</f>
        <v>202215697.76704121</v>
      </c>
      <c r="E296" s="67">
        <f t="shared" si="31"/>
        <v>385.50637617875378</v>
      </c>
      <c r="F296" s="70">
        <f t="shared" si="35"/>
        <v>23.407947161573929</v>
      </c>
      <c r="G296" s="67">
        <f>E296/'Lookup Tables'!$C$48</f>
        <v>771.01275235750757</v>
      </c>
      <c r="H296" s="70">
        <f t="shared" si="32"/>
        <v>9.7669293363430887E-2</v>
      </c>
      <c r="I296" s="71">
        <f t="shared" si="36"/>
        <v>1.1102583633948109</v>
      </c>
      <c r="L296" s="74"/>
      <c r="M296" s="74"/>
      <c r="N296" s="74"/>
      <c r="O296" s="74"/>
      <c r="P296" s="74"/>
      <c r="Q296" s="74"/>
      <c r="R296" s="74"/>
      <c r="S296" s="74"/>
      <c r="T296" s="74"/>
      <c r="U296" s="74"/>
      <c r="V296" s="74"/>
      <c r="W296" s="74"/>
      <c r="X296" s="74"/>
      <c r="Y296" s="74"/>
    </row>
    <row r="297" spans="1:25" x14ac:dyDescent="0.3">
      <c r="A297" s="66">
        <f t="shared" si="34"/>
        <v>2018.9999999999736</v>
      </c>
      <c r="B297" s="67">
        <f>LOOKUP(A297+0.01,AmountsB!$A$4:$A$103,AmountsB!$B$4:$B$103)*0.1*$A$2</f>
        <v>0</v>
      </c>
      <c r="C297" s="68">
        <f t="shared" si="33"/>
        <v>2074573.74105891</v>
      </c>
      <c r="D297" s="67">
        <f t="array" ref="D297">SUM($B$7:$B292*$F$1009*EXP(-$F$1009*($A297-$A$7:$A292)))*$F$1010</f>
        <v>199404402.97948298</v>
      </c>
      <c r="E297" s="67">
        <f t="shared" si="31"/>
        <v>380.146890847549</v>
      </c>
      <c r="F297" s="70">
        <f t="shared" si="35"/>
        <v>23.082519212263175</v>
      </c>
      <c r="G297" s="67">
        <f>E297/'Lookup Tables'!$C$48</f>
        <v>760.29378169509801</v>
      </c>
      <c r="H297" s="70">
        <f t="shared" si="32"/>
        <v>9.6311450335569468E-2</v>
      </c>
      <c r="I297" s="71">
        <f t="shared" si="36"/>
        <v>1.0948230456409414</v>
      </c>
      <c r="L297" s="74"/>
      <c r="M297" s="74"/>
      <c r="N297" s="74"/>
      <c r="O297" s="74"/>
      <c r="P297" s="74"/>
      <c r="Q297" s="74"/>
      <c r="R297" s="74"/>
      <c r="S297" s="74"/>
      <c r="T297" s="74"/>
      <c r="U297" s="74"/>
      <c r="V297" s="74"/>
      <c r="W297" s="74"/>
      <c r="X297" s="74"/>
      <c r="Y297" s="74"/>
    </row>
    <row r="298" spans="1:25" x14ac:dyDescent="0.3">
      <c r="A298" s="66">
        <f t="shared" si="34"/>
        <v>2019.0999999999735</v>
      </c>
      <c r="B298" s="67">
        <f>LOOKUP(A298+0.01,AmountsB!$A$4:$A$103,AmountsB!$B$4:$B$103)*0.1*$A$2</f>
        <v>0</v>
      </c>
      <c r="C298" s="68">
        <f t="shared" si="33"/>
        <v>2074573.74105891</v>
      </c>
      <c r="D298" s="67">
        <f t="array" ref="D298">SUM($B$7:$B293*$F$1009*EXP(-$F$1009*($A298-$A$7:$A293)))*$F$1010</f>
        <v>196632192.09327278</v>
      </c>
      <c r="E298" s="67">
        <f t="shared" si="31"/>
        <v>374.86191552393507</v>
      </c>
      <c r="F298" s="70">
        <f t="shared" si="35"/>
        <v>22.761615510613336</v>
      </c>
      <c r="G298" s="67">
        <f>E298/'Lookup Tables'!$C$48</f>
        <v>749.72383104787014</v>
      </c>
      <c r="H298" s="70">
        <f t="shared" si="32"/>
        <v>9.4972484660300852E-2</v>
      </c>
      <c r="I298" s="71">
        <f t="shared" si="36"/>
        <v>1.079602316708933</v>
      </c>
      <c r="L298" s="74"/>
      <c r="M298" s="74"/>
      <c r="N298" s="74"/>
      <c r="O298" s="74"/>
      <c r="P298" s="74"/>
      <c r="Q298" s="74"/>
      <c r="R298" s="74"/>
      <c r="S298" s="74"/>
      <c r="T298" s="74"/>
      <c r="U298" s="74"/>
      <c r="V298" s="74"/>
      <c r="W298" s="74"/>
      <c r="X298" s="74"/>
      <c r="Y298" s="74"/>
    </row>
    <row r="299" spans="1:25" x14ac:dyDescent="0.3">
      <c r="A299" s="66">
        <f t="shared" si="34"/>
        <v>2019.1999999999734</v>
      </c>
      <c r="B299" s="67">
        <f>LOOKUP(A299+0.01,AmountsB!$A$4:$A$103,AmountsB!$B$4:$B$103)*0.1*$A$2</f>
        <v>0</v>
      </c>
      <c r="C299" s="68">
        <f t="shared" si="33"/>
        <v>2074573.74105891</v>
      </c>
      <c r="D299" s="67">
        <f t="array" ref="D299">SUM($B$7:$B294*$F$1009*EXP(-$F$1009*($A299-$A$7:$A294)))*$F$1010</f>
        <v>193898521.74620208</v>
      </c>
      <c r="E299" s="67">
        <f t="shared" si="31"/>
        <v>369.65041433582945</v>
      </c>
      <c r="F299" s="70">
        <f t="shared" si="35"/>
        <v>22.445173158471562</v>
      </c>
      <c r="G299" s="67">
        <f>E299/'Lookup Tables'!$C$48</f>
        <v>739.30082867165891</v>
      </c>
      <c r="H299" s="70">
        <f t="shared" si="32"/>
        <v>9.3652133896066164E-2</v>
      </c>
      <c r="I299" s="71">
        <f t="shared" si="36"/>
        <v>1.0645931932871886</v>
      </c>
      <c r="L299" s="74"/>
      <c r="M299" s="74"/>
      <c r="N299" s="74"/>
      <c r="O299" s="74"/>
      <c r="P299" s="74"/>
      <c r="Q299" s="74"/>
      <c r="R299" s="74"/>
      <c r="S299" s="74"/>
      <c r="T299" s="74"/>
      <c r="U299" s="74"/>
      <c r="V299" s="74"/>
      <c r="W299" s="74"/>
      <c r="X299" s="74"/>
      <c r="Y299" s="74"/>
    </row>
    <row r="300" spans="1:25" x14ac:dyDescent="0.3">
      <c r="A300" s="66">
        <f t="shared" si="34"/>
        <v>2019.2999999999734</v>
      </c>
      <c r="B300" s="67">
        <f>LOOKUP(A300+0.01,AmountsB!$A$4:$A$103,AmountsB!$B$4:$B$103)*0.1*$A$2</f>
        <v>0</v>
      </c>
      <c r="C300" s="68">
        <f t="shared" si="33"/>
        <v>2074573.74105891</v>
      </c>
      <c r="D300" s="67">
        <f t="array" ref="D300">SUM($B$7:$B295*$F$1009*EXP(-$F$1009*($A300-$A$7:$A295)))*$F$1010</f>
        <v>191202856.13013139</v>
      </c>
      <c r="E300" s="67">
        <f t="shared" si="31"/>
        <v>364.51136581231543</v>
      </c>
      <c r="F300" s="70">
        <f t="shared" si="35"/>
        <v>22.133130132123796</v>
      </c>
      <c r="G300" s="67">
        <f>E300/'Lookup Tables'!$C$48</f>
        <v>729.02273162463086</v>
      </c>
      <c r="H300" s="70">
        <f t="shared" si="32"/>
        <v>9.2350139249888732E-2</v>
      </c>
      <c r="I300" s="71">
        <f t="shared" si="36"/>
        <v>1.0497927335394683</v>
      </c>
      <c r="L300" s="74"/>
      <c r="M300" s="74"/>
      <c r="N300" s="74"/>
      <c r="O300" s="74"/>
      <c r="P300" s="74"/>
      <c r="Q300" s="74"/>
      <c r="R300" s="74"/>
      <c r="S300" s="74"/>
      <c r="T300" s="74"/>
      <c r="U300" s="74"/>
      <c r="V300" s="74"/>
      <c r="W300" s="74"/>
      <c r="X300" s="74"/>
      <c r="Y300" s="74"/>
    </row>
    <row r="301" spans="1:25" x14ac:dyDescent="0.3">
      <c r="A301" s="66">
        <f t="shared" si="34"/>
        <v>2019.3999999999733</v>
      </c>
      <c r="B301" s="67">
        <f>LOOKUP(A301+0.01,AmountsB!$A$4:$A$103,AmountsB!$B$4:$B$103)*0.1*$A$2</f>
        <v>0</v>
      </c>
      <c r="C301" s="68">
        <f t="shared" si="33"/>
        <v>2074573.74105891</v>
      </c>
      <c r="D301" s="67">
        <f t="array" ref="D301">SUM($B$7:$B296*$F$1009*EXP(-$F$1009*($A301-$A$7:$A296)))*$F$1010</f>
        <v>188544666.88597026</v>
      </c>
      <c r="E301" s="67">
        <f t="shared" si="31"/>
        <v>359.44376268343052</v>
      </c>
      <c r="F301" s="70">
        <f t="shared" si="35"/>
        <v>21.825425270137902</v>
      </c>
      <c r="G301" s="67">
        <f>E301/'Lookup Tables'!$C$48</f>
        <v>718.88752536686104</v>
      </c>
      <c r="H301" s="70">
        <f t="shared" si="32"/>
        <v>9.1066245526649783E-2</v>
      </c>
      <c r="I301" s="71">
        <f t="shared" si="36"/>
        <v>1.0351980365282798</v>
      </c>
      <c r="L301" s="74"/>
      <c r="M301" s="74"/>
      <c r="N301" s="74"/>
      <c r="O301" s="74"/>
      <c r="P301" s="74"/>
      <c r="Q301" s="74"/>
      <c r="R301" s="74"/>
      <c r="S301" s="74"/>
      <c r="T301" s="74"/>
      <c r="U301" s="74"/>
      <c r="V301" s="74"/>
      <c r="W301" s="74"/>
      <c r="X301" s="74"/>
      <c r="Y301" s="74"/>
    </row>
    <row r="302" spans="1:25" x14ac:dyDescent="0.3">
      <c r="A302" s="66">
        <f t="shared" si="34"/>
        <v>2019.4999999999732</v>
      </c>
      <c r="B302" s="67">
        <f>LOOKUP(A302+0.01,AmountsB!$A$4:$A$103,AmountsB!$B$4:$B$103)*0.1*$A$2</f>
        <v>0</v>
      </c>
      <c r="C302" s="68">
        <f t="shared" si="33"/>
        <v>2074573.74105891</v>
      </c>
      <c r="D302" s="67">
        <f t="array" ref="D302">SUM($B$7:$B297*$F$1009*EXP(-$F$1009*($A302-$A$7:$A297)))*$F$1010</f>
        <v>185923433.00011697</v>
      </c>
      <c r="E302" s="67">
        <f t="shared" si="31"/>
        <v>354.44661168273825</v>
      </c>
      <c r="F302" s="70">
        <f t="shared" si="35"/>
        <v>21.521998261375867</v>
      </c>
      <c r="G302" s="67">
        <f>E302/'Lookup Tables'!$C$48</f>
        <v>708.8932233654765</v>
      </c>
      <c r="H302" s="70">
        <f t="shared" si="32"/>
        <v>8.9800201079069331E-2</v>
      </c>
      <c r="I302" s="71">
        <f t="shared" si="36"/>
        <v>1.0208062416462862</v>
      </c>
      <c r="L302" s="74"/>
      <c r="M302" s="74"/>
      <c r="N302" s="74"/>
      <c r="O302" s="74"/>
      <c r="P302" s="74"/>
      <c r="Q302" s="74"/>
      <c r="R302" s="74"/>
      <c r="S302" s="74"/>
      <c r="T302" s="74"/>
      <c r="U302" s="74"/>
      <c r="V302" s="74"/>
      <c r="W302" s="74"/>
      <c r="X302" s="74"/>
      <c r="Y302" s="74"/>
    </row>
    <row r="303" spans="1:25" x14ac:dyDescent="0.3">
      <c r="A303" s="66">
        <f t="shared" si="34"/>
        <v>2019.5999999999731</v>
      </c>
      <c r="B303" s="67">
        <f>LOOKUP(A303+0.01,AmountsB!$A$4:$A$103,AmountsB!$B$4:$B$103)*0.1*$A$2</f>
        <v>0</v>
      </c>
      <c r="C303" s="68">
        <f t="shared" si="33"/>
        <v>2074573.74105891</v>
      </c>
      <c r="D303" s="67">
        <f t="array" ref="D303">SUM($B$7:$B298*$F$1009*EXP(-$F$1009*($A303-$A$7:$A298)))*$F$1010</f>
        <v>183338640.7023384</v>
      </c>
      <c r="E303" s="67">
        <f t="shared" si="31"/>
        <v>349.51893335264481</v>
      </c>
      <c r="F303" s="70">
        <f t="shared" si="35"/>
        <v>21.222789633172589</v>
      </c>
      <c r="G303" s="67">
        <f>E303/'Lookup Tables'!$C$48</f>
        <v>699.03786670528962</v>
      </c>
      <c r="H303" s="70">
        <f t="shared" si="32"/>
        <v>8.855175775838256E-2</v>
      </c>
      <c r="I303" s="71">
        <f t="shared" si="36"/>
        <v>1.0066145280556169</v>
      </c>
      <c r="L303" s="74"/>
      <c r="M303" s="74"/>
      <c r="N303" s="74"/>
      <c r="O303" s="74"/>
      <c r="P303" s="74"/>
      <c r="Q303" s="74"/>
      <c r="R303" s="74"/>
      <c r="S303" s="74"/>
      <c r="T303" s="74"/>
      <c r="U303" s="74"/>
      <c r="V303" s="74"/>
      <c r="W303" s="74"/>
      <c r="X303" s="74"/>
      <c r="Y303" s="74"/>
    </row>
    <row r="304" spans="1:25" x14ac:dyDescent="0.3">
      <c r="A304" s="66">
        <f t="shared" si="34"/>
        <v>2019.699999999973</v>
      </c>
      <c r="B304" s="67">
        <f>LOOKUP(A304+0.01,AmountsB!$A$4:$A$103,AmountsB!$B$4:$B$103)*0.1*$A$2</f>
        <v>0</v>
      </c>
      <c r="C304" s="68">
        <f t="shared" si="33"/>
        <v>2074573.74105891</v>
      </c>
      <c r="D304" s="67">
        <f t="array" ref="D304">SUM($B$7:$B299*$F$1009*EXP(-$F$1009*($A304-$A$7:$A299)))*$F$1010</f>
        <v>180789783.36506933</v>
      </c>
      <c r="E304" s="67">
        <f t="shared" si="31"/>
        <v>344.65976185242226</v>
      </c>
      <c r="F304" s="70">
        <f t="shared" si="35"/>
        <v>20.927740739679081</v>
      </c>
      <c r="G304" s="67">
        <f>E304/'Lookup Tables'!$C$48</f>
        <v>689.31952370484453</v>
      </c>
      <c r="H304" s="70">
        <f t="shared" si="32"/>
        <v>8.7320670865701985E-2</v>
      </c>
      <c r="I304" s="71">
        <f t="shared" si="36"/>
        <v>0.99262011413497619</v>
      </c>
      <c r="L304" s="74"/>
      <c r="M304" s="74"/>
      <c r="N304" s="74"/>
      <c r="O304" s="74"/>
      <c r="P304" s="74"/>
      <c r="Q304" s="74"/>
      <c r="R304" s="74"/>
      <c r="S304" s="74"/>
      <c r="T304" s="74"/>
      <c r="U304" s="74"/>
      <c r="V304" s="74"/>
      <c r="W304" s="74"/>
      <c r="X304" s="74"/>
      <c r="Y304" s="74"/>
    </row>
    <row r="305" spans="1:25" x14ac:dyDescent="0.3">
      <c r="A305" s="66">
        <f t="shared" si="34"/>
        <v>2019.7999999999729</v>
      </c>
      <c r="B305" s="67">
        <f>LOOKUP(A305+0.01,AmountsB!$A$4:$A$103,AmountsB!$B$4:$B$103)*0.1*$A$2</f>
        <v>0</v>
      </c>
      <c r="C305" s="68">
        <f t="shared" si="33"/>
        <v>2074573.74105891</v>
      </c>
      <c r="D305" s="67">
        <f t="array" ref="D305">SUM($B$7:$B300*$F$1009*EXP(-$F$1009*($A305-$A$7:$A300)))*$F$1010</f>
        <v>178276361.40411195</v>
      </c>
      <c r="E305" s="67">
        <f t="shared" si="31"/>
        <v>339.86814476890078</v>
      </c>
      <c r="F305" s="70">
        <f t="shared" si="35"/>
        <v>20.636793750367655</v>
      </c>
      <c r="G305" s="67">
        <f>E305/'Lookup Tables'!$C$48</f>
        <v>679.73628953780155</v>
      </c>
      <c r="H305" s="70">
        <f t="shared" si="32"/>
        <v>8.6106699104055467E-2</v>
      </c>
      <c r="I305" s="71">
        <f t="shared" si="36"/>
        <v>0.97882025693443431</v>
      </c>
      <c r="L305" s="74"/>
      <c r="M305" s="74"/>
      <c r="N305" s="74"/>
      <c r="O305" s="74"/>
      <c r="P305" s="74"/>
      <c r="Q305" s="74"/>
      <c r="R305" s="74"/>
      <c r="S305" s="74"/>
      <c r="T305" s="74"/>
      <c r="U305" s="74"/>
      <c r="V305" s="74"/>
      <c r="W305" s="74"/>
      <c r="X305" s="74"/>
      <c r="Y305" s="74"/>
    </row>
    <row r="306" spans="1:25" x14ac:dyDescent="0.3">
      <c r="A306" s="66">
        <f t="shared" si="34"/>
        <v>2019.8999999999728</v>
      </c>
      <c r="B306" s="67">
        <f>LOOKUP(A306+0.01,AmountsB!$A$4:$A$103,AmountsB!$B$4:$B$103)*0.1*$A$2</f>
        <v>0</v>
      </c>
      <c r="C306" s="68">
        <f t="shared" si="33"/>
        <v>2074573.74105891</v>
      </c>
      <c r="D306" s="67">
        <f t="array" ref="D306">SUM($B$7:$B301*$F$1009*EXP(-$F$1009*($A306-$A$7:$A301)))*$F$1010</f>
        <v>175797882.18071556</v>
      </c>
      <c r="E306" s="67">
        <f t="shared" si="31"/>
        <v>335.14314292979225</v>
      </c>
      <c r="F306" s="70">
        <f t="shared" si="35"/>
        <v>20.349891638696988</v>
      </c>
      <c r="G306" s="67">
        <f>E306/'Lookup Tables'!$C$48</f>
        <v>670.2862858595845</v>
      </c>
      <c r="H306" s="70">
        <f t="shared" si="32"/>
        <v>8.4909604531091379E-2</v>
      </c>
      <c r="I306" s="71">
        <f t="shared" si="36"/>
        <v>0.96521225163780178</v>
      </c>
      <c r="L306" s="74"/>
      <c r="M306" s="74"/>
      <c r="N306" s="74"/>
      <c r="O306" s="74"/>
      <c r="P306" s="74"/>
      <c r="Q306" s="74"/>
      <c r="R306" s="74"/>
      <c r="S306" s="74"/>
      <c r="T306" s="74"/>
      <c r="U306" s="74"/>
      <c r="V306" s="74"/>
      <c r="W306" s="74"/>
      <c r="X306" s="74"/>
      <c r="Y306" s="74"/>
    </row>
    <row r="307" spans="1:25" x14ac:dyDescent="0.3">
      <c r="A307" s="66">
        <f t="shared" si="34"/>
        <v>2019.9999999999727</v>
      </c>
      <c r="B307" s="67">
        <f>LOOKUP(A307+0.01,AmountsB!$A$4:$A$103,AmountsB!$B$4:$B$103)*0.1*$A$2</f>
        <v>0</v>
      </c>
      <c r="C307" s="68">
        <f t="shared" si="33"/>
        <v>2074573.74105891</v>
      </c>
      <c r="D307" s="67">
        <f t="array" ref="D307">SUM($B$7:$B302*$F$1009*EXP(-$F$1009*($A307-$A$7:$A302)))*$F$1010</f>
        <v>173353859.90501773</v>
      </c>
      <c r="E307" s="67">
        <f t="shared" si="31"/>
        <v>330.48383021960967</v>
      </c>
      <c r="F307" s="70">
        <f t="shared" si="35"/>
        <v>20.0669781709347</v>
      </c>
      <c r="G307" s="67">
        <f>E307/'Lookup Tables'!$C$48</f>
        <v>660.96766043921934</v>
      </c>
      <c r="H307" s="70">
        <f t="shared" si="32"/>
        <v>8.3729152512441035E-2</v>
      </c>
      <c r="I307" s="71">
        <f t="shared" si="36"/>
        <v>0.95179343103247593</v>
      </c>
      <c r="L307" s="74"/>
      <c r="M307" s="74"/>
      <c r="N307" s="74"/>
      <c r="O307" s="74"/>
      <c r="P307" s="74"/>
      <c r="Q307" s="74"/>
      <c r="R307" s="74"/>
      <c r="S307" s="74"/>
      <c r="T307" s="74"/>
      <c r="U307" s="74"/>
      <c r="V307" s="74"/>
      <c r="W307" s="74"/>
      <c r="X307" s="74"/>
      <c r="Y307" s="74"/>
    </row>
    <row r="308" spans="1:25" x14ac:dyDescent="0.3">
      <c r="A308" s="66">
        <f t="shared" si="34"/>
        <v>2020.0999999999726</v>
      </c>
      <c r="B308" s="67">
        <f>LOOKUP(A308+0.01,AmountsB!$A$4:$A$103,AmountsB!$B$4:$B$103)*0.1*$A$2</f>
        <v>0</v>
      </c>
      <c r="C308" s="68">
        <f t="shared" si="33"/>
        <v>2074573.74105891</v>
      </c>
      <c r="D308" s="67">
        <f t="array" ref="D308">SUM($B$7:$B303*$F$1009*EXP(-$F$1009*($A308-$A$7:$A303)))*$F$1010</f>
        <v>170943815.54082835</v>
      </c>
      <c r="E308" s="67">
        <f t="shared" si="31"/>
        <v>325.88929339814575</v>
      </c>
      <c r="F308" s="70">
        <f t="shared" si="35"/>
        <v>19.787997895135412</v>
      </c>
      <c r="G308" s="67">
        <f>E308/'Lookup Tables'!$C$48</f>
        <v>651.77858679629151</v>
      </c>
      <c r="H308" s="70">
        <f t="shared" si="32"/>
        <v>8.256511167572976E-2</v>
      </c>
      <c r="I308" s="71">
        <f t="shared" si="36"/>
        <v>0.93856116498665976</v>
      </c>
      <c r="L308" s="74"/>
      <c r="M308" s="74"/>
      <c r="N308" s="74"/>
      <c r="O308" s="74"/>
      <c r="P308" s="74"/>
      <c r="Q308" s="74"/>
      <c r="R308" s="74"/>
      <c r="S308" s="74"/>
      <c r="T308" s="74"/>
      <c r="U308" s="74"/>
      <c r="V308" s="74"/>
      <c r="W308" s="74"/>
      <c r="X308" s="74"/>
      <c r="Y308" s="74"/>
    </row>
    <row r="309" spans="1:25" x14ac:dyDescent="0.3">
      <c r="A309" s="66">
        <f t="shared" si="34"/>
        <v>2020.1999999999725</v>
      </c>
      <c r="B309" s="67">
        <f>LOOKUP(A309+0.01,AmountsB!$A$4:$A$103,AmountsB!$B$4:$B$103)*0.1*$A$2</f>
        <v>0</v>
      </c>
      <c r="C309" s="68">
        <f t="shared" si="33"/>
        <v>2074573.74105891</v>
      </c>
      <c r="D309" s="67">
        <f t="array" ref="D309">SUM($B$7:$B304*$F$1009*EXP(-$F$1009*($A309-$A$7:$A304)))*$F$1010</f>
        <v>168567276.71173659</v>
      </c>
      <c r="E309" s="67">
        <f t="shared" si="31"/>
        <v>321.35863192147485</v>
      </c>
      <c r="F309" s="70">
        <f t="shared" si="35"/>
        <v>19.512896130271951</v>
      </c>
      <c r="G309" s="67">
        <f>E309/'Lookup Tables'!$C$48</f>
        <v>642.71726384294971</v>
      </c>
      <c r="H309" s="70">
        <f t="shared" si="32"/>
        <v>8.1417253865227093E-2</v>
      </c>
      <c r="I309" s="71">
        <f t="shared" si="36"/>
        <v>0.92551285993384758</v>
      </c>
      <c r="L309" s="74"/>
      <c r="M309" s="74"/>
      <c r="N309" s="74"/>
      <c r="O309" s="74"/>
      <c r="P309" s="74"/>
      <c r="Q309" s="74"/>
      <c r="R309" s="74"/>
      <c r="S309" s="74"/>
      <c r="T309" s="74"/>
      <c r="U309" s="74"/>
      <c r="V309" s="74"/>
      <c r="W309" s="74"/>
      <c r="X309" s="74"/>
      <c r="Y309" s="74"/>
    </row>
    <row r="310" spans="1:25" x14ac:dyDescent="0.3">
      <c r="A310" s="66">
        <f t="shared" si="34"/>
        <v>2020.2999999999724</v>
      </c>
      <c r="B310" s="67">
        <f>LOOKUP(A310+0.01,AmountsB!$A$4:$A$103,AmountsB!$B$4:$B$103)*0.1*$A$2</f>
        <v>0</v>
      </c>
      <c r="C310" s="68">
        <f t="shared" si="33"/>
        <v>2074573.74105891</v>
      </c>
      <c r="D310" s="67">
        <f t="array" ref="D310">SUM($B$7:$B305*$F$1009*EXP(-$F$1009*($A310-$A$7:$A305)))*$F$1010</f>
        <v>166223777.60852385</v>
      </c>
      <c r="E310" s="67">
        <f t="shared" si="31"/>
        <v>316.89095776544332</v>
      </c>
      <c r="F310" s="70">
        <f t="shared" si="35"/>
        <v>19.241618955517719</v>
      </c>
      <c r="G310" s="67">
        <f>E310/'Lookup Tables'!$C$48</f>
        <v>633.78191553088664</v>
      </c>
      <c r="H310" s="70">
        <f t="shared" si="32"/>
        <v>8.0285354097127462E-2</v>
      </c>
      <c r="I310" s="71">
        <f t="shared" si="36"/>
        <v>0.91264595836447682</v>
      </c>
      <c r="L310" s="74"/>
      <c r="M310" s="74"/>
      <c r="N310" s="74"/>
      <c r="O310" s="74"/>
      <c r="P310" s="74"/>
      <c r="Q310" s="74"/>
      <c r="R310" s="74"/>
      <c r="S310" s="74"/>
      <c r="T310" s="74"/>
      <c r="U310" s="74"/>
      <c r="V310" s="74"/>
      <c r="W310" s="74"/>
      <c r="X310" s="74"/>
      <c r="Y310" s="74"/>
    </row>
    <row r="311" spans="1:25" x14ac:dyDescent="0.3">
      <c r="A311" s="66">
        <f t="shared" si="34"/>
        <v>2020.3999999999724</v>
      </c>
      <c r="B311" s="67">
        <f>LOOKUP(A311+0.01,AmountsB!$A$4:$A$103,AmountsB!$B$4:$B$103)*0.1*$A$2</f>
        <v>0</v>
      </c>
      <c r="C311" s="68">
        <f t="shared" si="33"/>
        <v>2074573.74105891</v>
      </c>
      <c r="D311" s="67">
        <f t="array" ref="D311">SUM($B$7:$B306*$F$1009*EXP(-$F$1009*($A311-$A$7:$A306)))*$F$1010</f>
        <v>163912858.89786357</v>
      </c>
      <c r="E311" s="67">
        <f t="shared" si="31"/>
        <v>312.48539525161391</v>
      </c>
      <c r="F311" s="70">
        <f t="shared" si="35"/>
        <v>18.974113199677998</v>
      </c>
      <c r="G311" s="67">
        <f>E311/'Lookup Tables'!$C$48</f>
        <v>624.97079050322782</v>
      </c>
      <c r="H311" s="70">
        <f t="shared" si="32"/>
        <v>7.9169190515452681E-2</v>
      </c>
      <c r="I311" s="71">
        <f t="shared" si="36"/>
        <v>0.89995793832464799</v>
      </c>
      <c r="L311" s="74"/>
      <c r="M311" s="74"/>
      <c r="N311" s="74"/>
      <c r="O311" s="74"/>
      <c r="P311" s="74"/>
      <c r="Q311" s="74"/>
      <c r="R311" s="74"/>
      <c r="S311" s="74"/>
      <c r="T311" s="74"/>
      <c r="U311" s="74"/>
      <c r="V311" s="74"/>
      <c r="W311" s="74"/>
      <c r="X311" s="74"/>
      <c r="Y311" s="74"/>
    </row>
    <row r="312" spans="1:25" x14ac:dyDescent="0.3">
      <c r="A312" s="66">
        <f t="shared" si="34"/>
        <v>2020.4999999999723</v>
      </c>
      <c r="B312" s="67">
        <f>LOOKUP(A312+0.01,AmountsB!$A$4:$A$103,AmountsB!$B$4:$B$103)*0.1*$A$2</f>
        <v>0</v>
      </c>
      <c r="C312" s="68">
        <f t="shared" si="33"/>
        <v>2074573.74105891</v>
      </c>
      <c r="D312" s="67">
        <f t="array" ref="D312">SUM($B$7:$B307*$F$1009*EXP(-$F$1009*($A312-$A$7:$A307)))*$F$1010</f>
        <v>161634067.63229027</v>
      </c>
      <c r="E312" s="67">
        <f t="shared" si="31"/>
        <v>308.14108087563011</v>
      </c>
      <c r="F312" s="70">
        <f t="shared" si="35"/>
        <v>18.710326430768259</v>
      </c>
      <c r="G312" s="67">
        <f>E312/'Lookup Tables'!$C$48</f>
        <v>616.28216175126022</v>
      </c>
      <c r="H312" s="70">
        <f t="shared" si="32"/>
        <v>7.806854434856754E-2</v>
      </c>
      <c r="I312" s="71">
        <f t="shared" si="36"/>
        <v>0.88744631292181475</v>
      </c>
      <c r="L312" s="74"/>
      <c r="M312" s="74"/>
      <c r="N312" s="74"/>
      <c r="O312" s="74"/>
      <c r="P312" s="74"/>
      <c r="Q312" s="74"/>
      <c r="R312" s="74"/>
      <c r="S312" s="74"/>
      <c r="T312" s="74"/>
      <c r="U312" s="74"/>
      <c r="V312" s="74"/>
      <c r="W312" s="74"/>
      <c r="X312" s="74"/>
      <c r="Y312" s="74"/>
    </row>
    <row r="313" spans="1:25" x14ac:dyDescent="0.3">
      <c r="A313" s="66">
        <f t="shared" si="34"/>
        <v>2020.5999999999722</v>
      </c>
      <c r="B313" s="67">
        <f>LOOKUP(A313+0.01,AmountsB!$A$4:$A$103,AmountsB!$B$4:$B$103)*0.1*$A$2</f>
        <v>0</v>
      </c>
      <c r="C313" s="68">
        <f t="shared" si="33"/>
        <v>2074573.74105891</v>
      </c>
      <c r="D313" s="67">
        <f t="array" ref="D313">SUM($B$7:$B308*$F$1009*EXP(-$F$1009*($A313-$A$7:$A308)))*$F$1010</f>
        <v>159386957.16142085</v>
      </c>
      <c r="E313" s="67">
        <f t="shared" si="31"/>
        <v>303.85716313796672</v>
      </c>
      <c r="F313" s="70">
        <f t="shared" si="35"/>
        <v>18.450206945737339</v>
      </c>
      <c r="G313" s="67">
        <f>E313/'Lookup Tables'!$C$48</f>
        <v>607.71432627593344</v>
      </c>
      <c r="H313" s="70">
        <f t="shared" si="32"/>
        <v>7.698319986629977E-2</v>
      </c>
      <c r="I313" s="71">
        <f t="shared" si="36"/>
        <v>0.87510862983734417</v>
      </c>
      <c r="L313" s="74"/>
      <c r="M313" s="74"/>
      <c r="N313" s="74"/>
      <c r="O313" s="74"/>
      <c r="P313" s="74"/>
      <c r="Q313" s="74"/>
      <c r="R313" s="74"/>
      <c r="S313" s="74"/>
      <c r="T313" s="74"/>
      <c r="U313" s="74"/>
      <c r="V313" s="74"/>
      <c r="W313" s="74"/>
      <c r="X313" s="74"/>
      <c r="Y313" s="74"/>
    </row>
    <row r="314" spans="1:25" x14ac:dyDescent="0.3">
      <c r="A314" s="66">
        <f t="shared" si="34"/>
        <v>2020.6999999999721</v>
      </c>
      <c r="B314" s="67">
        <f>LOOKUP(A314+0.01,AmountsB!$A$4:$A$103,AmountsB!$B$4:$B$103)*0.1*$A$2</f>
        <v>0</v>
      </c>
      <c r="C314" s="68">
        <f t="shared" si="33"/>
        <v>2074573.74105891</v>
      </c>
      <c r="D314" s="67">
        <f t="array" ref="D314">SUM($B$7:$B309*$F$1009*EXP(-$F$1009*($A314-$A$7:$A309)))*$F$1010</f>
        <v>157171087.0444091</v>
      </c>
      <c r="E314" s="67">
        <f t="shared" si="31"/>
        <v>299.6328023770327</v>
      </c>
      <c r="F314" s="70">
        <f t="shared" si="35"/>
        <v>18.193703760333428</v>
      </c>
      <c r="G314" s="67">
        <f>E314/'Lookup Tables'!$C$48</f>
        <v>599.26560475406541</v>
      </c>
      <c r="H314" s="70">
        <f t="shared" si="32"/>
        <v>7.5912944337656274E-2</v>
      </c>
      <c r="I314" s="71">
        <f t="shared" si="36"/>
        <v>0.86294247084585418</v>
      </c>
      <c r="L314" s="74"/>
      <c r="M314" s="74"/>
      <c r="N314" s="74"/>
      <c r="O314" s="74"/>
      <c r="P314" s="74"/>
      <c r="Q314" s="74"/>
      <c r="R314" s="74"/>
      <c r="S314" s="74"/>
      <c r="T314" s="74"/>
      <c r="U314" s="74"/>
      <c r="V314" s="74"/>
      <c r="W314" s="74"/>
      <c r="X314" s="74"/>
      <c r="Y314" s="74"/>
    </row>
    <row r="315" spans="1:25" x14ac:dyDescent="0.3">
      <c r="A315" s="66">
        <f t="shared" si="34"/>
        <v>2020.799999999972</v>
      </c>
      <c r="B315" s="67">
        <f>LOOKUP(A315+0.01,AmountsB!$A$4:$A$103,AmountsB!$B$4:$B$103)*0.1*$A$2</f>
        <v>0</v>
      </c>
      <c r="C315" s="68">
        <f t="shared" si="33"/>
        <v>2074573.74105891</v>
      </c>
      <c r="D315" s="67">
        <f t="array" ref="D315">SUM($B$7:$B310*$F$1009*EXP(-$F$1009*($A315-$A$7:$A310)))*$F$1010</f>
        <v>154986022.96361825</v>
      </c>
      <c r="E315" s="67">
        <f t="shared" si="31"/>
        <v>295.46717060459503</v>
      </c>
      <c r="F315" s="70">
        <f t="shared" si="35"/>
        <v>17.940766599111011</v>
      </c>
      <c r="G315" s="67">
        <f>E315/'Lookup Tables'!$C$48</f>
        <v>590.93434120919005</v>
      </c>
      <c r="H315" s="70">
        <f t="shared" si="32"/>
        <v>7.4857567989127113E-2</v>
      </c>
      <c r="I315" s="71">
        <f t="shared" si="36"/>
        <v>0.85094545134123367</v>
      </c>
      <c r="L315" s="74"/>
      <c r="M315" s="74"/>
      <c r="N315" s="74"/>
      <c r="O315" s="74"/>
      <c r="P315" s="74"/>
      <c r="Q315" s="74"/>
      <c r="R315" s="74"/>
      <c r="S315" s="74"/>
      <c r="T315" s="74"/>
      <c r="U315" s="74"/>
      <c r="V315" s="74"/>
      <c r="W315" s="74"/>
      <c r="X315" s="74"/>
      <c r="Y315" s="74"/>
    </row>
    <row r="316" spans="1:25" x14ac:dyDescent="0.3">
      <c r="A316" s="66">
        <f t="shared" si="34"/>
        <v>2020.8999999999719</v>
      </c>
      <c r="B316" s="67">
        <f>LOOKUP(A316+0.01,AmountsB!$A$4:$A$103,AmountsB!$B$4:$B$103)*0.1*$A$2</f>
        <v>0</v>
      </c>
      <c r="C316" s="68">
        <f t="shared" si="33"/>
        <v>2074573.74105891</v>
      </c>
      <c r="D316" s="67">
        <f t="array" ref="D316">SUM($B$7:$B311*$F$1009*EXP(-$F$1009*($A316-$A$7:$A311)))*$F$1010</f>
        <v>152831336.63949344</v>
      </c>
      <c r="E316" s="67">
        <f t="shared" si="31"/>
        <v>291.35945134349089</v>
      </c>
      <c r="F316" s="70">
        <f t="shared" si="35"/>
        <v>17.691345885576766</v>
      </c>
      <c r="G316" s="67">
        <f>E316/'Lookup Tables'!$C$48</f>
        <v>582.71890268698178</v>
      </c>
      <c r="H316" s="70">
        <f t="shared" si="32"/>
        <v>7.3816863963569387E-2</v>
      </c>
      <c r="I316" s="71">
        <f t="shared" si="36"/>
        <v>0.83911521986925364</v>
      </c>
      <c r="L316" s="74"/>
      <c r="M316" s="74"/>
      <c r="N316" s="74"/>
      <c r="O316" s="74"/>
      <c r="P316" s="74"/>
      <c r="Q316" s="74"/>
      <c r="R316" s="74"/>
      <c r="S316" s="74"/>
      <c r="T316" s="74"/>
      <c r="U316" s="74"/>
      <c r="V316" s="74"/>
      <c r="W316" s="74"/>
      <c r="X316" s="74"/>
      <c r="Y316" s="74"/>
    </row>
    <row r="317" spans="1:25" x14ac:dyDescent="0.3">
      <c r="A317" s="66">
        <f t="shared" si="34"/>
        <v>2020.9999999999718</v>
      </c>
      <c r="B317" s="67">
        <f>LOOKUP(A317+0.01,AmountsB!$A$4:$A$103,AmountsB!$B$4:$B$103)*0.1*$A$2</f>
        <v>0</v>
      </c>
      <c r="C317" s="68">
        <f t="shared" si="33"/>
        <v>2074573.74105891</v>
      </c>
      <c r="D317" s="67">
        <f t="array" ref="D317">SUM($B$7:$B312*$F$1009*EXP(-$F$1009*($A317-$A$7:$A312)))*$F$1010</f>
        <v>150706605.74661714</v>
      </c>
      <c r="E317" s="67">
        <f t="shared" si="31"/>
        <v>287.30883946759485</v>
      </c>
      <c r="F317" s="70">
        <f t="shared" si="35"/>
        <v>17.445392732472357</v>
      </c>
      <c r="G317" s="67">
        <f>E317/'Lookup Tables'!$C$48</f>
        <v>574.6176789351897</v>
      </c>
      <c r="H317" s="70">
        <f t="shared" si="32"/>
        <v>7.2790628279662456E-2</v>
      </c>
      <c r="I317" s="71">
        <f t="shared" si="36"/>
        <v>0.8274494576666731</v>
      </c>
      <c r="L317" s="74"/>
      <c r="M317" s="74"/>
      <c r="N317" s="74"/>
      <c r="O317" s="74"/>
      <c r="P317" s="74"/>
      <c r="Q317" s="74"/>
      <c r="R317" s="74"/>
      <c r="S317" s="74"/>
      <c r="T317" s="74"/>
      <c r="U317" s="74"/>
      <c r="V317" s="74"/>
      <c r="W317" s="74"/>
      <c r="X317" s="74"/>
      <c r="Y317" s="74"/>
    </row>
    <row r="318" spans="1:25" x14ac:dyDescent="0.3">
      <c r="A318" s="66">
        <f t="shared" si="34"/>
        <v>2021.0999999999717</v>
      </c>
      <c r="B318" s="67">
        <f>LOOKUP(A318+0.01,AmountsB!$A$4:$A$103,AmountsB!$B$4:$B$103)*0.1*$A$2</f>
        <v>0</v>
      </c>
      <c r="C318" s="68">
        <f t="shared" si="33"/>
        <v>2074573.74105891</v>
      </c>
      <c r="D318" s="67">
        <f t="array" ref="D318">SUM($B$7:$B313*$F$1009*EXP(-$F$1009*($A318-$A$7:$A313)))*$F$1010</f>
        <v>148611413.83093235</v>
      </c>
      <c r="E318" s="67">
        <f t="shared" si="31"/>
        <v>283.31454104401166</v>
      </c>
      <c r="F318" s="70">
        <f t="shared" si="35"/>
        <v>17.202858932192385</v>
      </c>
      <c r="G318" s="67">
        <f>E318/'Lookup Tables'!$C$48</f>
        <v>566.62908208802332</v>
      </c>
      <c r="H318" s="70">
        <f t="shared" si="32"/>
        <v>7.177865979192688E-2</v>
      </c>
      <c r="I318" s="71">
        <f t="shared" si="36"/>
        <v>0.81594587820675357</v>
      </c>
      <c r="L318" s="74"/>
      <c r="M318" s="74"/>
      <c r="N318" s="74"/>
      <c r="O318" s="74"/>
      <c r="P318" s="74"/>
      <c r="Q318" s="74"/>
      <c r="R318" s="74"/>
      <c r="S318" s="74"/>
      <c r="T318" s="74"/>
      <c r="U318" s="74"/>
      <c r="V318" s="74"/>
      <c r="W318" s="74"/>
      <c r="X318" s="74"/>
      <c r="Y318" s="74"/>
    </row>
    <row r="319" spans="1:25" x14ac:dyDescent="0.3">
      <c r="A319" s="66">
        <f t="shared" si="34"/>
        <v>2021.1999999999716</v>
      </c>
      <c r="B319" s="67">
        <f>LOOKUP(A319+0.01,AmountsB!$A$4:$A$103,AmountsB!$B$4:$B$103)*0.1*$A$2</f>
        <v>0</v>
      </c>
      <c r="C319" s="68">
        <f t="shared" si="33"/>
        <v>2074573.74105891</v>
      </c>
      <c r="D319" s="67">
        <f t="array" ref="D319">SUM($B$7:$B314*$F$1009*EXP(-$F$1009*($A319-$A$7:$A314)))*$F$1010</f>
        <v>146545350.22811618</v>
      </c>
      <c r="E319" s="67">
        <f t="shared" si="31"/>
        <v>279.37577317746332</v>
      </c>
      <c r="F319" s="70">
        <f t="shared" si="35"/>
        <v>16.963696947335574</v>
      </c>
      <c r="G319" s="67">
        <f>E319/'Lookup Tables'!$C$48</f>
        <v>558.75154635492663</v>
      </c>
      <c r="H319" s="70">
        <f t="shared" si="32"/>
        <v>7.0780760151299457E-2</v>
      </c>
      <c r="I319" s="71">
        <f t="shared" si="36"/>
        <v>0.8046022267510945</v>
      </c>
      <c r="L319" s="74"/>
      <c r="M319" s="74"/>
      <c r="N319" s="74"/>
      <c r="O319" s="74"/>
      <c r="P319" s="74"/>
      <c r="Q319" s="74"/>
      <c r="R319" s="74"/>
      <c r="S319" s="74"/>
      <c r="T319" s="74"/>
      <c r="U319" s="74"/>
      <c r="V319" s="74"/>
      <c r="W319" s="74"/>
      <c r="X319" s="74"/>
      <c r="Y319" s="74"/>
    </row>
    <row r="320" spans="1:25" x14ac:dyDescent="0.3">
      <c r="A320" s="66">
        <f t="shared" si="34"/>
        <v>2021.2999999999715</v>
      </c>
      <c r="B320" s="67">
        <f>LOOKUP(A320+0.01,AmountsB!$A$4:$A$103,AmountsB!$B$4:$B$103)*0.1*$A$2</f>
        <v>0</v>
      </c>
      <c r="C320" s="68">
        <f t="shared" si="33"/>
        <v>2074573.74105891</v>
      </c>
      <c r="D320" s="67">
        <f t="array" ref="D320">SUM($B$7:$B315*$F$1009*EXP(-$F$1009*($A320-$A$7:$A315)))*$F$1010</f>
        <v>144508009.98308823</v>
      </c>
      <c r="E320" s="67">
        <f t="shared" si="31"/>
        <v>275.49176385683836</v>
      </c>
      <c r="F320" s="70">
        <f t="shared" si="35"/>
        <v>16.727859901387223</v>
      </c>
      <c r="G320" s="67">
        <f>E320/'Lookup Tables'!$C$48</f>
        <v>550.98352771367672</v>
      </c>
      <c r="H320" s="70">
        <f t="shared" si="32"/>
        <v>6.9796733766255892E-2</v>
      </c>
      <c r="I320" s="71">
        <f t="shared" si="36"/>
        <v>0.79341627990769448</v>
      </c>
      <c r="L320" s="74"/>
      <c r="M320" s="74"/>
      <c r="N320" s="74"/>
      <c r="O320" s="74"/>
      <c r="P320" s="74"/>
      <c r="Q320" s="74"/>
      <c r="R320" s="74"/>
      <c r="S320" s="74"/>
      <c r="T320" s="74"/>
      <c r="U320" s="74"/>
      <c r="V320" s="74"/>
      <c r="W320" s="74"/>
      <c r="X320" s="74"/>
      <c r="Y320" s="74"/>
    </row>
    <row r="321" spans="1:25" x14ac:dyDescent="0.3">
      <c r="A321" s="66">
        <f t="shared" si="34"/>
        <v>2021.3999999999714</v>
      </c>
      <c r="B321" s="67">
        <f>LOOKUP(A321+0.01,AmountsB!$A$4:$A$103,AmountsB!$B$4:$B$103)*0.1*$A$2</f>
        <v>0</v>
      </c>
      <c r="C321" s="68">
        <f t="shared" si="33"/>
        <v>2074573.74105891</v>
      </c>
      <c r="D321" s="67">
        <f t="array" ref="D321">SUM($B$7:$B316*$F$1009*EXP(-$F$1009*($A321-$A$7:$A316)))*$F$1010</f>
        <v>142498993.77063826</v>
      </c>
      <c r="E321" s="67">
        <f t="shared" si="31"/>
        <v>271.66175180387603</v>
      </c>
      <c r="F321" s="70">
        <f t="shared" si="35"/>
        <v>16.495301569531353</v>
      </c>
      <c r="G321" s="67">
        <f>E321/'Lookup Tables'!$C$48</f>
        <v>543.32350360775206</v>
      </c>
      <c r="H321" s="70">
        <f t="shared" si="32"/>
        <v>6.8826387764474584E-2</v>
      </c>
      <c r="I321" s="71">
        <f t="shared" si="36"/>
        <v>0.78238584519516297</v>
      </c>
      <c r="L321" s="74"/>
      <c r="M321" s="74"/>
      <c r="N321" s="74"/>
      <c r="O321" s="74"/>
      <c r="P321" s="74"/>
      <c r="Q321" s="74"/>
      <c r="R321" s="74"/>
      <c r="S321" s="74"/>
      <c r="T321" s="74"/>
      <c r="U321" s="74"/>
      <c r="V321" s="74"/>
      <c r="W321" s="74"/>
      <c r="X321" s="74"/>
      <c r="Y321" s="74"/>
    </row>
    <row r="322" spans="1:25" x14ac:dyDescent="0.3">
      <c r="A322" s="66">
        <f t="shared" si="34"/>
        <v>2021.4999999999714</v>
      </c>
      <c r="B322" s="67">
        <f>LOOKUP(A322+0.01,AmountsB!$A$4:$A$103,AmountsB!$B$4:$B$103)*0.1*$A$2</f>
        <v>0</v>
      </c>
      <c r="C322" s="68">
        <f t="shared" si="33"/>
        <v>2074573.74105891</v>
      </c>
      <c r="D322" s="67">
        <f t="array" ref="D322">SUM($B$7:$B317*$F$1009*EXP(-$F$1009*($A322-$A$7:$A317)))*$F$1010</f>
        <v>140517907.81715703</v>
      </c>
      <c r="E322" s="67">
        <f t="shared" si="31"/>
        <v>267.88498632395266</v>
      </c>
      <c r="F322" s="70">
        <f t="shared" si="35"/>
        <v>16.265976369590405</v>
      </c>
      <c r="G322" s="67">
        <f>E322/'Lookup Tables'!$C$48</f>
        <v>535.76997264790532</v>
      </c>
      <c r="H322" s="70">
        <f t="shared" si="32"/>
        <v>6.7869531955032744E-2</v>
      </c>
      <c r="I322" s="71">
        <f t="shared" si="36"/>
        <v>0.77150876061298368</v>
      </c>
      <c r="L322" s="74"/>
      <c r="M322" s="74"/>
      <c r="N322" s="74"/>
      <c r="O322" s="74"/>
      <c r="P322" s="74"/>
      <c r="Q322" s="74"/>
      <c r="R322" s="74"/>
      <c r="S322" s="74"/>
      <c r="T322" s="74"/>
      <c r="U322" s="74"/>
      <c r="V322" s="74"/>
      <c r="W322" s="74"/>
      <c r="X322" s="74"/>
      <c r="Y322" s="74"/>
    </row>
    <row r="323" spans="1:25" x14ac:dyDescent="0.3">
      <c r="A323" s="66">
        <f t="shared" si="34"/>
        <v>2021.5999999999713</v>
      </c>
      <c r="B323" s="67">
        <f>LOOKUP(A323+0.01,AmountsB!$A$4:$A$103,AmountsB!$B$4:$B$103)*0.1*$A$2</f>
        <v>0</v>
      </c>
      <c r="C323" s="68">
        <f t="shared" si="33"/>
        <v>2074573.74105891</v>
      </c>
      <c r="D323" s="67">
        <f t="array" ref="D323">SUM($B$7:$B318*$F$1009*EXP(-$F$1009*($A323-$A$7:$A318)))*$F$1010</f>
        <v>138564363.82345554</v>
      </c>
      <c r="E323" s="67">
        <f t="shared" si="31"/>
        <v>264.16072715894347</v>
      </c>
      <c r="F323" s="70">
        <f t="shared" si="35"/>
        <v>16.039839353091047</v>
      </c>
      <c r="G323" s="67">
        <f>E323/'Lookup Tables'!$C$48</f>
        <v>528.32145431788695</v>
      </c>
      <c r="H323" s="70">
        <f t="shared" si="32"/>
        <v>6.6925978791128479E-2</v>
      </c>
      <c r="I323" s="71">
        <f t="shared" si="36"/>
        <v>0.76078289421775713</v>
      </c>
      <c r="L323" s="74"/>
      <c r="M323" s="74"/>
      <c r="N323" s="74"/>
      <c r="O323" s="74"/>
      <c r="P323" s="74"/>
      <c r="Q323" s="74"/>
      <c r="R323" s="74"/>
      <c r="S323" s="74"/>
      <c r="T323" s="74"/>
      <c r="U323" s="74"/>
      <c r="V323" s="74"/>
      <c r="W323" s="74"/>
      <c r="X323" s="74"/>
      <c r="Y323" s="74"/>
    </row>
    <row r="324" spans="1:25" x14ac:dyDescent="0.3">
      <c r="A324" s="66">
        <f t="shared" si="34"/>
        <v>2021.6999999999712</v>
      </c>
      <c r="B324" s="67">
        <f>LOOKUP(A324+0.01,AmountsB!$A$4:$A$103,AmountsB!$B$4:$B$103)*0.1*$A$2</f>
        <v>0</v>
      </c>
      <c r="C324" s="68">
        <f t="shared" si="33"/>
        <v>2074573.74105891</v>
      </c>
      <c r="D324" s="67">
        <f t="array" ref="D324">SUM($B$7:$B319*$F$1009*EXP(-$F$1009*($A324-$A$7:$A319)))*$F$1010</f>
        <v>136637978.888657</v>
      </c>
      <c r="E324" s="67">
        <f t="shared" si="31"/>
        <v>260.48824434212941</v>
      </c>
      <c r="F324" s="70">
        <f t="shared" si="35"/>
        <v>15.816846196454099</v>
      </c>
      <c r="G324" s="67">
        <f>E324/'Lookup Tables'!$C$48</f>
        <v>520.97648868425881</v>
      </c>
      <c r="H324" s="70">
        <f t="shared" si="32"/>
        <v>6.5995543333321013E-2</v>
      </c>
      <c r="I324" s="71">
        <f t="shared" si="36"/>
        <v>0.75020614370533267</v>
      </c>
      <c r="L324" s="74"/>
      <c r="M324" s="74"/>
      <c r="N324" s="74"/>
      <c r="O324" s="74"/>
      <c r="P324" s="74"/>
      <c r="Q324" s="74"/>
      <c r="R324" s="74"/>
      <c r="S324" s="74"/>
      <c r="T324" s="74"/>
      <c r="U324" s="74"/>
      <c r="V324" s="74"/>
      <c r="W324" s="74"/>
      <c r="X324" s="74"/>
      <c r="Y324" s="74"/>
    </row>
    <row r="325" spans="1:25" x14ac:dyDescent="0.3">
      <c r="A325" s="66">
        <f t="shared" si="34"/>
        <v>2021.7999999999711</v>
      </c>
      <c r="B325" s="67">
        <f>LOOKUP(A325+0.01,AmountsB!$A$4:$A$103,AmountsB!$B$4:$B$103)*0.1*$A$2</f>
        <v>0</v>
      </c>
      <c r="C325" s="68">
        <f t="shared" si="33"/>
        <v>2074573.74105891</v>
      </c>
      <c r="D325" s="67">
        <f t="array" ref="D325">SUM($B$7:$B320*$F$1009*EXP(-$F$1009*($A325-$A$7:$A320)))*$F$1010</f>
        <v>134738375.43514714</v>
      </c>
      <c r="E325" s="67">
        <f t="shared" si="31"/>
        <v>256.86681805512137</v>
      </c>
      <c r="F325" s="70">
        <f t="shared" si="35"/>
        <v>15.59695319230697</v>
      </c>
      <c r="G325" s="67">
        <f>E325/'Lookup Tables'!$C$48</f>
        <v>513.73363611024274</v>
      </c>
      <c r="H325" s="70">
        <f t="shared" si="32"/>
        <v>6.5078043213281977E-2</v>
      </c>
      <c r="I325" s="71">
        <f t="shared" si="36"/>
        <v>0.73977643599874954</v>
      </c>
      <c r="L325" s="74"/>
      <c r="M325" s="74"/>
      <c r="N325" s="74"/>
      <c r="O325" s="74"/>
      <c r="P325" s="74"/>
      <c r="Q325" s="74"/>
      <c r="R325" s="74"/>
      <c r="S325" s="74"/>
      <c r="T325" s="74"/>
      <c r="U325" s="74"/>
      <c r="V325" s="74"/>
      <c r="W325" s="74"/>
      <c r="X325" s="74"/>
      <c r="Y325" s="74"/>
    </row>
    <row r="326" spans="1:25" x14ac:dyDescent="0.3">
      <c r="A326" s="66">
        <f t="shared" si="34"/>
        <v>2021.899999999971</v>
      </c>
      <c r="B326" s="67">
        <f>LOOKUP(A326+0.01,AmountsB!$A$4:$A$103,AmountsB!$B$4:$B$103)*0.1*$A$2</f>
        <v>0</v>
      </c>
      <c r="C326" s="68">
        <f t="shared" si="33"/>
        <v>2074573.74105891</v>
      </c>
      <c r="D326" s="67">
        <f t="array" ref="D326">SUM($B$7:$B321*$F$1009*EXP(-$F$1009*($A326-$A$7:$A321)))*$F$1010</f>
        <v>132865181.13456778</v>
      </c>
      <c r="E326" s="67">
        <f t="shared" si="31"/>
        <v>253.29573848677373</v>
      </c>
      <c r="F326" s="70">
        <f t="shared" si="35"/>
        <v>15.380117240916901</v>
      </c>
      <c r="G326" s="67">
        <f>E326/'Lookup Tables'!$C$48</f>
        <v>506.59147697354746</v>
      </c>
      <c r="H326" s="70">
        <f t="shared" si="32"/>
        <v>6.4173298598050571E-2</v>
      </c>
      <c r="I326" s="71">
        <f t="shared" si="36"/>
        <v>0.72949172684190844</v>
      </c>
      <c r="L326" s="74"/>
      <c r="M326" s="74"/>
      <c r="N326" s="74"/>
      <c r="O326" s="74"/>
      <c r="P326" s="74"/>
      <c r="Q326" s="74"/>
      <c r="R326" s="74"/>
      <c r="S326" s="74"/>
      <c r="T326" s="74"/>
      <c r="U326" s="74"/>
      <c r="V326" s="74"/>
      <c r="W326" s="74"/>
      <c r="X326" s="74"/>
      <c r="Y326" s="74"/>
    </row>
    <row r="327" spans="1:25" x14ac:dyDescent="0.3">
      <c r="A327" s="66">
        <f t="shared" si="34"/>
        <v>2021.9999999999709</v>
      </c>
      <c r="B327" s="67">
        <f>LOOKUP(A327+0.01,AmountsB!$A$4:$A$103,AmountsB!$B$4:$B$103)*0.1*$A$2</f>
        <v>0</v>
      </c>
      <c r="C327" s="68">
        <f t="shared" si="33"/>
        <v>2074573.74105891</v>
      </c>
      <c r="D327" s="67">
        <f t="array" ref="D327">SUM($B$7:$B322*$F$1009*EXP(-$F$1009*($A327-$A$7:$A322)))*$F$1010</f>
        <v>131018028.8348393</v>
      </c>
      <c r="E327" s="67">
        <f t="shared" ref="E327:E390" si="37">D327/(365*24*60)*1.00201</f>
        <v>249.77430569405885</v>
      </c>
      <c r="F327" s="70">
        <f t="shared" si="35"/>
        <v>15.166295841743253</v>
      </c>
      <c r="G327" s="67">
        <f>E327/'Lookup Tables'!$C$48</f>
        <v>499.54861138811771</v>
      </c>
      <c r="H327" s="70">
        <f t="shared" ref="H327:H390" si="38">G327*60*24*365/(C327*2000)</f>
        <v>6.3281132154785827E-2</v>
      </c>
      <c r="I327" s="71">
        <f t="shared" si="36"/>
        <v>0.71935000039888941</v>
      </c>
      <c r="L327" s="74"/>
      <c r="M327" s="74"/>
      <c r="N327" s="74"/>
      <c r="O327" s="74"/>
      <c r="P327" s="74"/>
      <c r="Q327" s="74"/>
      <c r="R327" s="74"/>
      <c r="S327" s="74"/>
      <c r="T327" s="74"/>
      <c r="U327" s="74"/>
      <c r="V327" s="74"/>
      <c r="W327" s="74"/>
      <c r="X327" s="74"/>
      <c r="Y327" s="74"/>
    </row>
    <row r="328" spans="1:25" x14ac:dyDescent="0.3">
      <c r="A328" s="66">
        <f t="shared" si="34"/>
        <v>2022.0999999999708</v>
      </c>
      <c r="B328" s="67">
        <f>LOOKUP(A328+0.01,AmountsB!$A$4:$A$103,AmountsB!$B$4:$B$103)*0.1*$A$2</f>
        <v>0</v>
      </c>
      <c r="C328" s="68">
        <f t="shared" si="33"/>
        <v>2074573.74105891</v>
      </c>
      <c r="D328" s="67">
        <f t="array" ref="D328">SUM($B$7:$B323*$F$1009*EXP(-$F$1009*($A328-$A$7:$A323)))*$F$1010</f>
        <v>129196556.48819749</v>
      </c>
      <c r="E328" s="67">
        <f t="shared" si="37"/>
        <v>246.30182946487588</v>
      </c>
      <c r="F328" s="70">
        <f t="shared" si="35"/>
        <v>14.955447085107263</v>
      </c>
      <c r="G328" s="67">
        <f>E328/'Lookup Tables'!$C$48</f>
        <v>492.60365892975176</v>
      </c>
      <c r="H328" s="70">
        <f t="shared" si="38"/>
        <v>6.240136901600872E-2</v>
      </c>
      <c r="I328" s="71">
        <f t="shared" si="36"/>
        <v>0.70934926885884253</v>
      </c>
      <c r="L328" s="74"/>
      <c r="M328" s="74"/>
      <c r="N328" s="74"/>
      <c r="O328" s="74"/>
      <c r="P328" s="74"/>
      <c r="Q328" s="74"/>
      <c r="R328" s="74"/>
      <c r="S328" s="74"/>
      <c r="T328" s="74"/>
      <c r="U328" s="74"/>
      <c r="V328" s="74"/>
      <c r="W328" s="74"/>
      <c r="X328" s="74"/>
      <c r="Y328" s="74"/>
    </row>
    <row r="329" spans="1:25" x14ac:dyDescent="0.3">
      <c r="A329" s="66">
        <f t="shared" si="34"/>
        <v>2022.1999999999707</v>
      </c>
      <c r="B329" s="67">
        <f>LOOKUP(A329+0.01,AmountsB!$A$4:$A$103,AmountsB!$B$4:$B$103)*0.1*$A$2</f>
        <v>0</v>
      </c>
      <c r="C329" s="68">
        <f t="shared" ref="C329:C392" si="39">C328+B329</f>
        <v>2074573.74105891</v>
      </c>
      <c r="D329" s="67">
        <f t="array" ref="D329">SUM($B$7:$B324*$F$1009*EXP(-$F$1009*($A329-$A$7:$A324)))*$F$1010</f>
        <v>127400407.08023128</v>
      </c>
      <c r="E329" s="67">
        <f t="shared" si="37"/>
        <v>242.87762918276741</v>
      </c>
      <c r="F329" s="70">
        <f t="shared" si="35"/>
        <v>14.747529643977636</v>
      </c>
      <c r="G329" s="67">
        <f>E329/'Lookup Tables'!$C$48</f>
        <v>485.75525836553481</v>
      </c>
      <c r="H329" s="70">
        <f t="shared" si="38"/>
        <v>6.1533836745327621E-2</v>
      </c>
      <c r="I329" s="71">
        <f t="shared" si="36"/>
        <v>0.69948757204637013</v>
      </c>
      <c r="L329" s="74"/>
      <c r="M329" s="74"/>
      <c r="N329" s="74"/>
      <c r="O329" s="74"/>
      <c r="P329" s="74"/>
      <c r="Q329" s="74"/>
      <c r="R329" s="74"/>
      <c r="S329" s="74"/>
      <c r="T329" s="74"/>
      <c r="U329" s="74"/>
      <c r="V329" s="74"/>
      <c r="W329" s="74"/>
      <c r="X329" s="74"/>
      <c r="Y329" s="74"/>
    </row>
    <row r="330" spans="1:25" x14ac:dyDescent="0.3">
      <c r="A330" s="66">
        <f t="shared" si="34"/>
        <v>2022.2999999999706</v>
      </c>
      <c r="B330" s="67">
        <f>LOOKUP(A330+0.01,AmountsB!$A$4:$A$103,AmountsB!$B$4:$B$103)*0.1*$A$2</f>
        <v>0</v>
      </c>
      <c r="C330" s="68">
        <f t="shared" si="39"/>
        <v>2074573.74105891</v>
      </c>
      <c r="D330" s="67">
        <f t="array" ref="D330">SUM($B$7:$B325*$F$1009*EXP(-$F$1009*($A330-$A$7:$A325)))*$F$1010</f>
        <v>125629228.5599066</v>
      </c>
      <c r="E330" s="67">
        <f t="shared" si="37"/>
        <v>239.50103369351601</v>
      </c>
      <c r="F330" s="70">
        <f t="shared" si="35"/>
        <v>14.542502765870292</v>
      </c>
      <c r="G330" s="67">
        <f>E330/'Lookup Tables'!$C$48</f>
        <v>479.00206738703201</v>
      </c>
      <c r="H330" s="70">
        <f t="shared" si="38"/>
        <v>6.0678365303640194E-2</v>
      </c>
      <c r="I330" s="71">
        <f t="shared" si="36"/>
        <v>0.68976297703732603</v>
      </c>
      <c r="L330" s="74"/>
      <c r="M330" s="74"/>
      <c r="N330" s="74"/>
      <c r="O330" s="74"/>
      <c r="P330" s="74"/>
      <c r="Q330" s="74"/>
      <c r="R330" s="74"/>
      <c r="S330" s="74"/>
      <c r="T330" s="74"/>
      <c r="U330" s="74"/>
      <c r="V330" s="74"/>
      <c r="W330" s="74"/>
      <c r="X330" s="74"/>
      <c r="Y330" s="74"/>
    </row>
    <row r="331" spans="1:25" x14ac:dyDescent="0.3">
      <c r="A331" s="66">
        <f t="shared" si="34"/>
        <v>2022.3999999999705</v>
      </c>
      <c r="B331" s="67">
        <f>LOOKUP(A331+0.01,AmountsB!$A$4:$A$103,AmountsB!$B$4:$B$103)*0.1*$A$2</f>
        <v>0</v>
      </c>
      <c r="C331" s="68">
        <f t="shared" si="39"/>
        <v>2074573.74105891</v>
      </c>
      <c r="D331" s="67">
        <f t="array" ref="D331">SUM($B$7:$B326*$F$1009*EXP(-$F$1009*($A331-$A$7:$A326)))*$F$1010</f>
        <v>123882673.77056327</v>
      </c>
      <c r="E331" s="67">
        <f t="shared" si="37"/>
        <v>236.1713811735961</v>
      </c>
      <c r="F331" s="70">
        <f t="shared" si="35"/>
        <v>14.340326264860755</v>
      </c>
      <c r="G331" s="67">
        <f>E331/'Lookup Tables'!$C$48</f>
        <v>472.34276234719221</v>
      </c>
      <c r="H331" s="70">
        <f t="shared" si="38"/>
        <v>5.9834787015805205E-2</v>
      </c>
      <c r="I331" s="71">
        <f t="shared" si="36"/>
        <v>0.6801735777799568</v>
      </c>
      <c r="L331" s="74"/>
      <c r="M331" s="74"/>
      <c r="N331" s="74"/>
      <c r="O331" s="74"/>
      <c r="P331" s="74"/>
      <c r="Q331" s="74"/>
      <c r="R331" s="74"/>
      <c r="S331" s="74"/>
      <c r="T331" s="74"/>
      <c r="U331" s="74"/>
      <c r="V331" s="74"/>
      <c r="W331" s="74"/>
      <c r="X331" s="74"/>
      <c r="Y331" s="74"/>
    </row>
    <row r="332" spans="1:25" x14ac:dyDescent="0.3">
      <c r="A332" s="66">
        <f t="shared" si="34"/>
        <v>2022.4999999999704</v>
      </c>
      <c r="B332" s="67">
        <f>LOOKUP(A332+0.01,AmountsB!$A$4:$A$103,AmountsB!$B$4:$B$103)*0.1*$A$2</f>
        <v>0</v>
      </c>
      <c r="C332" s="68">
        <f t="shared" si="39"/>
        <v>2074573.74105891</v>
      </c>
      <c r="D332" s="67">
        <f t="array" ref="D332">SUM($B$7:$B327*$F$1009*EXP(-$F$1009*($A332-$A$7:$A327)))*$F$1010</f>
        <v>122160400.38187125</v>
      </c>
      <c r="E332" s="67">
        <f t="shared" si="37"/>
        <v>232.88801900045439</v>
      </c>
      <c r="F332" s="70">
        <f t="shared" si="35"/>
        <v>14.140960513707592</v>
      </c>
      <c r="G332" s="67">
        <f>E332/'Lookup Tables'!$C$48</f>
        <v>465.77603800090878</v>
      </c>
      <c r="H332" s="70">
        <f t="shared" si="38"/>
        <v>5.9002936537777655E-2</v>
      </c>
      <c r="I332" s="71">
        <f t="shared" si="36"/>
        <v>0.6707174947213087</v>
      </c>
      <c r="L332" s="74"/>
      <c r="M332" s="74"/>
      <c r="N332" s="74"/>
      <c r="O332" s="74"/>
      <c r="P332" s="74"/>
      <c r="Q332" s="74"/>
      <c r="R332" s="74"/>
      <c r="S332" s="74"/>
      <c r="T332" s="74"/>
      <c r="U332" s="74"/>
      <c r="V332" s="74"/>
      <c r="W332" s="74"/>
      <c r="X332" s="74"/>
      <c r="Y332" s="74"/>
    </row>
    <row r="333" spans="1:25" x14ac:dyDescent="0.3">
      <c r="A333" s="66">
        <f t="shared" si="34"/>
        <v>2022.5999999999704</v>
      </c>
      <c r="B333" s="67">
        <f>LOOKUP(A333+0.01,AmountsB!$A$4:$A$103,AmountsB!$B$4:$B$103)*0.1*$A$2</f>
        <v>0</v>
      </c>
      <c r="C333" s="68">
        <f t="shared" si="39"/>
        <v>2074573.74105891</v>
      </c>
      <c r="D333" s="67">
        <f t="array" ref="D333">SUM($B$7:$B328*$F$1009*EXP(-$F$1009*($A333-$A$7:$A328)))*$F$1010</f>
        <v>120462070.82273273</v>
      </c>
      <c r="E333" s="67">
        <f t="shared" si="37"/>
        <v>229.65030362459368</v>
      </c>
      <c r="F333" s="70">
        <f t="shared" si="35"/>
        <v>13.944366436085328</v>
      </c>
      <c r="G333" s="67">
        <f>E333/'Lookup Tables'!$C$48</f>
        <v>459.30060724918735</v>
      </c>
      <c r="H333" s="70">
        <f t="shared" si="38"/>
        <v>5.8182650824200759E-2</v>
      </c>
      <c r="I333" s="71">
        <f t="shared" si="36"/>
        <v>0.66139287443882988</v>
      </c>
      <c r="L333" s="74"/>
      <c r="M333" s="74"/>
      <c r="N333" s="74"/>
      <c r="O333" s="74"/>
      <c r="P333" s="74"/>
      <c r="Q333" s="74"/>
      <c r="R333" s="74"/>
      <c r="S333" s="74"/>
      <c r="T333" s="74"/>
      <c r="U333" s="74"/>
      <c r="V333" s="74"/>
      <c r="W333" s="74"/>
      <c r="X333" s="74"/>
      <c r="Y333" s="74"/>
    </row>
    <row r="334" spans="1:25" x14ac:dyDescent="0.3">
      <c r="A334" s="66">
        <f t="shared" si="34"/>
        <v>2022.6999999999703</v>
      </c>
      <c r="B334" s="67">
        <f>LOOKUP(A334+0.01,AmountsB!$A$4:$A$103,AmountsB!$B$4:$B$103)*0.1*$A$2</f>
        <v>0</v>
      </c>
      <c r="C334" s="68">
        <f t="shared" si="39"/>
        <v>2074573.74105891</v>
      </c>
      <c r="D334" s="67">
        <f t="array" ref="D334">SUM($B$7:$B329*$F$1009*EXP(-$F$1009*($A334-$A$7:$A329)))*$F$1010</f>
        <v>118787352.21511722</v>
      </c>
      <c r="E334" s="67">
        <f t="shared" si="37"/>
        <v>226.45760044343533</v>
      </c>
      <c r="F334" s="70">
        <f t="shared" si="35"/>
        <v>13.750505498925394</v>
      </c>
      <c r="G334" s="67">
        <f>E334/'Lookup Tables'!$C$48</f>
        <v>452.91520088687065</v>
      </c>
      <c r="H334" s="70">
        <f t="shared" si="38"/>
        <v>5.7373769096448674E-2</v>
      </c>
      <c r="I334" s="71">
        <f t="shared" si="36"/>
        <v>0.65219788927709377</v>
      </c>
      <c r="L334" s="74"/>
      <c r="M334" s="74"/>
      <c r="N334" s="74"/>
      <c r="O334" s="74"/>
      <c r="P334" s="74"/>
      <c r="Q334" s="74"/>
      <c r="R334" s="74"/>
      <c r="S334" s="74"/>
      <c r="T334" s="74"/>
      <c r="U334" s="74"/>
      <c r="V334" s="74"/>
      <c r="W334" s="74"/>
      <c r="X334" s="74"/>
      <c r="Y334" s="74"/>
    </row>
    <row r="335" spans="1:25" x14ac:dyDescent="0.3">
      <c r="A335" s="66">
        <f t="shared" si="34"/>
        <v>2022.7999999999702</v>
      </c>
      <c r="B335" s="67">
        <f>LOOKUP(A335+0.01,AmountsB!$A$4:$A$103,AmountsB!$B$4:$B$103)*0.1*$A$2</f>
        <v>0</v>
      </c>
      <c r="C335" s="68">
        <f t="shared" si="39"/>
        <v>2074573.74105891</v>
      </c>
      <c r="D335" s="67">
        <f t="array" ref="D335">SUM($B$7:$B330*$F$1009*EXP(-$F$1009*($A335-$A$7:$A330)))*$F$1010</f>
        <v>117135916.30881619</v>
      </c>
      <c r="E335" s="67">
        <f t="shared" si="37"/>
        <v>223.30928367693477</v>
      </c>
      <c r="F335" s="70">
        <f t="shared" si="35"/>
        <v>13.559339704863479</v>
      </c>
      <c r="G335" s="67">
        <f>E335/'Lookup Tables'!$C$48</f>
        <v>446.61856735386954</v>
      </c>
      <c r="H335" s="70">
        <f t="shared" si="38"/>
        <v>5.6576132811113226E-2</v>
      </c>
      <c r="I335" s="71">
        <f t="shared" si="36"/>
        <v>0.64313073698957213</v>
      </c>
      <c r="L335" s="74"/>
      <c r="M335" s="74"/>
      <c r="N335" s="74"/>
      <c r="O335" s="74"/>
      <c r="P335" s="74"/>
      <c r="Q335" s="74"/>
      <c r="R335" s="74"/>
      <c r="S335" s="74"/>
      <c r="T335" s="74"/>
      <c r="U335" s="74"/>
      <c r="V335" s="74"/>
      <c r="W335" s="74"/>
      <c r="X335" s="74"/>
      <c r="Y335" s="74"/>
    </row>
    <row r="336" spans="1:25" x14ac:dyDescent="0.3">
      <c r="A336" s="66">
        <f t="shared" si="34"/>
        <v>2022.8999999999701</v>
      </c>
      <c r="B336" s="67">
        <f>LOOKUP(A336+0.01,AmountsB!$A$4:$A$103,AmountsB!$B$4:$B$103)*0.1*$A$2</f>
        <v>0</v>
      </c>
      <c r="C336" s="68">
        <f t="shared" si="39"/>
        <v>2074573.74105891</v>
      </c>
      <c r="D336" s="67">
        <f t="array" ref="D336">SUM($B$7:$B331*$F$1009*EXP(-$F$1009*($A336-$A$7:$A331)))*$F$1010</f>
        <v>115507439.41710526</v>
      </c>
      <c r="E336" s="67">
        <f t="shared" si="37"/>
        <v>220.20473624492703</v>
      </c>
      <c r="F336" s="70">
        <f t="shared" si="35"/>
        <v>13.37083158479197</v>
      </c>
      <c r="G336" s="67">
        <f>E336/'Lookup Tables'!$C$48</f>
        <v>440.40947248985407</v>
      </c>
      <c r="H336" s="70">
        <f t="shared" si="38"/>
        <v>5.5789585628929002E-2</v>
      </c>
      <c r="I336" s="71">
        <f t="shared" si="36"/>
        <v>0.63418964038538983</v>
      </c>
      <c r="L336" s="74"/>
      <c r="M336" s="74"/>
      <c r="N336" s="74"/>
      <c r="O336" s="74"/>
      <c r="P336" s="74"/>
      <c r="Q336" s="74"/>
      <c r="R336" s="74"/>
      <c r="S336" s="74"/>
      <c r="T336" s="74"/>
      <c r="U336" s="74"/>
      <c r="V336" s="74"/>
      <c r="W336" s="74"/>
      <c r="X336" s="74"/>
      <c r="Y336" s="74"/>
    </row>
    <row r="337" spans="1:25" x14ac:dyDescent="0.3">
      <c r="A337" s="66">
        <f t="shared" si="34"/>
        <v>2022.99999999997</v>
      </c>
      <c r="B337" s="67">
        <f>LOOKUP(A337+0.01,AmountsB!$A$4:$A$103,AmountsB!$B$4:$B$103)*0.1*$A$2</f>
        <v>0</v>
      </c>
      <c r="C337" s="68">
        <f t="shared" si="39"/>
        <v>2074573.74105891</v>
      </c>
      <c r="D337" s="67">
        <f t="array" ref="D337">SUM($B$7:$B332*$F$1009*EXP(-$F$1009*($A337-$A$7:$A332)))*$F$1010</f>
        <v>113901602.35330024</v>
      </c>
      <c r="E337" s="67">
        <f t="shared" si="37"/>
        <v>217.14334964617652</v>
      </c>
      <c r="F337" s="70">
        <f t="shared" si="35"/>
        <v>13.184944190515839</v>
      </c>
      <c r="G337" s="67">
        <f>E337/'Lookup Tables'!$C$48</f>
        <v>434.28669929235303</v>
      </c>
      <c r="H337" s="70">
        <f t="shared" si="38"/>
        <v>5.5013973384130242E-2</v>
      </c>
      <c r="I337" s="71">
        <f t="shared" si="36"/>
        <v>0.62537284698098838</v>
      </c>
      <c r="L337" s="74"/>
      <c r="M337" s="74"/>
      <c r="N337" s="74"/>
      <c r="O337" s="74"/>
      <c r="P337" s="74"/>
      <c r="Q337" s="74"/>
      <c r="R337" s="74"/>
      <c r="S337" s="74"/>
      <c r="T337" s="74"/>
      <c r="U337" s="74"/>
      <c r="V337" s="74"/>
      <c r="W337" s="74"/>
      <c r="X337" s="74"/>
      <c r="Y337" s="74"/>
    </row>
    <row r="338" spans="1:25" x14ac:dyDescent="0.3">
      <c r="A338" s="66">
        <f t="shared" si="34"/>
        <v>2023.0999999999699</v>
      </c>
      <c r="B338" s="67">
        <f>LOOKUP(A338+0.01,AmountsB!$A$4:$A$103,AmountsB!$B$4:$B$103)*0.1*$A$2</f>
        <v>0</v>
      </c>
      <c r="C338" s="68">
        <f t="shared" si="39"/>
        <v>2074573.74105891</v>
      </c>
      <c r="D338" s="67">
        <f t="array" ref="D338">SUM($B$7:$B333*$F$1009*EXP(-$F$1009*($A338-$A$7:$A333)))*$F$1010</f>
        <v>112318090.36819582</v>
      </c>
      <c r="E338" s="67">
        <f t="shared" si="37"/>
        <v>214.1245238391094</v>
      </c>
      <c r="F338" s="70">
        <f t="shared" si="35"/>
        <v>13.001641087510723</v>
      </c>
      <c r="G338" s="67">
        <f>E338/'Lookup Tables'!$C$48</f>
        <v>428.2490476782188</v>
      </c>
      <c r="H338" s="70">
        <f t="shared" si="38"/>
        <v>5.4249144054233971E-2</v>
      </c>
      <c r="I338" s="71">
        <f t="shared" si="36"/>
        <v>0.61667862865663503</v>
      </c>
      <c r="L338" s="74"/>
      <c r="M338" s="74"/>
      <c r="N338" s="74"/>
      <c r="O338" s="74"/>
      <c r="P338" s="74"/>
      <c r="Q338" s="74"/>
      <c r="R338" s="74"/>
      <c r="S338" s="74"/>
      <c r="T338" s="74"/>
      <c r="U338" s="74"/>
      <c r="V338" s="74"/>
      <c r="W338" s="74"/>
      <c r="X338" s="74"/>
      <c r="Y338" s="74"/>
    </row>
    <row r="339" spans="1:25" x14ac:dyDescent="0.3">
      <c r="A339" s="66">
        <f t="shared" ref="A339:A402" si="40">A338+0.1</f>
        <v>2023.1999999999698</v>
      </c>
      <c r="B339" s="67">
        <f>LOOKUP(A339+0.01,AmountsB!$A$4:$A$103,AmountsB!$B$4:$B$103)*0.1*$A$2</f>
        <v>0</v>
      </c>
      <c r="C339" s="68">
        <f t="shared" si="39"/>
        <v>2074573.74105891</v>
      </c>
      <c r="D339" s="67">
        <f t="array" ref="D339">SUM($B$7:$B334*$F$1009*EXP(-$F$1009*($A339-$A$7:$A334)))*$F$1010</f>
        <v>110756593.0883735</v>
      </c>
      <c r="E339" s="67">
        <f t="shared" si="37"/>
        <v>211.14766712420305</v>
      </c>
      <c r="F339" s="70">
        <f t="shared" ref="F339:F402" si="41">E339*60*1012/1000000</f>
        <v>12.82088634778161</v>
      </c>
      <c r="G339" s="67">
        <f>E339/'Lookup Tables'!$C$48</f>
        <v>422.29533424840611</v>
      </c>
      <c r="H339" s="70">
        <f t="shared" si="38"/>
        <v>5.3494947730243027E-2</v>
      </c>
      <c r="I339" s="71">
        <f t="shared" ref="I339:I402" si="42">G339*60*24/1000000</f>
        <v>0.6081052813177048</v>
      </c>
      <c r="L339" s="74"/>
      <c r="M339" s="74"/>
      <c r="N339" s="74"/>
      <c r="O339" s="74"/>
      <c r="P339" s="74"/>
      <c r="Q339" s="74"/>
      <c r="R339" s="74"/>
      <c r="S339" s="74"/>
      <c r="T339" s="74"/>
      <c r="U339" s="74"/>
      <c r="V339" s="74"/>
      <c r="W339" s="74"/>
      <c r="X339" s="74"/>
      <c r="Y339" s="74"/>
    </row>
    <row r="340" spans="1:25" x14ac:dyDescent="0.3">
      <c r="A340" s="66">
        <f t="shared" si="40"/>
        <v>2023.2999999999697</v>
      </c>
      <c r="B340" s="67">
        <f>LOOKUP(A340+0.01,AmountsB!$A$4:$A$103,AmountsB!$B$4:$B$103)*0.1*$A$2</f>
        <v>0</v>
      </c>
      <c r="C340" s="68">
        <f t="shared" si="39"/>
        <v>2074573.74105891</v>
      </c>
      <c r="D340" s="67">
        <f t="array" ref="D340">SUM($B$7:$B335*$F$1009*EXP(-$F$1009*($A340-$A$7:$A335)))*$F$1010</f>
        <v>109216804.45536757</v>
      </c>
      <c r="E340" s="67">
        <f t="shared" si="37"/>
        <v>208.21219602801153</v>
      </c>
      <c r="F340" s="70">
        <f t="shared" si="41"/>
        <v>12.642644542820859</v>
      </c>
      <c r="G340" s="67">
        <f>E340/'Lookup Tables'!$C$48</f>
        <v>416.42439205602307</v>
      </c>
      <c r="H340" s="70">
        <f t="shared" si="38"/>
        <v>5.2751236587263488E-2</v>
      </c>
      <c r="I340" s="71">
        <f t="shared" si="42"/>
        <v>0.59965112456067327</v>
      </c>
      <c r="L340" s="74"/>
      <c r="M340" s="74"/>
      <c r="N340" s="74"/>
      <c r="O340" s="74"/>
      <c r="P340" s="74"/>
      <c r="Q340" s="74"/>
      <c r="R340" s="74"/>
      <c r="S340" s="74"/>
      <c r="T340" s="74"/>
      <c r="U340" s="74"/>
      <c r="V340" s="74"/>
      <c r="W340" s="74"/>
      <c r="X340" s="74"/>
      <c r="Y340" s="74"/>
    </row>
    <row r="341" spans="1:25" x14ac:dyDescent="0.3">
      <c r="A341" s="66">
        <f t="shared" si="40"/>
        <v>2023.3999999999696</v>
      </c>
      <c r="B341" s="67">
        <f>LOOKUP(A341+0.01,AmountsB!$A$4:$A$103,AmountsB!$B$4:$B$103)*0.1*$A$2</f>
        <v>0</v>
      </c>
      <c r="C341" s="68">
        <f t="shared" si="39"/>
        <v>2074573.74105891</v>
      </c>
      <c r="D341" s="67">
        <f t="array" ref="D341">SUM($B$7:$B336*$F$1009*EXP(-$F$1009*($A341-$A$7:$A336)))*$F$1010</f>
        <v>107698422.66567653</v>
      </c>
      <c r="E341" s="67">
        <f t="shared" si="37"/>
        <v>205.31753518880242</v>
      </c>
      <c r="F341" s="70">
        <f t="shared" si="41"/>
        <v>12.466880736664082</v>
      </c>
      <c r="G341" s="67">
        <f>E341/'Lookup Tables'!$C$48</f>
        <v>410.63507037760485</v>
      </c>
      <c r="H341" s="70">
        <f t="shared" si="38"/>
        <v>5.2017864855530421E-2</v>
      </c>
      <c r="I341" s="71">
        <f t="shared" si="42"/>
        <v>0.59131450134375096</v>
      </c>
      <c r="L341" s="74"/>
      <c r="M341" s="74"/>
      <c r="N341" s="74"/>
      <c r="O341" s="74"/>
      <c r="P341" s="74"/>
      <c r="Q341" s="74"/>
      <c r="R341" s="74"/>
      <c r="S341" s="74"/>
      <c r="T341" s="74"/>
      <c r="U341" s="74"/>
      <c r="V341" s="74"/>
      <c r="W341" s="74"/>
      <c r="X341" s="74"/>
      <c r="Y341" s="74"/>
    </row>
    <row r="342" spans="1:25" x14ac:dyDescent="0.3">
      <c r="A342" s="66">
        <f t="shared" si="40"/>
        <v>2023.4999999999695</v>
      </c>
      <c r="B342" s="67">
        <f>LOOKUP(A342+0.01,AmountsB!$A$4:$A$103,AmountsB!$B$4:$B$103)*0.1*$A$2</f>
        <v>0</v>
      </c>
      <c r="C342" s="68">
        <f t="shared" si="39"/>
        <v>2074573.74105891</v>
      </c>
      <c r="D342" s="67">
        <f t="array" ref="D342">SUM($B$7:$B337*$F$1009*EXP(-$F$1009*($A342-$A$7:$A337)))*$F$1010</f>
        <v>106201150.11160873</v>
      </c>
      <c r="E342" s="67">
        <f t="shared" si="37"/>
        <v>202.46311724378438</v>
      </c>
      <c r="F342" s="70">
        <f t="shared" si="41"/>
        <v>12.293560479042588</v>
      </c>
      <c r="G342" s="67">
        <f>E342/'Lookup Tables'!$C$48</f>
        <v>404.92623448756876</v>
      </c>
      <c r="H342" s="70">
        <f t="shared" si="38"/>
        <v>5.1294688791836629E-2</v>
      </c>
      <c r="I342" s="71">
        <f t="shared" si="42"/>
        <v>0.58309377766209902</v>
      </c>
      <c r="L342" s="74"/>
      <c r="M342" s="74"/>
      <c r="N342" s="74"/>
      <c r="O342" s="74"/>
      <c r="P342" s="74"/>
      <c r="Q342" s="74"/>
      <c r="R342" s="74"/>
      <c r="S342" s="74"/>
      <c r="T342" s="74"/>
      <c r="U342" s="74"/>
      <c r="V342" s="74"/>
      <c r="W342" s="74"/>
      <c r="X342" s="74"/>
      <c r="Y342" s="74"/>
    </row>
    <row r="343" spans="1:25" x14ac:dyDescent="0.3">
      <c r="A343" s="66">
        <f t="shared" si="40"/>
        <v>2023.5999999999694</v>
      </c>
      <c r="B343" s="67">
        <f>LOOKUP(A343+0.01,AmountsB!$A$4:$A$103,AmountsB!$B$4:$B$103)*0.1*$A$2</f>
        <v>0</v>
      </c>
      <c r="C343" s="68">
        <f t="shared" si="39"/>
        <v>2074573.74105891</v>
      </c>
      <c r="D343" s="67">
        <f t="array" ref="D343">SUM($B$7:$B338*$F$1009*EXP(-$F$1009*($A343-$A$7:$A338)))*$F$1010</f>
        <v>104724693.32295026</v>
      </c>
      <c r="E343" s="67">
        <f t="shared" si="37"/>
        <v>199.64838271790219</v>
      </c>
      <c r="F343" s="70">
        <f t="shared" si="41"/>
        <v>12.122649798631022</v>
      </c>
      <c r="G343" s="67">
        <f>E343/'Lookup Tables'!$C$48</f>
        <v>399.29676543580439</v>
      </c>
      <c r="H343" s="70">
        <f t="shared" si="38"/>
        <v>5.0581566651358496E-2</v>
      </c>
      <c r="I343" s="71">
        <f t="shared" si="42"/>
        <v>0.57498734222755832</v>
      </c>
      <c r="L343" s="74"/>
      <c r="M343" s="74"/>
      <c r="N343" s="74"/>
      <c r="O343" s="74"/>
      <c r="P343" s="74"/>
      <c r="Q343" s="74"/>
      <c r="R343" s="74"/>
      <c r="S343" s="74"/>
      <c r="T343" s="74"/>
      <c r="U343" s="74"/>
      <c r="V343" s="74"/>
      <c r="W343" s="74"/>
      <c r="X343" s="74"/>
      <c r="Y343" s="74"/>
    </row>
    <row r="344" spans="1:25" x14ac:dyDescent="0.3">
      <c r="A344" s="66">
        <f t="shared" si="40"/>
        <v>2023.6999999999694</v>
      </c>
      <c r="B344" s="67">
        <f>LOOKUP(A344+0.01,AmountsB!$A$4:$A$103,AmountsB!$B$4:$B$103)*0.1*$A$2</f>
        <v>0</v>
      </c>
      <c r="C344" s="68">
        <f t="shared" si="39"/>
        <v>2074573.74105891</v>
      </c>
      <c r="D344" s="67">
        <f t="array" ref="D344">SUM($B$7:$B339*$F$1009*EXP(-$F$1009*($A344-$A$7:$A339)))*$F$1010</f>
        <v>103268762.9094439</v>
      </c>
      <c r="E344" s="67">
        <f t="shared" si="37"/>
        <v>196.87277991417787</v>
      </c>
      <c r="F344" s="70">
        <f t="shared" si="41"/>
        <v>11.95411519638888</v>
      </c>
      <c r="G344" s="67">
        <f>E344/'Lookup Tables'!$C$48</f>
        <v>393.74555982835574</v>
      </c>
      <c r="H344" s="70">
        <f t="shared" si="38"/>
        <v>4.9878358659873515E-2</v>
      </c>
      <c r="I344" s="71">
        <f t="shared" si="42"/>
        <v>0.56699360615283223</v>
      </c>
      <c r="L344" s="74"/>
      <c r="M344" s="74"/>
      <c r="N344" s="74"/>
      <c r="O344" s="74"/>
      <c r="P344" s="74"/>
      <c r="Q344" s="74"/>
      <c r="R344" s="74"/>
      <c r="S344" s="74"/>
      <c r="T344" s="74"/>
      <c r="U344" s="74"/>
      <c r="V344" s="74"/>
      <c r="W344" s="74"/>
      <c r="X344" s="74"/>
      <c r="Y344" s="74"/>
    </row>
    <row r="345" spans="1:25" x14ac:dyDescent="0.3">
      <c r="A345" s="66">
        <f t="shared" si="40"/>
        <v>2023.7999999999693</v>
      </c>
      <c r="B345" s="67">
        <f>LOOKUP(A345+0.01,AmountsB!$A$4:$A$103,AmountsB!$B$4:$B$103)*0.1*$A$2</f>
        <v>0</v>
      </c>
      <c r="C345" s="68">
        <f t="shared" si="39"/>
        <v>2074573.74105891</v>
      </c>
      <c r="D345" s="67">
        <f t="array" ref="D345">SUM($B$7:$B340*$F$1009*EXP(-$F$1009*($A345-$A$7:$A340)))*$F$1010</f>
        <v>101833073.50406764</v>
      </c>
      <c r="E345" s="67">
        <f t="shared" si="37"/>
        <v>194.13576480557614</v>
      </c>
      <c r="F345" s="70">
        <f t="shared" si="41"/>
        <v>11.787923638994585</v>
      </c>
      <c r="G345" s="67">
        <f>E345/'Lookup Tables'!$C$48</f>
        <v>388.27152961115229</v>
      </c>
      <c r="H345" s="70">
        <f t="shared" si="38"/>
        <v>4.9184926986364154E-2</v>
      </c>
      <c r="I345" s="71">
        <f t="shared" si="42"/>
        <v>0.55911100264005931</v>
      </c>
      <c r="L345" s="74"/>
      <c r="M345" s="74"/>
      <c r="N345" s="74"/>
      <c r="O345" s="74"/>
      <c r="P345" s="74"/>
      <c r="Q345" s="74"/>
      <c r="R345" s="74"/>
      <c r="S345" s="74"/>
      <c r="T345" s="74"/>
      <c r="U345" s="74"/>
      <c r="V345" s="74"/>
      <c r="W345" s="74"/>
      <c r="X345" s="74"/>
      <c r="Y345" s="74"/>
    </row>
    <row r="346" spans="1:25" x14ac:dyDescent="0.3">
      <c r="A346" s="66">
        <f t="shared" si="40"/>
        <v>2023.8999999999692</v>
      </c>
      <c r="B346" s="67">
        <f>LOOKUP(A346+0.01,AmountsB!$A$4:$A$103,AmountsB!$B$4:$B$103)*0.1*$A$2</f>
        <v>0</v>
      </c>
      <c r="C346" s="68">
        <f t="shared" si="39"/>
        <v>2074573.74105891</v>
      </c>
      <c r="D346" s="67">
        <f t="array" ref="D346">SUM($B$7:$B341*$F$1009*EXP(-$F$1009*($A346-$A$7:$A341)))*$F$1010</f>
        <v>100417343.70710191</v>
      </c>
      <c r="E346" s="67">
        <f t="shared" si="37"/>
        <v>191.43680092837366</v>
      </c>
      <c r="F346" s="70">
        <f t="shared" si="41"/>
        <v>11.624042552370851</v>
      </c>
      <c r="G346" s="67">
        <f>E346/'Lookup Tables'!$C$48</f>
        <v>382.87360185674731</v>
      </c>
      <c r="H346" s="70">
        <f t="shared" si="38"/>
        <v>4.8501135716002494E-2</v>
      </c>
      <c r="I346" s="71">
        <f t="shared" si="42"/>
        <v>0.55133798667371625</v>
      </c>
      <c r="L346" s="74"/>
      <c r="M346" s="74"/>
      <c r="N346" s="74"/>
      <c r="O346" s="74"/>
      <c r="P346" s="74"/>
      <c r="Q346" s="74"/>
      <c r="R346" s="74"/>
      <c r="S346" s="74"/>
      <c r="T346" s="74"/>
      <c r="U346" s="74"/>
      <c r="V346" s="74"/>
      <c r="W346" s="74"/>
      <c r="X346" s="74"/>
      <c r="Y346" s="74"/>
    </row>
    <row r="347" spans="1:25" x14ac:dyDescent="0.3">
      <c r="A347" s="66">
        <f t="shared" si="40"/>
        <v>2023.9999999999691</v>
      </c>
      <c r="B347" s="67">
        <f>LOOKUP(A347+0.01,AmountsB!$A$4:$A$103,AmountsB!$B$4:$B$103)*0.1*$A$2</f>
        <v>0</v>
      </c>
      <c r="C347" s="68">
        <f t="shared" si="39"/>
        <v>2074573.74105891</v>
      </c>
      <c r="D347" s="67">
        <f t="array" ref="D347">SUM($B$7:$B342*$F$1009*EXP(-$F$1009*($A347-$A$7:$A342)))*$F$1010</f>
        <v>99021296.030974224</v>
      </c>
      <c r="E347" s="67">
        <f t="shared" si="37"/>
        <v>188.77535927701007</v>
      </c>
      <c r="F347" s="70">
        <f t="shared" si="41"/>
        <v>11.462439815300051</v>
      </c>
      <c r="G347" s="67">
        <f>E347/'Lookup Tables'!$C$48</f>
        <v>377.55071855402014</v>
      </c>
      <c r="H347" s="70">
        <f t="shared" si="38"/>
        <v>4.7826850823510451E-2</v>
      </c>
      <c r="I347" s="71">
        <f t="shared" si="42"/>
        <v>0.54367303471778905</v>
      </c>
      <c r="L347" s="74"/>
      <c r="M347" s="74"/>
      <c r="N347" s="74"/>
      <c r="O347" s="74"/>
      <c r="P347" s="74"/>
      <c r="Q347" s="74"/>
      <c r="R347" s="74"/>
      <c r="S347" s="74"/>
      <c r="T347" s="74"/>
      <c r="U347" s="74"/>
      <c r="V347" s="74"/>
      <c r="W347" s="74"/>
      <c r="X347" s="74"/>
      <c r="Y347" s="74"/>
    </row>
    <row r="348" spans="1:25" x14ac:dyDescent="0.3">
      <c r="A348" s="66">
        <f t="shared" si="40"/>
        <v>2024.099999999969</v>
      </c>
      <c r="B348" s="67">
        <f>LOOKUP(A348+0.01,AmountsB!$A$4:$A$103,AmountsB!$B$4:$B$103)*0.1*$A$2</f>
        <v>0</v>
      </c>
      <c r="C348" s="68">
        <f t="shared" si="39"/>
        <v>2074573.74105891</v>
      </c>
      <c r="D348" s="67">
        <f t="array" ref="D348">SUM($B$7:$B343*$F$1009*EXP(-$F$1009*($A348-$A$7:$A343)))*$F$1010</f>
        <v>97644656.845870793</v>
      </c>
      <c r="E348" s="67">
        <f t="shared" si="37"/>
        <v>186.15091820040146</v>
      </c>
      <c r="F348" s="70">
        <f t="shared" si="41"/>
        <v>11.303083753128377</v>
      </c>
      <c r="G348" s="67">
        <f>E348/'Lookup Tables'!$C$48</f>
        <v>372.30183640080293</v>
      </c>
      <c r="H348" s="70">
        <f t="shared" si="38"/>
        <v>4.7161940146890492E-2</v>
      </c>
      <c r="I348" s="71">
        <f t="shared" si="42"/>
        <v>0.53611464441715628</v>
      </c>
      <c r="L348" s="74"/>
      <c r="M348" s="74"/>
      <c r="N348" s="74"/>
      <c r="O348" s="74"/>
      <c r="P348" s="74"/>
      <c r="Q348" s="74"/>
      <c r="R348" s="74"/>
      <c r="S348" s="74"/>
      <c r="T348" s="74"/>
      <c r="U348" s="74"/>
      <c r="V348" s="74"/>
      <c r="W348" s="74"/>
      <c r="X348" s="74"/>
      <c r="Y348" s="74"/>
    </row>
    <row r="349" spans="1:25" x14ac:dyDescent="0.3">
      <c r="A349" s="66">
        <f t="shared" si="40"/>
        <v>2024.1999999999689</v>
      </c>
      <c r="B349" s="67">
        <f>LOOKUP(A349+0.01,AmountsB!$A$4:$A$103,AmountsB!$B$4:$B$103)*0.1*$A$2</f>
        <v>0</v>
      </c>
      <c r="C349" s="68">
        <f t="shared" si="39"/>
        <v>2074573.74105891</v>
      </c>
      <c r="D349" s="67">
        <f t="array" ref="D349">SUM($B$7:$B344*$F$1009*EXP(-$F$1009*($A349-$A$7:$A344)))*$F$1010</f>
        <v>96287156.326104254</v>
      </c>
      <c r="E349" s="67">
        <f t="shared" si="37"/>
        <v>183.56296329969507</v>
      </c>
      <c r="F349" s="70">
        <f t="shared" si="41"/>
        <v>11.145943131557486</v>
      </c>
      <c r="G349" s="67">
        <f>E349/'Lookup Tables'!$C$48</f>
        <v>367.12592659939014</v>
      </c>
      <c r="H349" s="70">
        <f t="shared" si="38"/>
        <v>4.6506273361521369E-2</v>
      </c>
      <c r="I349" s="71">
        <f t="shared" si="42"/>
        <v>0.52866133430312179</v>
      </c>
      <c r="L349" s="74"/>
      <c r="M349" s="74"/>
      <c r="N349" s="74"/>
      <c r="O349" s="74"/>
      <c r="P349" s="74"/>
      <c r="Q349" s="74"/>
      <c r="R349" s="74"/>
      <c r="S349" s="74"/>
      <c r="T349" s="74"/>
      <c r="U349" s="74"/>
      <c r="V349" s="74"/>
      <c r="W349" s="74"/>
      <c r="X349" s="74"/>
      <c r="Y349" s="74"/>
    </row>
    <row r="350" spans="1:25" x14ac:dyDescent="0.3">
      <c r="A350" s="66">
        <f t="shared" si="40"/>
        <v>2024.2999999999688</v>
      </c>
      <c r="B350" s="67">
        <f>LOOKUP(A350+0.01,AmountsB!$A$4:$A$103,AmountsB!$B$4:$B$103)*0.1*$A$2</f>
        <v>0</v>
      </c>
      <c r="C350" s="68">
        <f t="shared" si="39"/>
        <v>2074573.74105891</v>
      </c>
      <c r="D350" s="67">
        <f t="array" ref="D350">SUM($B$7:$B345*$F$1009*EXP(-$F$1009*($A350-$A$7:$A345)))*$F$1010</f>
        <v>94948528.397226885</v>
      </c>
      <c r="E350" s="67">
        <f t="shared" si="37"/>
        <v>181.01098732744543</v>
      </c>
      <c r="F350" s="70">
        <f t="shared" si="41"/>
        <v>10.990987150522487</v>
      </c>
      <c r="G350" s="67">
        <f>E350/'Lookup Tables'!$C$48</f>
        <v>362.02197465489087</v>
      </c>
      <c r="H350" s="70">
        <f t="shared" si="38"/>
        <v>4.5859721954614158E-2</v>
      </c>
      <c r="I350" s="71">
        <f t="shared" si="42"/>
        <v>0.52131164350304282</v>
      </c>
      <c r="L350" s="74"/>
      <c r="M350" s="74"/>
      <c r="N350" s="74"/>
      <c r="O350" s="74"/>
      <c r="P350" s="74"/>
      <c r="Q350" s="74"/>
      <c r="R350" s="74"/>
      <c r="S350" s="74"/>
      <c r="T350" s="74"/>
      <c r="U350" s="74"/>
      <c r="V350" s="74"/>
      <c r="W350" s="74"/>
      <c r="X350" s="74"/>
      <c r="Y350" s="74"/>
    </row>
    <row r="351" spans="1:25" x14ac:dyDescent="0.3">
      <c r="A351" s="66">
        <f t="shared" si="40"/>
        <v>2024.3999999999687</v>
      </c>
      <c r="B351" s="67">
        <f>LOOKUP(A351+0.01,AmountsB!$A$4:$A$103,AmountsB!$B$4:$B$103)*0.1*$A$2</f>
        <v>0</v>
      </c>
      <c r="C351" s="68">
        <f t="shared" si="39"/>
        <v>2074573.74105891</v>
      </c>
      <c r="D351" s="67">
        <f t="array" ref="D351">SUM($B$7:$B346*$F$1009*EXP(-$F$1009*($A351-$A$7:$A346)))*$F$1010</f>
        <v>93628510.683879226</v>
      </c>
      <c r="E351" s="67">
        <f t="shared" si="37"/>
        <v>178.49449008819224</v>
      </c>
      <c r="F351" s="70">
        <f t="shared" si="41"/>
        <v>10.838185438155033</v>
      </c>
      <c r="G351" s="67">
        <f>E351/'Lookup Tables'!$C$48</f>
        <v>356.98898017638447</v>
      </c>
      <c r="H351" s="70">
        <f t="shared" si="38"/>
        <v>4.5222159200023246E-2</v>
      </c>
      <c r="I351" s="71">
        <f t="shared" si="42"/>
        <v>0.51406413145399366</v>
      </c>
      <c r="L351" s="74"/>
      <c r="M351" s="74"/>
      <c r="N351" s="74"/>
      <c r="O351" s="74"/>
      <c r="P351" s="74"/>
      <c r="Q351" s="74"/>
      <c r="R351" s="74"/>
      <c r="S351" s="74"/>
      <c r="T351" s="74"/>
      <c r="U351" s="74"/>
      <c r="V351" s="74"/>
      <c r="W351" s="74"/>
      <c r="X351" s="74"/>
      <c r="Y351" s="74"/>
    </row>
    <row r="352" spans="1:25" x14ac:dyDescent="0.3">
      <c r="A352" s="66">
        <f t="shared" si="40"/>
        <v>2024.4999999999686</v>
      </c>
      <c r="B352" s="67">
        <f>LOOKUP(A352+0.01,AmountsB!$A$4:$A$103,AmountsB!$B$4:$B$103)*0.1*$A$2</f>
        <v>0</v>
      </c>
      <c r="C352" s="68">
        <f t="shared" si="39"/>
        <v>2074573.74105891</v>
      </c>
      <c r="D352" s="67">
        <f t="array" ref="D352">SUM($B$7:$B347*$F$1009*EXP(-$F$1009*($A352-$A$7:$A347)))*$F$1010</f>
        <v>92326844.458363622</v>
      </c>
      <c r="E352" s="67">
        <f t="shared" si="37"/>
        <v>176.01297834042035</v>
      </c>
      <c r="F352" s="70">
        <f t="shared" si="41"/>
        <v>10.687508044830322</v>
      </c>
      <c r="G352" s="67">
        <f>E352/'Lookup Tables'!$C$48</f>
        <v>352.02595668084069</v>
      </c>
      <c r="H352" s="70">
        <f t="shared" si="38"/>
        <v>4.4593460133407675E-2</v>
      </c>
      <c r="I352" s="71">
        <f t="shared" si="42"/>
        <v>0.50691737762041056</v>
      </c>
      <c r="L352" s="74"/>
      <c r="M352" s="74"/>
      <c r="N352" s="74"/>
      <c r="O352" s="74"/>
      <c r="P352" s="74"/>
      <c r="Q352" s="74"/>
      <c r="R352" s="74"/>
      <c r="S352" s="74"/>
      <c r="T352" s="74"/>
      <c r="U352" s="74"/>
      <c r="V352" s="74"/>
      <c r="W352" s="74"/>
      <c r="X352" s="74"/>
      <c r="Y352" s="74"/>
    </row>
    <row r="353" spans="1:25" x14ac:dyDescent="0.3">
      <c r="A353" s="66">
        <f t="shared" si="40"/>
        <v>2024.5999999999685</v>
      </c>
      <c r="B353" s="67">
        <f>LOOKUP(A353+0.01,AmountsB!$A$4:$A$103,AmountsB!$B$4:$B$103)*0.1*$A$2</f>
        <v>0</v>
      </c>
      <c r="C353" s="68">
        <f t="shared" si="39"/>
        <v>2074573.74105891</v>
      </c>
      <c r="D353" s="67">
        <f t="array" ref="D353">SUM($B$7:$B348*$F$1009*EXP(-$F$1009*($A353-$A$7:$A348)))*$F$1010</f>
        <v>91043274.589932755</v>
      </c>
      <c r="E353" s="67">
        <f t="shared" si="37"/>
        <v>173.56596569988304</v>
      </c>
      <c r="F353" s="70">
        <f t="shared" si="41"/>
        <v>10.538925437296896</v>
      </c>
      <c r="G353" s="67">
        <f>E353/'Lookup Tables'!$C$48</f>
        <v>347.13193139976607</v>
      </c>
      <c r="H353" s="70">
        <f t="shared" si="38"/>
        <v>4.3973501527737713E-2</v>
      </c>
      <c r="I353" s="71">
        <f t="shared" si="42"/>
        <v>0.49986998121566312</v>
      </c>
      <c r="L353" s="74"/>
      <c r="M353" s="74"/>
      <c r="N353" s="74"/>
      <c r="O353" s="74"/>
      <c r="P353" s="74"/>
      <c r="Q353" s="74"/>
      <c r="R353" s="74"/>
      <c r="S353" s="74"/>
      <c r="T353" s="74"/>
      <c r="U353" s="74"/>
      <c r="V353" s="74"/>
      <c r="W353" s="74"/>
      <c r="X353" s="74"/>
      <c r="Y353" s="74"/>
    </row>
    <row r="354" spans="1:25" x14ac:dyDescent="0.3">
      <c r="A354" s="66">
        <f t="shared" si="40"/>
        <v>2024.6999999999684</v>
      </c>
      <c r="B354" s="67">
        <f>LOOKUP(A354+0.01,AmountsB!$A$4:$A$103,AmountsB!$B$4:$B$103)*0.1*$A$2</f>
        <v>0</v>
      </c>
      <c r="C354" s="68">
        <f t="shared" si="39"/>
        <v>2074573.74105891</v>
      </c>
      <c r="D354" s="67">
        <f t="array" ref="D354">SUM($B$7:$B349*$F$1009*EXP(-$F$1009*($A354-$A$7:$A349)))*$F$1010</f>
        <v>89777549.494783238</v>
      </c>
      <c r="E354" s="67">
        <f t="shared" si="37"/>
        <v>171.15297254426895</v>
      </c>
      <c r="F354" s="70">
        <f t="shared" si="41"/>
        <v>10.392408492888011</v>
      </c>
      <c r="G354" s="67">
        <f>E354/'Lookup Tables'!$C$48</f>
        <v>342.3059450885379</v>
      </c>
      <c r="H354" s="70">
        <f t="shared" si="38"/>
        <v>4.3362161869141914E-2</v>
      </c>
      <c r="I354" s="71">
        <f t="shared" si="42"/>
        <v>0.49292056092749459</v>
      </c>
      <c r="L354" s="74"/>
      <c r="M354" s="74"/>
      <c r="N354" s="74"/>
      <c r="O354" s="74"/>
      <c r="P354" s="74"/>
      <c r="Q354" s="74"/>
      <c r="R354" s="74"/>
      <c r="S354" s="74"/>
      <c r="T354" s="74"/>
      <c r="U354" s="74"/>
      <c r="V354" s="74"/>
      <c r="W354" s="74"/>
      <c r="X354" s="74"/>
      <c r="Y354" s="74"/>
    </row>
    <row r="355" spans="1:25" x14ac:dyDescent="0.3">
      <c r="A355" s="66">
        <f t="shared" si="40"/>
        <v>2024.7999999999683</v>
      </c>
      <c r="B355" s="67">
        <f>LOOKUP(A355+0.01,AmountsB!$A$4:$A$103,AmountsB!$B$4:$B$103)*0.1*$A$2</f>
        <v>0</v>
      </c>
      <c r="C355" s="68">
        <f t="shared" si="39"/>
        <v>2074573.74105891</v>
      </c>
      <c r="D355" s="67">
        <f t="array" ref="D355">SUM($B$7:$B350*$F$1009*EXP(-$F$1009*($A355-$A$7:$A350)))*$F$1010</f>
        <v>88529421.086744413</v>
      </c>
      <c r="E355" s="67">
        <f t="shared" si="37"/>
        <v>168.77352591919478</v>
      </c>
      <c r="F355" s="70">
        <f t="shared" si="41"/>
        <v>10.247928493813507</v>
      </c>
      <c r="G355" s="67">
        <f>E355/'Lookup Tables'!$C$48</f>
        <v>337.54705183838956</v>
      </c>
      <c r="H355" s="70">
        <f t="shared" si="38"/>
        <v>4.2759321333090086E-2</v>
      </c>
      <c r="I355" s="71">
        <f t="shared" si="42"/>
        <v>0.48606775464728091</v>
      </c>
      <c r="L355" s="74"/>
      <c r="M355" s="74"/>
      <c r="N355" s="74"/>
      <c r="O355" s="74"/>
      <c r="P355" s="74"/>
      <c r="Q355" s="74"/>
      <c r="R355" s="74"/>
      <c r="S355" s="74"/>
      <c r="T355" s="74"/>
      <c r="U355" s="74"/>
      <c r="V355" s="74"/>
      <c r="W355" s="74"/>
      <c r="X355" s="74"/>
      <c r="Y355" s="74"/>
    </row>
    <row r="356" spans="1:25" x14ac:dyDescent="0.3">
      <c r="A356" s="66">
        <f t="shared" si="40"/>
        <v>2024.8999999999683</v>
      </c>
      <c r="B356" s="67">
        <f>LOOKUP(A356+0.01,AmountsB!$A$4:$A$103,AmountsB!$B$4:$B$103)*0.1*$A$2</f>
        <v>0</v>
      </c>
      <c r="C356" s="68">
        <f t="shared" si="39"/>
        <v>2074573.74105891</v>
      </c>
      <c r="D356" s="67">
        <f t="array" ref="D356">SUM($B$7:$B351*$F$1009*EXP(-$F$1009*($A356-$A$7:$A351)))*$F$1010</f>
        <v>87298644.728652582</v>
      </c>
      <c r="E356" s="67">
        <f t="shared" si="37"/>
        <v>166.42715944550451</v>
      </c>
      <c r="F356" s="70">
        <f t="shared" si="41"/>
        <v>10.105457121531034</v>
      </c>
      <c r="G356" s="67">
        <f>E356/'Lookup Tables'!$C$48</f>
        <v>332.85431889100903</v>
      </c>
      <c r="H356" s="70">
        <f t="shared" si="38"/>
        <v>4.2164861760907266E-2</v>
      </c>
      <c r="I356" s="71">
        <f t="shared" si="42"/>
        <v>0.47931021920305306</v>
      </c>
      <c r="L356" s="74"/>
      <c r="M356" s="74"/>
      <c r="N356" s="74"/>
      <c r="O356" s="74"/>
      <c r="P356" s="74"/>
      <c r="Q356" s="74"/>
      <c r="R356" s="74"/>
      <c r="S356" s="74"/>
      <c r="T356" s="74"/>
      <c r="U356" s="74"/>
      <c r="V356" s="74"/>
      <c r="W356" s="74"/>
      <c r="X356" s="74"/>
      <c r="Y356" s="74"/>
    </row>
    <row r="357" spans="1:25" x14ac:dyDescent="0.3">
      <c r="A357" s="66">
        <f t="shared" si="40"/>
        <v>2024.9999999999682</v>
      </c>
      <c r="B357" s="67">
        <f>LOOKUP(A357+0.01,AmountsB!$A$4:$A$103,AmountsB!$B$4:$B$103)*0.1*$A$2</f>
        <v>0</v>
      </c>
      <c r="C357" s="68">
        <f t="shared" si="39"/>
        <v>2074573.74105891</v>
      </c>
      <c r="D357" s="67">
        <f t="array" ref="D357">SUM($B$7:$B352*$F$1009*EXP(-$F$1009*($A357-$A$7:$A352)))*$F$1010</f>
        <v>86084979.184401453</v>
      </c>
      <c r="E357" s="67">
        <f t="shared" si="37"/>
        <v>164.11341322785788</v>
      </c>
      <c r="F357" s="70">
        <f t="shared" si="41"/>
        <v>9.9649664511955311</v>
      </c>
      <c r="G357" s="67">
        <f>E357/'Lookup Tables'!$C$48</f>
        <v>328.22682645571575</v>
      </c>
      <c r="H357" s="70">
        <f t="shared" si="38"/>
        <v>4.1578666636614241E-2</v>
      </c>
      <c r="I357" s="71">
        <f t="shared" si="42"/>
        <v>0.47264663009623065</v>
      </c>
      <c r="L357" s="74"/>
      <c r="M357" s="74"/>
      <c r="N357" s="74"/>
      <c r="O357" s="74"/>
      <c r="P357" s="74"/>
      <c r="Q357" s="74"/>
      <c r="R357" s="74"/>
      <c r="S357" s="74"/>
      <c r="T357" s="74"/>
      <c r="U357" s="74"/>
      <c r="V357" s="74"/>
      <c r="W357" s="74"/>
      <c r="X357" s="74"/>
      <c r="Y357" s="74"/>
    </row>
    <row r="358" spans="1:25" x14ac:dyDescent="0.3">
      <c r="A358" s="66">
        <f t="shared" si="40"/>
        <v>2025.0999999999681</v>
      </c>
      <c r="B358" s="67">
        <f>LOOKUP(A358+0.01,AmountsB!$A$4:$A$103,AmountsB!$B$4:$B$103)*0.1*$A$2</f>
        <v>0</v>
      </c>
      <c r="C358" s="68">
        <f t="shared" si="39"/>
        <v>2074573.74105891</v>
      </c>
      <c r="D358" s="67">
        <f t="array" ref="D358">SUM($B$7:$B353*$F$1009*EXP(-$F$1009*($A358-$A$7:$A353)))*$F$1010</f>
        <v>84888186.571658939</v>
      </c>
      <c r="E358" s="67">
        <f t="shared" si="37"/>
        <v>161.83183376458899</v>
      </c>
      <c r="F358" s="70">
        <f t="shared" si="41"/>
        <v>9.8264289461858425</v>
      </c>
      <c r="G358" s="67">
        <f>E358/'Lookup Tables'!$C$48</f>
        <v>323.66366752917799</v>
      </c>
      <c r="H358" s="70">
        <f t="shared" si="38"/>
        <v>4.1000621064090012E-2</v>
      </c>
      <c r="I358" s="71">
        <f t="shared" si="42"/>
        <v>0.46607568124201626</v>
      </c>
      <c r="L358" s="74"/>
      <c r="M358" s="74"/>
      <c r="N358" s="74"/>
      <c r="O358" s="74"/>
      <c r="P358" s="74"/>
      <c r="Q358" s="74"/>
      <c r="R358" s="74"/>
      <c r="S358" s="74"/>
      <c r="T358" s="74"/>
      <c r="U358" s="74"/>
      <c r="V358" s="74"/>
      <c r="W358" s="74"/>
      <c r="X358" s="74"/>
      <c r="Y358" s="74"/>
    </row>
    <row r="359" spans="1:25" x14ac:dyDescent="0.3">
      <c r="A359" s="66">
        <f t="shared" si="40"/>
        <v>2025.199999999968</v>
      </c>
      <c r="B359" s="67">
        <f>LOOKUP(A359+0.01,AmountsB!$A$4:$A$103,AmountsB!$B$4:$B$103)*0.1*$A$2</f>
        <v>0</v>
      </c>
      <c r="C359" s="68">
        <f t="shared" si="39"/>
        <v>2074573.74105891</v>
      </c>
      <c r="D359" s="67">
        <f t="array" ref="D359">SUM($B$7:$B354*$F$1009*EXP(-$F$1009*($A359-$A$7:$A354)))*$F$1010</f>
        <v>83708032.315241605</v>
      </c>
      <c r="E359" s="67">
        <f t="shared" si="37"/>
        <v>159.58197385881897</v>
      </c>
      <c r="F359" s="70">
        <f t="shared" si="41"/>
        <v>9.689817452707489</v>
      </c>
      <c r="G359" s="67">
        <f>E359/'Lookup Tables'!$C$48</f>
        <v>319.16394771763794</v>
      </c>
      <c r="H359" s="70">
        <f t="shared" si="38"/>
        <v>4.0430611744551856E-2</v>
      </c>
      <c r="I359" s="71">
        <f t="shared" si="42"/>
        <v>0.45959608471339863</v>
      </c>
      <c r="L359" s="74"/>
      <c r="M359" s="74"/>
      <c r="N359" s="74"/>
      <c r="O359" s="74"/>
      <c r="P359" s="74"/>
      <c r="Q359" s="74"/>
      <c r="R359" s="74"/>
      <c r="S359" s="74"/>
      <c r="T359" s="74"/>
      <c r="U359" s="74"/>
      <c r="V359" s="74"/>
      <c r="W359" s="74"/>
      <c r="X359" s="74"/>
      <c r="Y359" s="74"/>
    </row>
    <row r="360" spans="1:25" x14ac:dyDescent="0.3">
      <c r="A360" s="66">
        <f t="shared" si="40"/>
        <v>2025.2999999999679</v>
      </c>
      <c r="B360" s="67">
        <f>LOOKUP(A360+0.01,AmountsB!$A$4:$A$103,AmountsB!$B$4:$B$103)*0.1*$A$2</f>
        <v>0</v>
      </c>
      <c r="C360" s="68">
        <f t="shared" si="39"/>
        <v>2074573.74105891</v>
      </c>
      <c r="D360" s="67">
        <f t="array" ref="D360">SUM($B$7:$B355*$F$1009*EXP(-$F$1009*($A360-$A$7:$A355)))*$F$1010</f>
        <v>82544285.101137087</v>
      </c>
      <c r="E360" s="67">
        <f t="shared" si="37"/>
        <v>157.36339253080359</v>
      </c>
      <c r="F360" s="70">
        <f t="shared" si="41"/>
        <v>9.5551051944703946</v>
      </c>
      <c r="G360" s="67">
        <f>E360/'Lookup Tables'!$C$48</f>
        <v>314.72678506160719</v>
      </c>
      <c r="H360" s="70">
        <f t="shared" si="38"/>
        <v>3.986852695434831E-2</v>
      </c>
      <c r="I360" s="71">
        <f t="shared" si="42"/>
        <v>0.45320657048871438</v>
      </c>
      <c r="L360" s="74"/>
      <c r="M360" s="74"/>
      <c r="N360" s="74"/>
      <c r="O360" s="74"/>
      <c r="P360" s="74"/>
      <c r="Q360" s="74"/>
      <c r="R360" s="74"/>
      <c r="S360" s="74"/>
      <c r="T360" s="74"/>
      <c r="U360" s="74"/>
      <c r="V360" s="74"/>
      <c r="W360" s="74"/>
      <c r="X360" s="74"/>
      <c r="Y360" s="74"/>
    </row>
    <row r="361" spans="1:25" x14ac:dyDescent="0.3">
      <c r="A361" s="66">
        <f t="shared" si="40"/>
        <v>2025.3999999999678</v>
      </c>
      <c r="B361" s="67">
        <f>LOOKUP(A361+0.01,AmountsB!$A$4:$A$103,AmountsB!$B$4:$B$103)*0.1*$A$2</f>
        <v>0</v>
      </c>
      <c r="C361" s="68">
        <f t="shared" si="39"/>
        <v>2074573.74105891</v>
      </c>
      <c r="D361" s="67">
        <f t="array" ref="D361">SUM($B$7:$B356*$F$1009*EXP(-$F$1009*($A361-$A$7:$A356)))*$F$1010</f>
        <v>81396716.831165865</v>
      </c>
      <c r="E361" s="67">
        <f t="shared" si="37"/>
        <v>155.17565493150022</v>
      </c>
      <c r="F361" s="70">
        <f t="shared" si="41"/>
        <v>9.4222657674406936</v>
      </c>
      <c r="G361" s="67">
        <f>E361/'Lookup Tables'!$C$48</f>
        <v>310.35130986300044</v>
      </c>
      <c r="H361" s="70">
        <f t="shared" si="38"/>
        <v>3.93142565230611E-2</v>
      </c>
      <c r="I361" s="71">
        <f t="shared" si="42"/>
        <v>0.4469058862027207</v>
      </c>
      <c r="L361" s="74"/>
      <c r="M361" s="74"/>
      <c r="N361" s="74"/>
      <c r="O361" s="74"/>
      <c r="P361" s="74"/>
      <c r="Q361" s="74"/>
      <c r="R361" s="74"/>
      <c r="S361" s="74"/>
      <c r="T361" s="74"/>
      <c r="U361" s="74"/>
      <c r="V361" s="74"/>
      <c r="W361" s="74"/>
      <c r="X361" s="74"/>
      <c r="Y361" s="74"/>
    </row>
    <row r="362" spans="1:25" x14ac:dyDescent="0.3">
      <c r="A362" s="66">
        <f t="shared" si="40"/>
        <v>2025.4999999999677</v>
      </c>
      <c r="B362" s="67">
        <f>LOOKUP(A362+0.01,AmountsB!$A$4:$A$103,AmountsB!$B$4:$B$103)*0.1*$A$2</f>
        <v>0</v>
      </c>
      <c r="C362" s="68">
        <f t="shared" si="39"/>
        <v>2074573.74105891</v>
      </c>
      <c r="D362" s="67">
        <f t="array" ref="D362">SUM($B$7:$B357*$F$1009*EXP(-$F$1009*($A362-$A$7:$A357)))*$F$1010</f>
        <v>80265102.578273222</v>
      </c>
      <c r="E362" s="67">
        <f t="shared" si="37"/>
        <v>153.01833225733552</v>
      </c>
      <c r="F362" s="70">
        <f t="shared" si="41"/>
        <v>9.2912731346654116</v>
      </c>
      <c r="G362" s="67">
        <f>E362/'Lookup Tables'!$C$48</f>
        <v>306.03666451467103</v>
      </c>
      <c r="H362" s="70">
        <f t="shared" si="38"/>
        <v>3.8767691811911226E-2</v>
      </c>
      <c r="I362" s="71">
        <f t="shared" si="42"/>
        <v>0.44069279690112628</v>
      </c>
      <c r="L362" s="74"/>
      <c r="M362" s="74"/>
      <c r="N362" s="74"/>
      <c r="O362" s="74"/>
      <c r="P362" s="74"/>
      <c r="Q362" s="74"/>
      <c r="R362" s="74"/>
      <c r="S362" s="74"/>
      <c r="T362" s="74"/>
      <c r="U362" s="74"/>
      <c r="V362" s="74"/>
      <c r="W362" s="74"/>
      <c r="X362" s="74"/>
      <c r="Y362" s="74"/>
    </row>
    <row r="363" spans="1:25" x14ac:dyDescent="0.3">
      <c r="A363" s="66">
        <f t="shared" si="40"/>
        <v>2025.5999999999676</v>
      </c>
      <c r="B363" s="67">
        <f>LOOKUP(A363+0.01,AmountsB!$A$4:$A$103,AmountsB!$B$4:$B$103)*0.1*$A$2</f>
        <v>0</v>
      </c>
      <c r="C363" s="68">
        <f t="shared" si="39"/>
        <v>2074573.74105891</v>
      </c>
      <c r="D363" s="67">
        <f t="array" ref="D363">SUM($B$7:$B358*$F$1009*EXP(-$F$1009*($A363-$A$7:$A358)))*$F$1010</f>
        <v>79149220.542442948</v>
      </c>
      <c r="E363" s="67">
        <f t="shared" si="37"/>
        <v>150.89100166615918</v>
      </c>
      <c r="F363" s="70">
        <f t="shared" si="41"/>
        <v>9.1621016211691853</v>
      </c>
      <c r="G363" s="67">
        <f>E363/'Lookup Tables'!$C$48</f>
        <v>301.78200333231837</v>
      </c>
      <c r="H363" s="70">
        <f t="shared" si="38"/>
        <v>3.8228725692465618E-2</v>
      </c>
      <c r="I363" s="71">
        <f t="shared" si="42"/>
        <v>0.43456608479853842</v>
      </c>
      <c r="L363" s="74"/>
      <c r="M363" s="74"/>
      <c r="N363" s="74"/>
      <c r="O363" s="74"/>
      <c r="P363" s="74"/>
      <c r="Q363" s="74"/>
      <c r="R363" s="74"/>
      <c r="S363" s="74"/>
      <c r="T363" s="74"/>
      <c r="U363" s="74"/>
      <c r="V363" s="74"/>
      <c r="W363" s="74"/>
      <c r="X363" s="74"/>
      <c r="Y363" s="74"/>
    </row>
    <row r="364" spans="1:25" x14ac:dyDescent="0.3">
      <c r="A364" s="66">
        <f t="shared" si="40"/>
        <v>2025.6999999999675</v>
      </c>
      <c r="B364" s="67">
        <f>LOOKUP(A364+0.01,AmountsB!$A$4:$A$103,AmountsB!$B$4:$B$103)*0.1*$A$2</f>
        <v>0</v>
      </c>
      <c r="C364" s="68">
        <f t="shared" si="39"/>
        <v>2074573.74105891</v>
      </c>
      <c r="D364" s="67">
        <f t="array" ref="D364">SUM($B$7:$B359*$F$1009*EXP(-$F$1009*($A364-$A$7:$A359)))*$F$1010</f>
        <v>78048852.007223651</v>
      </c>
      <c r="E364" s="67">
        <f t="shared" si="37"/>
        <v>148.79324619436488</v>
      </c>
      <c r="F364" s="70">
        <f t="shared" si="41"/>
        <v>9.0347259089218355</v>
      </c>
      <c r="G364" s="67">
        <f>E364/'Lookup Tables'!$C$48</f>
        <v>297.58649238872977</v>
      </c>
      <c r="H364" s="70">
        <f t="shared" si="38"/>
        <v>3.7697252525639401E-2</v>
      </c>
      <c r="I364" s="71">
        <f t="shared" si="42"/>
        <v>0.42852454903977089</v>
      </c>
      <c r="L364" s="74"/>
      <c r="M364" s="74"/>
      <c r="N364" s="74"/>
      <c r="O364" s="74"/>
      <c r="P364" s="74"/>
      <c r="Q364" s="74"/>
      <c r="R364" s="74"/>
      <c r="S364" s="74"/>
      <c r="T364" s="74"/>
      <c r="U364" s="74"/>
      <c r="V364" s="74"/>
      <c r="W364" s="74"/>
      <c r="X364" s="74"/>
      <c r="Y364" s="74"/>
    </row>
    <row r="365" spans="1:25" x14ac:dyDescent="0.3">
      <c r="A365" s="66">
        <f t="shared" si="40"/>
        <v>2025.7999999999674</v>
      </c>
      <c r="B365" s="67">
        <f>LOOKUP(A365+0.01,AmountsB!$A$4:$A$103,AmountsB!$B$4:$B$103)*0.1*$A$2</f>
        <v>0</v>
      </c>
      <c r="C365" s="68">
        <f t="shared" si="39"/>
        <v>2074573.74105891</v>
      </c>
      <c r="D365" s="67">
        <f t="array" ref="D365">SUM($B$7:$B360*$F$1009*EXP(-$F$1009*($A365-$A$7:$A360)))*$F$1010</f>
        <v>76963781.296859756</v>
      </c>
      <c r="E365" s="67">
        <f t="shared" si="37"/>
        <v>146.72465467516449</v>
      </c>
      <c r="F365" s="70">
        <f t="shared" si="41"/>
        <v>8.9091210318759888</v>
      </c>
      <c r="G365" s="67">
        <f>E365/'Lookup Tables'!$C$48</f>
        <v>293.44930935032897</v>
      </c>
      <c r="H365" s="70">
        <f t="shared" si="38"/>
        <v>3.7173168140990455E-2</v>
      </c>
      <c r="I365" s="71">
        <f t="shared" si="42"/>
        <v>0.42256700546447373</v>
      </c>
      <c r="L365" s="74"/>
      <c r="M365" s="74"/>
      <c r="N365" s="74"/>
      <c r="O365" s="74"/>
      <c r="P365" s="74"/>
      <c r="Q365" s="74"/>
      <c r="R365" s="74"/>
      <c r="S365" s="74"/>
      <c r="T365" s="74"/>
      <c r="U365" s="74"/>
      <c r="V365" s="74"/>
      <c r="W365" s="74"/>
      <c r="X365" s="74"/>
      <c r="Y365" s="74"/>
    </row>
    <row r="366" spans="1:25" x14ac:dyDescent="0.3">
      <c r="A366" s="66">
        <f t="shared" si="40"/>
        <v>2025.8999999999673</v>
      </c>
      <c r="B366" s="67">
        <f>LOOKUP(A366+0.01,AmountsB!$A$4:$A$103,AmountsB!$B$4:$B$103)*0.1*$A$2</f>
        <v>0</v>
      </c>
      <c r="C366" s="68">
        <f t="shared" si="39"/>
        <v>2074573.74105891</v>
      </c>
      <c r="D366" s="67">
        <f t="array" ref="D366">SUM($B$7:$B361*$F$1009*EXP(-$F$1009*($A366-$A$7:$A361)))*$F$1010</f>
        <v>75893795.734018371</v>
      </c>
      <c r="E366" s="67">
        <f t="shared" si="37"/>
        <v>144.68482165799801</v>
      </c>
      <c r="F366" s="70">
        <f t="shared" si="41"/>
        <v>8.7852623710736406</v>
      </c>
      <c r="G366" s="67">
        <f>E366/'Lookup Tables'!$C$48</f>
        <v>289.36964331599603</v>
      </c>
      <c r="H366" s="70">
        <f t="shared" si="38"/>
        <v>3.6656369816301618E-2</v>
      </c>
      <c r="I366" s="71">
        <f t="shared" si="42"/>
        <v>0.4166922863750343</v>
      </c>
      <c r="L366" s="74"/>
      <c r="M366" s="74"/>
      <c r="N366" s="74"/>
      <c r="O366" s="74"/>
      <c r="P366" s="74"/>
      <c r="Q366" s="74"/>
      <c r="R366" s="74"/>
      <c r="S366" s="74"/>
      <c r="T366" s="74"/>
      <c r="U366" s="74"/>
      <c r="V366" s="74"/>
      <c r="W366" s="74"/>
      <c r="X366" s="74"/>
      <c r="Y366" s="74"/>
    </row>
    <row r="367" spans="1:25" x14ac:dyDescent="0.3">
      <c r="A367" s="66">
        <f t="shared" si="40"/>
        <v>2025.9999999999673</v>
      </c>
      <c r="B367" s="67">
        <f>LOOKUP(A367+0.01,AmountsB!$A$4:$A$103,AmountsB!$B$4:$B$103)*0.1*$A$2</f>
        <v>0</v>
      </c>
      <c r="C367" s="68">
        <f t="shared" si="39"/>
        <v>2074573.74105891</v>
      </c>
      <c r="D367" s="67">
        <f t="array" ref="D367">SUM($B$7:$B362*$F$1009*EXP(-$F$1009*($A367-$A$7:$A362)))*$F$1010</f>
        <v>74838685.598103717</v>
      </c>
      <c r="E367" s="67">
        <f t="shared" si="37"/>
        <v>142.67334732906377</v>
      </c>
      <c r="F367" s="70">
        <f t="shared" si="41"/>
        <v>8.6631256498207527</v>
      </c>
      <c r="G367" s="67">
        <f>E367/'Lookup Tables'!$C$48</f>
        <v>285.34669465812755</v>
      </c>
      <c r="H367" s="70">
        <f t="shared" si="38"/>
        <v>3.6146756257446774E-2</v>
      </c>
      <c r="I367" s="71">
        <f t="shared" si="42"/>
        <v>0.41089924030770369</v>
      </c>
      <c r="L367" s="74"/>
      <c r="M367" s="74"/>
      <c r="N367" s="74"/>
      <c r="O367" s="74"/>
      <c r="P367" s="74"/>
      <c r="Q367" s="74"/>
      <c r="R367" s="74"/>
      <c r="S367" s="74"/>
      <c r="T367" s="74"/>
      <c r="U367" s="74"/>
      <c r="V367" s="74"/>
      <c r="W367" s="74"/>
      <c r="X367" s="74"/>
      <c r="Y367" s="74"/>
    </row>
    <row r="368" spans="1:25" x14ac:dyDescent="0.3">
      <c r="A368" s="66">
        <f t="shared" si="40"/>
        <v>2026.0999999999672</v>
      </c>
      <c r="B368" s="67">
        <f>LOOKUP(A368+0.01,AmountsB!$A$4:$A$103,AmountsB!$B$4:$B$103)*0.1*$A$2</f>
        <v>0</v>
      </c>
      <c r="C368" s="68">
        <f t="shared" si="39"/>
        <v>2074573.74105891</v>
      </c>
      <c r="D368" s="67">
        <f t="array" ref="D368">SUM($B$7:$B363*$F$1009*EXP(-$F$1009*($A368-$A$7:$A363)))*$F$1010</f>
        <v>73798244.084151417</v>
      </c>
      <c r="E368" s="67">
        <f t="shared" si="37"/>
        <v>140.68983743295391</v>
      </c>
      <c r="F368" s="70">
        <f t="shared" si="41"/>
        <v>8.542686928928962</v>
      </c>
      <c r="G368" s="67">
        <f>E368/'Lookup Tables'!$C$48</f>
        <v>281.37967486590782</v>
      </c>
      <c r="H368" s="70">
        <f t="shared" si="38"/>
        <v>3.5644227578536941E-2</v>
      </c>
      <c r="I368" s="71">
        <f t="shared" si="42"/>
        <v>0.40518673180690723</v>
      </c>
      <c r="L368" s="74"/>
      <c r="M368" s="74"/>
      <c r="N368" s="74"/>
      <c r="O368" s="74"/>
      <c r="P368" s="74"/>
      <c r="Q368" s="74"/>
      <c r="R368" s="74"/>
      <c r="S368" s="74"/>
      <c r="T368" s="74"/>
      <c r="U368" s="74"/>
      <c r="V368" s="74"/>
      <c r="W368" s="74"/>
      <c r="X368" s="74"/>
      <c r="Y368" s="74"/>
    </row>
    <row r="369" spans="1:25" x14ac:dyDescent="0.3">
      <c r="A369" s="66">
        <f t="shared" si="40"/>
        <v>2026.1999999999671</v>
      </c>
      <c r="B369" s="67">
        <f>LOOKUP(A369+0.01,AmountsB!$A$4:$A$103,AmountsB!$B$4:$B$103)*0.1*$A$2</f>
        <v>0</v>
      </c>
      <c r="C369" s="68">
        <f t="shared" si="39"/>
        <v>2074573.74105891</v>
      </c>
      <c r="D369" s="67">
        <f t="array" ref="D369">SUM($B$7:$B364*$F$1009*EXP(-$F$1009*($A369-$A$7:$A364)))*$F$1010</f>
        <v>72772267.262293905</v>
      </c>
      <c r="E369" s="67">
        <f t="shared" si="37"/>
        <v>138.73390319537884</v>
      </c>
      <c r="F369" s="70">
        <f t="shared" si="41"/>
        <v>8.4239226020234046</v>
      </c>
      <c r="G369" s="67">
        <f>E369/'Lookup Tables'!$C$48</f>
        <v>277.46780639075769</v>
      </c>
      <c r="H369" s="70">
        <f t="shared" si="38"/>
        <v>3.5148685282342301E-2</v>
      </c>
      <c r="I369" s="71">
        <f t="shared" si="42"/>
        <v>0.39955364120269105</v>
      </c>
      <c r="L369" s="74"/>
      <c r="M369" s="74"/>
      <c r="N369" s="74"/>
      <c r="O369" s="74"/>
      <c r="P369" s="74"/>
      <c r="Q369" s="74"/>
      <c r="R369" s="74"/>
      <c r="S369" s="74"/>
      <c r="T369" s="74"/>
      <c r="U369" s="74"/>
      <c r="V369" s="74"/>
      <c r="W369" s="74"/>
      <c r="X369" s="74"/>
      <c r="Y369" s="74"/>
    </row>
    <row r="370" spans="1:25" x14ac:dyDescent="0.3">
      <c r="A370" s="66">
        <f t="shared" si="40"/>
        <v>2026.299999999967</v>
      </c>
      <c r="B370" s="67">
        <f>LOOKUP(A370+0.01,AmountsB!$A$4:$A$103,AmountsB!$B$4:$B$103)*0.1*$A$2</f>
        <v>0</v>
      </c>
      <c r="C370" s="68">
        <f t="shared" si="39"/>
        <v>2074573.74105891</v>
      </c>
      <c r="D370" s="67">
        <f t="array" ref="D370">SUM($B$7:$B365*$F$1009*EXP(-$F$1009*($A370-$A$7:$A365)))*$F$1010</f>
        <v>71760554.037789613</v>
      </c>
      <c r="E370" s="67">
        <f t="shared" si="37"/>
        <v>136.80516124696646</v>
      </c>
      <c r="F370" s="70">
        <f t="shared" si="41"/>
        <v>8.3068093909158041</v>
      </c>
      <c r="G370" s="67">
        <f>E370/'Lookup Tables'!$C$48</f>
        <v>273.61032249393293</v>
      </c>
      <c r="H370" s="70">
        <f t="shared" si="38"/>
        <v>3.4660032240986391E-2</v>
      </c>
      <c r="I370" s="71">
        <f t="shared" si="42"/>
        <v>0.39399886439126347</v>
      </c>
      <c r="L370" s="74"/>
      <c r="M370" s="74"/>
      <c r="N370" s="74"/>
      <c r="O370" s="74"/>
      <c r="P370" s="74"/>
      <c r="Q370" s="74"/>
      <c r="R370" s="74"/>
      <c r="S370" s="74"/>
      <c r="T370" s="74"/>
      <c r="U370" s="74"/>
      <c r="V370" s="74"/>
      <c r="W370" s="74"/>
      <c r="X370" s="74"/>
      <c r="Y370" s="74"/>
    </row>
    <row r="371" spans="1:25" x14ac:dyDescent="0.3">
      <c r="A371" s="66">
        <f t="shared" si="40"/>
        <v>2026.3999999999669</v>
      </c>
      <c r="B371" s="67">
        <f>LOOKUP(A371+0.01,AmountsB!$A$4:$A$103,AmountsB!$B$4:$B$103)*0.1*$A$2</f>
        <v>0</v>
      </c>
      <c r="C371" s="68">
        <f t="shared" si="39"/>
        <v>2074573.74105891</v>
      </c>
      <c r="D371" s="67">
        <f t="array" ref="D371">SUM($B$7:$B366*$F$1009*EXP(-$F$1009*($A371-$A$7:$A366)))*$F$1010</f>
        <v>70762906.111607626</v>
      </c>
      <c r="E371" s="67">
        <f t="shared" si="37"/>
        <v>134.90323354812017</v>
      </c>
      <c r="F371" s="70">
        <f t="shared" si="41"/>
        <v>8.1913243410418559</v>
      </c>
      <c r="G371" s="67">
        <f>E371/'Lookup Tables'!$C$48</f>
        <v>269.80646709624034</v>
      </c>
      <c r="H371" s="70">
        <f t="shared" si="38"/>
        <v>3.417817267690873E-2</v>
      </c>
      <c r="I371" s="71">
        <f t="shared" si="42"/>
        <v>0.38852131261858613</v>
      </c>
      <c r="L371" s="74"/>
      <c r="M371" s="74"/>
      <c r="N371" s="74"/>
      <c r="O371" s="74"/>
      <c r="P371" s="74"/>
      <c r="Q371" s="74"/>
      <c r="R371" s="74"/>
      <c r="S371" s="74"/>
      <c r="T371" s="74"/>
      <c r="U371" s="74"/>
      <c r="V371" s="74"/>
      <c r="W371" s="74"/>
      <c r="X371" s="74"/>
      <c r="Y371" s="74"/>
    </row>
    <row r="372" spans="1:25" x14ac:dyDescent="0.3">
      <c r="A372" s="66">
        <f t="shared" si="40"/>
        <v>2026.4999999999668</v>
      </c>
      <c r="B372" s="67">
        <f>LOOKUP(A372+0.01,AmountsB!$A$4:$A$103,AmountsB!$B$4:$B$103)*0.1*$A$2</f>
        <v>0</v>
      </c>
      <c r="C372" s="68">
        <f t="shared" si="39"/>
        <v>2074573.74105891</v>
      </c>
      <c r="D372" s="67">
        <f t="array" ref="D372">SUM($B$7:$B367*$F$1009*EXP(-$F$1009*($A372-$A$7:$A367)))*$F$1010</f>
        <v>69779127.941560641</v>
      </c>
      <c r="E372" s="67">
        <f t="shared" si="37"/>
        <v>133.02774731492235</v>
      </c>
      <c r="F372" s="70">
        <f t="shared" si="41"/>
        <v>8.0774448169620854</v>
      </c>
      <c r="G372" s="67">
        <f>E372/'Lookup Tables'!$C$48</f>
        <v>266.0554946298447</v>
      </c>
      <c r="H372" s="70">
        <f t="shared" si="38"/>
        <v>3.370301214409218E-2</v>
      </c>
      <c r="I372" s="71">
        <f t="shared" si="42"/>
        <v>0.38311991226697639</v>
      </c>
      <c r="L372" s="74"/>
      <c r="M372" s="74"/>
      <c r="N372" s="74"/>
      <c r="O372" s="74"/>
      <c r="P372" s="74"/>
      <c r="Q372" s="74"/>
      <c r="R372" s="74"/>
      <c r="S372" s="74"/>
      <c r="T372" s="74"/>
      <c r="U372" s="74"/>
      <c r="V372" s="74"/>
      <c r="W372" s="74"/>
      <c r="X372" s="74"/>
      <c r="Y372" s="74"/>
    </row>
    <row r="373" spans="1:25" x14ac:dyDescent="0.3">
      <c r="A373" s="66">
        <f t="shared" si="40"/>
        <v>2026.5999999999667</v>
      </c>
      <c r="B373" s="67">
        <f>LOOKUP(A373+0.01,AmountsB!$A$4:$A$103,AmountsB!$B$4:$B$103)*0.1*$A$2</f>
        <v>0</v>
      </c>
      <c r="C373" s="68">
        <f t="shared" si="39"/>
        <v>2074573.74105891</v>
      </c>
      <c r="D373" s="67">
        <f t="array" ref="D373">SUM($B$7:$B368*$F$1009*EXP(-$F$1009*($A373-$A$7:$A368)))*$F$1010</f>
        <v>68809026.703977868</v>
      </c>
      <c r="E373" s="67">
        <f t="shared" si="37"/>
        <v>131.17833494606711</v>
      </c>
      <c r="F373" s="70">
        <f t="shared" si="41"/>
        <v>7.9651484979251945</v>
      </c>
      <c r="G373" s="67">
        <f>E373/'Lookup Tables'!$C$48</f>
        <v>262.35666989213422</v>
      </c>
      <c r="H373" s="70">
        <f t="shared" si="38"/>
        <v>3.3234457509551132E-2</v>
      </c>
      <c r="I373" s="71">
        <f t="shared" si="42"/>
        <v>0.37779360464467332</v>
      </c>
      <c r="L373" s="74"/>
      <c r="M373" s="74"/>
      <c r="N373" s="74"/>
      <c r="O373" s="74"/>
      <c r="P373" s="74"/>
      <c r="Q373" s="74"/>
      <c r="R373" s="74"/>
      <c r="S373" s="74"/>
      <c r="T373" s="74"/>
      <c r="U373" s="74"/>
      <c r="V373" s="74"/>
      <c r="W373" s="74"/>
      <c r="X373" s="74"/>
      <c r="Y373" s="74"/>
    </row>
    <row r="374" spans="1:25" x14ac:dyDescent="0.3">
      <c r="A374" s="66">
        <f t="shared" si="40"/>
        <v>2026.6999999999666</v>
      </c>
      <c r="B374" s="67">
        <f>LOOKUP(A374+0.01,AmountsB!$A$4:$A$103,AmountsB!$B$4:$B$103)*0.1*$A$2</f>
        <v>0</v>
      </c>
      <c r="C374" s="68">
        <f t="shared" si="39"/>
        <v>2074573.74105891</v>
      </c>
      <c r="D374" s="67">
        <f t="array" ref="D374">SUM($B$7:$B369*$F$1009*EXP(-$F$1009*($A374-$A$7:$A369)))*$F$1010</f>
        <v>67852412.255911127</v>
      </c>
      <c r="E374" s="67">
        <f t="shared" si="37"/>
        <v>129.35463395080959</v>
      </c>
      <c r="F374" s="70">
        <f t="shared" si="41"/>
        <v>7.8544133734931583</v>
      </c>
      <c r="G374" s="67">
        <f>E374/'Lookup Tables'!$C$48</f>
        <v>258.70926790161917</v>
      </c>
      <c r="H374" s="70">
        <f t="shared" si="38"/>
        <v>3.2772416935077216E-2</v>
      </c>
      <c r="I374" s="71">
        <f t="shared" si="42"/>
        <v>0.37254134577833165</v>
      </c>
      <c r="L374" s="74"/>
      <c r="M374" s="74"/>
      <c r="N374" s="74"/>
      <c r="O374" s="74"/>
      <c r="P374" s="74"/>
      <c r="Q374" s="74"/>
      <c r="R374" s="74"/>
      <c r="S374" s="74"/>
      <c r="T374" s="74"/>
      <c r="U374" s="74"/>
      <c r="V374" s="74"/>
      <c r="W374" s="74"/>
      <c r="X374" s="74"/>
      <c r="Y374" s="74"/>
    </row>
    <row r="375" spans="1:25" x14ac:dyDescent="0.3">
      <c r="A375" s="66">
        <f t="shared" si="40"/>
        <v>2026.7999999999665</v>
      </c>
      <c r="B375" s="67">
        <f>LOOKUP(A375+0.01,AmountsB!$A$4:$A$103,AmountsB!$B$4:$B$103)*0.1*$A$2</f>
        <v>0</v>
      </c>
      <c r="C375" s="68">
        <f t="shared" si="39"/>
        <v>2074573.74105891</v>
      </c>
      <c r="D375" s="67">
        <f t="array" ref="D375">SUM($B$7:$B370*$F$1009*EXP(-$F$1009*($A375-$A$7:$A370)))*$F$1010</f>
        <v>66909097.09786614</v>
      </c>
      <c r="E375" s="67">
        <f t="shared" si="37"/>
        <v>127.55628687791639</v>
      </c>
      <c r="F375" s="70">
        <f t="shared" si="41"/>
        <v>7.7452177392270833</v>
      </c>
      <c r="G375" s="67">
        <f>E375/'Lookup Tables'!$C$48</f>
        <v>255.11257375583278</v>
      </c>
      <c r="H375" s="70">
        <f t="shared" si="38"/>
        <v>3.2316799859238687E-2</v>
      </c>
      <c r="I375" s="71">
        <f t="shared" si="42"/>
        <v>0.36736210620839921</v>
      </c>
      <c r="L375" s="74"/>
      <c r="M375" s="74"/>
      <c r="N375" s="74"/>
      <c r="O375" s="74"/>
      <c r="P375" s="74"/>
      <c r="Q375" s="74"/>
      <c r="R375" s="74"/>
      <c r="S375" s="74"/>
      <c r="T375" s="74"/>
      <c r="U375" s="74"/>
      <c r="V375" s="74"/>
      <c r="W375" s="74"/>
      <c r="X375" s="74"/>
      <c r="Y375" s="74"/>
    </row>
    <row r="376" spans="1:25" x14ac:dyDescent="0.3">
      <c r="A376" s="66">
        <f t="shared" si="40"/>
        <v>2026.8999999999664</v>
      </c>
      <c r="B376" s="67">
        <f>LOOKUP(A376+0.01,AmountsB!$A$4:$A$103,AmountsB!$B$4:$B$103)*0.1*$A$2</f>
        <v>0</v>
      </c>
      <c r="C376" s="68">
        <f t="shared" si="39"/>
        <v>2074573.74105891</v>
      </c>
      <c r="D376" s="67">
        <f t="array" ref="D376">SUM($B$7:$B371*$F$1009*EXP(-$F$1009*($A376-$A$7:$A371)))*$F$1010</f>
        <v>65978896.337052025</v>
      </c>
      <c r="E376" s="67">
        <f t="shared" si="37"/>
        <v>125.78294124560408</v>
      </c>
      <c r="F376" s="70">
        <f t="shared" si="41"/>
        <v>7.6375401924330797</v>
      </c>
      <c r="G376" s="67">
        <f>E376/'Lookup Tables'!$C$48</f>
        <v>251.56588249120816</v>
      </c>
      <c r="H376" s="70">
        <f t="shared" si="38"/>
        <v>3.1867516979630077E-2</v>
      </c>
      <c r="I376" s="71">
        <f t="shared" si="42"/>
        <v>0.36225487078733976</v>
      </c>
      <c r="L376" s="74"/>
      <c r="M376" s="74"/>
      <c r="N376" s="74"/>
      <c r="O376" s="74"/>
      <c r="P376" s="74"/>
      <c r="Q376" s="74"/>
      <c r="R376" s="74"/>
      <c r="S376" s="74"/>
      <c r="T376" s="74"/>
      <c r="U376" s="74"/>
      <c r="V376" s="74"/>
      <c r="W376" s="74"/>
      <c r="X376" s="74"/>
      <c r="Y376" s="74"/>
    </row>
    <row r="377" spans="1:25" x14ac:dyDescent="0.3">
      <c r="A377" s="66">
        <f t="shared" si="40"/>
        <v>2026.9999999999663</v>
      </c>
      <c r="B377" s="67">
        <f>LOOKUP(A377+0.01,AmountsB!$A$4:$A$103,AmountsB!$B$4:$B$103)*0.1*$A$2</f>
        <v>0</v>
      </c>
      <c r="C377" s="68">
        <f t="shared" si="39"/>
        <v>2074573.74105891</v>
      </c>
      <c r="D377" s="67">
        <f t="array" ref="D377">SUM($B$7:$B372*$F$1009*EXP(-$F$1009*($A377-$A$7:$A372)))*$F$1010</f>
        <v>65061627.651141763</v>
      </c>
      <c r="E377" s="67">
        <f t="shared" si="37"/>
        <v>124.03424947245161</v>
      </c>
      <c r="F377" s="70">
        <f t="shared" si="41"/>
        <v>7.5313596279672614</v>
      </c>
      <c r="G377" s="67">
        <f>E377/'Lookup Tables'!$C$48</f>
        <v>248.06849894490321</v>
      </c>
      <c r="H377" s="70">
        <f t="shared" si="38"/>
        <v>3.1424480235368667E-2</v>
      </c>
      <c r="I377" s="71">
        <f t="shared" si="42"/>
        <v>0.3572186384806606</v>
      </c>
      <c r="L377" s="74"/>
      <c r="M377" s="74"/>
      <c r="N377" s="74"/>
      <c r="O377" s="74"/>
      <c r="P377" s="74"/>
      <c r="Q377" s="74"/>
      <c r="R377" s="74"/>
      <c r="S377" s="74"/>
      <c r="T377" s="74"/>
      <c r="U377" s="74"/>
      <c r="V377" s="74"/>
      <c r="W377" s="74"/>
      <c r="X377" s="74"/>
      <c r="Y377" s="74"/>
    </row>
    <row r="378" spans="1:25" x14ac:dyDescent="0.3">
      <c r="A378" s="66">
        <f t="shared" si="40"/>
        <v>2027.0999999999663</v>
      </c>
      <c r="B378" s="67">
        <f>LOOKUP(A378+0.01,AmountsB!$A$4:$A$103,AmountsB!$B$4:$B$103)*0.1*$A$2</f>
        <v>0</v>
      </c>
      <c r="C378" s="68">
        <f t="shared" si="39"/>
        <v>2074573.74105891</v>
      </c>
      <c r="D378" s="67">
        <f t="array" ref="D378">SUM($B$7:$B373*$F$1009*EXP(-$F$1009*($A378-$A$7:$A373)))*$F$1010</f>
        <v>64157111.252536416</v>
      </c>
      <c r="E378" s="67">
        <f t="shared" si="37"/>
        <v>122.30986880927324</v>
      </c>
      <c r="F378" s="70">
        <f t="shared" si="41"/>
        <v>7.4266552340990719</v>
      </c>
      <c r="G378" s="67">
        <f>E378/'Lookup Tables'!$C$48</f>
        <v>244.61973761854648</v>
      </c>
      <c r="H378" s="70">
        <f t="shared" si="38"/>
        <v>3.0987602789834274E-2</v>
      </c>
      <c r="I378" s="71">
        <f t="shared" si="42"/>
        <v>0.3522524221707069</v>
      </c>
      <c r="L378" s="74"/>
      <c r="M378" s="74"/>
      <c r="N378" s="74"/>
      <c r="O378" s="74"/>
      <c r="P378" s="74"/>
      <c r="Q378" s="74"/>
      <c r="R378" s="74"/>
      <c r="S378" s="74"/>
      <c r="T378" s="74"/>
      <c r="U378" s="74"/>
      <c r="V378" s="74"/>
      <c r="W378" s="74"/>
      <c r="X378" s="74"/>
      <c r="Y378" s="74"/>
    </row>
    <row r="379" spans="1:25" x14ac:dyDescent="0.3">
      <c r="A379" s="66">
        <f t="shared" si="40"/>
        <v>2027.1999999999662</v>
      </c>
      <c r="B379" s="67">
        <f>LOOKUP(A379+0.01,AmountsB!$A$4:$A$103,AmountsB!$B$4:$B$103)*0.1*$A$2</f>
        <v>0</v>
      </c>
      <c r="C379" s="68">
        <f t="shared" si="39"/>
        <v>2074573.74105891</v>
      </c>
      <c r="D379" s="67">
        <f t="array" ref="D379">SUM($B$7:$B374*$F$1009*EXP(-$F$1009*($A379-$A$7:$A374)))*$F$1010</f>
        <v>63265169.853126176</v>
      </c>
      <c r="E379" s="67">
        <f t="shared" si="37"/>
        <v>120.60946127193867</v>
      </c>
      <c r="F379" s="70">
        <f t="shared" si="41"/>
        <v>7.3234064884321155</v>
      </c>
      <c r="G379" s="67">
        <f>E379/'Lookup Tables'!$C$48</f>
        <v>241.21892254387734</v>
      </c>
      <c r="H379" s="70">
        <f t="shared" si="38"/>
        <v>3.0556799013648973E-2</v>
      </c>
      <c r="I379" s="71">
        <f t="shared" si="42"/>
        <v>0.34735524846318333</v>
      </c>
      <c r="L379" s="74"/>
      <c r="M379" s="74"/>
      <c r="N379" s="74"/>
      <c r="O379" s="74"/>
      <c r="P379" s="74"/>
      <c r="Q379" s="74"/>
      <c r="R379" s="74"/>
      <c r="S379" s="74"/>
      <c r="T379" s="74"/>
      <c r="U379" s="74"/>
      <c r="V379" s="74"/>
      <c r="W379" s="74"/>
      <c r="X379" s="74"/>
      <c r="Y379" s="74"/>
    </row>
    <row r="380" spans="1:25" x14ac:dyDescent="0.3">
      <c r="A380" s="66">
        <f t="shared" si="40"/>
        <v>2027.2999999999661</v>
      </c>
      <c r="B380" s="67">
        <f>LOOKUP(A380+0.01,AmountsB!$A$4:$A$103,AmountsB!$B$4:$B$103)*0.1*$A$2</f>
        <v>0</v>
      </c>
      <c r="C380" s="68">
        <f t="shared" si="39"/>
        <v>2074573.74105891</v>
      </c>
      <c r="D380" s="67">
        <f t="array" ref="D380">SUM($B$7:$B375*$F$1009*EXP(-$F$1009*($A380-$A$7:$A375)))*$F$1010</f>
        <v>62385628.629541367</v>
      </c>
      <c r="E380" s="67">
        <f t="shared" si="37"/>
        <v>118.93269357512699</v>
      </c>
      <c r="F380" s="70">
        <f t="shared" si="41"/>
        <v>7.2215931538817113</v>
      </c>
      <c r="G380" s="67">
        <f>E380/'Lookup Tables'!$C$48</f>
        <v>237.86538715025398</v>
      </c>
      <c r="H380" s="70">
        <f t="shared" si="38"/>
        <v>3.0131984467893475E-2</v>
      </c>
      <c r="I380" s="71">
        <f t="shared" si="42"/>
        <v>0.34252615749636572</v>
      </c>
      <c r="L380" s="74"/>
      <c r="M380" s="74"/>
      <c r="N380" s="74"/>
      <c r="O380" s="74"/>
      <c r="P380" s="74"/>
      <c r="Q380" s="74"/>
      <c r="R380" s="74"/>
      <c r="S380" s="74"/>
      <c r="T380" s="74"/>
      <c r="U380" s="74"/>
      <c r="V380" s="74"/>
      <c r="W380" s="74"/>
      <c r="X380" s="74"/>
      <c r="Y380" s="74"/>
    </row>
    <row r="381" spans="1:25" x14ac:dyDescent="0.3">
      <c r="A381" s="66">
        <f t="shared" si="40"/>
        <v>2027.399999999966</v>
      </c>
      <c r="B381" s="67">
        <f>LOOKUP(A381+0.01,AmountsB!$A$4:$A$103,AmountsB!$B$4:$B$103)*0.1*$A$2</f>
        <v>0</v>
      </c>
      <c r="C381" s="68">
        <f t="shared" si="39"/>
        <v>2074573.74105891</v>
      </c>
      <c r="D381" s="67">
        <f t="array" ref="D381">SUM($B$7:$B376*$F$1009*EXP(-$F$1009*($A381-$A$7:$A376)))*$F$1010</f>
        <v>61518315.188886419</v>
      </c>
      <c r="E381" s="67">
        <f t="shared" si="37"/>
        <v>117.27923706700169</v>
      </c>
      <c r="F381" s="70">
        <f t="shared" si="41"/>
        <v>7.1211952747083416</v>
      </c>
      <c r="G381" s="67">
        <f>E381/'Lookup Tables'!$C$48</f>
        <v>234.55847413400338</v>
      </c>
      <c r="H381" s="70">
        <f t="shared" si="38"/>
        <v>2.9713075887556839E-2</v>
      </c>
      <c r="I381" s="71">
        <f t="shared" si="42"/>
        <v>0.33776420275296487</v>
      </c>
      <c r="L381" s="74"/>
      <c r="M381" s="74"/>
      <c r="N381" s="74"/>
      <c r="O381" s="74"/>
      <c r="P381" s="74"/>
      <c r="Q381" s="74"/>
      <c r="R381" s="74"/>
      <c r="S381" s="74"/>
      <c r="T381" s="74"/>
      <c r="U381" s="74"/>
      <c r="V381" s="74"/>
      <c r="W381" s="74"/>
      <c r="X381" s="74"/>
      <c r="Y381" s="74"/>
    </row>
    <row r="382" spans="1:25" x14ac:dyDescent="0.3">
      <c r="A382" s="66">
        <f t="shared" si="40"/>
        <v>2027.4999999999659</v>
      </c>
      <c r="B382" s="67">
        <f>LOOKUP(A382+0.01,AmountsB!$A$4:$A$103,AmountsB!$B$4:$B$103)*0.1*$A$2</f>
        <v>0</v>
      </c>
      <c r="C382" s="68">
        <f t="shared" si="39"/>
        <v>2074573.74105891</v>
      </c>
      <c r="D382" s="67">
        <f t="array" ref="D382">SUM($B$7:$B377*$F$1009*EXP(-$F$1009*($A382-$A$7:$A377)))*$F$1010</f>
        <v>60663059.53495039</v>
      </c>
      <c r="E382" s="67">
        <f t="shared" si="37"/>
        <v>115.64876766479385</v>
      </c>
      <c r="F382" s="70">
        <f t="shared" si="41"/>
        <v>7.0221931726062818</v>
      </c>
      <c r="G382" s="67">
        <f>E382/'Lookup Tables'!$C$48</f>
        <v>231.2975353295877</v>
      </c>
      <c r="H382" s="70">
        <f t="shared" si="38"/>
        <v>2.9299991165216227E-2</v>
      </c>
      <c r="I382" s="71">
        <f t="shared" si="42"/>
        <v>0.33306845087460624</v>
      </c>
      <c r="L382" s="74"/>
      <c r="M382" s="74"/>
      <c r="N382" s="74"/>
      <c r="O382" s="74"/>
      <c r="P382" s="74"/>
      <c r="Q382" s="74"/>
      <c r="R382" s="74"/>
      <c r="S382" s="74"/>
      <c r="T382" s="74"/>
      <c r="U382" s="74"/>
      <c r="V382" s="74"/>
      <c r="W382" s="74"/>
      <c r="X382" s="74"/>
      <c r="Y382" s="74"/>
    </row>
    <row r="383" spans="1:25" x14ac:dyDescent="0.3">
      <c r="A383" s="66">
        <f t="shared" si="40"/>
        <v>2027.5999999999658</v>
      </c>
      <c r="B383" s="67">
        <f>LOOKUP(A383+0.01,AmountsB!$A$4:$A$103,AmountsB!$B$4:$B$103)*0.1*$A$2</f>
        <v>0</v>
      </c>
      <c r="C383" s="68">
        <f t="shared" si="39"/>
        <v>2074573.74105891</v>
      </c>
      <c r="D383" s="67">
        <f t="array" ref="D383">SUM($B$7:$B378*$F$1009*EXP(-$F$1009*($A383-$A$7:$A378)))*$F$1010</f>
        <v>59819694.034887142</v>
      </c>
      <c r="E383" s="67">
        <f t="shared" si="37"/>
        <v>114.04096579128095</v>
      </c>
      <c r="F383" s="70">
        <f t="shared" si="41"/>
        <v>6.9245674428465795</v>
      </c>
      <c r="G383" s="67">
        <f>E383/'Lookup Tables'!$C$48</f>
        <v>228.08193158256191</v>
      </c>
      <c r="H383" s="70">
        <f t="shared" si="38"/>
        <v>2.8892649334943645E-2</v>
      </c>
      <c r="I383" s="71">
        <f t="shared" si="42"/>
        <v>0.32843798147888914</v>
      </c>
      <c r="L383" s="74"/>
      <c r="M383" s="74"/>
      <c r="N383" s="74"/>
      <c r="O383" s="74"/>
      <c r="P383" s="74"/>
      <c r="Q383" s="74"/>
      <c r="R383" s="74"/>
      <c r="S383" s="74"/>
      <c r="T383" s="74"/>
      <c r="U383" s="74"/>
      <c r="V383" s="74"/>
      <c r="W383" s="74"/>
      <c r="X383" s="74"/>
      <c r="Y383" s="74"/>
    </row>
    <row r="384" spans="1:25" x14ac:dyDescent="0.3">
      <c r="A384" s="66">
        <f t="shared" si="40"/>
        <v>2027.6999999999657</v>
      </c>
      <c r="B384" s="67">
        <f>LOOKUP(A384+0.01,AmountsB!$A$4:$A$103,AmountsB!$B$4:$B$103)*0.1*$A$2</f>
        <v>0</v>
      </c>
      <c r="C384" s="68">
        <f t="shared" si="39"/>
        <v>2074573.74105891</v>
      </c>
      <c r="D384" s="67">
        <f t="array" ref="D384">SUM($B$7:$B379*$F$1009*EXP(-$F$1009*($A384-$A$7:$A379)))*$F$1010</f>
        <v>58988053.386358723</v>
      </c>
      <c r="E384" s="67">
        <f t="shared" si="37"/>
        <v>112.4555163121486</v>
      </c>
      <c r="F384" s="70">
        <f t="shared" si="41"/>
        <v>6.8282989504736635</v>
      </c>
      <c r="G384" s="67">
        <f>E384/'Lookup Tables'!$C$48</f>
        <v>224.91103262429721</v>
      </c>
      <c r="H384" s="70">
        <f t="shared" si="38"/>
        <v>2.8490970556436294E-2</v>
      </c>
      <c r="I384" s="71">
        <f t="shared" si="42"/>
        <v>0.32387188697898794</v>
      </c>
      <c r="L384" s="74"/>
      <c r="M384" s="74"/>
      <c r="N384" s="74"/>
      <c r="O384" s="74"/>
      <c r="P384" s="74"/>
      <c r="Q384" s="74"/>
      <c r="R384" s="74"/>
      <c r="S384" s="74"/>
      <c r="T384" s="74"/>
      <c r="U384" s="74"/>
      <c r="V384" s="74"/>
      <c r="W384" s="74"/>
      <c r="X384" s="74"/>
      <c r="Y384" s="74"/>
    </row>
    <row r="385" spans="1:25" x14ac:dyDescent="0.3">
      <c r="A385" s="66">
        <f t="shared" si="40"/>
        <v>2027.7999999999656</v>
      </c>
      <c r="B385" s="67">
        <f>LOOKUP(A385+0.01,AmountsB!$A$4:$A$103,AmountsB!$B$4:$B$103)*0.1*$A$2</f>
        <v>0</v>
      </c>
      <c r="C385" s="68">
        <f t="shared" si="39"/>
        <v>2074573.74105891</v>
      </c>
      <c r="D385" s="67">
        <f t="array" ref="D385">SUM($B$7:$B380*$F$1009*EXP(-$F$1009*($A385-$A$7:$A380)))*$F$1010</f>
        <v>58167974.585135683</v>
      </c>
      <c r="E385" s="67">
        <f t="shared" si="37"/>
        <v>110.89210847422338</v>
      </c>
      <c r="F385" s="70">
        <f t="shared" si="41"/>
        <v>6.7333688265548446</v>
      </c>
      <c r="G385" s="67">
        <f>E385/'Lookup Tables'!$C$48</f>
        <v>221.78421694844675</v>
      </c>
      <c r="H385" s="70">
        <f t="shared" si="38"/>
        <v>2.8094876099367699E-2</v>
      </c>
      <c r="I385" s="71">
        <f t="shared" si="42"/>
        <v>0.31936927240576335</v>
      </c>
      <c r="L385" s="74"/>
      <c r="M385" s="74"/>
      <c r="N385" s="74"/>
      <c r="O385" s="74"/>
      <c r="P385" s="74"/>
      <c r="Q385" s="74"/>
      <c r="R385" s="74"/>
      <c r="S385" s="74"/>
      <c r="T385" s="74"/>
      <c r="U385" s="74"/>
      <c r="V385" s="74"/>
      <c r="W385" s="74"/>
      <c r="X385" s="74"/>
      <c r="Y385" s="74"/>
    </row>
    <row r="386" spans="1:25" x14ac:dyDescent="0.3">
      <c r="A386" s="66">
        <f t="shared" si="40"/>
        <v>2027.8999999999655</v>
      </c>
      <c r="B386" s="67">
        <f>LOOKUP(A386+0.01,AmountsB!$A$4:$A$103,AmountsB!$B$4:$B$103)*0.1*$A$2</f>
        <v>0</v>
      </c>
      <c r="C386" s="68">
        <f t="shared" si="39"/>
        <v>2074573.74105891</v>
      </c>
      <c r="D386" s="67">
        <f t="array" ref="D386">SUM($B$7:$B381*$F$1009*EXP(-$F$1009*($A386-$A$7:$A381)))*$F$1010</f>
        <v>57359296.893147573</v>
      </c>
      <c r="E386" s="67">
        <f t="shared" si="37"/>
        <v>109.35043584456393</v>
      </c>
      <c r="F386" s="70">
        <f t="shared" si="41"/>
        <v>6.6397584644819219</v>
      </c>
      <c r="G386" s="67">
        <f>E386/'Lookup Tables'!$C$48</f>
        <v>218.70087168912787</v>
      </c>
      <c r="H386" s="70">
        <f t="shared" si="38"/>
        <v>2.7704288327956208E-2</v>
      </c>
      <c r="I386" s="71">
        <f t="shared" si="42"/>
        <v>0.31492925523234416</v>
      </c>
      <c r="L386" s="74"/>
      <c r="M386" s="74"/>
      <c r="N386" s="74"/>
      <c r="O386" s="74"/>
      <c r="P386" s="74"/>
      <c r="Q386" s="74"/>
      <c r="R386" s="74"/>
      <c r="S386" s="74"/>
      <c r="T386" s="74"/>
      <c r="U386" s="74"/>
      <c r="V386" s="74"/>
      <c r="W386" s="74"/>
      <c r="X386" s="74"/>
      <c r="Y386" s="74"/>
    </row>
    <row r="387" spans="1:25" x14ac:dyDescent="0.3">
      <c r="A387" s="66">
        <f t="shared" si="40"/>
        <v>2027.9999999999654</v>
      </c>
      <c r="B387" s="67">
        <f>LOOKUP(A387+0.01,AmountsB!$A$4:$A$103,AmountsB!$B$4:$B$103)*0.1*$A$2</f>
        <v>0</v>
      </c>
      <c r="C387" s="68">
        <f t="shared" si="39"/>
        <v>2074573.74105891</v>
      </c>
      <c r="D387" s="67">
        <f t="array" ref="D387">SUM($B$7:$B382*$F$1009*EXP(-$F$1009*($A387-$A$7:$A382)))*$F$1010</f>
        <v>56561861.806977965</v>
      </c>
      <c r="E387" s="67">
        <f t="shared" si="37"/>
        <v>107.83019625039952</v>
      </c>
      <c r="F387" s="70">
        <f t="shared" si="41"/>
        <v>6.5474495163242592</v>
      </c>
      <c r="G387" s="67">
        <f>E387/'Lookup Tables'!$C$48</f>
        <v>215.66039250079905</v>
      </c>
      <c r="H387" s="70">
        <f t="shared" si="38"/>
        <v>2.7319130685748236E-2</v>
      </c>
      <c r="I387" s="71">
        <f t="shared" si="42"/>
        <v>0.31055096520115061</v>
      </c>
      <c r="L387" s="74"/>
      <c r="M387" s="74"/>
      <c r="N387" s="74"/>
      <c r="O387" s="74"/>
      <c r="P387" s="74"/>
      <c r="Q387" s="74"/>
      <c r="R387" s="74"/>
      <c r="S387" s="74"/>
      <c r="T387" s="74"/>
      <c r="U387" s="74"/>
      <c r="V387" s="74"/>
      <c r="W387" s="74"/>
      <c r="X387" s="74"/>
      <c r="Y387" s="74"/>
    </row>
    <row r="388" spans="1:25" x14ac:dyDescent="0.3">
      <c r="A388" s="66">
        <f t="shared" si="40"/>
        <v>2028.0999999999653</v>
      </c>
      <c r="B388" s="67">
        <f>LOOKUP(A388+0.01,AmountsB!$A$4:$A$103,AmountsB!$B$4:$B$103)*0.1*$A$2</f>
        <v>0</v>
      </c>
      <c r="C388" s="68">
        <f t="shared" si="39"/>
        <v>2074573.74105891</v>
      </c>
      <c r="D388" s="67">
        <f t="array" ref="D388">SUM($B$7:$B383*$F$1009*EXP(-$F$1009*($A388-$A$7:$A383)))*$F$1010</f>
        <v>55775513.026797034</v>
      </c>
      <c r="E388" s="67">
        <f t="shared" si="37"/>
        <v>106.33109171990277</v>
      </c>
      <c r="F388" s="70">
        <f t="shared" si="41"/>
        <v>6.4564238892324957</v>
      </c>
      <c r="G388" s="67">
        <f>E388/'Lookup Tables'!$C$48</f>
        <v>212.66218343980555</v>
      </c>
      <c r="H388" s="70">
        <f t="shared" si="38"/>
        <v>2.6939327680612871E-2</v>
      </c>
      <c r="I388" s="71">
        <f t="shared" si="42"/>
        <v>0.30623354415331994</v>
      </c>
      <c r="L388" s="74"/>
      <c r="M388" s="74"/>
      <c r="N388" s="74"/>
      <c r="O388" s="74"/>
      <c r="P388" s="74"/>
      <c r="Q388" s="74"/>
      <c r="R388" s="74"/>
      <c r="S388" s="74"/>
      <c r="T388" s="74"/>
      <c r="U388" s="74"/>
      <c r="V388" s="74"/>
      <c r="W388" s="74"/>
      <c r="X388" s="74"/>
      <c r="Y388" s="74"/>
    </row>
    <row r="389" spans="1:25" x14ac:dyDescent="0.3">
      <c r="A389" s="66">
        <f t="shared" si="40"/>
        <v>2028.1999999999653</v>
      </c>
      <c r="B389" s="67">
        <f>LOOKUP(A389+0.01,AmountsB!$A$4:$A$103,AmountsB!$B$4:$B$103)*0.1*$A$2</f>
        <v>0</v>
      </c>
      <c r="C389" s="68">
        <f t="shared" si="39"/>
        <v>2074573.74105891</v>
      </c>
      <c r="D389" s="67">
        <f t="array" ref="D389">SUM($B$7:$B384*$F$1009*EXP(-$F$1009*($A389-$A$7:$A384)))*$F$1010</f>
        <v>55000096.425726525</v>
      </c>
      <c r="E389" s="67">
        <f t="shared" si="37"/>
        <v>104.8528284237866</v>
      </c>
      <c r="F389" s="70">
        <f t="shared" si="41"/>
        <v>6.3666637418923226</v>
      </c>
      <c r="G389" s="67">
        <f>E389/'Lookup Tables'!$C$48</f>
        <v>209.70565684757321</v>
      </c>
      <c r="H389" s="70">
        <f t="shared" si="38"/>
        <v>2.6564804869945231E-2</v>
      </c>
      <c r="I389" s="71">
        <f t="shared" si="42"/>
        <v>0.30197614586050542</v>
      </c>
      <c r="L389" s="74"/>
      <c r="M389" s="74"/>
      <c r="N389" s="74"/>
      <c r="O389" s="74"/>
      <c r="P389" s="74"/>
      <c r="Q389" s="74"/>
      <c r="R389" s="74"/>
      <c r="S389" s="74"/>
      <c r="T389" s="74"/>
      <c r="U389" s="74"/>
      <c r="V389" s="74"/>
      <c r="W389" s="74"/>
      <c r="X389" s="74"/>
      <c r="Y389" s="74"/>
    </row>
    <row r="390" spans="1:25" x14ac:dyDescent="0.3">
      <c r="A390" s="66">
        <f t="shared" si="40"/>
        <v>2028.2999999999652</v>
      </c>
      <c r="B390" s="67">
        <f>LOOKUP(A390+0.01,AmountsB!$A$4:$A$103,AmountsB!$B$4:$B$103)*0.1*$A$2</f>
        <v>0</v>
      </c>
      <c r="C390" s="68">
        <f t="shared" si="39"/>
        <v>2074573.74105891</v>
      </c>
      <c r="D390" s="67">
        <f t="array" ref="D390">SUM($B$7:$B385*$F$1009*EXP(-$F$1009*($A390-$A$7:$A385)))*$F$1010</f>
        <v>54235460.019630209</v>
      </c>
      <c r="E390" s="67">
        <f t="shared" si="37"/>
        <v>103.39511661771246</v>
      </c>
      <c r="F390" s="70">
        <f t="shared" si="41"/>
        <v>6.2781514810274999</v>
      </c>
      <c r="G390" s="67">
        <f>E390/'Lookup Tables'!$C$48</f>
        <v>206.79023323542492</v>
      </c>
      <c r="H390" s="70">
        <f t="shared" si="38"/>
        <v>2.6195488846075431E-2</v>
      </c>
      <c r="I390" s="71">
        <f t="shared" si="42"/>
        <v>0.29777793585901186</v>
      </c>
      <c r="L390" s="74"/>
      <c r="M390" s="74"/>
      <c r="N390" s="74"/>
      <c r="O390" s="74"/>
      <c r="P390" s="74"/>
      <c r="Q390" s="74"/>
      <c r="R390" s="74"/>
      <c r="S390" s="74"/>
      <c r="T390" s="74"/>
      <c r="U390" s="74"/>
      <c r="V390" s="74"/>
      <c r="W390" s="74"/>
      <c r="X390" s="74"/>
      <c r="Y390" s="74"/>
    </row>
    <row r="391" spans="1:25" x14ac:dyDescent="0.3">
      <c r="A391" s="66">
        <f t="shared" si="40"/>
        <v>2028.3999999999651</v>
      </c>
      <c r="B391" s="67">
        <f>LOOKUP(A391+0.01,AmountsB!$A$4:$A$103,AmountsB!$B$4:$B$103)*0.1*$A$2</f>
        <v>0</v>
      </c>
      <c r="C391" s="68">
        <f t="shared" si="39"/>
        <v>2074573.74105891</v>
      </c>
      <c r="D391" s="67">
        <f t="array" ref="D391">SUM($B$7:$B386*$F$1009*EXP(-$F$1009*($A391-$A$7:$A386)))*$F$1010</f>
        <v>53481453.937324651</v>
      </c>
      <c r="E391" s="67">
        <f t="shared" ref="E391:E454" si="43">D391/(365*24*60)*1.00201</f>
        <v>101.95767058549977</v>
      </c>
      <c r="F391" s="70">
        <f t="shared" si="41"/>
        <v>6.1908697579515461</v>
      </c>
      <c r="G391" s="67">
        <f>E391/'Lookup Tables'!$C$48</f>
        <v>203.91534117099954</v>
      </c>
      <c r="H391" s="70">
        <f t="shared" ref="H391:H454" si="44">G391*60*24*365/(C391*2000)</f>
        <v>2.5831307221880501E-2</v>
      </c>
      <c r="I391" s="71">
        <f t="shared" si="42"/>
        <v>0.29363809128623936</v>
      </c>
      <c r="L391" s="74"/>
      <c r="M391" s="74"/>
      <c r="N391" s="74"/>
      <c r="O391" s="74"/>
      <c r="P391" s="74"/>
      <c r="Q391" s="74"/>
      <c r="R391" s="74"/>
      <c r="S391" s="74"/>
      <c r="T391" s="74"/>
      <c r="U391" s="74"/>
      <c r="V391" s="74"/>
      <c r="W391" s="74"/>
      <c r="X391" s="74"/>
      <c r="Y391" s="74"/>
    </row>
    <row r="392" spans="1:25" x14ac:dyDescent="0.3">
      <c r="A392" s="66">
        <f t="shared" si="40"/>
        <v>2028.499999999965</v>
      </c>
      <c r="B392" s="67">
        <f>LOOKUP(A392+0.01,AmountsB!$A$4:$A$103,AmountsB!$B$4:$B$103)*0.1*$A$2</f>
        <v>0</v>
      </c>
      <c r="C392" s="68">
        <f t="shared" si="39"/>
        <v>2074573.74105891</v>
      </c>
      <c r="D392" s="67">
        <f t="array" ref="D392">SUM($B$7:$B387*$F$1009*EXP(-$F$1009*($A392-$A$7:$A387)))*$F$1010</f>
        <v>52737930.391203873</v>
      </c>
      <c r="E392" s="67">
        <f t="shared" si="43"/>
        <v>100.54020858312442</v>
      </c>
      <c r="F392" s="70">
        <f t="shared" si="41"/>
        <v>6.1048014651673146</v>
      </c>
      <c r="G392" s="67">
        <f>E392/'Lookup Tables'!$C$48</f>
        <v>201.08041716624885</v>
      </c>
      <c r="H392" s="70">
        <f t="shared" si="44"/>
        <v>2.5472188616596211E-2</v>
      </c>
      <c r="I392" s="71">
        <f t="shared" si="42"/>
        <v>0.28955580071939829</v>
      </c>
      <c r="L392" s="74"/>
      <c r="M392" s="74"/>
      <c r="N392" s="74"/>
      <c r="O392" s="74"/>
      <c r="P392" s="74"/>
      <c r="Q392" s="74"/>
      <c r="R392" s="74"/>
      <c r="S392" s="74"/>
      <c r="T392" s="74"/>
      <c r="U392" s="74"/>
      <c r="V392" s="74"/>
      <c r="W392" s="74"/>
      <c r="X392" s="74"/>
      <c r="Y392" s="74"/>
    </row>
    <row r="393" spans="1:25" x14ac:dyDescent="0.3">
      <c r="A393" s="66">
        <f t="shared" si="40"/>
        <v>2028.5999999999649</v>
      </c>
      <c r="B393" s="67">
        <f>LOOKUP(A393+0.01,AmountsB!$A$4:$A$103,AmountsB!$B$4:$B$103)*0.1*$A$2</f>
        <v>0</v>
      </c>
      <c r="C393" s="68">
        <f t="shared" ref="C393:C456" si="45">C392+B393</f>
        <v>2074573.74105891</v>
      </c>
      <c r="D393" s="67">
        <f t="array" ref="D393">SUM($B$7:$B388*$F$1009*EXP(-$F$1009*($A393-$A$7:$A388)))*$F$1010</f>
        <v>52004743.648272559</v>
      </c>
      <c r="E393" s="67">
        <f t="shared" si="43"/>
        <v>99.142452783496168</v>
      </c>
      <c r="F393" s="70">
        <f t="shared" si="41"/>
        <v>6.0199297330138881</v>
      </c>
      <c r="G393" s="67">
        <f>E393/'Lookup Tables'!$C$48</f>
        <v>198.28490556699234</v>
      </c>
      <c r="H393" s="70">
        <f t="shared" si="44"/>
        <v>2.511806264182628E-2</v>
      </c>
      <c r="I393" s="71">
        <f t="shared" si="42"/>
        <v>0.28553026401646903</v>
      </c>
      <c r="L393" s="74"/>
      <c r="M393" s="74"/>
      <c r="N393" s="74"/>
      <c r="O393" s="74"/>
      <c r="P393" s="74"/>
      <c r="Q393" s="74"/>
      <c r="R393" s="74"/>
      <c r="S393" s="74"/>
      <c r="T393" s="74"/>
      <c r="U393" s="74"/>
      <c r="V393" s="74"/>
      <c r="W393" s="74"/>
      <c r="X393" s="74"/>
      <c r="Y393" s="74"/>
    </row>
    <row r="394" spans="1:25" x14ac:dyDescent="0.3">
      <c r="A394" s="66">
        <f t="shared" si="40"/>
        <v>2028.6999999999648</v>
      </c>
      <c r="B394" s="67">
        <f>LOOKUP(A394+0.01,AmountsB!$A$4:$A$103,AmountsB!$B$4:$B$103)*0.1*$A$2</f>
        <v>0</v>
      </c>
      <c r="C394" s="68">
        <f t="shared" si="45"/>
        <v>2074573.74105891</v>
      </c>
      <c r="D394" s="67">
        <f t="array" ref="D394">SUM($B$7:$B389*$F$1009*EXP(-$F$1009*($A394-$A$7:$A389)))*$F$1010</f>
        <v>51281750.001581892</v>
      </c>
      <c r="E394" s="67">
        <f t="shared" si="43"/>
        <v>97.764129222003575</v>
      </c>
      <c r="F394" s="70">
        <f t="shared" si="41"/>
        <v>5.9362379263600573</v>
      </c>
      <c r="G394" s="67">
        <f>E394/'Lookup Tables'!$C$48</f>
        <v>195.52825844400715</v>
      </c>
      <c r="H394" s="70">
        <f t="shared" si="44"/>
        <v>2.4768859887745943E-2</v>
      </c>
      <c r="I394" s="71">
        <f t="shared" si="42"/>
        <v>0.2815606921593703</v>
      </c>
      <c r="L394" s="74"/>
      <c r="M394" s="74"/>
      <c r="N394" s="74"/>
      <c r="O394" s="74"/>
      <c r="P394" s="74"/>
      <c r="Q394" s="74"/>
      <c r="R394" s="74"/>
      <c r="S394" s="74"/>
      <c r="T394" s="74"/>
      <c r="U394" s="74"/>
      <c r="V394" s="74"/>
      <c r="W394" s="74"/>
      <c r="X394" s="74"/>
      <c r="Y394" s="74"/>
    </row>
    <row r="395" spans="1:25" x14ac:dyDescent="0.3">
      <c r="A395" s="66">
        <f t="shared" si="40"/>
        <v>2028.7999999999647</v>
      </c>
      <c r="B395" s="67">
        <f>LOOKUP(A395+0.01,AmountsB!$A$4:$A$103,AmountsB!$B$4:$B$103)*0.1*$A$2</f>
        <v>0</v>
      </c>
      <c r="C395" s="68">
        <f t="shared" si="45"/>
        <v>2074573.74105891</v>
      </c>
      <c r="D395" s="67">
        <f t="array" ref="D395">SUM($B$7:$B390*$F$1009*EXP(-$F$1009*($A395-$A$7:$A390)))*$F$1010</f>
        <v>50568807.742062561</v>
      </c>
      <c r="E395" s="67">
        <f t="shared" si="43"/>
        <v>96.404967742816041</v>
      </c>
      <c r="F395" s="70">
        <f t="shared" si="41"/>
        <v>5.8537096413437899</v>
      </c>
      <c r="G395" s="67">
        <f>E395/'Lookup Tables'!$C$48</f>
        <v>192.80993548563208</v>
      </c>
      <c r="H395" s="70">
        <f t="shared" si="44"/>
        <v>2.4424511909497491E-2</v>
      </c>
      <c r="I395" s="71">
        <f t="shared" si="42"/>
        <v>0.27764630709931021</v>
      </c>
      <c r="L395" s="74"/>
      <c r="M395" s="74"/>
      <c r="N395" s="74"/>
      <c r="O395" s="74"/>
      <c r="P395" s="74"/>
      <c r="Q395" s="74"/>
      <c r="R395" s="74"/>
      <c r="S395" s="74"/>
      <c r="T395" s="74"/>
      <c r="U395" s="74"/>
      <c r="V395" s="74"/>
      <c r="W395" s="74"/>
      <c r="X395" s="74"/>
      <c r="Y395" s="74"/>
    </row>
    <row r="396" spans="1:25" x14ac:dyDescent="0.3">
      <c r="A396" s="66">
        <f t="shared" si="40"/>
        <v>2028.8999999999646</v>
      </c>
      <c r="B396" s="67">
        <f>LOOKUP(A396+0.01,AmountsB!$A$4:$A$103,AmountsB!$B$4:$B$103)*0.1*$A$2</f>
        <v>0</v>
      </c>
      <c r="C396" s="68">
        <f t="shared" si="45"/>
        <v>2074573.74105891</v>
      </c>
      <c r="D396" s="67">
        <f t="array" ref="D396">SUM($B$7:$B391*$F$1009*EXP(-$F$1009*($A396-$A$7:$A391)))*$F$1010</f>
        <v>49865777.130749322</v>
      </c>
      <c r="E396" s="67">
        <f t="shared" si="43"/>
        <v>95.064701945932512</v>
      </c>
      <c r="F396" s="70">
        <f t="shared" si="41"/>
        <v>5.7723287021570222</v>
      </c>
      <c r="G396" s="67">
        <f>E396/'Lookup Tables'!$C$48</f>
        <v>190.12940389186502</v>
      </c>
      <c r="H396" s="70">
        <f t="shared" si="44"/>
        <v>2.4084951213774804E-2</v>
      </c>
      <c r="I396" s="71">
        <f t="shared" si="42"/>
        <v>0.27378634160428567</v>
      </c>
      <c r="L396" s="74"/>
      <c r="M396" s="74"/>
      <c r="N396" s="74"/>
      <c r="O396" s="74"/>
      <c r="P396" s="74"/>
      <c r="Q396" s="74"/>
      <c r="R396" s="74"/>
      <c r="S396" s="74"/>
      <c r="T396" s="74"/>
      <c r="U396" s="74"/>
      <c r="V396" s="74"/>
      <c r="W396" s="74"/>
      <c r="X396" s="74"/>
      <c r="Y396" s="74"/>
    </row>
    <row r="397" spans="1:25" x14ac:dyDescent="0.3">
      <c r="A397" s="66">
        <f t="shared" si="40"/>
        <v>2028.9999999999645</v>
      </c>
      <c r="B397" s="67">
        <f>LOOKUP(A397+0.01,AmountsB!$A$4:$A$103,AmountsB!$B$4:$B$103)*0.1*$A$2</f>
        <v>0</v>
      </c>
      <c r="C397" s="68">
        <f t="shared" si="45"/>
        <v>2074573.74105891</v>
      </c>
      <c r="D397" s="67">
        <f t="array" ref="D397">SUM($B$7:$B392*$F$1009*EXP(-$F$1009*($A397-$A$7:$A392)))*$F$1010</f>
        <v>49172520.371391714</v>
      </c>
      <c r="E397" s="67">
        <f t="shared" si="43"/>
        <v>93.743069134966163</v>
      </c>
      <c r="F397" s="70">
        <f t="shared" si="41"/>
        <v>5.6920791578751455</v>
      </c>
      <c r="G397" s="67">
        <f>E397/'Lookup Tables'!$C$48</f>
        <v>187.48613826993233</v>
      </c>
      <c r="H397" s="70">
        <f t="shared" si="44"/>
        <v>2.3750111245594476E-2</v>
      </c>
      <c r="I397" s="71">
        <f t="shared" si="42"/>
        <v>0.26998003910870255</v>
      </c>
      <c r="L397" s="74"/>
      <c r="M397" s="74"/>
      <c r="N397" s="74"/>
      <c r="O397" s="74"/>
      <c r="P397" s="74"/>
      <c r="Q397" s="74"/>
      <c r="R397" s="74"/>
      <c r="S397" s="74"/>
      <c r="T397" s="74"/>
      <c r="U397" s="74"/>
      <c r="V397" s="74"/>
      <c r="W397" s="74"/>
      <c r="X397" s="74"/>
      <c r="Y397" s="74"/>
    </row>
    <row r="398" spans="1:25" x14ac:dyDescent="0.3">
      <c r="A398" s="66">
        <f t="shared" si="40"/>
        <v>2029.0999999999644</v>
      </c>
      <c r="B398" s="67">
        <f>LOOKUP(A398+0.01,AmountsB!$A$4:$A$103,AmountsB!$B$4:$B$103)*0.1*$A$2</f>
        <v>0</v>
      </c>
      <c r="C398" s="68">
        <f t="shared" si="45"/>
        <v>2074573.74105891</v>
      </c>
      <c r="D398" s="67">
        <f t="array" ref="D398">SUM($B$7:$B393*$F$1009*EXP(-$F$1009*($A398-$A$7:$A393)))*$F$1010</f>
        <v>48488901.583445542</v>
      </c>
      <c r="E398" s="67">
        <f t="shared" si="43"/>
        <v>92.439810265654998</v>
      </c>
      <c r="F398" s="70">
        <f t="shared" si="41"/>
        <v>5.612945279330571</v>
      </c>
      <c r="G398" s="67">
        <f>E398/'Lookup Tables'!$C$48</f>
        <v>184.87962053131</v>
      </c>
      <c r="H398" s="70">
        <f t="shared" si="44"/>
        <v>2.3419926375250786E-2</v>
      </c>
      <c r="I398" s="71">
        <f t="shared" si="42"/>
        <v>0.26622665356508635</v>
      </c>
      <c r="L398" s="74"/>
      <c r="M398" s="74"/>
      <c r="N398" s="74"/>
      <c r="O398" s="74"/>
      <c r="P398" s="74"/>
      <c r="Q398" s="74"/>
      <c r="R398" s="74"/>
      <c r="S398" s="74"/>
      <c r="T398" s="74"/>
      <c r="U398" s="74"/>
      <c r="V398" s="74"/>
      <c r="W398" s="74"/>
      <c r="X398" s="74"/>
      <c r="Y398" s="74"/>
    </row>
    <row r="399" spans="1:25" x14ac:dyDescent="0.3">
      <c r="A399" s="66">
        <f t="shared" si="40"/>
        <v>2029.1999999999643</v>
      </c>
      <c r="B399" s="67">
        <f>LOOKUP(A399+0.01,AmountsB!$A$4:$A$103,AmountsB!$B$4:$B$103)*0.1*$A$2</f>
        <v>0</v>
      </c>
      <c r="C399" s="68">
        <f t="shared" si="45"/>
        <v>2074573.74105891</v>
      </c>
      <c r="D399" s="67">
        <f t="array" ref="D399">SUM($B$7:$B394*$F$1009*EXP(-$F$1009*($A399-$A$7:$A394)))*$F$1010</f>
        <v>47814786.775439858</v>
      </c>
      <c r="E399" s="67">
        <f t="shared" si="43"/>
        <v>91.15466989508846</v>
      </c>
      <c r="F399" s="70">
        <f t="shared" si="41"/>
        <v>5.5349115560297708</v>
      </c>
      <c r="G399" s="67">
        <f>E399/'Lookup Tables'!$C$48</f>
        <v>182.30933979017692</v>
      </c>
      <c r="H399" s="70">
        <f t="shared" si="44"/>
        <v>2.3094331885452127E-2</v>
      </c>
      <c r="I399" s="71">
        <f t="shared" si="42"/>
        <v>0.26252544929785476</v>
      </c>
      <c r="L399" s="74"/>
      <c r="M399" s="74"/>
      <c r="N399" s="74"/>
      <c r="O399" s="74"/>
      <c r="P399" s="74"/>
      <c r="Q399" s="74"/>
      <c r="R399" s="74"/>
      <c r="S399" s="74"/>
      <c r="T399" s="74"/>
      <c r="U399" s="74"/>
      <c r="V399" s="74"/>
      <c r="W399" s="74"/>
      <c r="X399" s="74"/>
      <c r="Y399" s="74"/>
    </row>
    <row r="400" spans="1:25" x14ac:dyDescent="0.3">
      <c r="A400" s="66">
        <f t="shared" si="40"/>
        <v>2029.2999999999643</v>
      </c>
      <c r="B400" s="67">
        <f>LOOKUP(A400+0.01,AmountsB!$A$4:$A$103,AmountsB!$B$4:$B$103)*0.1*$A$2</f>
        <v>0</v>
      </c>
      <c r="C400" s="68">
        <f t="shared" si="45"/>
        <v>2074573.74105891</v>
      </c>
      <c r="D400" s="67">
        <f t="array" ref="D400">SUM($B$7:$B395*$F$1009*EXP(-$F$1009*($A400-$A$7:$A395)))*$F$1010</f>
        <v>47150043.818714209</v>
      </c>
      <c r="E400" s="67">
        <f t="shared" si="43"/>
        <v>89.88739613163969</v>
      </c>
      <c r="F400" s="70">
        <f t="shared" si="41"/>
        <v>5.4579626931131626</v>
      </c>
      <c r="G400" s="67">
        <f>E400/'Lookup Tables'!$C$48</f>
        <v>179.77479226327938</v>
      </c>
      <c r="H400" s="70">
        <f t="shared" si="44"/>
        <v>2.2773263958636141E-2</v>
      </c>
      <c r="I400" s="71">
        <f t="shared" si="42"/>
        <v>0.25887570085912232</v>
      </c>
      <c r="L400" s="74"/>
      <c r="M400" s="74"/>
      <c r="N400" s="74"/>
      <c r="O400" s="74"/>
      <c r="P400" s="74"/>
      <c r="Q400" s="74"/>
      <c r="R400" s="74"/>
      <c r="S400" s="74"/>
      <c r="T400" s="74"/>
      <c r="U400" s="74"/>
      <c r="V400" s="74"/>
      <c r="W400" s="74"/>
      <c r="X400" s="74"/>
      <c r="Y400" s="74"/>
    </row>
    <row r="401" spans="1:25" x14ac:dyDescent="0.3">
      <c r="A401" s="66">
        <f t="shared" si="40"/>
        <v>2029.3999999999642</v>
      </c>
      <c r="B401" s="67">
        <f>LOOKUP(A401+0.01,AmountsB!$A$4:$A$103,AmountsB!$B$4:$B$103)*0.1*$A$2</f>
        <v>0</v>
      </c>
      <c r="C401" s="68">
        <f t="shared" si="45"/>
        <v>2074573.74105891</v>
      </c>
      <c r="D401" s="67">
        <f t="array" ref="D401">SUM($B$7:$B396*$F$1009*EXP(-$F$1009*($A401-$A$7:$A396)))*$F$1010</f>
        <v>46494542.421521008</v>
      </c>
      <c r="E401" s="67">
        <f t="shared" si="43"/>
        <v>88.637740585594116</v>
      </c>
      <c r="F401" s="70">
        <f t="shared" si="41"/>
        <v>5.3820836083572736</v>
      </c>
      <c r="G401" s="67">
        <f>E401/'Lookup Tables'!$C$48</f>
        <v>177.27548117118823</v>
      </c>
      <c r="H401" s="70">
        <f t="shared" si="44"/>
        <v>2.2456659664461327E-2</v>
      </c>
      <c r="I401" s="71">
        <f t="shared" si="42"/>
        <v>0.25527669288651106</v>
      </c>
      <c r="L401" s="74"/>
      <c r="M401" s="74"/>
      <c r="N401" s="74"/>
      <c r="O401" s="74"/>
      <c r="P401" s="74"/>
      <c r="Q401" s="74"/>
      <c r="R401" s="74"/>
      <c r="S401" s="74"/>
      <c r="T401" s="74"/>
      <c r="U401" s="74"/>
      <c r="V401" s="74"/>
      <c r="W401" s="74"/>
      <c r="X401" s="74"/>
      <c r="Y401" s="74"/>
    </row>
    <row r="402" spans="1:25" x14ac:dyDescent="0.3">
      <c r="A402" s="66">
        <f t="shared" si="40"/>
        <v>2029.4999999999641</v>
      </c>
      <c r="B402" s="67">
        <f>LOOKUP(A402+0.01,AmountsB!$A$4:$A$103,AmountsB!$B$4:$B$103)*0.1*$A$2</f>
        <v>0</v>
      </c>
      <c r="C402" s="68">
        <f t="shared" si="45"/>
        <v>2074573.74105891</v>
      </c>
      <c r="D402" s="67">
        <f t="array" ref="D402">SUM($B$7:$B397*$F$1009*EXP(-$F$1009*($A402-$A$7:$A397)))*$F$1010</f>
        <v>45848154.103487901</v>
      </c>
      <c r="E402" s="67">
        <f t="shared" si="43"/>
        <v>87.405458320464064</v>
      </c>
      <c r="F402" s="70">
        <f t="shared" si="41"/>
        <v>5.3072594292185782</v>
      </c>
      <c r="G402" s="67">
        <f>E402/'Lookup Tables'!$C$48</f>
        <v>174.81091664092813</v>
      </c>
      <c r="H402" s="70">
        <f t="shared" si="44"/>
        <v>2.2144456947472461E-2</v>
      </c>
      <c r="I402" s="71">
        <f t="shared" si="42"/>
        <v>0.25172771996293652</v>
      </c>
      <c r="L402" s="74"/>
      <c r="M402" s="74"/>
      <c r="N402" s="74"/>
      <c r="O402" s="74"/>
      <c r="P402" s="74"/>
      <c r="Q402" s="74"/>
      <c r="R402" s="74"/>
      <c r="S402" s="74"/>
      <c r="T402" s="74"/>
      <c r="U402" s="74"/>
      <c r="V402" s="74"/>
      <c r="W402" s="74"/>
      <c r="X402" s="74"/>
      <c r="Y402" s="74"/>
    </row>
    <row r="403" spans="1:25" x14ac:dyDescent="0.3">
      <c r="A403" s="66">
        <f t="shared" ref="A403:A466" si="46">A402+0.1</f>
        <v>2029.599999999964</v>
      </c>
      <c r="B403" s="67">
        <f>LOOKUP(A403+0.01,AmountsB!$A$4:$A$103,AmountsB!$B$4:$B$103)*0.1*$A$2</f>
        <v>0</v>
      </c>
      <c r="C403" s="68">
        <f t="shared" si="45"/>
        <v>2074573.74105891</v>
      </c>
      <c r="D403" s="67">
        <f t="array" ref="D403">SUM($B$7:$B398*$F$1009*EXP(-$F$1009*($A403-$A$7:$A398)))*$F$1010</f>
        <v>45210752.170435257</v>
      </c>
      <c r="E403" s="67">
        <f t="shared" si="43"/>
        <v>86.190307804980662</v>
      </c>
      <c r="F403" s="70">
        <f t="shared" ref="F403:F466" si="47">E403*60*1012/1000000</f>
        <v>5.2334754899184253</v>
      </c>
      <c r="G403" s="67">
        <f>E403/'Lookup Tables'!$C$48</f>
        <v>172.38061560996132</v>
      </c>
      <c r="H403" s="70">
        <f t="shared" si="44"/>
        <v>2.1836594614937546E-2</v>
      </c>
      <c r="I403" s="71">
        <f t="shared" ref="I403:I466" si="48">G403*60*24/1000000</f>
        <v>0.24822808647834432</v>
      </c>
      <c r="L403" s="74"/>
      <c r="M403" s="74"/>
      <c r="N403" s="74"/>
      <c r="O403" s="74"/>
      <c r="P403" s="74"/>
      <c r="Q403" s="74"/>
      <c r="R403" s="74"/>
      <c r="S403" s="74"/>
      <c r="T403" s="74"/>
      <c r="U403" s="74"/>
      <c r="V403" s="74"/>
      <c r="W403" s="74"/>
      <c r="X403" s="74"/>
      <c r="Y403" s="74"/>
    </row>
    <row r="404" spans="1:25" x14ac:dyDescent="0.3">
      <c r="A404" s="66">
        <f t="shared" si="46"/>
        <v>2029.6999999999639</v>
      </c>
      <c r="B404" s="67">
        <f>LOOKUP(A404+0.01,AmountsB!$A$4:$A$103,AmountsB!$B$4:$B$103)*0.1*$A$2</f>
        <v>0</v>
      </c>
      <c r="C404" s="68">
        <f t="shared" si="45"/>
        <v>2074573.74105891</v>
      </c>
      <c r="D404" s="67">
        <f t="array" ref="D404">SUM($B$7:$B399*$F$1009*EXP(-$F$1009*($A404-$A$7:$A399)))*$F$1010</f>
        <v>44582211.68954362</v>
      </c>
      <c r="E404" s="67">
        <f t="shared" si="43"/>
        <v>84.992050865752674</v>
      </c>
      <c r="F404" s="70">
        <f t="shared" si="47"/>
        <v>5.1607173285685022</v>
      </c>
      <c r="G404" s="67">
        <f>E404/'Lookup Tables'!$C$48</f>
        <v>169.98410173150535</v>
      </c>
      <c r="H404" s="70">
        <f t="shared" si="44"/>
        <v>2.1533012324853818E-2</v>
      </c>
      <c r="I404" s="71">
        <f t="shared" si="48"/>
        <v>0.2447771064933677</v>
      </c>
      <c r="L404" s="74"/>
      <c r="M404" s="74"/>
      <c r="N404" s="74"/>
      <c r="O404" s="74"/>
      <c r="P404" s="74"/>
      <c r="Q404" s="74"/>
      <c r="R404" s="74"/>
      <c r="S404" s="74"/>
      <c r="T404" s="74"/>
      <c r="U404" s="74"/>
      <c r="V404" s="74"/>
      <c r="W404" s="74"/>
      <c r="X404" s="74"/>
      <c r="Y404" s="74"/>
    </row>
    <row r="405" spans="1:25" x14ac:dyDescent="0.3">
      <c r="A405" s="66">
        <f t="shared" si="46"/>
        <v>2029.7999999999638</v>
      </c>
      <c r="B405" s="67">
        <f>LOOKUP(A405+0.01,AmountsB!$A$4:$A$103,AmountsB!$B$4:$B$103)*0.1*$A$2</f>
        <v>0</v>
      </c>
      <c r="C405" s="68">
        <f t="shared" si="45"/>
        <v>2074573.74105891</v>
      </c>
      <c r="D405" s="67">
        <f t="array" ref="D405">SUM($B$7:$B400*$F$1009*EXP(-$F$1009*($A405-$A$7:$A400)))*$F$1010</f>
        <v>43962409.464866579</v>
      </c>
      <c r="E405" s="67">
        <f t="shared" si="43"/>
        <v>83.810452640584018</v>
      </c>
      <c r="F405" s="70">
        <f t="shared" si="47"/>
        <v>5.0889706843362612</v>
      </c>
      <c r="G405" s="67">
        <f>E405/'Lookup Tables'!$C$48</f>
        <v>167.62090528116804</v>
      </c>
      <c r="H405" s="70">
        <f t="shared" si="44"/>
        <v>2.1233650574120556E-2</v>
      </c>
      <c r="I405" s="71">
        <f t="shared" si="48"/>
        <v>0.24137410360488196</v>
      </c>
      <c r="L405" s="74"/>
      <c r="M405" s="74"/>
      <c r="N405" s="74"/>
      <c r="O405" s="74"/>
      <c r="P405" s="74"/>
      <c r="Q405" s="74"/>
      <c r="R405" s="74"/>
      <c r="S405" s="74"/>
      <c r="T405" s="74"/>
      <c r="U405" s="74"/>
      <c r="V405" s="74"/>
      <c r="W405" s="74"/>
      <c r="X405" s="74"/>
      <c r="Y405" s="74"/>
    </row>
    <row r="406" spans="1:25" x14ac:dyDescent="0.3">
      <c r="A406" s="66">
        <f t="shared" si="46"/>
        <v>2029.8999999999637</v>
      </c>
      <c r="B406" s="67">
        <f>LOOKUP(A406+0.01,AmountsB!$A$4:$A$103,AmountsB!$B$4:$B$103)*0.1*$A$2</f>
        <v>0</v>
      </c>
      <c r="C406" s="68">
        <f t="shared" si="45"/>
        <v>2074573.74105891</v>
      </c>
      <c r="D406" s="67">
        <f t="array" ref="D406">SUM($B$7:$B401*$F$1009*EXP(-$F$1009*($A406-$A$7:$A401)))*$F$1010</f>
        <v>43351224.013183892</v>
      </c>
      <c r="E406" s="67">
        <f t="shared" si="43"/>
        <v>82.645281532439867</v>
      </c>
      <c r="F406" s="70">
        <f t="shared" si="47"/>
        <v>5.0182214946497483</v>
      </c>
      <c r="G406" s="67">
        <f>E406/'Lookup Tables'!$C$48</f>
        <v>165.29056306487973</v>
      </c>
      <c r="H406" s="70">
        <f t="shared" si="44"/>
        <v>2.0938450686876265E-2</v>
      </c>
      <c r="I406" s="71">
        <f t="shared" si="48"/>
        <v>0.23801841081342684</v>
      </c>
      <c r="L406" s="74"/>
      <c r="M406" s="74"/>
      <c r="N406" s="74"/>
      <c r="O406" s="74"/>
      <c r="P406" s="74"/>
      <c r="Q406" s="74"/>
      <c r="R406" s="74"/>
      <c r="S406" s="74"/>
      <c r="T406" s="74"/>
      <c r="U406" s="74"/>
      <c r="V406" s="74"/>
      <c r="W406" s="74"/>
      <c r="X406" s="74"/>
      <c r="Y406" s="74"/>
    </row>
    <row r="407" spans="1:25" x14ac:dyDescent="0.3">
      <c r="A407" s="66">
        <f t="shared" si="46"/>
        <v>2029.9999999999636</v>
      </c>
      <c r="B407" s="67">
        <f>LOOKUP(A407+0.01,AmountsB!$A$4:$A$103,AmountsB!$B$4:$B$103)*0.1*$A$2</f>
        <v>0</v>
      </c>
      <c r="C407" s="68">
        <f t="shared" si="45"/>
        <v>2074573.74105891</v>
      </c>
      <c r="D407" s="67">
        <f t="array" ref="D407">SUM($B$7:$B402*$F$1009*EXP(-$F$1009*($A407-$A$7:$A402)))*$F$1010</f>
        <v>42748535.540190391</v>
      </c>
      <c r="E407" s="67">
        <f t="shared" si="43"/>
        <v>81.496309164052846</v>
      </c>
      <c r="F407" s="70">
        <f t="shared" si="47"/>
        <v>4.9484558924412889</v>
      </c>
      <c r="G407" s="67">
        <f>E407/'Lookup Tables'!$C$48</f>
        <v>162.99261832810569</v>
      </c>
      <c r="H407" s="70">
        <f t="shared" si="44"/>
        <v>2.064735480299798E-2</v>
      </c>
      <c r="I407" s="71">
        <f t="shared" si="48"/>
        <v>0.23470937039247219</v>
      </c>
      <c r="L407" s="74"/>
      <c r="M407" s="74"/>
      <c r="N407" s="74"/>
      <c r="O407" s="74"/>
      <c r="P407" s="74"/>
      <c r="Q407" s="74"/>
      <c r="R407" s="74"/>
      <c r="S407" s="74"/>
      <c r="T407" s="74"/>
      <c r="U407" s="74"/>
      <c r="V407" s="74"/>
      <c r="W407" s="74"/>
      <c r="X407" s="74"/>
      <c r="Y407" s="74"/>
    </row>
    <row r="408" spans="1:25" x14ac:dyDescent="0.3">
      <c r="A408" s="66">
        <f t="shared" si="46"/>
        <v>2030.0999999999635</v>
      </c>
      <c r="B408" s="67">
        <f>LOOKUP(A408+0.01,AmountsB!$A$4:$A$103,AmountsB!$B$4:$B$103)*0.1*$A$2</f>
        <v>0</v>
      </c>
      <c r="C408" s="68">
        <f t="shared" si="45"/>
        <v>2074573.74105891</v>
      </c>
      <c r="D408" s="67">
        <f t="array" ref="D408">SUM($B$7:$B403*$F$1009*EXP(-$F$1009*($A408-$A$7:$A403)))*$F$1010</f>
        <v>42154225.917015962</v>
      </c>
      <c r="E408" s="67">
        <f t="shared" si="43"/>
        <v>80.363310333160513</v>
      </c>
      <c r="F408" s="70">
        <f t="shared" si="47"/>
        <v>4.8796602034295065</v>
      </c>
      <c r="G408" s="67">
        <f>E408/'Lookup Tables'!$C$48</f>
        <v>160.72662066632103</v>
      </c>
      <c r="H408" s="70">
        <f t="shared" si="44"/>
        <v>2.0360305866760575E-2</v>
      </c>
      <c r="I408" s="71">
        <f t="shared" si="48"/>
        <v>0.23144633375950227</v>
      </c>
      <c r="L408" s="74"/>
      <c r="M408" s="74"/>
      <c r="N408" s="74"/>
      <c r="O408" s="74"/>
      <c r="P408" s="74"/>
      <c r="Q408" s="74"/>
      <c r="R408" s="74"/>
      <c r="S408" s="74"/>
      <c r="T408" s="74"/>
      <c r="U408" s="74"/>
      <c r="V408" s="74"/>
      <c r="W408" s="74"/>
      <c r="X408" s="74"/>
      <c r="Y408" s="74"/>
    </row>
    <row r="409" spans="1:25" x14ac:dyDescent="0.3">
      <c r="A409" s="66">
        <f t="shared" si="46"/>
        <v>2030.1999999999634</v>
      </c>
      <c r="B409" s="67">
        <f>LOOKUP(A409+0.01,AmountsB!$A$4:$A$103,AmountsB!$B$4:$B$103)*0.1*$A$2</f>
        <v>0</v>
      </c>
      <c r="C409" s="68">
        <f t="shared" si="45"/>
        <v>2074573.74105891</v>
      </c>
      <c r="D409" s="67">
        <f t="array" ref="D409">SUM($B$7:$B404*$F$1009*EXP(-$F$1009*($A409-$A$7:$A404)))*$F$1010</f>
        <v>41568178.657071859</v>
      </c>
      <c r="E409" s="67">
        <f t="shared" si="43"/>
        <v>79.246062968364868</v>
      </c>
      <c r="F409" s="70">
        <f t="shared" si="47"/>
        <v>4.8118209434391153</v>
      </c>
      <c r="G409" s="67">
        <f>E409/'Lookup Tables'!$C$48</f>
        <v>158.49212593672974</v>
      </c>
      <c r="H409" s="70">
        <f t="shared" si="44"/>
        <v>2.00772476156536E-2</v>
      </c>
      <c r="I409" s="71">
        <f t="shared" si="48"/>
        <v>0.2282286613488908</v>
      </c>
      <c r="L409" s="74"/>
      <c r="M409" s="74"/>
      <c r="N409" s="74"/>
      <c r="O409" s="74"/>
      <c r="P409" s="74"/>
      <c r="Q409" s="74"/>
      <c r="R409" s="74"/>
      <c r="S409" s="74"/>
      <c r="T409" s="74"/>
      <c r="U409" s="74"/>
      <c r="V409" s="74"/>
      <c r="W409" s="74"/>
      <c r="X409" s="74"/>
      <c r="Y409" s="74"/>
    </row>
    <row r="410" spans="1:25" x14ac:dyDescent="0.3">
      <c r="A410" s="66">
        <f t="shared" si="46"/>
        <v>2030.2999999999633</v>
      </c>
      <c r="B410" s="67">
        <f>LOOKUP(A410+0.01,AmountsB!$A$4:$A$103,AmountsB!$B$4:$B$103)*0.1*$A$2</f>
        <v>0</v>
      </c>
      <c r="C410" s="68">
        <f t="shared" si="45"/>
        <v>2074573.74105891</v>
      </c>
      <c r="D410" s="67">
        <f t="array" ref="D410">SUM($B$7:$B405*$F$1009*EXP(-$F$1009*($A410-$A$7:$A405)))*$F$1010</f>
        <v>40990278.893218979</v>
      </c>
      <c r="E410" s="67">
        <f t="shared" si="43"/>
        <v>78.144348085605685</v>
      </c>
      <c r="F410" s="70">
        <f t="shared" si="47"/>
        <v>4.7449248157579769</v>
      </c>
      <c r="G410" s="67">
        <f>E410/'Lookup Tables'!$C$48</f>
        <v>156.28869617121137</v>
      </c>
      <c r="H410" s="70">
        <f t="shared" si="44"/>
        <v>1.9798124569353658E-2</v>
      </c>
      <c r="I410" s="71">
        <f t="shared" si="48"/>
        <v>0.22505572248654435</v>
      </c>
      <c r="L410" s="74"/>
      <c r="M410" s="74"/>
      <c r="N410" s="74"/>
      <c r="O410" s="74"/>
      <c r="P410" s="74"/>
      <c r="Q410" s="74"/>
      <c r="R410" s="74"/>
      <c r="S410" s="74"/>
      <c r="T410" s="74"/>
      <c r="U410" s="74"/>
      <c r="V410" s="74"/>
      <c r="W410" s="74"/>
      <c r="X410" s="74"/>
      <c r="Y410" s="74"/>
    </row>
    <row r="411" spans="1:25" x14ac:dyDescent="0.3">
      <c r="A411" s="66">
        <f t="shared" si="46"/>
        <v>2030.3999999999633</v>
      </c>
      <c r="B411" s="67">
        <f>LOOKUP(A411+0.01,AmountsB!$A$4:$A$103,AmountsB!$B$4:$B$103)*0.1*$A$2</f>
        <v>0</v>
      </c>
      <c r="C411" s="68">
        <f t="shared" si="45"/>
        <v>2074573.74105891</v>
      </c>
      <c r="D411" s="67">
        <f t="array" ref="D411">SUM($B$7:$B406*$F$1009*EXP(-$F$1009*($A411-$A$7:$A406)))*$F$1010</f>
        <v>40420413.355253562</v>
      </c>
      <c r="E411" s="67">
        <f t="shared" si="43"/>
        <v>77.057949745239</v>
      </c>
      <c r="F411" s="70">
        <f t="shared" si="47"/>
        <v>4.6789587085309119</v>
      </c>
      <c r="G411" s="67">
        <f>E411/'Lookup Tables'!$C$48</f>
        <v>154.115899490478</v>
      </c>
      <c r="H411" s="70">
        <f t="shared" si="44"/>
        <v>1.9522882018850118E-2</v>
      </c>
      <c r="I411" s="71">
        <f t="shared" si="48"/>
        <v>0.22192689526628831</v>
      </c>
      <c r="L411" s="74"/>
      <c r="M411" s="74"/>
      <c r="N411" s="74"/>
      <c r="O411" s="74"/>
      <c r="P411" s="74"/>
      <c r="Q411" s="74"/>
      <c r="R411" s="74"/>
      <c r="S411" s="74"/>
      <c r="T411" s="74"/>
      <c r="U411" s="74"/>
      <c r="V411" s="74"/>
      <c r="W411" s="74"/>
      <c r="X411" s="74"/>
      <c r="Y411" s="74"/>
    </row>
    <row r="412" spans="1:25" x14ac:dyDescent="0.3">
      <c r="A412" s="66">
        <f t="shared" si="46"/>
        <v>2030.4999999999632</v>
      </c>
      <c r="B412" s="67">
        <f>LOOKUP(A412+0.01,AmountsB!$A$4:$A$103,AmountsB!$B$4:$B$103)*0.1*$A$2</f>
        <v>0</v>
      </c>
      <c r="C412" s="68">
        <f t="shared" si="45"/>
        <v>2074573.74105891</v>
      </c>
      <c r="D412" s="67">
        <f t="array" ref="D412">SUM($B$7:$B407*$F$1009*EXP(-$F$1009*($A412-$A$7:$A407)))*$F$1010</f>
        <v>39858470.347705834</v>
      </c>
      <c r="E412" s="67">
        <f t="shared" si="43"/>
        <v>75.98665500971218</v>
      </c>
      <c r="F412" s="70">
        <f t="shared" si="47"/>
        <v>4.6139096921897229</v>
      </c>
      <c r="G412" s="67">
        <f>E412/'Lookup Tables'!$C$48</f>
        <v>151.97331001942436</v>
      </c>
      <c r="H412" s="70">
        <f t="shared" si="44"/>
        <v>1.9251466015721933E-2</v>
      </c>
      <c r="I412" s="71">
        <f t="shared" si="48"/>
        <v>0.21884156642797106</v>
      </c>
      <c r="L412" s="74"/>
      <c r="M412" s="74"/>
      <c r="N412" s="74"/>
      <c r="O412" s="74"/>
      <c r="P412" s="74"/>
      <c r="Q412" s="74"/>
      <c r="R412" s="74"/>
      <c r="S412" s="74"/>
      <c r="T412" s="74"/>
      <c r="U412" s="74"/>
      <c r="V412" s="74"/>
      <c r="W412" s="74"/>
      <c r="X412" s="74"/>
      <c r="Y412" s="74"/>
    </row>
    <row r="413" spans="1:25" x14ac:dyDescent="0.3">
      <c r="A413" s="66">
        <f t="shared" si="46"/>
        <v>2030.5999999999631</v>
      </c>
      <c r="B413" s="67">
        <f>LOOKUP(A413+0.01,AmountsB!$A$4:$A$103,AmountsB!$B$4:$B$103)*0.1*$A$2</f>
        <v>0</v>
      </c>
      <c r="C413" s="68">
        <f t="shared" si="45"/>
        <v>2074573.74105891</v>
      </c>
      <c r="D413" s="67">
        <f t="array" ref="D413">SUM($B$7:$B408*$F$1009*EXP(-$F$1009*($A413-$A$7:$A408)))*$F$1010</f>
        <v>39304339.727947325</v>
      </c>
      <c r="E413" s="67">
        <f t="shared" si="43"/>
        <v>74.930253901827427</v>
      </c>
      <c r="F413" s="70">
        <f t="shared" si="47"/>
        <v>4.5497650169189612</v>
      </c>
      <c r="G413" s="67">
        <f>E413/'Lookup Tables'!$C$48</f>
        <v>149.86050780365485</v>
      </c>
      <c r="H413" s="70">
        <f t="shared" si="44"/>
        <v>1.8983823361563582E-2</v>
      </c>
      <c r="I413" s="71">
        <f t="shared" si="48"/>
        <v>0.21579913123726296</v>
      </c>
      <c r="L413" s="74"/>
      <c r="M413" s="74"/>
      <c r="N413" s="74"/>
      <c r="O413" s="74"/>
      <c r="P413" s="74"/>
      <c r="Q413" s="74"/>
      <c r="R413" s="74"/>
      <c r="S413" s="74"/>
      <c r="T413" s="74"/>
      <c r="U413" s="74"/>
      <c r="V413" s="74"/>
      <c r="W413" s="74"/>
      <c r="X413" s="74"/>
      <c r="Y413" s="74"/>
    </row>
    <row r="414" spans="1:25" x14ac:dyDescent="0.3">
      <c r="A414" s="66">
        <f t="shared" si="46"/>
        <v>2030.699999999963</v>
      </c>
      <c r="B414" s="67">
        <f>LOOKUP(A414+0.01,AmountsB!$A$4:$A$103,AmountsB!$B$4:$B$103)*0.1*$A$2</f>
        <v>0</v>
      </c>
      <c r="C414" s="68">
        <f t="shared" si="45"/>
        <v>2074573.74105891</v>
      </c>
      <c r="D414" s="67">
        <f t="array" ref="D414">SUM($B$7:$B409*$F$1009*EXP(-$F$1009*($A414-$A$7:$A409)))*$F$1010</f>
        <v>38757912.884602584</v>
      </c>
      <c r="E414" s="67">
        <f t="shared" si="43"/>
        <v>73.888539363585679</v>
      </c>
      <c r="F414" s="70">
        <f t="shared" si="47"/>
        <v>4.4865121101569221</v>
      </c>
      <c r="G414" s="67">
        <f>E414/'Lookup Tables'!$C$48</f>
        <v>147.77707872717136</v>
      </c>
      <c r="H414" s="70">
        <f t="shared" si="44"/>
        <v>1.8719901597558031E-2</v>
      </c>
      <c r="I414" s="71">
        <f t="shared" si="48"/>
        <v>0.21279899336712674</v>
      </c>
      <c r="L414" s="74"/>
      <c r="M414" s="74"/>
      <c r="N414" s="74"/>
      <c r="O414" s="74"/>
      <c r="P414" s="74"/>
      <c r="Q414" s="74"/>
      <c r="R414" s="74"/>
      <c r="S414" s="74"/>
      <c r="T414" s="74"/>
      <c r="U414" s="74"/>
      <c r="V414" s="74"/>
      <c r="W414" s="74"/>
      <c r="X414" s="74"/>
      <c r="Y414" s="74"/>
    </row>
    <row r="415" spans="1:25" x14ac:dyDescent="0.3">
      <c r="A415" s="66">
        <f t="shared" si="46"/>
        <v>2030.7999999999629</v>
      </c>
      <c r="B415" s="67">
        <f>LOOKUP(A415+0.01,AmountsB!$A$4:$A$103,AmountsB!$B$4:$B$103)*0.1*$A$2</f>
        <v>0</v>
      </c>
      <c r="C415" s="68">
        <f t="shared" si="45"/>
        <v>2074573.74105891</v>
      </c>
      <c r="D415" s="67">
        <f t="array" ref="D415">SUM($B$7:$B410*$F$1009*EXP(-$F$1009*($A415-$A$7:$A410)))*$F$1010</f>
        <v>38219082.716261029</v>
      </c>
      <c r="E415" s="67">
        <f t="shared" si="43"/>
        <v>72.861307215602579</v>
      </c>
      <c r="F415" s="70">
        <f t="shared" si="47"/>
        <v>4.4241385741313879</v>
      </c>
      <c r="G415" s="67">
        <f>E415/'Lookup Tables'!$C$48</f>
        <v>145.72261443120516</v>
      </c>
      <c r="H415" s="70">
        <f t="shared" si="44"/>
        <v>1.8459648994194635E-2</v>
      </c>
      <c r="I415" s="71">
        <f t="shared" si="48"/>
        <v>0.20984056478093541</v>
      </c>
      <c r="L415" s="74"/>
      <c r="M415" s="74"/>
      <c r="N415" s="74"/>
      <c r="O415" s="74"/>
      <c r="P415" s="74"/>
      <c r="Q415" s="74"/>
      <c r="R415" s="74"/>
      <c r="S415" s="74"/>
      <c r="T415" s="74"/>
      <c r="U415" s="74"/>
      <c r="V415" s="74"/>
      <c r="W415" s="74"/>
      <c r="X415" s="74"/>
      <c r="Y415" s="74"/>
    </row>
    <row r="416" spans="1:25" x14ac:dyDescent="0.3">
      <c r="A416" s="66">
        <f t="shared" si="46"/>
        <v>2030.8999999999628</v>
      </c>
      <c r="B416" s="67">
        <f>LOOKUP(A416+0.01,AmountsB!$A$4:$A$103,AmountsB!$B$4:$B$103)*0.1*$A$2</f>
        <v>0</v>
      </c>
      <c r="C416" s="68">
        <f t="shared" si="45"/>
        <v>2074573.74105891</v>
      </c>
      <c r="D416" s="67">
        <f t="array" ref="D416">SUM($B$7:$B411*$F$1009*EXP(-$F$1009*($A416-$A$7:$A411)))*$F$1010</f>
        <v>37687743.610484667</v>
      </c>
      <c r="E416" s="67">
        <f t="shared" si="43"/>
        <v>71.848356117088542</v>
      </c>
      <c r="F416" s="70">
        <f t="shared" si="47"/>
        <v>4.3626321834296169</v>
      </c>
      <c r="G416" s="67">
        <f>E416/'Lookup Tables'!$C$48</f>
        <v>143.69671223417708</v>
      </c>
      <c r="H416" s="70">
        <f t="shared" si="44"/>
        <v>1.8203014541129971E-2</v>
      </c>
      <c r="I416" s="71">
        <f t="shared" si="48"/>
        <v>0.20692326561721502</v>
      </c>
      <c r="L416" s="74"/>
      <c r="M416" s="74"/>
      <c r="N416" s="74"/>
      <c r="O416" s="74"/>
      <c r="P416" s="74"/>
      <c r="Q416" s="74"/>
      <c r="R416" s="74"/>
      <c r="S416" s="74"/>
      <c r="T416" s="74"/>
      <c r="U416" s="74"/>
      <c r="V416" s="74"/>
      <c r="W416" s="74"/>
      <c r="X416" s="74"/>
      <c r="Y416" s="74"/>
    </row>
    <row r="417" spans="1:25" x14ac:dyDescent="0.3">
      <c r="A417" s="66">
        <f t="shared" si="46"/>
        <v>2030.9999999999627</v>
      </c>
      <c r="B417" s="67">
        <f>LOOKUP(A417+0.01,AmountsB!$A$4:$A$103,AmountsB!$B$4:$B$103)*0.1*$A$2</f>
        <v>0</v>
      </c>
      <c r="C417" s="68">
        <f t="shared" si="45"/>
        <v>2074573.74105891</v>
      </c>
      <c r="D417" s="67">
        <f t="array" ref="D417">SUM($B$7:$B412*$F$1009*EXP(-$F$1009*($A417-$A$7:$A412)))*$F$1010</f>
        <v>37163791.423107773</v>
      </c>
      <c r="E417" s="67">
        <f t="shared" si="43"/>
        <v>70.849487526385502</v>
      </c>
      <c r="F417" s="70">
        <f t="shared" si="47"/>
        <v>4.3019808826021286</v>
      </c>
      <c r="G417" s="67">
        <f>E417/'Lookup Tables'!$C$48</f>
        <v>141.698975052771</v>
      </c>
      <c r="H417" s="70">
        <f t="shared" si="44"/>
        <v>1.794994793718966E-2</v>
      </c>
      <c r="I417" s="71">
        <f t="shared" si="48"/>
        <v>0.20404652407599025</v>
      </c>
      <c r="L417" s="74"/>
      <c r="M417" s="74"/>
      <c r="N417" s="74"/>
      <c r="O417" s="74"/>
      <c r="P417" s="74"/>
      <c r="Q417" s="74"/>
      <c r="R417" s="74"/>
      <c r="S417" s="74"/>
      <c r="T417" s="74"/>
      <c r="U417" s="74"/>
      <c r="V417" s="74"/>
      <c r="W417" s="74"/>
      <c r="X417" s="74"/>
      <c r="Y417" s="74"/>
    </row>
    <row r="418" spans="1:25" x14ac:dyDescent="0.3">
      <c r="A418" s="66">
        <f t="shared" si="46"/>
        <v>2031.0999999999626</v>
      </c>
      <c r="B418" s="67">
        <f>LOOKUP(A418+0.01,AmountsB!$A$4:$A$103,AmountsB!$B$4:$B$103)*0.1*$A$2</f>
        <v>0</v>
      </c>
      <c r="C418" s="68">
        <f t="shared" si="45"/>
        <v>2074573.74105891</v>
      </c>
      <c r="D418" s="67">
        <f t="array" ref="D418">SUM($B$7:$B413*$F$1009*EXP(-$F$1009*($A418-$A$7:$A413)))*$F$1010</f>
        <v>36647123.457824253</v>
      </c>
      <c r="E418" s="67">
        <f t="shared" si="43"/>
        <v>69.864505662051897</v>
      </c>
      <c r="F418" s="70">
        <f t="shared" si="47"/>
        <v>4.2421727837997905</v>
      </c>
      <c r="G418" s="67">
        <f>E418/'Lookup Tables'!$C$48</f>
        <v>139.72901132410379</v>
      </c>
      <c r="H418" s="70">
        <f t="shared" si="44"/>
        <v>1.7700399580509171E-2</v>
      </c>
      <c r="I418" s="71">
        <f t="shared" si="48"/>
        <v>0.20120977630670944</v>
      </c>
      <c r="L418" s="74"/>
      <c r="M418" s="74"/>
      <c r="N418" s="74"/>
      <c r="O418" s="74"/>
      <c r="P418" s="74"/>
      <c r="Q418" s="74"/>
      <c r="R418" s="74"/>
      <c r="S418" s="74"/>
      <c r="T418" s="74"/>
      <c r="U418" s="74"/>
      <c r="V418" s="74"/>
      <c r="W418" s="74"/>
      <c r="X418" s="74"/>
      <c r="Y418" s="74"/>
    </row>
    <row r="419" spans="1:25" x14ac:dyDescent="0.3">
      <c r="A419" s="66">
        <f t="shared" si="46"/>
        <v>2031.1999999999625</v>
      </c>
      <c r="B419" s="67">
        <f>LOOKUP(A419+0.01,AmountsB!$A$4:$A$103,AmountsB!$B$4:$B$103)*0.1*$A$2</f>
        <v>0</v>
      </c>
      <c r="C419" s="68">
        <f t="shared" si="45"/>
        <v>2074573.74105891</v>
      </c>
      <c r="D419" s="67">
        <f t="array" ref="D419">SUM($B$7:$B414*$F$1009*EXP(-$F$1009*($A419-$A$7:$A414)))*$F$1010</f>
        <v>36137638.446058877</v>
      </c>
      <c r="E419" s="67">
        <f t="shared" si="43"/>
        <v>68.893217464489084</v>
      </c>
      <c r="F419" s="70">
        <f t="shared" si="47"/>
        <v>4.1831961644437774</v>
      </c>
      <c r="G419" s="67">
        <f>E419/'Lookup Tables'!$C$48</f>
        <v>137.78643492897817</v>
      </c>
      <c r="H419" s="70">
        <f t="shared" si="44"/>
        <v>1.7454320558811718E-2</v>
      </c>
      <c r="I419" s="71">
        <f t="shared" si="48"/>
        <v>0.1984124662977286</v>
      </c>
      <c r="L419" s="74"/>
      <c r="M419" s="74"/>
      <c r="N419" s="74"/>
      <c r="O419" s="74"/>
      <c r="P419" s="74"/>
      <c r="Q419" s="74"/>
      <c r="R419" s="74"/>
      <c r="S419" s="74"/>
      <c r="T419" s="74"/>
      <c r="U419" s="74"/>
      <c r="V419" s="74"/>
      <c r="W419" s="74"/>
      <c r="X419" s="74"/>
      <c r="Y419" s="74"/>
    </row>
    <row r="420" spans="1:25" x14ac:dyDescent="0.3">
      <c r="A420" s="66">
        <f t="shared" si="46"/>
        <v>2031.2999999999624</v>
      </c>
      <c r="B420" s="67">
        <f>LOOKUP(A420+0.01,AmountsB!$A$4:$A$103,AmountsB!$B$4:$B$103)*0.1*$A$2</f>
        <v>0</v>
      </c>
      <c r="C420" s="68">
        <f t="shared" si="45"/>
        <v>2074573.74105891</v>
      </c>
      <c r="D420" s="67">
        <f t="array" ref="D420">SUM($B$7:$B415*$F$1009*EXP(-$F$1009*($A420-$A$7:$A415)))*$F$1010</f>
        <v>35635236.527118295</v>
      </c>
      <c r="E420" s="67">
        <f t="shared" si="43"/>
        <v>67.935432558100842</v>
      </c>
      <c r="F420" s="70">
        <f t="shared" si="47"/>
        <v>4.125039464927883</v>
      </c>
      <c r="G420" s="67">
        <f>E420/'Lookup Tables'!$C$48</f>
        <v>135.87086511620168</v>
      </c>
      <c r="H420" s="70">
        <f t="shared" si="44"/>
        <v>1.721166263982123E-2</v>
      </c>
      <c r="I420" s="71">
        <f t="shared" si="48"/>
        <v>0.19565404576733042</v>
      </c>
      <c r="L420" s="74"/>
      <c r="M420" s="74"/>
      <c r="N420" s="74"/>
      <c r="O420" s="74"/>
      <c r="P420" s="74"/>
      <c r="Q420" s="74"/>
      <c r="R420" s="74"/>
      <c r="S420" s="74"/>
      <c r="T420" s="74"/>
      <c r="U420" s="74"/>
      <c r="V420" s="74"/>
      <c r="W420" s="74"/>
      <c r="X420" s="74"/>
      <c r="Y420" s="74"/>
    </row>
    <row r="421" spans="1:25" x14ac:dyDescent="0.3">
      <c r="A421" s="66">
        <f t="shared" si="46"/>
        <v>2031.3999999999623</v>
      </c>
      <c r="B421" s="67">
        <f>LOOKUP(A421+0.01,AmountsB!$A$4:$A$103,AmountsB!$B$4:$B$103)*0.1*$A$2</f>
        <v>0</v>
      </c>
      <c r="C421" s="68">
        <f t="shared" si="45"/>
        <v>2074573.74105891</v>
      </c>
      <c r="D421" s="67">
        <f t="array" ref="D421">SUM($B$7:$B416*$F$1009*EXP(-$F$1009*($A421-$A$7:$A416)))*$F$1010</f>
        <v>35139819.228618041</v>
      </c>
      <c r="E421" s="67">
        <f t="shared" si="43"/>
        <v>66.990963213979384</v>
      </c>
      <c r="F421" s="70">
        <f t="shared" si="47"/>
        <v>4.0676912863528285</v>
      </c>
      <c r="G421" s="67">
        <f>E421/'Lookup Tables'!$C$48</f>
        <v>133.98192642795877</v>
      </c>
      <c r="H421" s="70">
        <f t="shared" si="44"/>
        <v>1.6972378261808783E-2</v>
      </c>
      <c r="I421" s="71">
        <f t="shared" si="48"/>
        <v>0.19293397405626064</v>
      </c>
      <c r="L421" s="74"/>
      <c r="M421" s="74"/>
      <c r="N421" s="74"/>
      <c r="O421" s="74"/>
      <c r="P421" s="74"/>
      <c r="Q421" s="74"/>
      <c r="R421" s="74"/>
      <c r="S421" s="74"/>
      <c r="T421" s="74"/>
      <c r="U421" s="74"/>
      <c r="V421" s="74"/>
      <c r="W421" s="74"/>
      <c r="X421" s="74"/>
      <c r="Y421" s="74"/>
    </row>
    <row r="422" spans="1:25" x14ac:dyDescent="0.3">
      <c r="A422" s="66">
        <f t="shared" si="46"/>
        <v>2031.4999999999623</v>
      </c>
      <c r="B422" s="67">
        <f>LOOKUP(A422+0.01,AmountsB!$A$4:$A$103,AmountsB!$B$4:$B$103)*0.1*$A$2</f>
        <v>0</v>
      </c>
      <c r="C422" s="68">
        <f t="shared" si="45"/>
        <v>2074573.74105891</v>
      </c>
      <c r="D422" s="67">
        <f t="array" ref="D422">SUM($B$7:$B417*$F$1009*EXP(-$F$1009*($A422-$A$7:$A417)))*$F$1010</f>
        <v>34651289.447181597</v>
      </c>
      <c r="E422" s="67">
        <f t="shared" si="43"/>
        <v>66.059624313109651</v>
      </c>
      <c r="F422" s="70">
        <f t="shared" si="47"/>
        <v>4.0111403882920182</v>
      </c>
      <c r="G422" s="67">
        <f>E422/'Lookup Tables'!$C$48</f>
        <v>132.1192486262193</v>
      </c>
      <c r="H422" s="70">
        <f t="shared" si="44"/>
        <v>1.6736420524270237E-2</v>
      </c>
      <c r="I422" s="71">
        <f t="shared" si="48"/>
        <v>0.19025171802175581</v>
      </c>
      <c r="L422" s="74"/>
      <c r="M422" s="74"/>
      <c r="N422" s="74"/>
      <c r="O422" s="74"/>
      <c r="P422" s="74"/>
      <c r="Q422" s="74"/>
      <c r="R422" s="74"/>
      <c r="S422" s="74"/>
      <c r="T422" s="74"/>
      <c r="U422" s="74"/>
      <c r="V422" s="74"/>
      <c r="W422" s="74"/>
      <c r="X422" s="74"/>
      <c r="Y422" s="74"/>
    </row>
    <row r="423" spans="1:25" x14ac:dyDescent="0.3">
      <c r="A423" s="66">
        <f t="shared" si="46"/>
        <v>2031.5999999999622</v>
      </c>
      <c r="B423" s="67">
        <f>LOOKUP(A423+0.01,AmountsB!$A$4:$A$103,AmountsB!$B$4:$B$103)*0.1*$A$2</f>
        <v>0</v>
      </c>
      <c r="C423" s="68">
        <f t="shared" si="45"/>
        <v>2074573.74105891</v>
      </c>
      <c r="D423" s="67">
        <f t="array" ref="D423">SUM($B$7:$B418*$F$1009*EXP(-$F$1009*($A423-$A$7:$A418)))*$F$1010</f>
        <v>34169551.42940782</v>
      </c>
      <c r="E423" s="67">
        <f t="shared" si="43"/>
        <v>65.141233310085482</v>
      </c>
      <c r="F423" s="70">
        <f t="shared" si="47"/>
        <v>3.9553756865883907</v>
      </c>
      <c r="G423" s="67">
        <f>E423/'Lookup Tables'!$C$48</f>
        <v>130.28246662017096</v>
      </c>
      <c r="H423" s="70">
        <f t="shared" si="44"/>
        <v>1.6503743178733647E-2</v>
      </c>
      <c r="I423" s="71">
        <f t="shared" si="48"/>
        <v>0.18760675193304621</v>
      </c>
      <c r="L423" s="74"/>
      <c r="M423" s="74"/>
      <c r="N423" s="74"/>
      <c r="O423" s="74"/>
      <c r="P423" s="74"/>
      <c r="Q423" s="74"/>
      <c r="R423" s="74"/>
      <c r="S423" s="74"/>
      <c r="T423" s="74"/>
      <c r="U423" s="74"/>
      <c r="V423" s="74"/>
      <c r="W423" s="74"/>
      <c r="X423" s="74"/>
      <c r="Y423" s="74"/>
    </row>
    <row r="424" spans="1:25" x14ac:dyDescent="0.3">
      <c r="A424" s="66">
        <f t="shared" si="46"/>
        <v>2031.6999999999621</v>
      </c>
      <c r="B424" s="67">
        <f>LOOKUP(A424+0.01,AmountsB!$A$4:$A$103,AmountsB!$B$4:$B$103)*0.1*$A$2</f>
        <v>0</v>
      </c>
      <c r="C424" s="68">
        <f t="shared" si="45"/>
        <v>2074573.74105891</v>
      </c>
      <c r="D424" s="67">
        <f t="array" ref="D424">SUM($B$7:$B419*$F$1009*EXP(-$F$1009*($A424-$A$7:$A419)))*$F$1010</f>
        <v>33694510.753103048</v>
      </c>
      <c r="E424" s="67">
        <f t="shared" si="43"/>
        <v>64.23561019733026</v>
      </c>
      <c r="F424" s="70">
        <f t="shared" si="47"/>
        <v>3.9003862511818932</v>
      </c>
      <c r="G424" s="67">
        <f>E424/'Lookup Tables'!$C$48</f>
        <v>128.47122039466052</v>
      </c>
      <c r="H424" s="70">
        <f t="shared" si="44"/>
        <v>1.6274300619694419E-2</v>
      </c>
      <c r="I424" s="71">
        <f t="shared" si="48"/>
        <v>0.18499855736831117</v>
      </c>
      <c r="L424" s="74"/>
      <c r="M424" s="74"/>
      <c r="N424" s="74"/>
      <c r="O424" s="74"/>
      <c r="P424" s="74"/>
      <c r="Q424" s="74"/>
      <c r="R424" s="74"/>
      <c r="S424" s="74"/>
      <c r="T424" s="74"/>
      <c r="U424" s="74"/>
      <c r="V424" s="74"/>
      <c r="W424" s="74"/>
      <c r="X424" s="74"/>
      <c r="Y424" s="74"/>
    </row>
    <row r="425" spans="1:25" x14ac:dyDescent="0.3">
      <c r="A425" s="66">
        <f t="shared" si="46"/>
        <v>2031.799999999962</v>
      </c>
      <c r="B425" s="67">
        <f>LOOKUP(A425+0.01,AmountsB!$A$4:$A$103,AmountsB!$B$4:$B$103)*0.1*$A$2</f>
        <v>0</v>
      </c>
      <c r="C425" s="68">
        <f t="shared" si="45"/>
        <v>2074573.74105891</v>
      </c>
      <c r="D425" s="67">
        <f t="array" ref="D425">SUM($B$7:$B420*$F$1009*EXP(-$F$1009*($A425-$A$7:$A420)))*$F$1010</f>
        <v>33226074.308773931</v>
      </c>
      <c r="E425" s="67">
        <f t="shared" si="43"/>
        <v>63.342577469814628</v>
      </c>
      <c r="F425" s="70">
        <f t="shared" si="47"/>
        <v>3.8461613039671443</v>
      </c>
      <c r="G425" s="67">
        <f>E425/'Lookup Tables'!$C$48</f>
        <v>126.68515493962926</v>
      </c>
      <c r="H425" s="70">
        <f t="shared" si="44"/>
        <v>1.604804787567644E-2</v>
      </c>
      <c r="I425" s="71">
        <f t="shared" si="48"/>
        <v>0.18242662311306612</v>
      </c>
      <c r="L425" s="74"/>
      <c r="M425" s="74"/>
      <c r="N425" s="74"/>
      <c r="O425" s="74"/>
      <c r="P425" s="74"/>
      <c r="Q425" s="74"/>
      <c r="R425" s="74"/>
      <c r="S425" s="74"/>
      <c r="T425" s="74"/>
      <c r="U425" s="74"/>
      <c r="V425" s="74"/>
      <c r="W425" s="74"/>
      <c r="X425" s="74"/>
      <c r="Y425" s="74"/>
    </row>
    <row r="426" spans="1:25" x14ac:dyDescent="0.3">
      <c r="A426" s="66">
        <f t="shared" si="46"/>
        <v>2031.8999999999619</v>
      </c>
      <c r="B426" s="67">
        <f>LOOKUP(A426+0.01,AmountsB!$A$4:$A$103,AmountsB!$B$4:$B$103)*0.1*$A$2</f>
        <v>0</v>
      </c>
      <c r="C426" s="68">
        <f t="shared" si="45"/>
        <v>2074573.74105891</v>
      </c>
      <c r="D426" s="67">
        <f t="array" ref="D426">SUM($B$7:$B421*$F$1009*EXP(-$F$1009*($A426-$A$7:$A421)))*$F$1010</f>
        <v>32764150.281377759</v>
      </c>
      <c r="E426" s="67">
        <f t="shared" si="43"/>
        <v>62.461960090265087</v>
      </c>
      <c r="F426" s="70">
        <f t="shared" si="47"/>
        <v>3.7926902166808967</v>
      </c>
      <c r="G426" s="67">
        <f>E426/'Lookup Tables'!$C$48</f>
        <v>124.92392018053017</v>
      </c>
      <c r="H426" s="70">
        <f t="shared" si="44"/>
        <v>1.5824940600417576E-2</v>
      </c>
      <c r="I426" s="71">
        <f t="shared" si="48"/>
        <v>0.17989044505996343</v>
      </c>
      <c r="L426" s="74"/>
      <c r="M426" s="74"/>
      <c r="N426" s="74"/>
      <c r="O426" s="74"/>
      <c r="P426" s="74"/>
      <c r="Q426" s="74"/>
      <c r="R426" s="74"/>
      <c r="S426" s="74"/>
      <c r="T426" s="74"/>
      <c r="U426" s="74"/>
      <c r="V426" s="74"/>
      <c r="W426" s="74"/>
      <c r="X426" s="74"/>
      <c r="Y426" s="74"/>
    </row>
    <row r="427" spans="1:25" x14ac:dyDescent="0.3">
      <c r="A427" s="66">
        <f t="shared" si="46"/>
        <v>2031.9999999999618</v>
      </c>
      <c r="B427" s="67">
        <f>LOOKUP(A427+0.01,AmountsB!$A$4:$A$103,AmountsB!$B$4:$B$103)*0.1*$A$2</f>
        <v>0</v>
      </c>
      <c r="C427" s="68">
        <f t="shared" si="45"/>
        <v>2074573.74105891</v>
      </c>
      <c r="D427" s="67">
        <f t="array" ref="D427">SUM($B$7:$B422*$F$1009*EXP(-$F$1009*($A427-$A$7:$A422)))*$F$1010</f>
        <v>32308648.132326372</v>
      </c>
      <c r="E427" s="67">
        <f t="shared" si="43"/>
        <v>61.593585454856068</v>
      </c>
      <c r="F427" s="70">
        <f t="shared" si="47"/>
        <v>3.7399625088188602</v>
      </c>
      <c r="G427" s="67">
        <f>E427/'Lookup Tables'!$C$48</f>
        <v>123.18717090971214</v>
      </c>
      <c r="H427" s="70">
        <f t="shared" si="44"/>
        <v>1.5604935064177631E-2</v>
      </c>
      <c r="I427" s="71">
        <f t="shared" si="48"/>
        <v>0.17738952610998548</v>
      </c>
      <c r="L427" s="74"/>
      <c r="M427" s="74"/>
      <c r="N427" s="74"/>
      <c r="O427" s="74"/>
      <c r="P427" s="74"/>
      <c r="Q427" s="74"/>
      <c r="R427" s="74"/>
      <c r="S427" s="74"/>
      <c r="T427" s="74"/>
      <c r="U427" s="74"/>
      <c r="V427" s="74"/>
      <c r="W427" s="74"/>
      <c r="X427" s="74"/>
      <c r="Y427" s="74"/>
    </row>
    <row r="428" spans="1:25" x14ac:dyDescent="0.3">
      <c r="A428" s="66">
        <f t="shared" si="46"/>
        <v>2032.0999999999617</v>
      </c>
      <c r="B428" s="67">
        <f>LOOKUP(A428+0.01,AmountsB!$A$4:$A$103,AmountsB!$B$4:$B$103)*0.1*$A$2</f>
        <v>0</v>
      </c>
      <c r="C428" s="68">
        <f t="shared" si="45"/>
        <v>2074573.74105891</v>
      </c>
      <c r="D428" s="67">
        <f t="array" ref="D428">SUM($B$7:$B423*$F$1009*EXP(-$F$1009*($A428-$A$7:$A423)))*$F$1010</f>
        <v>31859478.581740331</v>
      </c>
      <c r="E428" s="67">
        <f t="shared" si="43"/>
        <v>60.737283359379056</v>
      </c>
      <c r="F428" s="70">
        <f t="shared" si="47"/>
        <v>3.6879678455814959</v>
      </c>
      <c r="G428" s="67">
        <f>E428/'Lookup Tables'!$C$48</f>
        <v>121.47456671875811</v>
      </c>
      <c r="H428" s="70">
        <f t="shared" si="44"/>
        <v>1.5387988145167177E-2</v>
      </c>
      <c r="I428" s="71">
        <f t="shared" si="48"/>
        <v>0.17492337607501168</v>
      </c>
      <c r="L428" s="74"/>
      <c r="M428" s="74"/>
      <c r="N428" s="74"/>
      <c r="O428" s="74"/>
      <c r="P428" s="74"/>
      <c r="Q428" s="74"/>
      <c r="R428" s="74"/>
      <c r="S428" s="74"/>
      <c r="T428" s="74"/>
      <c r="U428" s="74"/>
      <c r="V428" s="74"/>
      <c r="W428" s="74"/>
      <c r="X428" s="74"/>
      <c r="Y428" s="74"/>
    </row>
    <row r="429" spans="1:25" x14ac:dyDescent="0.3">
      <c r="A429" s="66">
        <f t="shared" si="46"/>
        <v>2032.1999999999616</v>
      </c>
      <c r="B429" s="67">
        <f>LOOKUP(A429+0.01,AmountsB!$A$4:$A$103,AmountsB!$B$4:$B$103)*0.1*$A$2</f>
        <v>0</v>
      </c>
      <c r="C429" s="68">
        <f t="shared" si="45"/>
        <v>2074573.74105891</v>
      </c>
      <c r="D429" s="67">
        <f t="array" ref="D429">SUM($B$7:$B424*$F$1009*EXP(-$F$1009*($A429-$A$7:$A424)))*$F$1010</f>
        <v>31416553.590949792</v>
      </c>
      <c r="E429" s="67">
        <f t="shared" si="43"/>
        <v>59.892885965882044</v>
      </c>
      <c r="F429" s="70">
        <f t="shared" si="47"/>
        <v>3.6366960358483582</v>
      </c>
      <c r="G429" s="67">
        <f>E429/'Lookup Tables'!$C$48</f>
        <v>119.78577193176409</v>
      </c>
      <c r="H429" s="70">
        <f t="shared" si="44"/>
        <v>1.5174057321095582E-2</v>
      </c>
      <c r="I429" s="71">
        <f t="shared" si="48"/>
        <v>0.17249151158174028</v>
      </c>
      <c r="L429" s="74"/>
      <c r="M429" s="74"/>
      <c r="N429" s="74"/>
      <c r="O429" s="74"/>
      <c r="P429" s="74"/>
      <c r="Q429" s="74"/>
      <c r="R429" s="74"/>
      <c r="S429" s="74"/>
      <c r="T429" s="74"/>
      <c r="U429" s="74"/>
      <c r="V429" s="74"/>
      <c r="W429" s="74"/>
      <c r="X429" s="74"/>
      <c r="Y429" s="74"/>
    </row>
    <row r="430" spans="1:25" x14ac:dyDescent="0.3">
      <c r="A430" s="66">
        <f t="shared" si="46"/>
        <v>2032.2999999999615</v>
      </c>
      <c r="B430" s="67">
        <f>LOOKUP(A430+0.01,AmountsB!$A$4:$A$103,AmountsB!$B$4:$B$103)*0.1*$A$2</f>
        <v>0</v>
      </c>
      <c r="C430" s="68">
        <f t="shared" si="45"/>
        <v>2074573.74105891</v>
      </c>
      <c r="D430" s="67">
        <f t="array" ref="D430">SUM($B$7:$B425*$F$1009*EXP(-$F$1009*($A430-$A$7:$A425)))*$F$1010</f>
        <v>30979786.345238585</v>
      </c>
      <c r="E430" s="67">
        <f t="shared" si="43"/>
        <v>59.060227769772666</v>
      </c>
      <c r="F430" s="70">
        <f t="shared" si="47"/>
        <v>3.5861370301805966</v>
      </c>
      <c r="G430" s="67">
        <f>E430/'Lookup Tables'!$C$48</f>
        <v>118.12045553954533</v>
      </c>
      <c r="H430" s="70">
        <f t="shared" si="44"/>
        <v>1.4963100660836445E-2</v>
      </c>
      <c r="I430" s="71">
        <f t="shared" si="48"/>
        <v>0.17009345597694528</v>
      </c>
      <c r="L430" s="74"/>
      <c r="M430" s="74"/>
      <c r="N430" s="74"/>
      <c r="O430" s="74"/>
      <c r="P430" s="74"/>
      <c r="Q430" s="74"/>
      <c r="R430" s="74"/>
      <c r="S430" s="74"/>
      <c r="T430" s="74"/>
      <c r="U430" s="74"/>
      <c r="V430" s="74"/>
      <c r="W430" s="74"/>
      <c r="X430" s="74"/>
      <c r="Y430" s="74"/>
    </row>
    <row r="431" spans="1:25" x14ac:dyDescent="0.3">
      <c r="A431" s="66">
        <f t="shared" si="46"/>
        <v>2032.3999999999614</v>
      </c>
      <c r="B431" s="67">
        <f>LOOKUP(A431+0.01,AmountsB!$A$4:$A$103,AmountsB!$B$4:$B$103)*0.1*$A$2</f>
        <v>0</v>
      </c>
      <c r="C431" s="68">
        <f t="shared" si="45"/>
        <v>2074573.74105891</v>
      </c>
      <c r="D431" s="67">
        <f t="array" ref="D431">SUM($B$7:$B426*$F$1009*EXP(-$F$1009*($A431-$A$7:$A426)))*$F$1010</f>
        <v>30549091.236828297</v>
      </c>
      <c r="E431" s="67">
        <f t="shared" si="43"/>
        <v>58.239145567378849</v>
      </c>
      <c r="F431" s="70">
        <f t="shared" si="47"/>
        <v>3.5362809188512436</v>
      </c>
      <c r="G431" s="67">
        <f>E431/'Lookup Tables'!$C$48</f>
        <v>116.4782911347577</v>
      </c>
      <c r="H431" s="70">
        <f t="shared" si="44"/>
        <v>1.4755076816209012E-2</v>
      </c>
      <c r="I431" s="71">
        <f t="shared" si="48"/>
        <v>0.16772873923405107</v>
      </c>
      <c r="L431" s="74"/>
      <c r="M431" s="74"/>
      <c r="N431" s="74"/>
      <c r="O431" s="74"/>
      <c r="P431" s="74"/>
      <c r="Q431" s="74"/>
      <c r="R431" s="74"/>
      <c r="S431" s="74"/>
      <c r="T431" s="74"/>
      <c r="U431" s="74"/>
      <c r="V431" s="74"/>
      <c r="W431" s="74"/>
      <c r="X431" s="74"/>
      <c r="Y431" s="74"/>
    </row>
    <row r="432" spans="1:25" x14ac:dyDescent="0.3">
      <c r="A432" s="66">
        <f t="shared" si="46"/>
        <v>2032.4999999999613</v>
      </c>
      <c r="B432" s="67">
        <f>LOOKUP(A432+0.01,AmountsB!$A$4:$A$103,AmountsB!$B$4:$B$103)*0.1*$A$2</f>
        <v>0</v>
      </c>
      <c r="C432" s="68">
        <f t="shared" si="45"/>
        <v>2074573.74105891</v>
      </c>
      <c r="D432" s="67">
        <f t="array" ref="D432">SUM($B$7:$B427*$F$1009*EXP(-$F$1009*($A432-$A$7:$A427)))*$F$1010</f>
        <v>30124383.848098878</v>
      </c>
      <c r="E432" s="67">
        <f t="shared" si="43"/>
        <v>57.429478423960347</v>
      </c>
      <c r="F432" s="70">
        <f t="shared" si="47"/>
        <v>3.4871179299028725</v>
      </c>
      <c r="G432" s="67">
        <f>E432/'Lookup Tables'!$C$48</f>
        <v>114.85895684792069</v>
      </c>
      <c r="H432" s="70">
        <f t="shared" si="44"/>
        <v>1.4549945013873777E-2</v>
      </c>
      <c r="I432" s="71">
        <f t="shared" si="48"/>
        <v>0.16539689786100581</v>
      </c>
      <c r="L432" s="74"/>
      <c r="M432" s="74"/>
      <c r="N432" s="74"/>
      <c r="O432" s="74"/>
      <c r="P432" s="74"/>
      <c r="Q432" s="74"/>
      <c r="R432" s="74"/>
      <c r="S432" s="74"/>
      <c r="T432" s="74"/>
      <c r="U432" s="74"/>
      <c r="V432" s="74"/>
      <c r="W432" s="74"/>
      <c r="X432" s="74"/>
      <c r="Y432" s="74"/>
    </row>
    <row r="433" spans="1:25" x14ac:dyDescent="0.3">
      <c r="A433" s="66">
        <f t="shared" si="46"/>
        <v>2032.5999999999613</v>
      </c>
      <c r="B433" s="67">
        <f>LOOKUP(A433+0.01,AmountsB!$A$4:$A$103,AmountsB!$B$4:$B$103)*0.1*$A$2</f>
        <v>0</v>
      </c>
      <c r="C433" s="68">
        <f t="shared" si="45"/>
        <v>2074573.74105891</v>
      </c>
      <c r="D433" s="67">
        <f t="array" ref="D433">SUM($B$7:$B428*$F$1009*EXP(-$F$1009*($A433-$A$7:$A428)))*$F$1010</f>
        <v>29705580.935042504</v>
      </c>
      <c r="E433" s="67">
        <f t="shared" si="43"/>
        <v>56.631067642165029</v>
      </c>
      <c r="F433" s="70">
        <f t="shared" si="47"/>
        <v>3.4386384272322603</v>
      </c>
      <c r="G433" s="67">
        <f>E433/'Lookup Tables'!$C$48</f>
        <v>113.26213528433006</v>
      </c>
      <c r="H433" s="70">
        <f t="shared" si="44"/>
        <v>1.4347665047340785E-2</v>
      </c>
      <c r="I433" s="71">
        <f t="shared" si="48"/>
        <v>0.16309747480943529</v>
      </c>
      <c r="L433" s="74"/>
      <c r="M433" s="74"/>
      <c r="N433" s="74"/>
      <c r="O433" s="74"/>
      <c r="P433" s="74"/>
      <c r="Q433" s="74"/>
      <c r="R433" s="74"/>
      <c r="S433" s="74"/>
      <c r="T433" s="74"/>
      <c r="U433" s="74"/>
      <c r="V433" s="74"/>
      <c r="W433" s="74"/>
      <c r="X433" s="74"/>
      <c r="Y433" s="74"/>
    </row>
    <row r="434" spans="1:25" x14ac:dyDescent="0.3">
      <c r="A434" s="66">
        <f t="shared" si="46"/>
        <v>2032.6999999999612</v>
      </c>
      <c r="B434" s="67">
        <f>LOOKUP(A434+0.01,AmountsB!$A$4:$A$103,AmountsB!$B$4:$B$103)*0.1*$A$2</f>
        <v>0</v>
      </c>
      <c r="C434" s="68">
        <f t="shared" si="45"/>
        <v>2074573.74105891</v>
      </c>
      <c r="D434" s="67">
        <f t="array" ref="D434">SUM($B$7:$B429*$F$1009*EXP(-$F$1009*($A434-$A$7:$A429)))*$F$1010</f>
        <v>29292600.410947476</v>
      </c>
      <c r="E434" s="67">
        <f t="shared" si="43"/>
        <v>55.843756730923673</v>
      </c>
      <c r="F434" s="70">
        <f t="shared" si="47"/>
        <v>3.3908329087016851</v>
      </c>
      <c r="G434" s="67">
        <f>E434/'Lookup Tables'!$C$48</f>
        <v>111.68751346184735</v>
      </c>
      <c r="H434" s="70">
        <f t="shared" si="44"/>
        <v>1.4148197269089028E-2</v>
      </c>
      <c r="I434" s="71">
        <f t="shared" si="48"/>
        <v>0.16083001938506017</v>
      </c>
      <c r="L434" s="74"/>
      <c r="M434" s="74"/>
      <c r="N434" s="74"/>
      <c r="O434" s="74"/>
      <c r="P434" s="74"/>
      <c r="Q434" s="74"/>
      <c r="R434" s="74"/>
      <c r="S434" s="74"/>
      <c r="T434" s="74"/>
      <c r="U434" s="74"/>
      <c r="V434" s="74"/>
      <c r="W434" s="74"/>
      <c r="X434" s="74"/>
      <c r="Y434" s="74"/>
    </row>
    <row r="435" spans="1:25" x14ac:dyDescent="0.3">
      <c r="A435" s="66">
        <f t="shared" si="46"/>
        <v>2032.7999999999611</v>
      </c>
      <c r="B435" s="67">
        <f>LOOKUP(A435+0.01,AmountsB!$A$4:$A$103,AmountsB!$B$4:$B$103)*0.1*$A$2</f>
        <v>0</v>
      </c>
      <c r="C435" s="68">
        <f t="shared" si="45"/>
        <v>2074573.74105891</v>
      </c>
      <c r="D435" s="67">
        <f t="array" ref="D435">SUM($B$7:$B430*$F$1009*EXP(-$F$1009*($A435-$A$7:$A430)))*$F$1010</f>
        <v>28885361.330308974</v>
      </c>
      <c r="E435" s="67">
        <f t="shared" si="43"/>
        <v>55.067391374777195</v>
      </c>
      <c r="F435" s="70">
        <f t="shared" si="47"/>
        <v>3.3436920042764711</v>
      </c>
      <c r="G435" s="67">
        <f>E435/'Lookup Tables'!$C$48</f>
        <v>110.13478274955439</v>
      </c>
      <c r="H435" s="70">
        <f t="shared" si="44"/>
        <v>1.3951502582795396E-2</v>
      </c>
      <c r="I435" s="71">
        <f t="shared" si="48"/>
        <v>0.15859408715935833</v>
      </c>
      <c r="L435" s="74"/>
      <c r="M435" s="74"/>
      <c r="N435" s="74"/>
      <c r="O435" s="74"/>
      <c r="P435" s="74"/>
      <c r="Q435" s="74"/>
      <c r="R435" s="74"/>
      <c r="S435" s="74"/>
      <c r="T435" s="74"/>
      <c r="U435" s="74"/>
      <c r="V435" s="74"/>
      <c r="W435" s="74"/>
      <c r="X435" s="74"/>
      <c r="Y435" s="74"/>
    </row>
    <row r="436" spans="1:25" x14ac:dyDescent="0.3">
      <c r="A436" s="66">
        <f t="shared" si="46"/>
        <v>2032.899999999961</v>
      </c>
      <c r="B436" s="67">
        <f>LOOKUP(A436+0.01,AmountsB!$A$4:$A$103,AmountsB!$B$4:$B$103)*0.1*$A$2</f>
        <v>0</v>
      </c>
      <c r="C436" s="68">
        <f t="shared" si="45"/>
        <v>2074573.74105891</v>
      </c>
      <c r="D436" s="67">
        <f t="array" ref="D436">SUM($B$7:$B431*$F$1009*EXP(-$F$1009*($A436-$A$7:$A431)))*$F$1010</f>
        <v>28483783.872963473</v>
      </c>
      <c r="E436" s="67">
        <f t="shared" si="43"/>
        <v>54.301819403630383</v>
      </c>
      <c r="F436" s="70">
        <f t="shared" si="47"/>
        <v>3.2972064741884366</v>
      </c>
      <c r="G436" s="67">
        <f>E436/'Lookup Tables'!$C$48</f>
        <v>108.60363880726077</v>
      </c>
      <c r="H436" s="70">
        <f t="shared" si="44"/>
        <v>1.3757542435671691E-2</v>
      </c>
      <c r="I436" s="71">
        <f t="shared" si="48"/>
        <v>0.15638923988245551</v>
      </c>
      <c r="L436" s="74"/>
      <c r="M436" s="74"/>
      <c r="N436" s="74"/>
      <c r="O436" s="74"/>
      <c r="P436" s="74"/>
      <c r="Q436" s="74"/>
      <c r="R436" s="74"/>
      <c r="S436" s="74"/>
      <c r="T436" s="74"/>
      <c r="U436" s="74"/>
      <c r="V436" s="74"/>
      <c r="W436" s="74"/>
      <c r="X436" s="74"/>
      <c r="Y436" s="74"/>
    </row>
    <row r="437" spans="1:25" x14ac:dyDescent="0.3">
      <c r="A437" s="66">
        <f t="shared" si="46"/>
        <v>2032.9999999999609</v>
      </c>
      <c r="B437" s="67">
        <f>LOOKUP(A437+0.01,AmountsB!$A$4:$A$103,AmountsB!$B$4:$B$103)*0.1*$A$2</f>
        <v>0</v>
      </c>
      <c r="C437" s="68">
        <f t="shared" si="45"/>
        <v>2074573.74105891</v>
      </c>
      <c r="D437" s="67">
        <f t="array" ref="D437">SUM($B$7:$B432*$F$1009*EXP(-$F$1009*($A437-$A$7:$A432)))*$F$1010</f>
        <v>28087789.328443754</v>
      </c>
      <c r="E437" s="67">
        <f t="shared" si="43"/>
        <v>53.546890762926047</v>
      </c>
      <c r="F437" s="70">
        <f t="shared" si="47"/>
        <v>3.2513672071248694</v>
      </c>
      <c r="G437" s="67">
        <f>E437/'Lookup Tables'!$C$48</f>
        <v>107.09378152585209</v>
      </c>
      <c r="H437" s="70">
        <f t="shared" si="44"/>
        <v>1.3566278810908144E-2</v>
      </c>
      <c r="I437" s="71">
        <f t="shared" si="48"/>
        <v>0.15421504539722702</v>
      </c>
      <c r="L437" s="74"/>
      <c r="M437" s="74"/>
      <c r="N437" s="74"/>
      <c r="O437" s="74"/>
      <c r="P437" s="74"/>
      <c r="Q437" s="74"/>
      <c r="R437" s="74"/>
      <c r="S437" s="74"/>
      <c r="T437" s="74"/>
      <c r="U437" s="74"/>
      <c r="V437" s="74"/>
      <c r="W437" s="74"/>
      <c r="X437" s="74"/>
      <c r="Y437" s="74"/>
    </row>
    <row r="438" spans="1:25" x14ac:dyDescent="0.3">
      <c r="A438" s="66">
        <f t="shared" si="46"/>
        <v>2033.0999999999608</v>
      </c>
      <c r="B438" s="67">
        <f>LOOKUP(A438+0.01,AmountsB!$A$4:$A$103,AmountsB!$B$4:$B$103)*0.1*$A$2</f>
        <v>0</v>
      </c>
      <c r="C438" s="68">
        <f t="shared" si="45"/>
        <v>2074573.74105891</v>
      </c>
      <c r="D438" s="67">
        <f t="array" ref="D438">SUM($B$7:$B433*$F$1009*EXP(-$F$1009*($A438-$A$7:$A433)))*$F$1010</f>
        <v>27697300.080551356</v>
      </c>
      <c r="E438" s="67">
        <f t="shared" si="43"/>
        <v>52.802457484233763</v>
      </c>
      <c r="F438" s="70">
        <f t="shared" si="47"/>
        <v>3.2061652184426741</v>
      </c>
      <c r="G438" s="67">
        <f>E438/'Lookup Tables'!$C$48</f>
        <v>105.60491496846753</v>
      </c>
      <c r="H438" s="70">
        <f t="shared" si="44"/>
        <v>1.3377674220221987E-2</v>
      </c>
      <c r="I438" s="71">
        <f t="shared" si="48"/>
        <v>0.15207107755459323</v>
      </c>
      <c r="L438" s="74"/>
      <c r="M438" s="74"/>
      <c r="N438" s="74"/>
      <c r="O438" s="74"/>
      <c r="P438" s="74"/>
      <c r="Q438" s="74"/>
      <c r="R438" s="74"/>
      <c r="S438" s="74"/>
      <c r="T438" s="74"/>
      <c r="U438" s="74"/>
      <c r="V438" s="74"/>
      <c r="W438" s="74"/>
      <c r="X438" s="74"/>
      <c r="Y438" s="74"/>
    </row>
    <row r="439" spans="1:25" x14ac:dyDescent="0.3">
      <c r="A439" s="66">
        <f t="shared" si="46"/>
        <v>2033.1999999999607</v>
      </c>
      <c r="B439" s="67">
        <f>LOOKUP(A439+0.01,AmountsB!$A$4:$A$103,AmountsB!$B$4:$B$103)*0.1*$A$2</f>
        <v>0</v>
      </c>
      <c r="C439" s="68">
        <f t="shared" si="45"/>
        <v>2074573.74105891</v>
      </c>
      <c r="D439" s="67">
        <f t="array" ref="D439">SUM($B$7:$B434*$F$1009*EXP(-$F$1009*($A439-$A$7:$A434)))*$F$1010</f>
        <v>27312239.59214361</v>
      </c>
      <c r="E439" s="67">
        <f t="shared" si="43"/>
        <v>52.068373656247751</v>
      </c>
      <c r="F439" s="70">
        <f t="shared" si="47"/>
        <v>3.1615916484073634</v>
      </c>
      <c r="G439" s="67">
        <f>E439/'Lookup Tables'!$C$48</f>
        <v>104.1367473124955</v>
      </c>
      <c r="H439" s="70">
        <f t="shared" si="44"/>
        <v>1.3191691696509664E-2</v>
      </c>
      <c r="I439" s="71">
        <f t="shared" si="48"/>
        <v>0.14995691612999351</v>
      </c>
      <c r="L439" s="74"/>
      <c r="M439" s="74"/>
      <c r="N439" s="74"/>
      <c r="O439" s="74"/>
      <c r="P439" s="74"/>
      <c r="Q439" s="74"/>
      <c r="R439" s="74"/>
      <c r="S439" s="74"/>
      <c r="T439" s="74"/>
      <c r="U439" s="74"/>
      <c r="V439" s="74"/>
      <c r="W439" s="74"/>
      <c r="X439" s="74"/>
      <c r="Y439" s="74"/>
    </row>
    <row r="440" spans="1:25" x14ac:dyDescent="0.3">
      <c r="A440" s="66">
        <f t="shared" si="46"/>
        <v>2033.2999999999606</v>
      </c>
      <c r="B440" s="67">
        <f>LOOKUP(A440+0.01,AmountsB!$A$4:$A$103,AmountsB!$B$4:$B$103)*0.1*$A$2</f>
        <v>0</v>
      </c>
      <c r="C440" s="68">
        <f t="shared" si="45"/>
        <v>2074573.74105891</v>
      </c>
      <c r="D440" s="67">
        <f t="array" ref="D440">SUM($B$7:$B435*$F$1009*EXP(-$F$1009*($A440-$A$7:$A435)))*$F$1010</f>
        <v>26932532.390132066</v>
      </c>
      <c r="E440" s="67">
        <f t="shared" si="43"/>
        <v>51.344495396187654</v>
      </c>
      <c r="F440" s="70">
        <f t="shared" si="47"/>
        <v>3.1176377604565144</v>
      </c>
      <c r="G440" s="67">
        <f>E440/'Lookup Tables'!$C$48</f>
        <v>102.68899079237531</v>
      </c>
      <c r="H440" s="70">
        <f t="shared" si="44"/>
        <v>1.3008294786601133E-2</v>
      </c>
      <c r="I440" s="71">
        <f t="shared" si="48"/>
        <v>0.14787214674102042</v>
      </c>
      <c r="L440" s="74"/>
      <c r="M440" s="74"/>
      <c r="N440" s="74"/>
      <c r="O440" s="74"/>
      <c r="P440" s="74"/>
      <c r="Q440" s="74"/>
      <c r="R440" s="74"/>
      <c r="S440" s="74"/>
      <c r="T440" s="74"/>
      <c r="U440" s="74"/>
      <c r="V440" s="74"/>
      <c r="W440" s="74"/>
      <c r="X440" s="74"/>
      <c r="Y440" s="74"/>
    </row>
    <row r="441" spans="1:25" x14ac:dyDescent="0.3">
      <c r="A441" s="66">
        <f t="shared" si="46"/>
        <v>2033.3999999999605</v>
      </c>
      <c r="B441" s="67">
        <f>LOOKUP(A441+0.01,AmountsB!$A$4:$A$103,AmountsB!$B$4:$B$103)*0.1*$A$2</f>
        <v>0</v>
      </c>
      <c r="C441" s="68">
        <f t="shared" si="45"/>
        <v>2074573.74105891</v>
      </c>
      <c r="D441" s="67">
        <f t="array" ref="D441">SUM($B$7:$B436*$F$1009*EXP(-$F$1009*($A441-$A$7:$A436)))*$F$1010</f>
        <v>26558104.050689552</v>
      </c>
      <c r="E441" s="67">
        <f t="shared" si="43"/>
        <v>50.630680821597103</v>
      </c>
      <c r="F441" s="70">
        <f t="shared" si="47"/>
        <v>3.074294939487376</v>
      </c>
      <c r="G441" s="67">
        <f>E441/'Lookup Tables'!$C$48</f>
        <v>101.26136164319421</v>
      </c>
      <c r="H441" s="70">
        <f t="shared" si="44"/>
        <v>1.2827447544114929E-2</v>
      </c>
      <c r="I441" s="71">
        <f t="shared" si="48"/>
        <v>0.14581636076619964</v>
      </c>
      <c r="L441" s="74"/>
      <c r="M441" s="74"/>
      <c r="N441" s="74"/>
      <c r="O441" s="74"/>
      <c r="P441" s="74"/>
      <c r="Q441" s="74"/>
      <c r="R441" s="74"/>
      <c r="S441" s="74"/>
      <c r="T441" s="74"/>
      <c r="U441" s="74"/>
      <c r="V441" s="74"/>
      <c r="W441" s="74"/>
      <c r="X441" s="74"/>
      <c r="Y441" s="74"/>
    </row>
    <row r="442" spans="1:25" x14ac:dyDescent="0.3">
      <c r="A442" s="66">
        <f t="shared" si="46"/>
        <v>2033.4999999999604</v>
      </c>
      <c r="B442" s="67">
        <f>LOOKUP(A442+0.01,AmountsB!$A$4:$A$103,AmountsB!$B$4:$B$103)*0.1*$A$2</f>
        <v>0</v>
      </c>
      <c r="C442" s="68">
        <f t="shared" si="45"/>
        <v>2074573.74105891</v>
      </c>
      <c r="D442" s="67">
        <f t="array" ref="D442">SUM($B$7:$B437*$F$1009*EXP(-$F$1009*($A442-$A$7:$A437)))*$F$1010</f>
        <v>26188881.184662867</v>
      </c>
      <c r="E442" s="67">
        <f t="shared" si="43"/>
        <v>49.926790022534327</v>
      </c>
      <c r="F442" s="70">
        <f t="shared" si="47"/>
        <v>3.0315546901682842</v>
      </c>
      <c r="G442" s="67">
        <f>E442/'Lookup Tables'!$C$48</f>
        <v>99.853580045068654</v>
      </c>
      <c r="H442" s="70">
        <f t="shared" si="44"/>
        <v>1.2649114522412575E-2</v>
      </c>
      <c r="I442" s="71">
        <f t="shared" si="48"/>
        <v>0.14378915526489888</v>
      </c>
      <c r="L442" s="74"/>
      <c r="M442" s="74"/>
      <c r="N442" s="74"/>
      <c r="O442" s="74"/>
      <c r="P442" s="74"/>
      <c r="Q442" s="74"/>
      <c r="R442" s="74"/>
      <c r="S442" s="74"/>
      <c r="T442" s="74"/>
      <c r="U442" s="74"/>
      <c r="V442" s="74"/>
      <c r="W442" s="74"/>
      <c r="X442" s="74"/>
      <c r="Y442" s="74"/>
    </row>
    <row r="443" spans="1:25" x14ac:dyDescent="0.3">
      <c r="A443" s="66">
        <f t="shared" si="46"/>
        <v>2033.5999999999603</v>
      </c>
      <c r="B443" s="67">
        <f>LOOKUP(A443+0.01,AmountsB!$A$4:$A$103,AmountsB!$B$4:$B$103)*0.1*$A$2</f>
        <v>0</v>
      </c>
      <c r="C443" s="68">
        <f t="shared" si="45"/>
        <v>2074573.74105891</v>
      </c>
      <c r="D443" s="67">
        <f t="array" ref="D443">SUM($B$7:$B438*$F$1009*EXP(-$F$1009*($A443-$A$7:$A438)))*$F$1010</f>
        <v>25824791.423188254</v>
      </c>
      <c r="E443" s="67">
        <f t="shared" si="43"/>
        <v>49.232685034149291</v>
      </c>
      <c r="F443" s="70">
        <f t="shared" si="47"/>
        <v>2.9894086352735449</v>
      </c>
      <c r="G443" s="67">
        <f>E443/'Lookup Tables'!$C$48</f>
        <v>98.465370068298583</v>
      </c>
      <c r="H443" s="70">
        <f t="shared" si="44"/>
        <v>1.2473260767650903E-2</v>
      </c>
      <c r="I443" s="71">
        <f t="shared" si="48"/>
        <v>0.14179013289834996</v>
      </c>
      <c r="L443" s="74"/>
      <c r="M443" s="74"/>
      <c r="N443" s="74"/>
      <c r="O443" s="74"/>
      <c r="P443" s="74"/>
      <c r="Q443" s="74"/>
      <c r="R443" s="74"/>
      <c r="S443" s="74"/>
      <c r="T443" s="74"/>
      <c r="U443" s="74"/>
      <c r="V443" s="74"/>
      <c r="W443" s="74"/>
      <c r="X443" s="74"/>
      <c r="Y443" s="74"/>
    </row>
    <row r="444" spans="1:25" x14ac:dyDescent="0.3">
      <c r="A444" s="66">
        <f t="shared" si="46"/>
        <v>2033.6999999999603</v>
      </c>
      <c r="B444" s="67">
        <f>LOOKUP(A444+0.01,AmountsB!$A$4:$A$103,AmountsB!$B$4:$B$103)*0.1*$A$2</f>
        <v>0</v>
      </c>
      <c r="C444" s="68">
        <f t="shared" si="45"/>
        <v>2074573.74105891</v>
      </c>
      <c r="D444" s="67">
        <f t="array" ref="D444">SUM($B$7:$B439*$F$1009*EXP(-$F$1009*($A444-$A$7:$A439)))*$F$1010</f>
        <v>25465763.403506886</v>
      </c>
      <c r="E444" s="67">
        <f t="shared" si="43"/>
        <v>48.548229809642194</v>
      </c>
      <c r="F444" s="70">
        <f t="shared" si="47"/>
        <v>2.9478485140414743</v>
      </c>
      <c r="G444" s="67">
        <f>E444/'Lookup Tables'!$C$48</f>
        <v>97.096459619284389</v>
      </c>
      <c r="H444" s="70">
        <f t="shared" si="44"/>
        <v>1.2299851811931016E-2</v>
      </c>
      <c r="I444" s="71">
        <f t="shared" si="48"/>
        <v>0.13981890185176954</v>
      </c>
      <c r="L444" s="74"/>
      <c r="M444" s="74"/>
      <c r="N444" s="74"/>
      <c r="O444" s="74"/>
      <c r="P444" s="74"/>
      <c r="Q444" s="74"/>
      <c r="R444" s="74"/>
      <c r="S444" s="74"/>
      <c r="T444" s="74"/>
      <c r="U444" s="74"/>
      <c r="V444" s="74"/>
      <c r="W444" s="74"/>
      <c r="X444" s="74"/>
      <c r="Y444" s="74"/>
    </row>
    <row r="445" spans="1:25" x14ac:dyDescent="0.3">
      <c r="A445" s="66">
        <f t="shared" si="46"/>
        <v>2033.7999999999602</v>
      </c>
      <c r="B445" s="67">
        <f>LOOKUP(A445+0.01,AmountsB!$A$4:$A$103,AmountsB!$B$4:$B$103)*0.1*$A$2</f>
        <v>0</v>
      </c>
      <c r="C445" s="68">
        <f t="shared" si="45"/>
        <v>2074573.74105891</v>
      </c>
      <c r="D445" s="67">
        <f t="array" ref="D445">SUM($B$7:$B440*$F$1009*EXP(-$F$1009*($A445-$A$7:$A440)))*$F$1010</f>
        <v>25111726.754977521</v>
      </c>
      <c r="E445" s="67">
        <f t="shared" si="43"/>
        <v>47.873290193597846</v>
      </c>
      <c r="F445" s="70">
        <f t="shared" si="47"/>
        <v>2.9068661805552614</v>
      </c>
      <c r="G445" s="67">
        <f>E445/'Lookup Tables'!$C$48</f>
        <v>95.746580387195692</v>
      </c>
      <c r="H445" s="70">
        <f t="shared" si="44"/>
        <v>1.2128853666542438E-2</v>
      </c>
      <c r="I445" s="71">
        <f t="shared" si="48"/>
        <v>0.13787507575756178</v>
      </c>
      <c r="L445" s="74"/>
      <c r="M445" s="74"/>
      <c r="N445" s="74"/>
      <c r="O445" s="74"/>
      <c r="P445" s="74"/>
      <c r="Q445" s="74"/>
      <c r="R445" s="74"/>
      <c r="S445" s="74"/>
      <c r="T445" s="74"/>
      <c r="U445" s="74"/>
      <c r="V445" s="74"/>
      <c r="W445" s="74"/>
      <c r="X445" s="74"/>
      <c r="Y445" s="74"/>
    </row>
    <row r="446" spans="1:25" x14ac:dyDescent="0.3">
      <c r="A446" s="66">
        <f t="shared" si="46"/>
        <v>2033.8999999999601</v>
      </c>
      <c r="B446" s="67">
        <f>LOOKUP(A446+0.01,AmountsB!$A$4:$A$103,AmountsB!$B$4:$B$103)*0.1*$A$2</f>
        <v>0</v>
      </c>
      <c r="C446" s="68">
        <f t="shared" si="45"/>
        <v>2074573.74105891</v>
      </c>
      <c r="D446" s="67">
        <f t="array" ref="D446">SUM($B$7:$B441*$F$1009*EXP(-$F$1009*($A446-$A$7:$A441)))*$F$1010</f>
        <v>24762612.085283652</v>
      </c>
      <c r="E446" s="67">
        <f t="shared" si="43"/>
        <v>47.207733895690779</v>
      </c>
      <c r="F446" s="70">
        <f t="shared" si="47"/>
        <v>2.8664536021463438</v>
      </c>
      <c r="G446" s="67">
        <f>E446/'Lookup Tables'!$C$48</f>
        <v>94.415467791381559</v>
      </c>
      <c r="H446" s="70">
        <f t="shared" si="44"/>
        <v>1.196023281530126E-2</v>
      </c>
      <c r="I446" s="71">
        <f t="shared" si="48"/>
        <v>0.13595827361958945</v>
      </c>
      <c r="L446" s="74"/>
      <c r="M446" s="74"/>
      <c r="N446" s="74"/>
      <c r="O446" s="74"/>
      <c r="P446" s="74"/>
      <c r="Q446" s="74"/>
      <c r="R446" s="74"/>
      <c r="S446" s="74"/>
      <c r="T446" s="74"/>
      <c r="U446" s="74"/>
      <c r="V446" s="74"/>
      <c r="W446" s="74"/>
      <c r="X446" s="74"/>
      <c r="Y446" s="74"/>
    </row>
    <row r="447" spans="1:25" x14ac:dyDescent="0.3">
      <c r="A447" s="66">
        <f t="shared" si="46"/>
        <v>2033.99999999996</v>
      </c>
      <c r="B447" s="67">
        <f>LOOKUP(A447+0.01,AmountsB!$A$4:$A$103,AmountsB!$B$4:$B$103)*0.1*$A$2</f>
        <v>0</v>
      </c>
      <c r="C447" s="68">
        <f t="shared" si="45"/>
        <v>2074573.74105891</v>
      </c>
      <c r="D447" s="67">
        <f t="array" ref="D447">SUM($B$7:$B442*$F$1009*EXP(-$F$1009*($A447-$A$7:$A442)))*$F$1010</f>
        <v>24418350.966832377</v>
      </c>
      <c r="E447" s="67">
        <f t="shared" si="43"/>
        <v>46.551430464755917</v>
      </c>
      <c r="F447" s="70">
        <f t="shared" si="47"/>
        <v>2.8266028578199793</v>
      </c>
      <c r="G447" s="67">
        <f>E447/'Lookup Tables'!$C$48</f>
        <v>93.102860929511834</v>
      </c>
      <c r="H447" s="70">
        <f t="shared" si="44"/>
        <v>1.1793956207980813E-2</v>
      </c>
      <c r="I447" s="71">
        <f t="shared" si="48"/>
        <v>0.13406811973849705</v>
      </c>
      <c r="L447" s="74"/>
      <c r="M447" s="74"/>
      <c r="N447" s="74"/>
      <c r="O447" s="74"/>
      <c r="P447" s="74"/>
      <c r="Q447" s="74"/>
      <c r="R447" s="74"/>
      <c r="S447" s="74"/>
      <c r="T447" s="74"/>
      <c r="U447" s="74"/>
      <c r="V447" s="74"/>
      <c r="W447" s="74"/>
      <c r="X447" s="74"/>
      <c r="Y447" s="74"/>
    </row>
    <row r="448" spans="1:25" x14ac:dyDescent="0.3">
      <c r="A448" s="66">
        <f t="shared" si="46"/>
        <v>2034.0999999999599</v>
      </c>
      <c r="B448" s="67">
        <f>LOOKUP(A448+0.01,AmountsB!$A$4:$A$103,AmountsB!$B$4:$B$103)*0.1*$A$2</f>
        <v>0</v>
      </c>
      <c r="C448" s="68">
        <f t="shared" si="45"/>
        <v>2074573.74105891</v>
      </c>
      <c r="D448" s="67">
        <f t="array" ref="D448">SUM($B$7:$B443*$F$1009*EXP(-$F$1009*($A448-$A$7:$A443)))*$F$1010</f>
        <v>24078875.923342388</v>
      </c>
      <c r="E448" s="67">
        <f t="shared" si="43"/>
        <v>45.904251263219763</v>
      </c>
      <c r="F448" s="70">
        <f t="shared" si="47"/>
        <v>2.7873061367027043</v>
      </c>
      <c r="G448" s="67">
        <f>E448/'Lookup Tables'!$C$48</f>
        <v>91.808502526439526</v>
      </c>
      <c r="H448" s="70">
        <f t="shared" si="44"/>
        <v>1.1629991253833761E-2</v>
      </c>
      <c r="I448" s="71">
        <f t="shared" si="48"/>
        <v>0.13220424363807293</v>
      </c>
      <c r="L448" s="74"/>
      <c r="M448" s="74"/>
      <c r="N448" s="74"/>
      <c r="O448" s="74"/>
      <c r="P448" s="74"/>
      <c r="Q448" s="74"/>
      <c r="R448" s="74"/>
      <c r="S448" s="74"/>
      <c r="T448" s="74"/>
      <c r="U448" s="74"/>
      <c r="V448" s="74"/>
      <c r="W448" s="74"/>
      <c r="X448" s="74"/>
      <c r="Y448" s="74"/>
    </row>
    <row r="449" spans="1:25" x14ac:dyDescent="0.3">
      <c r="A449" s="66">
        <f t="shared" si="46"/>
        <v>2034.1999999999598</v>
      </c>
      <c r="B449" s="67">
        <f>LOOKUP(A449+0.01,AmountsB!$A$4:$A$103,AmountsB!$B$4:$B$103)*0.1*$A$2</f>
        <v>0</v>
      </c>
      <c r="C449" s="68">
        <f t="shared" si="45"/>
        <v>2074573.74105891</v>
      </c>
      <c r="D449" s="67">
        <f t="array" ref="D449">SUM($B$7:$B444*$F$1009*EXP(-$F$1009*($A449-$A$7:$A444)))*$F$1010</f>
        <v>23744120.416618381</v>
      </c>
      <c r="E449" s="67">
        <f t="shared" si="43"/>
        <v>45.266069441886962</v>
      </c>
      <c r="F449" s="70">
        <f t="shared" si="47"/>
        <v>2.7485557365113764</v>
      </c>
      <c r="G449" s="67">
        <f>E449/'Lookup Tables'!$C$48</f>
        <v>90.532138883773925</v>
      </c>
      <c r="H449" s="70">
        <f t="shared" si="44"/>
        <v>1.1468305815204178E-2</v>
      </c>
      <c r="I449" s="71">
        <f t="shared" si="48"/>
        <v>0.13036627999263445</v>
      </c>
      <c r="L449" s="74"/>
      <c r="M449" s="74"/>
      <c r="N449" s="74"/>
      <c r="O449" s="74"/>
      <c r="P449" s="74"/>
      <c r="Q449" s="74"/>
      <c r="R449" s="74"/>
      <c r="S449" s="74"/>
      <c r="T449" s="74"/>
      <c r="U449" s="74"/>
      <c r="V449" s="74"/>
      <c r="W449" s="74"/>
      <c r="X449" s="74"/>
      <c r="Y449" s="74"/>
    </row>
    <row r="450" spans="1:25" x14ac:dyDescent="0.3">
      <c r="A450" s="66">
        <f t="shared" si="46"/>
        <v>2034.2999999999597</v>
      </c>
      <c r="B450" s="67">
        <f>LOOKUP(A450+0.01,AmountsB!$A$4:$A$103,AmountsB!$B$4:$B$103)*0.1*$A$2</f>
        <v>0</v>
      </c>
      <c r="C450" s="68">
        <f t="shared" si="45"/>
        <v>2074573.74105891</v>
      </c>
      <c r="D450" s="67">
        <f t="array" ref="D450">SUM($B$7:$B445*$F$1009*EXP(-$F$1009*($A450-$A$7:$A445)))*$F$1010</f>
        <v>23414018.833509367</v>
      </c>
      <c r="E450" s="67">
        <f t="shared" si="43"/>
        <v>44.636759915077477</v>
      </c>
      <c r="F450" s="70">
        <f t="shared" si="47"/>
        <v>2.7103440620435042</v>
      </c>
      <c r="G450" s="67">
        <f>E450/'Lookup Tables'!$C$48</f>
        <v>89.273519830154953</v>
      </c>
      <c r="H450" s="70">
        <f t="shared" si="44"/>
        <v>1.1308868201228483E-2</v>
      </c>
      <c r="I450" s="71">
        <f t="shared" si="48"/>
        <v>0.12855386855542314</v>
      </c>
      <c r="L450" s="74"/>
      <c r="M450" s="74"/>
      <c r="N450" s="74"/>
      <c r="O450" s="74"/>
      <c r="P450" s="74"/>
      <c r="Q450" s="74"/>
      <c r="R450" s="74"/>
      <c r="S450" s="74"/>
      <c r="T450" s="74"/>
      <c r="U450" s="74"/>
      <c r="V450" s="74"/>
      <c r="W450" s="74"/>
      <c r="X450" s="74"/>
      <c r="Y450" s="74"/>
    </row>
    <row r="451" spans="1:25" x14ac:dyDescent="0.3">
      <c r="A451" s="66">
        <f t="shared" si="46"/>
        <v>2034.3999999999596</v>
      </c>
      <c r="B451" s="67">
        <f>LOOKUP(A451+0.01,AmountsB!$A$4:$A$103,AmountsB!$B$4:$B$103)*0.1*$A$2</f>
        <v>0</v>
      </c>
      <c r="C451" s="68">
        <f t="shared" si="45"/>
        <v>2074573.74105891</v>
      </c>
      <c r="D451" s="67">
        <f t="array" ref="D451">SUM($B$7:$B446*$F$1009*EXP(-$F$1009*($A451-$A$7:$A446)))*$F$1010</f>
        <v>23088506.473048277</v>
      </c>
      <c r="E451" s="67">
        <f t="shared" si="43"/>
        <v>44.016199336109409</v>
      </c>
      <c r="F451" s="70">
        <f t="shared" si="47"/>
        <v>2.6726636236885639</v>
      </c>
      <c r="G451" s="67">
        <f>E451/'Lookup Tables'!$C$48</f>
        <v>88.032398672218818</v>
      </c>
      <c r="H451" s="70">
        <f t="shared" si="44"/>
        <v>1.1151647161623918E-2</v>
      </c>
      <c r="I451" s="71">
        <f t="shared" si="48"/>
        <v>0.12676665408799512</v>
      </c>
      <c r="L451" s="74"/>
      <c r="M451" s="74"/>
      <c r="N451" s="74"/>
      <c r="O451" s="74"/>
      <c r="P451" s="74"/>
      <c r="Q451" s="74"/>
      <c r="R451" s="74"/>
      <c r="S451" s="74"/>
      <c r="T451" s="74"/>
      <c r="U451" s="74"/>
      <c r="V451" s="74"/>
      <c r="W451" s="74"/>
      <c r="X451" s="74"/>
      <c r="Y451" s="74"/>
    </row>
    <row r="452" spans="1:25" x14ac:dyDescent="0.3">
      <c r="A452" s="66">
        <f t="shared" si="46"/>
        <v>2034.4999999999595</v>
      </c>
      <c r="B452" s="67">
        <f>LOOKUP(A452+0.01,AmountsB!$A$4:$A$103,AmountsB!$B$4:$B$103)*0.1*$A$2</f>
        <v>0</v>
      </c>
      <c r="C452" s="68">
        <f t="shared" si="45"/>
        <v>2074573.74105891</v>
      </c>
      <c r="D452" s="67">
        <f t="array" ref="D452">SUM($B$7:$B447*$F$1009*EXP(-$F$1009*($A452-$A$7:$A447)))*$F$1010</f>
        <v>22767519.53377039</v>
      </c>
      <c r="E452" s="67">
        <f t="shared" si="43"/>
        <v>43.404266073122663</v>
      </c>
      <c r="F452" s="70">
        <f t="shared" si="47"/>
        <v>2.6355070359600079</v>
      </c>
      <c r="G452" s="67">
        <f>E452/'Lookup Tables'!$C$48</f>
        <v>86.808532146245327</v>
      </c>
      <c r="H452" s="70">
        <f t="shared" si="44"/>
        <v>1.09966118805634E-2</v>
      </c>
      <c r="I452" s="71">
        <f t="shared" si="48"/>
        <v>0.12500428629059326</v>
      </c>
      <c r="L452" s="74"/>
      <c r="M452" s="74"/>
      <c r="N452" s="74"/>
      <c r="O452" s="74"/>
      <c r="P452" s="74"/>
      <c r="Q452" s="74"/>
      <c r="R452" s="74"/>
      <c r="S452" s="74"/>
      <c r="T452" s="74"/>
      <c r="U452" s="74"/>
      <c r="V452" s="74"/>
      <c r="W452" s="74"/>
      <c r="X452" s="74"/>
      <c r="Y452" s="74"/>
    </row>
    <row r="453" spans="1:25" x14ac:dyDescent="0.3">
      <c r="A453" s="66">
        <f t="shared" si="46"/>
        <v>2034.5999999999594</v>
      </c>
      <c r="B453" s="67">
        <f>LOOKUP(A453+0.01,AmountsB!$A$4:$A$103,AmountsB!$B$4:$B$103)*0.1*$A$2</f>
        <v>0</v>
      </c>
      <c r="C453" s="68">
        <f t="shared" si="45"/>
        <v>2074573.74105891</v>
      </c>
      <c r="D453" s="67">
        <f t="array" ref="D453">SUM($B$7:$B448*$F$1009*EXP(-$F$1009*($A453-$A$7:$A448)))*$F$1010</f>
        <v>22450995.101208009</v>
      </c>
      <c r="E453" s="67">
        <f t="shared" si="43"/>
        <v>42.800840185238656</v>
      </c>
      <c r="F453" s="70">
        <f t="shared" si="47"/>
        <v>2.598867016047691</v>
      </c>
      <c r="G453" s="67">
        <f>E453/'Lookup Tables'!$C$48</f>
        <v>85.601680370477311</v>
      </c>
      <c r="H453" s="70">
        <f t="shared" si="44"/>
        <v>1.0843731970635519E-2</v>
      </c>
      <c r="I453" s="71">
        <f t="shared" si="48"/>
        <v>0.12326641973348731</v>
      </c>
      <c r="L453" s="74"/>
      <c r="M453" s="74"/>
      <c r="N453" s="74"/>
      <c r="O453" s="74"/>
      <c r="P453" s="74"/>
      <c r="Q453" s="74"/>
      <c r="R453" s="74"/>
      <c r="S453" s="74"/>
      <c r="T453" s="74"/>
      <c r="U453" s="74"/>
      <c r="V453" s="74"/>
      <c r="W453" s="74"/>
      <c r="X453" s="74"/>
      <c r="Y453" s="74"/>
    </row>
    <row r="454" spans="1:25" x14ac:dyDescent="0.3">
      <c r="A454" s="66">
        <f t="shared" si="46"/>
        <v>2034.6999999999593</v>
      </c>
      <c r="B454" s="67">
        <f>LOOKUP(A454+0.01,AmountsB!$A$4:$A$103,AmountsB!$B$4:$B$103)*0.1*$A$2</f>
        <v>0</v>
      </c>
      <c r="C454" s="68">
        <f t="shared" si="45"/>
        <v>2074573.74105891</v>
      </c>
      <c r="D454" s="67">
        <f t="array" ref="D454">SUM($B$7:$B449*$F$1009*EXP(-$F$1009*($A454-$A$7:$A449)))*$F$1010</f>
        <v>22138871.135559041</v>
      </c>
      <c r="E454" s="67">
        <f t="shared" si="43"/>
        <v>42.20580339905159</v>
      </c>
      <c r="F454" s="70">
        <f t="shared" si="47"/>
        <v>2.5627363823904123</v>
      </c>
      <c r="G454" s="67">
        <f>E454/'Lookup Tables'!$C$48</f>
        <v>84.411606798103179</v>
      </c>
      <c r="H454" s="70">
        <f t="shared" si="44"/>
        <v>1.0692977466888506E-2</v>
      </c>
      <c r="I454" s="71">
        <f t="shared" si="48"/>
        <v>0.12155271378926859</v>
      </c>
      <c r="L454" s="74"/>
      <c r="M454" s="74"/>
      <c r="N454" s="74"/>
      <c r="O454" s="74"/>
      <c r="P454" s="74"/>
      <c r="Q454" s="74"/>
      <c r="R454" s="74"/>
      <c r="S454" s="74"/>
      <c r="T454" s="74"/>
      <c r="U454" s="74"/>
      <c r="V454" s="74"/>
      <c r="W454" s="74"/>
      <c r="X454" s="74"/>
      <c r="Y454" s="74"/>
    </row>
    <row r="455" spans="1:25" x14ac:dyDescent="0.3">
      <c r="A455" s="66">
        <f t="shared" si="46"/>
        <v>2034.7999999999593</v>
      </c>
      <c r="B455" s="67">
        <f>LOOKUP(A455+0.01,AmountsB!$A$4:$A$103,AmountsB!$B$4:$B$103)*0.1*$A$2</f>
        <v>0</v>
      </c>
      <c r="C455" s="68">
        <f t="shared" si="45"/>
        <v>2074573.74105891</v>
      </c>
      <c r="D455" s="67">
        <f t="array" ref="D455">SUM($B$7:$B450*$F$1009*EXP(-$F$1009*($A455-$A$7:$A450)))*$F$1010</f>
        <v>21831086.459527008</v>
      </c>
      <c r="E455" s="67">
        <f t="shared" ref="E455:E518" si="49">D455/(365*24*60)*1.00201</f>
        <v>41.61903908544646</v>
      </c>
      <c r="F455" s="70">
        <f t="shared" si="47"/>
        <v>2.5271080532683086</v>
      </c>
      <c r="G455" s="67">
        <f>E455/'Lookup Tables'!$C$48</f>
        <v>83.238078170892919</v>
      </c>
      <c r="H455" s="70">
        <f t="shared" ref="H455:H518" si="50">G455*60*24*365/(C455*2000)</f>
        <v>1.0544318820957009E-2</v>
      </c>
      <c r="I455" s="71">
        <f t="shared" si="48"/>
        <v>0.11986283256608579</v>
      </c>
      <c r="L455" s="74"/>
      <c r="M455" s="74"/>
      <c r="N455" s="74"/>
      <c r="O455" s="74"/>
      <c r="P455" s="74"/>
      <c r="Q455" s="74"/>
      <c r="R455" s="74"/>
      <c r="S455" s="74"/>
      <c r="T455" s="74"/>
      <c r="U455" s="74"/>
      <c r="V455" s="74"/>
      <c r="W455" s="74"/>
      <c r="X455" s="74"/>
      <c r="Y455" s="74"/>
    </row>
    <row r="456" spans="1:25" x14ac:dyDescent="0.3">
      <c r="A456" s="66">
        <f t="shared" si="46"/>
        <v>2034.8999999999592</v>
      </c>
      <c r="B456" s="67">
        <f>LOOKUP(A456+0.01,AmountsB!$A$4:$A$103,AmountsB!$B$4:$B$103)*0.1*$A$2</f>
        <v>0</v>
      </c>
      <c r="C456" s="68">
        <f t="shared" si="45"/>
        <v>2074573.74105891</v>
      </c>
      <c r="D456" s="67">
        <f t="array" ref="D456">SUM($B$7:$B451*$F$1009*EXP(-$F$1009*($A456-$A$7:$A451)))*$F$1010</f>
        <v>21527580.746330071</v>
      </c>
      <c r="E456" s="67">
        <f t="shared" si="49"/>
        <v>41.040432236739342</v>
      </c>
      <c r="F456" s="70">
        <f t="shared" si="47"/>
        <v>2.4919750454148129</v>
      </c>
      <c r="G456" s="67">
        <f>E456/'Lookup Tables'!$C$48</f>
        <v>82.080864473478684</v>
      </c>
      <c r="H456" s="70">
        <f t="shared" si="50"/>
        <v>1.0397726895270515E-2</v>
      </c>
      <c r="I456" s="71">
        <f t="shared" si="48"/>
        <v>0.11819644484180931</v>
      </c>
      <c r="L456" s="74"/>
      <c r="M456" s="74"/>
      <c r="N456" s="74"/>
      <c r="O456" s="74"/>
      <c r="P456" s="74"/>
      <c r="Q456" s="74"/>
      <c r="R456" s="74"/>
      <c r="S456" s="74"/>
      <c r="T456" s="74"/>
      <c r="U456" s="74"/>
      <c r="V456" s="74"/>
      <c r="W456" s="74"/>
      <c r="X456" s="74"/>
      <c r="Y456" s="74"/>
    </row>
    <row r="457" spans="1:25" x14ac:dyDescent="0.3">
      <c r="A457" s="66">
        <f t="shared" si="46"/>
        <v>2034.9999999999591</v>
      </c>
      <c r="B457" s="67">
        <f>LOOKUP(A457+0.01,AmountsB!$A$4:$A$103,AmountsB!$B$4:$B$103)*0.1*$A$2</f>
        <v>0</v>
      </c>
      <c r="C457" s="68">
        <f t="shared" ref="C457:C520" si="51">C456+B457</f>
        <v>2074573.74105891</v>
      </c>
      <c r="D457" s="67">
        <f t="array" ref="D457">SUM($B$7:$B452*$F$1009*EXP(-$F$1009*($A457-$A$7:$A452)))*$F$1010</f>
        <v>21228294.507876821</v>
      </c>
      <c r="E457" s="67">
        <f t="shared" si="49"/>
        <v>40.469869444135568</v>
      </c>
      <c r="F457" s="70">
        <f t="shared" si="47"/>
        <v>2.4573304726479113</v>
      </c>
      <c r="G457" s="67">
        <f>E457/'Lookup Tables'!$C$48</f>
        <v>80.939738888271137</v>
      </c>
      <c r="H457" s="70">
        <f t="shared" si="50"/>
        <v>1.0253172957342295E-2</v>
      </c>
      <c r="I457" s="71">
        <f t="shared" si="48"/>
        <v>0.11655322399911043</v>
      </c>
      <c r="L457" s="74"/>
      <c r="M457" s="74"/>
      <c r="N457" s="74"/>
      <c r="O457" s="74"/>
      <c r="P457" s="74"/>
      <c r="Q457" s="74"/>
      <c r="R457" s="74"/>
      <c r="S457" s="74"/>
      <c r="T457" s="74"/>
      <c r="U457" s="74"/>
      <c r="V457" s="74"/>
      <c r="W457" s="74"/>
      <c r="X457" s="74"/>
      <c r="Y457" s="74"/>
    </row>
    <row r="458" spans="1:25" x14ac:dyDescent="0.3">
      <c r="A458" s="66">
        <f t="shared" si="46"/>
        <v>2035.099999999959</v>
      </c>
      <c r="B458" s="67">
        <f>LOOKUP(A458+0.01,AmountsB!$A$4:$A$103,AmountsB!$B$4:$B$103)*0.1*$A$2</f>
        <v>0</v>
      </c>
      <c r="C458" s="68">
        <f t="shared" si="51"/>
        <v>2074573.74105891</v>
      </c>
      <c r="D458" s="67">
        <f t="array" ref="D458">SUM($B$7:$B453*$F$1009*EXP(-$F$1009*($A458-$A$7:$A453)))*$F$1010</f>
        <v>20933169.083106399</v>
      </c>
      <c r="E458" s="67">
        <f t="shared" si="49"/>
        <v>39.907238875501221</v>
      </c>
      <c r="F458" s="70">
        <f t="shared" si="47"/>
        <v>2.4231675445204339</v>
      </c>
      <c r="G458" s="67">
        <f>E458/'Lookup Tables'!$C$48</f>
        <v>79.814477751002443</v>
      </c>
      <c r="H458" s="70">
        <f t="shared" si="50"/>
        <v>1.0110628674137751E-2</v>
      </c>
      <c r="I458" s="71">
        <f t="shared" si="48"/>
        <v>0.11493284796144353</v>
      </c>
      <c r="L458" s="74"/>
      <c r="M458" s="74"/>
      <c r="N458" s="74"/>
      <c r="O458" s="74"/>
      <c r="P458" s="74"/>
      <c r="Q458" s="74"/>
      <c r="R458" s="74"/>
      <c r="S458" s="74"/>
      <c r="T458" s="74"/>
      <c r="U458" s="74"/>
      <c r="V458" s="74"/>
      <c r="W458" s="74"/>
      <c r="X458" s="74"/>
      <c r="Y458" s="74"/>
    </row>
    <row r="459" spans="1:25" x14ac:dyDescent="0.3">
      <c r="A459" s="66">
        <f t="shared" si="46"/>
        <v>2035.1999999999589</v>
      </c>
      <c r="B459" s="67">
        <f>LOOKUP(A459+0.01,AmountsB!$A$4:$A$103,AmountsB!$B$4:$B$103)*0.1*$A$2</f>
        <v>0</v>
      </c>
      <c r="C459" s="68">
        <f t="shared" si="51"/>
        <v>2074573.74105891</v>
      </c>
      <c r="D459" s="67">
        <f t="array" ref="D459">SUM($B$7:$B454*$F$1009*EXP(-$F$1009*($A459-$A$7:$A454)))*$F$1010</f>
        <v>20642146.626490757</v>
      </c>
      <c r="E459" s="67">
        <f t="shared" si="49"/>
        <v>39.352430253443693</v>
      </c>
      <c r="F459" s="70">
        <f t="shared" si="47"/>
        <v>2.389479564989101</v>
      </c>
      <c r="G459" s="67">
        <f>E459/'Lookup Tables'!$C$48</f>
        <v>78.704860506887385</v>
      </c>
      <c r="H459" s="70">
        <f t="shared" si="50"/>
        <v>9.9700661065210434E-3</v>
      </c>
      <c r="I459" s="71">
        <f t="shared" si="48"/>
        <v>0.11333499912991783</v>
      </c>
      <c r="L459" s="74"/>
      <c r="M459" s="74"/>
      <c r="N459" s="74"/>
      <c r="O459" s="74"/>
      <c r="P459" s="74"/>
      <c r="Q459" s="74"/>
      <c r="R459" s="74"/>
      <c r="S459" s="74"/>
      <c r="T459" s="74"/>
      <c r="U459" s="74"/>
      <c r="V459" s="74"/>
      <c r="W459" s="74"/>
      <c r="X459" s="74"/>
      <c r="Y459" s="74"/>
    </row>
    <row r="460" spans="1:25" x14ac:dyDescent="0.3">
      <c r="A460" s="66">
        <f t="shared" si="46"/>
        <v>2035.2999999999588</v>
      </c>
      <c r="B460" s="67">
        <f>LOOKUP(A460+0.01,AmountsB!$A$4:$A$103,AmountsB!$B$4:$B$103)*0.1*$A$2</f>
        <v>0</v>
      </c>
      <c r="C460" s="68">
        <f t="shared" si="51"/>
        <v>2074573.74105891</v>
      </c>
      <c r="D460" s="67">
        <f t="array" ref="D460">SUM($B$7:$B455*$F$1009*EXP(-$F$1009*($A460-$A$7:$A455)))*$F$1010</f>
        <v>20355170.096696716</v>
      </c>
      <c r="E460" s="67">
        <f t="shared" si="49"/>
        <v>38.805334833696875</v>
      </c>
      <c r="F460" s="70">
        <f t="shared" si="47"/>
        <v>2.3562599311020742</v>
      </c>
      <c r="G460" s="67">
        <f>E460/'Lookup Tables'!$C$48</f>
        <v>77.610669667393751</v>
      </c>
      <c r="H460" s="70">
        <f t="shared" si="50"/>
        <v>9.8314577037789206E-3</v>
      </c>
      <c r="I460" s="71">
        <f t="shared" si="48"/>
        <v>0.11175936432104701</v>
      </c>
      <c r="L460" s="74"/>
      <c r="M460" s="74"/>
      <c r="N460" s="74"/>
      <c r="O460" s="74"/>
      <c r="P460" s="74"/>
      <c r="Q460" s="74"/>
      <c r="R460" s="74"/>
      <c r="S460" s="74"/>
      <c r="T460" s="74"/>
      <c r="U460" s="74"/>
      <c r="V460" s="74"/>
      <c r="W460" s="74"/>
      <c r="X460" s="74"/>
      <c r="Y460" s="74"/>
    </row>
    <row r="461" spans="1:25" x14ac:dyDescent="0.3">
      <c r="A461" s="66">
        <f t="shared" si="46"/>
        <v>2035.3999999999587</v>
      </c>
      <c r="B461" s="67">
        <f>LOOKUP(A461+0.01,AmountsB!$A$4:$A$103,AmountsB!$B$4:$B$103)*0.1*$A$2</f>
        <v>0</v>
      </c>
      <c r="C461" s="68">
        <f t="shared" si="51"/>
        <v>2074573.74105891</v>
      </c>
      <c r="D461" s="67">
        <f t="array" ref="D461">SUM($B$7:$B456*$F$1009*EXP(-$F$1009*($A461-$A$7:$A456)))*$F$1010</f>
        <v>20072183.245405722</v>
      </c>
      <c r="E461" s="67">
        <f t="shared" si="49"/>
        <v>38.265845383807054</v>
      </c>
      <c r="F461" s="70">
        <f t="shared" si="47"/>
        <v>2.3235021317047644</v>
      </c>
      <c r="G461" s="67">
        <f>E461/'Lookup Tables'!$C$48</f>
        <v>76.531690767614108</v>
      </c>
      <c r="H461" s="70">
        <f t="shared" si="50"/>
        <v>9.694776298220709E-3</v>
      </c>
      <c r="I461" s="71">
        <f t="shared" si="48"/>
        <v>0.11020563470536432</v>
      </c>
      <c r="L461" s="74"/>
      <c r="M461" s="74"/>
      <c r="N461" s="74"/>
      <c r="O461" s="74"/>
      <c r="P461" s="74"/>
      <c r="Q461" s="74"/>
      <c r="R461" s="74"/>
      <c r="S461" s="74"/>
      <c r="T461" s="74"/>
      <c r="U461" s="74"/>
      <c r="V461" s="74"/>
      <c r="W461" s="74"/>
      <c r="X461" s="74"/>
      <c r="Y461" s="74"/>
    </row>
    <row r="462" spans="1:25" x14ac:dyDescent="0.3">
      <c r="A462" s="66">
        <f t="shared" si="46"/>
        <v>2035.4999999999586</v>
      </c>
      <c r="B462" s="67">
        <f>LOOKUP(A462+0.01,AmountsB!$A$4:$A$103,AmountsB!$B$4:$B$103)*0.1*$A$2</f>
        <v>0</v>
      </c>
      <c r="C462" s="68">
        <f t="shared" si="51"/>
        <v>2074573.74105891</v>
      </c>
      <c r="D462" s="67">
        <f t="array" ref="D462">SUM($B$7:$B457*$F$1009*EXP(-$F$1009*($A462-$A$7:$A457)))*$F$1010</f>
        <v>19793130.606288999</v>
      </c>
      <c r="E462" s="67">
        <f t="shared" si="49"/>
        <v>37.733856162114996</v>
      </c>
      <c r="F462" s="70">
        <f t="shared" si="47"/>
        <v>2.2911997461636227</v>
      </c>
      <c r="G462" s="67">
        <f>E462/'Lookup Tables'!$C$48</f>
        <v>75.467712324229993</v>
      </c>
      <c r="H462" s="70">
        <f t="shared" si="50"/>
        <v>9.5599950998533651E-3</v>
      </c>
      <c r="I462" s="71">
        <f t="shared" si="48"/>
        <v>0.10867350574689119</v>
      </c>
      <c r="L462" s="74"/>
      <c r="M462" s="74"/>
      <c r="N462" s="74"/>
      <c r="O462" s="74"/>
      <c r="P462" s="74"/>
      <c r="Q462" s="74"/>
      <c r="R462" s="74"/>
      <c r="S462" s="74"/>
      <c r="T462" s="74"/>
      <c r="U462" s="74"/>
      <c r="V462" s="74"/>
      <c r="W462" s="74"/>
      <c r="X462" s="74"/>
      <c r="Y462" s="74"/>
    </row>
    <row r="463" spans="1:25" x14ac:dyDescent="0.3">
      <c r="A463" s="66">
        <f t="shared" si="46"/>
        <v>2035.5999999999585</v>
      </c>
      <c r="B463" s="67">
        <f>LOOKUP(A463+0.01,AmountsB!$A$4:$A$103,AmountsB!$B$4:$B$103)*0.1*$A$2</f>
        <v>0</v>
      </c>
      <c r="C463" s="68">
        <f t="shared" si="51"/>
        <v>2074573.74105891</v>
      </c>
      <c r="D463" s="67">
        <f t="array" ref="D463">SUM($B$7:$B458*$F$1009*EXP(-$F$1009*($A463-$A$7:$A458)))*$F$1010</f>
        <v>19517957.484135922</v>
      </c>
      <c r="E463" s="67">
        <f t="shared" si="49"/>
        <v>37.209262897030129</v>
      </c>
      <c r="F463" s="70">
        <f t="shared" si="47"/>
        <v>2.2593464431076691</v>
      </c>
      <c r="G463" s="67">
        <f>E463/'Lookup Tables'!$C$48</f>
        <v>74.418525794060258</v>
      </c>
      <c r="H463" s="70">
        <f t="shared" si="50"/>
        <v>9.4270876911305146E-3</v>
      </c>
      <c r="I463" s="71">
        <f t="shared" si="48"/>
        <v>0.10716267714344677</v>
      </c>
      <c r="L463" s="74"/>
      <c r="M463" s="74"/>
      <c r="N463" s="74"/>
      <c r="O463" s="74"/>
      <c r="P463" s="74"/>
      <c r="Q463" s="74"/>
      <c r="R463" s="74"/>
      <c r="S463" s="74"/>
      <c r="T463" s="74"/>
      <c r="U463" s="74"/>
      <c r="V463" s="74"/>
      <c r="W463" s="74"/>
      <c r="X463" s="74"/>
      <c r="Y463" s="74"/>
    </row>
    <row r="464" spans="1:25" x14ac:dyDescent="0.3">
      <c r="A464" s="66">
        <f t="shared" si="46"/>
        <v>2035.6999999999584</v>
      </c>
      <c r="B464" s="67">
        <f>LOOKUP(A464+0.01,AmountsB!$A$4:$A$103,AmountsB!$B$4:$B$103)*0.1*$A$2</f>
        <v>0</v>
      </c>
      <c r="C464" s="68">
        <f t="shared" si="51"/>
        <v>2074573.74105891</v>
      </c>
      <c r="D464" s="67">
        <f t="array" ref="D464">SUM($B$7:$B459*$F$1009*EXP(-$F$1009*($A464-$A$7:$A459)))*$F$1010</f>
        <v>19246609.944133621</v>
      </c>
      <c r="E464" s="67">
        <f t="shared" si="49"/>
        <v>36.6919627665931</v>
      </c>
      <c r="F464" s="70">
        <f t="shared" si="47"/>
        <v>2.2279359791875333</v>
      </c>
      <c r="G464" s="67">
        <f>E464/'Lookup Tables'!$C$48</f>
        <v>73.383925533186201</v>
      </c>
      <c r="H464" s="70">
        <f t="shared" si="50"/>
        <v>9.296028021774573E-3</v>
      </c>
      <c r="I464" s="71">
        <f t="shared" si="48"/>
        <v>0.10567285276778814</v>
      </c>
      <c r="L464" s="74"/>
      <c r="M464" s="74"/>
      <c r="N464" s="74"/>
      <c r="O464" s="74"/>
      <c r="P464" s="74"/>
      <c r="Q464" s="74"/>
      <c r="R464" s="74"/>
      <c r="S464" s="74"/>
      <c r="T464" s="74"/>
      <c r="U464" s="74"/>
      <c r="V464" s="74"/>
      <c r="W464" s="74"/>
      <c r="X464" s="74"/>
      <c r="Y464" s="74"/>
    </row>
    <row r="465" spans="1:25" x14ac:dyDescent="0.3">
      <c r="A465" s="66">
        <f t="shared" si="46"/>
        <v>2035.7999999999583</v>
      </c>
      <c r="B465" s="67">
        <f>LOOKUP(A465+0.01,AmountsB!$A$4:$A$103,AmountsB!$B$4:$B$103)*0.1*$A$2</f>
        <v>0</v>
      </c>
      <c r="C465" s="68">
        <f t="shared" si="51"/>
        <v>2074573.74105891</v>
      </c>
      <c r="D465" s="67">
        <f t="array" ref="D465">SUM($B$7:$B460*$F$1009*EXP(-$F$1009*($A465-$A$7:$A460)))*$F$1010</f>
        <v>18979034.801295578</v>
      </c>
      <c r="E465" s="67">
        <f t="shared" si="49"/>
        <v>36.181854378322264</v>
      </c>
      <c r="F465" s="70">
        <f t="shared" si="47"/>
        <v>2.196962197851728</v>
      </c>
      <c r="G465" s="67">
        <f>E465/'Lookup Tables'!$C$48</f>
        <v>72.363708756644527</v>
      </c>
      <c r="H465" s="70">
        <f t="shared" si="50"/>
        <v>9.1667904036707697E-3</v>
      </c>
      <c r="I465" s="71">
        <f t="shared" si="48"/>
        <v>0.10420374060956814</v>
      </c>
      <c r="L465" s="74"/>
      <c r="M465" s="74"/>
      <c r="N465" s="74"/>
      <c r="O465" s="74"/>
      <c r="P465" s="74"/>
      <c r="Q465" s="74"/>
      <c r="R465" s="74"/>
      <c r="S465" s="74"/>
      <c r="T465" s="74"/>
      <c r="U465" s="74"/>
      <c r="V465" s="74"/>
      <c r="W465" s="74"/>
      <c r="X465" s="74"/>
      <c r="Y465" s="74"/>
    </row>
    <row r="466" spans="1:25" x14ac:dyDescent="0.3">
      <c r="A466" s="66">
        <f t="shared" si="46"/>
        <v>2035.8999999999583</v>
      </c>
      <c r="B466" s="67">
        <f>LOOKUP(A466+0.01,AmountsB!$A$4:$A$103,AmountsB!$B$4:$B$103)*0.1*$A$2</f>
        <v>0</v>
      </c>
      <c r="C466" s="68">
        <f t="shared" si="51"/>
        <v>2074573.74105891</v>
      </c>
      <c r="D466" s="67">
        <f t="array" ref="D466">SUM($B$7:$B461*$F$1009*EXP(-$F$1009*($A466-$A$7:$A461)))*$F$1010</f>
        <v>18715179.610037204</v>
      </c>
      <c r="E466" s="67">
        <f t="shared" si="49"/>
        <v>35.678837749340524</v>
      </c>
      <c r="F466" s="70">
        <f t="shared" si="47"/>
        <v>2.1664190281399565</v>
      </c>
      <c r="G466" s="67">
        <f>E466/'Lookup Tables'!$C$48</f>
        <v>71.357675498681047</v>
      </c>
      <c r="H466" s="70">
        <f t="shared" si="50"/>
        <v>9.0393495058322271E-3</v>
      </c>
      <c r="I466" s="71">
        <f t="shared" si="48"/>
        <v>0.10275505271810069</v>
      </c>
      <c r="L466" s="74"/>
      <c r="M466" s="74"/>
      <c r="N466" s="74"/>
      <c r="O466" s="74"/>
      <c r="P466" s="74"/>
      <c r="Q466" s="74"/>
      <c r="R466" s="74"/>
      <c r="S466" s="74"/>
      <c r="T466" s="74"/>
      <c r="U466" s="74"/>
      <c r="V466" s="74"/>
      <c r="W466" s="74"/>
      <c r="X466" s="74"/>
      <c r="Y466" s="74"/>
    </row>
    <row r="467" spans="1:25" x14ac:dyDescent="0.3">
      <c r="A467" s="66">
        <f t="shared" ref="A467:A530" si="52">A466+0.1</f>
        <v>2035.9999999999582</v>
      </c>
      <c r="B467" s="67">
        <f>LOOKUP(A467+0.01,AmountsB!$A$4:$A$103,AmountsB!$B$4:$B$103)*0.1*$A$2</f>
        <v>0</v>
      </c>
      <c r="C467" s="68">
        <f t="shared" si="51"/>
        <v>2074573.74105891</v>
      </c>
      <c r="D467" s="67">
        <f t="array" ref="D467">SUM($B$7:$B462*$F$1009*EXP(-$F$1009*($A467-$A$7:$A462)))*$F$1010</f>
        <v>18454992.653896302</v>
      </c>
      <c r="E467" s="67">
        <f t="shared" si="49"/>
        <v>35.182814286778225</v>
      </c>
      <c r="F467" s="70">
        <f t="shared" ref="F467:F530" si="53">E467*60*1012/1000000</f>
        <v>2.1363004834931738</v>
      </c>
      <c r="G467" s="67">
        <f>E467/'Lookup Tables'!$C$48</f>
        <v>70.36562857355645</v>
      </c>
      <c r="H467" s="70">
        <f t="shared" si="50"/>
        <v>8.9136803494349864E-3</v>
      </c>
      <c r="I467" s="71">
        <f t="shared" ref="I467:I530" si="54">G467*60*24/1000000</f>
        <v>0.10132650514592129</v>
      </c>
      <c r="L467" s="74"/>
      <c r="M467" s="74"/>
      <c r="N467" s="74"/>
      <c r="O467" s="74"/>
      <c r="P467" s="74"/>
      <c r="Q467" s="74"/>
      <c r="R467" s="74"/>
      <c r="S467" s="74"/>
      <c r="T467" s="74"/>
      <c r="U467" s="74"/>
      <c r="V467" s="74"/>
      <c r="W467" s="74"/>
      <c r="X467" s="74"/>
      <c r="Y467" s="74"/>
    </row>
    <row r="468" spans="1:25" x14ac:dyDescent="0.3">
      <c r="A468" s="66">
        <f t="shared" si="52"/>
        <v>2036.0999999999581</v>
      </c>
      <c r="B468" s="67">
        <f>LOOKUP(A468+0.01,AmountsB!$A$4:$A$103,AmountsB!$B$4:$B$103)*0.1*$A$2</f>
        <v>0</v>
      </c>
      <c r="C468" s="68">
        <f t="shared" si="51"/>
        <v>2074573.74105891</v>
      </c>
      <c r="D468" s="67">
        <f t="array" ref="D468">SUM($B$7:$B463*$F$1009*EXP(-$F$1009*($A468-$A$7:$A463)))*$F$1010</f>
        <v>18198422.935396533</v>
      </c>
      <c r="E468" s="67">
        <f t="shared" si="49"/>
        <v>34.693686768448785</v>
      </c>
      <c r="F468" s="70">
        <f t="shared" si="53"/>
        <v>2.1066006605802103</v>
      </c>
      <c r="G468" s="67">
        <f>E468/'Lookup Tables'!$C$48</f>
        <v>69.38737353689757</v>
      </c>
      <c r="H468" s="70">
        <f t="shared" si="50"/>
        <v>8.7897583029220832E-3</v>
      </c>
      <c r="I468" s="71">
        <f t="shared" si="54"/>
        <v>9.9917817893132505E-2</v>
      </c>
      <c r="L468" s="74"/>
      <c r="M468" s="74"/>
      <c r="N468" s="74"/>
      <c r="O468" s="74"/>
      <c r="P468" s="74"/>
      <c r="Q468" s="74"/>
      <c r="R468" s="74"/>
      <c r="S468" s="74"/>
      <c r="T468" s="74"/>
      <c r="U468" s="74"/>
      <c r="V468" s="74"/>
      <c r="W468" s="74"/>
      <c r="X468" s="74"/>
      <c r="Y468" s="74"/>
    </row>
    <row r="469" spans="1:25" x14ac:dyDescent="0.3">
      <c r="A469" s="66">
        <f t="shared" si="52"/>
        <v>2036.199999999958</v>
      </c>
      <c r="B469" s="67">
        <f>LOOKUP(A469+0.01,AmountsB!$A$4:$A$103,AmountsB!$B$4:$B$103)*0.1*$A$2</f>
        <v>0</v>
      </c>
      <c r="C469" s="68">
        <f t="shared" si="51"/>
        <v>2074573.74105891</v>
      </c>
      <c r="D469" s="67">
        <f t="array" ref="D469">SUM($B$7:$B464*$F$1009*EXP(-$F$1009*($A469-$A$7:$A464)))*$F$1010</f>
        <v>17945420.166051693</v>
      </c>
      <c r="E469" s="67">
        <f t="shared" si="49"/>
        <v>34.211359323792735</v>
      </c>
      <c r="F469" s="70">
        <f t="shared" si="53"/>
        <v>2.077313738140695</v>
      </c>
      <c r="G469" s="67">
        <f>E469/'Lookup Tables'!$C$48</f>
        <v>68.422718647585469</v>
      </c>
      <c r="H469" s="70">
        <f t="shared" si="50"/>
        <v>8.6675590771756773E-3</v>
      </c>
      <c r="I469" s="71">
        <f t="shared" si="54"/>
        <v>9.8528714852523069E-2</v>
      </c>
      <c r="L469" s="74"/>
      <c r="M469" s="74"/>
      <c r="N469" s="74"/>
      <c r="O469" s="74"/>
      <c r="P469" s="74"/>
      <c r="Q469" s="74"/>
      <c r="R469" s="74"/>
      <c r="S469" s="74"/>
      <c r="T469" s="74"/>
      <c r="U469" s="74"/>
      <c r="V469" s="74"/>
      <c r="W469" s="74"/>
      <c r="X469" s="74"/>
      <c r="Y469" s="74"/>
    </row>
    <row r="470" spans="1:25" x14ac:dyDescent="0.3">
      <c r="A470" s="66">
        <f t="shared" si="52"/>
        <v>2036.2999999999579</v>
      </c>
      <c r="B470" s="67">
        <f>LOOKUP(A470+0.01,AmountsB!$A$4:$A$103,AmountsB!$B$4:$B$103)*0.1*$A$2</f>
        <v>0</v>
      </c>
      <c r="C470" s="68">
        <f t="shared" si="51"/>
        <v>2074573.74105891</v>
      </c>
      <c r="D470" s="67">
        <f t="array" ref="D470">SUM($B$7:$B465*$F$1009*EXP(-$F$1009*($A470-$A$7:$A465)))*$F$1010</f>
        <v>17695934.75650904</v>
      </c>
      <c r="E470" s="67">
        <f t="shared" si="49"/>
        <v>33.73573741508681</v>
      </c>
      <c r="F470" s="70">
        <f t="shared" si="53"/>
        <v>2.0484339758440711</v>
      </c>
      <c r="G470" s="67">
        <f>E470/'Lookup Tables'!$C$48</f>
        <v>67.471474830173619</v>
      </c>
      <c r="H470" s="70">
        <f t="shared" si="50"/>
        <v>8.5470587207563224E-3</v>
      </c>
      <c r="I470" s="71">
        <f t="shared" si="54"/>
        <v>9.7158923755450016E-2</v>
      </c>
      <c r="L470" s="74"/>
      <c r="M470" s="74"/>
      <c r="N470" s="74"/>
      <c r="O470" s="74"/>
      <c r="P470" s="74"/>
      <c r="Q470" s="74"/>
      <c r="R470" s="74"/>
      <c r="S470" s="74"/>
      <c r="T470" s="74"/>
      <c r="U470" s="74"/>
      <c r="V470" s="74"/>
      <c r="W470" s="74"/>
      <c r="X470" s="74"/>
      <c r="Y470" s="74"/>
    </row>
    <row r="471" spans="1:25" x14ac:dyDescent="0.3">
      <c r="A471" s="66">
        <f t="shared" si="52"/>
        <v>2036.3999999999578</v>
      </c>
      <c r="B471" s="67">
        <f>LOOKUP(A471+0.01,AmountsB!$A$4:$A$103,AmountsB!$B$4:$B$103)*0.1*$A$2</f>
        <v>0</v>
      </c>
      <c r="C471" s="68">
        <f t="shared" si="51"/>
        <v>2074573.74105891</v>
      </c>
      <c r="D471" s="67">
        <f t="array" ref="D471">SUM($B$7:$B466*$F$1009*EXP(-$F$1009*($A471-$A$7:$A466)))*$F$1010</f>
        <v>17449917.806829613</v>
      </c>
      <c r="E471" s="67">
        <f t="shared" si="49"/>
        <v>33.266727818914269</v>
      </c>
      <c r="F471" s="70">
        <f t="shared" si="53"/>
        <v>2.0199557131644745</v>
      </c>
      <c r="G471" s="67">
        <f>E471/'Lookup Tables'!$C$48</f>
        <v>66.533455637828538</v>
      </c>
      <c r="H471" s="70">
        <f t="shared" si="50"/>
        <v>8.4282336152083932E-3</v>
      </c>
      <c r="I471" s="71">
        <f t="shared" si="54"/>
        <v>9.5808176118473101E-2</v>
      </c>
      <c r="L471" s="74"/>
      <c r="M471" s="74"/>
      <c r="N471" s="74"/>
      <c r="O471" s="74"/>
      <c r="P471" s="74"/>
      <c r="Q471" s="74"/>
      <c r="R471" s="74"/>
      <c r="S471" s="74"/>
      <c r="T471" s="74"/>
      <c r="U471" s="74"/>
      <c r="V471" s="74"/>
      <c r="W471" s="74"/>
      <c r="X471" s="74"/>
      <c r="Y471" s="74"/>
    </row>
    <row r="472" spans="1:25" x14ac:dyDescent="0.3">
      <c r="A472" s="66">
        <f t="shared" si="52"/>
        <v>2036.4999999999577</v>
      </c>
      <c r="B472" s="67">
        <f>LOOKUP(A472+0.01,AmountsB!$A$4:$A$103,AmountsB!$B$4:$B$103)*0.1*$A$2</f>
        <v>0</v>
      </c>
      <c r="C472" s="68">
        <f t="shared" si="51"/>
        <v>2074573.74105891</v>
      </c>
      <c r="D472" s="67">
        <f t="array" ref="D472">SUM($B$7:$B467*$F$1009*EXP(-$F$1009*($A472-$A$7:$A467)))*$F$1010</f>
        <v>17207321.096903685</v>
      </c>
      <c r="E472" s="67">
        <f t="shared" si="49"/>
        <v>32.804238607892813</v>
      </c>
      <c r="F472" s="70">
        <f t="shared" si="53"/>
        <v>1.9918733682712517</v>
      </c>
      <c r="G472" s="67">
        <f>E472/'Lookup Tables'!$C$48</f>
        <v>65.608477215785626</v>
      </c>
      <c r="H472" s="70">
        <f t="shared" si="50"/>
        <v>8.3110604704308075E-3</v>
      </c>
      <c r="I472" s="71">
        <f t="shared" si="54"/>
        <v>9.4476207190731312E-2</v>
      </c>
      <c r="L472" s="74"/>
      <c r="M472" s="74"/>
      <c r="N472" s="74"/>
      <c r="O472" s="74"/>
      <c r="P472" s="74"/>
      <c r="Q472" s="74"/>
      <c r="R472" s="74"/>
      <c r="S472" s="74"/>
      <c r="T472" s="74"/>
      <c r="U472" s="74"/>
      <c r="V472" s="74"/>
      <c r="W472" s="74"/>
      <c r="X472" s="74"/>
      <c r="Y472" s="74"/>
    </row>
    <row r="473" spans="1:25" x14ac:dyDescent="0.3">
      <c r="A473" s="66">
        <f t="shared" si="52"/>
        <v>2036.5999999999576</v>
      </c>
      <c r="B473" s="67">
        <f>LOOKUP(A473+0.01,AmountsB!$A$4:$A$103,AmountsB!$B$4:$B$103)*0.1*$A$2</f>
        <v>0</v>
      </c>
      <c r="C473" s="68">
        <f t="shared" si="51"/>
        <v>2074573.74105891</v>
      </c>
      <c r="D473" s="67">
        <f t="array" ref="D473">SUM($B$7:$B468*$F$1009*EXP(-$F$1009*($A473-$A$7:$A468)))*$F$1010</f>
        <v>16968097.076999474</v>
      </c>
      <c r="E473" s="67">
        <f t="shared" si="49"/>
        <v>32.348179132656476</v>
      </c>
      <c r="F473" s="70">
        <f t="shared" si="53"/>
        <v>1.9641814369349011</v>
      </c>
      <c r="G473" s="67">
        <f>E473/'Lookup Tables'!$C$48</f>
        <v>64.696358265312952</v>
      </c>
      <c r="H473" s="70">
        <f t="shared" si="50"/>
        <v>8.195516320112067E-3</v>
      </c>
      <c r="I473" s="71">
        <f t="shared" si="54"/>
        <v>9.3162755902050642E-2</v>
      </c>
      <c r="L473" s="74"/>
      <c r="M473" s="74"/>
      <c r="N473" s="74"/>
      <c r="O473" s="74"/>
      <c r="P473" s="74"/>
      <c r="Q473" s="74"/>
      <c r="R473" s="74"/>
      <c r="S473" s="74"/>
      <c r="T473" s="74"/>
      <c r="U473" s="74"/>
      <c r="V473" s="74"/>
      <c r="W473" s="74"/>
      <c r="X473" s="74"/>
      <c r="Y473" s="74"/>
    </row>
    <row r="474" spans="1:25" x14ac:dyDescent="0.3">
      <c r="A474" s="66">
        <f t="shared" si="52"/>
        <v>2036.6999999999575</v>
      </c>
      <c r="B474" s="67">
        <f>LOOKUP(A474+0.01,AmountsB!$A$4:$A$103,AmountsB!$B$4:$B$103)*0.1*$A$2</f>
        <v>0</v>
      </c>
      <c r="C474" s="68">
        <f t="shared" si="51"/>
        <v>2074573.74105891</v>
      </c>
      <c r="D474" s="67">
        <f t="array" ref="D474">SUM($B$7:$B469*$F$1009*EXP(-$F$1009*($A474-$A$7:$A469)))*$F$1010</f>
        <v>16732198.858443243</v>
      </c>
      <c r="E474" s="67">
        <f t="shared" si="49"/>
        <v>31.898460004088118</v>
      </c>
      <c r="F474" s="70">
        <f t="shared" si="53"/>
        <v>1.9368744914482305</v>
      </c>
      <c r="G474" s="67">
        <f>E474/'Lookup Tables'!$C$48</f>
        <v>63.796920008176237</v>
      </c>
      <c r="H474" s="70">
        <f t="shared" si="50"/>
        <v>8.0815785172288195E-3</v>
      </c>
      <c r="I474" s="71">
        <f t="shared" si="54"/>
        <v>9.1867564811773772E-2</v>
      </c>
      <c r="L474" s="74"/>
      <c r="M474" s="74"/>
      <c r="N474" s="74"/>
      <c r="O474" s="74"/>
      <c r="P474" s="74"/>
      <c r="Q474" s="74"/>
      <c r="R474" s="74"/>
      <c r="S474" s="74"/>
      <c r="T474" s="74"/>
      <c r="U474" s="74"/>
      <c r="V474" s="74"/>
      <c r="W474" s="74"/>
      <c r="X474" s="74"/>
      <c r="Y474" s="74"/>
    </row>
    <row r="475" spans="1:25" x14ac:dyDescent="0.3">
      <c r="A475" s="66">
        <f t="shared" si="52"/>
        <v>2036.7999999999574</v>
      </c>
      <c r="B475" s="67">
        <f>LOOKUP(A475+0.01,AmountsB!$A$4:$A$103,AmountsB!$B$4:$B$103)*0.1*$A$2</f>
        <v>0</v>
      </c>
      <c r="C475" s="68">
        <f t="shared" si="51"/>
        <v>2074573.74105891</v>
      </c>
      <c r="D475" s="67">
        <f t="array" ref="D475">SUM($B$7:$B470*$F$1009*EXP(-$F$1009*($A475-$A$7:$A470)))*$F$1010</f>
        <v>16499580.204428948</v>
      </c>
      <c r="E475" s="67">
        <f t="shared" si="49"/>
        <v>31.454993075798804</v>
      </c>
      <c r="F475" s="70">
        <f t="shared" si="53"/>
        <v>1.9099471795625032</v>
      </c>
      <c r="G475" s="67">
        <f>E475/'Lookup Tables'!$C$48</f>
        <v>62.909986151597607</v>
      </c>
      <c r="H475" s="70">
        <f t="shared" si="50"/>
        <v>7.9692247296069395E-3</v>
      </c>
      <c r="I475" s="71">
        <f t="shared" si="54"/>
        <v>9.0590380058300557E-2</v>
      </c>
      <c r="L475" s="74"/>
      <c r="M475" s="74"/>
      <c r="N475" s="74"/>
      <c r="O475" s="74"/>
      <c r="P475" s="74"/>
      <c r="Q475" s="74"/>
      <c r="R475" s="74"/>
      <c r="S475" s="74"/>
      <c r="T475" s="74"/>
      <c r="U475" s="74"/>
      <c r="V475" s="74"/>
      <c r="W475" s="74"/>
      <c r="X475" s="74"/>
      <c r="Y475" s="74"/>
    </row>
    <row r="476" spans="1:25" x14ac:dyDescent="0.3">
      <c r="A476" s="66">
        <f t="shared" si="52"/>
        <v>2036.8999999999573</v>
      </c>
      <c r="B476" s="67">
        <f>LOOKUP(A476+0.01,AmountsB!$A$4:$A$103,AmountsB!$B$4:$B$103)*0.1*$A$2</f>
        <v>0</v>
      </c>
      <c r="C476" s="68">
        <f t="shared" si="51"/>
        <v>2074573.74105891</v>
      </c>
      <c r="D476" s="67">
        <f t="array" ref="D476">SUM($B$7:$B471*$F$1009*EXP(-$F$1009*($A476-$A$7:$A471)))*$F$1010</f>
        <v>16270195.520955723</v>
      </c>
      <c r="E476" s="67">
        <f t="shared" si="49"/>
        <v>31.017691426850924</v>
      </c>
      <c r="F476" s="70">
        <f t="shared" si="53"/>
        <v>1.883394223438388</v>
      </c>
      <c r="G476" s="67">
        <f>E476/'Lookup Tables'!$C$48</f>
        <v>62.035382853701847</v>
      </c>
      <c r="H476" s="70">
        <f t="shared" si="50"/>
        <v>7.8584329355443749E-3</v>
      </c>
      <c r="I476" s="71">
        <f t="shared" si="54"/>
        <v>8.9330951309330664E-2</v>
      </c>
      <c r="L476" s="74"/>
      <c r="M476" s="74"/>
      <c r="N476" s="74"/>
      <c r="O476" s="74"/>
      <c r="P476" s="74"/>
      <c r="Q476" s="74"/>
      <c r="R476" s="74"/>
      <c r="S476" s="74"/>
      <c r="T476" s="74"/>
      <c r="U476" s="74"/>
      <c r="V476" s="74"/>
      <c r="W476" s="74"/>
      <c r="X476" s="74"/>
      <c r="Y476" s="74"/>
    </row>
    <row r="477" spans="1:25" x14ac:dyDescent="0.3">
      <c r="A477" s="66">
        <f t="shared" si="52"/>
        <v>2036.9999999999573</v>
      </c>
      <c r="B477" s="67">
        <f>LOOKUP(A477+0.01,AmountsB!$A$4:$A$103,AmountsB!$B$4:$B$103)*0.1*$A$2</f>
        <v>0</v>
      </c>
      <c r="C477" s="68">
        <f t="shared" si="51"/>
        <v>2074573.74105891</v>
      </c>
      <c r="D477" s="67">
        <f t="array" ref="D477">SUM($B$7:$B472*$F$1009*EXP(-$F$1009*($A477-$A$7:$A472)))*$F$1010</f>
        <v>16043999.84789126</v>
      </c>
      <c r="E477" s="67">
        <f t="shared" si="49"/>
        <v>30.586469344721312</v>
      </c>
      <c r="F477" s="70">
        <f t="shared" si="53"/>
        <v>1.857210418611478</v>
      </c>
      <c r="G477" s="67">
        <f>E477/'Lookup Tables'!$C$48</f>
        <v>61.172938689442624</v>
      </c>
      <c r="H477" s="70">
        <f t="shared" si="50"/>
        <v>7.7491814194948E-3</v>
      </c>
      <c r="I477" s="71">
        <f t="shared" si="54"/>
        <v>8.8089031712797389E-2</v>
      </c>
      <c r="L477" s="74"/>
      <c r="M477" s="74"/>
      <c r="N477" s="74"/>
      <c r="O477" s="74"/>
      <c r="P477" s="74"/>
      <c r="Q477" s="74"/>
      <c r="R477" s="74"/>
      <c r="S477" s="74"/>
      <c r="T477" s="74"/>
      <c r="U477" s="74"/>
      <c r="V477" s="74"/>
      <c r="W477" s="74"/>
      <c r="X477" s="74"/>
      <c r="Y477" s="74"/>
    </row>
    <row r="478" spans="1:25" x14ac:dyDescent="0.3">
      <c r="A478" s="66">
        <f t="shared" si="52"/>
        <v>2037.0999999999572</v>
      </c>
      <c r="B478" s="67">
        <f>LOOKUP(A478+0.01,AmountsB!$A$4:$A$103,AmountsB!$B$4:$B$103)*0.1*$A$2</f>
        <v>0</v>
      </c>
      <c r="C478" s="68">
        <f t="shared" si="51"/>
        <v>2074573.74105891</v>
      </c>
      <c r="D478" s="67">
        <f t="array" ref="D478">SUM($B$7:$B473*$F$1009*EXP(-$F$1009*($A478-$A$7:$A473)))*$F$1010</f>
        <v>15820948.850159505</v>
      </c>
      <c r="E478" s="67">
        <f t="shared" si="49"/>
        <v>30.161242308501382</v>
      </c>
      <c r="F478" s="70">
        <f t="shared" si="53"/>
        <v>1.8313906329722041</v>
      </c>
      <c r="G478" s="67">
        <f>E478/'Lookup Tables'!$C$48</f>
        <v>60.322484617002765</v>
      </c>
      <c r="H478" s="70">
        <f t="shared" si="50"/>
        <v>7.6414487678113192E-3</v>
      </c>
      <c r="I478" s="71">
        <f t="shared" si="54"/>
        <v>8.6864377848483984E-2</v>
      </c>
      <c r="L478" s="74"/>
      <c r="M478" s="74"/>
      <c r="N478" s="74"/>
      <c r="O478" s="74"/>
      <c r="P478" s="74"/>
      <c r="Q478" s="74"/>
      <c r="R478" s="74"/>
      <c r="S478" s="74"/>
      <c r="T478" s="74"/>
      <c r="U478" s="74"/>
      <c r="V478" s="74"/>
      <c r="W478" s="74"/>
      <c r="X478" s="74"/>
      <c r="Y478" s="74"/>
    </row>
    <row r="479" spans="1:25" x14ac:dyDescent="0.3">
      <c r="A479" s="66">
        <f t="shared" si="52"/>
        <v>2037.1999999999571</v>
      </c>
      <c r="B479" s="67">
        <f>LOOKUP(A479+0.01,AmountsB!$A$4:$A$103,AmountsB!$B$4:$B$103)*0.1*$A$2</f>
        <v>0</v>
      </c>
      <c r="C479" s="68">
        <f t="shared" si="51"/>
        <v>2074573.74105891</v>
      </c>
      <c r="D479" s="67">
        <f t="array" ref="D479">SUM($B$7:$B474*$F$1009*EXP(-$F$1009*($A479-$A$7:$A474)))*$F$1010</f>
        <v>15600998.809050836</v>
      </c>
      <c r="E479" s="67">
        <f t="shared" si="49"/>
        <v>29.741926972330727</v>
      </c>
      <c r="F479" s="70">
        <f t="shared" si="53"/>
        <v>1.805929805759922</v>
      </c>
      <c r="G479" s="67">
        <f>E479/'Lookup Tables'!$C$48</f>
        <v>59.483853944661455</v>
      </c>
      <c r="H479" s="70">
        <f t="shared" si="50"/>
        <v>7.5352138645493104E-3</v>
      </c>
      <c r="I479" s="71">
        <f t="shared" si="54"/>
        <v>8.5656749680312491E-2</v>
      </c>
      <c r="L479" s="74"/>
      <c r="M479" s="74"/>
      <c r="N479" s="74"/>
      <c r="O479" s="74"/>
      <c r="P479" s="74"/>
      <c r="Q479" s="74"/>
      <c r="R479" s="74"/>
      <c r="S479" s="74"/>
      <c r="T479" s="74"/>
      <c r="U479" s="74"/>
      <c r="V479" s="74"/>
      <c r="W479" s="74"/>
      <c r="X479" s="74"/>
      <c r="Y479" s="74"/>
    </row>
    <row r="480" spans="1:25" x14ac:dyDescent="0.3">
      <c r="A480" s="66">
        <f t="shared" si="52"/>
        <v>2037.299999999957</v>
      </c>
      <c r="B480" s="67">
        <f>LOOKUP(A480+0.01,AmountsB!$A$4:$A$103,AmountsB!$B$4:$B$103)*0.1*$A$2</f>
        <v>0</v>
      </c>
      <c r="C480" s="68">
        <f t="shared" si="51"/>
        <v>2074573.74105891</v>
      </c>
      <c r="D480" s="67">
        <f t="array" ref="D480">SUM($B$7:$B475*$F$1009*EXP(-$F$1009*($A480-$A$7:$A475)))*$F$1010</f>
        <v>15384106.613653054</v>
      </c>
      <c r="E480" s="67">
        <f t="shared" si="49"/>
        <v>29.328441149061067</v>
      </c>
      <c r="F480" s="70">
        <f t="shared" si="53"/>
        <v>1.7808229465709879</v>
      </c>
      <c r="G480" s="67">
        <f>E480/'Lookup Tables'!$C$48</f>
        <v>58.656882298122135</v>
      </c>
      <c r="H480" s="70">
        <f t="shared" si="50"/>
        <v>7.4304558873276357E-3</v>
      </c>
      <c r="I480" s="71">
        <f t="shared" si="54"/>
        <v>8.4465910509295875E-2</v>
      </c>
      <c r="L480" s="74"/>
      <c r="M480" s="74"/>
      <c r="N480" s="74"/>
      <c r="O480" s="74"/>
      <c r="P480" s="74"/>
      <c r="Q480" s="74"/>
      <c r="R480" s="74"/>
      <c r="S480" s="74"/>
      <c r="T480" s="74"/>
      <c r="U480" s="74"/>
      <c r="V480" s="74"/>
      <c r="W480" s="74"/>
      <c r="X480" s="74"/>
      <c r="Y480" s="74"/>
    </row>
    <row r="481" spans="1:25" x14ac:dyDescent="0.3">
      <c r="A481" s="66">
        <f t="shared" si="52"/>
        <v>2037.3999999999569</v>
      </c>
      <c r="B481" s="67">
        <f>LOOKUP(A481+0.01,AmountsB!$A$4:$A$103,AmountsB!$B$4:$B$103)*0.1*$A$2</f>
        <v>0</v>
      </c>
      <c r="C481" s="68">
        <f t="shared" si="51"/>
        <v>2074573.74105891</v>
      </c>
      <c r="D481" s="67">
        <f t="array" ref="D481">SUM($B$7:$B476*$F$1009*EXP(-$F$1009*($A481-$A$7:$A476)))*$F$1010</f>
        <v>15170229.752401523</v>
      </c>
      <c r="E481" s="67">
        <f t="shared" si="49"/>
        <v>28.920703794147357</v>
      </c>
      <c r="F481" s="70">
        <f t="shared" si="53"/>
        <v>1.7560651343806275</v>
      </c>
      <c r="G481" s="67">
        <f>E481/'Lookup Tables'!$C$48</f>
        <v>57.841407588294715</v>
      </c>
      <c r="H481" s="70">
        <f t="shared" si="50"/>
        <v>7.3271543032474001E-3</v>
      </c>
      <c r="I481" s="71">
        <f t="shared" si="54"/>
        <v>8.3291626927144383E-2</v>
      </c>
      <c r="L481" s="74"/>
      <c r="M481" s="74"/>
      <c r="N481" s="74"/>
      <c r="O481" s="74"/>
      <c r="P481" s="74"/>
      <c r="Q481" s="74"/>
      <c r="R481" s="74"/>
      <c r="S481" s="74"/>
      <c r="T481" s="74"/>
      <c r="U481" s="74"/>
      <c r="V481" s="74"/>
      <c r="W481" s="74"/>
      <c r="X481" s="74"/>
      <c r="Y481" s="74"/>
    </row>
    <row r="482" spans="1:25" x14ac:dyDescent="0.3">
      <c r="A482" s="66">
        <f t="shared" si="52"/>
        <v>2037.4999999999568</v>
      </c>
      <c r="B482" s="67">
        <f>LOOKUP(A482+0.01,AmountsB!$A$4:$A$103,AmountsB!$B$4:$B$103)*0.1*$A$2</f>
        <v>0</v>
      </c>
      <c r="C482" s="68">
        <f t="shared" si="51"/>
        <v>2074573.74105891</v>
      </c>
      <c r="D482" s="67">
        <f t="array" ref="D482">SUM($B$7:$B477*$F$1009*EXP(-$F$1009*($A482-$A$7:$A477)))*$F$1010</f>
        <v>14959326.304746736</v>
      </c>
      <c r="E482" s="67">
        <f t="shared" si="49"/>
        <v>28.518634989762706</v>
      </c>
      <c r="F482" s="70">
        <f t="shared" si="53"/>
        <v>1.7316515165783917</v>
      </c>
      <c r="G482" s="67">
        <f>E482/'Lookup Tables'!$C$48</f>
        <v>57.037269979525412</v>
      </c>
      <c r="H482" s="70">
        <f t="shared" si="50"/>
        <v>7.2252888648674145E-3</v>
      </c>
      <c r="I482" s="71">
        <f t="shared" si="54"/>
        <v>8.2133668770516602E-2</v>
      </c>
      <c r="L482" s="74"/>
      <c r="M482" s="74"/>
      <c r="N482" s="74"/>
      <c r="O482" s="74"/>
      <c r="P482" s="74"/>
      <c r="Q482" s="74"/>
      <c r="R482" s="74"/>
      <c r="S482" s="74"/>
      <c r="T482" s="74"/>
      <c r="U482" s="74"/>
      <c r="V482" s="74"/>
      <c r="W482" s="74"/>
      <c r="X482" s="74"/>
      <c r="Y482" s="74"/>
    </row>
    <row r="483" spans="1:25" x14ac:dyDescent="0.3">
      <c r="A483" s="66">
        <f t="shared" si="52"/>
        <v>2037.5999999999567</v>
      </c>
      <c r="B483" s="67">
        <f>LOOKUP(A483+0.01,AmountsB!$A$4:$A$103,AmountsB!$B$4:$B$103)*0.1*$A$2</f>
        <v>0</v>
      </c>
      <c r="C483" s="68">
        <f t="shared" si="51"/>
        <v>2074573.74105891</v>
      </c>
      <c r="D483" s="67">
        <f t="array" ref="D483">SUM($B$7:$B478*$F$1009*EXP(-$F$1009*($A483-$A$7:$A478)))*$F$1010</f>
        <v>14751354.932937775</v>
      </c>
      <c r="E483" s="67">
        <f t="shared" si="49"/>
        <v>28.122155929134287</v>
      </c>
      <c r="F483" s="70">
        <f t="shared" si="53"/>
        <v>1.7075773080170338</v>
      </c>
      <c r="G483" s="67">
        <f>E483/'Lookup Tables'!$C$48</f>
        <v>56.244311858268574</v>
      </c>
      <c r="H483" s="70">
        <f t="shared" si="50"/>
        <v>7.1248396062356476E-3</v>
      </c>
      <c r="I483" s="71">
        <f t="shared" si="54"/>
        <v>8.0991809075906737E-2</v>
      </c>
      <c r="L483" s="74"/>
      <c r="M483" s="74"/>
      <c r="N483" s="74"/>
      <c r="O483" s="74"/>
      <c r="P483" s="74"/>
      <c r="Q483" s="74"/>
      <c r="R483" s="74"/>
      <c r="S483" s="74"/>
      <c r="T483" s="74"/>
      <c r="U483" s="74"/>
      <c r="V483" s="74"/>
      <c r="W483" s="74"/>
      <c r="X483" s="74"/>
      <c r="Y483" s="74"/>
    </row>
    <row r="484" spans="1:25" x14ac:dyDescent="0.3">
      <c r="A484" s="66">
        <f t="shared" si="52"/>
        <v>2037.6999999999566</v>
      </c>
      <c r="B484" s="67">
        <f>LOOKUP(A484+0.01,AmountsB!$A$4:$A$103,AmountsB!$B$4:$B$103)*0.1*$A$2</f>
        <v>0</v>
      </c>
      <c r="C484" s="68">
        <f t="shared" si="51"/>
        <v>2074573.74105891</v>
      </c>
      <c r="D484" s="67">
        <f t="array" ref="D484">SUM($B$7:$B479*$F$1009*EXP(-$F$1009*($A484-$A$7:$A479)))*$F$1010</f>
        <v>14546274.873919979</v>
      </c>
      <c r="E484" s="67">
        <f t="shared" si="49"/>
        <v>27.731188901096953</v>
      </c>
      <c r="F484" s="70">
        <f t="shared" si="53"/>
        <v>1.6838377900746069</v>
      </c>
      <c r="G484" s="67">
        <f>E484/'Lookup Tables'!$C$48</f>
        <v>55.462377802193906</v>
      </c>
      <c r="H484" s="70">
        <f t="shared" si="50"/>
        <v>7.0257868389758376E-3</v>
      </c>
      <c r="I484" s="71">
        <f t="shared" si="54"/>
        <v>7.9865824035159225E-2</v>
      </c>
      <c r="L484" s="74"/>
      <c r="M484" s="74"/>
      <c r="N484" s="74"/>
      <c r="O484" s="74"/>
      <c r="P484" s="74"/>
      <c r="Q484" s="74"/>
      <c r="R484" s="74"/>
      <c r="S484" s="74"/>
      <c r="T484" s="74"/>
      <c r="U484" s="74"/>
      <c r="V484" s="74"/>
      <c r="W484" s="74"/>
      <c r="X484" s="74"/>
      <c r="Y484" s="74"/>
    </row>
    <row r="485" spans="1:25" x14ac:dyDescent="0.3">
      <c r="A485" s="66">
        <f t="shared" si="52"/>
        <v>2037.7999999999565</v>
      </c>
      <c r="B485" s="67">
        <f>LOOKUP(A485+0.01,AmountsB!$A$4:$A$103,AmountsB!$B$4:$B$103)*0.1*$A$2</f>
        <v>0</v>
      </c>
      <c r="C485" s="68">
        <f t="shared" si="51"/>
        <v>2074573.74105891</v>
      </c>
      <c r="D485" s="67">
        <f t="array" ref="D485">SUM($B$7:$B480*$F$1009*EXP(-$F$1009*($A485-$A$7:$A480)))*$F$1010</f>
        <v>14344045.931345249</v>
      </c>
      <c r="E485" s="67">
        <f t="shared" si="49"/>
        <v>27.345657274861594</v>
      </c>
      <c r="F485" s="70">
        <f t="shared" si="53"/>
        <v>1.660428309729596</v>
      </c>
      <c r="G485" s="67">
        <f>E485/'Lookup Tables'!$C$48</f>
        <v>54.691314549723188</v>
      </c>
      <c r="H485" s="70">
        <f t="shared" si="50"/>
        <v>6.9281111484284993E-3</v>
      </c>
      <c r="I485" s="71">
        <f t="shared" si="54"/>
        <v>7.8755492951601391E-2</v>
      </c>
      <c r="L485" s="74"/>
      <c r="M485" s="74"/>
      <c r="N485" s="74"/>
      <c r="O485" s="74"/>
      <c r="P485" s="74"/>
      <c r="Q485" s="74"/>
      <c r="R485" s="74"/>
      <c r="S485" s="74"/>
      <c r="T485" s="74"/>
      <c r="U485" s="74"/>
      <c r="V485" s="74"/>
      <c r="W485" s="74"/>
      <c r="X485" s="74"/>
      <c r="Y485" s="74"/>
    </row>
    <row r="486" spans="1:25" x14ac:dyDescent="0.3">
      <c r="A486" s="66">
        <f t="shared" si="52"/>
        <v>2037.8999999999564</v>
      </c>
      <c r="B486" s="67">
        <f>LOOKUP(A486+0.01,AmountsB!$A$4:$A$103,AmountsB!$B$4:$B$103)*0.1*$A$2</f>
        <v>0</v>
      </c>
      <c r="C486" s="68">
        <f t="shared" si="51"/>
        <v>2074573.74105891</v>
      </c>
      <c r="D486" s="67">
        <f t="array" ref="D486">SUM($B$7:$B481*$F$1009*EXP(-$F$1009*($A486-$A$7:$A481)))*$F$1010</f>
        <v>14144628.46769342</v>
      </c>
      <c r="E486" s="67">
        <f t="shared" si="49"/>
        <v>26.965485484995217</v>
      </c>
      <c r="F486" s="70">
        <f t="shared" si="53"/>
        <v>1.6373442786489096</v>
      </c>
      <c r="G486" s="67">
        <f>E486/'Lookup Tables'!$C$48</f>
        <v>53.930970969990433</v>
      </c>
      <c r="H486" s="70">
        <f t="shared" si="50"/>
        <v>6.831793389845583E-3</v>
      </c>
      <c r="I486" s="71">
        <f t="shared" si="54"/>
        <v>7.7660598196786224E-2</v>
      </c>
      <c r="L486" s="74"/>
      <c r="M486" s="74"/>
      <c r="N486" s="74"/>
      <c r="O486" s="74"/>
      <c r="P486" s="74"/>
      <c r="Q486" s="74"/>
      <c r="R486" s="74"/>
      <c r="S486" s="74"/>
      <c r="T486" s="74"/>
      <c r="U486" s="74"/>
      <c r="V486" s="74"/>
      <c r="W486" s="74"/>
      <c r="X486" s="74"/>
      <c r="Y486" s="74"/>
    </row>
    <row r="487" spans="1:25" x14ac:dyDescent="0.3">
      <c r="A487" s="66">
        <f t="shared" si="52"/>
        <v>2037.9999999999563</v>
      </c>
      <c r="B487" s="67">
        <f>LOOKUP(A487+0.01,AmountsB!$A$4:$A$103,AmountsB!$B$4:$B$103)*0.1*$A$2</f>
        <v>0</v>
      </c>
      <c r="C487" s="68">
        <f t="shared" si="51"/>
        <v>2074573.74105891</v>
      </c>
      <c r="D487" s="67">
        <f t="array" ref="D487">SUM($B$7:$B482*$F$1009*EXP(-$F$1009*($A487-$A$7:$A482)))*$F$1010</f>
        <v>13947983.396503231</v>
      </c>
      <c r="E487" s="67">
        <f t="shared" si="49"/>
        <v>26.590599016609975</v>
      </c>
      <c r="F487" s="70">
        <f t="shared" si="53"/>
        <v>1.6145811722885575</v>
      </c>
      <c r="G487" s="67">
        <f>E487/'Lookup Tables'!$C$48</f>
        <v>53.18119803321995</v>
      </c>
      <c r="H487" s="70">
        <f t="shared" si="50"/>
        <v>6.73681468463807E-3</v>
      </c>
      <c r="I487" s="71">
        <f t="shared" si="54"/>
        <v>7.6580925167836725E-2</v>
      </c>
      <c r="L487" s="74"/>
      <c r="M487" s="74"/>
      <c r="N487" s="74"/>
      <c r="O487" s="74"/>
      <c r="P487" s="74"/>
      <c r="Q487" s="74"/>
      <c r="R487" s="74"/>
      <c r="S487" s="74"/>
      <c r="T487" s="74"/>
      <c r="U487" s="74"/>
      <c r="V487" s="74"/>
      <c r="W487" s="74"/>
      <c r="X487" s="74"/>
      <c r="Y487" s="74"/>
    </row>
    <row r="488" spans="1:25" x14ac:dyDescent="0.3">
      <c r="A488" s="66">
        <f t="shared" si="52"/>
        <v>2038.0999999999563</v>
      </c>
      <c r="B488" s="67">
        <f>LOOKUP(A488+0.01,AmountsB!$A$4:$A$103,AmountsB!$B$4:$B$103)*0.1*$A$2</f>
        <v>0</v>
      </c>
      <c r="C488" s="68">
        <f t="shared" si="51"/>
        <v>2074573.74105891</v>
      </c>
      <c r="D488" s="67">
        <f t="array" ref="D488">SUM($B$7:$B483*$F$1009*EXP(-$F$1009*($A488-$A$7:$A483)))*$F$1010</f>
        <v>13754072.174711181</v>
      </c>
      <c r="E488" s="67">
        <f t="shared" si="49"/>
        <v>26.220924390757897</v>
      </c>
      <c r="F488" s="70">
        <f t="shared" si="53"/>
        <v>1.5921345290068194</v>
      </c>
      <c r="G488" s="67">
        <f>E488/'Lookup Tables'!$C$48</f>
        <v>52.441848781515795</v>
      </c>
      <c r="H488" s="70">
        <f t="shared" si="50"/>
        <v>6.6431564166756713E-3</v>
      </c>
      <c r="I488" s="71">
        <f t="shared" si="54"/>
        <v>7.5516262245382756E-2</v>
      </c>
      <c r="L488" s="74"/>
      <c r="M488" s="74"/>
      <c r="N488" s="74"/>
      <c r="O488" s="74"/>
      <c r="P488" s="74"/>
      <c r="Q488" s="74"/>
      <c r="R488" s="74"/>
      <c r="S488" s="74"/>
      <c r="T488" s="74"/>
      <c r="U488" s="74"/>
      <c r="V488" s="74"/>
      <c r="W488" s="74"/>
      <c r="X488" s="74"/>
      <c r="Y488" s="74"/>
    </row>
    <row r="489" spans="1:25" x14ac:dyDescent="0.3">
      <c r="A489" s="66">
        <f t="shared" si="52"/>
        <v>2038.1999999999562</v>
      </c>
      <c r="B489" s="67">
        <f>LOOKUP(A489+0.01,AmountsB!$A$4:$A$103,AmountsB!$B$4:$B$103)*0.1*$A$2</f>
        <v>0</v>
      </c>
      <c r="C489" s="68">
        <f t="shared" si="51"/>
        <v>2074573.74105891</v>
      </c>
      <c r="D489" s="67">
        <f t="array" ref="D489">SUM($B$7:$B484*$F$1009*EXP(-$F$1009*($A489-$A$7:$A484)))*$F$1010</f>
        <v>13562856.795097027</v>
      </c>
      <c r="E489" s="67">
        <f t="shared" si="49"/>
        <v>25.856389150028868</v>
      </c>
      <c r="F489" s="70">
        <f t="shared" si="53"/>
        <v>1.5699999491897527</v>
      </c>
      <c r="G489" s="67">
        <f>E489/'Lookup Tables'!$C$48</f>
        <v>51.712778300057735</v>
      </c>
      <c r="H489" s="70">
        <f t="shared" si="50"/>
        <v>6.5508002286380354E-3</v>
      </c>
      <c r="I489" s="71">
        <f t="shared" si="54"/>
        <v>7.4466400752083134E-2</v>
      </c>
      <c r="L489" s="74"/>
      <c r="M489" s="74"/>
      <c r="N489" s="74"/>
      <c r="O489" s="74"/>
      <c r="P489" s="74"/>
      <c r="Q489" s="74"/>
      <c r="R489" s="74"/>
      <c r="S489" s="74"/>
      <c r="T489" s="74"/>
      <c r="U489" s="74"/>
      <c r="V489" s="74"/>
      <c r="W489" s="74"/>
      <c r="X489" s="74"/>
      <c r="Y489" s="74"/>
    </row>
    <row r="490" spans="1:25" x14ac:dyDescent="0.3">
      <c r="A490" s="66">
        <f t="shared" si="52"/>
        <v>2038.2999999999561</v>
      </c>
      <c r="B490" s="67">
        <f>LOOKUP(A490+0.01,AmountsB!$A$4:$A$103,AmountsB!$B$4:$B$103)*0.1*$A$2</f>
        <v>0</v>
      </c>
      <c r="C490" s="68">
        <f t="shared" si="51"/>
        <v>2074573.74105891</v>
      </c>
      <c r="D490" s="67">
        <f t="array" ref="D490">SUM($B$7:$B485*$F$1009*EXP(-$F$1009*($A490-$A$7:$A485)))*$F$1010</f>
        <v>13374299.778834218</v>
      </c>
      <c r="E490" s="67">
        <f t="shared" si="49"/>
        <v>25.496921844348698</v>
      </c>
      <c r="F490" s="70">
        <f t="shared" si="53"/>
        <v>1.5481730943888528</v>
      </c>
      <c r="G490" s="67">
        <f>E490/'Lookup Tables'!$C$48</f>
        <v>50.993843688697396</v>
      </c>
      <c r="H490" s="70">
        <f t="shared" si="50"/>
        <v>6.4597280184166429E-3</v>
      </c>
      <c r="I490" s="71">
        <f t="shared" si="54"/>
        <v>7.3431134911724247E-2</v>
      </c>
      <c r="L490" s="74"/>
      <c r="M490" s="74"/>
      <c r="N490" s="74"/>
      <c r="O490" s="74"/>
      <c r="P490" s="74"/>
      <c r="Q490" s="74"/>
      <c r="R490" s="74"/>
      <c r="S490" s="74"/>
      <c r="T490" s="74"/>
      <c r="U490" s="74"/>
      <c r="V490" s="74"/>
      <c r="W490" s="74"/>
      <c r="X490" s="74"/>
      <c r="Y490" s="74"/>
    </row>
    <row r="491" spans="1:25" x14ac:dyDescent="0.3">
      <c r="A491" s="66">
        <f t="shared" si="52"/>
        <v>2038.399999999956</v>
      </c>
      <c r="B491" s="67">
        <f>LOOKUP(A491+0.01,AmountsB!$A$4:$A$103,AmountsB!$B$4:$B$103)*0.1*$A$2</f>
        <v>0</v>
      </c>
      <c r="C491" s="68">
        <f t="shared" si="51"/>
        <v>2074573.74105891</v>
      </c>
      <c r="D491" s="67">
        <f t="array" ref="D491">SUM($B$7:$B486*$F$1009*EXP(-$F$1009*($A491-$A$7:$A486)))*$F$1010</f>
        <v>13188364.16814393</v>
      </c>
      <c r="E491" s="67">
        <f t="shared" si="49"/>
        <v>25.142452016974698</v>
      </c>
      <c r="F491" s="70">
        <f t="shared" si="53"/>
        <v>1.5266496864707038</v>
      </c>
      <c r="G491" s="67">
        <f>E491/'Lookup Tables'!$C$48</f>
        <v>50.284904033949395</v>
      </c>
      <c r="H491" s="70">
        <f t="shared" si="50"/>
        <v>6.3699219355667375E-3</v>
      </c>
      <c r="I491" s="71">
        <f t="shared" si="54"/>
        <v>7.2410261808887127E-2</v>
      </c>
      <c r="L491" s="74"/>
      <c r="M491" s="74"/>
      <c r="N491" s="74"/>
      <c r="O491" s="74"/>
      <c r="P491" s="74"/>
      <c r="Q491" s="74"/>
      <c r="R491" s="74"/>
      <c r="S491" s="74"/>
      <c r="T491" s="74"/>
      <c r="U491" s="74"/>
      <c r="V491" s="74"/>
      <c r="W491" s="74"/>
      <c r="X491" s="74"/>
      <c r="Y491" s="74"/>
    </row>
    <row r="492" spans="1:25" x14ac:dyDescent="0.3">
      <c r="A492" s="66">
        <f t="shared" si="52"/>
        <v>2038.4999999999559</v>
      </c>
      <c r="B492" s="67">
        <f>LOOKUP(A492+0.01,AmountsB!$A$4:$A$103,AmountsB!$B$4:$B$103)*0.1*$A$2</f>
        <v>0</v>
      </c>
      <c r="C492" s="68">
        <f t="shared" si="51"/>
        <v>2074573.74105891</v>
      </c>
      <c r="D492" s="67">
        <f t="array" ref="D492">SUM($B$7:$B487*$F$1009*EXP(-$F$1009*($A492-$A$7:$A487)))*$F$1010</f>
        <v>13005013.519051215</v>
      </c>
      <c r="E492" s="67">
        <f t="shared" si="49"/>
        <v>24.792910190685898</v>
      </c>
      <c r="F492" s="70">
        <f t="shared" si="53"/>
        <v>1.5054255067784477</v>
      </c>
      <c r="G492" s="67">
        <f>E492/'Lookup Tables'!$C$48</f>
        <v>49.585820381371796</v>
      </c>
      <c r="H492" s="70">
        <f t="shared" si="50"/>
        <v>6.2813643778085746E-3</v>
      </c>
      <c r="I492" s="71">
        <f t="shared" si="54"/>
        <v>7.1403581349175377E-2</v>
      </c>
      <c r="L492" s="74"/>
      <c r="M492" s="74"/>
      <c r="N492" s="74"/>
      <c r="O492" s="74"/>
      <c r="P492" s="74"/>
      <c r="Q492" s="74"/>
      <c r="R492" s="74"/>
      <c r="S492" s="74"/>
      <c r="T492" s="74"/>
      <c r="U492" s="74"/>
      <c r="V492" s="74"/>
      <c r="W492" s="74"/>
      <c r="X492" s="74"/>
      <c r="Y492" s="74"/>
    </row>
    <row r="493" spans="1:25" x14ac:dyDescent="0.3">
      <c r="A493" s="66">
        <f t="shared" si="52"/>
        <v>2038.5999999999558</v>
      </c>
      <c r="B493" s="67">
        <f>LOOKUP(A493+0.01,AmountsB!$A$4:$A$103,AmountsB!$B$4:$B$103)*0.1*$A$2</f>
        <v>0</v>
      </c>
      <c r="C493" s="68">
        <f t="shared" si="51"/>
        <v>2074573.74105891</v>
      </c>
      <c r="D493" s="67">
        <f t="array" ref="D493">SUM($B$7:$B488*$F$1009*EXP(-$F$1009*($A493-$A$7:$A488)))*$F$1010</f>
        <v>12824211.894241886</v>
      </c>
      <c r="E493" s="67">
        <f t="shared" si="49"/>
        <v>24.44822785416536</v>
      </c>
      <c r="F493" s="70">
        <f t="shared" si="53"/>
        <v>1.4844963953049208</v>
      </c>
      <c r="G493" s="67">
        <f>E493/'Lookup Tables'!$C$48</f>
        <v>48.89645570833072</v>
      </c>
      <c r="H493" s="70">
        <f t="shared" si="50"/>
        <v>6.1940379875773345E-3</v>
      </c>
      <c r="I493" s="71">
        <f t="shared" si="54"/>
        <v>7.0410896219996244E-2</v>
      </c>
      <c r="L493" s="74"/>
      <c r="M493" s="74"/>
      <c r="N493" s="74"/>
      <c r="O493" s="74"/>
      <c r="P493" s="74"/>
      <c r="Q493" s="74"/>
      <c r="R493" s="74"/>
      <c r="S493" s="74"/>
      <c r="T493" s="74"/>
      <c r="U493" s="74"/>
      <c r="V493" s="74"/>
      <c r="W493" s="74"/>
      <c r="X493" s="74"/>
      <c r="Y493" s="74"/>
    </row>
    <row r="494" spans="1:25" x14ac:dyDescent="0.3">
      <c r="A494" s="66">
        <f t="shared" si="52"/>
        <v>2038.6999999999557</v>
      </c>
      <c r="B494" s="67">
        <f>LOOKUP(A494+0.01,AmountsB!$A$4:$A$103,AmountsB!$B$4:$B$103)*0.1*$A$2</f>
        <v>0</v>
      </c>
      <c r="C494" s="68">
        <f t="shared" si="51"/>
        <v>2074573.74105891</v>
      </c>
      <c r="D494" s="67">
        <f t="array" ref="D494">SUM($B$7:$B489*$F$1009*EXP(-$F$1009*($A494-$A$7:$A489)))*$F$1010</f>
        <v>12645923.856018668</v>
      </c>
      <c r="E494" s="67">
        <f t="shared" si="49"/>
        <v>24.108337448571664</v>
      </c>
      <c r="F494" s="70">
        <f t="shared" si="53"/>
        <v>1.4638582498772714</v>
      </c>
      <c r="G494" s="67">
        <f>E494/'Lookup Tables'!$C$48</f>
        <v>48.216674897143328</v>
      </c>
      <c r="H494" s="70">
        <f t="shared" si="50"/>
        <v>6.1079256486209644E-3</v>
      </c>
      <c r="I494" s="71">
        <f t="shared" si="54"/>
        <v>6.9432011851886383E-2</v>
      </c>
      <c r="L494" s="74"/>
      <c r="M494" s="74"/>
      <c r="N494" s="74"/>
      <c r="O494" s="74"/>
      <c r="P494" s="74"/>
      <c r="Q494" s="74"/>
      <c r="R494" s="74"/>
      <c r="S494" s="74"/>
      <c r="T494" s="74"/>
      <c r="U494" s="74"/>
      <c r="V494" s="74"/>
      <c r="W494" s="74"/>
      <c r="X494" s="74"/>
      <c r="Y494" s="74"/>
    </row>
    <row r="495" spans="1:25" x14ac:dyDescent="0.3">
      <c r="A495" s="66">
        <f t="shared" si="52"/>
        <v>2038.7999999999556</v>
      </c>
      <c r="B495" s="67">
        <f>LOOKUP(A495+0.01,AmountsB!$A$4:$A$103,AmountsB!$B$4:$B$103)*0.1*$A$2</f>
        <v>0</v>
      </c>
      <c r="C495" s="68">
        <f t="shared" si="51"/>
        <v>2074573.74105891</v>
      </c>
      <c r="D495" s="67">
        <f t="array" ref="D495">SUM($B$7:$B490*$F$1009*EXP(-$F$1009*($A495-$A$7:$A490)))*$F$1010</f>
        <v>12470114.459355311</v>
      </c>
      <c r="E495" s="67">
        <f t="shared" si="49"/>
        <v>23.773172354297216</v>
      </c>
      <c r="F495" s="70">
        <f t="shared" si="53"/>
        <v>1.443507025352927</v>
      </c>
      <c r="G495" s="67">
        <f>E495/'Lookup Tables'!$C$48</f>
        <v>47.546344708594432</v>
      </c>
      <c r="H495" s="70">
        <f t="shared" si="50"/>
        <v>6.02301048264536E-3</v>
      </c>
      <c r="I495" s="71">
        <f t="shared" si="54"/>
        <v>6.8466736380375981E-2</v>
      </c>
      <c r="L495" s="74"/>
      <c r="M495" s="74"/>
      <c r="N495" s="74"/>
      <c r="O495" s="74"/>
      <c r="P495" s="74"/>
      <c r="Q495" s="74"/>
      <c r="R495" s="74"/>
      <c r="S495" s="74"/>
      <c r="T495" s="74"/>
      <c r="U495" s="74"/>
      <c r="V495" s="74"/>
      <c r="W495" s="74"/>
      <c r="X495" s="74"/>
      <c r="Y495" s="74"/>
    </row>
    <row r="496" spans="1:25" x14ac:dyDescent="0.3">
      <c r="A496" s="66">
        <f t="shared" si="52"/>
        <v>2038.8999999999555</v>
      </c>
      <c r="B496" s="67">
        <f>LOOKUP(A496+0.01,AmountsB!$A$4:$A$103,AmountsB!$B$4:$B$103)*0.1*$A$2</f>
        <v>0</v>
      </c>
      <c r="C496" s="68">
        <f t="shared" si="51"/>
        <v>2074573.74105891</v>
      </c>
      <c r="D496" s="67">
        <f t="array" ref="D496">SUM($B$7:$B491*$F$1009*EXP(-$F$1009*($A496-$A$7:$A491)))*$F$1010</f>
        <v>12296749.245047234</v>
      </c>
      <c r="E496" s="67">
        <f t="shared" si="49"/>
        <v>23.44266687791054</v>
      </c>
      <c r="F496" s="70">
        <f t="shared" si="53"/>
        <v>1.4234387328267279</v>
      </c>
      <c r="G496" s="67">
        <f>E496/'Lookup Tables'!$C$48</f>
        <v>46.88533375582108</v>
      </c>
      <c r="H496" s="70">
        <f t="shared" si="50"/>
        <v>5.9392758460061401E-3</v>
      </c>
      <c r="I496" s="71">
        <f t="shared" si="54"/>
        <v>6.7514880608382358E-2</v>
      </c>
      <c r="L496" s="74"/>
      <c r="M496" s="74"/>
      <c r="N496" s="74"/>
      <c r="O496" s="74"/>
      <c r="P496" s="74"/>
      <c r="Q496" s="74"/>
      <c r="R496" s="74"/>
      <c r="S496" s="74"/>
      <c r="T496" s="74"/>
      <c r="U496" s="74"/>
      <c r="V496" s="74"/>
      <c r="W496" s="74"/>
      <c r="X496" s="74"/>
      <c r="Y496" s="74"/>
    </row>
    <row r="497" spans="1:25" x14ac:dyDescent="0.3">
      <c r="A497" s="66">
        <f t="shared" si="52"/>
        <v>2038.9999999999554</v>
      </c>
      <c r="B497" s="67">
        <f>LOOKUP(A497+0.01,AmountsB!$A$4:$A$103,AmountsB!$B$4:$B$103)*0.1*$A$2</f>
        <v>0</v>
      </c>
      <c r="C497" s="68">
        <f t="shared" si="51"/>
        <v>2074573.74105891</v>
      </c>
      <c r="D497" s="67">
        <f t="array" ref="D497">SUM($B$7:$B492*$F$1009*EXP(-$F$1009*($A497-$A$7:$A492)))*$F$1010</f>
        <v>12125794.232957434</v>
      </c>
      <c r="E497" s="67">
        <f t="shared" si="49"/>
        <v>23.11675623928021</v>
      </c>
      <c r="F497" s="70">
        <f t="shared" si="53"/>
        <v>1.4036494388490943</v>
      </c>
      <c r="G497" s="67">
        <f>E497/'Lookup Tables'!$C$48</f>
        <v>46.233512478560421</v>
      </c>
      <c r="H497" s="70">
        <f t="shared" si="50"/>
        <v>5.8567053264464604E-3</v>
      </c>
      <c r="I497" s="71">
        <f t="shared" si="54"/>
        <v>6.6576257969127001E-2</v>
      </c>
      <c r="L497" s="74"/>
      <c r="M497" s="74"/>
      <c r="N497" s="74"/>
      <c r="O497" s="74"/>
      <c r="P497" s="74"/>
      <c r="Q497" s="74"/>
      <c r="R497" s="74"/>
      <c r="S497" s="74"/>
      <c r="T497" s="74"/>
      <c r="U497" s="74"/>
      <c r="V497" s="74"/>
      <c r="W497" s="74"/>
      <c r="X497" s="74"/>
      <c r="Y497" s="74"/>
    </row>
    <row r="498" spans="1:25" x14ac:dyDescent="0.3">
      <c r="A498" s="66">
        <f t="shared" si="52"/>
        <v>2039.0999999999553</v>
      </c>
      <c r="B498" s="67">
        <f>LOOKUP(A498+0.01,AmountsB!$A$4:$A$103,AmountsB!$B$4:$B$103)*0.1*$A$2</f>
        <v>0</v>
      </c>
      <c r="C498" s="68">
        <f t="shared" si="51"/>
        <v>2074573.74105891</v>
      </c>
      <c r="D498" s="67">
        <f t="array" ref="D498">SUM($B$7:$B493*$F$1009*EXP(-$F$1009*($A498-$A$7:$A493)))*$F$1010</f>
        <v>11957215.915356252</v>
      </c>
      <c r="E498" s="67">
        <f t="shared" si="49"/>
        <v>22.795376558877699</v>
      </c>
      <c r="F498" s="70">
        <f t="shared" si="53"/>
        <v>1.3841352646550538</v>
      </c>
      <c r="G498" s="67">
        <f>E498/'Lookup Tables'!$C$48</f>
        <v>45.590753117755398</v>
      </c>
      <c r="H498" s="70">
        <f t="shared" si="50"/>
        <v>5.7752827398801507E-3</v>
      </c>
      <c r="I498" s="71">
        <f t="shared" si="54"/>
        <v>6.5650684489567762E-2</v>
      </c>
      <c r="L498" s="74"/>
      <c r="M498" s="74"/>
      <c r="N498" s="74"/>
      <c r="O498" s="74"/>
      <c r="P498" s="74"/>
      <c r="Q498" s="74"/>
      <c r="R498" s="74"/>
      <c r="S498" s="74"/>
      <c r="T498" s="74"/>
      <c r="U498" s="74"/>
      <c r="V498" s="74"/>
      <c r="W498" s="74"/>
      <c r="X498" s="74"/>
      <c r="Y498" s="74"/>
    </row>
    <row r="499" spans="1:25" x14ac:dyDescent="0.3">
      <c r="A499" s="66">
        <f t="shared" si="52"/>
        <v>2039.1999999999553</v>
      </c>
      <c r="B499" s="67">
        <f>LOOKUP(A499+0.01,AmountsB!$A$4:$A$103,AmountsB!$B$4:$B$103)*0.1*$A$2</f>
        <v>0</v>
      </c>
      <c r="C499" s="68">
        <f t="shared" si="51"/>
        <v>2074573.74105891</v>
      </c>
      <c r="D499" s="67">
        <f t="array" ref="D499">SUM($B$7:$B494*$F$1009*EXP(-$F$1009*($A499-$A$7:$A494)))*$F$1010</f>
        <v>11790981.250353759</v>
      </c>
      <c r="E499" s="67">
        <f t="shared" si="49"/>
        <v>22.478464845256795</v>
      </c>
      <c r="F499" s="70">
        <f t="shared" si="53"/>
        <v>1.3648923854039927</v>
      </c>
      <c r="G499" s="67">
        <f>E499/'Lookup Tables'!$C$48</f>
        <v>44.95692969051359</v>
      </c>
      <c r="H499" s="70">
        <f t="shared" si="50"/>
        <v>5.6949921272195832E-3</v>
      </c>
      <c r="I499" s="71">
        <f t="shared" si="54"/>
        <v>6.4737978754339578E-2</v>
      </c>
      <c r="L499" s="74"/>
      <c r="M499" s="74"/>
      <c r="N499" s="74"/>
      <c r="O499" s="74"/>
      <c r="P499" s="74"/>
      <c r="Q499" s="74"/>
      <c r="R499" s="74"/>
      <c r="S499" s="74"/>
      <c r="T499" s="74"/>
      <c r="U499" s="74"/>
      <c r="V499" s="74"/>
      <c r="W499" s="74"/>
      <c r="X499" s="74"/>
      <c r="Y499" s="74"/>
    </row>
    <row r="500" spans="1:25" x14ac:dyDescent="0.3">
      <c r="A500" s="66">
        <f t="shared" si="52"/>
        <v>2039.2999999999552</v>
      </c>
      <c r="B500" s="67">
        <f>LOOKUP(A500+0.01,AmountsB!$A$4:$A$103,AmountsB!$B$4:$B$103)*0.1*$A$2</f>
        <v>0</v>
      </c>
      <c r="C500" s="68">
        <f t="shared" si="51"/>
        <v>2074573.74105891</v>
      </c>
      <c r="D500" s="67">
        <f t="array" ref="D500">SUM($B$7:$B495*$F$1009*EXP(-$F$1009*($A500-$A$7:$A495)))*$F$1010</f>
        <v>11627057.655423438</v>
      </c>
      <c r="E500" s="67">
        <f t="shared" si="49"/>
        <v>22.165958982707078</v>
      </c>
      <c r="F500" s="70">
        <f t="shared" si="53"/>
        <v>1.3459170294299738</v>
      </c>
      <c r="G500" s="67">
        <f>E500/'Lookup Tables'!$C$48</f>
        <v>44.331917965414156</v>
      </c>
      <c r="H500" s="70">
        <f t="shared" si="50"/>
        <v>5.6158177512476339E-3</v>
      </c>
      <c r="I500" s="71">
        <f t="shared" si="54"/>
        <v>6.3837961870196386E-2</v>
      </c>
      <c r="L500" s="74"/>
      <c r="M500" s="74"/>
      <c r="N500" s="74"/>
      <c r="O500" s="74"/>
      <c r="P500" s="74"/>
      <c r="Q500" s="74"/>
      <c r="R500" s="74"/>
      <c r="S500" s="74"/>
      <c r="T500" s="74"/>
      <c r="U500" s="74"/>
      <c r="V500" s="74"/>
      <c r="W500" s="74"/>
      <c r="X500" s="74"/>
      <c r="Y500" s="74"/>
    </row>
    <row r="501" spans="1:25" x14ac:dyDescent="0.3">
      <c r="A501" s="66">
        <f t="shared" si="52"/>
        <v>2039.3999999999551</v>
      </c>
      <c r="B501" s="67">
        <f>LOOKUP(A501+0.01,AmountsB!$A$4:$A$103,AmountsB!$B$4:$B$103)*0.1*$A$2</f>
        <v>0</v>
      </c>
      <c r="C501" s="68">
        <f t="shared" si="51"/>
        <v>2074573.74105891</v>
      </c>
      <c r="D501" s="67">
        <f t="array" ref="D501">SUM($B$7:$B496*$F$1009*EXP(-$F$1009*($A501-$A$7:$A496)))*$F$1010</f>
        <v>11465413.001015905</v>
      </c>
      <c r="E501" s="67">
        <f t="shared" si="49"/>
        <v>21.857797719079048</v>
      </c>
      <c r="F501" s="70">
        <f t="shared" si="53"/>
        <v>1.32720547750248</v>
      </c>
      <c r="G501" s="67">
        <f>E501/'Lookup Tables'!$C$48</f>
        <v>43.715595438158097</v>
      </c>
      <c r="H501" s="70">
        <f t="shared" si="50"/>
        <v>5.5377440935331489E-3</v>
      </c>
      <c r="I501" s="71">
        <f t="shared" si="54"/>
        <v>6.2950457430947654E-2</v>
      </c>
      <c r="L501" s="74"/>
      <c r="M501" s="74"/>
      <c r="N501" s="74"/>
      <c r="O501" s="74"/>
      <c r="P501" s="74"/>
      <c r="Q501" s="74"/>
      <c r="R501" s="74"/>
      <c r="S501" s="74"/>
      <c r="T501" s="74"/>
      <c r="U501" s="74"/>
      <c r="V501" s="74"/>
      <c r="W501" s="74"/>
      <c r="X501" s="74"/>
      <c r="Y501" s="74"/>
    </row>
    <row r="502" spans="1:25" x14ac:dyDescent="0.3">
      <c r="A502" s="66">
        <f t="shared" si="52"/>
        <v>2039.499999999955</v>
      </c>
      <c r="B502" s="67">
        <f>LOOKUP(A502+0.01,AmountsB!$A$4:$A$103,AmountsB!$B$4:$B$103)*0.1*$A$2</f>
        <v>0</v>
      </c>
      <c r="C502" s="68">
        <f t="shared" si="51"/>
        <v>2074573.74105891</v>
      </c>
      <c r="D502" s="67">
        <f t="array" ref="D502">SUM($B$7:$B497*$F$1009*EXP(-$F$1009*($A502-$A$7:$A497)))*$F$1010</f>
        <v>11306015.604261419</v>
      </c>
      <c r="E502" s="67">
        <f t="shared" si="49"/>
        <v>21.553920653778508</v>
      </c>
      <c r="F502" s="70">
        <f t="shared" si="53"/>
        <v>1.3087540620974312</v>
      </c>
      <c r="G502" s="67">
        <f>E502/'Lookup Tables'!$C$48</f>
        <v>43.107841307557017</v>
      </c>
      <c r="H502" s="70">
        <f t="shared" si="50"/>
        <v>5.4607558513892762E-3</v>
      </c>
      <c r="I502" s="71">
        <f t="shared" si="54"/>
        <v>6.2075291482882107E-2</v>
      </c>
      <c r="L502" s="74"/>
      <c r="M502" s="74"/>
      <c r="N502" s="74"/>
      <c r="O502" s="74"/>
      <c r="P502" s="74"/>
      <c r="Q502" s="74"/>
      <c r="R502" s="74"/>
      <c r="S502" s="74"/>
      <c r="T502" s="74"/>
      <c r="U502" s="74"/>
      <c r="V502" s="74"/>
      <c r="W502" s="74"/>
      <c r="X502" s="74"/>
      <c r="Y502" s="74"/>
    </row>
    <row r="503" spans="1:25" x14ac:dyDescent="0.3">
      <c r="A503" s="66">
        <f t="shared" si="52"/>
        <v>2039.5999999999549</v>
      </c>
      <c r="B503" s="67">
        <f>LOOKUP(A503+0.01,AmountsB!$A$4:$A$103,AmountsB!$B$4:$B$103)*0.1*$A$2</f>
        <v>0</v>
      </c>
      <c r="C503" s="68">
        <f t="shared" si="51"/>
        <v>2074573.74105891</v>
      </c>
      <c r="D503" s="67">
        <f t="array" ref="D503">SUM($B$7:$B498*$F$1009*EXP(-$F$1009*($A503-$A$7:$A498)))*$F$1010</f>
        <v>11148834.222759925</v>
      </c>
      <c r="E503" s="67">
        <f t="shared" si="49"/>
        <v>21.254268225927841</v>
      </c>
      <c r="F503" s="70">
        <f t="shared" si="53"/>
        <v>1.2905591666783385</v>
      </c>
      <c r="G503" s="67">
        <f>E503/'Lookup Tables'!$C$48</f>
        <v>42.508536451855683</v>
      </c>
      <c r="H503" s="70">
        <f t="shared" si="50"/>
        <v>5.3848379348740887E-3</v>
      </c>
      <c r="I503" s="71">
        <f t="shared" si="54"/>
        <v>6.1212292490672192E-2</v>
      </c>
      <c r="L503" s="74"/>
      <c r="M503" s="74"/>
      <c r="N503" s="74"/>
      <c r="O503" s="74"/>
      <c r="P503" s="74"/>
      <c r="Q503" s="74"/>
      <c r="R503" s="74"/>
      <c r="S503" s="74"/>
      <c r="T503" s="74"/>
      <c r="U503" s="74"/>
      <c r="V503" s="74"/>
      <c r="W503" s="74"/>
      <c r="X503" s="74"/>
      <c r="Y503" s="74"/>
    </row>
    <row r="504" spans="1:25" x14ac:dyDescent="0.3">
      <c r="A504" s="66">
        <f t="shared" si="52"/>
        <v>2039.6999999999548</v>
      </c>
      <c r="B504" s="67">
        <f>LOOKUP(A504+0.01,AmountsB!$A$4:$A$103,AmountsB!$B$4:$B$103)*0.1*$A$2</f>
        <v>0</v>
      </c>
      <c r="C504" s="68">
        <f t="shared" si="51"/>
        <v>2074573.74105891</v>
      </c>
      <c r="D504" s="67">
        <f t="array" ref="D504">SUM($B$7:$B499*$F$1009*EXP(-$F$1009*($A504-$A$7:$A499)))*$F$1010</f>
        <v>10993838.048457455</v>
      </c>
      <c r="E504" s="67">
        <f t="shared" si="49"/>
        <v>20.958781702691883</v>
      </c>
      <c r="F504" s="70">
        <f t="shared" si="53"/>
        <v>1.272617224987451</v>
      </c>
      <c r="G504" s="67">
        <f>E504/'Lookup Tables'!$C$48</f>
        <v>41.917563405383767</v>
      </c>
      <c r="H504" s="70">
        <f t="shared" si="50"/>
        <v>5.3099754638329059E-3</v>
      </c>
      <c r="I504" s="71">
        <f t="shared" si="54"/>
        <v>6.0361291303752618E-2</v>
      </c>
      <c r="L504" s="74"/>
      <c r="M504" s="74"/>
      <c r="N504" s="74"/>
      <c r="O504" s="74"/>
      <c r="P504" s="74"/>
      <c r="Q504" s="74"/>
      <c r="R504" s="74"/>
      <c r="S504" s="74"/>
      <c r="T504" s="74"/>
      <c r="U504" s="74"/>
      <c r="V504" s="74"/>
      <c r="W504" s="74"/>
      <c r="X504" s="74"/>
      <c r="Y504" s="74"/>
    </row>
    <row r="505" spans="1:25" x14ac:dyDescent="0.3">
      <c r="A505" s="66">
        <f t="shared" si="52"/>
        <v>2039.7999999999547</v>
      </c>
      <c r="B505" s="67">
        <f>LOOKUP(A505+0.01,AmountsB!$A$4:$A$103,AmountsB!$B$4:$B$103)*0.1*$A$2</f>
        <v>0</v>
      </c>
      <c r="C505" s="68">
        <f t="shared" si="51"/>
        <v>2074573.74105891</v>
      </c>
      <c r="D505" s="67">
        <f t="array" ref="D505">SUM($B$7:$B500*$F$1009*EXP(-$F$1009*($A505-$A$7:$A500)))*$F$1010</f>
        <v>10840996.701607646</v>
      </c>
      <c r="E505" s="67">
        <f t="shared" si="49"/>
        <v>20.667403167766132</v>
      </c>
      <c r="F505" s="70">
        <f t="shared" si="53"/>
        <v>1.2549247203467595</v>
      </c>
      <c r="G505" s="67">
        <f>E505/'Lookup Tables'!$C$48</f>
        <v>41.334806335532264</v>
      </c>
      <c r="H505" s="70">
        <f t="shared" si="50"/>
        <v>5.2361537649817467E-3</v>
      </c>
      <c r="I505" s="71">
        <f t="shared" si="54"/>
        <v>5.952212112316646E-2</v>
      </c>
      <c r="L505" s="74"/>
      <c r="M505" s="74"/>
      <c r="N505" s="74"/>
      <c r="O505" s="74"/>
      <c r="P505" s="74"/>
      <c r="Q505" s="74"/>
      <c r="R505" s="74"/>
      <c r="S505" s="74"/>
      <c r="T505" s="74"/>
      <c r="U505" s="74"/>
      <c r="V505" s="74"/>
      <c r="W505" s="74"/>
      <c r="X505" s="74"/>
      <c r="Y505" s="74"/>
    </row>
    <row r="506" spans="1:25" x14ac:dyDescent="0.3">
      <c r="A506" s="66">
        <f t="shared" si="52"/>
        <v>2039.8999999999546</v>
      </c>
      <c r="B506" s="67">
        <f>LOOKUP(A506+0.01,AmountsB!$A$4:$A$103,AmountsB!$B$4:$B$103)*0.1*$A$2</f>
        <v>0</v>
      </c>
      <c r="C506" s="68">
        <f t="shared" si="51"/>
        <v>2074573.74105891</v>
      </c>
      <c r="D506" s="67">
        <f t="array" ref="D506">SUM($B$7:$B501*$F$1009*EXP(-$F$1009*($A506-$A$7:$A501)))*$F$1010</f>
        <v>10690280.22481722</v>
      </c>
      <c r="E506" s="67">
        <f t="shared" si="49"/>
        <v>20.38007551002493</v>
      </c>
      <c r="F506" s="70">
        <f t="shared" si="53"/>
        <v>1.2374781849687138</v>
      </c>
      <c r="G506" s="67">
        <f>E506/'Lookup Tables'!$C$48</f>
        <v>40.760151020049861</v>
      </c>
      <c r="H506" s="70">
        <f t="shared" si="50"/>
        <v>5.1633583690313027E-3</v>
      </c>
      <c r="I506" s="71">
        <f t="shared" si="54"/>
        <v>5.86946174688718E-2</v>
      </c>
      <c r="L506" s="74"/>
      <c r="M506" s="74"/>
      <c r="N506" s="74"/>
      <c r="O506" s="74"/>
      <c r="P506" s="74"/>
      <c r="Q506" s="74"/>
      <c r="R506" s="74"/>
      <c r="S506" s="74"/>
      <c r="T506" s="74"/>
      <c r="U506" s="74"/>
      <c r="V506" s="74"/>
      <c r="W506" s="74"/>
      <c r="X506" s="74"/>
      <c r="Y506" s="74"/>
    </row>
    <row r="507" spans="1:25" x14ac:dyDescent="0.3">
      <c r="A507" s="66">
        <f t="shared" si="52"/>
        <v>2039.9999999999545</v>
      </c>
      <c r="B507" s="67">
        <f>LOOKUP(A507+0.01,AmountsB!$A$4:$A$103,AmountsB!$B$4:$B$103)*0.1*$A$2</f>
        <v>0</v>
      </c>
      <c r="C507" s="68">
        <f t="shared" si="51"/>
        <v>2074573.74105891</v>
      </c>
      <c r="D507" s="67">
        <f t="array" ref="D507">SUM($B$7:$B502*$F$1009*EXP(-$F$1009*($A507-$A$7:$A502)))*$F$1010</f>
        <v>10541659.077174233</v>
      </c>
      <c r="E507" s="67">
        <f t="shared" si="49"/>
        <v>20.09674241232754</v>
      </c>
      <c r="F507" s="70">
        <f t="shared" si="53"/>
        <v>1.220274199276528</v>
      </c>
      <c r="G507" s="67">
        <f>E507/'Lookup Tables'!$C$48</f>
        <v>40.19348482465508</v>
      </c>
      <c r="H507" s="70">
        <f t="shared" si="50"/>
        <v>5.0915750078509301E-3</v>
      </c>
      <c r="I507" s="71">
        <f t="shared" si="54"/>
        <v>5.7878618147503308E-2</v>
      </c>
      <c r="L507" s="74"/>
      <c r="M507" s="74"/>
      <c r="N507" s="74"/>
      <c r="O507" s="74"/>
      <c r="P507" s="74"/>
      <c r="Q507" s="74"/>
      <c r="R507" s="74"/>
      <c r="S507" s="74"/>
      <c r="T507" s="74"/>
      <c r="U507" s="74"/>
      <c r="V507" s="74"/>
      <c r="W507" s="74"/>
      <c r="X507" s="74"/>
      <c r="Y507" s="74"/>
    </row>
    <row r="508" spans="1:25" x14ac:dyDescent="0.3">
      <c r="A508" s="66">
        <f t="shared" si="52"/>
        <v>2040.0999999999544</v>
      </c>
      <c r="B508" s="67">
        <f>LOOKUP(A508+0.01,AmountsB!$A$4:$A$103,AmountsB!$B$4:$B$103)*0.1*$A$2</f>
        <v>0</v>
      </c>
      <c r="C508" s="68">
        <f t="shared" si="51"/>
        <v>2074573.74105891</v>
      </c>
      <c r="D508" s="67">
        <f t="array" ref="D508">SUM($B$7:$B503*$F$1009*EXP(-$F$1009*($A508-$A$7:$A503)))*$F$1010</f>
        <v>10395104.128457952</v>
      </c>
      <c r="E508" s="67">
        <f t="shared" si="49"/>
        <v>19.817348340479747</v>
      </c>
      <c r="F508" s="70">
        <f t="shared" si="53"/>
        <v>1.2033093912339303</v>
      </c>
      <c r="G508" s="67">
        <f>E508/'Lookup Tables'!$C$48</f>
        <v>39.634696680959493</v>
      </c>
      <c r="H508" s="70">
        <f t="shared" si="50"/>
        <v>5.0207896116720302E-3</v>
      </c>
      <c r="I508" s="71">
        <f t="shared" si="54"/>
        <v>5.7073963220581676E-2</v>
      </c>
      <c r="L508" s="74"/>
      <c r="M508" s="74"/>
      <c r="N508" s="74"/>
      <c r="O508" s="74"/>
      <c r="P508" s="74"/>
      <c r="Q508" s="74"/>
      <c r="R508" s="74"/>
      <c r="S508" s="74"/>
      <c r="T508" s="74"/>
      <c r="U508" s="74"/>
      <c r="V508" s="74"/>
      <c r="W508" s="74"/>
      <c r="X508" s="74"/>
      <c r="Y508" s="74"/>
    </row>
    <row r="509" spans="1:25" x14ac:dyDescent="0.3">
      <c r="A509" s="66">
        <f t="shared" si="52"/>
        <v>2040.1999999999543</v>
      </c>
      <c r="B509" s="67">
        <f>LOOKUP(A509+0.01,AmountsB!$A$4:$A$103,AmountsB!$B$4:$B$103)*0.1*$A$2</f>
        <v>0</v>
      </c>
      <c r="C509" s="68">
        <f t="shared" si="51"/>
        <v>2074573.74105891</v>
      </c>
      <c r="D509" s="67">
        <f t="array" ref="D509">SUM($B$7:$B504*$F$1009*EXP(-$F$1009*($A509-$A$7:$A504)))*$F$1010</f>
        <v>10250586.653429255</v>
      </c>
      <c r="E509" s="67">
        <f t="shared" si="49"/>
        <v>19.541838532349026</v>
      </c>
      <c r="F509" s="70">
        <f t="shared" si="53"/>
        <v>1.1865804356842329</v>
      </c>
      <c r="G509" s="67">
        <f>E509/'Lookup Tables'!$C$48</f>
        <v>39.083677064698051</v>
      </c>
      <c r="H509" s="70">
        <f t="shared" si="50"/>
        <v>4.9509883063303395E-3</v>
      </c>
      <c r="I509" s="71">
        <f t="shared" si="54"/>
        <v>5.6280494973165202E-2</v>
      </c>
      <c r="L509" s="74"/>
      <c r="M509" s="74"/>
      <c r="N509" s="74"/>
      <c r="O509" s="74"/>
      <c r="P509" s="74"/>
      <c r="Q509" s="74"/>
      <c r="R509" s="74"/>
      <c r="S509" s="74"/>
      <c r="T509" s="74"/>
      <c r="U509" s="74"/>
      <c r="V509" s="74"/>
      <c r="W509" s="74"/>
      <c r="X509" s="74"/>
      <c r="Y509" s="74"/>
    </row>
    <row r="510" spans="1:25" x14ac:dyDescent="0.3">
      <c r="A510" s="66">
        <f t="shared" si="52"/>
        <v>2040.2999999999543</v>
      </c>
      <c r="B510" s="67">
        <f>LOOKUP(A510+0.01,AmountsB!$A$4:$A$103,AmountsB!$B$4:$B$103)*0.1*$A$2</f>
        <v>0</v>
      </c>
      <c r="C510" s="68">
        <f t="shared" si="51"/>
        <v>2074573.74105891</v>
      </c>
      <c r="D510" s="67">
        <f t="array" ref="D510">SUM($B$7:$B505*$F$1009*EXP(-$F$1009*($A510-$A$7:$A505)))*$F$1010</f>
        <v>10108078.326200385</v>
      </c>
      <c r="E510" s="67">
        <f t="shared" si="49"/>
        <v>19.270158987130991</v>
      </c>
      <c r="F510" s="70">
        <f t="shared" si="53"/>
        <v>1.1700840536985937</v>
      </c>
      <c r="G510" s="67">
        <f>E510/'Lookup Tables'!$C$48</f>
        <v>38.540317974261981</v>
      </c>
      <c r="H510" s="70">
        <f t="shared" si="50"/>
        <v>4.8821574105465558E-3</v>
      </c>
      <c r="I510" s="71">
        <f t="shared" si="54"/>
        <v>5.5498057882937255E-2</v>
      </c>
      <c r="L510" s="74"/>
      <c r="M510" s="74"/>
      <c r="N510" s="74"/>
      <c r="O510" s="74"/>
      <c r="P510" s="74"/>
      <c r="Q510" s="74"/>
      <c r="R510" s="74"/>
      <c r="S510" s="74"/>
      <c r="T510" s="74"/>
      <c r="U510" s="74"/>
      <c r="V510" s="74"/>
      <c r="W510" s="74"/>
      <c r="X510" s="74"/>
      <c r="Y510" s="74"/>
    </row>
    <row r="511" spans="1:25" x14ac:dyDescent="0.3">
      <c r="A511" s="66">
        <f t="shared" si="52"/>
        <v>2040.3999999999542</v>
      </c>
      <c r="B511" s="67">
        <f>LOOKUP(A511+0.01,AmountsB!$A$4:$A$103,AmountsB!$B$4:$B$103)*0.1*$A$2</f>
        <v>0</v>
      </c>
      <c r="C511" s="68">
        <f t="shared" si="51"/>
        <v>2074573.74105891</v>
      </c>
      <c r="D511" s="67">
        <f t="array" ref="D511">SUM($B$7:$B506*$F$1009*EXP(-$F$1009*($A511-$A$7:$A506)))*$F$1010</f>
        <v>9967551.214682987</v>
      </c>
      <c r="E511" s="67">
        <f t="shared" si="49"/>
        <v>19.002256454765032</v>
      </c>
      <c r="F511" s="70">
        <f t="shared" si="53"/>
        <v>1.1538170119333329</v>
      </c>
      <c r="G511" s="67">
        <f>E511/'Lookup Tables'!$C$48</f>
        <v>38.004512909530064</v>
      </c>
      <c r="H511" s="70">
        <f t="shared" si="50"/>
        <v>4.8142834332447534E-3</v>
      </c>
      <c r="I511" s="71">
        <f t="shared" si="54"/>
        <v>5.4726498589723296E-2</v>
      </c>
      <c r="L511" s="74"/>
      <c r="M511" s="74"/>
      <c r="N511" s="74"/>
      <c r="O511" s="74"/>
      <c r="P511" s="74"/>
      <c r="Q511" s="74"/>
      <c r="R511" s="74"/>
      <c r="S511" s="74"/>
      <c r="T511" s="74"/>
      <c r="U511" s="74"/>
      <c r="V511" s="74"/>
      <c r="W511" s="74"/>
      <c r="X511" s="74"/>
      <c r="Y511" s="74"/>
    </row>
    <row r="512" spans="1:25" x14ac:dyDescent="0.3">
      <c r="A512" s="66">
        <f t="shared" si="52"/>
        <v>2040.4999999999541</v>
      </c>
      <c r="B512" s="67">
        <f>LOOKUP(A512+0.01,AmountsB!$A$4:$A$103,AmountsB!$B$4:$B$103)*0.1*$A$2</f>
        <v>0</v>
      </c>
      <c r="C512" s="68">
        <f t="shared" si="51"/>
        <v>2074573.74105891</v>
      </c>
      <c r="D512" s="67">
        <f t="array" ref="D512">SUM($B$7:$B507*$F$1009*EXP(-$F$1009*($A512-$A$7:$A507)))*$F$1010</f>
        <v>9828977.7751133237</v>
      </c>
      <c r="E512" s="67">
        <f t="shared" si="49"/>
        <v>18.73807842549715</v>
      </c>
      <c r="F512" s="70">
        <f t="shared" si="53"/>
        <v>1.1377761219961868</v>
      </c>
      <c r="G512" s="67">
        <f>E512/'Lookup Tables'!$C$48</f>
        <v>37.4761568509943</v>
      </c>
      <c r="H512" s="70">
        <f t="shared" si="50"/>
        <v>4.7473530709080895E-3</v>
      </c>
      <c r="I512" s="71">
        <f t="shared" si="54"/>
        <v>5.3965665865431785E-2</v>
      </c>
      <c r="L512" s="74"/>
      <c r="M512" s="74"/>
      <c r="N512" s="74"/>
      <c r="O512" s="74"/>
      <c r="P512" s="74"/>
      <c r="Q512" s="74"/>
      <c r="R512" s="74"/>
      <c r="S512" s="74"/>
      <c r="T512" s="74"/>
      <c r="U512" s="74"/>
      <c r="V512" s="74"/>
      <c r="W512" s="74"/>
      <c r="X512" s="74"/>
      <c r="Y512" s="74"/>
    </row>
    <row r="513" spans="1:25" x14ac:dyDescent="0.3">
      <c r="A513" s="66">
        <f t="shared" si="52"/>
        <v>2040.599999999954</v>
      </c>
      <c r="B513" s="67">
        <f>LOOKUP(A513+0.01,AmountsB!$A$4:$A$103,AmountsB!$B$4:$B$103)*0.1*$A$2</f>
        <v>0</v>
      </c>
      <c r="C513" s="68">
        <f t="shared" si="51"/>
        <v>2074573.74105891</v>
      </c>
      <c r="D513" s="67">
        <f t="array" ref="D513">SUM($B$7:$B508*$F$1009*EXP(-$F$1009*($A513-$A$7:$A508)))*$F$1010</f>
        <v>9692330.8466536161</v>
      </c>
      <c r="E513" s="67">
        <f t="shared" si="49"/>
        <v>18.477573119587884</v>
      </c>
      <c r="F513" s="70">
        <f t="shared" si="53"/>
        <v>1.1219582398213763</v>
      </c>
      <c r="G513" s="67">
        <f>E513/'Lookup Tables'!$C$48</f>
        <v>36.955146239175768</v>
      </c>
      <c r="H513" s="70">
        <f t="shared" si="50"/>
        <v>4.6813532049712822E-3</v>
      </c>
      <c r="I513" s="71">
        <f t="shared" si="54"/>
        <v>5.3215410584413113E-2</v>
      </c>
      <c r="L513" s="74"/>
      <c r="M513" s="74"/>
      <c r="N513" s="74"/>
      <c r="O513" s="74"/>
      <c r="P513" s="74"/>
      <c r="Q513" s="74"/>
      <c r="R513" s="74"/>
      <c r="S513" s="74"/>
      <c r="T513" s="74"/>
      <c r="U513" s="74"/>
      <c r="V513" s="74"/>
      <c r="W513" s="74"/>
      <c r="X513" s="74"/>
      <c r="Y513" s="74"/>
    </row>
    <row r="514" spans="1:25" x14ac:dyDescent="0.3">
      <c r="A514" s="66">
        <f t="shared" si="52"/>
        <v>2040.6999999999539</v>
      </c>
      <c r="B514" s="67">
        <f>LOOKUP(A514+0.01,AmountsB!$A$4:$A$103,AmountsB!$B$4:$B$103)*0.1*$A$2</f>
        <v>0</v>
      </c>
      <c r="C514" s="68">
        <f t="shared" si="51"/>
        <v>2074573.74105891</v>
      </c>
      <c r="D514" s="67">
        <f t="array" ref="D514">SUM($B$7:$B509*$F$1009*EXP(-$F$1009*($A514-$A$7:$A509)))*$F$1010</f>
        <v>9557583.6460684389</v>
      </c>
      <c r="E514" s="67">
        <f t="shared" si="49"/>
        <v>18.220689477163312</v>
      </c>
      <c r="F514" s="70">
        <f t="shared" si="53"/>
        <v>1.1063602650533564</v>
      </c>
      <c r="G514" s="67">
        <f>E514/'Lookup Tables'!$C$48</f>
        <v>36.441378954326623</v>
      </c>
      <c r="H514" s="70">
        <f t="shared" si="50"/>
        <v>4.6162708992493178E-3</v>
      </c>
      <c r="I514" s="71">
        <f t="shared" si="54"/>
        <v>5.2475585694230338E-2</v>
      </c>
      <c r="L514" s="74"/>
      <c r="M514" s="74"/>
      <c r="N514" s="74"/>
      <c r="O514" s="74"/>
      <c r="P514" s="74"/>
      <c r="Q514" s="74"/>
      <c r="R514" s="74"/>
      <c r="S514" s="74"/>
      <c r="T514" s="74"/>
      <c r="U514" s="74"/>
      <c r="V514" s="74"/>
      <c r="W514" s="74"/>
      <c r="X514" s="74"/>
      <c r="Y514" s="74"/>
    </row>
    <row r="515" spans="1:25" x14ac:dyDescent="0.3">
      <c r="A515" s="66">
        <f t="shared" si="52"/>
        <v>2040.7999999999538</v>
      </c>
      <c r="B515" s="67">
        <f>LOOKUP(A515+0.01,AmountsB!$A$4:$A$103,AmountsB!$B$4:$B$103)*0.1*$A$2</f>
        <v>0</v>
      </c>
      <c r="C515" s="68">
        <f t="shared" si="51"/>
        <v>2074573.74105891</v>
      </c>
      <c r="D515" s="67">
        <f t="array" ref="D515">SUM($B$7:$B510*$F$1009*EXP(-$F$1009*($A515-$A$7:$A510)))*$F$1010</f>
        <v>9424709.7624750976</v>
      </c>
      <c r="E515" s="67">
        <f t="shared" si="49"/>
        <v>17.967377148207142</v>
      </c>
      <c r="F515" s="70">
        <f t="shared" si="53"/>
        <v>1.0909791404391376</v>
      </c>
      <c r="G515" s="67">
        <f>E515/'Lookup Tables'!$C$48</f>
        <v>35.934754296414283</v>
      </c>
      <c r="H515" s="70">
        <f t="shared" si="50"/>
        <v>4.552093397401924E-3</v>
      </c>
      <c r="I515" s="71">
        <f t="shared" si="54"/>
        <v>5.1746046186836564E-2</v>
      </c>
      <c r="L515" s="74"/>
      <c r="M515" s="74"/>
      <c r="N515" s="74"/>
      <c r="O515" s="74"/>
      <c r="P515" s="74"/>
      <c r="Q515" s="74"/>
      <c r="R515" s="74"/>
      <c r="S515" s="74"/>
      <c r="T515" s="74"/>
      <c r="U515" s="74"/>
      <c r="V515" s="74"/>
      <c r="W515" s="74"/>
      <c r="X515" s="74"/>
      <c r="Y515" s="74"/>
    </row>
    <row r="516" spans="1:25" x14ac:dyDescent="0.3">
      <c r="A516" s="66">
        <f t="shared" si="52"/>
        <v>2040.8999999999537</v>
      </c>
      <c r="B516" s="67">
        <f>LOOKUP(A516+0.01,AmountsB!$A$4:$A$103,AmountsB!$B$4:$B$103)*0.1*$A$2</f>
        <v>0</v>
      </c>
      <c r="C516" s="68">
        <f t="shared" si="51"/>
        <v>2074573.74105891</v>
      </c>
      <c r="D516" s="67">
        <f t="array" ref="D516">SUM($B$7:$B511*$F$1009*EXP(-$F$1009*($A516-$A$7:$A511)))*$F$1010</f>
        <v>9293683.1521670353</v>
      </c>
      <c r="E516" s="67">
        <f t="shared" si="49"/>
        <v>17.717586482691953</v>
      </c>
      <c r="F516" s="70">
        <f t="shared" si="53"/>
        <v>1.0758118512290553</v>
      </c>
      <c r="G516" s="67">
        <f>E516/'Lookup Tables'!$C$48</f>
        <v>35.435172965383906</v>
      </c>
      <c r="H516" s="70">
        <f t="shared" si="50"/>
        <v>4.4888081204332827E-3</v>
      </c>
      <c r="I516" s="71">
        <f t="shared" si="54"/>
        <v>5.1026649070152821E-2</v>
      </c>
      <c r="L516" s="74"/>
      <c r="M516" s="74"/>
      <c r="N516" s="74"/>
      <c r="O516" s="74"/>
      <c r="P516" s="74"/>
      <c r="Q516" s="74"/>
      <c r="R516" s="74"/>
      <c r="S516" s="74"/>
      <c r="T516" s="74"/>
      <c r="U516" s="74"/>
      <c r="V516" s="74"/>
      <c r="W516" s="74"/>
      <c r="X516" s="74"/>
      <c r="Y516" s="74"/>
    </row>
    <row r="517" spans="1:25" x14ac:dyDescent="0.3">
      <c r="A517" s="66">
        <f t="shared" si="52"/>
        <v>2040.9999999999536</v>
      </c>
      <c r="B517" s="67">
        <f>LOOKUP(A517+0.01,AmountsB!$A$4:$A$103,AmountsB!$B$4:$B$103)*0.1*$A$2</f>
        <v>0</v>
      </c>
      <c r="C517" s="68">
        <f t="shared" si="51"/>
        <v>2074573.74105891</v>
      </c>
      <c r="D517" s="67">
        <f t="array" ref="D517">SUM($B$7:$B512*$F$1009*EXP(-$F$1009*($A517-$A$7:$A512)))*$F$1010</f>
        <v>9164478.133509161</v>
      </c>
      <c r="E517" s="67">
        <f t="shared" si="49"/>
        <v>17.47126852084763</v>
      </c>
      <c r="F517" s="70">
        <f t="shared" si="53"/>
        <v>1.0608554245858681</v>
      </c>
      <c r="G517" s="67">
        <f>E517/'Lookup Tables'!$C$48</f>
        <v>34.94253704169526</v>
      </c>
      <c r="H517" s="70">
        <f t="shared" si="50"/>
        <v>4.4264026642265083E-3</v>
      </c>
      <c r="I517" s="71">
        <f t="shared" si="54"/>
        <v>5.0317253340041175E-2</v>
      </c>
      <c r="L517" s="74"/>
      <c r="M517" s="74"/>
      <c r="N517" s="74"/>
      <c r="O517" s="74"/>
      <c r="P517" s="74"/>
      <c r="Q517" s="74"/>
      <c r="R517" s="74"/>
      <c r="S517" s="74"/>
      <c r="T517" s="74"/>
      <c r="U517" s="74"/>
      <c r="V517" s="74"/>
      <c r="W517" s="74"/>
      <c r="X517" s="74"/>
      <c r="Y517" s="74"/>
    </row>
    <row r="518" spans="1:25" x14ac:dyDescent="0.3">
      <c r="A518" s="66">
        <f t="shared" si="52"/>
        <v>2041.0999999999535</v>
      </c>
      <c r="B518" s="67">
        <f>LOOKUP(A518+0.01,AmountsB!$A$4:$A$103,AmountsB!$B$4:$B$103)*0.1*$A$2</f>
        <v>0</v>
      </c>
      <c r="C518" s="68">
        <f t="shared" si="51"/>
        <v>2074573.74105891</v>
      </c>
      <c r="D518" s="67">
        <f t="array" ref="D518">SUM($B$7:$B513*$F$1009*EXP(-$F$1009*($A518-$A$7:$A513)))*$F$1010</f>
        <v>9037069.3819041941</v>
      </c>
      <c r="E518" s="67">
        <f t="shared" si="49"/>
        <v>17.228374983565111</v>
      </c>
      <c r="F518" s="70">
        <f t="shared" si="53"/>
        <v>1.0461069290020735</v>
      </c>
      <c r="G518" s="67">
        <f>E518/'Lookup Tables'!$C$48</f>
        <v>34.456749967130222</v>
      </c>
      <c r="H518" s="70">
        <f t="shared" si="50"/>
        <v>4.3648647971124043E-3</v>
      </c>
      <c r="I518" s="71">
        <f t="shared" si="54"/>
        <v>4.9617719952667519E-2</v>
      </c>
      <c r="L518" s="74"/>
      <c r="M518" s="74"/>
      <c r="N518" s="74"/>
      <c r="O518" s="74"/>
      <c r="P518" s="74"/>
      <c r="Q518" s="74"/>
      <c r="R518" s="74"/>
      <c r="S518" s="74"/>
      <c r="T518" s="74"/>
      <c r="U518" s="74"/>
      <c r="V518" s="74"/>
      <c r="W518" s="74"/>
      <c r="X518" s="74"/>
      <c r="Y518" s="74"/>
    </row>
    <row r="519" spans="1:25" x14ac:dyDescent="0.3">
      <c r="A519" s="66">
        <f t="shared" si="52"/>
        <v>2041.1999999999534</v>
      </c>
      <c r="B519" s="67">
        <f>LOOKUP(A519+0.01,AmountsB!$A$4:$A$103,AmountsB!$B$4:$B$103)*0.1*$A$2</f>
        <v>0</v>
      </c>
      <c r="C519" s="68">
        <f t="shared" si="51"/>
        <v>2074573.74105891</v>
      </c>
      <c r="D519" s="67">
        <f t="array" ref="D519">SUM($B$7:$B514*$F$1009*EXP(-$F$1009*($A519-$A$7:$A514)))*$F$1010</f>
        <v>8911431.9248289391</v>
      </c>
      <c r="E519" s="67">
        <f t="shared" ref="E519:E582" si="55">D519/(365*24*60)*1.00201</f>
        <v>16.988858262933494</v>
      </c>
      <c r="F519" s="70">
        <f t="shared" si="53"/>
        <v>1.0315634737253219</v>
      </c>
      <c r="G519" s="67">
        <f>E519/'Lookup Tables'!$C$48</f>
        <v>33.977716525866988</v>
      </c>
      <c r="H519" s="70">
        <f t="shared" ref="H519:H582" si="56">G519*60*24*365/(C519*2000)</f>
        <v>4.3041824574720118E-3</v>
      </c>
      <c r="I519" s="71">
        <f t="shared" si="54"/>
        <v>4.8927911797248466E-2</v>
      </c>
      <c r="L519" s="74"/>
      <c r="M519" s="74"/>
      <c r="N519" s="74"/>
      <c r="O519" s="74"/>
      <c r="P519" s="74"/>
      <c r="Q519" s="74"/>
      <c r="R519" s="74"/>
      <c r="S519" s="74"/>
      <c r="T519" s="74"/>
      <c r="U519" s="74"/>
      <c r="V519" s="74"/>
      <c r="W519" s="74"/>
      <c r="X519" s="74"/>
      <c r="Y519" s="74"/>
    </row>
    <row r="520" spans="1:25" x14ac:dyDescent="0.3">
      <c r="A520" s="66">
        <f t="shared" si="52"/>
        <v>2041.2999999999533</v>
      </c>
      <c r="B520" s="67">
        <f>LOOKUP(A520+0.01,AmountsB!$A$4:$A$103,AmountsB!$B$4:$B$103)*0.1*$A$2</f>
        <v>0</v>
      </c>
      <c r="C520" s="68">
        <f t="shared" si="51"/>
        <v>2074573.74105891</v>
      </c>
      <c r="D520" s="67">
        <f t="array" ref="D520">SUM($B$7:$B515*$F$1009*EXP(-$F$1009*($A520-$A$7:$A515)))*$F$1010</f>
        <v>8787541.1369395982</v>
      </c>
      <c r="E520" s="67">
        <f t="shared" si="55"/>
        <v>16.752671412908764</v>
      </c>
      <c r="F520" s="70">
        <f t="shared" si="53"/>
        <v>1.0172222081918203</v>
      </c>
      <c r="G520" s="67">
        <f>E520/'Lookup Tables'!$C$48</f>
        <v>33.505342825817529</v>
      </c>
      <c r="H520" s="70">
        <f t="shared" si="56"/>
        <v>4.2443437513724957E-3</v>
      </c>
      <c r="I520" s="71">
        <f t="shared" si="54"/>
        <v>4.8247693669177243E-2</v>
      </c>
      <c r="L520" s="74"/>
      <c r="M520" s="74"/>
      <c r="N520" s="74"/>
      <c r="O520" s="74"/>
      <c r="P520" s="74"/>
      <c r="Q520" s="74"/>
      <c r="R520" s="74"/>
      <c r="S520" s="74"/>
      <c r="T520" s="74"/>
      <c r="U520" s="74"/>
      <c r="V520" s="74"/>
      <c r="W520" s="74"/>
      <c r="X520" s="74"/>
      <c r="Y520" s="74"/>
    </row>
    <row r="521" spans="1:25" x14ac:dyDescent="0.3">
      <c r="A521" s="66">
        <f t="shared" si="52"/>
        <v>2041.3999999999533</v>
      </c>
      <c r="B521" s="67">
        <f>LOOKUP(A521+0.01,AmountsB!$A$4:$A$103,AmountsB!$B$4:$B$103)*0.1*$A$2</f>
        <v>0</v>
      </c>
      <c r="C521" s="68">
        <f t="shared" ref="C521:C584" si="57">C520+B521</f>
        <v>2074573.74105891</v>
      </c>
      <c r="D521" s="67">
        <f t="array" ref="D521">SUM($B$7:$B516*$F$1009*EXP(-$F$1009*($A521-$A$7:$A516)))*$F$1010</f>
        <v>8665372.7352451254</v>
      </c>
      <c r="E521" s="67">
        <f t="shared" si="55"/>
        <v>16.519768140112191</v>
      </c>
      <c r="F521" s="70">
        <f t="shared" si="53"/>
        <v>1.0030803214676123</v>
      </c>
      <c r="G521" s="67">
        <f>E521/'Lookup Tables'!$C$48</f>
        <v>33.039536280224382</v>
      </c>
      <c r="H521" s="70">
        <f t="shared" si="56"/>
        <v>4.185336950235893E-3</v>
      </c>
      <c r="I521" s="71">
        <f t="shared" si="54"/>
        <v>4.7576932243523107E-2</v>
      </c>
      <c r="L521" s="74"/>
      <c r="M521" s="74"/>
      <c r="N521" s="74"/>
      <c r="O521" s="74"/>
      <c r="P521" s="74"/>
      <c r="Q521" s="74"/>
      <c r="R521" s="74"/>
      <c r="S521" s="74"/>
      <c r="T521" s="74"/>
      <c r="U521" s="74"/>
      <c r="V521" s="74"/>
      <c r="W521" s="74"/>
      <c r="X521" s="74"/>
      <c r="Y521" s="74"/>
    </row>
    <row r="522" spans="1:25" x14ac:dyDescent="0.3">
      <c r="A522" s="66">
        <f t="shared" si="52"/>
        <v>2041.4999999999532</v>
      </c>
      <c r="B522" s="67">
        <f>LOOKUP(A522+0.01,AmountsB!$A$4:$A$103,AmountsB!$B$4:$B$103)*0.1*$A$2</f>
        <v>0</v>
      </c>
      <c r="C522" s="68">
        <f t="shared" si="57"/>
        <v>2074573.74105891</v>
      </c>
      <c r="D522" s="67">
        <f t="array" ref="D522">SUM($B$7:$B517*$F$1009*EXP(-$F$1009*($A522-$A$7:$A517)))*$F$1010</f>
        <v>8544902.7743476834</v>
      </c>
      <c r="E522" s="67">
        <f t="shared" si="55"/>
        <v>16.290102794756702</v>
      </c>
      <c r="F522" s="70">
        <f t="shared" si="53"/>
        <v>0.98913504169762689</v>
      </c>
      <c r="G522" s="67">
        <f>E522/'Lookup Tables'!$C$48</f>
        <v>32.580205589513405</v>
      </c>
      <c r="H522" s="70">
        <f t="shared" si="56"/>
        <v>4.1271504885402824E-3</v>
      </c>
      <c r="I522" s="71">
        <f t="shared" si="54"/>
        <v>4.6915496048899302E-2</v>
      </c>
      <c r="L522" s="74"/>
      <c r="M522" s="74"/>
      <c r="N522" s="74"/>
      <c r="O522" s="74"/>
      <c r="P522" s="74"/>
      <c r="Q522" s="74"/>
      <c r="R522" s="74"/>
      <c r="S522" s="74"/>
      <c r="T522" s="74"/>
      <c r="U522" s="74"/>
      <c r="V522" s="74"/>
      <c r="W522" s="74"/>
      <c r="X522" s="74"/>
      <c r="Y522" s="74"/>
    </row>
    <row r="523" spans="1:25" x14ac:dyDescent="0.3">
      <c r="A523" s="66">
        <f t="shared" si="52"/>
        <v>2041.5999999999531</v>
      </c>
      <c r="B523" s="67">
        <f>LOOKUP(A523+0.01,AmountsB!$A$4:$A$103,AmountsB!$B$4:$B$103)*0.1*$A$2</f>
        <v>0</v>
      </c>
      <c r="C523" s="68">
        <f t="shared" si="57"/>
        <v>2074573.74105891</v>
      </c>
      <c r="D523" s="67">
        <f t="array" ref="D523">SUM($B$7:$B518*$F$1009*EXP(-$F$1009*($A523-$A$7:$A518)))*$F$1010</f>
        <v>8426107.6417492758</v>
      </c>
      <c r="E523" s="67">
        <f t="shared" si="55"/>
        <v>16.063630361699378</v>
      </c>
      <c r="F523" s="70">
        <f t="shared" si="53"/>
        <v>0.97538363556238628</v>
      </c>
      <c r="G523" s="67">
        <f>E523/'Lookup Tables'!$C$48</f>
        <v>32.127260723398756</v>
      </c>
      <c r="H523" s="70">
        <f t="shared" si="56"/>
        <v>4.0697729615528965E-3</v>
      </c>
      <c r="I523" s="71">
        <f t="shared" si="54"/>
        <v>4.6263255441694205E-2</v>
      </c>
      <c r="L523" s="74"/>
      <c r="M523" s="74"/>
      <c r="N523" s="74"/>
      <c r="O523" s="74"/>
      <c r="P523" s="74"/>
      <c r="Q523" s="74"/>
      <c r="R523" s="74"/>
      <c r="S523" s="74"/>
      <c r="T523" s="74"/>
      <c r="U523" s="74"/>
      <c r="V523" s="74"/>
      <c r="W523" s="74"/>
      <c r="X523" s="74"/>
      <c r="Y523" s="74"/>
    </row>
    <row r="524" spans="1:25" x14ac:dyDescent="0.3">
      <c r="A524" s="66">
        <f t="shared" si="52"/>
        <v>2041.699999999953</v>
      </c>
      <c r="B524" s="67">
        <f>LOOKUP(A524+0.01,AmountsB!$A$4:$A$103,AmountsB!$B$4:$B$103)*0.1*$A$2</f>
        <v>0</v>
      </c>
      <c r="C524" s="68">
        <f t="shared" si="57"/>
        <v>2074573.74105891</v>
      </c>
      <c r="D524" s="67">
        <f t="array" ref="D524">SUM($B$7:$B519*$F$1009*EXP(-$F$1009*($A524-$A$7:$A519)))*$F$1010</f>
        <v>8308964.0532235997</v>
      </c>
      <c r="E524" s="67">
        <f t="shared" si="55"/>
        <v>15.840306451618302</v>
      </c>
      <c r="F524" s="70">
        <f t="shared" si="53"/>
        <v>0.96182340774226327</v>
      </c>
      <c r="G524" s="67">
        <f>E524/'Lookup Tables'!$C$48</f>
        <v>31.680612903236604</v>
      </c>
      <c r="H524" s="70">
        <f t="shared" si="56"/>
        <v>4.0131931230947566E-3</v>
      </c>
      <c r="I524" s="71">
        <f t="shared" si="54"/>
        <v>4.5620082580660713E-2</v>
      </c>
      <c r="L524" s="74"/>
      <c r="M524" s="74"/>
      <c r="N524" s="74"/>
      <c r="O524" s="74"/>
      <c r="P524" s="74"/>
      <c r="Q524" s="74"/>
      <c r="R524" s="74"/>
      <c r="S524" s="74"/>
      <c r="T524" s="74"/>
      <c r="U524" s="74"/>
      <c r="V524" s="74"/>
      <c r="W524" s="74"/>
      <c r="X524" s="74"/>
      <c r="Y524" s="74"/>
    </row>
    <row r="525" spans="1:25" x14ac:dyDescent="0.3">
      <c r="A525" s="66">
        <f t="shared" si="52"/>
        <v>2041.7999999999529</v>
      </c>
      <c r="B525" s="67">
        <f>LOOKUP(A525+0.01,AmountsB!$A$4:$A$103,AmountsB!$B$4:$B$103)*0.1*$A$2</f>
        <v>0</v>
      </c>
      <c r="C525" s="68">
        <f t="shared" si="57"/>
        <v>2074573.74105891</v>
      </c>
      <c r="D525" s="67">
        <f t="array" ref="D525">SUM($B$7:$B520*$F$1009*EXP(-$F$1009*($A525-$A$7:$A520)))*$F$1010</f>
        <v>8193449.048252292</v>
      </c>
      <c r="E525" s="67">
        <f t="shared" si="55"/>
        <v>15.620087292312176</v>
      </c>
      <c r="F525" s="70">
        <f t="shared" si="53"/>
        <v>0.94845170038919535</v>
      </c>
      <c r="G525" s="67">
        <f>E525/'Lookup Tables'!$C$48</f>
        <v>31.240174584624352</v>
      </c>
      <c r="H525" s="70">
        <f t="shared" si="56"/>
        <v>3.9573998833363948E-3</v>
      </c>
      <c r="I525" s="71">
        <f t="shared" si="54"/>
        <v>4.4985851401859067E-2</v>
      </c>
      <c r="L525" s="74"/>
      <c r="M525" s="74"/>
      <c r="N525" s="74"/>
      <c r="O525" s="74"/>
      <c r="P525" s="74"/>
      <c r="Q525" s="74"/>
      <c r="R525" s="74"/>
      <c r="S525" s="74"/>
      <c r="T525" s="74"/>
      <c r="U525" s="74"/>
      <c r="V525" s="74"/>
      <c r="W525" s="74"/>
      <c r="X525" s="74"/>
      <c r="Y525" s="74"/>
    </row>
    <row r="526" spans="1:25" x14ac:dyDescent="0.3">
      <c r="A526" s="66">
        <f t="shared" si="52"/>
        <v>2041.8999999999528</v>
      </c>
      <c r="B526" s="67">
        <f>LOOKUP(A526+0.01,AmountsB!$A$4:$A$103,AmountsB!$B$4:$B$103)*0.1*$A$2</f>
        <v>0</v>
      </c>
      <c r="C526" s="68">
        <f t="shared" si="57"/>
        <v>2074573.74105891</v>
      </c>
      <c r="D526" s="67">
        <f t="array" ref="D526">SUM($B$7:$B521*$F$1009*EXP(-$F$1009*($A526-$A$7:$A521)))*$F$1010</f>
        <v>8079539.9855245715</v>
      </c>
      <c r="E526" s="67">
        <f t="shared" si="55"/>
        <v>15.40292972012077</v>
      </c>
      <c r="F526" s="70">
        <f t="shared" si="53"/>
        <v>0.93526589260573323</v>
      </c>
      <c r="G526" s="67">
        <f>E526/'Lookup Tables'!$C$48</f>
        <v>30.805859440241541</v>
      </c>
      <c r="H526" s="70">
        <f t="shared" si="56"/>
        <v>3.9023823066242054E-3</v>
      </c>
      <c r="I526" s="71">
        <f t="shared" si="54"/>
        <v>4.4360437593947817E-2</v>
      </c>
      <c r="L526" s="74"/>
      <c r="M526" s="74"/>
      <c r="N526" s="74"/>
      <c r="O526" s="74"/>
      <c r="P526" s="74"/>
      <c r="Q526" s="74"/>
      <c r="R526" s="74"/>
      <c r="S526" s="74"/>
      <c r="T526" s="74"/>
      <c r="U526" s="74"/>
      <c r="V526" s="74"/>
      <c r="W526" s="74"/>
      <c r="X526" s="74"/>
      <c r="Y526" s="74"/>
    </row>
    <row r="527" spans="1:25" x14ac:dyDescent="0.3">
      <c r="A527" s="66">
        <f t="shared" si="52"/>
        <v>2041.9999999999527</v>
      </c>
      <c r="B527" s="67">
        <f>LOOKUP(A527+0.01,AmountsB!$A$4:$A$103,AmountsB!$B$4:$B$103)*0.1*$A$2</f>
        <v>0</v>
      </c>
      <c r="C527" s="68">
        <f t="shared" si="57"/>
        <v>2074573.74105891</v>
      </c>
      <c r="D527" s="67">
        <f t="array" ref="D527">SUM($B$7:$B522*$F$1009*EXP(-$F$1009*($A527-$A$7:$A522)))*$F$1010</f>
        <v>7967214.5384994801</v>
      </c>
      <c r="E527" s="67">
        <f t="shared" si="55"/>
        <v>15.188791171464734</v>
      </c>
      <c r="F527" s="70">
        <f t="shared" si="53"/>
        <v>0.92226339993133866</v>
      </c>
      <c r="G527" s="67">
        <f>E527/'Lookup Tables'!$C$48</f>
        <v>30.377582342929468</v>
      </c>
      <c r="H527" s="70">
        <f t="shared" si="56"/>
        <v>3.8481296093370201E-3</v>
      </c>
      <c r="I527" s="71">
        <f t="shared" si="54"/>
        <v>4.3743718573818431E-2</v>
      </c>
      <c r="L527" s="74"/>
      <c r="M527" s="74"/>
      <c r="N527" s="74"/>
      <c r="O527" s="74"/>
      <c r="P527" s="74"/>
      <c r="Q527" s="74"/>
      <c r="R527" s="74"/>
      <c r="S527" s="74"/>
      <c r="T527" s="74"/>
      <c r="U527" s="74"/>
      <c r="V527" s="74"/>
      <c r="W527" s="74"/>
      <c r="X527" s="74"/>
      <c r="Y527" s="74"/>
    </row>
    <row r="528" spans="1:25" x14ac:dyDescent="0.3">
      <c r="A528" s="66">
        <f t="shared" si="52"/>
        <v>2042.0999999999526</v>
      </c>
      <c r="B528" s="67">
        <f>LOOKUP(A528+0.01,AmountsB!$A$4:$A$103,AmountsB!$B$4:$B$103)*0.1*$A$2</f>
        <v>0</v>
      </c>
      <c r="C528" s="68">
        <f t="shared" si="57"/>
        <v>2074573.74105891</v>
      </c>
      <c r="D528" s="67">
        <f t="array" ref="D528">SUM($B$7:$B523*$F$1009*EXP(-$F$1009*($A528-$A$7:$A523)))*$F$1010</f>
        <v>7856450.6910298076</v>
      </c>
      <c r="E528" s="67">
        <f t="shared" si="55"/>
        <v>14.977629674503003</v>
      </c>
      <c r="F528" s="70">
        <f t="shared" si="53"/>
        <v>0.90944167383582242</v>
      </c>
      <c r="G528" s="67">
        <f>E528/'Lookup Tables'!$C$48</f>
        <v>29.955259349006006</v>
      </c>
      <c r="H528" s="70">
        <f t="shared" si="56"/>
        <v>3.7946311577724905E-3</v>
      </c>
      <c r="I528" s="71">
        <f t="shared" si="54"/>
        <v>4.3135573462568653E-2</v>
      </c>
      <c r="L528" s="74"/>
      <c r="M528" s="74"/>
      <c r="N528" s="74"/>
      <c r="O528" s="74"/>
      <c r="P528" s="74"/>
      <c r="Q528" s="74"/>
      <c r="R528" s="74"/>
      <c r="S528" s="74"/>
      <c r="T528" s="74"/>
      <c r="U528" s="74"/>
      <c r="V528" s="74"/>
      <c r="W528" s="74"/>
      <c r="X528" s="74"/>
      <c r="Y528" s="74"/>
    </row>
    <row r="529" spans="1:25" x14ac:dyDescent="0.3">
      <c r="A529" s="66">
        <f t="shared" si="52"/>
        <v>2042.1999999999525</v>
      </c>
      <c r="B529" s="67">
        <f>LOOKUP(A529+0.01,AmountsB!$A$4:$A$103,AmountsB!$B$4:$B$103)*0.1*$A$2</f>
        <v>0</v>
      </c>
      <c r="C529" s="68">
        <f t="shared" si="57"/>
        <v>2074573.74105891</v>
      </c>
      <c r="D529" s="67">
        <f t="array" ref="D529">SUM($B$7:$B524*$F$1009*EXP(-$F$1009*($A529-$A$7:$A524)))*$F$1010</f>
        <v>7747226.7330468567</v>
      </c>
      <c r="E529" s="67">
        <f t="shared" si="55"/>
        <v>14.769403840906167</v>
      </c>
      <c r="F529" s="70">
        <f t="shared" si="53"/>
        <v>0.89679820121982234</v>
      </c>
      <c r="G529" s="67">
        <f>E529/'Lookup Tables'!$C$48</f>
        <v>29.538807681812333</v>
      </c>
      <c r="H529" s="70">
        <f t="shared" si="56"/>
        <v>3.7418764660628401E-3</v>
      </c>
      <c r="I529" s="71">
        <f t="shared" si="54"/>
        <v>4.2535883061809755E-2</v>
      </c>
      <c r="L529" s="74"/>
      <c r="M529" s="74"/>
      <c r="N529" s="74"/>
      <c r="O529" s="74"/>
      <c r="P529" s="74"/>
      <c r="Q529" s="74"/>
      <c r="R529" s="74"/>
      <c r="S529" s="74"/>
      <c r="T529" s="74"/>
      <c r="U529" s="74"/>
      <c r="V529" s="74"/>
      <c r="W529" s="74"/>
      <c r="X529" s="74"/>
      <c r="Y529" s="74"/>
    </row>
    <row r="530" spans="1:25" x14ac:dyDescent="0.3">
      <c r="A530" s="66">
        <f t="shared" si="52"/>
        <v>2042.2999999999524</v>
      </c>
      <c r="B530" s="67">
        <f>LOOKUP(A530+0.01,AmountsB!$A$4:$A$103,AmountsB!$B$4:$B$103)*0.1*$A$2</f>
        <v>0</v>
      </c>
      <c r="C530" s="68">
        <f t="shared" si="57"/>
        <v>2074573.74105891</v>
      </c>
      <c r="D530" s="67">
        <f t="array" ref="D530">SUM($B$7:$B525*$F$1009*EXP(-$F$1009*($A530-$A$7:$A525)))*$F$1010</f>
        <v>7639521.2563051973</v>
      </c>
      <c r="E530" s="67">
        <f t="shared" si="55"/>
        <v>14.564072857744238</v>
      </c>
      <c r="F530" s="70">
        <f t="shared" si="53"/>
        <v>0.88433050392223012</v>
      </c>
      <c r="G530" s="67">
        <f>E530/'Lookup Tables'!$C$48</f>
        <v>29.128145715488476</v>
      </c>
      <c r="H530" s="70">
        <f t="shared" si="56"/>
        <v>3.6898551941196107E-3</v>
      </c>
      <c r="I530" s="71">
        <f t="shared" si="54"/>
        <v>4.1944529830303404E-2</v>
      </c>
      <c r="L530" s="74"/>
      <c r="M530" s="74"/>
      <c r="N530" s="74"/>
      <c r="O530" s="74"/>
      <c r="P530" s="74"/>
      <c r="Q530" s="74"/>
      <c r="R530" s="74"/>
      <c r="S530" s="74"/>
      <c r="T530" s="74"/>
      <c r="U530" s="74"/>
      <c r="V530" s="74"/>
      <c r="W530" s="74"/>
      <c r="X530" s="74"/>
      <c r="Y530" s="74"/>
    </row>
    <row r="531" spans="1:25" x14ac:dyDescent="0.3">
      <c r="A531" s="66">
        <f t="shared" ref="A531:A594" si="58">A530+0.1</f>
        <v>2042.3999999999523</v>
      </c>
      <c r="B531" s="67">
        <f>LOOKUP(A531+0.01,AmountsB!$A$4:$A$103,AmountsB!$B$4:$B$103)*0.1*$A$2</f>
        <v>0</v>
      </c>
      <c r="C531" s="68">
        <f t="shared" si="57"/>
        <v>2074573.74105891</v>
      </c>
      <c r="D531" s="67">
        <f t="array" ref="D531">SUM($B$7:$B526*$F$1009*EXP(-$F$1009*($A531-$A$7:$A526)))*$F$1010</f>
        <v>7533313.1501865843</v>
      </c>
      <c r="E531" s="67">
        <f t="shared" si="55"/>
        <v>14.361596479487176</v>
      </c>
      <c r="F531" s="70">
        <f t="shared" ref="F531:F594" si="59">E531*60*1012/1000000</f>
        <v>0.87203613823446147</v>
      </c>
      <c r="G531" s="67">
        <f>E531/'Lookup Tables'!$C$48</f>
        <v>28.723192958974352</v>
      </c>
      <c r="H531" s="70">
        <f t="shared" si="56"/>
        <v>3.6385571456069598E-3</v>
      </c>
      <c r="I531" s="71">
        <f t="shared" ref="I531:I594" si="60">G531*60*24/1000000</f>
        <v>4.136139786092307E-2</v>
      </c>
      <c r="L531" s="74"/>
      <c r="M531" s="74"/>
      <c r="N531" s="74"/>
      <c r="O531" s="74"/>
      <c r="P531" s="74"/>
      <c r="Q531" s="74"/>
      <c r="R531" s="74"/>
      <c r="S531" s="74"/>
      <c r="T531" s="74"/>
      <c r="U531" s="74"/>
      <c r="V531" s="74"/>
      <c r="W531" s="74"/>
      <c r="X531" s="74"/>
      <c r="Y531" s="74"/>
    </row>
    <row r="532" spans="1:25" x14ac:dyDescent="0.3">
      <c r="A532" s="66">
        <f t="shared" si="58"/>
        <v>2042.4999999999523</v>
      </c>
      <c r="B532" s="67">
        <f>LOOKUP(A532+0.01,AmountsB!$A$4:$A$103,AmountsB!$B$4:$B$103)*0.1*$A$2</f>
        <v>0</v>
      </c>
      <c r="C532" s="68">
        <f t="shared" si="57"/>
        <v>2074573.74105891</v>
      </c>
      <c r="D532" s="67">
        <f t="array" ref="D532">SUM($B$7:$B527*$F$1009*EXP(-$F$1009*($A532-$A$7:$A527)))*$F$1010</f>
        <v>7428581.5975622097</v>
      </c>
      <c r="E532" s="67">
        <f t="shared" si="55"/>
        <v>14.161935020116649</v>
      </c>
      <c r="F532" s="70">
        <f t="shared" si="59"/>
        <v>0.85991269442148299</v>
      </c>
      <c r="G532" s="67">
        <f>E532/'Lookup Tables'!$C$48</f>
        <v>28.323870040233299</v>
      </c>
      <c r="H532" s="70">
        <f t="shared" si="56"/>
        <v>3.5879722659431569E-3</v>
      </c>
      <c r="I532" s="71">
        <f t="shared" si="60"/>
        <v>4.0786372857935946E-2</v>
      </c>
      <c r="L532" s="74"/>
      <c r="M532" s="74"/>
      <c r="N532" s="74"/>
      <c r="O532" s="74"/>
      <c r="P532" s="74"/>
      <c r="Q532" s="74"/>
      <c r="R532" s="74"/>
      <c r="S532" s="74"/>
      <c r="T532" s="74"/>
      <c r="U532" s="74"/>
      <c r="V532" s="74"/>
      <c r="W532" s="74"/>
      <c r="X532" s="74"/>
      <c r="Y532" s="74"/>
    </row>
    <row r="533" spans="1:25" x14ac:dyDescent="0.3">
      <c r="A533" s="66">
        <f t="shared" si="58"/>
        <v>2042.5999999999522</v>
      </c>
      <c r="B533" s="67">
        <f>LOOKUP(A533+0.01,AmountsB!$A$4:$A$103,AmountsB!$B$4:$B$103)*0.1*$A$2</f>
        <v>0</v>
      </c>
      <c r="C533" s="68">
        <f t="shared" si="57"/>
        <v>2074573.74105891</v>
      </c>
      <c r="D533" s="67">
        <f t="array" ref="D533">SUM($B$7:$B528*$F$1009*EXP(-$F$1009*($A533-$A$7:$A528)))*$F$1010</f>
        <v>7325306.070712476</v>
      </c>
      <c r="E533" s="67">
        <f t="shared" si="55"/>
        <v>13.965049345347429</v>
      </c>
      <c r="F533" s="70">
        <f t="shared" si="59"/>
        <v>0.84795779624949585</v>
      </c>
      <c r="G533" s="67">
        <f>E533/'Lookup Tables'!$C$48</f>
        <v>27.930098690694859</v>
      </c>
      <c r="H533" s="70">
        <f t="shared" si="56"/>
        <v>3.5380906403298484E-3</v>
      </c>
      <c r="I533" s="71">
        <f t="shared" si="60"/>
        <v>4.0219342114600591E-2</v>
      </c>
      <c r="L533" s="74"/>
      <c r="M533" s="74"/>
      <c r="N533" s="74"/>
      <c r="O533" s="74"/>
      <c r="P533" s="74"/>
      <c r="Q533" s="74"/>
      <c r="R533" s="74"/>
      <c r="S533" s="74"/>
      <c r="T533" s="74"/>
      <c r="U533" s="74"/>
      <c r="V533" s="74"/>
      <c r="W533" s="74"/>
      <c r="X533" s="74"/>
      <c r="Y533" s="74"/>
    </row>
    <row r="534" spans="1:25" x14ac:dyDescent="0.3">
      <c r="A534" s="66">
        <f t="shared" si="58"/>
        <v>2042.6999999999521</v>
      </c>
      <c r="B534" s="67">
        <f>LOOKUP(A534+0.01,AmountsB!$A$4:$A$103,AmountsB!$B$4:$B$103)*0.1*$A$2</f>
        <v>0</v>
      </c>
      <c r="C534" s="68">
        <f t="shared" si="57"/>
        <v>2074573.74105891</v>
      </c>
      <c r="D534" s="67">
        <f t="array" ref="D534">SUM($B$7:$B529*$F$1009*EXP(-$F$1009*($A534-$A$7:$A529)))*$F$1010</f>
        <v>7223466.3273034981</v>
      </c>
      <c r="E534" s="67">
        <f t="shared" si="55"/>
        <v>13.77090086495696</v>
      </c>
      <c r="F534" s="70">
        <f t="shared" si="59"/>
        <v>0.83616910052018667</v>
      </c>
      <c r="G534" s="67">
        <f>E534/'Lookup Tables'!$C$48</f>
        <v>27.541801729913921</v>
      </c>
      <c r="H534" s="70">
        <f t="shared" si="56"/>
        <v>3.4889024918087247E-3</v>
      </c>
      <c r="I534" s="71">
        <f t="shared" si="60"/>
        <v>3.9660194491076051E-2</v>
      </c>
      <c r="L534" s="74"/>
      <c r="M534" s="74"/>
      <c r="N534" s="74"/>
      <c r="O534" s="74"/>
      <c r="P534" s="74"/>
      <c r="Q534" s="74"/>
      <c r="R534" s="74"/>
      <c r="S534" s="74"/>
      <c r="T534" s="74"/>
      <c r="U534" s="74"/>
      <c r="V534" s="74"/>
      <c r="W534" s="74"/>
      <c r="X534" s="74"/>
      <c r="Y534" s="74"/>
    </row>
    <row r="535" spans="1:25" x14ac:dyDescent="0.3">
      <c r="A535" s="66">
        <f t="shared" si="58"/>
        <v>2042.799999999952</v>
      </c>
      <c r="B535" s="67">
        <f>LOOKUP(A535+0.01,AmountsB!$A$4:$A$103,AmountsB!$B$4:$B$103)*0.1*$A$2</f>
        <v>0</v>
      </c>
      <c r="C535" s="68">
        <f t="shared" si="57"/>
        <v>2074573.74105891</v>
      </c>
      <c r="D535" s="67">
        <f t="array" ref="D535">SUM($B$7:$B530*$F$1009*EXP(-$F$1009*($A535-$A$7:$A530)))*$F$1010</f>
        <v>7123042.4064195435</v>
      </c>
      <c r="E535" s="67">
        <f t="shared" si="55"/>
        <v>13.57945152522155</v>
      </c>
      <c r="F535" s="70">
        <f t="shared" si="59"/>
        <v>0.82454429661145257</v>
      </c>
      <c r="G535" s="67">
        <f>E535/'Lookup Tables'!$C$48</f>
        <v>27.158903050443101</v>
      </c>
      <c r="H535" s="70">
        <f t="shared" si="56"/>
        <v>3.4403981793452061E-3</v>
      </c>
      <c r="I535" s="71">
        <f t="shared" si="60"/>
        <v>3.9108820392638063E-2</v>
      </c>
      <c r="L535" s="74"/>
      <c r="M535" s="74"/>
      <c r="N535" s="74"/>
      <c r="O535" s="74"/>
      <c r="P535" s="74"/>
      <c r="Q535" s="74"/>
      <c r="R535" s="74"/>
      <c r="S535" s="74"/>
      <c r="T535" s="74"/>
      <c r="U535" s="74"/>
      <c r="V535" s="74"/>
      <c r="W535" s="74"/>
      <c r="X535" s="74"/>
      <c r="Y535" s="74"/>
    </row>
    <row r="536" spans="1:25" x14ac:dyDescent="0.3">
      <c r="A536" s="66">
        <f t="shared" si="58"/>
        <v>2042.8999999999519</v>
      </c>
      <c r="B536" s="67">
        <f>LOOKUP(A536+0.01,AmountsB!$A$4:$A$103,AmountsB!$B$4:$B$103)*0.1*$A$2</f>
        <v>0</v>
      </c>
      <c r="C536" s="68">
        <f t="shared" si="57"/>
        <v>2074573.74105891</v>
      </c>
      <c r="D536" s="67">
        <f t="array" ref="D536">SUM($B$7:$B531*$F$1009*EXP(-$F$1009*($A536-$A$7:$A531)))*$F$1010</f>
        <v>7024014.6246506274</v>
      </c>
      <c r="E536" s="67">
        <f t="shared" si="55"/>
        <v>13.390663801457716</v>
      </c>
      <c r="F536" s="70">
        <f t="shared" si="59"/>
        <v>0.81308110602451256</v>
      </c>
      <c r="G536" s="67">
        <f>E536/'Lookup Tables'!$C$48</f>
        <v>26.781327602915432</v>
      </c>
      <c r="H536" s="70">
        <f t="shared" si="56"/>
        <v>3.3925681959387716E-3</v>
      </c>
      <c r="I536" s="71">
        <f t="shared" si="60"/>
        <v>3.8565111748198225E-2</v>
      </c>
      <c r="L536" s="74"/>
      <c r="M536" s="74"/>
      <c r="N536" s="74"/>
      <c r="O536" s="74"/>
      <c r="P536" s="74"/>
      <c r="Q536" s="74"/>
      <c r="R536" s="74"/>
      <c r="S536" s="74"/>
      <c r="T536" s="74"/>
      <c r="U536" s="74"/>
      <c r="V536" s="74"/>
      <c r="W536" s="74"/>
      <c r="X536" s="74"/>
      <c r="Y536" s="74"/>
    </row>
    <row r="537" spans="1:25" x14ac:dyDescent="0.3">
      <c r="A537" s="66">
        <f t="shared" si="58"/>
        <v>2042.9999999999518</v>
      </c>
      <c r="B537" s="67">
        <f>LOOKUP(A537+0.01,AmountsB!$A$4:$A$103,AmountsB!$B$4:$B$103)*0.1*$A$2</f>
        <v>0</v>
      </c>
      <c r="C537" s="68">
        <f t="shared" si="57"/>
        <v>2074573.74105891</v>
      </c>
      <c r="D537" s="67">
        <f t="array" ref="D537">SUM($B$7:$B532*$F$1009*EXP(-$F$1009*($A537-$A$7:$A532)))*$F$1010</f>
        <v>6926363.5722345002</v>
      </c>
      <c r="E537" s="67">
        <f t="shared" si="55"/>
        <v>13.204500690667222</v>
      </c>
      <c r="F537" s="70">
        <f t="shared" si="59"/>
        <v>0.80177728193731368</v>
      </c>
      <c r="G537" s="67">
        <f>E537/'Lookup Tables'!$C$48</f>
        <v>26.409001381334445</v>
      </c>
      <c r="H537" s="70">
        <f t="shared" si="56"/>
        <v>3.3454031667595535E-3</v>
      </c>
      <c r="I537" s="71">
        <f t="shared" si="60"/>
        <v>3.8028961989121597E-2</v>
      </c>
      <c r="L537" s="74"/>
      <c r="M537" s="74"/>
      <c r="N537" s="74"/>
      <c r="O537" s="74"/>
      <c r="P537" s="74"/>
      <c r="Q537" s="74"/>
      <c r="R537" s="74"/>
      <c r="S537" s="74"/>
      <c r="T537" s="74"/>
      <c r="U537" s="74"/>
      <c r="V537" s="74"/>
      <c r="W537" s="74"/>
      <c r="X537" s="74"/>
      <c r="Y537" s="74"/>
    </row>
    <row r="538" spans="1:25" x14ac:dyDescent="0.3">
      <c r="A538" s="66">
        <f t="shared" si="58"/>
        <v>2043.0999999999517</v>
      </c>
      <c r="B538" s="67">
        <f>LOOKUP(A538+0.01,AmountsB!$A$4:$A$103,AmountsB!$B$4:$B$103)*0.1*$A$2</f>
        <v>0</v>
      </c>
      <c r="C538" s="68">
        <f t="shared" si="57"/>
        <v>2074573.74105891</v>
      </c>
      <c r="D538" s="67">
        <f t="array" ref="D538">SUM($B$7:$B533*$F$1009*EXP(-$F$1009*($A538-$A$7:$A533)))*$F$1010</f>
        <v>6830070.1092522712</v>
      </c>
      <c r="E538" s="67">
        <f t="shared" si="55"/>
        <v>13.020925704284377</v>
      </c>
      <c r="F538" s="70">
        <f t="shared" si="59"/>
        <v>0.79063060876414737</v>
      </c>
      <c r="G538" s="67">
        <f>E538/'Lookup Tables'!$C$48</f>
        <v>26.041851408568753</v>
      </c>
      <c r="H538" s="70">
        <f t="shared" si="56"/>
        <v>3.2988938473108393E-3</v>
      </c>
      <c r="I538" s="71">
        <f t="shared" si="60"/>
        <v>3.7500266028339009E-2</v>
      </c>
      <c r="L538" s="74"/>
      <c r="M538" s="74"/>
      <c r="N538" s="74"/>
      <c r="O538" s="74"/>
      <c r="P538" s="74"/>
      <c r="Q538" s="74"/>
      <c r="R538" s="74"/>
      <c r="S538" s="74"/>
      <c r="T538" s="74"/>
      <c r="U538" s="74"/>
      <c r="V538" s="74"/>
      <c r="W538" s="74"/>
      <c r="X538" s="74"/>
      <c r="Y538" s="74"/>
    </row>
    <row r="539" spans="1:25" x14ac:dyDescent="0.3">
      <c r="A539" s="66">
        <f t="shared" si="58"/>
        <v>2043.1999999999516</v>
      </c>
      <c r="B539" s="67">
        <f>LOOKUP(A539+0.01,AmountsB!$A$4:$A$103,AmountsB!$B$4:$B$103)*0.1*$A$2</f>
        <v>0</v>
      </c>
      <c r="C539" s="68">
        <f t="shared" si="57"/>
        <v>2074573.74105891</v>
      </c>
      <c r="D539" s="67">
        <f t="array" ref="D539">SUM($B$7:$B534*$F$1009*EXP(-$F$1009*($A539-$A$7:$A534)))*$F$1010</f>
        <v>6735115.3618769282</v>
      </c>
      <c r="E539" s="67">
        <f t="shared" si="55"/>
        <v>12.839902861024166</v>
      </c>
      <c r="F539" s="70">
        <f t="shared" si="59"/>
        <v>0.77963890172138739</v>
      </c>
      <c r="G539" s="67">
        <f>E539/'Lookup Tables'!$C$48</f>
        <v>25.679805722048332</v>
      </c>
      <c r="H539" s="70">
        <f t="shared" si="56"/>
        <v>3.2530311216171248E-3</v>
      </c>
      <c r="I539" s="71">
        <f t="shared" si="60"/>
        <v>3.6978920239749601E-2</v>
      </c>
      <c r="L539" s="74"/>
      <c r="M539" s="74"/>
      <c r="N539" s="74"/>
      <c r="O539" s="74"/>
      <c r="P539" s="74"/>
      <c r="Q539" s="74"/>
      <c r="R539" s="74"/>
      <c r="S539" s="74"/>
      <c r="T539" s="74"/>
      <c r="U539" s="74"/>
      <c r="V539" s="74"/>
      <c r="W539" s="74"/>
      <c r="X539" s="74"/>
      <c r="Y539" s="74"/>
    </row>
    <row r="540" spans="1:25" x14ac:dyDescent="0.3">
      <c r="A540" s="66">
        <f t="shared" si="58"/>
        <v>2043.2999999999515</v>
      </c>
      <c r="B540" s="67">
        <f>LOOKUP(A540+0.01,AmountsB!$A$4:$A$103,AmountsB!$B$4:$B$103)*0.1*$A$2</f>
        <v>0</v>
      </c>
      <c r="C540" s="68">
        <f t="shared" si="57"/>
        <v>2074573.74105891</v>
      </c>
      <c r="D540" s="67">
        <f t="array" ref="D540">SUM($B$7:$B535*$F$1009*EXP(-$F$1009*($A540-$A$7:$A535)))*$F$1010</f>
        <v>6641480.7186739985</v>
      </c>
      <c r="E540" s="67">
        <f t="shared" si="55"/>
        <v>12.661396679829783</v>
      </c>
      <c r="F540" s="70">
        <f t="shared" si="59"/>
        <v>0.76880000639926449</v>
      </c>
      <c r="G540" s="67">
        <f>E540/'Lookup Tables'!$C$48</f>
        <v>25.322793359659567</v>
      </c>
      <c r="H540" s="70">
        <f t="shared" si="56"/>
        <v>3.2078060004373508E-3</v>
      </c>
      <c r="I540" s="71">
        <f t="shared" si="60"/>
        <v>3.6464822437909779E-2</v>
      </c>
      <c r="L540" s="74"/>
      <c r="M540" s="74"/>
      <c r="N540" s="74"/>
      <c r="O540" s="74"/>
      <c r="P540" s="74"/>
      <c r="Q540" s="74"/>
      <c r="R540" s="74"/>
      <c r="S540" s="74"/>
      <c r="T540" s="74"/>
      <c r="U540" s="74"/>
      <c r="V540" s="74"/>
      <c r="W540" s="74"/>
      <c r="X540" s="74"/>
      <c r="Y540" s="74"/>
    </row>
    <row r="541" spans="1:25" x14ac:dyDescent="0.3">
      <c r="A541" s="66">
        <f t="shared" si="58"/>
        <v>2043.3999999999514</v>
      </c>
      <c r="B541" s="67">
        <f>LOOKUP(A541+0.01,AmountsB!$A$4:$A$103,AmountsB!$B$4:$B$103)*0.1*$A$2</f>
        <v>0</v>
      </c>
      <c r="C541" s="68">
        <f t="shared" si="57"/>
        <v>2074573.74105891</v>
      </c>
      <c r="D541" s="67">
        <f t="array" ref="D541">SUM($B$7:$B536*$F$1009*EXP(-$F$1009*($A541-$A$7:$A536)))*$F$1010</f>
        <v>6549147.8269536588</v>
      </c>
      <c r="E541" s="67">
        <f t="shared" si="55"/>
        <v>12.485372172918257</v>
      </c>
      <c r="F541" s="70">
        <f t="shared" si="59"/>
        <v>0.75811179833959663</v>
      </c>
      <c r="G541" s="67">
        <f>E541/'Lookup Tables'!$C$48</f>
        <v>24.970744345836515</v>
      </c>
      <c r="H541" s="70">
        <f t="shared" si="56"/>
        <v>3.1632096195029838E-3</v>
      </c>
      <c r="I541" s="71">
        <f t="shared" si="60"/>
        <v>3.5957871858004579E-2</v>
      </c>
      <c r="L541" s="74"/>
      <c r="M541" s="74"/>
      <c r="N541" s="74"/>
      <c r="O541" s="74"/>
      <c r="P541" s="74"/>
      <c r="Q541" s="74"/>
      <c r="R541" s="74"/>
      <c r="S541" s="74"/>
      <c r="T541" s="74"/>
      <c r="U541" s="74"/>
      <c r="V541" s="74"/>
      <c r="W541" s="74"/>
      <c r="X541" s="74"/>
      <c r="Y541" s="74"/>
    </row>
    <row r="542" spans="1:25" x14ac:dyDescent="0.3">
      <c r="A542" s="66">
        <f t="shared" si="58"/>
        <v>2043.4999999999513</v>
      </c>
      <c r="B542" s="67">
        <f>LOOKUP(A542+0.01,AmountsB!$A$4:$A$103,AmountsB!$B$4:$B$103)*0.1*$A$2</f>
        <v>0</v>
      </c>
      <c r="C542" s="68">
        <f t="shared" si="57"/>
        <v>2074573.74105891</v>
      </c>
      <c r="D542" s="67">
        <f t="array" ref="D542">SUM($B$7:$B537*$F$1009*EXP(-$F$1009*($A542-$A$7:$A537)))*$F$1010</f>
        <v>6458098.5891735442</v>
      </c>
      <c r="E542" s="67">
        <f t="shared" si="55"/>
        <v>12.311794838922724</v>
      </c>
      <c r="F542" s="70">
        <f t="shared" si="59"/>
        <v>0.74757218261938774</v>
      </c>
      <c r="G542" s="67">
        <f>E542/'Lookup Tables'!$C$48</f>
        <v>24.623589677845448</v>
      </c>
      <c r="H542" s="70">
        <f t="shared" si="56"/>
        <v>3.1192332377805937E-3</v>
      </c>
      <c r="I542" s="71">
        <f t="shared" si="60"/>
        <v>3.5457969136097438E-2</v>
      </c>
      <c r="L542" s="74"/>
      <c r="M542" s="74"/>
      <c r="N542" s="74"/>
      <c r="O542" s="74"/>
      <c r="P542" s="74"/>
      <c r="Q542" s="74"/>
      <c r="R542" s="74"/>
      <c r="S542" s="74"/>
      <c r="T542" s="74"/>
      <c r="U542" s="74"/>
      <c r="V542" s="74"/>
      <c r="W542" s="74"/>
      <c r="X542" s="74"/>
      <c r="Y542" s="74"/>
    </row>
    <row r="543" spans="1:25" x14ac:dyDescent="0.3">
      <c r="A543" s="66">
        <f t="shared" si="58"/>
        <v>2043.5999999999513</v>
      </c>
      <c r="B543" s="67">
        <f>LOOKUP(A543+0.01,AmountsB!$A$4:$A$103,AmountsB!$B$4:$B$103)*0.1*$A$2</f>
        <v>0</v>
      </c>
      <c r="C543" s="68">
        <f t="shared" si="57"/>
        <v>2074573.74105891</v>
      </c>
      <c r="D543" s="67">
        <f t="array" ref="D543">SUM($B$7:$B538*$F$1009*EXP(-$F$1009*($A543-$A$7:$A538)))*$F$1010</f>
        <v>6368315.1593915671</v>
      </c>
      <c r="E543" s="67">
        <f t="shared" si="55"/>
        <v>12.140630656130032</v>
      </c>
      <c r="F543" s="70">
        <f t="shared" si="59"/>
        <v>0.73717909344021548</v>
      </c>
      <c r="G543" s="67">
        <f>E543/'Lookup Tables'!$C$48</f>
        <v>24.281261312260064</v>
      </c>
      <c r="H543" s="70">
        <f t="shared" si="56"/>
        <v>3.0758682357585787E-3</v>
      </c>
      <c r="I543" s="71">
        <f t="shared" si="60"/>
        <v>3.4965016289654496E-2</v>
      </c>
      <c r="L543" s="74"/>
      <c r="M543" s="74"/>
      <c r="N543" s="74"/>
      <c r="O543" s="74"/>
      <c r="P543" s="74"/>
      <c r="Q543" s="74"/>
      <c r="R543" s="74"/>
      <c r="S543" s="74"/>
      <c r="T543" s="74"/>
      <c r="U543" s="74"/>
      <c r="V543" s="74"/>
      <c r="W543" s="74"/>
      <c r="X543" s="74"/>
      <c r="Y543" s="74"/>
    </row>
    <row r="544" spans="1:25" x14ac:dyDescent="0.3">
      <c r="A544" s="66">
        <f t="shared" si="58"/>
        <v>2043.6999999999512</v>
      </c>
      <c r="B544" s="67">
        <f>LOOKUP(A544+0.01,AmountsB!$A$4:$A$103,AmountsB!$B$4:$B$103)*0.1*$A$2</f>
        <v>0</v>
      </c>
      <c r="C544" s="68">
        <f t="shared" si="57"/>
        <v>2074573.74105891</v>
      </c>
      <c r="D544" s="67">
        <f t="array" ref="D544">SUM($B$7:$B539*$F$1009*EXP(-$F$1009*($A544-$A$7:$A539)))*$F$1010</f>
        <v>6279779.9397680629</v>
      </c>
      <c r="E544" s="67">
        <f t="shared" si="55"/>
        <v>11.971846075812399</v>
      </c>
      <c r="F544" s="70">
        <f t="shared" si="59"/>
        <v>0.72693049372332885</v>
      </c>
      <c r="G544" s="67">
        <f>E544/'Lookup Tables'!$C$48</f>
        <v>23.943692151624798</v>
      </c>
      <c r="H544" s="70">
        <f t="shared" si="56"/>
        <v>3.0331061137577157E-3</v>
      </c>
      <c r="I544" s="71">
        <f t="shared" si="60"/>
        <v>3.4478916698339711E-2</v>
      </c>
      <c r="L544" s="74"/>
      <c r="M544" s="74"/>
      <c r="N544" s="74"/>
      <c r="O544" s="74"/>
      <c r="P544" s="74"/>
      <c r="Q544" s="74"/>
      <c r="R544" s="74"/>
      <c r="S544" s="74"/>
      <c r="T544" s="74"/>
      <c r="U544" s="74"/>
      <c r="V544" s="74"/>
      <c r="W544" s="74"/>
      <c r="X544" s="74"/>
      <c r="Y544" s="74"/>
    </row>
    <row r="545" spans="1:25" x14ac:dyDescent="0.3">
      <c r="A545" s="66">
        <f t="shared" si="58"/>
        <v>2043.7999999999511</v>
      </c>
      <c r="B545" s="67">
        <f>LOOKUP(A545+0.01,AmountsB!$A$4:$A$103,AmountsB!$B$4:$B$103)*0.1*$A$2</f>
        <v>0</v>
      </c>
      <c r="C545" s="68">
        <f t="shared" si="57"/>
        <v>2074573.74105891</v>
      </c>
      <c r="D545" s="67">
        <f t="array" ref="D545">SUM($B$7:$B540*$F$1009*EXP(-$F$1009*($A545-$A$7:$A540)))*$F$1010</f>
        <v>6192475.5771165472</v>
      </c>
      <c r="E545" s="67">
        <f t="shared" si="55"/>
        <v>11.805408015651734</v>
      </c>
      <c r="F545" s="70">
        <f t="shared" si="59"/>
        <v>0.7168243747103733</v>
      </c>
      <c r="G545" s="67">
        <f>E545/'Lookup Tables'!$C$48</f>
        <v>23.610816031303468</v>
      </c>
      <c r="H545" s="70">
        <f t="shared" si="56"/>
        <v>2.9909384902651937E-3</v>
      </c>
      <c r="I545" s="71">
        <f t="shared" si="60"/>
        <v>3.3999575085076998E-2</v>
      </c>
      <c r="L545" s="74"/>
      <c r="M545" s="74"/>
      <c r="N545" s="74"/>
      <c r="O545" s="74"/>
      <c r="P545" s="74"/>
      <c r="Q545" s="74"/>
      <c r="R545" s="74"/>
      <c r="S545" s="74"/>
      <c r="T545" s="74"/>
      <c r="U545" s="74"/>
      <c r="V545" s="74"/>
      <c r="W545" s="74"/>
      <c r="X545" s="74"/>
      <c r="Y545" s="74"/>
    </row>
    <row r="546" spans="1:25" x14ac:dyDescent="0.3">
      <c r="A546" s="66">
        <f t="shared" si="58"/>
        <v>2043.899999999951</v>
      </c>
      <c r="B546" s="67">
        <f>LOOKUP(A546+0.01,AmountsB!$A$4:$A$103,AmountsB!$B$4:$B$103)*0.1*$A$2</f>
        <v>0</v>
      </c>
      <c r="C546" s="68">
        <f t="shared" si="57"/>
        <v>2074573.74105891</v>
      </c>
      <c r="D546" s="67">
        <f t="array" ref="D546">SUM($B$7:$B541*$F$1009*EXP(-$F$1009*($A546-$A$7:$A541)))*$F$1010</f>
        <v>6106384.9595024539</v>
      </c>
      <c r="E546" s="67">
        <f t="shared" si="55"/>
        <v>11.64128385325543</v>
      </c>
      <c r="F546" s="70">
        <f t="shared" si="59"/>
        <v>0.70685875556966982</v>
      </c>
      <c r="G546" s="67">
        <f>E546/'Lookup Tables'!$C$48</f>
        <v>23.282567706510861</v>
      </c>
      <c r="H546" s="70">
        <f t="shared" si="56"/>
        <v>2.9493571002918171E-3</v>
      </c>
      <c r="I546" s="71">
        <f t="shared" si="60"/>
        <v>3.3526897497375641E-2</v>
      </c>
      <c r="L546" s="74"/>
      <c r="M546" s="74"/>
      <c r="N546" s="74"/>
      <c r="O546" s="74"/>
      <c r="P546" s="74"/>
      <c r="Q546" s="74"/>
      <c r="R546" s="74"/>
      <c r="S546" s="74"/>
      <c r="T546" s="74"/>
      <c r="U546" s="74"/>
      <c r="V546" s="74"/>
      <c r="W546" s="74"/>
      <c r="X546" s="74"/>
      <c r="Y546" s="74"/>
    </row>
    <row r="547" spans="1:25" x14ac:dyDescent="0.3">
      <c r="A547" s="66">
        <f t="shared" si="58"/>
        <v>2043.9999999999509</v>
      </c>
      <c r="B547" s="67">
        <f>LOOKUP(A547+0.01,AmountsB!$A$4:$A$103,AmountsB!$B$4:$B$103)*0.1*$A$2</f>
        <v>0</v>
      </c>
      <c r="C547" s="68">
        <f t="shared" si="57"/>
        <v>2074573.74105891</v>
      </c>
      <c r="D547" s="67">
        <f t="array" ref="D547">SUM($B$7:$B542*$F$1009*EXP(-$F$1009*($A547-$A$7:$A542)))*$F$1010</f>
        <v>6021491.2128891218</v>
      </c>
      <c r="E547" s="67">
        <f t="shared" si="55"/>
        <v>11.479441419762232</v>
      </c>
      <c r="F547" s="70">
        <f t="shared" si="59"/>
        <v>0.69703168300796281</v>
      </c>
      <c r="G547" s="67">
        <f>E547/'Lookup Tables'!$C$48</f>
        <v>22.958882839524463</v>
      </c>
      <c r="H547" s="70">
        <f t="shared" si="56"/>
        <v>2.9083537937520331E-3</v>
      </c>
      <c r="I547" s="71">
        <f t="shared" si="60"/>
        <v>3.3060791288915231E-2</v>
      </c>
      <c r="L547" s="74"/>
      <c r="M547" s="74"/>
      <c r="N547" s="74"/>
      <c r="O547" s="74"/>
      <c r="P547" s="74"/>
      <c r="Q547" s="74"/>
      <c r="R547" s="74"/>
      <c r="S547" s="74"/>
      <c r="T547" s="74"/>
      <c r="U547" s="74"/>
      <c r="V547" s="74"/>
      <c r="W547" s="74"/>
      <c r="X547" s="74"/>
      <c r="Y547" s="74"/>
    </row>
    <row r="548" spans="1:25" x14ac:dyDescent="0.3">
      <c r="A548" s="66">
        <f t="shared" si="58"/>
        <v>2044.0999999999508</v>
      </c>
      <c r="B548" s="67">
        <f>LOOKUP(A548+0.01,AmountsB!$A$4:$A$103,AmountsB!$B$4:$B$103)*0.1*$A$2</f>
        <v>0</v>
      </c>
      <c r="C548" s="68">
        <f t="shared" si="57"/>
        <v>2074573.74105891</v>
      </c>
      <c r="D548" s="67">
        <f t="array" ref="D548">SUM($B$7:$B543*$F$1009*EXP(-$F$1009*($A548-$A$7:$A543)))*$F$1010</f>
        <v>5937777.6978304405</v>
      </c>
      <c r="E548" s="67">
        <f t="shared" si="55"/>
        <v>11.319848993537061</v>
      </c>
      <c r="F548" s="70">
        <f t="shared" si="59"/>
        <v>0.68734123088757038</v>
      </c>
      <c r="G548" s="67">
        <f>E548/'Lookup Tables'!$C$48</f>
        <v>22.639697987074122</v>
      </c>
      <c r="H548" s="70">
        <f t="shared" si="56"/>
        <v>2.8679205338664943E-3</v>
      </c>
      <c r="I548" s="71">
        <f t="shared" si="60"/>
        <v>3.2601165101386741E-2</v>
      </c>
      <c r="L548" s="74"/>
      <c r="M548" s="74"/>
      <c r="N548" s="74"/>
      <c r="O548" s="74"/>
      <c r="P548" s="74"/>
      <c r="Q548" s="74"/>
      <c r="R548" s="74"/>
      <c r="S548" s="74"/>
      <c r="T548" s="74"/>
      <c r="U548" s="74"/>
      <c r="V548" s="74"/>
      <c r="W548" s="74"/>
      <c r="X548" s="74"/>
      <c r="Y548" s="74"/>
    </row>
    <row r="549" spans="1:25" x14ac:dyDescent="0.3">
      <c r="A549" s="66">
        <f t="shared" si="58"/>
        <v>2044.1999999999507</v>
      </c>
      <c r="B549" s="67">
        <f>LOOKUP(A549+0.01,AmountsB!$A$4:$A$103,AmountsB!$B$4:$B$103)*0.1*$A$2</f>
        <v>0</v>
      </c>
      <c r="C549" s="68">
        <f t="shared" si="57"/>
        <v>2074573.74105891</v>
      </c>
      <c r="D549" s="67">
        <f t="array" ref="D549">SUM($B$7:$B544*$F$1009*EXP(-$F$1009*($A549-$A$7:$A544)))*$F$1010</f>
        <v>5855228.0062094601</v>
      </c>
      <c r="E549" s="67">
        <f t="shared" si="55"/>
        <v>11.162475293953465</v>
      </c>
      <c r="F549" s="70">
        <f t="shared" si="59"/>
        <v>0.67778549984885439</v>
      </c>
      <c r="G549" s="67">
        <f>E549/'Lookup Tables'!$C$48</f>
        <v>22.32495058790693</v>
      </c>
      <c r="H549" s="70">
        <f t="shared" si="56"/>
        <v>2.8280493955868211E-3</v>
      </c>
      <c r="I549" s="71">
        <f t="shared" si="60"/>
        <v>3.2147928846585981E-2</v>
      </c>
      <c r="L549" s="74"/>
      <c r="M549" s="74"/>
      <c r="N549" s="74"/>
      <c r="O549" s="74"/>
      <c r="P549" s="74"/>
      <c r="Q549" s="74"/>
      <c r="R549" s="74"/>
      <c r="S549" s="74"/>
      <c r="T549" s="74"/>
      <c r="U549" s="74"/>
      <c r="V549" s="74"/>
      <c r="W549" s="74"/>
      <c r="X549" s="74"/>
      <c r="Y549" s="74"/>
    </row>
    <row r="550" spans="1:25" x14ac:dyDescent="0.3">
      <c r="A550" s="66">
        <f t="shared" si="58"/>
        <v>2044.2999999999506</v>
      </c>
      <c r="B550" s="67">
        <f>LOOKUP(A550+0.01,AmountsB!$A$4:$A$103,AmountsB!$B$4:$B$103)*0.1*$A$2</f>
        <v>0</v>
      </c>
      <c r="C550" s="68">
        <f t="shared" si="57"/>
        <v>2074573.74105891</v>
      </c>
      <c r="D550" s="67">
        <f t="array" ref="D550">SUM($B$7:$B545*$F$1009*EXP(-$F$1009*($A550-$A$7:$A545)))*$F$1010</f>
        <v>5773825.958022356</v>
      </c>
      <c r="E550" s="67">
        <f t="shared" si="55"/>
        <v>11.007289475262521</v>
      </c>
      <c r="F550" s="70">
        <f t="shared" si="59"/>
        <v>0.66836261693794019</v>
      </c>
      <c r="G550" s="67">
        <f>E550/'Lookup Tables'!$C$48</f>
        <v>22.014578950525042</v>
      </c>
      <c r="H550" s="70">
        <f t="shared" si="56"/>
        <v>2.7887325640422712E-3</v>
      </c>
      <c r="I550" s="71">
        <f t="shared" si="60"/>
        <v>3.1700993688756063E-2</v>
      </c>
      <c r="L550" s="74"/>
      <c r="M550" s="74"/>
      <c r="N550" s="74"/>
      <c r="O550" s="74"/>
      <c r="P550" s="74"/>
      <c r="Q550" s="74"/>
      <c r="R550" s="74"/>
      <c r="S550" s="74"/>
      <c r="T550" s="74"/>
      <c r="U550" s="74"/>
      <c r="V550" s="74"/>
      <c r="W550" s="74"/>
      <c r="X550" s="74"/>
      <c r="Y550" s="74"/>
    </row>
    <row r="551" spans="1:25" x14ac:dyDescent="0.3">
      <c r="A551" s="66">
        <f t="shared" si="58"/>
        <v>2044.3999999999505</v>
      </c>
      <c r="B551" s="67">
        <f>LOOKUP(A551+0.01,AmountsB!$A$4:$A$103,AmountsB!$B$4:$B$103)*0.1*$A$2</f>
        <v>0</v>
      </c>
      <c r="C551" s="68">
        <f t="shared" si="57"/>
        <v>2074573.74105891</v>
      </c>
      <c r="D551" s="67">
        <f t="array" ref="D551">SUM($B$7:$B546*$F$1009*EXP(-$F$1009*($A551-$A$7:$A546)))*$F$1010</f>
        <v>5693555.5982070845</v>
      </c>
      <c r="E551" s="67">
        <f t="shared" si="55"/>
        <v>10.854261120546958</v>
      </c>
      <c r="F551" s="70">
        <f t="shared" si="59"/>
        <v>0.65907073523961124</v>
      </c>
      <c r="G551" s="67">
        <f>E551/'Lookup Tables'!$C$48</f>
        <v>21.708522241093917</v>
      </c>
      <c r="H551" s="70">
        <f t="shared" si="56"/>
        <v>2.7499623330079935E-3</v>
      </c>
      <c r="I551" s="71">
        <f t="shared" si="60"/>
        <v>3.126027202717524E-2</v>
      </c>
      <c r="L551" s="74"/>
      <c r="M551" s="74"/>
      <c r="N551" s="74"/>
      <c r="O551" s="74"/>
      <c r="P551" s="74"/>
      <c r="Q551" s="74"/>
      <c r="R551" s="74"/>
      <c r="S551" s="74"/>
      <c r="T551" s="74"/>
      <c r="U551" s="74"/>
      <c r="V551" s="74"/>
      <c r="W551" s="74"/>
      <c r="X551" s="74"/>
      <c r="Y551" s="74"/>
    </row>
    <row r="552" spans="1:25" x14ac:dyDescent="0.3">
      <c r="A552" s="66">
        <f t="shared" si="58"/>
        <v>2044.4999999999504</v>
      </c>
      <c r="B552" s="67">
        <f>LOOKUP(A552+0.01,AmountsB!$A$4:$A$103,AmountsB!$B$4:$B$103)*0.1*$A$2</f>
        <v>0</v>
      </c>
      <c r="C552" s="68">
        <f t="shared" si="57"/>
        <v>2074573.74105891</v>
      </c>
      <c r="D552" s="67">
        <f t="array" ref="D552">SUM($B$7:$B547*$F$1009*EXP(-$F$1009*($A552-$A$7:$A547)))*$F$1010</f>
        <v>5614401.1935161473</v>
      </c>
      <c r="E552" s="67">
        <f t="shared" si="55"/>
        <v>10.703360235759352</v>
      </c>
      <c r="F552" s="70">
        <f t="shared" si="59"/>
        <v>0.64990803351530779</v>
      </c>
      <c r="G552" s="67">
        <f>E552/'Lookup Tables'!$C$48</f>
        <v>21.406720471518703</v>
      </c>
      <c r="H552" s="70">
        <f t="shared" si="56"/>
        <v>2.7117311033945874E-3</v>
      </c>
      <c r="I552" s="71">
        <f t="shared" si="60"/>
        <v>3.0825677478986929E-2</v>
      </c>
      <c r="L552" s="74"/>
      <c r="M552" s="74"/>
      <c r="N552" s="74"/>
      <c r="O552" s="74"/>
      <c r="P552" s="74"/>
      <c r="Q552" s="74"/>
      <c r="R552" s="74"/>
      <c r="S552" s="74"/>
      <c r="T552" s="74"/>
      <c r="U552" s="74"/>
      <c r="V552" s="74"/>
      <c r="W552" s="74"/>
      <c r="X552" s="74"/>
      <c r="Y552" s="74"/>
    </row>
    <row r="553" spans="1:25" x14ac:dyDescent="0.3">
      <c r="A553" s="66">
        <f t="shared" si="58"/>
        <v>2044.5999999999503</v>
      </c>
      <c r="B553" s="67">
        <f>LOOKUP(A553+0.01,AmountsB!$A$4:$A$103,AmountsB!$B$4:$B$103)*0.1*$A$2</f>
        <v>0</v>
      </c>
      <c r="C553" s="68">
        <f t="shared" si="57"/>
        <v>2074573.74105891</v>
      </c>
      <c r="D553" s="67">
        <f t="array" ref="D553">SUM($B$7:$B548*$F$1009*EXP(-$F$1009*($A553-$A$7:$A548)))*$F$1010</f>
        <v>5536347.2294328231</v>
      </c>
      <c r="E553" s="67">
        <f t="shared" si="55"/>
        <v>10.554557243843195</v>
      </c>
      <c r="F553" s="70">
        <f t="shared" si="59"/>
        <v>0.64087271584615879</v>
      </c>
      <c r="G553" s="67">
        <f>E553/'Lookup Tables'!$C$48</f>
        <v>21.109114487686391</v>
      </c>
      <c r="H553" s="70">
        <f t="shared" si="56"/>
        <v>2.6740313817586571E-3</v>
      </c>
      <c r="I553" s="71">
        <f t="shared" si="60"/>
        <v>3.0397124862268404E-2</v>
      </c>
      <c r="L553" s="74"/>
      <c r="M553" s="74"/>
      <c r="N553" s="74"/>
      <c r="O553" s="74"/>
      <c r="P553" s="74"/>
      <c r="Q553" s="74"/>
      <c r="R553" s="74"/>
      <c r="S553" s="74"/>
      <c r="T553" s="74"/>
      <c r="U553" s="74"/>
      <c r="V553" s="74"/>
      <c r="W553" s="74"/>
      <c r="X553" s="74"/>
      <c r="Y553" s="74"/>
    </row>
    <row r="554" spans="1:25" x14ac:dyDescent="0.3">
      <c r="A554" s="66">
        <f t="shared" si="58"/>
        <v>2044.6999999999503</v>
      </c>
      <c r="B554" s="67">
        <f>LOOKUP(A554+0.01,AmountsB!$A$4:$A$103,AmountsB!$B$4:$B$103)*0.1*$A$2</f>
        <v>0</v>
      </c>
      <c r="C554" s="68">
        <f t="shared" si="57"/>
        <v>2074573.74105891</v>
      </c>
      <c r="D554" s="67">
        <f t="array" ref="D554">SUM($B$7:$B549*$F$1009*EXP(-$F$1009*($A554-$A$7:$A549)))*$F$1010</f>
        <v>5459378.4071302768</v>
      </c>
      <c r="E554" s="67">
        <f t="shared" si="55"/>
        <v>10.407822978935711</v>
      </c>
      <c r="F554" s="70">
        <f t="shared" si="59"/>
        <v>0.63196301128097632</v>
      </c>
      <c r="G554" s="67">
        <f>E554/'Lookup Tables'!$C$48</f>
        <v>20.815645957871421</v>
      </c>
      <c r="H554" s="70">
        <f t="shared" si="56"/>
        <v>2.6368557788340736E-3</v>
      </c>
      <c r="I554" s="71">
        <f t="shared" si="60"/>
        <v>2.9974530179334848E-2</v>
      </c>
      <c r="L554" s="74"/>
      <c r="M554" s="74"/>
      <c r="N554" s="74"/>
      <c r="O554" s="74"/>
      <c r="P554" s="74"/>
      <c r="Q554" s="74"/>
      <c r="R554" s="74"/>
      <c r="S554" s="74"/>
      <c r="T554" s="74"/>
      <c r="U554" s="74"/>
      <c r="V554" s="74"/>
      <c r="W554" s="74"/>
      <c r="X554" s="74"/>
      <c r="Y554" s="74"/>
    </row>
    <row r="555" spans="1:25" x14ac:dyDescent="0.3">
      <c r="A555" s="66">
        <f t="shared" si="58"/>
        <v>2044.7999999999502</v>
      </c>
      <c r="B555" s="67">
        <f>LOOKUP(A555+0.01,AmountsB!$A$4:$A$103,AmountsB!$B$4:$B$103)*0.1*$A$2</f>
        <v>0</v>
      </c>
      <c r="C555" s="68">
        <f t="shared" si="57"/>
        <v>2074573.74105891</v>
      </c>
      <c r="D555" s="67">
        <f t="array" ref="D555">SUM($B$7:$B550*$F$1009*EXP(-$F$1009*($A555-$A$7:$A550)))*$F$1010</f>
        <v>5383479.640472929</v>
      </c>
      <c r="E555" s="67">
        <f t="shared" si="55"/>
        <v>10.263128680651217</v>
      </c>
      <c r="F555" s="70">
        <f t="shared" si="59"/>
        <v>0.62317717348914181</v>
      </c>
      <c r="G555" s="67">
        <f>E555/'Lookup Tables'!$C$48</f>
        <v>20.526257361302434</v>
      </c>
      <c r="H555" s="70">
        <f t="shared" si="56"/>
        <v>2.6001970080836486E-3</v>
      </c>
      <c r="I555" s="71">
        <f t="shared" si="60"/>
        <v>2.9557810600275503E-2</v>
      </c>
      <c r="L555" s="74"/>
      <c r="M555" s="74"/>
      <c r="N555" s="74"/>
      <c r="O555" s="74"/>
      <c r="P555" s="74"/>
      <c r="Q555" s="74"/>
      <c r="R555" s="74"/>
      <c r="S555" s="74"/>
      <c r="T555" s="74"/>
      <c r="U555" s="74"/>
      <c r="V555" s="74"/>
      <c r="W555" s="74"/>
      <c r="X555" s="74"/>
      <c r="Y555" s="74"/>
    </row>
    <row r="556" spans="1:25" x14ac:dyDescent="0.3">
      <c r="A556" s="66">
        <f t="shared" si="58"/>
        <v>2044.8999999999501</v>
      </c>
      <c r="B556" s="67">
        <f>LOOKUP(A556+0.01,AmountsB!$A$4:$A$103,AmountsB!$B$4:$B$103)*0.1*$A$2</f>
        <v>0</v>
      </c>
      <c r="C556" s="68">
        <f t="shared" si="57"/>
        <v>2074573.74105891</v>
      </c>
      <c r="D556" s="67">
        <f t="array" ref="D556">SUM($B$7:$B551*$F$1009*EXP(-$F$1009*($A556-$A$7:$A551)))*$F$1010</f>
        <v>5308636.053059536</v>
      </c>
      <c r="E556" s="67">
        <f t="shared" si="55"/>
        <v>10.120445988444038</v>
      </c>
      <c r="F556" s="70">
        <f t="shared" si="59"/>
        <v>0.61451348041832199</v>
      </c>
      <c r="G556" s="67">
        <f>E556/'Lookup Tables'!$C$48</f>
        <v>20.240891976888076</v>
      </c>
      <c r="H556" s="70">
        <f t="shared" si="56"/>
        <v>2.5640478842709588E-3</v>
      </c>
      <c r="I556" s="71">
        <f t="shared" si="60"/>
        <v>2.9146884446718833E-2</v>
      </c>
      <c r="L556" s="74"/>
      <c r="M556" s="74"/>
      <c r="N556" s="74"/>
      <c r="O556" s="74"/>
      <c r="P556" s="74"/>
      <c r="Q556" s="74"/>
      <c r="R556" s="74"/>
      <c r="S556" s="74"/>
      <c r="T556" s="74"/>
      <c r="U556" s="74"/>
      <c r="V556" s="74"/>
      <c r="W556" s="74"/>
      <c r="X556" s="74"/>
      <c r="Y556" s="74"/>
    </row>
    <row r="557" spans="1:25" x14ac:dyDescent="0.3">
      <c r="A557" s="66">
        <f t="shared" si="58"/>
        <v>2044.99999999995</v>
      </c>
      <c r="B557" s="67">
        <f>LOOKUP(A557+0.01,AmountsB!$A$4:$A$103,AmountsB!$B$4:$B$103)*0.1*$A$2</f>
        <v>0</v>
      </c>
      <c r="C557" s="68">
        <f t="shared" si="57"/>
        <v>2074573.74105891</v>
      </c>
      <c r="D557" s="67">
        <f t="array" ref="D557">SUM($B$7:$B552*$F$1009*EXP(-$F$1009*($A557-$A$7:$A552)))*$F$1010</f>
        <v>5234832.9753073668</v>
      </c>
      <c r="E557" s="67">
        <f t="shared" si="55"/>
        <v>9.9797469360497253</v>
      </c>
      <c r="F557" s="70">
        <f t="shared" si="59"/>
        <v>0.60597023395693927</v>
      </c>
      <c r="G557" s="67">
        <f>E557/'Lookup Tables'!$C$48</f>
        <v>19.959493872099451</v>
      </c>
      <c r="H557" s="70">
        <f t="shared" si="56"/>
        <v>2.5284013220520109E-3</v>
      </c>
      <c r="I557" s="71">
        <f t="shared" si="60"/>
        <v>2.8741671175823207E-2</v>
      </c>
      <c r="L557" s="74"/>
      <c r="M557" s="74"/>
      <c r="N557" s="74"/>
      <c r="O557" s="74"/>
      <c r="P557" s="74"/>
      <c r="Q557" s="74"/>
      <c r="R557" s="74"/>
      <c r="S557" s="74"/>
      <c r="T557" s="74"/>
      <c r="U557" s="74"/>
      <c r="V557" s="74"/>
      <c r="W557" s="74"/>
      <c r="X557" s="74"/>
      <c r="Y557" s="74"/>
    </row>
    <row r="558" spans="1:25" x14ac:dyDescent="0.3">
      <c r="A558" s="66">
        <f t="shared" si="58"/>
        <v>2045.0999999999499</v>
      </c>
      <c r="B558" s="67">
        <f>LOOKUP(A558+0.01,AmountsB!$A$4:$A$103,AmountsB!$B$4:$B$103)*0.1*$A$2</f>
        <v>0</v>
      </c>
      <c r="C558" s="68">
        <f t="shared" si="57"/>
        <v>2074573.74105891</v>
      </c>
      <c r="D558" s="67">
        <f t="array" ref="D558">SUM($B$7:$B553*$F$1009*EXP(-$F$1009*($A558-$A$7:$A553)))*$F$1010</f>
        <v>5162055.9415769102</v>
      </c>
      <c r="E558" s="67">
        <f t="shared" si="55"/>
        <v>9.8410039460035783</v>
      </c>
      <c r="F558" s="70">
        <f t="shared" si="59"/>
        <v>0.59754575960133727</v>
      </c>
      <c r="G558" s="67">
        <f>E558/'Lookup Tables'!$C$48</f>
        <v>19.682007892007157</v>
      </c>
      <c r="H558" s="70">
        <f t="shared" si="56"/>
        <v>2.4932503345864933E-3</v>
      </c>
      <c r="I558" s="71">
        <f t="shared" si="60"/>
        <v>2.8342091364490306E-2</v>
      </c>
      <c r="L558" s="74"/>
      <c r="M558" s="74"/>
      <c r="N558" s="74"/>
      <c r="O558" s="74"/>
      <c r="P558" s="74"/>
      <c r="Q558" s="74"/>
      <c r="R558" s="74"/>
      <c r="S558" s="74"/>
      <c r="T558" s="74"/>
      <c r="U558" s="74"/>
      <c r="V558" s="74"/>
      <c r="W558" s="74"/>
      <c r="X558" s="74"/>
      <c r="Y558" s="74"/>
    </row>
    <row r="559" spans="1:25" x14ac:dyDescent="0.3">
      <c r="A559" s="66">
        <f t="shared" si="58"/>
        <v>2045.1999999999498</v>
      </c>
      <c r="B559" s="67">
        <f>LOOKUP(A559+0.01,AmountsB!$A$4:$A$103,AmountsB!$B$4:$B$103)*0.1*$A$2</f>
        <v>0</v>
      </c>
      <c r="C559" s="68">
        <f t="shared" si="57"/>
        <v>2074573.74105891</v>
      </c>
      <c r="D559" s="67">
        <f t="array" ref="D559">SUM($B$7:$B554*$F$1009*EXP(-$F$1009*($A559-$A$7:$A554)))*$F$1010</f>
        <v>5090290.6873365715</v>
      </c>
      <c r="E559" s="67">
        <f t="shared" si="55"/>
        <v>9.7041898242353835</v>
      </c>
      <c r="F559" s="70">
        <f t="shared" si="59"/>
        <v>0.5892384061275725</v>
      </c>
      <c r="G559" s="67">
        <f>E559/'Lookup Tables'!$C$48</f>
        <v>19.408379648470767</v>
      </c>
      <c r="H559" s="70">
        <f t="shared" si="56"/>
        <v>2.4585880321683303E-3</v>
      </c>
      <c r="I559" s="71">
        <f t="shared" si="60"/>
        <v>2.7948066693797905E-2</v>
      </c>
      <c r="L559" s="74"/>
      <c r="M559" s="74"/>
      <c r="N559" s="74"/>
      <c r="O559" s="74"/>
      <c r="P559" s="74"/>
      <c r="Q559" s="74"/>
      <c r="R559" s="74"/>
      <c r="S559" s="74"/>
      <c r="T559" s="74"/>
      <c r="U559" s="74"/>
      <c r="V559" s="74"/>
      <c r="W559" s="74"/>
      <c r="X559" s="74"/>
      <c r="Y559" s="74"/>
    </row>
    <row r="560" spans="1:25" x14ac:dyDescent="0.3">
      <c r="A560" s="66">
        <f t="shared" si="58"/>
        <v>2045.2999999999497</v>
      </c>
      <c r="B560" s="67">
        <f>LOOKUP(A560+0.01,AmountsB!$A$4:$A$103,AmountsB!$B$4:$B$103)*0.1*$A$2</f>
        <v>0</v>
      </c>
      <c r="C560" s="68">
        <f t="shared" si="57"/>
        <v>2074573.74105891</v>
      </c>
      <c r="D560" s="67">
        <f t="array" ref="D560">SUM($B$7:$B555*$F$1009*EXP(-$F$1009*($A560-$A$7:$A555)))*$F$1010</f>
        <v>5019523.1463667713</v>
      </c>
      <c r="E560" s="67">
        <f t="shared" si="55"/>
        <v>9.5692777547392875</v>
      </c>
      <c r="F560" s="70">
        <f t="shared" si="59"/>
        <v>0.58104654526776944</v>
      </c>
      <c r="G560" s="67">
        <f>E560/'Lookup Tables'!$C$48</f>
        <v>19.138555509478575</v>
      </c>
      <c r="H560" s="70">
        <f t="shared" si="56"/>
        <v>2.4244076208752839E-3</v>
      </c>
      <c r="I560" s="71">
        <f t="shared" si="60"/>
        <v>2.7559519933649149E-2</v>
      </c>
      <c r="L560" s="74"/>
      <c r="M560" s="74"/>
      <c r="N560" s="74"/>
      <c r="O560" s="74"/>
      <c r="P560" s="74"/>
      <c r="Q560" s="74"/>
      <c r="R560" s="74"/>
      <c r="S560" s="74"/>
      <c r="T560" s="74"/>
      <c r="U560" s="74"/>
      <c r="V560" s="74"/>
      <c r="W560" s="74"/>
      <c r="X560" s="74"/>
      <c r="Y560" s="74"/>
    </row>
    <row r="561" spans="1:25" x14ac:dyDescent="0.3">
      <c r="A561" s="66">
        <f t="shared" si="58"/>
        <v>2045.3999999999496</v>
      </c>
      <c r="B561" s="67">
        <f>LOOKUP(A561+0.01,AmountsB!$A$4:$A$103,AmountsB!$B$4:$B$103)*0.1*$A$2</f>
        <v>0</v>
      </c>
      <c r="C561" s="68">
        <f t="shared" si="57"/>
        <v>2074573.74105891</v>
      </c>
      <c r="D561" s="67">
        <f t="array" ref="D561">SUM($B$7:$B556*$F$1009*EXP(-$F$1009*($A561-$A$7:$A556)))*$F$1010</f>
        <v>4949739.4480029298</v>
      </c>
      <c r="E561" s="67">
        <f t="shared" si="55"/>
        <v>9.436241294317762</v>
      </c>
      <c r="F561" s="70">
        <f t="shared" si="59"/>
        <v>0.57296857139097446</v>
      </c>
      <c r="G561" s="67">
        <f>E561/'Lookup Tables'!$C$48</f>
        <v>18.872482588635524</v>
      </c>
      <c r="H561" s="70">
        <f t="shared" si="56"/>
        <v>2.3907024012373148E-3</v>
      </c>
      <c r="I561" s="71">
        <f t="shared" si="60"/>
        <v>2.7176374927635152E-2</v>
      </c>
      <c r="L561" s="74"/>
      <c r="M561" s="74"/>
      <c r="N561" s="74"/>
      <c r="O561" s="74"/>
      <c r="P561" s="74"/>
      <c r="Q561" s="74"/>
      <c r="R561" s="74"/>
      <c r="S561" s="74"/>
      <c r="T561" s="74"/>
      <c r="U561" s="74"/>
      <c r="V561" s="74"/>
      <c r="W561" s="74"/>
      <c r="X561" s="74"/>
      <c r="Y561" s="74"/>
    </row>
    <row r="562" spans="1:25" x14ac:dyDescent="0.3">
      <c r="A562" s="66">
        <f t="shared" si="58"/>
        <v>2045.4999999999495</v>
      </c>
      <c r="B562" s="67">
        <f>LOOKUP(A562+0.01,AmountsB!$A$4:$A$103,AmountsB!$B$4:$B$103)*0.1*$A$2</f>
        <v>0</v>
      </c>
      <c r="C562" s="68">
        <f t="shared" si="57"/>
        <v>2074573.74105891</v>
      </c>
      <c r="D562" s="67">
        <f t="array" ref="D562">SUM($B$7:$B557*$F$1009*EXP(-$F$1009*($A562-$A$7:$A557)))*$F$1010</f>
        <v>4880925.9144167649</v>
      </c>
      <c r="E562" s="67">
        <f t="shared" si="55"/>
        <v>9.3050543673986734</v>
      </c>
      <c r="F562" s="70">
        <f t="shared" si="59"/>
        <v>0.56500290118844754</v>
      </c>
      <c r="G562" s="67">
        <f>E562/'Lookup Tables'!$C$48</f>
        <v>18.610108734797347</v>
      </c>
      <c r="H562" s="70">
        <f t="shared" si="56"/>
        <v>2.3574657669234735E-3</v>
      </c>
      <c r="I562" s="71">
        <f t="shared" si="60"/>
        <v>2.6798556578108184E-2</v>
      </c>
      <c r="L562" s="74"/>
      <c r="M562" s="74"/>
      <c r="N562" s="74"/>
      <c r="O562" s="74"/>
      <c r="P562" s="74"/>
      <c r="Q562" s="74"/>
      <c r="R562" s="74"/>
      <c r="S562" s="74"/>
      <c r="T562" s="74"/>
      <c r="U562" s="74"/>
      <c r="V562" s="74"/>
      <c r="W562" s="74"/>
      <c r="X562" s="74"/>
      <c r="Y562" s="74"/>
    </row>
    <row r="563" spans="1:25" x14ac:dyDescent="0.3">
      <c r="A563" s="66">
        <f t="shared" si="58"/>
        <v>2045.5999999999494</v>
      </c>
      <c r="B563" s="67">
        <f>LOOKUP(A563+0.01,AmountsB!$A$4:$A$103,AmountsB!$B$4:$B$103)*0.1*$A$2</f>
        <v>0</v>
      </c>
      <c r="C563" s="68">
        <f t="shared" si="57"/>
        <v>2074573.74105891</v>
      </c>
      <c r="D563" s="67">
        <f t="array" ref="D563">SUM($B$7:$B558*$F$1009*EXP(-$F$1009*($A563-$A$7:$A558)))*$F$1010</f>
        <v>4813069.0579353971</v>
      </c>
      <c r="E563" s="67">
        <f t="shared" si="55"/>
        <v>9.175691260924367</v>
      </c>
      <c r="F563" s="70">
        <f t="shared" si="59"/>
        <v>0.55714797336332755</v>
      </c>
      <c r="G563" s="67">
        <f>E563/'Lookup Tables'!$C$48</f>
        <v>18.351382521848734</v>
      </c>
      <c r="H563" s="70">
        <f t="shared" si="56"/>
        <v>2.3246912034470312E-3</v>
      </c>
      <c r="I563" s="71">
        <f t="shared" si="60"/>
        <v>2.642599083146218E-2</v>
      </c>
      <c r="L563" s="74"/>
      <c r="M563" s="74"/>
      <c r="N563" s="74"/>
      <c r="O563" s="74"/>
      <c r="P563" s="74"/>
      <c r="Q563" s="74"/>
      <c r="R563" s="74"/>
      <c r="S563" s="74"/>
      <c r="T563" s="74"/>
      <c r="U563" s="74"/>
      <c r="V563" s="74"/>
      <c r="W563" s="74"/>
      <c r="X563" s="74"/>
      <c r="Y563" s="74"/>
    </row>
    <row r="564" spans="1:25" x14ac:dyDescent="0.3">
      <c r="A564" s="66">
        <f t="shared" si="58"/>
        <v>2045.6999999999493</v>
      </c>
      <c r="B564" s="67">
        <f>LOOKUP(A564+0.01,AmountsB!$A$4:$A$103,AmountsB!$B$4:$B$103)*0.1*$A$2</f>
        <v>0</v>
      </c>
      <c r="C564" s="68">
        <f t="shared" si="57"/>
        <v>2074573.74105891</v>
      </c>
      <c r="D564" s="67">
        <f t="array" ref="D564">SUM($B$7:$B559*$F$1009*EXP(-$F$1009*($A564-$A$7:$A559)))*$F$1010</f>
        <v>4746155.5783977229</v>
      </c>
      <c r="E564" s="67">
        <f t="shared" si="55"/>
        <v>9.048126619311839</v>
      </c>
      <c r="F564" s="70">
        <f t="shared" si="59"/>
        <v>0.54940224832461493</v>
      </c>
      <c r="G564" s="67">
        <f>E564/'Lookup Tables'!$C$48</f>
        <v>18.096253238623678</v>
      </c>
      <c r="H564" s="70">
        <f t="shared" si="56"/>
        <v>2.2923722868886244E-3</v>
      </c>
      <c r="I564" s="71">
        <f t="shared" si="60"/>
        <v>2.6058604663618097E-2</v>
      </c>
      <c r="L564" s="74"/>
      <c r="M564" s="74"/>
      <c r="N564" s="74"/>
      <c r="O564" s="74"/>
      <c r="P564" s="74"/>
      <c r="Q564" s="74"/>
      <c r="R564" s="74"/>
      <c r="S564" s="74"/>
      <c r="T564" s="74"/>
      <c r="U564" s="74"/>
      <c r="V564" s="74"/>
      <c r="W564" s="74"/>
      <c r="X564" s="74"/>
      <c r="Y564" s="74"/>
    </row>
    <row r="565" spans="1:25" x14ac:dyDescent="0.3">
      <c r="A565" s="66">
        <f t="shared" si="58"/>
        <v>2045.7999999999493</v>
      </c>
      <c r="B565" s="67">
        <f>LOOKUP(A565+0.01,AmountsB!$A$4:$A$103,AmountsB!$B$4:$B$103)*0.1*$A$2</f>
        <v>0</v>
      </c>
      <c r="C565" s="68">
        <f t="shared" si="57"/>
        <v>2074573.74105891</v>
      </c>
      <c r="D565" s="67">
        <f t="array" ref="D565">SUM($B$7:$B560*$F$1009*EXP(-$F$1009*($A565-$A$7:$A560)))*$F$1010</f>
        <v>4680172.3605475361</v>
      </c>
      <c r="E565" s="67">
        <f t="shared" si="55"/>
        <v>8.9223354394829464</v>
      </c>
      <c r="F565" s="70">
        <f t="shared" si="59"/>
        <v>0.54176420788540458</v>
      </c>
      <c r="G565" s="67">
        <f>E565/'Lookup Tables'!$C$48</f>
        <v>17.844670878965893</v>
      </c>
      <c r="H565" s="70">
        <f t="shared" si="56"/>
        <v>2.2605026826371414E-3</v>
      </c>
      <c r="I565" s="71">
        <f t="shared" si="60"/>
        <v>2.5696326065710887E-2</v>
      </c>
      <c r="L565" s="74"/>
      <c r="M565" s="74"/>
      <c r="N565" s="74"/>
      <c r="O565" s="74"/>
      <c r="P565" s="74"/>
      <c r="Q565" s="74"/>
      <c r="R565" s="74"/>
      <c r="S565" s="74"/>
      <c r="T565" s="74"/>
      <c r="U565" s="74"/>
      <c r="V565" s="74"/>
      <c r="W565" s="74"/>
      <c r="X565" s="74"/>
      <c r="Y565" s="74"/>
    </row>
    <row r="566" spans="1:25" x14ac:dyDescent="0.3">
      <c r="A566" s="66">
        <f t="shared" si="58"/>
        <v>2045.8999999999492</v>
      </c>
      <c r="B566" s="67">
        <f>LOOKUP(A566+0.01,AmountsB!$A$4:$A$103,AmountsB!$B$4:$B$103)*0.1*$A$2</f>
        <v>0</v>
      </c>
      <c r="C566" s="68">
        <f t="shared" si="57"/>
        <v>2074573.74105891</v>
      </c>
      <c r="D566" s="67">
        <f t="array" ref="D566">SUM($B$7:$B561*$F$1009*EXP(-$F$1009*($A566-$A$7:$A561)))*$F$1010</f>
        <v>4615106.4714629063</v>
      </c>
      <c r="E566" s="67">
        <f t="shared" si="55"/>
        <v>8.798293065963751</v>
      </c>
      <c r="F566" s="70">
        <f t="shared" si="59"/>
        <v>0.53423235496531896</v>
      </c>
      <c r="G566" s="67">
        <f>E566/'Lookup Tables'!$C$48</f>
        <v>17.596586131927502</v>
      </c>
      <c r="H566" s="70">
        <f t="shared" si="56"/>
        <v>2.2290761441481253E-3</v>
      </c>
      <c r="I566" s="71">
        <f t="shared" si="60"/>
        <v>2.5339084029975603E-2</v>
      </c>
      <c r="L566" s="74"/>
      <c r="M566" s="74"/>
      <c r="N566" s="74"/>
      <c r="O566" s="74"/>
      <c r="P566" s="74"/>
      <c r="Q566" s="74"/>
      <c r="R566" s="74"/>
      <c r="S566" s="74"/>
      <c r="T566" s="74"/>
      <c r="U566" s="74"/>
      <c r="V566" s="74"/>
      <c r="W566" s="74"/>
      <c r="X566" s="74"/>
      <c r="Y566" s="74"/>
    </row>
    <row r="567" spans="1:25" x14ac:dyDescent="0.3">
      <c r="A567" s="66">
        <f t="shared" si="58"/>
        <v>2045.9999999999491</v>
      </c>
      <c r="B567" s="67">
        <f>LOOKUP(A567+0.01,AmountsB!$A$4:$A$103,AmountsB!$B$4:$B$103)*0.1*$A$2</f>
        <v>0</v>
      </c>
      <c r="C567" s="68">
        <f t="shared" si="57"/>
        <v>2074573.74105891</v>
      </c>
      <c r="D567" s="67">
        <f t="array" ref="D567">SUM($B$7:$B562*$F$1009*EXP(-$F$1009*($A567-$A$7:$A562)))*$F$1010</f>
        <v>4550945.1580212722</v>
      </c>
      <c r="E567" s="67">
        <f t="shared" si="55"/>
        <v>8.6759751860519323</v>
      </c>
      <c r="F567" s="70">
        <f t="shared" si="59"/>
        <v>0.5268052132970733</v>
      </c>
      <c r="G567" s="67">
        <f>E567/'Lookup Tables'!$C$48</f>
        <v>17.351950372103865</v>
      </c>
      <c r="H567" s="70">
        <f t="shared" si="56"/>
        <v>2.1980865117194239E-3</v>
      </c>
      <c r="I567" s="71">
        <f t="shared" si="60"/>
        <v>2.4986808535829564E-2</v>
      </c>
      <c r="L567" s="74"/>
      <c r="M567" s="74"/>
      <c r="N567" s="74"/>
      <c r="O567" s="74"/>
      <c r="P567" s="74"/>
      <c r="Q567" s="74"/>
      <c r="R567" s="74"/>
      <c r="S567" s="74"/>
      <c r="T567" s="74"/>
      <c r="U567" s="74"/>
      <c r="V567" s="74"/>
      <c r="W567" s="74"/>
      <c r="X567" s="74"/>
      <c r="Y567" s="74"/>
    </row>
    <row r="568" spans="1:25" x14ac:dyDescent="0.3">
      <c r="A568" s="66">
        <f t="shared" si="58"/>
        <v>2046.099999999949</v>
      </c>
      <c r="B568" s="67">
        <f>LOOKUP(A568+0.01,AmountsB!$A$4:$A$103,AmountsB!$B$4:$B$103)*0.1*$A$2</f>
        <v>0</v>
      </c>
      <c r="C568" s="68">
        <f t="shared" si="57"/>
        <v>2074573.74105891</v>
      </c>
      <c r="D568" s="67">
        <f t="array" ref="D568">SUM($B$7:$B563*$F$1009*EXP(-$F$1009*($A568-$A$7:$A563)))*$F$1010</f>
        <v>4487675.8443997959</v>
      </c>
      <c r="E568" s="67">
        <f t="shared" si="55"/>
        <v>8.5553578250514448</v>
      </c>
      <c r="F568" s="70">
        <f t="shared" si="59"/>
        <v>0.51948132713712381</v>
      </c>
      <c r="G568" s="67">
        <f>E568/'Lookup Tables'!$C$48</f>
        <v>17.11071565010289</v>
      </c>
      <c r="H568" s="70">
        <f t="shared" si="56"/>
        <v>2.1675277112838719E-3</v>
      </c>
      <c r="I568" s="71">
        <f t="shared" si="60"/>
        <v>2.4639430536148164E-2</v>
      </c>
      <c r="L568" s="74"/>
      <c r="M568" s="74"/>
      <c r="N568" s="74"/>
      <c r="O568" s="74"/>
      <c r="P568" s="74"/>
      <c r="Q568" s="74"/>
      <c r="R568" s="74"/>
      <c r="S568" s="74"/>
      <c r="T568" s="74"/>
      <c r="U568" s="74"/>
      <c r="V568" s="74"/>
      <c r="W568" s="74"/>
      <c r="X568" s="74"/>
      <c r="Y568" s="74"/>
    </row>
    <row r="569" spans="1:25" x14ac:dyDescent="0.3">
      <c r="A569" s="66">
        <f t="shared" si="58"/>
        <v>2046.1999999999489</v>
      </c>
      <c r="B569" s="67">
        <f>LOOKUP(A569+0.01,AmountsB!$A$4:$A$103,AmountsB!$B$4:$B$103)*0.1*$A$2</f>
        <v>0</v>
      </c>
      <c r="C569" s="68">
        <f t="shared" si="57"/>
        <v>2074573.74105891</v>
      </c>
      <c r="D569" s="67">
        <f t="array" ref="D569">SUM($B$7:$B564*$F$1009*EXP(-$F$1009*($A569-$A$7:$A564)))*$F$1010</f>
        <v>4425286.1296104612</v>
      </c>
      <c r="E569" s="67">
        <f t="shared" si="55"/>
        <v>8.4364173415733994</v>
      </c>
      <c r="F569" s="70">
        <f t="shared" si="59"/>
        <v>0.51225926098033681</v>
      </c>
      <c r="G569" s="67">
        <f>E569/'Lookup Tables'!$C$48</f>
        <v>16.872834683146799</v>
      </c>
      <c r="H569" s="70">
        <f t="shared" si="56"/>
        <v>2.1373937532187556E-3</v>
      </c>
      <c r="I569" s="71">
        <f t="shared" si="60"/>
        <v>2.4296881943731391E-2</v>
      </c>
      <c r="L569" s="74"/>
      <c r="M569" s="74"/>
      <c r="N569" s="74"/>
      <c r="O569" s="74"/>
      <c r="P569" s="74"/>
      <c r="Q569" s="74"/>
      <c r="R569" s="74"/>
      <c r="S569" s="74"/>
      <c r="T569" s="74"/>
      <c r="U569" s="74"/>
      <c r="V569" s="74"/>
      <c r="W569" s="74"/>
      <c r="X569" s="74"/>
      <c r="Y569" s="74"/>
    </row>
    <row r="570" spans="1:25" x14ac:dyDescent="0.3">
      <c r="A570" s="66">
        <f t="shared" si="58"/>
        <v>2046.2999999999488</v>
      </c>
      <c r="B570" s="67">
        <f>LOOKUP(A570+0.01,AmountsB!$A$4:$A$103,AmountsB!$B$4:$B$103)*0.1*$A$2</f>
        <v>0</v>
      </c>
      <c r="C570" s="68">
        <f t="shared" si="57"/>
        <v>2074573.74105891</v>
      </c>
      <c r="D570" s="67">
        <f t="array" ref="D570">SUM($B$7:$B565*$F$1009*EXP(-$F$1009*($A570-$A$7:$A565)))*$F$1010</f>
        <v>4363763.7850694368</v>
      </c>
      <c r="E570" s="67">
        <f t="shared" si="55"/>
        <v>8.3191304229022567</v>
      </c>
      <c r="F570" s="70">
        <f t="shared" si="59"/>
        <v>0.505137599278625</v>
      </c>
      <c r="G570" s="67">
        <f>E570/'Lookup Tables'!$C$48</f>
        <v>16.638260845804513</v>
      </c>
      <c r="H570" s="70">
        <f t="shared" si="56"/>
        <v>2.1076787311718227E-3</v>
      </c>
      <c r="I570" s="71">
        <f t="shared" si="60"/>
        <v>2.3959095617958497E-2</v>
      </c>
      <c r="L570" s="74"/>
      <c r="M570" s="74"/>
      <c r="N570" s="74"/>
      <c r="O570" s="74"/>
      <c r="P570" s="74"/>
      <c r="Q570" s="74"/>
      <c r="R570" s="74"/>
      <c r="S570" s="74"/>
      <c r="T570" s="74"/>
      <c r="U570" s="74"/>
      <c r="V570" s="74"/>
      <c r="W570" s="74"/>
      <c r="X570" s="74"/>
      <c r="Y570" s="74"/>
    </row>
    <row r="571" spans="1:25" x14ac:dyDescent="0.3">
      <c r="A571" s="66">
        <f t="shared" si="58"/>
        <v>2046.3999999999487</v>
      </c>
      <c r="B571" s="67">
        <f>LOOKUP(A571+0.01,AmountsB!$A$4:$A$103,AmountsB!$B$4:$B$103)*0.1*$A$2</f>
        <v>0</v>
      </c>
      <c r="C571" s="68">
        <f t="shared" si="57"/>
        <v>2074573.74105891</v>
      </c>
      <c r="D571" s="67">
        <f t="array" ref="D571">SUM($B$7:$B566*$F$1009*EXP(-$F$1009*($A571-$A$7:$A566)))*$F$1010</f>
        <v>4303096.7522002384</v>
      </c>
      <c r="E571" s="67">
        <f t="shared" si="55"/>
        <v>8.203474080426485</v>
      </c>
      <c r="F571" s="70">
        <f t="shared" si="59"/>
        <v>0.49811494616349616</v>
      </c>
      <c r="G571" s="67">
        <f>E571/'Lookup Tables'!$C$48</f>
        <v>16.40694816085297</v>
      </c>
      <c r="H571" s="70">
        <f t="shared" si="56"/>
        <v>2.0783768209036262E-3</v>
      </c>
      <c r="I571" s="71">
        <f t="shared" si="60"/>
        <v>2.3626005351628274E-2</v>
      </c>
      <c r="L571" s="74"/>
      <c r="M571" s="74"/>
      <c r="N571" s="74"/>
      <c r="O571" s="74"/>
      <c r="P571" s="74"/>
      <c r="Q571" s="74"/>
      <c r="R571" s="74"/>
      <c r="S571" s="74"/>
      <c r="T571" s="74"/>
      <c r="U571" s="74"/>
      <c r="V571" s="74"/>
      <c r="W571" s="74"/>
      <c r="X571" s="74"/>
      <c r="Y571" s="74"/>
    </row>
    <row r="572" spans="1:25" x14ac:dyDescent="0.3">
      <c r="A572" s="66">
        <f t="shared" si="58"/>
        <v>2046.4999999999486</v>
      </c>
      <c r="B572" s="67">
        <f>LOOKUP(A572+0.01,AmountsB!$A$4:$A$103,AmountsB!$B$4:$B$103)*0.1*$A$2</f>
        <v>0</v>
      </c>
      <c r="C572" s="68">
        <f t="shared" si="57"/>
        <v>2074573.74105891</v>
      </c>
      <c r="D572" s="67">
        <f t="array" ref="D572">SUM($B$7:$B567*$F$1009*EXP(-$F$1009*($A572-$A$7:$A567)))*$F$1010</f>
        <v>4243273.1400702065</v>
      </c>
      <c r="E572" s="67">
        <f t="shared" si="55"/>
        <v>8.0894256451327013</v>
      </c>
      <c r="F572" s="70">
        <f t="shared" si="59"/>
        <v>0.49118992517245758</v>
      </c>
      <c r="G572" s="67">
        <f>E572/'Lookup Tables'!$C$48</f>
        <v>16.178851290265403</v>
      </c>
      <c r="H572" s="70">
        <f t="shared" si="56"/>
        <v>2.0494822791459464E-3</v>
      </c>
      <c r="I572" s="71">
        <f t="shared" si="60"/>
        <v>2.3297545857982178E-2</v>
      </c>
      <c r="L572" s="74"/>
      <c r="M572" s="74"/>
      <c r="N572" s="74"/>
      <c r="O572" s="74"/>
      <c r="P572" s="74"/>
      <c r="Q572" s="74"/>
      <c r="R572" s="74"/>
      <c r="S572" s="74"/>
      <c r="T572" s="74"/>
      <c r="U572" s="74"/>
      <c r="V572" s="74"/>
      <c r="W572" s="74"/>
      <c r="X572" s="74"/>
      <c r="Y572" s="74"/>
    </row>
    <row r="573" spans="1:25" x14ac:dyDescent="0.3">
      <c r="A573" s="66">
        <f t="shared" si="58"/>
        <v>2046.5999999999485</v>
      </c>
      <c r="B573" s="67">
        <f>LOOKUP(A573+0.01,AmountsB!$A$4:$A$103,AmountsB!$B$4:$B$103)*0.1*$A$2</f>
        <v>0</v>
      </c>
      <c r="C573" s="68">
        <f t="shared" si="57"/>
        <v>2074573.74105891</v>
      </c>
      <c r="D573" s="67">
        <f t="array" ref="D573">SUM($B$7:$B568*$F$1009*EXP(-$F$1009*($A573-$A$7:$A568)))*$F$1010</f>
        <v>4184281.2230598466</v>
      </c>
      <c r="E573" s="67">
        <f t="shared" si="55"/>
        <v>7.9769627631624758</v>
      </c>
      <c r="F573" s="70">
        <f t="shared" si="59"/>
        <v>0.48436117897922554</v>
      </c>
      <c r="G573" s="67">
        <f>E573/'Lookup Tables'!$C$48</f>
        <v>15.953925526324952</v>
      </c>
      <c r="H573" s="70">
        <f t="shared" si="56"/>
        <v>2.0209894424760969E-3</v>
      </c>
      <c r="I573" s="71">
        <f t="shared" si="60"/>
        <v>2.2973652757907932E-2</v>
      </c>
      <c r="L573" s="74"/>
      <c r="M573" s="74"/>
      <c r="N573" s="74"/>
      <c r="O573" s="74"/>
      <c r="P573" s="74"/>
      <c r="Q573" s="74"/>
      <c r="R573" s="74"/>
      <c r="S573" s="74"/>
      <c r="T573" s="74"/>
      <c r="U573" s="74"/>
      <c r="V573" s="74"/>
      <c r="W573" s="74"/>
      <c r="X573" s="74"/>
      <c r="Y573" s="74"/>
    </row>
    <row r="574" spans="1:25" x14ac:dyDescent="0.3">
      <c r="A574" s="66">
        <f t="shared" si="58"/>
        <v>2046.6999999999484</v>
      </c>
      <c r="B574" s="67">
        <f>LOOKUP(A574+0.01,AmountsB!$A$4:$A$103,AmountsB!$B$4:$B$103)*0.1*$A$2</f>
        <v>0</v>
      </c>
      <c r="C574" s="68">
        <f t="shared" si="57"/>
        <v>2074573.74105891</v>
      </c>
      <c r="D574" s="67">
        <f t="array" ref="D574">SUM($B$7:$B569*$F$1009*EXP(-$F$1009*($A574-$A$7:$A569)))*$F$1010</f>
        <v>4126109.4385645706</v>
      </c>
      <c r="E574" s="67">
        <f t="shared" si="55"/>
        <v>7.8660633914309086</v>
      </c>
      <c r="F574" s="70">
        <f t="shared" si="59"/>
        <v>0.47762736912768472</v>
      </c>
      <c r="G574" s="67">
        <f>E574/'Lookup Tables'!$C$48</f>
        <v>15.732126782861817</v>
      </c>
      <c r="H574" s="70">
        <f t="shared" si="56"/>
        <v>1.9928927262068742E-3</v>
      </c>
      <c r="I574" s="71">
        <f t="shared" si="60"/>
        <v>2.2654262567321018E-2</v>
      </c>
      <c r="L574" s="74"/>
      <c r="M574" s="74"/>
      <c r="N574" s="74"/>
      <c r="O574" s="74"/>
      <c r="P574" s="74"/>
      <c r="Q574" s="74"/>
      <c r="R574" s="74"/>
      <c r="S574" s="74"/>
      <c r="T574" s="74"/>
      <c r="U574" s="74"/>
      <c r="V574" s="74"/>
      <c r="W574" s="74"/>
      <c r="X574" s="74"/>
      <c r="Y574" s="74"/>
    </row>
    <row r="575" spans="1:25" x14ac:dyDescent="0.3">
      <c r="A575" s="66">
        <f t="shared" si="58"/>
        <v>2046.7999999999483</v>
      </c>
      <c r="B575" s="67">
        <f>LOOKUP(A575+0.01,AmountsB!$A$4:$A$103,AmountsB!$B$4:$B$103)*0.1*$A$2</f>
        <v>0</v>
      </c>
      <c r="C575" s="68">
        <f t="shared" si="57"/>
        <v>2074573.74105891</v>
      </c>
      <c r="D575" s="67">
        <f t="array" ref="D575">SUM($B$7:$B570*$F$1009*EXP(-$F$1009*($A575-$A$7:$A570)))*$F$1010</f>
        <v>4068746.3847283907</v>
      </c>
      <c r="E575" s="67">
        <f t="shared" si="55"/>
        <v>7.756705793306117</v>
      </c>
      <c r="F575" s="70">
        <f t="shared" si="59"/>
        <v>0.47098717576954746</v>
      </c>
      <c r="G575" s="67">
        <f>E575/'Lookup Tables'!$C$48</f>
        <v>15.513411586612234</v>
      </c>
      <c r="H575" s="70">
        <f t="shared" si="56"/>
        <v>1.9651866232919439E-3</v>
      </c>
      <c r="I575" s="71">
        <f t="shared" si="60"/>
        <v>2.233931268472162E-2</v>
      </c>
      <c r="L575" s="74"/>
      <c r="M575" s="74"/>
      <c r="N575" s="74"/>
      <c r="O575" s="74"/>
      <c r="P575" s="74"/>
      <c r="Q575" s="74"/>
      <c r="R575" s="74"/>
      <c r="S575" s="74"/>
      <c r="T575" s="74"/>
      <c r="U575" s="74"/>
      <c r="V575" s="74"/>
      <c r="W575" s="74"/>
      <c r="X575" s="74"/>
      <c r="Y575" s="74"/>
    </row>
    <row r="576" spans="1:25" x14ac:dyDescent="0.3">
      <c r="A576" s="66">
        <f t="shared" si="58"/>
        <v>2046.8999999999482</v>
      </c>
      <c r="B576" s="67">
        <f>LOOKUP(A576+0.01,AmountsB!$A$4:$A$103,AmountsB!$B$4:$B$103)*0.1*$A$2</f>
        <v>0</v>
      </c>
      <c r="C576" s="68">
        <f t="shared" si="57"/>
        <v>2074573.74105891</v>
      </c>
      <c r="D576" s="67">
        <f t="array" ref="D576">SUM($B$7:$B571*$F$1009*EXP(-$F$1009*($A576-$A$7:$A571)))*$F$1010</f>
        <v>4012180.8182091154</v>
      </c>
      <c r="E576" s="67">
        <f t="shared" si="55"/>
        <v>7.6488685343487752</v>
      </c>
      <c r="F576" s="70">
        <f t="shared" si="59"/>
        <v>0.46443929740565759</v>
      </c>
      <c r="G576" s="67">
        <f>E576/'Lookup Tables'!$C$48</f>
        <v>15.29773706869755</v>
      </c>
      <c r="H576" s="70">
        <f t="shared" si="56"/>
        <v>1.9378657032464365E-3</v>
      </c>
      <c r="I576" s="71">
        <f t="shared" si="60"/>
        <v>2.2028741378924473E-2</v>
      </c>
      <c r="L576" s="74"/>
      <c r="M576" s="74"/>
      <c r="N576" s="74"/>
      <c r="O576" s="74"/>
      <c r="P576" s="74"/>
      <c r="Q576" s="74"/>
      <c r="R576" s="74"/>
      <c r="S576" s="74"/>
      <c r="T576" s="74"/>
      <c r="U576" s="74"/>
      <c r="V576" s="74"/>
      <c r="W576" s="74"/>
      <c r="X576" s="74"/>
      <c r="Y576" s="74"/>
    </row>
    <row r="577" spans="1:25" x14ac:dyDescent="0.3">
      <c r="A577" s="66">
        <f t="shared" si="58"/>
        <v>2046.9999999999482</v>
      </c>
      <c r="B577" s="67">
        <f>LOOKUP(A577+0.01,AmountsB!$A$4:$A$103,AmountsB!$B$4:$B$103)*0.1*$A$2</f>
        <v>0</v>
      </c>
      <c r="C577" s="68">
        <f t="shared" si="57"/>
        <v>2074573.74105891</v>
      </c>
      <c r="D577" s="67">
        <f t="array" ref="D577">SUM($B$7:$B572*$F$1009*EXP(-$F$1009*($A577-$A$7:$A572)))*$F$1010</f>
        <v>3956401.6519746194</v>
      </c>
      <c r="E577" s="67">
        <f t="shared" si="55"/>
        <v>7.5425304781108995</v>
      </c>
      <c r="F577" s="70">
        <f t="shared" si="59"/>
        <v>0.45798245063089382</v>
      </c>
      <c r="G577" s="67">
        <f>E577/'Lookup Tables'!$C$48</f>
        <v>15.085060956221799</v>
      </c>
      <c r="H577" s="70">
        <f t="shared" si="56"/>
        <v>1.9109246110825596E-3</v>
      </c>
      <c r="I577" s="71">
        <f t="shared" si="60"/>
        <v>2.1722487776959388E-2</v>
      </c>
      <c r="L577" s="74"/>
      <c r="M577" s="74"/>
      <c r="N577" s="74"/>
      <c r="O577" s="74"/>
      <c r="P577" s="74"/>
      <c r="Q577" s="74"/>
      <c r="R577" s="74"/>
      <c r="S577" s="74"/>
      <c r="T577" s="74"/>
      <c r="U577" s="74"/>
      <c r="V577" s="74"/>
      <c r="W577" s="74"/>
      <c r="X577" s="74"/>
      <c r="Y577" s="74"/>
    </row>
    <row r="578" spans="1:25" x14ac:dyDescent="0.3">
      <c r="A578" s="66">
        <f t="shared" si="58"/>
        <v>2047.0999999999481</v>
      </c>
      <c r="B578" s="67">
        <f>LOOKUP(A578+0.01,AmountsB!$A$4:$A$103,AmountsB!$B$4:$B$103)*0.1*$A$2</f>
        <v>0</v>
      </c>
      <c r="C578" s="68">
        <f t="shared" si="57"/>
        <v>2074573.74105891</v>
      </c>
      <c r="D578" s="67">
        <f t="array" ref="D578">SUM($B$7:$B573*$F$1009*EXP(-$F$1009*($A578-$A$7:$A573)))*$F$1010</f>
        <v>3901397.9531297521</v>
      </c>
      <c r="E578" s="67">
        <f t="shared" si="55"/>
        <v>7.4376707819930425</v>
      </c>
      <c r="F578" s="70">
        <f t="shared" si="59"/>
        <v>0.45161536988261747</v>
      </c>
      <c r="G578" s="67">
        <f>E578/'Lookup Tables'!$C$48</f>
        <v>14.875341563986085</v>
      </c>
      <c r="H578" s="70">
        <f t="shared" si="56"/>
        <v>1.8843580662600003E-3</v>
      </c>
      <c r="I578" s="71">
        <f t="shared" si="60"/>
        <v>2.1420491852139959E-2</v>
      </c>
      <c r="L578" s="74"/>
      <c r="M578" s="74"/>
      <c r="N578" s="74"/>
      <c r="O578" s="74"/>
      <c r="P578" s="74"/>
      <c r="Q578" s="74"/>
      <c r="R578" s="74"/>
      <c r="S578" s="74"/>
      <c r="T578" s="74"/>
      <c r="U578" s="74"/>
      <c r="V578" s="74"/>
      <c r="W578" s="74"/>
      <c r="X578" s="74"/>
      <c r="Y578" s="74"/>
    </row>
    <row r="579" spans="1:25" x14ac:dyDescent="0.3">
      <c r="A579" s="66">
        <f t="shared" si="58"/>
        <v>2047.199999999948</v>
      </c>
      <c r="B579" s="67">
        <f>LOOKUP(A579+0.01,AmountsB!$A$4:$A$103,AmountsB!$B$4:$B$103)*0.1*$A$2</f>
        <v>0</v>
      </c>
      <c r="C579" s="68">
        <f t="shared" si="57"/>
        <v>2074573.74105891</v>
      </c>
      <c r="D579" s="67">
        <f t="array" ref="D579">SUM($B$7:$B574*$F$1009*EXP(-$F$1009*($A579-$A$7:$A574)))*$F$1010</f>
        <v>3847158.9407734531</v>
      </c>
      <c r="E579" s="67">
        <f t="shared" si="55"/>
        <v>7.3342688931590709</v>
      </c>
      <c r="F579" s="70">
        <f t="shared" si="59"/>
        <v>0.44533680719261881</v>
      </c>
      <c r="G579" s="67">
        <f>E579/'Lookup Tables'!$C$48</f>
        <v>14.668537786318142</v>
      </c>
      <c r="H579" s="70">
        <f t="shared" si="56"/>
        <v>1.8581608616509251E-3</v>
      </c>
      <c r="I579" s="71">
        <f t="shared" si="60"/>
        <v>2.1122694412298124E-2</v>
      </c>
      <c r="L579" s="74"/>
      <c r="M579" s="74"/>
      <c r="N579" s="74"/>
      <c r="O579" s="74"/>
      <c r="P579" s="74"/>
      <c r="Q579" s="74"/>
      <c r="R579" s="74"/>
      <c r="S579" s="74"/>
      <c r="T579" s="74"/>
      <c r="U579" s="74"/>
      <c r="V579" s="74"/>
      <c r="W579" s="74"/>
      <c r="X579" s="74"/>
      <c r="Y579" s="74"/>
    </row>
    <row r="580" spans="1:25" x14ac:dyDescent="0.3">
      <c r="A580" s="66">
        <f t="shared" si="58"/>
        <v>2047.2999999999479</v>
      </c>
      <c r="B580" s="67">
        <f>LOOKUP(A580+0.01,AmountsB!$A$4:$A$103,AmountsB!$B$4:$B$103)*0.1*$A$2</f>
        <v>0</v>
      </c>
      <c r="C580" s="68">
        <f t="shared" si="57"/>
        <v>2074573.74105891</v>
      </c>
      <c r="D580" s="67">
        <f t="array" ref="D580">SUM($B$7:$B575*$F$1009*EXP(-$F$1009*($A580-$A$7:$A575)))*$F$1010</f>
        <v>3793673.9838856631</v>
      </c>
      <c r="E580" s="67">
        <f t="shared" si="55"/>
        <v>7.2323045445077501</v>
      </c>
      <c r="F580" s="70">
        <f t="shared" si="59"/>
        <v>0.43914553194251055</v>
      </c>
      <c r="G580" s="67">
        <f>E580/'Lookup Tables'!$C$48</f>
        <v>14.4646090890155</v>
      </c>
      <c r="H580" s="70">
        <f t="shared" si="56"/>
        <v>1.832327862519364E-3</v>
      </c>
      <c r="I580" s="71">
        <f t="shared" si="60"/>
        <v>2.0829037088182317E-2</v>
      </c>
      <c r="L580" s="74"/>
      <c r="M580" s="74"/>
      <c r="N580" s="74"/>
      <c r="O580" s="74"/>
      <c r="P580" s="74"/>
      <c r="Q580" s="74"/>
      <c r="R580" s="74"/>
      <c r="S580" s="74"/>
      <c r="T580" s="74"/>
      <c r="U580" s="74"/>
      <c r="V580" s="74"/>
      <c r="W580" s="74"/>
      <c r="X580" s="74"/>
      <c r="Y580" s="74"/>
    </row>
    <row r="581" spans="1:25" x14ac:dyDescent="0.3">
      <c r="A581" s="66">
        <f t="shared" si="58"/>
        <v>2047.3999999999478</v>
      </c>
      <c r="B581" s="67">
        <f>LOOKUP(A581+0.01,AmountsB!$A$4:$A$103,AmountsB!$B$4:$B$103)*0.1*$A$2</f>
        <v>0</v>
      </c>
      <c r="C581" s="68">
        <f t="shared" si="57"/>
        <v>2074573.74105891</v>
      </c>
      <c r="D581" s="67">
        <f t="array" ref="D581">SUM($B$7:$B576*$F$1009*EXP(-$F$1009*($A581-$A$7:$A576)))*$F$1010</f>
        <v>3740932.5992436069</v>
      </c>
      <c r="E581" s="67">
        <f t="shared" si="55"/>
        <v>7.1317577507003174</v>
      </c>
      <c r="F581" s="70">
        <f t="shared" si="59"/>
        <v>0.43304033062252328</v>
      </c>
      <c r="G581" s="67">
        <f>E581/'Lookup Tables'!$C$48</f>
        <v>14.263515501400635</v>
      </c>
      <c r="H581" s="70">
        <f t="shared" si="56"/>
        <v>1.8068540055147864E-3</v>
      </c>
      <c r="I581" s="71">
        <f t="shared" si="60"/>
        <v>2.0539462322016915E-2</v>
      </c>
      <c r="L581" s="74"/>
      <c r="M581" s="74"/>
      <c r="N581" s="74"/>
      <c r="O581" s="74"/>
      <c r="P581" s="74"/>
      <c r="Q581" s="74"/>
      <c r="R581" s="74"/>
      <c r="S581" s="74"/>
      <c r="T581" s="74"/>
      <c r="U581" s="74"/>
      <c r="V581" s="74"/>
      <c r="W581" s="74"/>
      <c r="X581" s="74"/>
      <c r="Y581" s="74"/>
    </row>
    <row r="582" spans="1:25" x14ac:dyDescent="0.3">
      <c r="A582" s="66">
        <f t="shared" si="58"/>
        <v>2047.4999999999477</v>
      </c>
      <c r="B582" s="67">
        <f>LOOKUP(A582+0.01,AmountsB!$A$4:$A$103,AmountsB!$B$4:$B$103)*0.1*$A$2</f>
        <v>0</v>
      </c>
      <c r="C582" s="68">
        <f t="shared" si="57"/>
        <v>2074573.74105891</v>
      </c>
      <c r="D582" s="67">
        <f t="array" ref="D582">SUM($B$7:$B577*$F$1009*EXP(-$F$1009*($A582-$A$7:$A577)))*$F$1010</f>
        <v>3688924.4493670529</v>
      </c>
      <c r="E582" s="67">
        <f t="shared" si="55"/>
        <v>7.0326088042433046</v>
      </c>
      <c r="F582" s="70">
        <f t="shared" si="59"/>
        <v>0.42702000659365341</v>
      </c>
      <c r="G582" s="67">
        <f>E582/'Lookup Tables'!$C$48</f>
        <v>14.065217608486609</v>
      </c>
      <c r="H582" s="70">
        <f t="shared" si="56"/>
        <v>1.781734297679669E-3</v>
      </c>
      <c r="I582" s="71">
        <f t="shared" si="60"/>
        <v>2.0253913356220718E-2</v>
      </c>
      <c r="L582" s="74"/>
      <c r="M582" s="74"/>
      <c r="N582" s="74"/>
      <c r="O582" s="74"/>
      <c r="P582" s="74"/>
      <c r="Q582" s="74"/>
      <c r="R582" s="74"/>
      <c r="S582" s="74"/>
      <c r="T582" s="74"/>
      <c r="U582" s="74"/>
      <c r="V582" s="74"/>
      <c r="W582" s="74"/>
      <c r="X582" s="74"/>
      <c r="Y582" s="74"/>
    </row>
    <row r="583" spans="1:25" x14ac:dyDescent="0.3">
      <c r="A583" s="66">
        <f t="shared" si="58"/>
        <v>2047.5999999999476</v>
      </c>
      <c r="B583" s="67">
        <f>LOOKUP(A583+0.01,AmountsB!$A$4:$A$103,AmountsB!$B$4:$B$103)*0.1*$A$2</f>
        <v>0</v>
      </c>
      <c r="C583" s="68">
        <f t="shared" si="57"/>
        <v>2074573.74105891</v>
      </c>
      <c r="D583" s="67">
        <f t="array" ref="D583">SUM($B$7:$B578*$F$1009*EXP(-$F$1009*($A583-$A$7:$A578)))*$F$1010</f>
        <v>3637639.3404921265</v>
      </c>
      <c r="E583" s="67">
        <f t="shared" ref="E583:E646" si="61">D583/(365*24*60)*1.00201</f>
        <v>6.9348382716257913</v>
      </c>
      <c r="F583" s="70">
        <f t="shared" si="59"/>
        <v>0.42108337985311806</v>
      </c>
      <c r="G583" s="67">
        <f>E583/'Lookup Tables'!$C$48</f>
        <v>13.869676543251583</v>
      </c>
      <c r="H583" s="70">
        <f t="shared" ref="H583:H646" si="62">G583*60*24*365/(C583*2000)</f>
        <v>1.7569638154708589E-3</v>
      </c>
      <c r="I583" s="71">
        <f t="shared" si="60"/>
        <v>1.9972334222282281E-2</v>
      </c>
      <c r="L583" s="74"/>
      <c r="M583" s="74"/>
      <c r="N583" s="74"/>
      <c r="O583" s="74"/>
      <c r="P583" s="74"/>
      <c r="Q583" s="74"/>
      <c r="R583" s="74"/>
      <c r="S583" s="74"/>
      <c r="T583" s="74"/>
      <c r="U583" s="74"/>
      <c r="V583" s="74"/>
      <c r="W583" s="74"/>
      <c r="X583" s="74"/>
      <c r="Y583" s="74"/>
    </row>
    <row r="584" spans="1:25" x14ac:dyDescent="0.3">
      <c r="A584" s="66">
        <f t="shared" si="58"/>
        <v>2047.6999999999475</v>
      </c>
      <c r="B584" s="67">
        <f>LOOKUP(A584+0.01,AmountsB!$A$4:$A$103,AmountsB!$B$4:$B$103)*0.1*$A$2</f>
        <v>0</v>
      </c>
      <c r="C584" s="68">
        <f t="shared" si="57"/>
        <v>2074573.74105891</v>
      </c>
      <c r="D584" s="67">
        <f t="array" ref="D584">SUM($B$7:$B579*$F$1009*EXP(-$F$1009*($A584-$A$7:$A579)))*$F$1010</f>
        <v>3587067.2205733084</v>
      </c>
      <c r="E584" s="67">
        <f t="shared" si="61"/>
        <v>6.8384269895103902</v>
      </c>
      <c r="F584" s="70">
        <f t="shared" si="59"/>
        <v>0.41522928680307086</v>
      </c>
      <c r="G584" s="67">
        <f>E584/'Lookup Tables'!$C$48</f>
        <v>13.67685397902078</v>
      </c>
      <c r="H584" s="70">
        <f t="shared" si="62"/>
        <v>1.7325377037945441E-3</v>
      </c>
      <c r="I584" s="71">
        <f t="shared" si="60"/>
        <v>1.9694669729789924E-2</v>
      </c>
      <c r="L584" s="74"/>
      <c r="M584" s="74"/>
      <c r="N584" s="74"/>
      <c r="O584" s="74"/>
      <c r="P584" s="74"/>
      <c r="Q584" s="74"/>
      <c r="R584" s="74"/>
      <c r="S584" s="74"/>
      <c r="T584" s="74"/>
      <c r="U584" s="74"/>
      <c r="V584" s="74"/>
      <c r="W584" s="74"/>
      <c r="X584" s="74"/>
      <c r="Y584" s="74"/>
    </row>
    <row r="585" spans="1:25" x14ac:dyDescent="0.3">
      <c r="A585" s="66">
        <f t="shared" si="58"/>
        <v>2047.7999999999474</v>
      </c>
      <c r="B585" s="67">
        <f>LOOKUP(A585+0.01,AmountsB!$A$4:$A$103,AmountsB!$B$4:$B$103)*0.1*$A$2</f>
        <v>0</v>
      </c>
      <c r="C585" s="68">
        <f t="shared" ref="C585:C648" si="63">C584+B585</f>
        <v>2074573.74105891</v>
      </c>
      <c r="D585" s="67">
        <f t="array" ref="D585">SUM($B$7:$B580*$F$1009*EXP(-$F$1009*($A585-$A$7:$A580)))*$F$1010</f>
        <v>3537198.1773131941</v>
      </c>
      <c r="E585" s="67">
        <f t="shared" si="61"/>
        <v>6.7433560609771579</v>
      </c>
      <c r="F585" s="70">
        <f t="shared" si="59"/>
        <v>0.40945658002253299</v>
      </c>
      <c r="G585" s="67">
        <f>E585/'Lookup Tables'!$C$48</f>
        <v>13.486712121954316</v>
      </c>
      <c r="H585" s="70">
        <f t="shared" si="62"/>
        <v>1.7084511750546393E-3</v>
      </c>
      <c r="I585" s="71">
        <f t="shared" si="60"/>
        <v>1.9420865455614212E-2</v>
      </c>
      <c r="L585" s="74"/>
      <c r="M585" s="74"/>
      <c r="N585" s="74"/>
      <c r="O585" s="74"/>
      <c r="P585" s="74"/>
      <c r="Q585" s="74"/>
      <c r="R585" s="74"/>
      <c r="S585" s="74"/>
      <c r="T585" s="74"/>
      <c r="U585" s="74"/>
      <c r="V585" s="74"/>
      <c r="W585" s="74"/>
      <c r="X585" s="74"/>
      <c r="Y585" s="74"/>
    </row>
    <row r="586" spans="1:25" x14ac:dyDescent="0.3">
      <c r="A586" s="66">
        <f t="shared" si="58"/>
        <v>2047.8999999999473</v>
      </c>
      <c r="B586" s="67">
        <f>LOOKUP(A586+0.01,AmountsB!$A$4:$A$103,AmountsB!$B$4:$B$103)*0.1*$A$2</f>
        <v>0</v>
      </c>
      <c r="C586" s="68">
        <f t="shared" si="63"/>
        <v>2074573.74105891</v>
      </c>
      <c r="D586" s="67">
        <f t="array" ref="D586">SUM($B$7:$B581*$F$1009*EXP(-$F$1009*($A586-$A$7:$A581)))*$F$1010</f>
        <v>3488022.4362196564</v>
      </c>
      <c r="E586" s="67">
        <f t="shared" si="61"/>
        <v>6.6496068518197458</v>
      </c>
      <c r="F586" s="70">
        <f t="shared" si="59"/>
        <v>0.40376412804249501</v>
      </c>
      <c r="G586" s="67">
        <f>E586/'Lookup Tables'!$C$48</f>
        <v>13.299213703639492</v>
      </c>
      <c r="H586" s="70">
        <f t="shared" si="62"/>
        <v>1.6846995082144024E-3</v>
      </c>
      <c r="I586" s="71">
        <f t="shared" si="60"/>
        <v>1.9150867733240869E-2</v>
      </c>
      <c r="L586" s="74"/>
      <c r="M586" s="74"/>
      <c r="N586" s="74"/>
      <c r="O586" s="74"/>
      <c r="P586" s="74"/>
      <c r="Q586" s="74"/>
      <c r="R586" s="74"/>
      <c r="S586" s="74"/>
      <c r="T586" s="74"/>
      <c r="U586" s="74"/>
      <c r="V586" s="74"/>
      <c r="W586" s="74"/>
      <c r="X586" s="74"/>
      <c r="Y586" s="74"/>
    </row>
    <row r="587" spans="1:25" x14ac:dyDescent="0.3">
      <c r="A587" s="66">
        <f t="shared" si="58"/>
        <v>2047.9999999999472</v>
      </c>
      <c r="B587" s="67">
        <f>LOOKUP(A587+0.01,AmountsB!$A$4:$A$103,AmountsB!$B$4:$B$103)*0.1*$A$2</f>
        <v>0</v>
      </c>
      <c r="C587" s="68">
        <f t="shared" si="63"/>
        <v>2074573.74105891</v>
      </c>
      <c r="D587" s="67">
        <f t="array" ref="D587">SUM($B$7:$B582*$F$1009*EXP(-$F$1009*($A587-$A$7:$A582)))*$F$1010</f>
        <v>3439530.3586900108</v>
      </c>
      <c r="E587" s="67">
        <f t="shared" si="61"/>
        <v>6.5571609868930327</v>
      </c>
      <c r="F587" s="70">
        <f t="shared" si="59"/>
        <v>0.39815081512414496</v>
      </c>
      <c r="G587" s="67">
        <f>E587/'Lookup Tables'!$C$48</f>
        <v>13.114321973786065</v>
      </c>
      <c r="H587" s="70">
        <f t="shared" si="62"/>
        <v>1.6612780478710933E-3</v>
      </c>
      <c r="I587" s="71">
        <f t="shared" si="60"/>
        <v>1.8884623642251932E-2</v>
      </c>
      <c r="L587" s="74"/>
      <c r="M587" s="74"/>
      <c r="N587" s="74"/>
      <c r="O587" s="74"/>
      <c r="P587" s="74"/>
      <c r="Q587" s="74"/>
      <c r="R587" s="74"/>
      <c r="S587" s="74"/>
      <c r="T587" s="74"/>
      <c r="U587" s="74"/>
      <c r="V587" s="74"/>
      <c r="W587" s="74"/>
      <c r="X587" s="74"/>
      <c r="Y587" s="74"/>
    </row>
    <row r="588" spans="1:25" x14ac:dyDescent="0.3">
      <c r="A588" s="66">
        <f t="shared" si="58"/>
        <v>2048.0999999999472</v>
      </c>
      <c r="B588" s="67">
        <f>LOOKUP(A588+0.01,AmountsB!$A$4:$A$103,AmountsB!$B$4:$B$103)*0.1*$A$2</f>
        <v>0</v>
      </c>
      <c r="C588" s="68">
        <f t="shared" si="63"/>
        <v>2074573.74105891</v>
      </c>
      <c r="D588" s="67">
        <f t="array" ref="D588">SUM($B$7:$B583*$F$1009*EXP(-$F$1009*($A588-$A$7:$A583)))*$F$1010</f>
        <v>3391712.4401218235</v>
      </c>
      <c r="E588" s="67">
        <f t="shared" si="61"/>
        <v>6.4660003465115459</v>
      </c>
      <c r="F588" s="70">
        <f t="shared" si="59"/>
        <v>0.39261554104018109</v>
      </c>
      <c r="G588" s="67">
        <f>E588/'Lookup Tables'!$C$48</f>
        <v>12.932000693023092</v>
      </c>
      <c r="H588" s="70">
        <f t="shared" si="62"/>
        <v>1.6381822033435074E-3</v>
      </c>
      <c r="I588" s="71">
        <f t="shared" si="60"/>
        <v>1.862208099795325E-2</v>
      </c>
      <c r="L588" s="74"/>
      <c r="M588" s="74"/>
      <c r="N588" s="74"/>
      <c r="O588" s="74"/>
      <c r="P588" s="74"/>
      <c r="Q588" s="74"/>
      <c r="R588" s="74"/>
      <c r="S588" s="74"/>
      <c r="T588" s="74"/>
      <c r="U588" s="74"/>
      <c r="V588" s="74"/>
      <c r="W588" s="74"/>
      <c r="X588" s="74"/>
      <c r="Y588" s="74"/>
    </row>
    <row r="589" spans="1:25" x14ac:dyDescent="0.3">
      <c r="A589" s="66">
        <f t="shared" si="58"/>
        <v>2048.1999999999471</v>
      </c>
      <c r="B589" s="67">
        <f>LOOKUP(A589+0.01,AmountsB!$A$4:$A$103,AmountsB!$B$4:$B$103)*0.1*$A$2</f>
        <v>0</v>
      </c>
      <c r="C589" s="68">
        <f t="shared" si="63"/>
        <v>2074573.74105891</v>
      </c>
      <c r="D589" s="67">
        <f t="array" ref="D589">SUM($B$7:$B584*$F$1009*EXP(-$F$1009*($A589-$A$7:$A584)))*$F$1010</f>
        <v>3344559.3080499722</v>
      </c>
      <c r="E589" s="67">
        <f t="shared" si="61"/>
        <v>6.3761070628979315</v>
      </c>
      <c r="F589" s="70">
        <f t="shared" si="59"/>
        <v>0.38715722085916238</v>
      </c>
      <c r="G589" s="67">
        <f>E589/'Lookup Tables'!$C$48</f>
        <v>12.752214125795863</v>
      </c>
      <c r="H589" s="70">
        <f t="shared" si="62"/>
        <v>1.615407447772178E-3</v>
      </c>
      <c r="I589" s="71">
        <f t="shared" si="60"/>
        <v>1.8363188341146044E-2</v>
      </c>
      <c r="L589" s="74"/>
      <c r="M589" s="74"/>
      <c r="N589" s="74"/>
      <c r="O589" s="74"/>
      <c r="P589" s="74"/>
      <c r="Q589" s="74"/>
      <c r="R589" s="74"/>
      <c r="S589" s="74"/>
      <c r="T589" s="74"/>
      <c r="U589" s="74"/>
      <c r="V589" s="74"/>
      <c r="W589" s="74"/>
      <c r="X589" s="74"/>
      <c r="Y589" s="74"/>
    </row>
    <row r="590" spans="1:25" x14ac:dyDescent="0.3">
      <c r="A590" s="66">
        <f t="shared" si="58"/>
        <v>2048.299999999947</v>
      </c>
      <c r="B590" s="67">
        <f>LOOKUP(A590+0.01,AmountsB!$A$4:$A$103,AmountsB!$B$4:$B$103)*0.1*$A$2</f>
        <v>0</v>
      </c>
      <c r="C590" s="68">
        <f t="shared" si="63"/>
        <v>2074573.74105891</v>
      </c>
      <c r="D590" s="67">
        <f t="array" ref="D590">SUM($B$7:$B585*$F$1009*EXP(-$F$1009*($A590-$A$7:$A585)))*$F$1010</f>
        <v>3298061.720309617</v>
      </c>
      <c r="E590" s="67">
        <f t="shared" si="61"/>
        <v>6.2874635166808215</v>
      </c>
      <c r="F590" s="70">
        <f t="shared" si="59"/>
        <v>0.38177478473285953</v>
      </c>
      <c r="G590" s="67">
        <f>E590/'Lookup Tables'!$C$48</f>
        <v>12.574927033361643</v>
      </c>
      <c r="H590" s="70">
        <f t="shared" si="62"/>
        <v>1.592949317232103E-3</v>
      </c>
      <c r="I590" s="71">
        <f t="shared" si="60"/>
        <v>1.8107894928040769E-2</v>
      </c>
      <c r="L590" s="74"/>
      <c r="M590" s="74"/>
      <c r="N590" s="74"/>
      <c r="O590" s="74"/>
      <c r="P590" s="74"/>
      <c r="Q590" s="74"/>
      <c r="R590" s="74"/>
      <c r="S590" s="74"/>
      <c r="T590" s="74"/>
      <c r="U590" s="74"/>
      <c r="V590" s="74"/>
      <c r="W590" s="74"/>
      <c r="X590" s="74"/>
      <c r="Y590" s="74"/>
    </row>
    <row r="591" spans="1:25" x14ac:dyDescent="0.3">
      <c r="A591" s="66">
        <f t="shared" si="58"/>
        <v>2048.3999999999469</v>
      </c>
      <c r="B591" s="67">
        <f>LOOKUP(A591+0.01,AmountsB!$A$4:$A$103,AmountsB!$B$4:$B$103)*0.1*$A$2</f>
        <v>0</v>
      </c>
      <c r="C591" s="68">
        <f t="shared" si="63"/>
        <v>2074573.74105891</v>
      </c>
      <c r="D591" s="67">
        <f t="array" ref="D591">SUM($B$7:$B586*$F$1009*EXP(-$F$1009*($A591-$A$7:$A586)))*$F$1010</f>
        <v>3252210.563224704</v>
      </c>
      <c r="E591" s="67">
        <f t="shared" si="61"/>
        <v>6.2000523334413735</v>
      </c>
      <c r="F591" s="70">
        <f t="shared" si="59"/>
        <v>0.37646717768656018</v>
      </c>
      <c r="G591" s="67">
        <f>E591/'Lookup Tables'!$C$48</f>
        <v>12.400104666882747</v>
      </c>
      <c r="H591" s="70">
        <f t="shared" si="62"/>
        <v>1.5708034098577987E-3</v>
      </c>
      <c r="I591" s="71">
        <f t="shared" si="60"/>
        <v>1.7856150720311156E-2</v>
      </c>
      <c r="L591" s="74"/>
      <c r="M591" s="74"/>
      <c r="N591" s="74"/>
      <c r="O591" s="74"/>
      <c r="P591" s="74"/>
      <c r="Q591" s="74"/>
      <c r="R591" s="74"/>
      <c r="S591" s="74"/>
      <c r="T591" s="74"/>
      <c r="U591" s="74"/>
      <c r="V591" s="74"/>
      <c r="W591" s="74"/>
      <c r="X591" s="74"/>
      <c r="Y591" s="74"/>
    </row>
    <row r="592" spans="1:25" x14ac:dyDescent="0.3">
      <c r="A592" s="66">
        <f t="shared" si="58"/>
        <v>2048.4999999999468</v>
      </c>
      <c r="B592" s="67">
        <f>LOOKUP(A592+0.01,AmountsB!$A$4:$A$103,AmountsB!$B$4:$B$103)*0.1*$A$2</f>
        <v>0</v>
      </c>
      <c r="C592" s="68">
        <f t="shared" si="63"/>
        <v>2074573.74105891</v>
      </c>
      <c r="D592" s="67">
        <f t="array" ref="D592">SUM($B$7:$B587*$F$1009*EXP(-$F$1009*($A592-$A$7:$A587)))*$F$1010</f>
        <v>3206996.8498216602</v>
      </c>
      <c r="E592" s="67">
        <f t="shared" si="61"/>
        <v>6.1138563803078423</v>
      </c>
      <c r="F592" s="70">
        <f t="shared" si="59"/>
        <v>0.37123335941229219</v>
      </c>
      <c r="G592" s="67">
        <f>E592/'Lookup Tables'!$C$48</f>
        <v>12.227712760615685</v>
      </c>
      <c r="H592" s="70">
        <f t="shared" si="62"/>
        <v>1.5489653849805247E-3</v>
      </c>
      <c r="I592" s="71">
        <f t="shared" si="60"/>
        <v>1.7607906375286586E-2</v>
      </c>
      <c r="L592" s="74"/>
      <c r="M592" s="74"/>
      <c r="N592" s="74"/>
      <c r="O592" s="74"/>
      <c r="P592" s="74"/>
      <c r="Q592" s="74"/>
      <c r="R592" s="74"/>
      <c r="S592" s="74"/>
      <c r="T592" s="74"/>
      <c r="U592" s="74"/>
      <c r="V592" s="74"/>
      <c r="W592" s="74"/>
      <c r="X592" s="74"/>
      <c r="Y592" s="74"/>
    </row>
    <row r="593" spans="1:25" x14ac:dyDescent="0.3">
      <c r="A593" s="66">
        <f t="shared" si="58"/>
        <v>2048.5999999999467</v>
      </c>
      <c r="B593" s="67">
        <f>LOOKUP(A593+0.01,AmountsB!$A$4:$A$103,AmountsB!$B$4:$B$103)*0.1*$A$2</f>
        <v>0</v>
      </c>
      <c r="C593" s="68">
        <f t="shared" si="63"/>
        <v>2074573.74105891</v>
      </c>
      <c r="D593" s="67">
        <f t="array" ref="D593">SUM($B$7:$B588*$F$1009*EXP(-$F$1009*($A593-$A$7:$A588)))*$F$1010</f>
        <v>3162411.7180679133</v>
      </c>
      <c r="E593" s="67">
        <f t="shared" si="61"/>
        <v>6.0288587625974692</v>
      </c>
      <c r="F593" s="70">
        <f t="shared" si="59"/>
        <v>0.36607230406491836</v>
      </c>
      <c r="G593" s="67">
        <f>E593/'Lookup Tables'!$C$48</f>
        <v>12.057717525194938</v>
      </c>
      <c r="H593" s="70">
        <f t="shared" si="62"/>
        <v>1.5274309622774931E-3</v>
      </c>
      <c r="I593" s="71">
        <f t="shared" si="60"/>
        <v>1.736311323628071E-2</v>
      </c>
      <c r="L593" s="74"/>
      <c r="M593" s="74"/>
      <c r="N593" s="74"/>
      <c r="O593" s="74"/>
      <c r="P593" s="74"/>
      <c r="Q593" s="74"/>
      <c r="R593" s="74"/>
      <c r="S593" s="74"/>
      <c r="T593" s="74"/>
      <c r="U593" s="74"/>
      <c r="V593" s="74"/>
      <c r="W593" s="74"/>
      <c r="X593" s="74"/>
      <c r="Y593" s="74"/>
    </row>
    <row r="594" spans="1:25" x14ac:dyDescent="0.3">
      <c r="A594" s="66">
        <f t="shared" si="58"/>
        <v>2048.6999999999466</v>
      </c>
      <c r="B594" s="67">
        <f>LOOKUP(A594+0.01,AmountsB!$A$4:$A$103,AmountsB!$B$4:$B$103)*0.1*$A$2</f>
        <v>0</v>
      </c>
      <c r="C594" s="68">
        <f t="shared" si="63"/>
        <v>2074573.74105891</v>
      </c>
      <c r="D594" s="67">
        <f t="array" ref="D594">SUM($B$7:$B589*$F$1009*EXP(-$F$1009*($A594-$A$7:$A589)))*$F$1010</f>
        <v>3118446.4291349072</v>
      </c>
      <c r="E594" s="67">
        <f t="shared" si="61"/>
        <v>5.9450428205050772</v>
      </c>
      <c r="F594" s="70">
        <f t="shared" si="59"/>
        <v>0.36098300006106826</v>
      </c>
      <c r="G594" s="67">
        <f>E594/'Lookup Tables'!$C$48</f>
        <v>11.890085641010154</v>
      </c>
      <c r="H594" s="70">
        <f t="shared" si="62"/>
        <v>1.5061959209329153E-3</v>
      </c>
      <c r="I594" s="71">
        <f t="shared" si="60"/>
        <v>1.7121723323054623E-2</v>
      </c>
      <c r="L594" s="74"/>
      <c r="M594" s="74"/>
      <c r="N594" s="74"/>
      <c r="O594" s="74"/>
      <c r="P594" s="74"/>
      <c r="Q594" s="74"/>
      <c r="R594" s="74"/>
      <c r="S594" s="74"/>
      <c r="T594" s="74"/>
      <c r="U594" s="74"/>
      <c r="V594" s="74"/>
      <c r="W594" s="74"/>
      <c r="X594" s="74"/>
      <c r="Y594" s="74"/>
    </row>
    <row r="595" spans="1:25" x14ac:dyDescent="0.3">
      <c r="A595" s="66">
        <f t="shared" ref="A595:A658" si="64">A594+0.1</f>
        <v>2048.7999999999465</v>
      </c>
      <c r="B595" s="67">
        <f>LOOKUP(A595+0.01,AmountsB!$A$4:$A$103,AmountsB!$B$4:$B$103)*0.1*$A$2</f>
        <v>0</v>
      </c>
      <c r="C595" s="68">
        <f t="shared" si="63"/>
        <v>2074573.74105891</v>
      </c>
      <c r="D595" s="67">
        <f t="array" ref="D595">SUM($B$7:$B590*$F$1009*EXP(-$F$1009*($A595-$A$7:$A590)))*$F$1010</f>
        <v>3075092.3656852613</v>
      </c>
      <c r="E595" s="67">
        <f t="shared" si="61"/>
        <v>5.8623921258376885</v>
      </c>
      <c r="F595" s="70">
        <f t="shared" ref="F595:F658" si="65">E595*60*1012/1000000</f>
        <v>0.35596444988086445</v>
      </c>
      <c r="G595" s="67">
        <f>E595/'Lookup Tables'!$C$48</f>
        <v>11.724784251675377</v>
      </c>
      <c r="H595" s="70">
        <f t="shared" si="62"/>
        <v>1.4852560988107065E-3</v>
      </c>
      <c r="I595" s="71">
        <f t="shared" ref="I595:I658" si="66">G595*60*24/1000000</f>
        <v>1.6883689322412545E-2</v>
      </c>
      <c r="L595" s="74"/>
      <c r="M595" s="74"/>
      <c r="N595" s="74"/>
      <c r="O595" s="74"/>
      <c r="P595" s="74"/>
      <c r="Q595" s="74"/>
      <c r="R595" s="74"/>
      <c r="S595" s="74"/>
      <c r="T595" s="74"/>
      <c r="U595" s="74"/>
      <c r="V595" s="74"/>
      <c r="W595" s="74"/>
      <c r="X595" s="74"/>
      <c r="Y595" s="74"/>
    </row>
    <row r="596" spans="1:25" x14ac:dyDescent="0.3">
      <c r="A596" s="66">
        <f t="shared" si="64"/>
        <v>2048.8999999999464</v>
      </c>
      <c r="B596" s="67">
        <f>LOOKUP(A596+0.01,AmountsB!$A$4:$A$103,AmountsB!$B$4:$B$103)*0.1*$A$2</f>
        <v>0</v>
      </c>
      <c r="C596" s="68">
        <f t="shared" si="63"/>
        <v>2074573.74105891</v>
      </c>
      <c r="D596" s="67">
        <f t="array" ref="D596">SUM($B$7:$B591*$F$1009*EXP(-$F$1009*($A596-$A$7:$A591)))*$F$1010</f>
        <v>3032341.0301837493</v>
      </c>
      <c r="E596" s="67">
        <f t="shared" si="61"/>
        <v>5.7808904787945563</v>
      </c>
      <c r="F596" s="70">
        <f t="shared" si="65"/>
        <v>0.3510156698724054</v>
      </c>
      <c r="G596" s="67">
        <f>E596/'Lookup Tables'!$C$48</f>
        <v>11.561780957589113</v>
      </c>
      <c r="H596" s="70">
        <f t="shared" si="62"/>
        <v>1.4646073916386945E-3</v>
      </c>
      <c r="I596" s="71">
        <f t="shared" si="66"/>
        <v>1.6648964578928321E-2</v>
      </c>
      <c r="L596" s="74"/>
      <c r="M596" s="74"/>
      <c r="N596" s="74"/>
      <c r="O596" s="74"/>
      <c r="P596" s="74"/>
      <c r="Q596" s="74"/>
      <c r="R596" s="74"/>
      <c r="S596" s="74"/>
      <c r="T596" s="74"/>
      <c r="U596" s="74"/>
      <c r="V596" s="74"/>
      <c r="W596" s="74"/>
      <c r="X596" s="74"/>
      <c r="Y596" s="74"/>
    </row>
    <row r="597" spans="1:25" x14ac:dyDescent="0.3">
      <c r="A597" s="66">
        <f t="shared" si="64"/>
        <v>2048.9999999999463</v>
      </c>
      <c r="B597" s="67">
        <f>LOOKUP(A597+0.01,AmountsB!$A$4:$A$103,AmountsB!$B$4:$B$103)*0.1*$A$2</f>
        <v>0</v>
      </c>
      <c r="C597" s="68">
        <f t="shared" si="63"/>
        <v>2074573.74105891</v>
      </c>
      <c r="D597" s="67">
        <f t="array" ref="D597">SUM($B$7:$B592*$F$1009*EXP(-$F$1009*($A597-$A$7:$A592)))*$F$1010</f>
        <v>2990184.0432317499</v>
      </c>
      <c r="E597" s="67">
        <f t="shared" si="61"/>
        <v>5.7005219047919438</v>
      </c>
      <c r="F597" s="70">
        <f t="shared" si="65"/>
        <v>0.34613569005896683</v>
      </c>
      <c r="G597" s="67">
        <f>E597/'Lookup Tables'!$C$48</f>
        <v>11.401043809583888</v>
      </c>
      <c r="H597" s="70">
        <f t="shared" si="62"/>
        <v>1.4442457522041705E-3</v>
      </c>
      <c r="I597" s="71">
        <f t="shared" si="66"/>
        <v>1.64175030858008E-2</v>
      </c>
      <c r="L597" s="74"/>
      <c r="M597" s="74"/>
      <c r="N597" s="74"/>
      <c r="O597" s="74"/>
      <c r="P597" s="74"/>
      <c r="Q597" s="74"/>
      <c r="R597" s="74"/>
      <c r="S597" s="74"/>
      <c r="T597" s="74"/>
      <c r="U597" s="74"/>
      <c r="V597" s="74"/>
      <c r="W597" s="74"/>
      <c r="X597" s="74"/>
      <c r="Y597" s="74"/>
    </row>
    <row r="598" spans="1:25" x14ac:dyDescent="0.3">
      <c r="A598" s="66">
        <f t="shared" si="64"/>
        <v>2049.0999999999462</v>
      </c>
      <c r="B598" s="67">
        <f>LOOKUP(A598+0.01,AmountsB!$A$4:$A$103,AmountsB!$B$4:$B$103)*0.1*$A$2</f>
        <v>0</v>
      </c>
      <c r="C598" s="68">
        <f t="shared" si="63"/>
        <v>2074573.74105891</v>
      </c>
      <c r="D598" s="67">
        <f t="array" ref="D598">SUM($B$7:$B593*$F$1009*EXP(-$F$1009*($A598-$A$7:$A593)))*$F$1010</f>
        <v>2948613.1419248627</v>
      </c>
      <c r="E598" s="67">
        <f t="shared" si="61"/>
        <v>5.6212706513320621</v>
      </c>
      <c r="F598" s="70">
        <f t="shared" si="65"/>
        <v>0.34132355394888281</v>
      </c>
      <c r="G598" s="67">
        <f>E598/'Lookup Tables'!$C$48</f>
        <v>11.242541302664124</v>
      </c>
      <c r="H598" s="70">
        <f t="shared" si="62"/>
        <v>1.4241671895606209E-3</v>
      </c>
      <c r="I598" s="71">
        <f t="shared" si="66"/>
        <v>1.6189259475836337E-2</v>
      </c>
      <c r="L598" s="74"/>
      <c r="M598" s="74"/>
      <c r="N598" s="74"/>
      <c r="O598" s="74"/>
      <c r="P598" s="74"/>
      <c r="Q598" s="74"/>
      <c r="R598" s="74"/>
      <c r="S598" s="74"/>
      <c r="T598" s="74"/>
      <c r="U598" s="74"/>
      <c r="V598" s="74"/>
      <c r="W598" s="74"/>
      <c r="X598" s="74"/>
      <c r="Y598" s="74"/>
    </row>
    <row r="599" spans="1:25" x14ac:dyDescent="0.3">
      <c r="A599" s="66">
        <f t="shared" si="64"/>
        <v>2049.1999999999462</v>
      </c>
      <c r="B599" s="67">
        <f>LOOKUP(A599+0.01,AmountsB!$A$4:$A$103,AmountsB!$B$4:$B$103)*0.1*$A$2</f>
        <v>0</v>
      </c>
      <c r="C599" s="68">
        <f t="shared" si="63"/>
        <v>2074573.74105891</v>
      </c>
      <c r="D599" s="67">
        <f t="array" ref="D599">SUM($B$7:$B594*$F$1009*EXP(-$F$1009*($A599-$A$7:$A594)))*$F$1010</f>
        <v>2907620.178233345</v>
      </c>
      <c r="E599" s="67">
        <f t="shared" si="61"/>
        <v>5.5431211849155142</v>
      </c>
      <c r="F599" s="70">
        <f t="shared" si="65"/>
        <v>0.33657831834807</v>
      </c>
      <c r="G599" s="67">
        <f>E599/'Lookup Tables'!$C$48</f>
        <v>11.086242369831028</v>
      </c>
      <c r="H599" s="70">
        <f t="shared" si="62"/>
        <v>1.4043677682454877E-3</v>
      </c>
      <c r="I599" s="71">
        <f t="shared" si="66"/>
        <v>1.5964189012556678E-2</v>
      </c>
      <c r="L599" s="74"/>
      <c r="M599" s="74"/>
      <c r="N599" s="74"/>
      <c r="O599" s="74"/>
      <c r="P599" s="74"/>
      <c r="Q599" s="74"/>
      <c r="R599" s="74"/>
      <c r="S599" s="74"/>
      <c r="T599" s="74"/>
      <c r="U599" s="74"/>
      <c r="V599" s="74"/>
      <c r="W599" s="74"/>
      <c r="X599" s="74"/>
      <c r="Y599" s="74"/>
    </row>
    <row r="600" spans="1:25" x14ac:dyDescent="0.3">
      <c r="A600" s="66">
        <f t="shared" si="64"/>
        <v>2049.2999999999461</v>
      </c>
      <c r="B600" s="67">
        <f>LOOKUP(A600+0.01,AmountsB!$A$4:$A$103,AmountsB!$B$4:$B$103)*0.1*$A$2</f>
        <v>0</v>
      </c>
      <c r="C600" s="68">
        <f t="shared" si="63"/>
        <v>2074573.74105891</v>
      </c>
      <c r="D600" s="67">
        <f t="array" ref="D600">SUM($B$7:$B595*$F$1009*EXP(-$F$1009*($A600-$A$7:$A595)))*$F$1010</f>
        <v>2867197.1174050835</v>
      </c>
      <c r="E600" s="67">
        <f t="shared" si="61"/>
        <v>5.4660581879967047</v>
      </c>
      <c r="F600" s="70">
        <f t="shared" si="65"/>
        <v>0.33189905317515989</v>
      </c>
      <c r="G600" s="67">
        <f>E600/'Lookup Tables'!$C$48</f>
        <v>10.932116375993409</v>
      </c>
      <c r="H600" s="70">
        <f t="shared" si="62"/>
        <v>1.3848436075088095E-3</v>
      </c>
      <c r="I600" s="71">
        <f t="shared" si="66"/>
        <v>1.5742247581430509E-2</v>
      </c>
      <c r="L600" s="74"/>
      <c r="M600" s="74"/>
      <c r="N600" s="74"/>
      <c r="O600" s="74"/>
      <c r="P600" s="74"/>
      <c r="Q600" s="74"/>
      <c r="R600" s="74"/>
      <c r="S600" s="74"/>
      <c r="T600" s="74"/>
      <c r="U600" s="74"/>
      <c r="V600" s="74"/>
      <c r="W600" s="74"/>
      <c r="X600" s="74"/>
      <c r="Y600" s="74"/>
    </row>
    <row r="601" spans="1:25" x14ac:dyDescent="0.3">
      <c r="A601" s="66">
        <f t="shared" si="64"/>
        <v>2049.399999999946</v>
      </c>
      <c r="B601" s="67">
        <f>LOOKUP(A601+0.01,AmountsB!$A$4:$A$103,AmountsB!$B$4:$B$103)*0.1*$A$2</f>
        <v>0</v>
      </c>
      <c r="C601" s="68">
        <f t="shared" si="63"/>
        <v>2074573.74105891</v>
      </c>
      <c r="D601" s="67">
        <f t="array" ref="D601">SUM($B$7:$B596*$F$1009*EXP(-$F$1009*($A601-$A$7:$A596)))*$F$1010</f>
        <v>2827336.0363907451</v>
      </c>
      <c r="E601" s="67">
        <f t="shared" si="61"/>
        <v>5.3900665559815266</v>
      </c>
      <c r="F601" s="70">
        <f t="shared" si="65"/>
        <v>0.32728484127919832</v>
      </c>
      <c r="G601" s="67">
        <f>E601/'Lookup Tables'!$C$48</f>
        <v>10.780133111963053</v>
      </c>
      <c r="H601" s="70">
        <f t="shared" si="62"/>
        <v>1.3655908805525767E-3</v>
      </c>
      <c r="I601" s="71">
        <f t="shared" si="66"/>
        <v>1.5523391681226798E-2</v>
      </c>
      <c r="L601" s="74"/>
      <c r="M601" s="74"/>
      <c r="N601" s="74"/>
      <c r="O601" s="74"/>
      <c r="P601" s="74"/>
      <c r="Q601" s="74"/>
      <c r="R601" s="74"/>
      <c r="S601" s="74"/>
      <c r="T601" s="74"/>
      <c r="U601" s="74"/>
      <c r="V601" s="74"/>
      <c r="W601" s="74"/>
      <c r="X601" s="74"/>
      <c r="Y601" s="74"/>
    </row>
    <row r="602" spans="1:25" x14ac:dyDescent="0.3">
      <c r="A602" s="66">
        <f t="shared" si="64"/>
        <v>2049.4999999999459</v>
      </c>
      <c r="B602" s="67">
        <f>LOOKUP(A602+0.01,AmountsB!$A$4:$A$103,AmountsB!$B$4:$B$103)*0.1*$A$2</f>
        <v>0</v>
      </c>
      <c r="C602" s="68">
        <f t="shared" si="63"/>
        <v>2074573.74105891</v>
      </c>
      <c r="D602" s="67">
        <f t="array" ref="D602">SUM($B$7:$B597*$F$1009*EXP(-$F$1009*($A602-$A$7:$A597)))*$F$1010</f>
        <v>2788029.1222908427</v>
      </c>
      <c r="E602" s="67">
        <f t="shared" si="61"/>
        <v>5.3151313942668326</v>
      </c>
      <c r="F602" s="70">
        <f t="shared" si="65"/>
        <v>0.32273477825988206</v>
      </c>
      <c r="G602" s="67">
        <f>E602/'Lookup Tables'!$C$48</f>
        <v>10.630262788533665</v>
      </c>
      <c r="H602" s="70">
        <f t="shared" si="62"/>
        <v>1.3466058137806725E-3</v>
      </c>
      <c r="I602" s="71">
        <f t="shared" si="66"/>
        <v>1.5307578415488479E-2</v>
      </c>
      <c r="L602" s="74"/>
      <c r="M602" s="74"/>
      <c r="N602" s="74"/>
      <c r="O602" s="74"/>
      <c r="P602" s="74"/>
      <c r="Q602" s="74"/>
      <c r="R602" s="74"/>
      <c r="S602" s="74"/>
      <c r="T602" s="74"/>
      <c r="U602" s="74"/>
      <c r="V602" s="74"/>
      <c r="W602" s="74"/>
      <c r="X602" s="74"/>
      <c r="Y602" s="74"/>
    </row>
    <row r="603" spans="1:25" x14ac:dyDescent="0.3">
      <c r="A603" s="66">
        <f t="shared" si="64"/>
        <v>2049.5999999999458</v>
      </c>
      <c r="B603" s="67">
        <f>LOOKUP(A603+0.01,AmountsB!$A$4:$A$103,AmountsB!$B$4:$B$103)*0.1*$A$2</f>
        <v>0</v>
      </c>
      <c r="C603" s="68">
        <f t="shared" si="63"/>
        <v>2074573.74105891</v>
      </c>
      <c r="D603" s="67">
        <f t="array" ref="D603">SUM($B$7:$B598*$F$1009*EXP(-$F$1009*($A603-$A$7:$A598)))*$F$1010</f>
        <v>2749268.6708243783</v>
      </c>
      <c r="E603" s="67">
        <f t="shared" si="61"/>
        <v>5.2412380153210343</v>
      </c>
      <c r="F603" s="70">
        <f t="shared" si="65"/>
        <v>0.31824797229029322</v>
      </c>
      <c r="G603" s="67">
        <f>E603/'Lookup Tables'!$C$48</f>
        <v>10.482476030642069</v>
      </c>
      <c r="H603" s="70">
        <f t="shared" si="62"/>
        <v>1.327884686059231E-3</v>
      </c>
      <c r="I603" s="71">
        <f t="shared" si="66"/>
        <v>1.5094765484124579E-2</v>
      </c>
      <c r="L603" s="74"/>
      <c r="M603" s="74"/>
      <c r="N603" s="74"/>
      <c r="O603" s="74"/>
      <c r="P603" s="74"/>
      <c r="Q603" s="74"/>
      <c r="R603" s="74"/>
      <c r="S603" s="74"/>
      <c r="T603" s="74"/>
      <c r="U603" s="74"/>
      <c r="V603" s="74"/>
      <c r="W603" s="74"/>
      <c r="X603" s="74"/>
      <c r="Y603" s="74"/>
    </row>
    <row r="604" spans="1:25" x14ac:dyDescent="0.3">
      <c r="A604" s="66">
        <f t="shared" si="64"/>
        <v>2049.6999999999457</v>
      </c>
      <c r="B604" s="67">
        <f>LOOKUP(A604+0.01,AmountsB!$A$4:$A$103,AmountsB!$B$4:$B$103)*0.1*$A$2</f>
        <v>0</v>
      </c>
      <c r="C604" s="68">
        <f t="shared" si="63"/>
        <v>2074573.74105891</v>
      </c>
      <c r="D604" s="67">
        <f t="array" ref="D604">SUM($B$7:$B599*$F$1009*EXP(-$F$1009*($A604-$A$7:$A599)))*$F$1010</f>
        <v>2711047.0848187753</v>
      </c>
      <c r="E604" s="67">
        <f t="shared" si="61"/>
        <v>5.1683719358052915</v>
      </c>
      <c r="F604" s="70">
        <f t="shared" si="65"/>
        <v>0.31382354394209727</v>
      </c>
      <c r="G604" s="67">
        <f>E604/'Lookup Tables'!$C$48</f>
        <v>10.336743871610583</v>
      </c>
      <c r="H604" s="70">
        <f t="shared" si="62"/>
        <v>1.3094238279872852E-3</v>
      </c>
      <c r="I604" s="71">
        <f t="shared" si="66"/>
        <v>1.4884911175119239E-2</v>
      </c>
      <c r="L604" s="74"/>
      <c r="M604" s="74"/>
      <c r="N604" s="74"/>
      <c r="O604" s="74"/>
      <c r="P604" s="74"/>
      <c r="Q604" s="74"/>
      <c r="R604" s="74"/>
      <c r="S604" s="74"/>
      <c r="T604" s="74"/>
      <c r="U604" s="74"/>
      <c r="V604" s="74"/>
      <c r="W604" s="74"/>
      <c r="X604" s="74"/>
      <c r="Y604" s="74"/>
    </row>
    <row r="605" spans="1:25" x14ac:dyDescent="0.3">
      <c r="A605" s="66">
        <f t="shared" si="64"/>
        <v>2049.7999999999456</v>
      </c>
      <c r="B605" s="67">
        <f>LOOKUP(A605+0.01,AmountsB!$A$4:$A$103,AmountsB!$B$4:$B$103)*0.1*$A$2</f>
        <v>0</v>
      </c>
      <c r="C605" s="68">
        <f t="shared" si="63"/>
        <v>2074573.74105891</v>
      </c>
      <c r="D605" s="67">
        <f t="array" ref="D605">SUM($B$7:$B600*$F$1009*EXP(-$F$1009*($A605-$A$7:$A600)))*$F$1010</f>
        <v>2673356.8727208199</v>
      </c>
      <c r="E605" s="67">
        <f t="shared" si="61"/>
        <v>5.096518873734758</v>
      </c>
      <c r="F605" s="70">
        <f t="shared" si="65"/>
        <v>0.30946062601317453</v>
      </c>
      <c r="G605" s="67">
        <f>E605/'Lookup Tables'!$C$48</f>
        <v>10.193037747469516</v>
      </c>
      <c r="H605" s="70">
        <f t="shared" si="62"/>
        <v>1.2912196211775551E-3</v>
      </c>
      <c r="I605" s="71">
        <f t="shared" si="66"/>
        <v>1.4677974356356104E-2</v>
      </c>
      <c r="L605" s="74"/>
      <c r="M605" s="74"/>
      <c r="N605" s="74"/>
      <c r="O605" s="74"/>
      <c r="P605" s="74"/>
      <c r="Q605" s="74"/>
      <c r="R605" s="74"/>
      <c r="S605" s="74"/>
      <c r="T605" s="74"/>
      <c r="U605" s="74"/>
      <c r="V605" s="74"/>
      <c r="W605" s="74"/>
      <c r="X605" s="74"/>
      <c r="Y605" s="74"/>
    </row>
    <row r="606" spans="1:25" x14ac:dyDescent="0.3">
      <c r="A606" s="66">
        <f t="shared" si="64"/>
        <v>2049.8999999999455</v>
      </c>
      <c r="B606" s="67">
        <f>LOOKUP(A606+0.01,AmountsB!$A$4:$A$103,AmountsB!$B$4:$B$103)*0.1*$A$2</f>
        <v>0</v>
      </c>
      <c r="C606" s="68">
        <f t="shared" si="63"/>
        <v>2074573.74105891</v>
      </c>
      <c r="D606" s="67">
        <f t="array" ref="D606">SUM($B$7:$B601*$F$1009*EXP(-$F$1009*($A606-$A$7:$A601)))*$F$1010</f>
        <v>2636190.6471282775</v>
      </c>
      <c r="E606" s="67">
        <f t="shared" si="61"/>
        <v>5.0256647456792347</v>
      </c>
      <c r="F606" s="70">
        <f t="shared" si="65"/>
        <v>0.30515836335764313</v>
      </c>
      <c r="G606" s="67">
        <f>E606/'Lookup Tables'!$C$48</f>
        <v>10.051329491358469</v>
      </c>
      <c r="H606" s="70">
        <f t="shared" si="62"/>
        <v>1.2732684975472256E-3</v>
      </c>
      <c r="I606" s="71">
        <f t="shared" si="66"/>
        <v>1.4473914467556194E-2</v>
      </c>
      <c r="L606" s="74"/>
      <c r="M606" s="74"/>
      <c r="N606" s="74"/>
      <c r="O606" s="74"/>
      <c r="P606" s="74"/>
      <c r="Q606" s="74"/>
      <c r="R606" s="74"/>
      <c r="S606" s="74"/>
      <c r="T606" s="74"/>
      <c r="U606" s="74"/>
      <c r="V606" s="74"/>
      <c r="W606" s="74"/>
      <c r="X606" s="74"/>
      <c r="Y606" s="74"/>
    </row>
    <row r="607" spans="1:25" x14ac:dyDescent="0.3">
      <c r="A607" s="66">
        <f t="shared" si="64"/>
        <v>2049.9999999999454</v>
      </c>
      <c r="B607" s="67">
        <f>LOOKUP(A607+0.01,AmountsB!$A$4:$A$103,AmountsB!$B$4:$B$103)*0.1*$A$2</f>
        <v>0</v>
      </c>
      <c r="C607" s="68">
        <f t="shared" si="63"/>
        <v>2074573.74105891</v>
      </c>
      <c r="D607" s="67">
        <f t="array" ref="D607">SUM($B$7:$B602*$F$1009*EXP(-$F$1009*($A607-$A$7:$A602)))*$F$1010</f>
        <v>2599541.1233419525</v>
      </c>
      <c r="E607" s="67">
        <f t="shared" si="61"/>
        <v>4.9557956640027969</v>
      </c>
      <c r="F607" s="70">
        <f t="shared" si="65"/>
        <v>0.30091591271824986</v>
      </c>
      <c r="G607" s="67">
        <f>E607/'Lookup Tables'!$C$48</f>
        <v>9.9115913280055938</v>
      </c>
      <c r="H607" s="70">
        <f t="shared" si="62"/>
        <v>1.2555669386185994E-3</v>
      </c>
      <c r="I607" s="71">
        <f t="shared" si="66"/>
        <v>1.4272691512328056E-2</v>
      </c>
      <c r="L607" s="74"/>
      <c r="M607" s="74"/>
      <c r="N607" s="74"/>
      <c r="O607" s="74"/>
      <c r="P607" s="74"/>
      <c r="Q607" s="74"/>
      <c r="R607" s="74"/>
      <c r="S607" s="74"/>
      <c r="T607" s="74"/>
      <c r="U607" s="74"/>
      <c r="V607" s="74"/>
      <c r="W607" s="74"/>
      <c r="X607" s="74"/>
      <c r="Y607" s="74"/>
    </row>
    <row r="608" spans="1:25" x14ac:dyDescent="0.3">
      <c r="A608" s="66">
        <f t="shared" si="64"/>
        <v>2050.0999999999453</v>
      </c>
      <c r="B608" s="67">
        <f>LOOKUP(A608+0.01,AmountsB!$A$4:$A$103,AmountsB!$B$4:$B$103)*0.1*$A$2</f>
        <v>0</v>
      </c>
      <c r="C608" s="68">
        <f t="shared" si="63"/>
        <v>2074573.74105891</v>
      </c>
      <c r="D608" s="67">
        <f t="array" ref="D608">SUM($B$7:$B603*$F$1009*EXP(-$F$1009*($A608-$A$7:$A603)))*$F$1010</f>
        <v>2563401.1179378536</v>
      </c>
      <c r="E608" s="67">
        <f t="shared" si="61"/>
        <v>4.8868979341417589</v>
      </c>
      <c r="F608" s="70">
        <f t="shared" si="65"/>
        <v>0.29673244256108761</v>
      </c>
      <c r="G608" s="67">
        <f>E608/'Lookup Tables'!$C$48</f>
        <v>9.7737958682835178</v>
      </c>
      <c r="H608" s="70">
        <f t="shared" si="62"/>
        <v>1.2381114748294558E-3</v>
      </c>
      <c r="I608" s="71">
        <f t="shared" si="66"/>
        <v>1.4074266050328266E-2</v>
      </c>
      <c r="L608" s="74"/>
      <c r="M608" s="74"/>
      <c r="N608" s="74"/>
      <c r="O608" s="74"/>
      <c r="P608" s="74"/>
      <c r="Q608" s="74"/>
      <c r="R608" s="74"/>
      <c r="S608" s="74"/>
      <c r="T608" s="74"/>
      <c r="U608" s="74"/>
      <c r="V608" s="74"/>
      <c r="W608" s="74"/>
      <c r="X608" s="74"/>
      <c r="Y608" s="74"/>
    </row>
    <row r="609" spans="1:25" x14ac:dyDescent="0.3">
      <c r="A609" s="66">
        <f t="shared" si="64"/>
        <v>2050.1999999999452</v>
      </c>
      <c r="B609" s="67">
        <f>LOOKUP(A609+0.01,AmountsB!$A$4:$A$103,AmountsB!$B$4:$B$103)*0.1*$A$2</f>
        <v>0</v>
      </c>
      <c r="C609" s="68">
        <f t="shared" si="63"/>
        <v>2074573.74105891</v>
      </c>
      <c r="D609" s="67">
        <f t="array" ref="D609">SUM($B$7:$B604*$F$1009*EXP(-$F$1009*($A609-$A$7:$A604)))*$F$1010</f>
        <v>2527763.5473592239</v>
      </c>
      <c r="E609" s="67">
        <f t="shared" si="61"/>
        <v>4.8189580519205029</v>
      </c>
      <c r="F609" s="70">
        <f t="shared" si="65"/>
        <v>0.29260713291261292</v>
      </c>
      <c r="G609" s="67">
        <f>E609/'Lookup Tables'!$C$48</f>
        <v>9.6379161038410057</v>
      </c>
      <c r="H609" s="70">
        <f t="shared" si="62"/>
        <v>1.220898684853012E-3</v>
      </c>
      <c r="I609" s="71">
        <f t="shared" si="66"/>
        <v>1.3878599189531047E-2</v>
      </c>
      <c r="L609" s="74"/>
      <c r="M609" s="74"/>
      <c r="N609" s="74"/>
      <c r="O609" s="74"/>
      <c r="P609" s="74"/>
      <c r="Q609" s="74"/>
      <c r="R609" s="74"/>
      <c r="S609" s="74"/>
      <c r="T609" s="74"/>
      <c r="U609" s="74"/>
      <c r="V609" s="74"/>
      <c r="W609" s="74"/>
      <c r="X609" s="74"/>
      <c r="Y609" s="74"/>
    </row>
    <row r="610" spans="1:25" x14ac:dyDescent="0.3">
      <c r="A610" s="66">
        <f t="shared" si="64"/>
        <v>2050.2999999999452</v>
      </c>
      <c r="B610" s="67">
        <f>LOOKUP(A610+0.01,AmountsB!$A$4:$A$103,AmountsB!$B$4:$B$103)*0.1*$A$2</f>
        <v>0</v>
      </c>
      <c r="C610" s="68">
        <f t="shared" si="63"/>
        <v>2074573.74105891</v>
      </c>
      <c r="D610" s="67">
        <f t="array" ref="D610">SUM($B$7:$B605*$F$1009*EXP(-$F$1009*($A610-$A$7:$A605)))*$F$1010</f>
        <v>2492621.4265281423</v>
      </c>
      <c r="E610" s="67">
        <f t="shared" si="61"/>
        <v>4.7519627009046115</v>
      </c>
      <c r="F610" s="70">
        <f t="shared" si="65"/>
        <v>0.28853917519892797</v>
      </c>
      <c r="G610" s="67">
        <f>E610/'Lookup Tables'!$C$48</f>
        <v>9.503925401809223</v>
      </c>
      <c r="H610" s="70">
        <f t="shared" si="62"/>
        <v>1.2039251949273275E-3</v>
      </c>
      <c r="I610" s="71">
        <f t="shared" si="66"/>
        <v>1.3685652578605281E-2</v>
      </c>
      <c r="L610" s="74"/>
      <c r="M610" s="74"/>
      <c r="N610" s="74"/>
      <c r="O610" s="74"/>
      <c r="P610" s="74"/>
      <c r="Q610" s="74"/>
      <c r="R610" s="74"/>
      <c r="S610" s="74"/>
      <c r="T610" s="74"/>
      <c r="U610" s="74"/>
      <c r="V610" s="74"/>
      <c r="W610" s="74"/>
      <c r="X610" s="74"/>
      <c r="Y610" s="74"/>
    </row>
    <row r="611" spans="1:25" x14ac:dyDescent="0.3">
      <c r="A611" s="66">
        <f t="shared" si="64"/>
        <v>2050.3999999999451</v>
      </c>
      <c r="B611" s="67">
        <f>LOOKUP(A611+0.01,AmountsB!$A$4:$A$103,AmountsB!$B$4:$B$103)*0.1*$A$2</f>
        <v>0</v>
      </c>
      <c r="C611" s="68">
        <f t="shared" si="63"/>
        <v>2074573.74105891</v>
      </c>
      <c r="D611" s="67">
        <f t="array" ref="D611">SUM($B$7:$B606*$F$1009*EXP(-$F$1009*($A611-$A$7:$A606)))*$F$1010</f>
        <v>2457967.8674764242</v>
      </c>
      <c r="E611" s="67">
        <f t="shared" si="61"/>
        <v>4.6858987497908142</v>
      </c>
      <c r="F611" s="70">
        <f t="shared" si="65"/>
        <v>0.28452777208729829</v>
      </c>
      <c r="G611" s="67">
        <f>E611/'Lookup Tables'!$C$48</f>
        <v>9.3717974995816284</v>
      </c>
      <c r="H611" s="70">
        <f t="shared" si="62"/>
        <v>1.1871876781940406E-3</v>
      </c>
      <c r="I611" s="71">
        <f t="shared" si="66"/>
        <v>1.3495388399397547E-2</v>
      </c>
      <c r="L611" s="74"/>
      <c r="M611" s="74"/>
      <c r="N611" s="74"/>
      <c r="O611" s="74"/>
      <c r="P611" s="74"/>
      <c r="Q611" s="74"/>
      <c r="R611" s="74"/>
      <c r="S611" s="74"/>
      <c r="T611" s="74"/>
      <c r="U611" s="74"/>
      <c r="V611" s="74"/>
      <c r="W611" s="74"/>
      <c r="X611" s="74"/>
      <c r="Y611" s="74"/>
    </row>
    <row r="612" spans="1:25" x14ac:dyDescent="0.3">
      <c r="A612" s="66">
        <f t="shared" si="64"/>
        <v>2050.499999999945</v>
      </c>
      <c r="B612" s="67">
        <f>LOOKUP(A612+0.01,AmountsB!$A$4:$A$103,AmountsB!$B$4:$B$103)*0.1*$A$2</f>
        <v>0</v>
      </c>
      <c r="C612" s="68">
        <f t="shared" si="63"/>
        <v>2074573.74105891</v>
      </c>
      <c r="D612" s="67">
        <f t="array" ref="D612">SUM($B$7:$B607*$F$1009*EXP(-$F$1009*($A612-$A$7:$A607)))*$F$1010</f>
        <v>2423796.0779955555</v>
      </c>
      <c r="E612" s="67">
        <f t="shared" si="61"/>
        <v>4.6207532498331938</v>
      </c>
      <c r="F612" s="70">
        <f t="shared" si="65"/>
        <v>0.28057213732987146</v>
      </c>
      <c r="G612" s="67">
        <f>E612/'Lookup Tables'!$C$48</f>
        <v>9.2415064996663876</v>
      </c>
      <c r="H612" s="70">
        <f t="shared" si="62"/>
        <v>1.1706828540462863E-3</v>
      </c>
      <c r="I612" s="71">
        <f t="shared" si="66"/>
        <v>1.3307769359519595E-2</v>
      </c>
      <c r="L612" s="74"/>
      <c r="M612" s="74"/>
      <c r="N612" s="74"/>
      <c r="O612" s="74"/>
      <c r="P612" s="74"/>
      <c r="Q612" s="74"/>
      <c r="R612" s="74"/>
      <c r="S612" s="74"/>
      <c r="T612" s="74"/>
      <c r="U612" s="74"/>
      <c r="V612" s="74"/>
      <c r="W612" s="74"/>
      <c r="X612" s="74"/>
      <c r="Y612" s="74"/>
    </row>
    <row r="613" spans="1:25" x14ac:dyDescent="0.3">
      <c r="A613" s="66">
        <f t="shared" si="64"/>
        <v>2050.5999999999449</v>
      </c>
      <c r="B613" s="67">
        <f>LOOKUP(A613+0.01,AmountsB!$A$4:$A$103,AmountsB!$B$4:$B$103)*0.1*$A$2</f>
        <v>0</v>
      </c>
      <c r="C613" s="68">
        <f t="shared" si="63"/>
        <v>2074573.74105891</v>
      </c>
      <c r="D613" s="67">
        <f t="array" ref="D613">SUM($B$7:$B608*$F$1009*EXP(-$F$1009*($A613-$A$7:$A608)))*$F$1010</f>
        <v>2390099.3603054043</v>
      </c>
      <c r="E613" s="67">
        <f t="shared" si="61"/>
        <v>4.5565134323052101</v>
      </c>
      <c r="F613" s="70">
        <f t="shared" si="65"/>
        <v>0.27667149560957238</v>
      </c>
      <c r="G613" s="67">
        <f>E613/'Lookup Tables'!$C$48</f>
        <v>9.1130268646104202</v>
      </c>
      <c r="H613" s="70">
        <f t="shared" si="62"/>
        <v>1.1544074874856964E-3</v>
      </c>
      <c r="I613" s="71">
        <f t="shared" si="66"/>
        <v>1.3122758685039005E-2</v>
      </c>
      <c r="L613" s="74"/>
      <c r="M613" s="74"/>
      <c r="N613" s="74"/>
      <c r="O613" s="74"/>
      <c r="P613" s="74"/>
      <c r="Q613" s="74"/>
      <c r="R613" s="74"/>
      <c r="S613" s="74"/>
      <c r="T613" s="74"/>
      <c r="U613" s="74"/>
      <c r="V613" s="74"/>
      <c r="W613" s="74"/>
      <c r="X613" s="74"/>
      <c r="Y613" s="74"/>
    </row>
    <row r="614" spans="1:25" x14ac:dyDescent="0.3">
      <c r="A614" s="66">
        <f t="shared" si="64"/>
        <v>2050.6999999999448</v>
      </c>
      <c r="B614" s="67">
        <f>LOOKUP(A614+0.01,AmountsB!$A$4:$A$103,AmountsB!$B$4:$B$103)*0.1*$A$2</f>
        <v>0</v>
      </c>
      <c r="C614" s="68">
        <f t="shared" si="63"/>
        <v>2074573.74105891</v>
      </c>
      <c r="D614" s="67">
        <f t="array" ref="D614">SUM($B$7:$B609*$F$1009*EXP(-$F$1009*($A614-$A$7:$A609)))*$F$1010</f>
        <v>2356871.109741427</v>
      </c>
      <c r="E614" s="67">
        <f t="shared" si="61"/>
        <v>4.4931667059969707</v>
      </c>
      <c r="F614" s="70">
        <f t="shared" si="65"/>
        <v>0.27282508238813608</v>
      </c>
      <c r="G614" s="67">
        <f>E614/'Lookup Tables'!$C$48</f>
        <v>8.9863334119939413</v>
      </c>
      <c r="H614" s="70">
        <f t="shared" si="62"/>
        <v>1.1383583884883208E-3</v>
      </c>
      <c r="I614" s="71">
        <f t="shared" si="66"/>
        <v>1.2940320113271274E-2</v>
      </c>
      <c r="L614" s="74"/>
      <c r="M614" s="74"/>
      <c r="N614" s="74"/>
      <c r="O614" s="74"/>
      <c r="P614" s="74"/>
      <c r="Q614" s="74"/>
      <c r="R614" s="74"/>
      <c r="S614" s="74"/>
      <c r="T614" s="74"/>
      <c r="U614" s="74"/>
      <c r="V614" s="74"/>
      <c r="W614" s="74"/>
      <c r="X614" s="74"/>
      <c r="Y614" s="74"/>
    </row>
    <row r="615" spans="1:25" x14ac:dyDescent="0.3">
      <c r="A615" s="66">
        <f t="shared" si="64"/>
        <v>2050.7999999999447</v>
      </c>
      <c r="B615" s="67">
        <f>LOOKUP(A615+0.01,AmountsB!$A$4:$A$103,AmountsB!$B$4:$B$103)*0.1*$A$2</f>
        <v>0</v>
      </c>
      <c r="C615" s="68">
        <f t="shared" si="63"/>
        <v>2074573.74105891</v>
      </c>
      <c r="D615" s="67">
        <f t="array" ref="D615">SUM($B$7:$B610*$F$1009*EXP(-$F$1009*($A615-$A$7:$A610)))*$F$1010</f>
        <v>2324104.8134601368</v>
      </c>
      <c r="E615" s="67">
        <f t="shared" si="61"/>
        <v>4.4307006547473211</v>
      </c>
      <c r="F615" s="70">
        <f t="shared" si="65"/>
        <v>0.26903214375625734</v>
      </c>
      <c r="G615" s="67">
        <f>E615/'Lookup Tables'!$C$48</f>
        <v>8.8614013094946422</v>
      </c>
      <c r="H615" s="70">
        <f t="shared" si="62"/>
        <v>1.122532411379376E-3</v>
      </c>
      <c r="I615" s="71">
        <f t="shared" si="66"/>
        <v>1.2760417885672283E-2</v>
      </c>
      <c r="L615" s="74"/>
      <c r="M615" s="74"/>
      <c r="N615" s="74"/>
      <c r="O615" s="74"/>
      <c r="P615" s="74"/>
      <c r="Q615" s="74"/>
      <c r="R615" s="74"/>
      <c r="S615" s="74"/>
      <c r="T615" s="74"/>
      <c r="U615" s="74"/>
      <c r="V615" s="74"/>
      <c r="W615" s="74"/>
      <c r="X615" s="74"/>
      <c r="Y615" s="74"/>
    </row>
    <row r="616" spans="1:25" x14ac:dyDescent="0.3">
      <c r="A616" s="66">
        <f t="shared" si="64"/>
        <v>2050.8999999999446</v>
      </c>
      <c r="B616" s="67">
        <f>LOOKUP(A616+0.01,AmountsB!$A$4:$A$103,AmountsB!$B$4:$B$103)*0.1*$A$2</f>
        <v>0</v>
      </c>
      <c r="C616" s="68">
        <f t="shared" si="63"/>
        <v>2074573.74105891</v>
      </c>
      <c r="D616" s="67">
        <f t="array" ref="D616">SUM($B$7:$B611*$F$1009*EXP(-$F$1009*($A616-$A$7:$A611)))*$F$1010</f>
        <v>2291794.0491625662</v>
      </c>
      <c r="E616" s="67">
        <f t="shared" si="61"/>
        <v>4.3691030350102418</v>
      </c>
      <c r="F616" s="70">
        <f t="shared" si="65"/>
        <v>0.26529193628582187</v>
      </c>
      <c r="G616" s="67">
        <f>E616/'Lookup Tables'!$C$48</f>
        <v>8.7382060700204836</v>
      </c>
      <c r="H616" s="70">
        <f t="shared" si="62"/>
        <v>1.1069264542166854E-3</v>
      </c>
      <c r="I616" s="71">
        <f t="shared" si="66"/>
        <v>1.2583016740829496E-2</v>
      </c>
      <c r="L616" s="74"/>
      <c r="M616" s="74"/>
      <c r="N616" s="74"/>
      <c r="O616" s="74"/>
      <c r="P616" s="74"/>
      <c r="Q616" s="74"/>
      <c r="R616" s="74"/>
      <c r="S616" s="74"/>
      <c r="T616" s="74"/>
      <c r="U616" s="74"/>
      <c r="V616" s="74"/>
      <c r="W616" s="74"/>
      <c r="X616" s="74"/>
      <c r="Y616" s="74"/>
    </row>
    <row r="617" spans="1:25" x14ac:dyDescent="0.3">
      <c r="A617" s="66">
        <f t="shared" si="64"/>
        <v>2050.9999999999445</v>
      </c>
      <c r="B617" s="67">
        <f>LOOKUP(A617+0.01,AmountsB!$A$4:$A$103,AmountsB!$B$4:$B$103)*0.1*$A$2</f>
        <v>0</v>
      </c>
      <c r="C617" s="68">
        <f t="shared" si="63"/>
        <v>2074573.74105891</v>
      </c>
      <c r="D617" s="67">
        <f t="array" ref="D617">SUM($B$7:$B612*$F$1009*EXP(-$F$1009*($A617-$A$7:$A612)))*$F$1010</f>
        <v>2259932.483835476</v>
      </c>
      <c r="E617" s="67">
        <f t="shared" si="61"/>
        <v>4.3083617734550712</v>
      </c>
      <c r="F617" s="70">
        <f t="shared" si="65"/>
        <v>0.26160372688419192</v>
      </c>
      <c r="G617" s="67">
        <f>E617/'Lookup Tables'!$C$48</f>
        <v>8.6167235469101424</v>
      </c>
      <c r="H617" s="70">
        <f t="shared" si="62"/>
        <v>1.0915374581826846E-3</v>
      </c>
      <c r="I617" s="71">
        <f t="shared" si="66"/>
        <v>1.2408081907550604E-2</v>
      </c>
      <c r="L617" s="74"/>
      <c r="M617" s="74"/>
      <c r="N617" s="74"/>
      <c r="O617" s="74"/>
      <c r="P617" s="74"/>
      <c r="Q617" s="74"/>
      <c r="R617" s="74"/>
      <c r="S617" s="74"/>
      <c r="T617" s="74"/>
      <c r="U617" s="74"/>
      <c r="V617" s="74"/>
      <c r="W617" s="74"/>
      <c r="X617" s="74"/>
      <c r="Y617" s="74"/>
    </row>
    <row r="618" spans="1:25" x14ac:dyDescent="0.3">
      <c r="A618" s="66">
        <f t="shared" si="64"/>
        <v>2051.0999999999444</v>
      </c>
      <c r="B618" s="67">
        <f>LOOKUP(A618+0.01,AmountsB!$A$4:$A$103,AmountsB!$B$4:$B$103)*0.1*$A$2</f>
        <v>0</v>
      </c>
      <c r="C618" s="68">
        <f t="shared" si="63"/>
        <v>2074573.74105891</v>
      </c>
      <c r="D618" s="67">
        <f t="array" ref="D618">SUM($B$7:$B613*$F$1009*EXP(-$F$1009*($A618-$A$7:$A613)))*$F$1010</f>
        <v>2228513.8725100616</v>
      </c>
      <c r="E618" s="67">
        <f t="shared" si="61"/>
        <v>4.2484649646000889</v>
      </c>
      <c r="F618" s="70">
        <f t="shared" si="65"/>
        <v>0.25796679265051742</v>
      </c>
      <c r="G618" s="67">
        <f>E618/'Lookup Tables'!$C$48</f>
        <v>8.4969299292001779</v>
      </c>
      <c r="H618" s="70">
        <f t="shared" si="62"/>
        <v>1.0763624069848852E-3</v>
      </c>
      <c r="I618" s="71">
        <f t="shared" si="66"/>
        <v>1.2235579098048257E-2</v>
      </c>
      <c r="L618" s="74"/>
      <c r="M618" s="74"/>
      <c r="N618" s="74"/>
      <c r="O618" s="74"/>
      <c r="P618" s="74"/>
      <c r="Q618" s="74"/>
      <c r="R618" s="74"/>
      <c r="S618" s="74"/>
      <c r="T618" s="74"/>
      <c r="U618" s="74"/>
      <c r="V618" s="74"/>
      <c r="W618" s="74"/>
      <c r="X618" s="74"/>
      <c r="Y618" s="74"/>
    </row>
    <row r="619" spans="1:25" x14ac:dyDescent="0.3">
      <c r="A619" s="66">
        <f t="shared" si="64"/>
        <v>2051.1999999999443</v>
      </c>
      <c r="B619" s="67">
        <f>LOOKUP(A619+0.01,AmountsB!$A$4:$A$103,AmountsB!$B$4:$B$103)*0.1*$A$2</f>
        <v>0</v>
      </c>
      <c r="C619" s="68">
        <f t="shared" si="63"/>
        <v>2074573.74105891</v>
      </c>
      <c r="D619" s="67">
        <f t="array" ref="D619">SUM($B$7:$B614*$F$1009*EXP(-$F$1009*($A619-$A$7:$A614)))*$F$1010</f>
        <v>2197532.0570379202</v>
      </c>
      <c r="E619" s="67">
        <f t="shared" si="61"/>
        <v>4.1894008684790078</v>
      </c>
      <c r="F619" s="70">
        <f t="shared" si="65"/>
        <v>0.25438042073404538</v>
      </c>
      <c r="G619" s="67">
        <f>E619/'Lookup Tables'!$C$48</f>
        <v>8.3788017369580157</v>
      </c>
      <c r="H619" s="70">
        <f t="shared" si="62"/>
        <v>1.061398326264672E-3</v>
      </c>
      <c r="I619" s="71">
        <f t="shared" si="66"/>
        <v>1.2065474501219543E-2</v>
      </c>
      <c r="L619" s="74"/>
      <c r="M619" s="74"/>
      <c r="N619" s="74"/>
      <c r="O619" s="74"/>
      <c r="P619" s="74"/>
      <c r="Q619" s="74"/>
      <c r="R619" s="74"/>
      <c r="S619" s="74"/>
      <c r="T619" s="74"/>
      <c r="U619" s="74"/>
      <c r="V619" s="74"/>
      <c r="W619" s="74"/>
      <c r="X619" s="74"/>
      <c r="Y619" s="74"/>
    </row>
    <row r="620" spans="1:25" x14ac:dyDescent="0.3">
      <c r="A620" s="66">
        <f t="shared" si="64"/>
        <v>2051.2999999999442</v>
      </c>
      <c r="B620" s="67">
        <f>LOOKUP(A620+0.01,AmountsB!$A$4:$A$103,AmountsB!$B$4:$B$103)*0.1*$A$2</f>
        <v>0</v>
      </c>
      <c r="C620" s="68">
        <f t="shared" si="63"/>
        <v>2074573.74105891</v>
      </c>
      <c r="D620" s="67">
        <f t="array" ref="D620">SUM($B$7:$B615*$F$1009*EXP(-$F$1009*($A620-$A$7:$A615)))*$F$1010</f>
        <v>2166980.9648840362</v>
      </c>
      <c r="E620" s="67">
        <f t="shared" si="61"/>
        <v>4.1311579083399037</v>
      </c>
      <c r="F620" s="70">
        <f t="shared" si="65"/>
        <v>0.25084390819439895</v>
      </c>
      <c r="G620" s="67">
        <f>E620/'Lookup Tables'!$C$48</f>
        <v>8.2623158166798074</v>
      </c>
      <c r="H620" s="70">
        <f t="shared" si="62"/>
        <v>1.0466422830143185E-3</v>
      </c>
      <c r="I620" s="71">
        <f t="shared" si="66"/>
        <v>1.1897734776018923E-2</v>
      </c>
      <c r="L620" s="74"/>
      <c r="M620" s="74"/>
      <c r="N620" s="74"/>
      <c r="O620" s="74"/>
      <c r="P620" s="74"/>
      <c r="Q620" s="74"/>
      <c r="R620" s="74"/>
      <c r="S620" s="74"/>
      <c r="T620" s="74"/>
      <c r="U620" s="74"/>
      <c r="V620" s="74"/>
      <c r="W620" s="74"/>
      <c r="X620" s="74"/>
      <c r="Y620" s="74"/>
    </row>
    <row r="621" spans="1:25" x14ac:dyDescent="0.3">
      <c r="A621" s="66">
        <f t="shared" si="64"/>
        <v>2051.3999999999442</v>
      </c>
      <c r="B621" s="67">
        <f>LOOKUP(A621+0.01,AmountsB!$A$4:$A$103,AmountsB!$B$4:$B$103)*0.1*$A$2</f>
        <v>0</v>
      </c>
      <c r="C621" s="68">
        <f t="shared" si="63"/>
        <v>2074573.74105891</v>
      </c>
      <c r="D621" s="67">
        <f t="array" ref="D621">SUM($B$7:$B616*$F$1009*EXP(-$F$1009*($A621-$A$7:$A616)))*$F$1010</f>
        <v>2136854.607936542</v>
      </c>
      <c r="E621" s="67">
        <f t="shared" si="61"/>
        <v>4.0737246683761317</v>
      </c>
      <c r="F621" s="70">
        <f t="shared" si="65"/>
        <v>0.24735656186379873</v>
      </c>
      <c r="G621" s="67">
        <f>E621/'Lookup Tables'!$C$48</f>
        <v>8.1474493367522633</v>
      </c>
      <c r="H621" s="70">
        <f t="shared" si="62"/>
        <v>1.0320913850021078E-3</v>
      </c>
      <c r="I621" s="71">
        <f t="shared" si="66"/>
        <v>1.1732327044923259E-2</v>
      </c>
      <c r="L621" s="74"/>
      <c r="M621" s="74"/>
      <c r="N621" s="74"/>
      <c r="O621" s="74"/>
      <c r="P621" s="74"/>
      <c r="Q621" s="74"/>
      <c r="R621" s="74"/>
      <c r="S621" s="74"/>
      <c r="T621" s="74"/>
      <c r="U621" s="74"/>
      <c r="V621" s="74"/>
      <c r="W621" s="74"/>
      <c r="X621" s="74"/>
      <c r="Y621" s="74"/>
    </row>
    <row r="622" spans="1:25" x14ac:dyDescent="0.3">
      <c r="A622" s="66">
        <f t="shared" si="64"/>
        <v>2051.4999999999441</v>
      </c>
      <c r="B622" s="67">
        <f>LOOKUP(A622+0.01,AmountsB!$A$4:$A$103,AmountsB!$B$4:$B$103)*0.1*$A$2</f>
        <v>0</v>
      </c>
      <c r="C622" s="68">
        <f t="shared" si="63"/>
        <v>2074573.74105891</v>
      </c>
      <c r="D622" s="67">
        <f t="array" ref="D622">SUM($B$7:$B617*$F$1009*EXP(-$F$1009*($A622-$A$7:$A617)))*$F$1010</f>
        <v>2107147.0813330314</v>
      </c>
      <c r="E622" s="67">
        <f t="shared" si="61"/>
        <v>4.0170898914887951</v>
      </c>
      <c r="F622" s="70">
        <f t="shared" si="65"/>
        <v>0.24391769821119963</v>
      </c>
      <c r="G622" s="67">
        <f>E622/'Lookup Tables'!$C$48</f>
        <v>8.0341797829775903</v>
      </c>
      <c r="H622" s="70">
        <f t="shared" si="62"/>
        <v>1.0177427802054472E-3</v>
      </c>
      <c r="I622" s="71">
        <f t="shared" si="66"/>
        <v>1.156921888748773E-2</v>
      </c>
      <c r="L622" s="74"/>
      <c r="M622" s="74"/>
      <c r="N622" s="74"/>
      <c r="O622" s="74"/>
      <c r="P622" s="74"/>
      <c r="Q622" s="74"/>
      <c r="R622" s="74"/>
      <c r="S622" s="74"/>
      <c r="T622" s="74"/>
      <c r="U622" s="74"/>
      <c r="V622" s="74"/>
      <c r="W622" s="74"/>
      <c r="X622" s="74"/>
      <c r="Y622" s="74"/>
    </row>
    <row r="623" spans="1:25" x14ac:dyDescent="0.3">
      <c r="A623" s="66">
        <f t="shared" si="64"/>
        <v>2051.599999999944</v>
      </c>
      <c r="B623" s="67">
        <f>LOOKUP(A623+0.01,AmountsB!$A$4:$A$103,AmountsB!$B$4:$B$103)*0.1*$A$2</f>
        <v>0</v>
      </c>
      <c r="C623" s="68">
        <f t="shared" si="63"/>
        <v>2074573.74105891</v>
      </c>
      <c r="D623" s="67">
        <f t="array" ref="D623">SUM($B$7:$B618*$F$1009*EXP(-$F$1009*($A623-$A$7:$A618)))*$F$1010</f>
        <v>2077852.5623031857</v>
      </c>
      <c r="E623" s="67">
        <f t="shared" si="61"/>
        <v>3.9612424770803178</v>
      </c>
      <c r="F623" s="70">
        <f t="shared" si="65"/>
        <v>0.2405266432083169</v>
      </c>
      <c r="G623" s="67">
        <f>E623/'Lookup Tables'!$C$48</f>
        <v>7.9224849541606357</v>
      </c>
      <c r="H623" s="70">
        <f t="shared" si="62"/>
        <v>1.003593656251862E-3</v>
      </c>
      <c r="I623" s="71">
        <f t="shared" si="66"/>
        <v>1.1408378333991316E-2</v>
      </c>
      <c r="L623" s="74"/>
      <c r="M623" s="74"/>
      <c r="N623" s="74"/>
      <c r="O623" s="74"/>
      <c r="P623" s="74"/>
      <c r="Q623" s="74"/>
      <c r="R623" s="74"/>
      <c r="S623" s="74"/>
      <c r="T623" s="74"/>
      <c r="U623" s="74"/>
      <c r="V623" s="74"/>
      <c r="W623" s="74"/>
      <c r="X623" s="74"/>
      <c r="Y623" s="74"/>
    </row>
    <row r="624" spans="1:25" x14ac:dyDescent="0.3">
      <c r="A624" s="66">
        <f t="shared" si="64"/>
        <v>2051.6999999999439</v>
      </c>
      <c r="B624" s="67">
        <f>LOOKUP(A624+0.01,AmountsB!$A$4:$A$103,AmountsB!$B$4:$B$103)*0.1*$A$2</f>
        <v>0</v>
      </c>
      <c r="C624" s="68">
        <f t="shared" si="63"/>
        <v>2074573.74105891</v>
      </c>
      <c r="D624" s="67">
        <f t="array" ref="D624">SUM($B$7:$B619*$F$1009*EXP(-$F$1009*($A624-$A$7:$A619)))*$F$1010</f>
        <v>2048965.3090274925</v>
      </c>
      <c r="E624" s="67">
        <f t="shared" si="61"/>
        <v>3.9061714788786874</v>
      </c>
      <c r="F624" s="70">
        <f t="shared" si="65"/>
        <v>0.2371827321975139</v>
      </c>
      <c r="G624" s="67">
        <f>E624/'Lookup Tables'!$C$48</f>
        <v>7.8123429577573749</v>
      </c>
      <c r="H624" s="70">
        <f t="shared" si="62"/>
        <v>9.8964123986776051E-4</v>
      </c>
      <c r="I624" s="71">
        <f t="shared" si="66"/>
        <v>1.1249773859170618E-2</v>
      </c>
      <c r="L624" s="74"/>
      <c r="M624" s="74"/>
      <c r="N624" s="74"/>
      <c r="O624" s="74"/>
      <c r="P624" s="74"/>
      <c r="Q624" s="74"/>
      <c r="R624" s="74"/>
      <c r="S624" s="74"/>
      <c r="T624" s="74"/>
      <c r="U624" s="74"/>
      <c r="V624" s="74"/>
      <c r="W624" s="74"/>
      <c r="X624" s="74"/>
      <c r="Y624" s="74"/>
    </row>
    <row r="625" spans="1:25" x14ac:dyDescent="0.3">
      <c r="A625" s="66">
        <f t="shared" si="64"/>
        <v>2051.7999999999438</v>
      </c>
      <c r="B625" s="67">
        <f>LOOKUP(A625+0.01,AmountsB!$A$4:$A$103,AmountsB!$B$4:$B$103)*0.1*$A$2</f>
        <v>0</v>
      </c>
      <c r="C625" s="68">
        <f t="shared" si="63"/>
        <v>2074573.74105891</v>
      </c>
      <c r="D625" s="67">
        <f t="array" ref="D625">SUM($B$7:$B620*$F$1009*EXP(-$F$1009*($A625-$A$7:$A620)))*$F$1010</f>
        <v>2020479.6595118328</v>
      </c>
      <c r="E625" s="67">
        <f t="shared" si="61"/>
        <v>3.8518661027919552</v>
      </c>
      <c r="F625" s="70">
        <f t="shared" si="65"/>
        <v>0.23388530976152752</v>
      </c>
      <c r="G625" s="67">
        <f>E625/'Lookup Tables'!$C$48</f>
        <v>7.7037322055839104</v>
      </c>
      <c r="H625" s="70">
        <f t="shared" si="62"/>
        <v>9.7588279633486531E-4</v>
      </c>
      <c r="I625" s="71">
        <f t="shared" si="66"/>
        <v>1.1093374376040832E-2</v>
      </c>
      <c r="L625" s="74"/>
      <c r="M625" s="74"/>
      <c r="N625" s="74"/>
      <c r="O625" s="74"/>
      <c r="P625" s="74"/>
      <c r="Q625" s="74"/>
      <c r="R625" s="74"/>
      <c r="S625" s="74"/>
      <c r="T625" s="74"/>
      <c r="U625" s="74"/>
      <c r="V625" s="74"/>
      <c r="W625" s="74"/>
      <c r="X625" s="74"/>
      <c r="Y625" s="74"/>
    </row>
    <row r="626" spans="1:25" x14ac:dyDescent="0.3">
      <c r="A626" s="66">
        <f t="shared" si="64"/>
        <v>2051.8999999999437</v>
      </c>
      <c r="B626" s="67">
        <f>LOOKUP(A626+0.01,AmountsB!$A$4:$A$103,AmountsB!$B$4:$B$103)*0.1*$A$2</f>
        <v>0</v>
      </c>
      <c r="C626" s="68">
        <f t="shared" si="63"/>
        <v>2074573.74105891</v>
      </c>
      <c r="D626" s="67">
        <f t="array" ref="D626">SUM($B$7:$B621*$F$1009*EXP(-$F$1009*($A626-$A$7:$A621)))*$F$1010</f>
        <v>1992390.0304777066</v>
      </c>
      <c r="E626" s="67">
        <f t="shared" si="61"/>
        <v>3.7983157047925551</v>
      </c>
      <c r="F626" s="70">
        <f t="shared" si="65"/>
        <v>0.23063372959500394</v>
      </c>
      <c r="G626" s="67">
        <f>E626/'Lookup Tables'!$C$48</f>
        <v>7.5966314095851102</v>
      </c>
      <c r="H626" s="70">
        <f t="shared" si="62"/>
        <v>9.6231562895419725E-4</v>
      </c>
      <c r="I626" s="71">
        <f t="shared" si="66"/>
        <v>1.0939149229802559E-2</v>
      </c>
      <c r="L626" s="74"/>
      <c r="M626" s="74"/>
      <c r="N626" s="74"/>
      <c r="O626" s="74"/>
      <c r="P626" s="74"/>
      <c r="Q626" s="74"/>
      <c r="R626" s="74"/>
      <c r="S626" s="74"/>
      <c r="T626" s="74"/>
      <c r="U626" s="74"/>
      <c r="V626" s="74"/>
      <c r="W626" s="74"/>
      <c r="X626" s="74"/>
      <c r="Y626" s="74"/>
    </row>
    <row r="627" spans="1:25" x14ac:dyDescent="0.3">
      <c r="A627" s="66">
        <f t="shared" si="64"/>
        <v>2051.9999999999436</v>
      </c>
      <c r="B627" s="67">
        <f>LOOKUP(A627+0.01,AmountsB!$A$4:$A$103,AmountsB!$B$4:$B$103)*0.1*$A$2</f>
        <v>0</v>
      </c>
      <c r="C627" s="68">
        <f t="shared" si="63"/>
        <v>2074573.74105891</v>
      </c>
      <c r="D627" s="67">
        <f t="array" ref="D627">SUM($B$7:$B622*$F$1009*EXP(-$F$1009*($A627-$A$7:$A622)))*$F$1010</f>
        <v>1964690.9162679005</v>
      </c>
      <c r="E627" s="67">
        <f t="shared" si="61"/>
        <v>3.7455097888310487</v>
      </c>
      <c r="F627" s="70">
        <f t="shared" si="65"/>
        <v>0.22742735437782127</v>
      </c>
      <c r="G627" s="67">
        <f>E627/'Lookup Tables'!$C$48</f>
        <v>7.4910195776620974</v>
      </c>
      <c r="H627" s="70">
        <f t="shared" si="62"/>
        <v>9.4893707851751742E-4</v>
      </c>
      <c r="I627" s="71">
        <f t="shared" si="66"/>
        <v>1.0787068191833419E-2</v>
      </c>
      <c r="L627" s="74"/>
      <c r="M627" s="74"/>
      <c r="N627" s="74"/>
      <c r="O627" s="74"/>
      <c r="P627" s="74"/>
      <c r="Q627" s="74"/>
      <c r="R627" s="74"/>
      <c r="S627" s="74"/>
      <c r="T627" s="74"/>
      <c r="U627" s="74"/>
      <c r="V627" s="74"/>
      <c r="W627" s="74"/>
      <c r="X627" s="74"/>
      <c r="Y627" s="74"/>
    </row>
    <row r="628" spans="1:25" x14ac:dyDescent="0.3">
      <c r="A628" s="66">
        <f t="shared" si="64"/>
        <v>2052.0999999999435</v>
      </c>
      <c r="B628" s="67">
        <f>LOOKUP(A628+0.01,AmountsB!$A$4:$A$103,AmountsB!$B$4:$B$103)*0.1*$A$2</f>
        <v>0</v>
      </c>
      <c r="C628" s="68">
        <f t="shared" si="63"/>
        <v>2074573.74105891</v>
      </c>
      <c r="D628" s="67">
        <f t="array" ref="D628">SUM($B$7:$B623*$F$1009*EXP(-$F$1009*($A628-$A$7:$A623)))*$F$1010</f>
        <v>1937376.8877673531</v>
      </c>
      <c r="E628" s="67">
        <f t="shared" si="61"/>
        <v>3.6934380047788538</v>
      </c>
      <c r="F628" s="70">
        <f t="shared" si="65"/>
        <v>0.224265555650172</v>
      </c>
      <c r="G628" s="67">
        <f>E628/'Lookup Tables'!$C$48</f>
        <v>7.3868760095577075</v>
      </c>
      <c r="H628" s="70">
        <f t="shared" si="62"/>
        <v>9.3574452278611037E-4</v>
      </c>
      <c r="I628" s="71">
        <f t="shared" si="66"/>
        <v>1.0637101453763098E-2</v>
      </c>
      <c r="L628" s="74"/>
      <c r="M628" s="74"/>
      <c r="N628" s="74"/>
      <c r="O628" s="74"/>
      <c r="P628" s="74"/>
      <c r="Q628" s="74"/>
      <c r="R628" s="74"/>
      <c r="S628" s="74"/>
      <c r="T628" s="74"/>
      <c r="U628" s="74"/>
      <c r="V628" s="74"/>
      <c r="W628" s="74"/>
      <c r="X628" s="74"/>
      <c r="Y628" s="74"/>
    </row>
    <row r="629" spans="1:25" x14ac:dyDescent="0.3">
      <c r="A629" s="66">
        <f t="shared" si="64"/>
        <v>2052.1999999999434</v>
      </c>
      <c r="B629" s="67">
        <f>LOOKUP(A629+0.01,AmountsB!$A$4:$A$103,AmountsB!$B$4:$B$103)*0.1*$A$2</f>
        <v>0</v>
      </c>
      <c r="C629" s="68">
        <f t="shared" si="63"/>
        <v>2074573.74105891</v>
      </c>
      <c r="D629" s="67">
        <f t="array" ref="D629">SUM($B$7:$B624*$F$1009*EXP(-$F$1009*($A629-$A$7:$A624)))*$F$1010</f>
        <v>1910442.5913390375</v>
      </c>
      <c r="E629" s="67">
        <f t="shared" si="61"/>
        <v>3.6420901463995987</v>
      </c>
      <c r="F629" s="70">
        <f t="shared" si="65"/>
        <v>0.22114771368938366</v>
      </c>
      <c r="G629" s="67">
        <f>E629/'Lookup Tables'!$C$48</f>
        <v>7.2841802927991974</v>
      </c>
      <c r="H629" s="70">
        <f t="shared" si="62"/>
        <v>9.2273537597681874E-4</v>
      </c>
      <c r="I629" s="71">
        <f t="shared" si="66"/>
        <v>1.0489219621630843E-2</v>
      </c>
      <c r="L629" s="74"/>
      <c r="M629" s="74"/>
      <c r="N629" s="74"/>
      <c r="O629" s="74"/>
      <c r="P629" s="74"/>
      <c r="Q629" s="74"/>
      <c r="R629" s="74"/>
      <c r="S629" s="74"/>
      <c r="T629" s="74"/>
      <c r="U629" s="74"/>
      <c r="V629" s="74"/>
      <c r="W629" s="74"/>
      <c r="X629" s="74"/>
      <c r="Y629" s="74"/>
    </row>
    <row r="630" spans="1:25" x14ac:dyDescent="0.3">
      <c r="A630" s="66">
        <f t="shared" si="64"/>
        <v>2052.2999999999433</v>
      </c>
      <c r="B630" s="67">
        <f>LOOKUP(A630+0.01,AmountsB!$A$4:$A$103,AmountsB!$B$4:$B$103)*0.1*$A$2</f>
        <v>0</v>
      </c>
      <c r="C630" s="68">
        <f t="shared" si="63"/>
        <v>2074573.74105891</v>
      </c>
      <c r="D630" s="67">
        <f t="array" ref="D630">SUM($B$7:$B625*$F$1009*EXP(-$F$1009*($A630-$A$7:$A625)))*$F$1010</f>
        <v>1883882.7477746275</v>
      </c>
      <c r="E630" s="67">
        <f t="shared" si="61"/>
        <v>3.5914561493486579</v>
      </c>
      <c r="F630" s="70">
        <f t="shared" si="65"/>
        <v>0.21807321738845048</v>
      </c>
      <c r="G630" s="67">
        <f>E630/'Lookup Tables'!$C$48</f>
        <v>7.1829122986973157</v>
      </c>
      <c r="H630" s="70">
        <f t="shared" si="62"/>
        <v>9.0990708825522144E-4</v>
      </c>
      <c r="I630" s="71">
        <f t="shared" si="66"/>
        <v>1.0343393710124136E-2</v>
      </c>
      <c r="L630" s="74"/>
      <c r="M630" s="74"/>
      <c r="N630" s="74"/>
      <c r="O630" s="74"/>
      <c r="P630" s="74"/>
      <c r="Q630" s="74"/>
      <c r="R630" s="74"/>
      <c r="S630" s="74"/>
      <c r="T630" s="74"/>
      <c r="U630" s="74"/>
      <c r="V630" s="74"/>
      <c r="W630" s="74"/>
      <c r="X630" s="74"/>
      <c r="Y630" s="74"/>
    </row>
    <row r="631" spans="1:25" x14ac:dyDescent="0.3">
      <c r="A631" s="66">
        <f t="shared" si="64"/>
        <v>2052.3999999999432</v>
      </c>
      <c r="B631" s="67">
        <f>LOOKUP(A631+0.01,AmountsB!$A$4:$A$103,AmountsB!$B$4:$B$103)*0.1*$A$2</f>
        <v>0</v>
      </c>
      <c r="C631" s="68">
        <f t="shared" si="63"/>
        <v>2074573.74105891</v>
      </c>
      <c r="D631" s="67">
        <f t="array" ref="D631">SUM($B$7:$B626*$F$1009*EXP(-$F$1009*($A631-$A$7:$A626)))*$F$1010</f>
        <v>1857692.1512597562</v>
      </c>
      <c r="E631" s="67">
        <f t="shared" si="61"/>
        <v>3.5415260892005107</v>
      </c>
      <c r="F631" s="70">
        <f t="shared" si="65"/>
        <v>0.215041464136255</v>
      </c>
      <c r="G631" s="67">
        <f>E631/'Lookup Tables'!$C$48</f>
        <v>7.0830521784010214</v>
      </c>
      <c r="H631" s="70">
        <f t="shared" si="62"/>
        <v>8.9725714523585637E-4</v>
      </c>
      <c r="I631" s="71">
        <f t="shared" si="66"/>
        <v>1.0199595136897471E-2</v>
      </c>
      <c r="L631" s="74"/>
      <c r="M631" s="74"/>
      <c r="N631" s="74"/>
      <c r="O631" s="74"/>
      <c r="P631" s="74"/>
      <c r="Q631" s="74"/>
      <c r="R631" s="74"/>
      <c r="S631" s="74"/>
      <c r="T631" s="74"/>
      <c r="U631" s="74"/>
      <c r="V631" s="74"/>
      <c r="W631" s="74"/>
      <c r="X631" s="74"/>
      <c r="Y631" s="74"/>
    </row>
    <row r="632" spans="1:25" x14ac:dyDescent="0.3">
      <c r="A632" s="66">
        <f t="shared" si="64"/>
        <v>2052.4999999999432</v>
      </c>
      <c r="B632" s="67">
        <f>LOOKUP(A632+0.01,AmountsB!$A$4:$A$103,AmountsB!$B$4:$B$103)*0.1*$A$2</f>
        <v>0</v>
      </c>
      <c r="C632" s="68">
        <f t="shared" si="63"/>
        <v>2074573.74105891</v>
      </c>
      <c r="D632" s="67">
        <f t="array" ref="D632">SUM($B$7:$B627*$F$1009*EXP(-$F$1009*($A632-$A$7:$A627)))*$F$1010</f>
        <v>1831865.6683536621</v>
      </c>
      <c r="E632" s="67">
        <f t="shared" si="61"/>
        <v>3.4922901795035259</v>
      </c>
      <c r="F632" s="70">
        <f t="shared" si="65"/>
        <v>0.21205185969945409</v>
      </c>
      <c r="G632" s="67">
        <f>E632/'Lookup Tables'!$C$48</f>
        <v>6.9845803590070519</v>
      </c>
      <c r="H632" s="70">
        <f t="shared" si="62"/>
        <v>8.8478306748939546E-4</v>
      </c>
      <c r="I632" s="71">
        <f t="shared" si="66"/>
        <v>1.0057795716970155E-2</v>
      </c>
      <c r="L632" s="74"/>
      <c r="M632" s="74"/>
      <c r="N632" s="74"/>
      <c r="O632" s="74"/>
      <c r="P632" s="74"/>
      <c r="Q632" s="74"/>
      <c r="R632" s="74"/>
      <c r="S632" s="74"/>
      <c r="T632" s="74"/>
      <c r="U632" s="74"/>
      <c r="V632" s="74"/>
      <c r="W632" s="74"/>
      <c r="X632" s="74"/>
      <c r="Y632" s="74"/>
    </row>
    <row r="633" spans="1:25" x14ac:dyDescent="0.3">
      <c r="A633" s="66">
        <f t="shared" si="64"/>
        <v>2052.5999999999431</v>
      </c>
      <c r="B633" s="67">
        <f>LOOKUP(A633+0.01,AmountsB!$A$4:$A$103,AmountsB!$B$4:$B$103)*0.1*$A$2</f>
        <v>0</v>
      </c>
      <c r="C633" s="68">
        <f t="shared" si="63"/>
        <v>2074573.74105891</v>
      </c>
      <c r="D633" s="67">
        <f t="array" ref="D633">SUM($B$7:$B628*$F$1009*EXP(-$F$1009*($A633-$A$7:$A628)))*$F$1010</f>
        <v>1806398.2369830154</v>
      </c>
      <c r="E633" s="67">
        <f t="shared" si="61"/>
        <v>3.4437387698617798</v>
      </c>
      <c r="F633" s="70">
        <f t="shared" si="65"/>
        <v>0.20910381810600726</v>
      </c>
      <c r="G633" s="67">
        <f>E633/'Lookup Tables'!$C$48</f>
        <v>6.8874775397235597</v>
      </c>
      <c r="H633" s="70">
        <f t="shared" si="62"/>
        <v>8.7248241005666576E-4</v>
      </c>
      <c r="I633" s="71">
        <f t="shared" si="66"/>
        <v>9.9179676572019246E-3</v>
      </c>
      <c r="L633" s="74"/>
      <c r="M633" s="74"/>
      <c r="N633" s="74"/>
      <c r="O633" s="74"/>
      <c r="P633" s="74"/>
      <c r="Q633" s="74"/>
      <c r="R633" s="74"/>
      <c r="S633" s="74"/>
      <c r="T633" s="74"/>
      <c r="U633" s="74"/>
      <c r="V633" s="74"/>
      <c r="W633" s="74"/>
      <c r="X633" s="74"/>
      <c r="Y633" s="74"/>
    </row>
    <row r="634" spans="1:25" x14ac:dyDescent="0.3">
      <c r="A634" s="66">
        <f t="shared" si="64"/>
        <v>2052.699999999943</v>
      </c>
      <c r="B634" s="67">
        <f>LOOKUP(A634+0.01,AmountsB!$A$4:$A$103,AmountsB!$B$4:$B$103)*0.1*$A$2</f>
        <v>0</v>
      </c>
      <c r="C634" s="68">
        <f t="shared" si="63"/>
        <v>2074573.74105891</v>
      </c>
      <c r="D634" s="67">
        <f t="array" ref="D634">SUM($B$7:$B629*$F$1009*EXP(-$F$1009*($A634-$A$7:$A629)))*$F$1010</f>
        <v>1781284.8654497373</v>
      </c>
      <c r="E634" s="67">
        <f t="shared" si="61"/>
        <v>3.3958623440435529</v>
      </c>
      <c r="F634" s="70">
        <f t="shared" si="65"/>
        <v>0.20619676153032457</v>
      </c>
      <c r="G634" s="67">
        <f>E634/'Lookup Tables'!$C$48</f>
        <v>6.7917246880871058</v>
      </c>
      <c r="H634" s="70">
        <f t="shared" si="62"/>
        <v>8.6035276196943242E-4</v>
      </c>
      <c r="I634" s="71">
        <f t="shared" si="66"/>
        <v>9.7800835508454337E-3</v>
      </c>
      <c r="L634" s="74"/>
      <c r="M634" s="74"/>
      <c r="N634" s="74"/>
      <c r="O634" s="74"/>
      <c r="P634" s="74"/>
      <c r="Q634" s="74"/>
      <c r="R634" s="74"/>
      <c r="S634" s="74"/>
      <c r="T634" s="74"/>
      <c r="U634" s="74"/>
      <c r="V634" s="74"/>
      <c r="W634" s="74"/>
      <c r="X634" s="74"/>
      <c r="Y634" s="74"/>
    </row>
    <row r="635" spans="1:25" x14ac:dyDescent="0.3">
      <c r="A635" s="66">
        <f t="shared" si="64"/>
        <v>2052.7999999999429</v>
      </c>
      <c r="B635" s="67">
        <f>LOOKUP(A635+0.01,AmountsB!$A$4:$A$103,AmountsB!$B$4:$B$103)*0.1*$A$2</f>
        <v>0</v>
      </c>
      <c r="C635" s="68">
        <f t="shared" si="63"/>
        <v>2074573.74105891</v>
      </c>
      <c r="D635" s="67">
        <f t="array" ref="D635">SUM($B$7:$B630*$F$1009*EXP(-$F$1009*($A635-$A$7:$A630)))*$F$1010</f>
        <v>1756520.6314526109</v>
      </c>
      <c r="E635" s="67">
        <f t="shared" si="61"/>
        <v>3.3486515181161165</v>
      </c>
      <c r="F635" s="70">
        <f t="shared" si="65"/>
        <v>0.20333012018001059</v>
      </c>
      <c r="G635" s="67">
        <f>E635/'Lookup Tables'!$C$48</f>
        <v>6.697303036232233</v>
      </c>
      <c r="H635" s="70">
        <f t="shared" si="62"/>
        <v>8.4839174577783889E-4</v>
      </c>
      <c r="I635" s="71">
        <f t="shared" si="66"/>
        <v>9.6441163721744157E-3</v>
      </c>
      <c r="L635" s="74"/>
      <c r="M635" s="74"/>
      <c r="N635" s="74"/>
      <c r="O635" s="74"/>
      <c r="P635" s="74"/>
      <c r="Q635" s="74"/>
      <c r="R635" s="74"/>
      <c r="S635" s="74"/>
      <c r="T635" s="74"/>
      <c r="U635" s="74"/>
      <c r="V635" s="74"/>
      <c r="W635" s="74"/>
      <c r="X635" s="74"/>
      <c r="Y635" s="74"/>
    </row>
    <row r="636" spans="1:25" x14ac:dyDescent="0.3">
      <c r="A636" s="66">
        <f t="shared" si="64"/>
        <v>2052.8999999999428</v>
      </c>
      <c r="B636" s="67">
        <f>LOOKUP(A636+0.01,AmountsB!$A$4:$A$103,AmountsB!$B$4:$B$103)*0.1*$A$2</f>
        <v>0</v>
      </c>
      <c r="C636" s="68">
        <f t="shared" si="63"/>
        <v>2074573.74105891</v>
      </c>
      <c r="D636" s="67">
        <f t="array" ref="D636">SUM($B$7:$B631*$F$1009*EXP(-$F$1009*($A636-$A$7:$A631)))*$F$1010</f>
        <v>1732100.6811224928</v>
      </c>
      <c r="E636" s="67">
        <f t="shared" si="61"/>
        <v>3.3020970386064481</v>
      </c>
      <c r="F636" s="70">
        <f t="shared" si="65"/>
        <v>0.20050333218418354</v>
      </c>
      <c r="G636" s="67">
        <f>E636/'Lookup Tables'!$C$48</f>
        <v>6.6041940772128962</v>
      </c>
      <c r="H636" s="70">
        <f t="shared" si="62"/>
        <v>8.365970170844194E-4</v>
      </c>
      <c r="I636" s="71">
        <f t="shared" si="66"/>
        <v>9.5100394711865703E-3</v>
      </c>
      <c r="L636" s="74"/>
      <c r="M636" s="74"/>
      <c r="N636" s="74"/>
      <c r="O636" s="74"/>
      <c r="P636" s="74"/>
      <c r="Q636" s="74"/>
      <c r="R636" s="74"/>
      <c r="S636" s="74"/>
      <c r="T636" s="74"/>
      <c r="U636" s="74"/>
      <c r="V636" s="74"/>
      <c r="W636" s="74"/>
      <c r="X636" s="74"/>
      <c r="Y636" s="74"/>
    </row>
    <row r="637" spans="1:25" x14ac:dyDescent="0.3">
      <c r="A637" s="66">
        <f t="shared" si="64"/>
        <v>2052.9999999999427</v>
      </c>
      <c r="B637" s="67">
        <f>LOOKUP(A637+0.01,AmountsB!$A$4:$A$103,AmountsB!$B$4:$B$103)*0.1*$A$2</f>
        <v>0</v>
      </c>
      <c r="C637" s="68">
        <f t="shared" si="63"/>
        <v>2074573.74105891</v>
      </c>
      <c r="D637" s="67">
        <f t="array" ref="D637">SUM($B$7:$B632*$F$1009*EXP(-$F$1009*($A637-$A$7:$A632)))*$F$1010</f>
        <v>1708020.2280709425</v>
      </c>
      <c r="E637" s="67">
        <f t="shared" si="61"/>
        <v>3.2561897806875288</v>
      </c>
      <c r="F637" s="70">
        <f t="shared" si="65"/>
        <v>0.19771584348334675</v>
      </c>
      <c r="G637" s="67">
        <f>E637/'Lookup Tables'!$C$48</f>
        <v>6.5123795613750577</v>
      </c>
      <c r="H637" s="70">
        <f t="shared" si="62"/>
        <v>8.249662640845922E-4</v>
      </c>
      <c r="I637" s="71">
        <f t="shared" si="66"/>
        <v>9.3778265683800831E-3</v>
      </c>
      <c r="L637" s="74"/>
      <c r="M637" s="74"/>
      <c r="N637" s="74"/>
      <c r="O637" s="74"/>
      <c r="P637" s="74"/>
      <c r="Q637" s="74"/>
      <c r="R637" s="74"/>
      <c r="S637" s="74"/>
      <c r="T637" s="74"/>
      <c r="U637" s="74"/>
      <c r="V637" s="74"/>
      <c r="W637" s="74"/>
      <c r="X637" s="74"/>
      <c r="Y637" s="74"/>
    </row>
    <row r="638" spans="1:25" x14ac:dyDescent="0.3">
      <c r="A638" s="66">
        <f t="shared" si="64"/>
        <v>2053.0999999999426</v>
      </c>
      <c r="B638" s="67">
        <f>LOOKUP(A638+0.01,AmountsB!$A$4:$A$103,AmountsB!$B$4:$B$103)*0.1*$A$2</f>
        <v>0</v>
      </c>
      <c r="C638" s="68">
        <f t="shared" si="63"/>
        <v>2074573.74105891</v>
      </c>
      <c r="D638" s="67">
        <f t="array" ref="D638">SUM($B$7:$B633*$F$1009*EXP(-$F$1009*($A638-$A$7:$A633)))*$F$1010</f>
        <v>1684274.5524520706</v>
      </c>
      <c r="E638" s="67">
        <f t="shared" si="61"/>
        <v>3.210920746389839</v>
      </c>
      <c r="F638" s="70">
        <f t="shared" si="65"/>
        <v>0.19496710772079104</v>
      </c>
      <c r="G638" s="67">
        <f>E638/'Lookup Tables'!$C$48</f>
        <v>6.4218414927796781</v>
      </c>
      <c r="H638" s="70">
        <f t="shared" si="62"/>
        <v>8.1349720711353416E-4</v>
      </c>
      <c r="I638" s="71">
        <f t="shared" si="66"/>
        <v>9.2474517496027361E-3</v>
      </c>
      <c r="L638" s="74"/>
      <c r="M638" s="74"/>
      <c r="N638" s="74"/>
      <c r="O638" s="74"/>
      <c r="P638" s="74"/>
      <c r="Q638" s="74"/>
      <c r="R638" s="74"/>
      <c r="S638" s="74"/>
      <c r="T638" s="74"/>
      <c r="U638" s="74"/>
      <c r="V638" s="74"/>
      <c r="W638" s="74"/>
      <c r="X638" s="74"/>
      <c r="Y638" s="74"/>
    </row>
    <row r="639" spans="1:25" x14ac:dyDescent="0.3">
      <c r="A639" s="66">
        <f t="shared" si="64"/>
        <v>2053.1999999999425</v>
      </c>
      <c r="B639" s="67">
        <f>LOOKUP(A639+0.01,AmountsB!$A$4:$A$103,AmountsB!$B$4:$B$103)*0.1*$A$2</f>
        <v>0</v>
      </c>
      <c r="C639" s="68">
        <f t="shared" si="63"/>
        <v>2074573.74105891</v>
      </c>
      <c r="D639" s="67">
        <f t="array" ref="D639">SUM($B$7:$B634*$F$1009*EXP(-$F$1009*($A639-$A$7:$A634)))*$F$1010</f>
        <v>1660859.0000374382</v>
      </c>
      <c r="E639" s="67">
        <f t="shared" si="61"/>
        <v>3.1662810628377351</v>
      </c>
      <c r="F639" s="70">
        <f t="shared" si="65"/>
        <v>0.19225658613550731</v>
      </c>
      <c r="G639" s="67">
        <f>E639/'Lookup Tables'!$C$48</f>
        <v>6.3325621256754703</v>
      </c>
      <c r="H639" s="70">
        <f t="shared" si="62"/>
        <v>8.0218759819936265E-4</v>
      </c>
      <c r="I639" s="71">
        <f t="shared" si="66"/>
        <v>9.1188894609726782E-3</v>
      </c>
      <c r="L639" s="74"/>
      <c r="M639" s="74"/>
      <c r="N639" s="74"/>
      <c r="O639" s="74"/>
      <c r="P639" s="74"/>
      <c r="Q639" s="74"/>
      <c r="R639" s="74"/>
      <c r="S639" s="74"/>
      <c r="T639" s="74"/>
      <c r="U639" s="74"/>
      <c r="V639" s="74"/>
      <c r="W639" s="74"/>
      <c r="X639" s="74"/>
      <c r="Y639" s="74"/>
    </row>
    <row r="640" spans="1:25" x14ac:dyDescent="0.3">
      <c r="A640" s="66">
        <f t="shared" si="64"/>
        <v>2053.2999999999424</v>
      </c>
      <c r="B640" s="67">
        <f>LOOKUP(A640+0.01,AmountsB!$A$4:$A$103,AmountsB!$B$4:$B$103)*0.1*$A$2</f>
        <v>0</v>
      </c>
      <c r="C640" s="68">
        <f t="shared" si="63"/>
        <v>2074573.74105891</v>
      </c>
      <c r="D640" s="67">
        <f t="array" ref="D640">SUM($B$7:$B635*$F$1009*EXP(-$F$1009*($A640-$A$7:$A635)))*$F$1010</f>
        <v>1637768.9813038113</v>
      </c>
      <c r="E640" s="67">
        <f t="shared" si="61"/>
        <v>3.1222619805103347</v>
      </c>
      <c r="F640" s="70">
        <f t="shared" si="65"/>
        <v>0.18958374745658751</v>
      </c>
      <c r="G640" s="67">
        <f>E640/'Lookup Tables'!$C$48</f>
        <v>6.2445239610206693</v>
      </c>
      <c r="H640" s="70">
        <f t="shared" si="62"/>
        <v>7.9103522062252485E-4</v>
      </c>
      <c r="I640" s="71">
        <f t="shared" si="66"/>
        <v>8.9921145038697626E-3</v>
      </c>
      <c r="L640" s="74"/>
      <c r="M640" s="74"/>
      <c r="N640" s="74"/>
      <c r="O640" s="74"/>
      <c r="P640" s="74"/>
      <c r="Q640" s="74"/>
      <c r="R640" s="74"/>
      <c r="S640" s="74"/>
      <c r="T640" s="74"/>
      <c r="U640" s="74"/>
      <c r="V640" s="74"/>
      <c r="W640" s="74"/>
      <c r="X640" s="74"/>
      <c r="Y640" s="74"/>
    </row>
    <row r="641" spans="1:25" x14ac:dyDescent="0.3">
      <c r="A641" s="66">
        <f t="shared" si="64"/>
        <v>2053.3999999999423</v>
      </c>
      <c r="B641" s="67">
        <f>LOOKUP(A641+0.01,AmountsB!$A$4:$A$103,AmountsB!$B$4:$B$103)*0.1*$A$2</f>
        <v>0</v>
      </c>
      <c r="C641" s="68">
        <f t="shared" si="63"/>
        <v>2074573.74105891</v>
      </c>
      <c r="D641" s="67">
        <f t="array" ref="D641">SUM($B$7:$B636*$F$1009*EXP(-$F$1009*($A641-$A$7:$A636)))*$F$1010</f>
        <v>1614999.9705335977</v>
      </c>
      <c r="E641" s="67">
        <f t="shared" si="61"/>
        <v>3.07885487152658</v>
      </c>
      <c r="F641" s="70">
        <f t="shared" si="65"/>
        <v>0.18694806779909393</v>
      </c>
      <c r="G641" s="67">
        <f>E641/'Lookup Tables'!$C$48</f>
        <v>6.15770974305316</v>
      </c>
      <c r="H641" s="70">
        <f t="shared" si="62"/>
        <v>7.8003788848131285E-4</v>
      </c>
      <c r="I641" s="71">
        <f t="shared" si="66"/>
        <v>8.8671020299965486E-3</v>
      </c>
      <c r="L641" s="74"/>
      <c r="M641" s="74"/>
      <c r="N641" s="74"/>
      <c r="O641" s="74"/>
      <c r="P641" s="74"/>
      <c r="Q641" s="74"/>
      <c r="R641" s="74"/>
      <c r="S641" s="74"/>
      <c r="T641" s="74"/>
      <c r="U641" s="74"/>
      <c r="V641" s="74"/>
      <c r="W641" s="74"/>
      <c r="X641" s="74"/>
      <c r="Y641" s="74"/>
    </row>
    <row r="642" spans="1:25" x14ac:dyDescent="0.3">
      <c r="A642" s="66">
        <f t="shared" si="64"/>
        <v>2053.4999999999422</v>
      </c>
      <c r="B642" s="67">
        <f>LOOKUP(A642+0.01,AmountsB!$A$4:$A$103,AmountsB!$B$4:$B$103)*0.1*$A$2</f>
        <v>0</v>
      </c>
      <c r="C642" s="68">
        <f t="shared" si="63"/>
        <v>2074573.74105891</v>
      </c>
      <c r="D642" s="67">
        <f t="array" ref="D642">SUM($B$7:$B637*$F$1009*EXP(-$F$1009*($A642-$A$7:$A637)))*$F$1010</f>
        <v>1592547.5049277951</v>
      </c>
      <c r="E642" s="67">
        <f t="shared" si="61"/>
        <v>3.0360512279541476</v>
      </c>
      <c r="F642" s="70">
        <f t="shared" si="65"/>
        <v>0.18434903056137583</v>
      </c>
      <c r="G642" s="67">
        <f>E642/'Lookup Tables'!$C$48</f>
        <v>6.0721024559082952</v>
      </c>
      <c r="H642" s="70">
        <f t="shared" si="62"/>
        <v>7.6919344626342058E-4</v>
      </c>
      <c r="I642" s="71">
        <f t="shared" si="66"/>
        <v>8.7438275365079466E-3</v>
      </c>
      <c r="L642" s="74"/>
      <c r="M642" s="74"/>
      <c r="N642" s="74"/>
      <c r="O642" s="74"/>
      <c r="P642" s="74"/>
      <c r="Q642" s="74"/>
      <c r="R642" s="74"/>
      <c r="S642" s="74"/>
      <c r="T642" s="74"/>
      <c r="U642" s="74"/>
      <c r="V642" s="74"/>
      <c r="W642" s="74"/>
      <c r="X642" s="74"/>
      <c r="Y642" s="74"/>
    </row>
    <row r="643" spans="1:25" x14ac:dyDescent="0.3">
      <c r="A643" s="66">
        <f t="shared" si="64"/>
        <v>2053.5999999999422</v>
      </c>
      <c r="B643" s="67">
        <f>LOOKUP(A643+0.01,AmountsB!$A$4:$A$103,AmountsB!$B$4:$B$103)*0.1*$A$2</f>
        <v>0</v>
      </c>
      <c r="C643" s="68">
        <f t="shared" si="63"/>
        <v>2074573.74105891</v>
      </c>
      <c r="D643" s="67">
        <f t="array" ref="D643">SUM($B$7:$B638*$F$1009*EXP(-$F$1009*($A643-$A$7:$A638)))*$F$1010</f>
        <v>1570407.1837312668</v>
      </c>
      <c r="E643" s="67">
        <f t="shared" si="61"/>
        <v>2.9938426601418695</v>
      </c>
      <c r="F643" s="70">
        <f t="shared" si="65"/>
        <v>0.1817861263238143</v>
      </c>
      <c r="G643" s="67">
        <f>E643/'Lookup Tables'!$C$48</f>
        <v>5.987685320283739</v>
      </c>
      <c r="H643" s="70">
        <f t="shared" si="62"/>
        <v>7.584997684234562E-4</v>
      </c>
      <c r="I643" s="71">
        <f t="shared" si="66"/>
        <v>8.6222668612085836E-3</v>
      </c>
      <c r="L643" s="74"/>
      <c r="M643" s="74"/>
      <c r="N643" s="74"/>
      <c r="O643" s="74"/>
      <c r="P643" s="74"/>
      <c r="Q643" s="74"/>
      <c r="R643" s="74"/>
      <c r="S643" s="74"/>
      <c r="T643" s="74"/>
      <c r="U643" s="74"/>
      <c r="V643" s="74"/>
      <c r="W643" s="74"/>
      <c r="X643" s="74"/>
      <c r="Y643" s="74"/>
    </row>
    <row r="644" spans="1:25" x14ac:dyDescent="0.3">
      <c r="A644" s="66">
        <f t="shared" si="64"/>
        <v>2053.6999999999421</v>
      </c>
      <c r="B644" s="67">
        <f>LOOKUP(A644+0.01,AmountsB!$A$4:$A$103,AmountsB!$B$4:$B$103)*0.1*$A$2</f>
        <v>0</v>
      </c>
      <c r="C644" s="68">
        <f t="shared" si="63"/>
        <v>2074573.74105891</v>
      </c>
      <c r="D644" s="67">
        <f t="array" ref="D644">SUM($B$7:$B639*$F$1009*EXP(-$F$1009*($A644-$A$7:$A639)))*$F$1010</f>
        <v>1548574.6673701785</v>
      </c>
      <c r="E644" s="67">
        <f t="shared" si="61"/>
        <v>2.9522208950753286</v>
      </c>
      <c r="F644" s="70">
        <f t="shared" si="65"/>
        <v>0.17925885274897396</v>
      </c>
      <c r="G644" s="67">
        <f>E644/'Lookup Tables'!$C$48</f>
        <v>5.9044417901506572</v>
      </c>
      <c r="H644" s="70">
        <f t="shared" si="62"/>
        <v>7.4795475896632913E-4</v>
      </c>
      <c r="I644" s="71">
        <f t="shared" si="66"/>
        <v>8.5023961778169475E-3</v>
      </c>
      <c r="L644" s="74"/>
      <c r="M644" s="74"/>
      <c r="N644" s="74"/>
      <c r="O644" s="74"/>
      <c r="P644" s="74"/>
      <c r="Q644" s="74"/>
      <c r="R644" s="74"/>
      <c r="S644" s="74"/>
      <c r="T644" s="74"/>
      <c r="U644" s="74"/>
      <c r="V644" s="74"/>
      <c r="W644" s="74"/>
      <c r="X644" s="74"/>
      <c r="Y644" s="74"/>
    </row>
    <row r="645" spans="1:25" x14ac:dyDescent="0.3">
      <c r="A645" s="66">
        <f t="shared" si="64"/>
        <v>2053.799999999942</v>
      </c>
      <c r="B645" s="67">
        <f>LOOKUP(A645+0.01,AmountsB!$A$4:$A$103,AmountsB!$B$4:$B$103)*0.1*$A$2</f>
        <v>0</v>
      </c>
      <c r="C645" s="68">
        <f t="shared" si="63"/>
        <v>2074573.74105891</v>
      </c>
      <c r="D645" s="67">
        <f t="array" ref="D645">SUM($B$7:$B640*$F$1009*EXP(-$F$1009*($A645-$A$7:$A640)))*$F$1010</f>
        <v>1527045.6766014309</v>
      </c>
      <c r="E645" s="67">
        <f t="shared" si="61"/>
        <v>2.9111777747553269</v>
      </c>
      <c r="F645" s="70">
        <f t="shared" si="65"/>
        <v>0.17676671448314343</v>
      </c>
      <c r="G645" s="67">
        <f>E645/'Lookup Tables'!$C$48</f>
        <v>5.8223555495106538</v>
      </c>
      <c r="H645" s="70">
        <f t="shared" si="62"/>
        <v>7.3755635103642735E-4</v>
      </c>
      <c r="I645" s="71">
        <f t="shared" si="66"/>
        <v>8.3841919912953419E-3</v>
      </c>
      <c r="L645" s="74"/>
      <c r="M645" s="74"/>
      <c r="N645" s="74"/>
      <c r="O645" s="74"/>
      <c r="P645" s="74"/>
      <c r="Q645" s="74"/>
      <c r="R645" s="74"/>
      <c r="S645" s="74"/>
      <c r="T645" s="74"/>
      <c r="U645" s="74"/>
      <c r="V645" s="74"/>
      <c r="W645" s="74"/>
      <c r="X645" s="74"/>
      <c r="Y645" s="74"/>
    </row>
    <row r="646" spans="1:25" x14ac:dyDescent="0.3">
      <c r="A646" s="66">
        <f t="shared" si="64"/>
        <v>2053.8999999999419</v>
      </c>
      <c r="B646" s="67">
        <f>LOOKUP(A646+0.01,AmountsB!$A$4:$A$103,AmountsB!$B$4:$B$103)*0.1*$A$2</f>
        <v>0</v>
      </c>
      <c r="C646" s="68">
        <f t="shared" si="63"/>
        <v>2074573.74105891</v>
      </c>
      <c r="D646" s="67">
        <f t="array" ref="D646">SUM($B$7:$B641*$F$1009*EXP(-$F$1009*($A646-$A$7:$A641)))*$F$1010</f>
        <v>1505815.9916739103</v>
      </c>
      <c r="E646" s="67">
        <f t="shared" si="61"/>
        <v>2.8707052545988869</v>
      </c>
      <c r="F646" s="70">
        <f t="shared" si="65"/>
        <v>0.1743092230592444</v>
      </c>
      <c r="G646" s="67">
        <f>E646/'Lookup Tables'!$C$48</f>
        <v>5.7414105091977738</v>
      </c>
      <c r="H646" s="70">
        <f t="shared" si="62"/>
        <v>7.2730250651250759E-4</v>
      </c>
      <c r="I646" s="71">
        <f t="shared" si="66"/>
        <v>8.2676311332447947E-3</v>
      </c>
      <c r="L646" s="74"/>
      <c r="M646" s="74"/>
      <c r="N646" s="74"/>
      <c r="O646" s="74"/>
      <c r="P646" s="74"/>
      <c r="Q646" s="74"/>
      <c r="R646" s="74"/>
      <c r="S646" s="74"/>
      <c r="T646" s="74"/>
      <c r="U646" s="74"/>
      <c r="V646" s="74"/>
      <c r="W646" s="74"/>
      <c r="X646" s="74"/>
      <c r="Y646" s="74"/>
    </row>
    <row r="647" spans="1:25" x14ac:dyDescent="0.3">
      <c r="A647" s="66">
        <f t="shared" si="64"/>
        <v>2053.9999999999418</v>
      </c>
      <c r="B647" s="67">
        <f>LOOKUP(A647+0.01,AmountsB!$A$4:$A$103,AmountsB!$B$4:$B$103)*0.1*$A$2</f>
        <v>0</v>
      </c>
      <c r="C647" s="68">
        <f t="shared" si="63"/>
        <v>2074573.74105891</v>
      </c>
      <c r="D647" s="67">
        <f t="array" ref="D647">SUM($B$7:$B642*$F$1009*EXP(-$F$1009*($A647-$A$7:$A642)))*$F$1010</f>
        <v>1484881.4515014079</v>
      </c>
      <c r="E647" s="67">
        <f t="shared" ref="E647:E710" si="67">D647/(365*24*60)*1.00201</f>
        <v>2.8307954018624923</v>
      </c>
      <c r="F647" s="70">
        <f t="shared" si="65"/>
        <v>0.17188589680109051</v>
      </c>
      <c r="G647" s="67">
        <f>E647/'Lookup Tables'!$C$48</f>
        <v>5.6615908037249847</v>
      </c>
      <c r="H647" s="70">
        <f t="shared" ref="H647:H710" si="68">G647*60*24*365/(C647*2000)</f>
        <v>7.1719121560821688E-4</v>
      </c>
      <c r="I647" s="71">
        <f t="shared" si="66"/>
        <v>8.1526907573639777E-3</v>
      </c>
      <c r="L647" s="74"/>
      <c r="M647" s="74"/>
      <c r="N647" s="74"/>
      <c r="O647" s="74"/>
      <c r="P647" s="74"/>
      <c r="Q647" s="74"/>
      <c r="R647" s="74"/>
      <c r="S647" s="74"/>
      <c r="T647" s="74"/>
      <c r="U647" s="74"/>
      <c r="V647" s="74"/>
      <c r="W647" s="74"/>
      <c r="X647" s="74"/>
      <c r="Y647" s="74"/>
    </row>
    <row r="648" spans="1:25" x14ac:dyDescent="0.3">
      <c r="A648" s="66">
        <f t="shared" si="64"/>
        <v>2054.0999999999417</v>
      </c>
      <c r="B648" s="67">
        <f>LOOKUP(A648+0.01,AmountsB!$A$4:$A$103,AmountsB!$B$4:$B$103)*0.1*$A$2</f>
        <v>0</v>
      </c>
      <c r="C648" s="68">
        <f t="shared" si="63"/>
        <v>2074573.74105891</v>
      </c>
      <c r="D648" s="67">
        <f t="array" ref="D648">SUM($B$7:$B643*$F$1009*EXP(-$F$1009*($A648-$A$7:$A643)))*$F$1010</f>
        <v>1464237.9528470314</v>
      </c>
      <c r="E648" s="67">
        <f t="shared" si="67"/>
        <v>2.7914403940872412</v>
      </c>
      <c r="F648" s="70">
        <f t="shared" si="65"/>
        <v>0.1694962607289773</v>
      </c>
      <c r="G648" s="67">
        <f>E648/'Lookup Tables'!$C$48</f>
        <v>5.5828807881744824</v>
      </c>
      <c r="H648" s="70">
        <f t="shared" si="68"/>
        <v>7.0722049647816863E-4</v>
      </c>
      <c r="I648" s="71">
        <f t="shared" si="66"/>
        <v>8.0393483349712556E-3</v>
      </c>
      <c r="L648" s="74"/>
      <c r="M648" s="74"/>
      <c r="N648" s="74"/>
      <c r="O648" s="74"/>
      <c r="P648" s="74"/>
      <c r="Q648" s="74"/>
      <c r="R648" s="74"/>
      <c r="S648" s="74"/>
      <c r="T648" s="74"/>
      <c r="U648" s="74"/>
      <c r="V648" s="74"/>
      <c r="W648" s="74"/>
      <c r="X648" s="74"/>
      <c r="Y648" s="74"/>
    </row>
    <row r="649" spans="1:25" x14ac:dyDescent="0.3">
      <c r="A649" s="66">
        <f t="shared" si="64"/>
        <v>2054.1999999999416</v>
      </c>
      <c r="B649" s="67">
        <f>LOOKUP(A649+0.01,AmountsB!$A$4:$A$103,AmountsB!$B$4:$B$103)*0.1*$A$2</f>
        <v>0</v>
      </c>
      <c r="C649" s="68">
        <f t="shared" ref="C649:C712" si="69">C648+B649</f>
        <v>2074573.74105891</v>
      </c>
      <c r="D649" s="67">
        <f t="array" ref="D649">SUM($B$7:$B644*$F$1009*EXP(-$F$1009*($A649-$A$7:$A644)))*$F$1010</f>
        <v>1443881.4495189565</v>
      </c>
      <c r="E649" s="67">
        <f t="shared" si="67"/>
        <v>2.7526325175656199</v>
      </c>
      <c r="F649" s="70">
        <f t="shared" si="65"/>
        <v>0.16713984646658442</v>
      </c>
      <c r="G649" s="67">
        <f>E649/'Lookup Tables'!$C$48</f>
        <v>5.5052650351312398</v>
      </c>
      <c r="H649" s="70">
        <f t="shared" si="68"/>
        <v>6.9738839482949317E-4</v>
      </c>
      <c r="I649" s="71">
        <f t="shared" si="66"/>
        <v>7.927581650588985E-3</v>
      </c>
      <c r="L649" s="74"/>
      <c r="M649" s="74"/>
      <c r="N649" s="74"/>
      <c r="O649" s="74"/>
      <c r="P649" s="74"/>
      <c r="Q649" s="74"/>
      <c r="R649" s="74"/>
      <c r="S649" s="74"/>
      <c r="T649" s="74"/>
      <c r="U649" s="74"/>
      <c r="V649" s="74"/>
      <c r="W649" s="74"/>
      <c r="X649" s="74"/>
      <c r="Y649" s="74"/>
    </row>
    <row r="650" spans="1:25" x14ac:dyDescent="0.3">
      <c r="A650" s="66">
        <f t="shared" si="64"/>
        <v>2054.2999999999415</v>
      </c>
      <c r="B650" s="67">
        <f>LOOKUP(A650+0.01,AmountsB!$A$4:$A$103,AmountsB!$B$4:$B$103)*0.1*$A$2</f>
        <v>0</v>
      </c>
      <c r="C650" s="68">
        <f t="shared" si="69"/>
        <v>2074573.74105891</v>
      </c>
      <c r="D650" s="67">
        <f t="array" ref="D650">SUM($B$7:$B645*$F$1009*EXP(-$F$1009*($A650-$A$7:$A645)))*$F$1010</f>
        <v>1423807.9515773628</v>
      </c>
      <c r="E650" s="67">
        <f t="shared" si="67"/>
        <v>2.7143641658295916</v>
      </c>
      <c r="F650" s="70">
        <f t="shared" si="65"/>
        <v>0.16481619214917279</v>
      </c>
      <c r="G650" s="67">
        <f>E650/'Lookup Tables'!$C$48</f>
        <v>5.4287283316591832</v>
      </c>
      <c r="H650" s="70">
        <f t="shared" si="68"/>
        <v>6.8769298353879105E-4</v>
      </c>
      <c r="I650" s="71">
        <f t="shared" si="66"/>
        <v>7.8173687975892237E-3</v>
      </c>
      <c r="L650" s="74"/>
      <c r="M650" s="74"/>
      <c r="N650" s="74"/>
      <c r="O650" s="74"/>
      <c r="P650" s="74"/>
      <c r="Q650" s="74"/>
      <c r="R650" s="74"/>
      <c r="S650" s="74"/>
      <c r="T650" s="74"/>
      <c r="U650" s="74"/>
      <c r="V650" s="74"/>
      <c r="W650" s="74"/>
      <c r="X650" s="74"/>
      <c r="Y650" s="74"/>
    </row>
    <row r="651" spans="1:25" x14ac:dyDescent="0.3">
      <c r="A651" s="66">
        <f t="shared" si="64"/>
        <v>2054.3999999999414</v>
      </c>
      <c r="B651" s="67">
        <f>LOOKUP(A651+0.01,AmountsB!$A$4:$A$103,AmountsB!$B$4:$B$103)*0.1*$A$2</f>
        <v>0</v>
      </c>
      <c r="C651" s="68">
        <f t="shared" si="69"/>
        <v>2074573.74105891</v>
      </c>
      <c r="D651" s="67">
        <f t="array" ref="D651">SUM($B$7:$B646*$F$1009*EXP(-$F$1009*($A651-$A$7:$A646)))*$F$1010</f>
        <v>1404013.5245523914</v>
      </c>
      <c r="E651" s="67">
        <f t="shared" si="67"/>
        <v>2.6766278381597068</v>
      </c>
      <c r="F651" s="70">
        <f t="shared" si="65"/>
        <v>0.16252484233305739</v>
      </c>
      <c r="G651" s="67">
        <f>E651/'Lookup Tables'!$C$48</f>
        <v>5.3532556763194137</v>
      </c>
      <c r="H651" s="70">
        <f t="shared" si="68"/>
        <v>6.7813236227441155E-4</v>
      </c>
      <c r="I651" s="71">
        <f t="shared" si="66"/>
        <v>7.7086881738999561E-3</v>
      </c>
      <c r="L651" s="74"/>
      <c r="M651" s="74"/>
      <c r="N651" s="74"/>
      <c r="O651" s="74"/>
      <c r="P651" s="74"/>
      <c r="Q651" s="74"/>
      <c r="R651" s="74"/>
      <c r="S651" s="74"/>
      <c r="T651" s="74"/>
      <c r="U651" s="74"/>
      <c r="V651" s="74"/>
      <c r="W651" s="74"/>
      <c r="X651" s="74"/>
      <c r="Y651" s="74"/>
    </row>
    <row r="652" spans="1:25" x14ac:dyDescent="0.3">
      <c r="A652" s="66">
        <f t="shared" si="64"/>
        <v>2054.4999999999413</v>
      </c>
      <c r="B652" s="67">
        <f>LOOKUP(A652+0.01,AmountsB!$A$4:$A$103,AmountsB!$B$4:$B$103)*0.1*$A$2</f>
        <v>0</v>
      </c>
      <c r="C652" s="68">
        <f t="shared" si="69"/>
        <v>2074573.74105891</v>
      </c>
      <c r="D652" s="67">
        <f t="array" ref="D652">SUM($B$7:$B647*$F$1009*EXP(-$F$1009*($A652-$A$7:$A647)))*$F$1010</f>
        <v>1384494.2886729762</v>
      </c>
      <c r="E652" s="67">
        <f t="shared" si="67"/>
        <v>2.639416138114933</v>
      </c>
      <c r="F652" s="70">
        <f t="shared" si="65"/>
        <v>0.16026534790633876</v>
      </c>
      <c r="G652" s="67">
        <f>E652/'Lookup Tables'!$C$48</f>
        <v>5.2788322762298661</v>
      </c>
      <c r="H652" s="70">
        <f t="shared" si="68"/>
        <v>6.6870465712397904E-4</v>
      </c>
      <c r="I652" s="71">
        <f t="shared" si="66"/>
        <v>7.6015184777710075E-3</v>
      </c>
      <c r="L652" s="74"/>
      <c r="M652" s="74"/>
      <c r="N652" s="74"/>
      <c r="O652" s="74"/>
      <c r="P652" s="74"/>
      <c r="Q652" s="74"/>
      <c r="R652" s="74"/>
      <c r="S652" s="74"/>
      <c r="T652" s="74"/>
      <c r="U652" s="74"/>
      <c r="V652" s="74"/>
      <c r="W652" s="74"/>
      <c r="X652" s="74"/>
      <c r="Y652" s="74"/>
    </row>
    <row r="653" spans="1:25" x14ac:dyDescent="0.3">
      <c r="A653" s="66">
        <f t="shared" si="64"/>
        <v>2054.5999999999412</v>
      </c>
      <c r="B653" s="67">
        <f>LOOKUP(A653+0.01,AmountsB!$A$4:$A$103,AmountsB!$B$4:$B$103)*0.1*$A$2</f>
        <v>0</v>
      </c>
      <c r="C653" s="68">
        <f t="shared" si="69"/>
        <v>2074573.74105891</v>
      </c>
      <c r="D653" s="67">
        <f t="array" ref="D653">SUM($B$7:$B648*$F$1009*EXP(-$F$1009*($A653-$A$7:$A648)))*$F$1010</f>
        <v>1365246.4181063971</v>
      </c>
      <c r="E653" s="67">
        <f t="shared" si="67"/>
        <v>2.6027217720829361</v>
      </c>
      <c r="F653" s="70">
        <f t="shared" si="65"/>
        <v>0.15803726600087589</v>
      </c>
      <c r="G653" s="67">
        <f>E653/'Lookup Tables'!$C$48</f>
        <v>5.2054435441658722</v>
      </c>
      <c r="H653" s="70">
        <f t="shared" si="68"/>
        <v>6.5940802022710341E-4</v>
      </c>
      <c r="I653" s="71">
        <f t="shared" si="66"/>
        <v>7.4958387035988566E-3</v>
      </c>
      <c r="L653" s="74"/>
      <c r="M653" s="74"/>
      <c r="N653" s="74"/>
      <c r="O653" s="74"/>
      <c r="P653" s="74"/>
      <c r="Q653" s="74"/>
      <c r="R653" s="74"/>
      <c r="S653" s="74"/>
      <c r="T653" s="74"/>
      <c r="U653" s="74"/>
      <c r="V653" s="74"/>
      <c r="W653" s="74"/>
      <c r="X653" s="74"/>
      <c r="Y653" s="74"/>
    </row>
    <row r="654" spans="1:25" x14ac:dyDescent="0.3">
      <c r="A654" s="66">
        <f t="shared" si="64"/>
        <v>2054.6999999999412</v>
      </c>
      <c r="B654" s="67">
        <f>LOOKUP(A654+0.01,AmountsB!$A$4:$A$103,AmountsB!$B$4:$B$103)*0.1*$A$2</f>
        <v>0</v>
      </c>
      <c r="C654" s="68">
        <f t="shared" si="69"/>
        <v>2074573.74105891</v>
      </c>
      <c r="D654" s="67">
        <f t="array" ref="D654">SUM($B$7:$B649*$F$1009*EXP(-$F$1009*($A654-$A$7:$A649)))*$F$1010</f>
        <v>1346266.1402084038</v>
      </c>
      <c r="E654" s="67">
        <f t="shared" si="67"/>
        <v>2.5665375478505004</v>
      </c>
      <c r="F654" s="70">
        <f t="shared" si="65"/>
        <v>0.15584015990548236</v>
      </c>
      <c r="G654" s="67">
        <f>E654/'Lookup Tables'!$C$48</f>
        <v>5.1330750957010007</v>
      </c>
      <c r="H654" s="70">
        <f t="shared" si="68"/>
        <v>6.5024062941319047E-4</v>
      </c>
      <c r="I654" s="71">
        <f t="shared" si="66"/>
        <v>7.3916281378094409E-3</v>
      </c>
      <c r="L654" s="74"/>
      <c r="M654" s="74"/>
      <c r="N654" s="74"/>
      <c r="O654" s="74"/>
      <c r="P654" s="74"/>
      <c r="Q654" s="74"/>
      <c r="R654" s="74"/>
      <c r="S654" s="74"/>
      <c r="T654" s="74"/>
      <c r="U654" s="74"/>
      <c r="V654" s="74"/>
      <c r="W654" s="74"/>
      <c r="X654" s="74"/>
      <c r="Y654" s="74"/>
    </row>
    <row r="655" spans="1:25" x14ac:dyDescent="0.3">
      <c r="A655" s="66">
        <f t="shared" si="64"/>
        <v>2054.7999999999411</v>
      </c>
      <c r="B655" s="67">
        <f>LOOKUP(A655+0.01,AmountsB!$A$4:$A$103,AmountsB!$B$4:$B$103)*0.1*$A$2</f>
        <v>0</v>
      </c>
      <c r="C655" s="68">
        <f t="shared" si="69"/>
        <v>2074573.74105891</v>
      </c>
      <c r="D655" s="67">
        <f t="array" ref="D655">SUM($B$7:$B650*$F$1009*EXP(-$F$1009*($A655-$A$7:$A650)))*$F$1010</f>
        <v>1327549.7347837659</v>
      </c>
      <c r="E655" s="67">
        <f t="shared" si="67"/>
        <v>2.530856373193838</v>
      </c>
      <c r="F655" s="70">
        <f t="shared" si="65"/>
        <v>0.15367359898032987</v>
      </c>
      <c r="G655" s="67">
        <f>E655/'Lookup Tables'!$C$48</f>
        <v>5.0617127463876761</v>
      </c>
      <c r="H655" s="70">
        <f t="shared" si="68"/>
        <v>6.41200687844293E-4</v>
      </c>
      <c r="I655" s="71">
        <f t="shared" si="66"/>
        <v>7.2888663547982539E-3</v>
      </c>
      <c r="L655" s="74"/>
      <c r="M655" s="74"/>
      <c r="N655" s="74"/>
      <c r="O655" s="74"/>
      <c r="P655" s="74"/>
      <c r="Q655" s="74"/>
      <c r="R655" s="74"/>
      <c r="S655" s="74"/>
      <c r="T655" s="74"/>
      <c r="U655" s="74"/>
      <c r="V655" s="74"/>
      <c r="W655" s="74"/>
      <c r="X655" s="74"/>
      <c r="Y655" s="74"/>
    </row>
    <row r="656" spans="1:25" x14ac:dyDescent="0.3">
      <c r="A656" s="66">
        <f t="shared" si="64"/>
        <v>2054.899999999941</v>
      </c>
      <c r="B656" s="67">
        <f>LOOKUP(A656+0.01,AmountsB!$A$4:$A$103,AmountsB!$B$4:$B$103)*0.1*$A$2</f>
        <v>0</v>
      </c>
      <c r="C656" s="68">
        <f t="shared" si="69"/>
        <v>2074573.74105891</v>
      </c>
      <c r="D656" s="67">
        <f t="array" ref="D656">SUM($B$7:$B651*$F$1009*EXP(-$F$1009*($A656-$A$7:$A651)))*$F$1010</f>
        <v>1309093.5333571015</v>
      </c>
      <c r="E656" s="67">
        <f t="shared" si="67"/>
        <v>2.4956712544884883</v>
      </c>
      <c r="F656" s="70">
        <f t="shared" si="65"/>
        <v>0.15153715857254102</v>
      </c>
      <c r="G656" s="67">
        <f>E656/'Lookup Tables'!$C$48</f>
        <v>4.9913425089769765</v>
      </c>
      <c r="H656" s="70">
        <f t="shared" si="68"/>
        <v>6.3228642366292313E-4</v>
      </c>
      <c r="I656" s="71">
        <f t="shared" si="66"/>
        <v>7.1875332129268466E-3</v>
      </c>
      <c r="L656" s="74"/>
      <c r="M656" s="74"/>
      <c r="N656" s="74"/>
      <c r="O656" s="74"/>
      <c r="P656" s="74"/>
      <c r="Q656" s="74"/>
      <c r="R656" s="74"/>
      <c r="S656" s="74"/>
      <c r="T656" s="74"/>
      <c r="U656" s="74"/>
      <c r="V656" s="74"/>
      <c r="W656" s="74"/>
      <c r="X656" s="74"/>
      <c r="Y656" s="74"/>
    </row>
    <row r="657" spans="1:25" x14ac:dyDescent="0.3">
      <c r="A657" s="66">
        <f t="shared" si="64"/>
        <v>2054.9999999999409</v>
      </c>
      <c r="B657" s="67">
        <f>LOOKUP(A657+0.01,AmountsB!$A$4:$A$103,AmountsB!$B$4:$B$103)*0.1*$A$2</f>
        <v>0</v>
      </c>
      <c r="C657" s="68">
        <f t="shared" si="69"/>
        <v>2074573.74105891</v>
      </c>
      <c r="D657" s="67">
        <f t="array" ref="D657">SUM($B$7:$B652*$F$1009*EXP(-$F$1009*($A657-$A$7:$A652)))*$F$1010</f>
        <v>1290893.9184538473</v>
      </c>
      <c r="E657" s="67">
        <f t="shared" si="67"/>
        <v>2.4609752953385455</v>
      </c>
      <c r="F657" s="70">
        <f t="shared" si="65"/>
        <v>0.1494304199329565</v>
      </c>
      <c r="G657" s="67">
        <f>E657/'Lookup Tables'!$C$48</f>
        <v>4.9219505906770911</v>
      </c>
      <c r="H657" s="70">
        <f t="shared" si="68"/>
        <v>6.2349608964476413E-4</v>
      </c>
      <c r="I657" s="71">
        <f t="shared" si="66"/>
        <v>7.0876088505750119E-3</v>
      </c>
      <c r="L657" s="74"/>
      <c r="M657" s="74"/>
      <c r="N657" s="74"/>
      <c r="O657" s="74"/>
      <c r="P657" s="74"/>
      <c r="Q657" s="74"/>
      <c r="R657" s="74"/>
      <c r="S657" s="74"/>
      <c r="T657" s="74"/>
      <c r="U657" s="74"/>
      <c r="V657" s="74"/>
      <c r="W657" s="74"/>
      <c r="X657" s="74"/>
      <c r="Y657" s="74"/>
    </row>
    <row r="658" spans="1:25" x14ac:dyDescent="0.3">
      <c r="A658" s="66">
        <f t="shared" si="64"/>
        <v>2055.0999999999408</v>
      </c>
      <c r="B658" s="67">
        <f>LOOKUP(A658+0.01,AmountsB!$A$4:$A$103,AmountsB!$B$4:$B$103)*0.1*$A$2</f>
        <v>0</v>
      </c>
      <c r="C658" s="68">
        <f t="shared" si="69"/>
        <v>2074573.74105891</v>
      </c>
      <c r="D658" s="67">
        <f t="array" ref="D658">SUM($B$7:$B653*$F$1009*EXP(-$F$1009*($A658-$A$7:$A653)))*$F$1010</f>
        <v>1272947.3228912179</v>
      </c>
      <c r="E658" s="67">
        <f t="shared" si="67"/>
        <v>2.4267616952249416</v>
      </c>
      <c r="F658" s="70">
        <f t="shared" si="65"/>
        <v>0.14735297013405849</v>
      </c>
      <c r="G658" s="67">
        <f>E658/'Lookup Tables'!$C$48</f>
        <v>4.8535233904498831</v>
      </c>
      <c r="H658" s="70">
        <f t="shared" si="68"/>
        <v>6.1482796285620663E-4</v>
      </c>
      <c r="I658" s="71">
        <f t="shared" si="66"/>
        <v>6.9890736822478322E-3</v>
      </c>
      <c r="L658" s="74"/>
      <c r="M658" s="74"/>
      <c r="N658" s="74"/>
      <c r="O658" s="74"/>
      <c r="P658" s="74"/>
      <c r="Q658" s="74"/>
      <c r="R658" s="74"/>
      <c r="S658" s="74"/>
      <c r="T658" s="74"/>
      <c r="U658" s="74"/>
      <c r="V658" s="74"/>
      <c r="W658" s="74"/>
      <c r="X658" s="74"/>
      <c r="Y658" s="74"/>
    </row>
    <row r="659" spans="1:25" x14ac:dyDescent="0.3">
      <c r="A659" s="66">
        <f t="shared" ref="A659:A722" si="70">A658+0.1</f>
        <v>2055.1999999999407</v>
      </c>
      <c r="B659" s="67">
        <f>LOOKUP(A659+0.01,AmountsB!$A$4:$A$103,AmountsB!$B$4:$B$103)*0.1*$A$2</f>
        <v>0</v>
      </c>
      <c r="C659" s="68">
        <f t="shared" si="69"/>
        <v>2074573.74105891</v>
      </c>
      <c r="D659" s="67">
        <f t="array" ref="D659">SUM($B$7:$B654*$F$1009*EXP(-$F$1009*($A659-$A$7:$A654)))*$F$1010</f>
        <v>1255250.2290790305</v>
      </c>
      <c r="E659" s="67">
        <f t="shared" si="67"/>
        <v>2.3930237481725256</v>
      </c>
      <c r="F659" s="70">
        <f t="shared" ref="F659:F722" si="71">E659*60*1012/1000000</f>
        <v>0.14530440198903577</v>
      </c>
      <c r="G659" s="67">
        <f>E659/'Lookup Tables'!$C$48</f>
        <v>4.7860474963450512</v>
      </c>
      <c r="H659" s="70">
        <f t="shared" si="68"/>
        <v>6.0628034431665142E-4</v>
      </c>
      <c r="I659" s="71">
        <f t="shared" ref="I659:I722" si="72">G659*60*24/1000000</f>
        <v>6.8919083947368747E-3</v>
      </c>
      <c r="L659" s="74"/>
      <c r="M659" s="74"/>
      <c r="N659" s="74"/>
      <c r="O659" s="74"/>
      <c r="P659" s="74"/>
      <c r="Q659" s="74"/>
      <c r="R659" s="74"/>
      <c r="S659" s="74"/>
      <c r="T659" s="74"/>
      <c r="U659" s="74"/>
      <c r="V659" s="74"/>
      <c r="W659" s="74"/>
      <c r="X659" s="74"/>
      <c r="Y659" s="74"/>
    </row>
    <row r="660" spans="1:25" x14ac:dyDescent="0.3">
      <c r="A660" s="66">
        <f t="shared" si="70"/>
        <v>2055.2999999999406</v>
      </c>
      <c r="B660" s="67">
        <f>LOOKUP(A660+0.01,AmountsB!$A$4:$A$103,AmountsB!$B$4:$B$103)*0.1*$A$2</f>
        <v>0</v>
      </c>
      <c r="C660" s="68">
        <f t="shared" si="69"/>
        <v>2074573.74105891</v>
      </c>
      <c r="D660" s="67">
        <f t="array" ref="D660">SUM($B$7:$B655*$F$1009*EXP(-$F$1009*($A660-$A$7:$A655)))*$F$1010</f>
        <v>1237799.1683302424</v>
      </c>
      <c r="E660" s="67">
        <f t="shared" si="67"/>
        <v>2.3597548414356662</v>
      </c>
      <c r="F660" s="70">
        <f t="shared" si="71"/>
        <v>0.14328431397197364</v>
      </c>
      <c r="G660" s="67">
        <f>E660/'Lookup Tables'!$C$48</f>
        <v>4.7195096828713323</v>
      </c>
      <c r="H660" s="70">
        <f t="shared" si="68"/>
        <v>5.9785155866549965E-4</v>
      </c>
      <c r="I660" s="71">
        <f t="shared" si="72"/>
        <v>6.7960939433347181E-3</v>
      </c>
      <c r="L660" s="74"/>
      <c r="M660" s="74"/>
      <c r="N660" s="74"/>
      <c r="O660" s="74"/>
      <c r="P660" s="74"/>
      <c r="Q660" s="74"/>
      <c r="R660" s="74"/>
      <c r="S660" s="74"/>
      <c r="T660" s="74"/>
      <c r="U660" s="74"/>
      <c r="V660" s="74"/>
      <c r="W660" s="74"/>
      <c r="X660" s="74"/>
      <c r="Y660" s="74"/>
    </row>
    <row r="661" spans="1:25" x14ac:dyDescent="0.3">
      <c r="A661" s="66">
        <f t="shared" si="70"/>
        <v>2055.3999999999405</v>
      </c>
      <c r="B661" s="67">
        <f>LOOKUP(A661+0.01,AmountsB!$A$4:$A$103,AmountsB!$B$4:$B$103)*0.1*$A$2</f>
        <v>0</v>
      </c>
      <c r="C661" s="68">
        <f t="shared" si="69"/>
        <v>2074573.74105891</v>
      </c>
      <c r="D661" s="67">
        <f t="array" ref="D661">SUM($B$7:$B656*$F$1009*EXP(-$F$1009*($A661-$A$7:$A656)))*$F$1010</f>
        <v>1220590.7201810807</v>
      </c>
      <c r="E661" s="67">
        <f t="shared" si="67"/>
        <v>2.3269484542021401</v>
      </c>
      <c r="F661" s="70">
        <f t="shared" si="71"/>
        <v>0.14129231013915397</v>
      </c>
      <c r="G661" s="67">
        <f>E661/'Lookup Tables'!$C$48</f>
        <v>4.6538969084042803</v>
      </c>
      <c r="H661" s="70">
        <f t="shared" si="68"/>
        <v>5.8953995383378142E-4</v>
      </c>
      <c r="I661" s="71">
        <f t="shared" si="72"/>
        <v>6.701611548102164E-3</v>
      </c>
      <c r="L661" s="74"/>
      <c r="M661" s="74"/>
      <c r="N661" s="74"/>
      <c r="O661" s="74"/>
      <c r="P661" s="74"/>
      <c r="Q661" s="74"/>
      <c r="R661" s="74"/>
      <c r="S661" s="74"/>
      <c r="T661" s="74"/>
      <c r="U661" s="74"/>
      <c r="V661" s="74"/>
      <c r="W661" s="74"/>
      <c r="X661" s="74"/>
      <c r="Y661" s="74"/>
    </row>
    <row r="662" spans="1:25" x14ac:dyDescent="0.3">
      <c r="A662" s="66">
        <f t="shared" si="70"/>
        <v>2055.4999999999404</v>
      </c>
      <c r="B662" s="67">
        <f>LOOKUP(A662+0.01,AmountsB!$A$4:$A$103,AmountsB!$B$4:$B$103)*0.1*$A$2</f>
        <v>0</v>
      </c>
      <c r="C662" s="68">
        <f t="shared" si="69"/>
        <v>2074573.74105891</v>
      </c>
      <c r="D662" s="67">
        <f t="array" ref="D662">SUM($B$7:$B657*$F$1009*EXP(-$F$1009*($A662-$A$7:$A657)))*$F$1010</f>
        <v>1203621.5117206166</v>
      </c>
      <c r="E662" s="67">
        <f t="shared" si="67"/>
        <v>2.2945981563150211</v>
      </c>
      <c r="F662" s="70">
        <f t="shared" si="71"/>
        <v>0.1393280000514481</v>
      </c>
      <c r="G662" s="67">
        <f>E662/'Lookup Tables'!$C$48</f>
        <v>4.5891963126300421</v>
      </c>
      <c r="H662" s="70">
        <f t="shared" si="68"/>
        <v>5.813439007203399E-4</v>
      </c>
      <c r="I662" s="71">
        <f t="shared" si="72"/>
        <v>6.6084426901872615E-3</v>
      </c>
      <c r="L662" s="74"/>
      <c r="M662" s="74"/>
      <c r="N662" s="74"/>
      <c r="O662" s="74"/>
      <c r="P662" s="74"/>
      <c r="Q662" s="74"/>
      <c r="R662" s="74"/>
      <c r="S662" s="74"/>
      <c r="T662" s="74"/>
      <c r="U662" s="74"/>
      <c r="V662" s="74"/>
      <c r="W662" s="74"/>
      <c r="X662" s="74"/>
      <c r="Y662" s="74"/>
    </row>
    <row r="663" spans="1:25" x14ac:dyDescent="0.3">
      <c r="A663" s="66">
        <f t="shared" si="70"/>
        <v>2055.5999999999403</v>
      </c>
      <c r="B663" s="67">
        <f>LOOKUP(A663+0.01,AmountsB!$A$4:$A$103,AmountsB!$B$4:$B$103)*0.1*$A$2</f>
        <v>0</v>
      </c>
      <c r="C663" s="68">
        <f t="shared" si="69"/>
        <v>2074573.74105891</v>
      </c>
      <c r="D663" s="67">
        <f t="array" ref="D663">SUM($B$7:$B658*$F$1009*EXP(-$F$1009*($A663-$A$7:$A658)))*$F$1010</f>
        <v>1186888.2169296683</v>
      </c>
      <c r="E663" s="67">
        <f t="shared" si="67"/>
        <v>2.262697607012361</v>
      </c>
      <c r="F663" s="70">
        <f t="shared" si="71"/>
        <v>0.13739099869779056</v>
      </c>
      <c r="G663" s="67">
        <f>E663/'Lookup Tables'!$C$48</f>
        <v>4.525395214024722</v>
      </c>
      <c r="H663" s="70">
        <f t="shared" si="68"/>
        <v>5.7326179287252722E-4</v>
      </c>
      <c r="I663" s="71">
        <f t="shared" si="72"/>
        <v>6.516569108195599E-3</v>
      </c>
      <c r="L663" s="74"/>
      <c r="M663" s="74"/>
      <c r="N663" s="74"/>
      <c r="O663" s="74"/>
      <c r="P663" s="74"/>
      <c r="Q663" s="74"/>
      <c r="R663" s="74"/>
      <c r="S663" s="74"/>
      <c r="T663" s="74"/>
      <c r="U663" s="74"/>
      <c r="V663" s="74"/>
      <c r="W663" s="74"/>
      <c r="X663" s="74"/>
      <c r="Y663" s="74"/>
    </row>
    <row r="664" spans="1:25" x14ac:dyDescent="0.3">
      <c r="A664" s="66">
        <f t="shared" si="70"/>
        <v>2055.6999999999402</v>
      </c>
      <c r="B664" s="67">
        <f>LOOKUP(A664+0.01,AmountsB!$A$4:$A$103,AmountsB!$B$4:$B$103)*0.1*$A$2</f>
        <v>0</v>
      </c>
      <c r="C664" s="68">
        <f t="shared" si="69"/>
        <v>2074573.74105891</v>
      </c>
      <c r="D664" s="67">
        <f t="array" ref="D664">SUM($B$7:$B659*$F$1009*EXP(-$F$1009*($A664-$A$7:$A659)))*$F$1010</f>
        <v>1170387.5560288883</v>
      </c>
      <c r="E664" s="67">
        <f t="shared" si="67"/>
        <v>2.2312405536843731</v>
      </c>
      <c r="F664" s="70">
        <f t="shared" si="71"/>
        <v>0.13548092641971513</v>
      </c>
      <c r="G664" s="67">
        <f>E664/'Lookup Tables'!$C$48</f>
        <v>4.4624811073687463</v>
      </c>
      <c r="H664" s="70">
        <f t="shared" si="68"/>
        <v>5.6529204617133207E-4</v>
      </c>
      <c r="I664" s="71">
        <f t="shared" si="72"/>
        <v>6.4259727946109945E-3</v>
      </c>
      <c r="L664" s="74"/>
      <c r="M664" s="74"/>
      <c r="N664" s="74"/>
      <c r="O664" s="74"/>
      <c r="P664" s="74"/>
      <c r="Q664" s="74"/>
      <c r="R664" s="74"/>
      <c r="S664" s="74"/>
      <c r="T664" s="74"/>
      <c r="U664" s="74"/>
      <c r="V664" s="74"/>
      <c r="W664" s="74"/>
      <c r="X664" s="74"/>
      <c r="Y664" s="74"/>
    </row>
    <row r="665" spans="1:25" x14ac:dyDescent="0.3">
      <c r="A665" s="66">
        <f t="shared" si="70"/>
        <v>2055.7999999999402</v>
      </c>
      <c r="B665" s="67">
        <f>LOOKUP(A665+0.01,AmountsB!$A$4:$A$103,AmountsB!$B$4:$B$103)*0.1*$A$2</f>
        <v>0</v>
      </c>
      <c r="C665" s="68">
        <f t="shared" si="69"/>
        <v>2074573.74105891</v>
      </c>
      <c r="D665" s="67">
        <f t="array" ref="D665">SUM($B$7:$B660*$F$1009*EXP(-$F$1009*($A665-$A$7:$A660)))*$F$1010</f>
        <v>1154116.2948359139</v>
      </c>
      <c r="E665" s="67">
        <f t="shared" si="67"/>
        <v>2.2002208306478961</v>
      </c>
      <c r="F665" s="70">
        <f t="shared" si="71"/>
        <v>0.13359740883694027</v>
      </c>
      <c r="G665" s="67">
        <f>E665/'Lookup Tables'!$C$48</f>
        <v>4.4004416612957922</v>
      </c>
      <c r="H665" s="70">
        <f t="shared" si="68"/>
        <v>5.5743309852088598E-4</v>
      </c>
      <c r="I665" s="71">
        <f t="shared" si="72"/>
        <v>6.3366359922659415E-3</v>
      </c>
      <c r="L665" s="74"/>
      <c r="M665" s="74"/>
      <c r="N665" s="74"/>
      <c r="O665" s="74"/>
      <c r="P665" s="74"/>
      <c r="Q665" s="74"/>
      <c r="R665" s="74"/>
      <c r="S665" s="74"/>
      <c r="T665" s="74"/>
      <c r="U665" s="74"/>
      <c r="V665" s="74"/>
      <c r="W665" s="74"/>
      <c r="X665" s="74"/>
      <c r="Y665" s="74"/>
    </row>
    <row r="666" spans="1:25" x14ac:dyDescent="0.3">
      <c r="A666" s="66">
        <f t="shared" si="70"/>
        <v>2055.8999999999401</v>
      </c>
      <c r="B666" s="67">
        <f>LOOKUP(A666+0.01,AmountsB!$A$4:$A$103,AmountsB!$B$4:$B$103)*0.1*$A$2</f>
        <v>0</v>
      </c>
      <c r="C666" s="68">
        <f t="shared" si="69"/>
        <v>2074573.74105891</v>
      </c>
      <c r="D666" s="67">
        <f t="array" ref="D666">SUM($B$7:$B661*$F$1009*EXP(-$F$1009*($A666-$A$7:$A661)))*$F$1010</f>
        <v>1138071.2441314624</v>
      </c>
      <c r="E666" s="67">
        <f t="shared" si="67"/>
        <v>2.1696323579379122</v>
      </c>
      <c r="F666" s="70">
        <f t="shared" si="71"/>
        <v>0.13174007677399002</v>
      </c>
      <c r="G666" s="67">
        <f>E666/'Lookup Tables'!$C$48</f>
        <v>4.3392647158758244</v>
      </c>
      <c r="H666" s="70">
        <f t="shared" si="68"/>
        <v>5.4968340954229052E-4</v>
      </c>
      <c r="I666" s="71">
        <f t="shared" si="72"/>
        <v>6.2485411908611869E-3</v>
      </c>
      <c r="L666" s="74"/>
      <c r="M666" s="74"/>
      <c r="N666" s="74"/>
      <c r="O666" s="74"/>
      <c r="P666" s="74"/>
      <c r="Q666" s="74"/>
      <c r="R666" s="74"/>
      <c r="S666" s="74"/>
      <c r="T666" s="74"/>
      <c r="U666" s="74"/>
      <c r="V666" s="74"/>
      <c r="W666" s="74"/>
      <c r="X666" s="74"/>
      <c r="Y666" s="74"/>
    </row>
    <row r="667" spans="1:25" x14ac:dyDescent="0.3">
      <c r="A667" s="66">
        <f t="shared" si="70"/>
        <v>2055.99999999994</v>
      </c>
      <c r="B667" s="67">
        <f>LOOKUP(A667+0.01,AmountsB!$A$4:$A$103,AmountsB!$B$4:$B$103)*0.1*$A$2</f>
        <v>0</v>
      </c>
      <c r="C667" s="68">
        <f t="shared" si="69"/>
        <v>2074573.74105891</v>
      </c>
      <c r="D667" s="67">
        <f t="array" ref="D667">SUM($B$7:$B662*$F$1009*EXP(-$F$1009*($A667-$A$7:$A662)))*$F$1010</f>
        <v>1122249.2590342294</v>
      </c>
      <c r="E667" s="67">
        <f t="shared" si="67"/>
        <v>2.1394691401158452</v>
      </c>
      <c r="F667" s="70">
        <f t="shared" si="71"/>
        <v>0.12990856618783414</v>
      </c>
      <c r="G667" s="67">
        <f>E667/'Lookup Tables'!$C$48</f>
        <v>4.2789382802316904</v>
      </c>
      <c r="H667" s="70">
        <f t="shared" si="68"/>
        <v>5.4204146027169667E-4</v>
      </c>
      <c r="I667" s="71">
        <f t="shared" si="72"/>
        <v>6.1616711235336352E-3</v>
      </c>
      <c r="L667" s="74"/>
      <c r="M667" s="74"/>
      <c r="N667" s="74"/>
      <c r="O667" s="74"/>
      <c r="P667" s="74"/>
      <c r="Q667" s="74"/>
      <c r="R667" s="74"/>
      <c r="S667" s="74"/>
      <c r="T667" s="74"/>
      <c r="U667" s="74"/>
      <c r="V667" s="74"/>
      <c r="W667" s="74"/>
      <c r="X667" s="74"/>
      <c r="Y667" s="74"/>
    </row>
    <row r="668" spans="1:25" x14ac:dyDescent="0.3">
      <c r="A668" s="66">
        <f t="shared" si="70"/>
        <v>2056.0999999999399</v>
      </c>
      <c r="B668" s="67">
        <f>LOOKUP(A668+0.01,AmountsB!$A$4:$A$103,AmountsB!$B$4:$B$103)*0.1*$A$2</f>
        <v>0</v>
      </c>
      <c r="C668" s="68">
        <f t="shared" si="69"/>
        <v>2074573.74105891</v>
      </c>
      <c r="D668" s="67">
        <f t="array" ref="D668">SUM($B$7:$B663*$F$1009*EXP(-$F$1009*($A668-$A$7:$A663)))*$F$1010</f>
        <v>1106647.2383844841</v>
      </c>
      <c r="E668" s="67">
        <f t="shared" si="67"/>
        <v>2.1097252650944385</v>
      </c>
      <c r="F668" s="70">
        <f t="shared" si="71"/>
        <v>0.12810251809653431</v>
      </c>
      <c r="G668" s="67">
        <f>E668/'Lookup Tables'!$C$48</f>
        <v>4.2194505301888769</v>
      </c>
      <c r="H668" s="70">
        <f t="shared" si="68"/>
        <v>5.3450575286258229E-4</v>
      </c>
      <c r="I668" s="71">
        <f t="shared" si="72"/>
        <v>6.0760087634719817E-3</v>
      </c>
      <c r="L668" s="74"/>
      <c r="M668" s="74"/>
      <c r="N668" s="74"/>
      <c r="O668" s="74"/>
      <c r="P668" s="74"/>
      <c r="Q668" s="74"/>
      <c r="R668" s="74"/>
      <c r="S668" s="74"/>
      <c r="T668" s="74"/>
      <c r="U668" s="74"/>
      <c r="V668" s="74"/>
      <c r="W668" s="74"/>
      <c r="X668" s="74"/>
      <c r="Y668" s="74"/>
    </row>
    <row r="669" spans="1:25" x14ac:dyDescent="0.3">
      <c r="A669" s="66">
        <f t="shared" si="70"/>
        <v>2056.1999999999398</v>
      </c>
      <c r="B669" s="67">
        <f>LOOKUP(A669+0.01,AmountsB!$A$4:$A$103,AmountsB!$B$4:$B$103)*0.1*$A$2</f>
        <v>0</v>
      </c>
      <c r="C669" s="68">
        <f t="shared" si="69"/>
        <v>2074573.74105891</v>
      </c>
      <c r="D669" s="67">
        <f t="array" ref="D669">SUM($B$7:$B664*$F$1009*EXP(-$F$1009*($A669-$A$7:$A664)))*$F$1010</f>
        <v>1091262.1241362316</v>
      </c>
      <c r="E669" s="67">
        <f t="shared" si="67"/>
        <v>2.0803949029789677</v>
      </c>
      <c r="F669" s="70">
        <f t="shared" si="71"/>
        <v>0.12632157850888293</v>
      </c>
      <c r="G669" s="67">
        <f>E669/'Lookup Tables'!$C$48</f>
        <v>4.1607898059579354</v>
      </c>
      <c r="H669" s="70">
        <f t="shared" si="68"/>
        <v>5.2707481029217146E-4</v>
      </c>
      <c r="I669" s="71">
        <f t="shared" si="72"/>
        <v>5.9915373205794275E-3</v>
      </c>
      <c r="L669" s="74"/>
      <c r="M669" s="74"/>
      <c r="N669" s="74"/>
      <c r="O669" s="74"/>
      <c r="P669" s="74"/>
      <c r="Q669" s="74"/>
      <c r="R669" s="74"/>
      <c r="S669" s="74"/>
      <c r="T669" s="74"/>
      <c r="U669" s="74"/>
      <c r="V669" s="74"/>
      <c r="W669" s="74"/>
      <c r="X669" s="74"/>
      <c r="Y669" s="74"/>
    </row>
    <row r="670" spans="1:25" x14ac:dyDescent="0.3">
      <c r="A670" s="66">
        <f t="shared" si="70"/>
        <v>2056.2999999999397</v>
      </c>
      <c r="B670" s="67">
        <f>LOOKUP(A670+0.01,AmountsB!$A$4:$A$103,AmountsB!$B$4:$B$103)*0.1*$A$2</f>
        <v>0</v>
      </c>
      <c r="C670" s="68">
        <f t="shared" si="69"/>
        <v>2074573.74105891</v>
      </c>
      <c r="D670" s="67">
        <f t="array" ref="D670">SUM($B$7:$B665*$F$1009*EXP(-$F$1009*($A670-$A$7:$A665)))*$F$1010</f>
        <v>1076090.9007578259</v>
      </c>
      <c r="E670" s="67">
        <f t="shared" si="67"/>
        <v>2.0514723049245607</v>
      </c>
      <c r="F670" s="70">
        <f t="shared" si="71"/>
        <v>0.12456539835501934</v>
      </c>
      <c r="G670" s="67">
        <f>E670/'Lookup Tables'!$C$48</f>
        <v>4.1029446098491213</v>
      </c>
      <c r="H670" s="70">
        <f t="shared" si="68"/>
        <v>5.1974717607193067E-4</v>
      </c>
      <c r="I670" s="71">
        <f t="shared" si="72"/>
        <v>5.9082402381827352E-3</v>
      </c>
      <c r="L670" s="74"/>
      <c r="M670" s="74"/>
      <c r="N670" s="74"/>
      <c r="O670" s="74"/>
      <c r="P670" s="74"/>
      <c r="Q670" s="74"/>
      <c r="R670" s="74"/>
      <c r="S670" s="74"/>
      <c r="T670" s="74"/>
      <c r="U670" s="74"/>
      <c r="V670" s="74"/>
      <c r="W670" s="74"/>
      <c r="X670" s="74"/>
      <c r="Y670" s="74"/>
    </row>
    <row r="671" spans="1:25" x14ac:dyDescent="0.3">
      <c r="A671" s="66">
        <f t="shared" si="70"/>
        <v>2056.3999999999396</v>
      </c>
      <c r="B671" s="67">
        <f>LOOKUP(A671+0.01,AmountsB!$A$4:$A$103,AmountsB!$B$4:$B$103)*0.1*$A$2</f>
        <v>0</v>
      </c>
      <c r="C671" s="68">
        <f t="shared" si="69"/>
        <v>2074573.74105891</v>
      </c>
      <c r="D671" s="67">
        <f t="array" ref="D671">SUM($B$7:$B666*$F$1009*EXP(-$F$1009*($A671-$A$7:$A666)))*$F$1010</f>
        <v>1061130.5946409167</v>
      </c>
      <c r="E671" s="67">
        <f t="shared" si="67"/>
        <v>2.0229518020094082</v>
      </c>
      <c r="F671" s="70">
        <f t="shared" si="71"/>
        <v>0.12283363341801126</v>
      </c>
      <c r="G671" s="67">
        <f>E671/'Lookup Tables'!$C$48</f>
        <v>4.0459036040188163</v>
      </c>
      <c r="H671" s="70">
        <f t="shared" si="68"/>
        <v>5.1252141396209458E-4</v>
      </c>
      <c r="I671" s="71">
        <f t="shared" si="72"/>
        <v>5.826101189787096E-3</v>
      </c>
      <c r="L671" s="74"/>
      <c r="M671" s="74"/>
      <c r="N671" s="74"/>
      <c r="O671" s="74"/>
      <c r="P671" s="74"/>
      <c r="Q671" s="74"/>
      <c r="R671" s="74"/>
      <c r="S671" s="74"/>
      <c r="T671" s="74"/>
      <c r="U671" s="74"/>
      <c r="V671" s="74"/>
      <c r="W671" s="74"/>
      <c r="X671" s="74"/>
      <c r="Y671" s="74"/>
    </row>
    <row r="672" spans="1:25" x14ac:dyDescent="0.3">
      <c r="A672" s="66">
        <f t="shared" si="70"/>
        <v>2056.4999999999395</v>
      </c>
      <c r="B672" s="67">
        <f>LOOKUP(A672+0.01,AmountsB!$A$4:$A$103,AmountsB!$B$4:$B$103)*0.1*$A$2</f>
        <v>0</v>
      </c>
      <c r="C672" s="68">
        <f t="shared" si="69"/>
        <v>2074573.74105891</v>
      </c>
      <c r="D672" s="67">
        <f t="array" ref="D672">SUM($B$7:$B667*$F$1009*EXP(-$F$1009*($A672-$A$7:$A667)))*$F$1010</f>
        <v>1046378.2735176116</v>
      </c>
      <c r="E672" s="67">
        <f t="shared" si="67"/>
        <v>1.994827804123634</v>
      </c>
      <c r="F672" s="70">
        <f t="shared" si="71"/>
        <v>0.12112594426638706</v>
      </c>
      <c r="G672" s="67">
        <f>E672/'Lookup Tables'!$C$48</f>
        <v>3.9896556082472681</v>
      </c>
      <c r="H672" s="70">
        <f t="shared" si="68"/>
        <v>5.0539610769015765E-4</v>
      </c>
      <c r="I672" s="71">
        <f t="shared" si="72"/>
        <v>5.7451040758760667E-3</v>
      </c>
      <c r="L672" s="74"/>
      <c r="M672" s="74"/>
      <c r="N672" s="74"/>
      <c r="O672" s="74"/>
      <c r="P672" s="74"/>
      <c r="Q672" s="74"/>
      <c r="R672" s="74"/>
      <c r="S672" s="74"/>
      <c r="T672" s="74"/>
      <c r="U672" s="74"/>
      <c r="V672" s="74"/>
      <c r="W672" s="74"/>
      <c r="X672" s="74"/>
      <c r="Y672" s="74"/>
    </row>
    <row r="673" spans="1:25" x14ac:dyDescent="0.3">
      <c r="A673" s="66">
        <f t="shared" si="70"/>
        <v>2056.5999999999394</v>
      </c>
      <c r="B673" s="67">
        <f>LOOKUP(A673+0.01,AmountsB!$A$4:$A$103,AmountsB!$B$4:$B$103)*0.1*$A$2</f>
        <v>0</v>
      </c>
      <c r="C673" s="68">
        <f t="shared" si="69"/>
        <v>2074573.74105891</v>
      </c>
      <c r="D673" s="67">
        <f t="array" ref="D673">SUM($B$7:$B668*$F$1009*EXP(-$F$1009*($A673-$A$7:$A668)))*$F$1010</f>
        <v>1031831.0458857435</v>
      </c>
      <c r="E673" s="67">
        <f t="shared" si="67"/>
        <v>1.9670947988736185</v>
      </c>
      <c r="F673" s="70">
        <f t="shared" si="71"/>
        <v>0.11944199618760612</v>
      </c>
      <c r="G673" s="67">
        <f>E673/'Lookup Tables'!$C$48</f>
        <v>3.934189597747237</v>
      </c>
      <c r="H673" s="70">
        <f t="shared" si="68"/>
        <v>4.9836986067327985E-4</v>
      </c>
      <c r="I673" s="71">
        <f t="shared" si="72"/>
        <v>5.6652330207560215E-3</v>
      </c>
      <c r="L673" s="74"/>
      <c r="M673" s="74"/>
      <c r="N673" s="74"/>
      <c r="O673" s="74"/>
      <c r="P673" s="74"/>
      <c r="Q673" s="74"/>
      <c r="R673" s="74"/>
      <c r="S673" s="74"/>
      <c r="T673" s="74"/>
      <c r="U673" s="74"/>
      <c r="V673" s="74"/>
      <c r="W673" s="74"/>
      <c r="X673" s="74"/>
      <c r="Y673" s="74"/>
    </row>
    <row r="674" spans="1:25" x14ac:dyDescent="0.3">
      <c r="A674" s="66">
        <f t="shared" si="70"/>
        <v>2056.6999999999393</v>
      </c>
      <c r="B674" s="67">
        <f>LOOKUP(A674+0.01,AmountsB!$A$4:$A$103,AmountsB!$B$4:$B$103)*0.1*$A$2</f>
        <v>0</v>
      </c>
      <c r="C674" s="68">
        <f t="shared" si="69"/>
        <v>2074573.74105891</v>
      </c>
      <c r="D674" s="67">
        <f t="array" ref="D674">SUM($B$7:$B669*$F$1009*EXP(-$F$1009*($A674-$A$7:$A669)))*$F$1010</f>
        <v>1017486.0604421247</v>
      </c>
      <c r="E674" s="67">
        <f t="shared" si="67"/>
        <v>1.9397473505015477</v>
      </c>
      <c r="F674" s="70">
        <f t="shared" si="71"/>
        <v>0.11778145912245398</v>
      </c>
      <c r="G674" s="67">
        <f>E674/'Lookup Tables'!$C$48</f>
        <v>3.8794947010030953</v>
      </c>
      <c r="H674" s="70">
        <f t="shared" si="68"/>
        <v>4.9144129574455202E-4</v>
      </c>
      <c r="I674" s="71">
        <f t="shared" si="72"/>
        <v>5.5864723694444571E-3</v>
      </c>
      <c r="L674" s="74"/>
      <c r="M674" s="74"/>
      <c r="N674" s="74"/>
      <c r="O674" s="74"/>
      <c r="P674" s="74"/>
      <c r="Q674" s="74"/>
      <c r="R674" s="74"/>
      <c r="S674" s="74"/>
      <c r="T674" s="74"/>
      <c r="U674" s="74"/>
      <c r="V674" s="74"/>
      <c r="W674" s="74"/>
      <c r="X674" s="74"/>
      <c r="Y674" s="74"/>
    </row>
    <row r="675" spans="1:25" x14ac:dyDescent="0.3">
      <c r="A675" s="66">
        <f t="shared" si="70"/>
        <v>2056.7999999999392</v>
      </c>
      <c r="B675" s="67">
        <f>LOOKUP(A675+0.01,AmountsB!$A$4:$A$103,AmountsB!$B$4:$B$103)*0.1*$A$2</f>
        <v>0</v>
      </c>
      <c r="C675" s="68">
        <f t="shared" si="69"/>
        <v>2074573.74105891</v>
      </c>
      <c r="D675" s="67">
        <f t="array" ref="D675">SUM($B$7:$B670*$F$1009*EXP(-$F$1009*($A675-$A$7:$A670)))*$F$1010</f>
        <v>1003340.5055236859</v>
      </c>
      <c r="E675" s="67">
        <f t="shared" si="67"/>
        <v>1.9127800988199937</v>
      </c>
      <c r="F675" s="70">
        <f t="shared" si="71"/>
        <v>0.11614400760035001</v>
      </c>
      <c r="G675" s="67">
        <f>E675/'Lookup Tables'!$C$48</f>
        <v>3.8255601976399873</v>
      </c>
      <c r="H675" s="70">
        <f t="shared" si="68"/>
        <v>4.8460905488306781E-4</v>
      </c>
      <c r="I675" s="71">
        <f t="shared" si="72"/>
        <v>5.5088066846015818E-3</v>
      </c>
      <c r="L675" s="74"/>
      <c r="M675" s="74"/>
      <c r="N675" s="74"/>
      <c r="O675" s="74"/>
      <c r="P675" s="74"/>
      <c r="Q675" s="74"/>
      <c r="R675" s="74"/>
      <c r="S675" s="74"/>
      <c r="T675" s="74"/>
      <c r="U675" s="74"/>
      <c r="V675" s="74"/>
      <c r="W675" s="74"/>
      <c r="X675" s="74"/>
      <c r="Y675" s="74"/>
    </row>
    <row r="676" spans="1:25" x14ac:dyDescent="0.3">
      <c r="A676" s="66">
        <f t="shared" si="70"/>
        <v>2056.8999999999392</v>
      </c>
      <c r="B676" s="67">
        <f>LOOKUP(A676+0.01,AmountsB!$A$4:$A$103,AmountsB!$B$4:$B$103)*0.1*$A$2</f>
        <v>0</v>
      </c>
      <c r="C676" s="68">
        <f t="shared" si="69"/>
        <v>2074573.74105891</v>
      </c>
      <c r="D676" s="67">
        <f t="array" ref="D676">SUM($B$7:$B671*$F$1009*EXP(-$F$1009*($A676-$A$7:$A671)))*$F$1010</f>
        <v>989391.6085563777</v>
      </c>
      <c r="E676" s="67">
        <f t="shared" si="67"/>
        <v>1.8861877581612938</v>
      </c>
      <c r="F676" s="70">
        <f t="shared" si="71"/>
        <v>0.11452932067555376</v>
      </c>
      <c r="G676" s="67">
        <f>E676/'Lookup Tables'!$C$48</f>
        <v>3.7723755163225876</v>
      </c>
      <c r="H676" s="70">
        <f t="shared" si="68"/>
        <v>4.7787179894774563E-4</v>
      </c>
      <c r="I676" s="71">
        <f t="shared" si="72"/>
        <v>5.4322207435045259E-3</v>
      </c>
      <c r="L676" s="74"/>
      <c r="M676" s="74"/>
      <c r="N676" s="74"/>
      <c r="O676" s="74"/>
      <c r="P676" s="74"/>
      <c r="Q676" s="74"/>
      <c r="R676" s="74"/>
      <c r="S676" s="74"/>
      <c r="T676" s="74"/>
      <c r="U676" s="74"/>
      <c r="V676" s="74"/>
      <c r="W676" s="74"/>
      <c r="X676" s="74"/>
      <c r="Y676" s="74"/>
    </row>
    <row r="677" spans="1:25" x14ac:dyDescent="0.3">
      <c r="A677" s="66">
        <f t="shared" si="70"/>
        <v>2056.9999999999391</v>
      </c>
      <c r="B677" s="67">
        <f>LOOKUP(A677+0.01,AmountsB!$A$4:$A$103,AmountsB!$B$4:$B$103)*0.1*$A$2</f>
        <v>0</v>
      </c>
      <c r="C677" s="68">
        <f t="shared" si="69"/>
        <v>2074573.74105891</v>
      </c>
      <c r="D677" s="67">
        <f t="array" ref="D677">SUM($B$7:$B672*$F$1009*EXP(-$F$1009*($A677-$A$7:$A672)))*$F$1010</f>
        <v>975636.63551173953</v>
      </c>
      <c r="E677" s="67">
        <f t="shared" si="67"/>
        <v>1.8599651163415489</v>
      </c>
      <c r="F677" s="70">
        <f t="shared" si="71"/>
        <v>0.11293708186425885</v>
      </c>
      <c r="G677" s="67">
        <f>E677/'Lookup Tables'!$C$48</f>
        <v>3.7199302326830979</v>
      </c>
      <c r="H677" s="70">
        <f t="shared" si="68"/>
        <v>4.7122820741485414E-4</v>
      </c>
      <c r="I677" s="71">
        <f t="shared" si="72"/>
        <v>5.3566995350636604E-3</v>
      </c>
      <c r="L677" s="74"/>
      <c r="M677" s="74"/>
      <c r="N677" s="74"/>
      <c r="O677" s="74"/>
      <c r="P677" s="74"/>
      <c r="Q677" s="74"/>
      <c r="R677" s="74"/>
      <c r="S677" s="74"/>
      <c r="T677" s="74"/>
      <c r="U677" s="74"/>
      <c r="V677" s="74"/>
      <c r="W677" s="74"/>
      <c r="X677" s="74"/>
      <c r="Y677" s="74"/>
    </row>
    <row r="678" spans="1:25" x14ac:dyDescent="0.3">
      <c r="A678" s="66">
        <f t="shared" si="70"/>
        <v>2057.099999999939</v>
      </c>
      <c r="B678" s="67">
        <f>LOOKUP(A678+0.01,AmountsB!$A$4:$A$103,AmountsB!$B$4:$B$103)*0.1*$A$2</f>
        <v>0</v>
      </c>
      <c r="C678" s="68">
        <f t="shared" si="69"/>
        <v>2074573.74105891</v>
      </c>
      <c r="D678" s="67">
        <f t="array" ref="D678">SUM($B$7:$B673*$F$1009*EXP(-$F$1009*($A678-$A$7:$A673)))*$F$1010</f>
        <v>962072.89037101925</v>
      </c>
      <c r="E678" s="67">
        <f t="shared" si="67"/>
        <v>1.8341070336390126</v>
      </c>
      <c r="F678" s="70">
        <f t="shared" si="71"/>
        <v>0.11136697908256085</v>
      </c>
      <c r="G678" s="67">
        <f>E678/'Lookup Tables'!$C$48</f>
        <v>3.6682140672780252</v>
      </c>
      <c r="H678" s="70">
        <f t="shared" si="68"/>
        <v>4.6467697811918408E-4</v>
      </c>
      <c r="I678" s="71">
        <f t="shared" si="72"/>
        <v>5.2822282568803563E-3</v>
      </c>
      <c r="L678" s="74"/>
      <c r="M678" s="74"/>
      <c r="N678" s="74"/>
      <c r="O678" s="74"/>
      <c r="P678" s="74"/>
      <c r="Q678" s="74"/>
      <c r="R678" s="74"/>
      <c r="S678" s="74"/>
      <c r="T678" s="74"/>
      <c r="U678" s="74"/>
      <c r="V678" s="74"/>
      <c r="W678" s="74"/>
      <c r="X678" s="74"/>
      <c r="Y678" s="74"/>
    </row>
    <row r="679" spans="1:25" x14ac:dyDescent="0.3">
      <c r="A679" s="66">
        <f t="shared" si="70"/>
        <v>2057.1999999999389</v>
      </c>
      <c r="B679" s="67">
        <f>LOOKUP(A679+0.01,AmountsB!$A$4:$A$103,AmountsB!$B$4:$B$103)*0.1*$A$2</f>
        <v>0</v>
      </c>
      <c r="C679" s="68">
        <f t="shared" si="69"/>
        <v>2074573.74105891</v>
      </c>
      <c r="D679" s="67">
        <f t="array" ref="D679">SUM($B$7:$B674*$F$1009*EXP(-$F$1009*($A679-$A$7:$A674)))*$F$1010</f>
        <v>948697.714596748</v>
      </c>
      <c r="E679" s="67">
        <f t="shared" si="67"/>
        <v>1.8086084417866961</v>
      </c>
      <c r="F679" s="70">
        <f t="shared" si="71"/>
        <v>0.10981870458528818</v>
      </c>
      <c r="G679" s="67">
        <f>E679/'Lookup Tables'!$C$48</f>
        <v>3.6172168835733922</v>
      </c>
      <c r="H679" s="70">
        <f t="shared" si="68"/>
        <v>4.5821682699882099E-4</v>
      </c>
      <c r="I679" s="71">
        <f t="shared" si="72"/>
        <v>5.2087923123456852E-3</v>
      </c>
      <c r="L679" s="74"/>
      <c r="M679" s="74"/>
      <c r="N679" s="74"/>
      <c r="O679" s="74"/>
      <c r="P679" s="74"/>
      <c r="Q679" s="74"/>
      <c r="R679" s="74"/>
      <c r="S679" s="74"/>
      <c r="T679" s="74"/>
      <c r="U679" s="74"/>
      <c r="V679" s="74"/>
      <c r="W679" s="74"/>
      <c r="X679" s="74"/>
      <c r="Y679" s="74"/>
    </row>
    <row r="680" spans="1:25" x14ac:dyDescent="0.3">
      <c r="A680" s="66">
        <f t="shared" si="70"/>
        <v>2057.2999999999388</v>
      </c>
      <c r="B680" s="67">
        <f>LOOKUP(A680+0.01,AmountsB!$A$4:$A$103,AmountsB!$B$4:$B$103)*0.1*$A$2</f>
        <v>0</v>
      </c>
      <c r="C680" s="68">
        <f t="shared" si="69"/>
        <v>2074573.74105891</v>
      </c>
      <c r="D680" s="67">
        <f t="array" ref="D680">SUM($B$7:$B675*$F$1009*EXP(-$F$1009*($A680-$A$7:$A675)))*$F$1010</f>
        <v>935508.48661165452</v>
      </c>
      <c r="E680" s="67">
        <f t="shared" si="67"/>
        <v>1.7834643429789649</v>
      </c>
      <c r="F680" s="70">
        <f t="shared" si="71"/>
        <v>0.10829195490568273</v>
      </c>
      <c r="G680" s="67">
        <f>E680/'Lookup Tables'!$C$48</f>
        <v>3.5669286859579299</v>
      </c>
      <c r="H680" s="70">
        <f t="shared" si="68"/>
        <v>4.518464878434637E-4</v>
      </c>
      <c r="I680" s="71">
        <f t="shared" si="72"/>
        <v>5.1363773077794184E-3</v>
      </c>
      <c r="L680" s="74"/>
      <c r="M680" s="74"/>
      <c r="N680" s="74"/>
      <c r="O680" s="74"/>
      <c r="P680" s="74"/>
      <c r="Q680" s="74"/>
      <c r="R680" s="74"/>
      <c r="S680" s="74"/>
      <c r="T680" s="74"/>
      <c r="U680" s="74"/>
      <c r="V680" s="74"/>
      <c r="W680" s="74"/>
      <c r="X680" s="74"/>
      <c r="Y680" s="74"/>
    </row>
    <row r="681" spans="1:25" x14ac:dyDescent="0.3">
      <c r="A681" s="66">
        <f t="shared" si="70"/>
        <v>2057.3999999999387</v>
      </c>
      <c r="B681" s="67">
        <f>LOOKUP(A681+0.01,AmountsB!$A$4:$A$103,AmountsB!$B$4:$B$103)*0.1*$A$2</f>
        <v>0</v>
      </c>
      <c r="C681" s="68">
        <f t="shared" si="69"/>
        <v>2074573.74105891</v>
      </c>
      <c r="D681" s="67">
        <f t="array" ref="D681">SUM($B$7:$B676*$F$1009*EXP(-$F$1009*($A681-$A$7:$A676)))*$F$1010</f>
        <v>922502.62128483073</v>
      </c>
      <c r="E681" s="67">
        <f t="shared" si="67"/>
        <v>1.7586698088919583</v>
      </c>
      <c r="F681" s="70">
        <f t="shared" si="71"/>
        <v>0.10678643079591971</v>
      </c>
      <c r="G681" s="67">
        <f>E681/'Lookup Tables'!$C$48</f>
        <v>3.5173396177839167</v>
      </c>
      <c r="H681" s="70">
        <f t="shared" si="68"/>
        <v>4.4556471204624436E-4</v>
      </c>
      <c r="I681" s="71">
        <f t="shared" si="72"/>
        <v>5.0649690496088395E-3</v>
      </c>
      <c r="L681" s="74"/>
      <c r="M681" s="74"/>
      <c r="N681" s="74"/>
      <c r="O681" s="74"/>
      <c r="P681" s="74"/>
      <c r="Q681" s="74"/>
      <c r="R681" s="74"/>
      <c r="S681" s="74"/>
      <c r="T681" s="74"/>
      <c r="U681" s="74"/>
      <c r="V681" s="74"/>
      <c r="W681" s="74"/>
      <c r="X681" s="74"/>
      <c r="Y681" s="74"/>
    </row>
    <row r="682" spans="1:25" x14ac:dyDescent="0.3">
      <c r="A682" s="66">
        <f t="shared" si="70"/>
        <v>2057.4999999999386</v>
      </c>
      <c r="B682" s="67">
        <f>LOOKUP(A682+0.01,AmountsB!$A$4:$A$103,AmountsB!$B$4:$B$103)*0.1*$A$2</f>
        <v>0</v>
      </c>
      <c r="C682" s="68">
        <f t="shared" si="69"/>
        <v>2074573.74105891</v>
      </c>
      <c r="D682" s="67">
        <f t="array" ref="D682">SUM($B$7:$B677*$F$1009*EXP(-$F$1009*($A682-$A$7:$A677)))*$F$1010</f>
        <v>909677.56942503597</v>
      </c>
      <c r="E682" s="67">
        <f t="shared" si="67"/>
        <v>1.7342199797176188</v>
      </c>
      <c r="F682" s="70">
        <f t="shared" si="71"/>
        <v>0.10530183716845382</v>
      </c>
      <c r="G682" s="67">
        <f>E682/'Lookup Tables'!$C$48</f>
        <v>3.4684399594352375</v>
      </c>
      <c r="H682" s="70">
        <f t="shared" si="68"/>
        <v>4.3937026835899634E-4</v>
      </c>
      <c r="I682" s="71">
        <f t="shared" si="72"/>
        <v>4.9945535415867413E-3</v>
      </c>
      <c r="L682" s="74"/>
      <c r="M682" s="74"/>
      <c r="N682" s="74"/>
      <c r="O682" s="74"/>
      <c r="P682" s="74"/>
      <c r="Q682" s="74"/>
      <c r="R682" s="74"/>
      <c r="S682" s="74"/>
      <c r="T682" s="74"/>
      <c r="U682" s="74"/>
      <c r="V682" s="74"/>
      <c r="W682" s="74"/>
      <c r="X682" s="74"/>
      <c r="Y682" s="74"/>
    </row>
    <row r="683" spans="1:25" x14ac:dyDescent="0.3">
      <c r="A683" s="66">
        <f t="shared" si="70"/>
        <v>2057.5999999999385</v>
      </c>
      <c r="B683" s="67">
        <f>LOOKUP(A683+0.01,AmountsB!$A$4:$A$103,AmountsB!$B$4:$B$103)*0.1*$A$2</f>
        <v>0</v>
      </c>
      <c r="C683" s="68">
        <f t="shared" si="69"/>
        <v>2074573.74105891</v>
      </c>
      <c r="D683" s="67">
        <f t="array" ref="D683">SUM($B$7:$B678*$F$1009*EXP(-$F$1009*($A683-$A$7:$A678)))*$F$1010</f>
        <v>897030.81728104851</v>
      </c>
      <c r="E683" s="67">
        <f t="shared" si="67"/>
        <v>1.7101100632111559</v>
      </c>
      <c r="F683" s="70">
        <f t="shared" si="71"/>
        <v>0.10383788303818138</v>
      </c>
      <c r="G683" s="67">
        <f>E683/'Lookup Tables'!$C$48</f>
        <v>3.4202201264223118</v>
      </c>
      <c r="H683" s="70">
        <f t="shared" si="68"/>
        <v>4.3326194265092639E-4</v>
      </c>
      <c r="I683" s="71">
        <f t="shared" si="72"/>
        <v>4.9251169820481279E-3</v>
      </c>
      <c r="L683" s="74"/>
      <c r="M683" s="74"/>
      <c r="N683" s="74"/>
      <c r="O683" s="74"/>
      <c r="P683" s="74"/>
      <c r="Q683" s="74"/>
      <c r="R683" s="74"/>
      <c r="S683" s="74"/>
      <c r="T683" s="74"/>
      <c r="U683" s="74"/>
      <c r="V683" s="74"/>
      <c r="W683" s="74"/>
      <c r="X683" s="74"/>
      <c r="Y683" s="74"/>
    </row>
    <row r="684" spans="1:25" x14ac:dyDescent="0.3">
      <c r="A684" s="66">
        <f t="shared" si="70"/>
        <v>2057.6999999999384</v>
      </c>
      <c r="B684" s="67">
        <f>LOOKUP(A684+0.01,AmountsB!$A$4:$A$103,AmountsB!$B$4:$B$103)*0.1*$A$2</f>
        <v>0</v>
      </c>
      <c r="C684" s="68">
        <f t="shared" si="69"/>
        <v>2074573.74105891</v>
      </c>
      <c r="D684" s="67">
        <f t="array" ref="D684">SUM($B$7:$B679*$F$1009*EXP(-$F$1009*($A684-$A$7:$A679)))*$F$1010</f>
        <v>884559.88604896108</v>
      </c>
      <c r="E684" s="67">
        <f t="shared" si="67"/>
        <v>1.6863353337517495</v>
      </c>
      <c r="F684" s="70">
        <f t="shared" si="71"/>
        <v>0.10239428146540622</v>
      </c>
      <c r="G684" s="67">
        <f>E684/'Lookup Tables'!$C$48</f>
        <v>3.372670667503499</v>
      </c>
      <c r="H684" s="70">
        <f t="shared" si="68"/>
        <v>4.2723853767064079E-4</v>
      </c>
      <c r="I684" s="71">
        <f t="shared" si="72"/>
        <v>4.856645761205038E-3</v>
      </c>
      <c r="L684" s="74"/>
      <c r="M684" s="74"/>
      <c r="N684" s="74"/>
      <c r="O684" s="74"/>
      <c r="P684" s="74"/>
      <c r="Q684" s="74"/>
      <c r="R684" s="74"/>
      <c r="S684" s="74"/>
      <c r="T684" s="74"/>
      <c r="U684" s="74"/>
      <c r="V684" s="74"/>
      <c r="W684" s="74"/>
      <c r="X684" s="74"/>
      <c r="Y684" s="74"/>
    </row>
    <row r="685" spans="1:25" x14ac:dyDescent="0.3">
      <c r="A685" s="66">
        <f t="shared" si="70"/>
        <v>2057.7999999999383</v>
      </c>
      <c r="B685" s="67">
        <f>LOOKUP(A685+0.01,AmountsB!$A$4:$A$103,AmountsB!$B$4:$B$103)*0.1*$A$2</f>
        <v>0</v>
      </c>
      <c r="C685" s="68">
        <f t="shared" si="69"/>
        <v>2074573.74105891</v>
      </c>
      <c r="D685" s="67">
        <f t="array" ref="D685">SUM($B$7:$B680*$F$1009*EXP(-$F$1009*($A685-$A$7:$A680)))*$F$1010</f>
        <v>872262.33138632867</v>
      </c>
      <c r="E685" s="67">
        <f t="shared" si="67"/>
        <v>1.6628911314163151</v>
      </c>
      <c r="F685" s="70">
        <f t="shared" si="71"/>
        <v>0.10097074949959865</v>
      </c>
      <c r="G685" s="67">
        <f>E685/'Lookup Tables'!$C$48</f>
        <v>3.3257822628326301</v>
      </c>
      <c r="H685" s="70">
        <f t="shared" si="68"/>
        <v>4.2129887281148055E-4</v>
      </c>
      <c r="I685" s="71">
        <f t="shared" si="72"/>
        <v>4.7891264584789869E-3</v>
      </c>
      <c r="L685" s="74"/>
      <c r="M685" s="74"/>
      <c r="N685" s="74"/>
      <c r="O685" s="74"/>
      <c r="P685" s="74"/>
      <c r="Q685" s="74"/>
      <c r="R685" s="74"/>
      <c r="S685" s="74"/>
      <c r="T685" s="74"/>
      <c r="U685" s="74"/>
      <c r="V685" s="74"/>
      <c r="W685" s="74"/>
      <c r="X685" s="74"/>
      <c r="Y685" s="74"/>
    </row>
    <row r="686" spans="1:25" x14ac:dyDescent="0.3">
      <c r="A686" s="66">
        <f t="shared" si="70"/>
        <v>2057.8999999999382</v>
      </c>
      <c r="B686" s="67">
        <f>LOOKUP(A686+0.01,AmountsB!$A$4:$A$103,AmountsB!$B$4:$B$103)*0.1*$A$2</f>
        <v>0</v>
      </c>
      <c r="C686" s="68">
        <f t="shared" si="69"/>
        <v>2074573.74105891</v>
      </c>
      <c r="D686" s="67">
        <f t="array" ref="D686">SUM($B$7:$B681*$F$1009*EXP(-$F$1009*($A686-$A$7:$A681)))*$F$1010</f>
        <v>860135.74293306842</v>
      </c>
      <c r="E686" s="67">
        <f t="shared" si="67"/>
        <v>1.6397728610661415</v>
      </c>
      <c r="F686" s="70">
        <f t="shared" si="71"/>
        <v>9.9567008123936124E-2</v>
      </c>
      <c r="G686" s="67">
        <f>E686/'Lookup Tables'!$C$48</f>
        <v>3.279545722132283</v>
      </c>
      <c r="H686" s="70">
        <f t="shared" si="68"/>
        <v>4.1544178388011816E-4</v>
      </c>
      <c r="I686" s="71">
        <f t="shared" si="72"/>
        <v>4.7225458398704881E-3</v>
      </c>
      <c r="L686" s="74"/>
      <c r="M686" s="74"/>
      <c r="N686" s="74"/>
      <c r="O686" s="74"/>
      <c r="P686" s="74"/>
      <c r="Q686" s="74"/>
      <c r="R686" s="74"/>
      <c r="S686" s="74"/>
      <c r="T686" s="74"/>
      <c r="U686" s="74"/>
      <c r="V686" s="74"/>
      <c r="W686" s="74"/>
      <c r="X686" s="74"/>
      <c r="Y686" s="74"/>
    </row>
    <row r="687" spans="1:25" x14ac:dyDescent="0.3">
      <c r="A687" s="66">
        <f t="shared" si="70"/>
        <v>2057.9999999999382</v>
      </c>
      <c r="B687" s="67">
        <f>LOOKUP(A687+0.01,AmountsB!$A$4:$A$103,AmountsB!$B$4:$B$103)*0.1*$A$2</f>
        <v>0</v>
      </c>
      <c r="C687" s="68">
        <f t="shared" si="69"/>
        <v>2074573.74105891</v>
      </c>
      <c r="D687" s="67">
        <f t="array" ref="D687">SUM($B$7:$B682*$F$1009*EXP(-$F$1009*($A687-$A$7:$A682)))*$F$1010</f>
        <v>848177.74383902177</v>
      </c>
      <c r="E687" s="67">
        <f t="shared" si="67"/>
        <v>1.6169759914462296</v>
      </c>
      <c r="F687" s="70">
        <f t="shared" si="71"/>
        <v>9.8182782200615062E-2</v>
      </c>
      <c r="G687" s="67">
        <f>E687/'Lookup Tables'!$C$48</f>
        <v>3.2339519828924592</v>
      </c>
      <c r="H687" s="70">
        <f t="shared" si="68"/>
        <v>4.0966612286837237E-4</v>
      </c>
      <c r="I687" s="71">
        <f t="shared" si="72"/>
        <v>4.6568908553651419E-3</v>
      </c>
      <c r="L687" s="74"/>
      <c r="M687" s="74"/>
      <c r="N687" s="74"/>
      <c r="O687" s="74"/>
      <c r="P687" s="74"/>
      <c r="Q687" s="74"/>
      <c r="R687" s="74"/>
      <c r="S687" s="74"/>
      <c r="T687" s="74"/>
      <c r="U687" s="74"/>
      <c r="V687" s="74"/>
      <c r="W687" s="74"/>
      <c r="X687" s="74"/>
      <c r="Y687" s="74"/>
    </row>
    <row r="688" spans="1:25" x14ac:dyDescent="0.3">
      <c r="A688" s="66">
        <f t="shared" si="70"/>
        <v>2058.0999999999381</v>
      </c>
      <c r="B688" s="67">
        <f>LOOKUP(A688+0.01,AmountsB!$A$4:$A$103,AmountsB!$B$4:$B$103)*0.1*$A$2</f>
        <v>0</v>
      </c>
      <c r="C688" s="68">
        <f t="shared" si="69"/>
        <v>2074573.74105891</v>
      </c>
      <c r="D688" s="67">
        <f t="array" ref="D688">SUM($B$7:$B683*$F$1009*EXP(-$F$1009*($A688-$A$7:$A683)))*$F$1010</f>
        <v>836385.9902980848</v>
      </c>
      <c r="E688" s="67">
        <f t="shared" si="67"/>
        <v>1.5944960542971538</v>
      </c>
      <c r="F688" s="70">
        <f t="shared" si="71"/>
        <v>9.6817800416923186E-2</v>
      </c>
      <c r="G688" s="67">
        <f>E688/'Lookup Tables'!$C$48</f>
        <v>3.1889921085943076</v>
      </c>
      <c r="H688" s="70">
        <f t="shared" si="68"/>
        <v>4.0397075772819499E-4</v>
      </c>
      <c r="I688" s="71">
        <f t="shared" si="72"/>
        <v>4.5921486363758035E-3</v>
      </c>
      <c r="L688" s="74"/>
      <c r="M688" s="74"/>
      <c r="N688" s="74"/>
      <c r="O688" s="74"/>
      <c r="P688" s="74"/>
      <c r="Q688" s="74"/>
      <c r="R688" s="74"/>
      <c r="S688" s="74"/>
      <c r="T688" s="74"/>
      <c r="U688" s="74"/>
      <c r="V688" s="74"/>
      <c r="W688" s="74"/>
      <c r="X688" s="74"/>
      <c r="Y688" s="74"/>
    </row>
    <row r="689" spans="1:25" x14ac:dyDescent="0.3">
      <c r="A689" s="66">
        <f t="shared" si="70"/>
        <v>2058.199999999938</v>
      </c>
      <c r="B689" s="67">
        <f>LOOKUP(A689+0.01,AmountsB!$A$4:$A$103,AmountsB!$B$4:$B$103)*0.1*$A$2</f>
        <v>0</v>
      </c>
      <c r="C689" s="68">
        <f t="shared" si="69"/>
        <v>2074573.74105891</v>
      </c>
      <c r="D689" s="67">
        <f t="array" ref="D689">SUM($B$7:$B684*$F$1009*EXP(-$F$1009*($A689-$A$7:$A684)))*$F$1010</f>
        <v>824758.17108881357</v>
      </c>
      <c r="E689" s="67">
        <f t="shared" si="67"/>
        <v>1.5723286434792658</v>
      </c>
      <c r="F689" s="70">
        <f t="shared" si="71"/>
        <v>9.5471795232061021E-2</v>
      </c>
      <c r="G689" s="67">
        <f>E689/'Lookup Tables'!$C$48</f>
        <v>3.1446572869585316</v>
      </c>
      <c r="H689" s="70">
        <f t="shared" si="68"/>
        <v>3.9835457214978546E-4</v>
      </c>
      <c r="I689" s="71">
        <f t="shared" si="72"/>
        <v>4.5283064932202851E-3</v>
      </c>
      <c r="L689" s="74"/>
      <c r="M689" s="74"/>
      <c r="N689" s="74"/>
      <c r="O689" s="74"/>
      <c r="P689" s="74"/>
      <c r="Q689" s="74"/>
      <c r="R689" s="74"/>
      <c r="S689" s="74"/>
      <c r="T689" s="74"/>
      <c r="U689" s="74"/>
      <c r="V689" s="74"/>
      <c r="W689" s="74"/>
      <c r="X689" s="74"/>
      <c r="Y689" s="74"/>
    </row>
    <row r="690" spans="1:25" x14ac:dyDescent="0.3">
      <c r="A690" s="66">
        <f t="shared" si="70"/>
        <v>2058.2999999999379</v>
      </c>
      <c r="B690" s="67">
        <f>LOOKUP(A690+0.01,AmountsB!$A$4:$A$103,AmountsB!$B$4:$B$103)*0.1*$A$2</f>
        <v>0</v>
      </c>
      <c r="C690" s="68">
        <f t="shared" si="69"/>
        <v>2074573.74105891</v>
      </c>
      <c r="D690" s="67">
        <f t="array" ref="D690">SUM($B$7:$B685*$F$1009*EXP(-$F$1009*($A690-$A$7:$A685)))*$F$1010</f>
        <v>813292.00712141872</v>
      </c>
      <c r="E690" s="67">
        <f t="shared" si="67"/>
        <v>1.5504694141090807</v>
      </c>
      <c r="F690" s="70">
        <f t="shared" si="71"/>
        <v>9.414450282470338E-2</v>
      </c>
      <c r="G690" s="67">
        <f>E690/'Lookup Tables'!$C$48</f>
        <v>3.1009388282181614</v>
      </c>
      <c r="H690" s="70">
        <f t="shared" si="68"/>
        <v>3.9281646534279158E-4</v>
      </c>
      <c r="I690" s="71">
        <f t="shared" si="72"/>
        <v>4.4653519126341525E-3</v>
      </c>
      <c r="L690" s="74"/>
      <c r="M690" s="74"/>
      <c r="N690" s="74"/>
      <c r="O690" s="74"/>
      <c r="P690" s="74"/>
      <c r="Q690" s="74"/>
      <c r="R690" s="74"/>
      <c r="S690" s="74"/>
      <c r="T690" s="74"/>
      <c r="U690" s="74"/>
      <c r="V690" s="74"/>
      <c r="W690" s="74"/>
      <c r="X690" s="74"/>
      <c r="Y690" s="74"/>
    </row>
    <row r="691" spans="1:25" x14ac:dyDescent="0.3">
      <c r="A691" s="66">
        <f t="shared" si="70"/>
        <v>2058.3999999999378</v>
      </c>
      <c r="B691" s="67">
        <f>LOOKUP(A691+0.01,AmountsB!$A$4:$A$103,AmountsB!$B$4:$B$103)*0.1*$A$2</f>
        <v>0</v>
      </c>
      <c r="C691" s="68">
        <f t="shared" si="69"/>
        <v>2074573.74105891</v>
      </c>
      <c r="D691" s="67">
        <f t="array" ref="D691">SUM($B$7:$B686*$F$1009*EXP(-$F$1009*($A691-$A$7:$A686)))*$F$1010</f>
        <v>801985.25099105528</v>
      </c>
      <c r="E691" s="67">
        <f t="shared" si="67"/>
        <v>1.5289140817076623</v>
      </c>
      <c r="F691" s="70">
        <f t="shared" si="71"/>
        <v>9.2835663041289249E-2</v>
      </c>
      <c r="G691" s="67">
        <f>E691/'Lookup Tables'!$C$48</f>
        <v>3.0578281634153246</v>
      </c>
      <c r="H691" s="70">
        <f t="shared" si="68"/>
        <v>3.8735535182054934E-4</v>
      </c>
      <c r="I691" s="71">
        <f t="shared" si="72"/>
        <v>4.4032725553180682E-3</v>
      </c>
      <c r="L691" s="74"/>
      <c r="M691" s="74"/>
      <c r="N691" s="74"/>
      <c r="O691" s="74"/>
      <c r="P691" s="74"/>
      <c r="Q691" s="74"/>
      <c r="R691" s="74"/>
      <c r="S691" s="74"/>
      <c r="T691" s="74"/>
      <c r="U691" s="74"/>
      <c r="V691" s="74"/>
      <c r="W691" s="74"/>
      <c r="X691" s="74"/>
      <c r="Y691" s="74"/>
    </row>
    <row r="692" spans="1:25" x14ac:dyDescent="0.3">
      <c r="A692" s="66">
        <f t="shared" si="70"/>
        <v>2058.4999999999377</v>
      </c>
      <c r="B692" s="67">
        <f>LOOKUP(A692+0.01,AmountsB!$A$4:$A$103,AmountsB!$B$4:$B$103)*0.1*$A$2</f>
        <v>0</v>
      </c>
      <c r="C692" s="68">
        <f t="shared" si="69"/>
        <v>2074573.74105891</v>
      </c>
      <c r="D692" s="67">
        <f t="array" ref="D692">SUM($B$7:$B687*$F$1009*EXP(-$F$1009*($A692-$A$7:$A687)))*$F$1010</f>
        <v>790835.68653732468</v>
      </c>
      <c r="E692" s="67">
        <f t="shared" si="67"/>
        <v>1.5076584213608537</v>
      </c>
      <c r="F692" s="70">
        <f t="shared" si="71"/>
        <v>9.1545019345031037E-2</v>
      </c>
      <c r="G692" s="67">
        <f>E692/'Lookup Tables'!$C$48</f>
        <v>3.0153168427217074</v>
      </c>
      <c r="H692" s="70">
        <f t="shared" si="68"/>
        <v>3.8197016118732545E-4</v>
      </c>
      <c r="I692" s="71">
        <f t="shared" si="72"/>
        <v>4.3420562535192581E-3</v>
      </c>
      <c r="L692" s="74"/>
      <c r="M692" s="74"/>
      <c r="N692" s="74"/>
      <c r="O692" s="74"/>
      <c r="P692" s="74"/>
      <c r="Q692" s="74"/>
      <c r="R692" s="74"/>
      <c r="S692" s="74"/>
      <c r="T692" s="74"/>
      <c r="U692" s="74"/>
      <c r="V692" s="74"/>
      <c r="W692" s="74"/>
      <c r="X692" s="74"/>
      <c r="Y692" s="74"/>
    </row>
    <row r="693" spans="1:25" x14ac:dyDescent="0.3">
      <c r="A693" s="66">
        <f t="shared" si="70"/>
        <v>2058.5999999999376</v>
      </c>
      <c r="B693" s="67">
        <f>LOOKUP(A693+0.01,AmountsB!$A$4:$A$103,AmountsB!$B$4:$B$103)*0.1*$A$2</f>
        <v>0</v>
      </c>
      <c r="C693" s="68">
        <f t="shared" si="69"/>
        <v>2074573.74105891</v>
      </c>
      <c r="D693" s="67">
        <f t="array" ref="D693">SUM($B$7:$B688*$F$1009*EXP(-$F$1009*($A693-$A$7:$A688)))*$F$1010</f>
        <v>779841.12840990012</v>
      </c>
      <c r="E693" s="67">
        <f t="shared" si="67"/>
        <v>1.4866982668911797</v>
      </c>
      <c r="F693" s="70">
        <f t="shared" si="71"/>
        <v>9.0272318765632437E-2</v>
      </c>
      <c r="G693" s="67">
        <f>E693/'Lookup Tables'!$C$48</f>
        <v>2.9733965337823594</v>
      </c>
      <c r="H693" s="70">
        <f t="shared" si="68"/>
        <v>3.7665983792851596E-4</v>
      </c>
      <c r="I693" s="71">
        <f t="shared" si="72"/>
        <v>4.281691008646598E-3</v>
      </c>
      <c r="L693" s="74"/>
      <c r="M693" s="74"/>
      <c r="N693" s="74"/>
      <c r="O693" s="74"/>
      <c r="P693" s="74"/>
      <c r="Q693" s="74"/>
      <c r="R693" s="74"/>
      <c r="S693" s="74"/>
      <c r="T693" s="74"/>
      <c r="U693" s="74"/>
      <c r="V693" s="74"/>
      <c r="W693" s="74"/>
      <c r="X693" s="74"/>
      <c r="Y693" s="74"/>
    </row>
    <row r="694" spans="1:25" x14ac:dyDescent="0.3">
      <c r="A694" s="66">
        <f t="shared" si="70"/>
        <v>2058.6999999999375</v>
      </c>
      <c r="B694" s="67">
        <f>LOOKUP(A694+0.01,AmountsB!$A$4:$A$103,AmountsB!$B$4:$B$103)*0.1*$A$2</f>
        <v>0</v>
      </c>
      <c r="C694" s="68">
        <f t="shared" si="69"/>
        <v>2074573.74105891</v>
      </c>
      <c r="D694" s="67">
        <f t="array" ref="D694">SUM($B$7:$B689*$F$1009*EXP(-$F$1009*($A694-$A$7:$A689)))*$F$1010</f>
        <v>768999.42164019134</v>
      </c>
      <c r="E694" s="67">
        <f t="shared" si="67"/>
        <v>1.4660295100412637</v>
      </c>
      <c r="F694" s="70">
        <f t="shared" si="71"/>
        <v>8.9017311849705544E-2</v>
      </c>
      <c r="G694" s="67">
        <f>E694/'Lookup Tables'!$C$48</f>
        <v>2.9320590200825274</v>
      </c>
      <c r="H694" s="70">
        <f t="shared" si="68"/>
        <v>3.7142334120376182E-4</v>
      </c>
      <c r="I694" s="71">
        <f t="shared" si="72"/>
        <v>4.2221649889188397E-3</v>
      </c>
      <c r="L694" s="74"/>
      <c r="M694" s="74"/>
      <c r="N694" s="74"/>
      <c r="O694" s="74"/>
      <c r="P694" s="74"/>
      <c r="Q694" s="74"/>
      <c r="R694" s="74"/>
      <c r="S694" s="74"/>
      <c r="T694" s="74"/>
      <c r="U694" s="74"/>
      <c r="V694" s="74"/>
      <c r="W694" s="74"/>
      <c r="X694" s="74"/>
      <c r="Y694" s="74"/>
    </row>
    <row r="695" spans="1:25" x14ac:dyDescent="0.3">
      <c r="A695" s="66">
        <f t="shared" si="70"/>
        <v>2058.7999999999374</v>
      </c>
      <c r="B695" s="67">
        <f>LOOKUP(A695+0.01,AmountsB!$A$4:$A$103,AmountsB!$B$4:$B$103)*0.1*$A$2</f>
        <v>0</v>
      </c>
      <c r="C695" s="68">
        <f t="shared" si="69"/>
        <v>2074573.74105891</v>
      </c>
      <c r="D695" s="67">
        <f t="array" ref="D695">SUM($B$7:$B690*$F$1009*EXP(-$F$1009*($A695-$A$7:$A690)))*$F$1010</f>
        <v>758308.44121896347</v>
      </c>
      <c r="E695" s="67">
        <f t="shared" si="67"/>
        <v>1.4456480996685952</v>
      </c>
      <c r="F695" s="70">
        <f t="shared" si="71"/>
        <v>8.7779752611877107E-2</v>
      </c>
      <c r="G695" s="67">
        <f>E695/'Lookup Tables'!$C$48</f>
        <v>2.8912961993371904</v>
      </c>
      <c r="H695" s="70">
        <f t="shared" si="68"/>
        <v>3.6625964464294126E-4</v>
      </c>
      <c r="I695" s="71">
        <f t="shared" si="72"/>
        <v>4.1634665270455541E-3</v>
      </c>
      <c r="L695" s="74"/>
      <c r="M695" s="74"/>
      <c r="N695" s="74"/>
      <c r="O695" s="74"/>
      <c r="P695" s="74"/>
      <c r="Q695" s="74"/>
      <c r="R695" s="74"/>
      <c r="S695" s="74"/>
      <c r="T695" s="74"/>
      <c r="U695" s="74"/>
      <c r="V695" s="74"/>
      <c r="W695" s="74"/>
      <c r="X695" s="74"/>
      <c r="Y695" s="74"/>
    </row>
    <row r="696" spans="1:25" x14ac:dyDescent="0.3">
      <c r="A696" s="66">
        <f t="shared" si="70"/>
        <v>2058.8999999999373</v>
      </c>
      <c r="B696" s="67">
        <f>LOOKUP(A696+0.01,AmountsB!$A$4:$A$103,AmountsB!$B$4:$B$103)*0.1*$A$2</f>
        <v>0</v>
      </c>
      <c r="C696" s="68">
        <f t="shared" si="69"/>
        <v>2074573.74105891</v>
      </c>
      <c r="D696" s="67">
        <f t="array" ref="D696">SUM($B$7:$B691*$F$1009*EXP(-$F$1009*($A696-$A$7:$A691)))*$F$1010</f>
        <v>747766.09167982801</v>
      </c>
      <c r="E696" s="67">
        <f t="shared" si="67"/>
        <v>1.4255500409514925</v>
      </c>
      <c r="F696" s="70">
        <f t="shared" si="71"/>
        <v>8.6559398486574637E-2</v>
      </c>
      <c r="G696" s="67">
        <f>E696/'Lookup Tables'!$C$48</f>
        <v>2.851100081902985</v>
      </c>
      <c r="H696" s="70">
        <f t="shared" si="68"/>
        <v>3.6116773614499736E-4</v>
      </c>
      <c r="I696" s="71">
        <f t="shared" si="72"/>
        <v>4.1055841179402988E-3</v>
      </c>
      <c r="L696" s="74"/>
      <c r="M696" s="74"/>
      <c r="N696" s="74"/>
      <c r="O696" s="74"/>
      <c r="P696" s="74"/>
      <c r="Q696" s="74"/>
      <c r="R696" s="74"/>
      <c r="S696" s="74"/>
      <c r="T696" s="74"/>
      <c r="U696" s="74"/>
      <c r="V696" s="74"/>
      <c r="W696" s="74"/>
      <c r="X696" s="74"/>
      <c r="Y696" s="74"/>
    </row>
    <row r="697" spans="1:25" x14ac:dyDescent="0.3">
      <c r="A697" s="66">
        <f t="shared" si="70"/>
        <v>2058.9999999999372</v>
      </c>
      <c r="B697" s="67">
        <f>LOOKUP(A697+0.01,AmountsB!$A$4:$A$103,AmountsB!$B$4:$B$103)*0.1*$A$2</f>
        <v>0</v>
      </c>
      <c r="C697" s="68">
        <f t="shared" si="69"/>
        <v>2074573.74105891</v>
      </c>
      <c r="D697" s="67">
        <f t="array" ref="D697">SUM($B$7:$B692*$F$1009*EXP(-$F$1009*($A697-$A$7:$A692)))*$F$1010</f>
        <v>737370.30668852606</v>
      </c>
      <c r="E697" s="67">
        <f t="shared" si="67"/>
        <v>1.4057313946061074</v>
      </c>
      <c r="F697" s="70">
        <f t="shared" si="71"/>
        <v>8.5356010280482855E-2</v>
      </c>
      <c r="G697" s="67">
        <f>E697/'Lookup Tables'!$C$48</f>
        <v>2.8114627892122148</v>
      </c>
      <c r="H697" s="70">
        <f t="shared" si="68"/>
        <v>3.561466176795638E-4</v>
      </c>
      <c r="I697" s="71">
        <f t="shared" si="72"/>
        <v>4.0485064164655898E-3</v>
      </c>
      <c r="L697" s="74"/>
      <c r="M697" s="74"/>
      <c r="N697" s="74"/>
      <c r="O697" s="74"/>
      <c r="P697" s="74"/>
      <c r="Q697" s="74"/>
      <c r="R697" s="74"/>
      <c r="S697" s="74"/>
      <c r="T697" s="74"/>
      <c r="U697" s="74"/>
      <c r="V697" s="74"/>
      <c r="W697" s="74"/>
      <c r="X697" s="74"/>
      <c r="Y697" s="74"/>
    </row>
    <row r="698" spans="1:25" x14ac:dyDescent="0.3">
      <c r="A698" s="66">
        <f t="shared" si="70"/>
        <v>2059.0999999999372</v>
      </c>
      <c r="B698" s="67">
        <f>LOOKUP(A698+0.01,AmountsB!$A$4:$A$103,AmountsB!$B$4:$B$103)*0.1*$A$2</f>
        <v>0</v>
      </c>
      <c r="C698" s="68">
        <f t="shared" si="69"/>
        <v>2074573.74105891</v>
      </c>
      <c r="D698" s="67">
        <f t="array" ref="D698">SUM($B$7:$B693*$F$1009*EXP(-$F$1009*($A698-$A$7:$A693)))*$F$1010</f>
        <v>727119.04863791785</v>
      </c>
      <c r="E698" s="67">
        <f t="shared" si="67"/>
        <v>1.3861882761143076</v>
      </c>
      <c r="F698" s="70">
        <f t="shared" si="71"/>
        <v>8.4169352125660762E-2</v>
      </c>
      <c r="G698" s="67">
        <f>E698/'Lookup Tables'!$C$48</f>
        <v>2.7723765522286152</v>
      </c>
      <c r="H698" s="70">
        <f t="shared" si="68"/>
        <v>3.511953050913465E-4</v>
      </c>
      <c r="I698" s="71">
        <f t="shared" si="72"/>
        <v>3.9922222352092055E-3</v>
      </c>
      <c r="L698" s="74"/>
      <c r="M698" s="74"/>
      <c r="N698" s="74"/>
      <c r="O698" s="74"/>
      <c r="P698" s="74"/>
      <c r="Q698" s="74"/>
      <c r="R698" s="74"/>
      <c r="S698" s="74"/>
      <c r="T698" s="74"/>
      <c r="U698" s="74"/>
      <c r="V698" s="74"/>
      <c r="W698" s="74"/>
      <c r="X698" s="74"/>
      <c r="Y698" s="74"/>
    </row>
    <row r="699" spans="1:25" x14ac:dyDescent="0.3">
      <c r="A699" s="66">
        <f t="shared" si="70"/>
        <v>2059.1999999999371</v>
      </c>
      <c r="B699" s="67">
        <f>LOOKUP(A699+0.01,AmountsB!$A$4:$A$103,AmountsB!$B$4:$B$103)*0.1*$A$2</f>
        <v>0</v>
      </c>
      <c r="C699" s="68">
        <f t="shared" si="69"/>
        <v>2074573.74105891</v>
      </c>
      <c r="D699" s="67">
        <f t="array" ref="D699">SUM($B$7:$B694*$F$1009*EXP(-$F$1009*($A699-$A$7:$A694)))*$F$1010</f>
        <v>717010.30824860849</v>
      </c>
      <c r="E699" s="67">
        <f t="shared" si="67"/>
        <v>1.3669168549623065</v>
      </c>
      <c r="F699" s="70">
        <f t="shared" si="71"/>
        <v>8.2999191433311248E-2</v>
      </c>
      <c r="G699" s="67">
        <f>E699/'Lookup Tables'!$C$48</f>
        <v>2.7338337099246131</v>
      </c>
      <c r="H699" s="70">
        <f t="shared" si="68"/>
        <v>3.463128279072279E-4</v>
      </c>
      <c r="I699" s="71">
        <f t="shared" si="72"/>
        <v>3.936720542291443E-3</v>
      </c>
      <c r="L699" s="74"/>
      <c r="M699" s="74"/>
      <c r="N699" s="74"/>
      <c r="O699" s="74"/>
      <c r="P699" s="74"/>
      <c r="Q699" s="74"/>
      <c r="R699" s="74"/>
      <c r="S699" s="74"/>
      <c r="T699" s="74"/>
      <c r="U699" s="74"/>
      <c r="V699" s="74"/>
      <c r="W699" s="74"/>
      <c r="X699" s="74"/>
      <c r="Y699" s="74"/>
    </row>
    <row r="700" spans="1:25" x14ac:dyDescent="0.3">
      <c r="A700" s="66">
        <f t="shared" si="70"/>
        <v>2059.299999999937</v>
      </c>
      <c r="B700" s="67">
        <f>LOOKUP(A700+0.01,AmountsB!$A$4:$A$103,AmountsB!$B$4:$B$103)*0.1*$A$2</f>
        <v>0</v>
      </c>
      <c r="C700" s="68">
        <f t="shared" si="69"/>
        <v>2074573.74105891</v>
      </c>
      <c r="D700" s="67">
        <f t="array" ref="D700">SUM($B$7:$B695*$F$1009*EXP(-$F$1009*($A700-$A$7:$A695)))*$F$1010</f>
        <v>707042.10417511931</v>
      </c>
      <c r="E700" s="67">
        <f t="shared" si="67"/>
        <v>1.3479133538898618</v>
      </c>
      <c r="F700" s="70">
        <f t="shared" si="71"/>
        <v>8.1845298848192416E-2</v>
      </c>
      <c r="G700" s="67">
        <f>E700/'Lookup Tables'!$C$48</f>
        <v>2.6958267077797236</v>
      </c>
      <c r="H700" s="70">
        <f t="shared" si="68"/>
        <v>3.4149822914604879E-4</v>
      </c>
      <c r="I700" s="71">
        <f t="shared" si="72"/>
        <v>3.8819904592028017E-3</v>
      </c>
      <c r="L700" s="74"/>
      <c r="M700" s="74"/>
      <c r="N700" s="74"/>
      <c r="O700" s="74"/>
      <c r="P700" s="74"/>
      <c r="Q700" s="74"/>
      <c r="R700" s="74"/>
      <c r="S700" s="74"/>
      <c r="T700" s="74"/>
      <c r="U700" s="74"/>
      <c r="V700" s="74"/>
      <c r="W700" s="74"/>
      <c r="X700" s="74"/>
      <c r="Y700" s="74"/>
    </row>
    <row r="701" spans="1:25" x14ac:dyDescent="0.3">
      <c r="A701" s="66">
        <f t="shared" si="70"/>
        <v>2059.3999999999369</v>
      </c>
      <c r="B701" s="67">
        <f>LOOKUP(A701+0.01,AmountsB!$A$4:$A$103,AmountsB!$B$4:$B$103)*0.1*$A$2</f>
        <v>0</v>
      </c>
      <c r="C701" s="68">
        <f t="shared" si="69"/>
        <v>2074573.74105891</v>
      </c>
      <c r="D701" s="67">
        <f t="array" ref="D701">SUM($B$7:$B696*$F$1009*EXP(-$F$1009*($A701-$A$7:$A696)))*$F$1010</f>
        <v>697212.48261754075</v>
      </c>
      <c r="E701" s="67">
        <f t="shared" si="67"/>
        <v>1.3291740481499277</v>
      </c>
      <c r="F701" s="70">
        <f t="shared" si="71"/>
        <v>8.0707448203663615E-2</v>
      </c>
      <c r="G701" s="67">
        <f>E701/'Lookup Tables'!$C$48</f>
        <v>2.6583480962998554</v>
      </c>
      <c r="H701" s="70">
        <f t="shared" si="68"/>
        <v>3.3675056513103911E-4</v>
      </c>
      <c r="I701" s="71">
        <f t="shared" si="72"/>
        <v>3.8280212586717915E-3</v>
      </c>
      <c r="L701" s="74"/>
      <c r="M701" s="74"/>
      <c r="N701" s="74"/>
      <c r="O701" s="74"/>
      <c r="P701" s="74"/>
      <c r="Q701" s="74"/>
      <c r="R701" s="74"/>
      <c r="S701" s="74"/>
      <c r="T701" s="74"/>
      <c r="U701" s="74"/>
      <c r="V701" s="74"/>
      <c r="W701" s="74"/>
      <c r="X701" s="74"/>
      <c r="Y701" s="74"/>
    </row>
    <row r="702" spans="1:25" x14ac:dyDescent="0.3">
      <c r="A702" s="66">
        <f t="shared" si="70"/>
        <v>2059.4999999999368</v>
      </c>
      <c r="B702" s="67">
        <f>LOOKUP(A702+0.01,AmountsB!$A$4:$A$103,AmountsB!$B$4:$B$103)*0.1*$A$2</f>
        <v>0</v>
      </c>
      <c r="C702" s="68">
        <f t="shared" si="69"/>
        <v>2074573.74105891</v>
      </c>
      <c r="D702" s="67">
        <f t="array" ref="D702">SUM($B$7:$B697*$F$1009*EXP(-$F$1009*($A702-$A$7:$A697)))*$F$1010</f>
        <v>687519.51693857915</v>
      </c>
      <c r="E702" s="67">
        <f t="shared" si="67"/>
        <v>1.3106952647785879</v>
      </c>
      <c r="F702" s="70">
        <f t="shared" si="71"/>
        <v>7.9585416477355855E-2</v>
      </c>
      <c r="G702" s="67">
        <f>E702/'Lookup Tables'!$C$48</f>
        <v>2.6213905295571758</v>
      </c>
      <c r="H702" s="70">
        <f t="shared" si="68"/>
        <v>3.3206890530485298E-4</v>
      </c>
      <c r="I702" s="71">
        <f t="shared" si="72"/>
        <v>3.7748023625623333E-3</v>
      </c>
      <c r="L702" s="74"/>
      <c r="M702" s="74"/>
      <c r="N702" s="74"/>
      <c r="O702" s="74"/>
      <c r="P702" s="74"/>
      <c r="Q702" s="74"/>
      <c r="R702" s="74"/>
      <c r="S702" s="74"/>
      <c r="T702" s="74"/>
      <c r="U702" s="74"/>
      <c r="V702" s="74"/>
      <c r="W702" s="74"/>
      <c r="X702" s="74"/>
      <c r="Y702" s="74"/>
    </row>
    <row r="703" spans="1:25" x14ac:dyDescent="0.3">
      <c r="A703" s="66">
        <f t="shared" si="70"/>
        <v>2059.5999999999367</v>
      </c>
      <c r="B703" s="67">
        <f>LOOKUP(A703+0.01,AmountsB!$A$4:$A$103,AmountsB!$B$4:$B$103)*0.1*$A$2</f>
        <v>0</v>
      </c>
      <c r="C703" s="68">
        <f t="shared" si="69"/>
        <v>2074573.74105891</v>
      </c>
      <c r="D703" s="67">
        <f t="array" ref="D703">SUM($B$7:$B698*$F$1009*EXP(-$F$1009*($A703-$A$7:$A698)))*$F$1010</f>
        <v>677961.30728593073</v>
      </c>
      <c r="E703" s="67">
        <f t="shared" si="67"/>
        <v>1.2924733818751437</v>
      </c>
      <c r="F703" s="70">
        <f t="shared" si="71"/>
        <v>7.8478983747458722E-2</v>
      </c>
      <c r="G703" s="67">
        <f>E703/'Lookup Tables'!$C$48</f>
        <v>2.5849467637502874</v>
      </c>
      <c r="H703" s="70">
        <f t="shared" si="68"/>
        <v>3.2745233204717659E-4</v>
      </c>
      <c r="I703" s="71">
        <f t="shared" si="72"/>
        <v>3.722323339800414E-3</v>
      </c>
      <c r="L703" s="74"/>
      <c r="M703" s="74"/>
      <c r="N703" s="74"/>
      <c r="O703" s="74"/>
      <c r="P703" s="74"/>
      <c r="Q703" s="74"/>
      <c r="R703" s="74"/>
      <c r="S703" s="74"/>
      <c r="T703" s="74"/>
      <c r="U703" s="74"/>
      <c r="V703" s="74"/>
      <c r="W703" s="74"/>
      <c r="X703" s="74"/>
      <c r="Y703" s="74"/>
    </row>
    <row r="704" spans="1:25" x14ac:dyDescent="0.3">
      <c r="A704" s="66">
        <f t="shared" si="70"/>
        <v>2059.6999999999366</v>
      </c>
      <c r="B704" s="67">
        <f>LOOKUP(A704+0.01,AmountsB!$A$4:$A$103,AmountsB!$B$4:$B$103)*0.1*$A$2</f>
        <v>0</v>
      </c>
      <c r="C704" s="68">
        <f t="shared" si="69"/>
        <v>2074573.74105891</v>
      </c>
      <c r="D704" s="67">
        <f t="array" ref="D704">SUM($B$7:$B699*$F$1009*EXP(-$F$1009*($A704-$A$7:$A699)))*$F$1010</f>
        <v>668535.98021990445</v>
      </c>
      <c r="E704" s="67">
        <f t="shared" si="67"/>
        <v>1.2745048278922118</v>
      </c>
      <c r="F704" s="70">
        <f t="shared" si="71"/>
        <v>7.7387933149615104E-2</v>
      </c>
      <c r="G704" s="67">
        <f>E704/'Lookup Tables'!$C$48</f>
        <v>2.5490096557844235</v>
      </c>
      <c r="H704" s="70">
        <f t="shared" si="68"/>
        <v>3.2289994049487217E-4</v>
      </c>
      <c r="I704" s="71">
        <f t="shared" si="72"/>
        <v>3.6705739043295699E-3</v>
      </c>
      <c r="L704" s="74"/>
      <c r="M704" s="74"/>
      <c r="N704" s="74"/>
      <c r="O704" s="74"/>
      <c r="P704" s="74"/>
      <c r="Q704" s="74"/>
      <c r="R704" s="74"/>
      <c r="S704" s="74"/>
      <c r="T704" s="74"/>
      <c r="U704" s="74"/>
      <c r="V704" s="74"/>
      <c r="W704" s="74"/>
      <c r="X704" s="74"/>
      <c r="Y704" s="74"/>
    </row>
    <row r="705" spans="1:25" x14ac:dyDescent="0.3">
      <c r="A705" s="66">
        <f t="shared" si="70"/>
        <v>2059.7999999999365</v>
      </c>
      <c r="B705" s="67">
        <f>LOOKUP(A705+0.01,AmountsB!$A$4:$A$103,AmountsB!$B$4:$B$103)*0.1*$A$2</f>
        <v>0</v>
      </c>
      <c r="C705" s="68">
        <f t="shared" si="69"/>
        <v>2074573.74105891</v>
      </c>
      <c r="D705" s="67">
        <f t="array" ref="D705">SUM($B$7:$B700*$F$1009*EXP(-$F$1009*($A705-$A$7:$A700)))*$F$1010</f>
        <v>659241.68834622134</v>
      </c>
      <c r="E705" s="67">
        <f t="shared" si="67"/>
        <v>1.2567860809356874</v>
      </c>
      <c r="F705" s="70">
        <f t="shared" si="71"/>
        <v>7.6312050834414946E-2</v>
      </c>
      <c r="G705" s="67">
        <f>E705/'Lookup Tables'!$C$48</f>
        <v>2.5135721618713749</v>
      </c>
      <c r="H705" s="70">
        <f t="shared" si="68"/>
        <v>3.1841083836462174E-4</v>
      </c>
      <c r="I705" s="71">
        <f t="shared" si="72"/>
        <v>3.6195439130947797E-3</v>
      </c>
      <c r="L705" s="74"/>
      <c r="M705" s="74"/>
      <c r="N705" s="74"/>
      <c r="O705" s="74"/>
      <c r="P705" s="74"/>
      <c r="Q705" s="74"/>
      <c r="R705" s="74"/>
      <c r="S705" s="74"/>
      <c r="T705" s="74"/>
      <c r="U705" s="74"/>
      <c r="V705" s="74"/>
      <c r="W705" s="74"/>
      <c r="X705" s="74"/>
      <c r="Y705" s="74"/>
    </row>
    <row r="706" spans="1:25" x14ac:dyDescent="0.3">
      <c r="A706" s="66">
        <f t="shared" si="70"/>
        <v>2059.8999999999364</v>
      </c>
      <c r="B706" s="67">
        <f>LOOKUP(A706+0.01,AmountsB!$A$4:$A$103,AmountsB!$B$4:$B$103)*0.1*$A$2</f>
        <v>0</v>
      </c>
      <c r="C706" s="68">
        <f t="shared" si="69"/>
        <v>2074573.74105891</v>
      </c>
      <c r="D706" s="67">
        <f t="array" ref="D706">SUM($B$7:$B701*$F$1009*EXP(-$F$1009*($A706-$A$7:$A701)))*$F$1010</f>
        <v>650076.60995392001</v>
      </c>
      <c r="E706" s="67">
        <f t="shared" si="67"/>
        <v>1.2393136680744434</v>
      </c>
      <c r="F706" s="70">
        <f t="shared" si="71"/>
        <v>7.5251125925480195E-2</v>
      </c>
      <c r="G706" s="67">
        <f>E706/'Lookup Tables'!$C$48</f>
        <v>2.4786273361488869</v>
      </c>
      <c r="H706" s="70">
        <f t="shared" si="68"/>
        <v>3.1398414577803651E-4</v>
      </c>
      <c r="I706" s="71">
        <f t="shared" si="72"/>
        <v>3.5692233640543967E-3</v>
      </c>
      <c r="L706" s="74"/>
      <c r="M706" s="74"/>
      <c r="N706" s="74"/>
      <c r="O706" s="74"/>
      <c r="P706" s="74"/>
      <c r="Q706" s="74"/>
      <c r="R706" s="74"/>
      <c r="S706" s="74"/>
      <c r="T706" s="74"/>
      <c r="U706" s="74"/>
      <c r="V706" s="74"/>
      <c r="W706" s="74"/>
      <c r="X706" s="74"/>
      <c r="Y706" s="74"/>
    </row>
    <row r="707" spans="1:25" x14ac:dyDescent="0.3">
      <c r="A707" s="66">
        <f t="shared" si="70"/>
        <v>2059.9999999999363</v>
      </c>
      <c r="B707" s="67">
        <f>LOOKUP(A707+0.01,AmountsB!$A$4:$A$103,AmountsB!$B$4:$B$103)*0.1*$A$2</f>
        <v>0</v>
      </c>
      <c r="C707" s="68">
        <f t="shared" si="69"/>
        <v>2074573.74105891</v>
      </c>
      <c r="D707" s="67">
        <f t="array" ref="D707">SUM($B$7:$B702*$F$1009*EXP(-$F$1009*($A707-$A$7:$A702)))*$F$1010</f>
        <v>641038.94865829498</v>
      </c>
      <c r="E707" s="67">
        <f t="shared" si="67"/>
        <v>1.2220841646596237</v>
      </c>
      <c r="F707" s="70">
        <f t="shared" si="71"/>
        <v>7.4204950478132345E-2</v>
      </c>
      <c r="G707" s="67">
        <f>E707/'Lookup Tables'!$C$48</f>
        <v>2.4441683293192473</v>
      </c>
      <c r="H707" s="70">
        <f t="shared" si="68"/>
        <v>3.0961899508919822E-4</v>
      </c>
      <c r="I707" s="71">
        <f t="shared" si="72"/>
        <v>3.519602394219716E-3</v>
      </c>
      <c r="L707" s="74"/>
      <c r="M707" s="74"/>
      <c r="N707" s="74"/>
      <c r="O707" s="74"/>
      <c r="P707" s="74"/>
      <c r="Q707" s="74"/>
      <c r="R707" s="74"/>
      <c r="S707" s="74"/>
      <c r="T707" s="74"/>
      <c r="U707" s="74"/>
      <c r="V707" s="74"/>
      <c r="W707" s="74"/>
      <c r="X707" s="74"/>
      <c r="Y707" s="74"/>
    </row>
    <row r="708" spans="1:25" x14ac:dyDescent="0.3">
      <c r="A708" s="66">
        <f t="shared" si="70"/>
        <v>2060.0999999999362</v>
      </c>
      <c r="B708" s="67">
        <f>LOOKUP(A708+0.01,AmountsB!$A$4:$A$103,AmountsB!$B$4:$B$103)*0.1*$A$2</f>
        <v>0</v>
      </c>
      <c r="C708" s="68">
        <f t="shared" si="69"/>
        <v>2074573.74105891</v>
      </c>
      <c r="D708" s="67">
        <f t="array" ref="D708">SUM($B$7:$B703*$F$1009*EXP(-$F$1009*($A708-$A$7:$A703)))*$F$1010</f>
        <v>632126.93304879952</v>
      </c>
      <c r="E708" s="67">
        <f t="shared" si="67"/>
        <v>1.2050941936534012</v>
      </c>
      <c r="F708" s="70">
        <f t="shared" si="71"/>
        <v>7.3173319438634518E-2</v>
      </c>
      <c r="G708" s="67">
        <f>E708/'Lookup Tables'!$C$48</f>
        <v>2.4101883873068024</v>
      </c>
      <c r="H708" s="70">
        <f t="shared" si="68"/>
        <v>3.0531453071459727E-4</v>
      </c>
      <c r="I708" s="71">
        <f t="shared" si="72"/>
        <v>3.4706712777217955E-3</v>
      </c>
      <c r="L708" s="74"/>
      <c r="M708" s="74"/>
      <c r="N708" s="74"/>
      <c r="O708" s="74"/>
      <c r="P708" s="74"/>
      <c r="Q708" s="74"/>
      <c r="R708" s="74"/>
      <c r="S708" s="74"/>
      <c r="T708" s="74"/>
      <c r="U708" s="74"/>
      <c r="V708" s="74"/>
      <c r="W708" s="74"/>
      <c r="X708" s="74"/>
      <c r="Y708" s="74"/>
    </row>
    <row r="709" spans="1:25" x14ac:dyDescent="0.3">
      <c r="A709" s="66">
        <f t="shared" si="70"/>
        <v>2060.1999999999362</v>
      </c>
      <c r="B709" s="67">
        <f>LOOKUP(A709+0.01,AmountsB!$A$4:$A$103,AmountsB!$B$4:$B$103)*0.1*$A$2</f>
        <v>0</v>
      </c>
      <c r="C709" s="68">
        <f t="shared" si="69"/>
        <v>2074573.74105891</v>
      </c>
      <c r="D709" s="67">
        <f t="array" ref="D709">SUM($B$7:$B704*$F$1009*EXP(-$F$1009*($A709-$A$7:$A704)))*$F$1010</f>
        <v>623338.81634184346</v>
      </c>
      <c r="E709" s="67">
        <f t="shared" si="67"/>
        <v>1.1883404249670673</v>
      </c>
      <c r="F709" s="70">
        <f t="shared" si="71"/>
        <v>7.2156030604000332E-2</v>
      </c>
      <c r="G709" s="67">
        <f>E709/'Lookup Tables'!$C$48</f>
        <v>2.3766808499341345</v>
      </c>
      <c r="H709" s="70">
        <f t="shared" si="68"/>
        <v>3.0106990896543629E-4</v>
      </c>
      <c r="I709" s="71">
        <f t="shared" si="72"/>
        <v>3.4224204239051543E-3</v>
      </c>
      <c r="L709" s="74"/>
      <c r="M709" s="74"/>
      <c r="N709" s="74"/>
      <c r="O709" s="74"/>
      <c r="P709" s="74"/>
      <c r="Q709" s="74"/>
      <c r="R709" s="74"/>
      <c r="S709" s="74"/>
      <c r="T709" s="74"/>
      <c r="U709" s="74"/>
      <c r="V709" s="74"/>
      <c r="W709" s="74"/>
      <c r="X709" s="74"/>
      <c r="Y709" s="74"/>
    </row>
    <row r="710" spans="1:25" x14ac:dyDescent="0.3">
      <c r="A710" s="66">
        <f t="shared" si="70"/>
        <v>2060.2999999999361</v>
      </c>
      <c r="B710" s="67">
        <f>LOOKUP(A710+0.01,AmountsB!$A$4:$A$103,AmountsB!$B$4:$B$103)*0.1*$A$2</f>
        <v>0</v>
      </c>
      <c r="C710" s="68">
        <f t="shared" si="69"/>
        <v>2074573.74105891</v>
      </c>
      <c r="D710" s="67">
        <f t="array" ref="D710">SUM($B$7:$B705*$F$1009*EXP(-$F$1009*($A710-$A$7:$A705)))*$F$1010</f>
        <v>614672.87603841885</v>
      </c>
      <c r="E710" s="67">
        <f t="shared" si="67"/>
        <v>1.171819574808326</v>
      </c>
      <c r="F710" s="70">
        <f t="shared" si="71"/>
        <v>7.1152884582361561E-2</v>
      </c>
      <c r="G710" s="67">
        <f>E710/'Lookup Tables'!$C$48</f>
        <v>2.343639149616652</v>
      </c>
      <c r="H710" s="70">
        <f t="shared" si="68"/>
        <v>2.9688429788226397E-4</v>
      </c>
      <c r="I710" s="71">
        <f t="shared" si="72"/>
        <v>3.3748403754479792E-3</v>
      </c>
      <c r="L710" s="74"/>
      <c r="M710" s="74"/>
      <c r="N710" s="74"/>
      <c r="O710" s="74"/>
      <c r="P710" s="74"/>
      <c r="Q710" s="74"/>
      <c r="R710" s="74"/>
      <c r="S710" s="74"/>
      <c r="T710" s="74"/>
      <c r="U710" s="74"/>
      <c r="V710" s="74"/>
      <c r="W710" s="74"/>
      <c r="X710" s="74"/>
      <c r="Y710" s="74"/>
    </row>
    <row r="711" spans="1:25" x14ac:dyDescent="0.3">
      <c r="A711" s="66">
        <f t="shared" si="70"/>
        <v>2060.399999999936</v>
      </c>
      <c r="B711" s="67">
        <f>LOOKUP(A711+0.01,AmountsB!$A$4:$A$103,AmountsB!$B$4:$B$103)*0.1*$A$2</f>
        <v>0</v>
      </c>
      <c r="C711" s="68">
        <f t="shared" si="69"/>
        <v>2074573.74105891</v>
      </c>
      <c r="D711" s="67">
        <f t="array" ref="D711">SUM($B$7:$B706*$F$1009*EXP(-$F$1009*($A711-$A$7:$A706)))*$F$1010</f>
        <v>606127.41358648299</v>
      </c>
      <c r="E711" s="67">
        <f t="shared" ref="E711:E774" si="73">D711/(365*24*60)*1.00201</f>
        <v>1.1555284050376557</v>
      </c>
      <c r="F711" s="70">
        <f t="shared" si="71"/>
        <v>7.0163684753886457E-2</v>
      </c>
      <c r="G711" s="67">
        <f>E711/'Lookup Tables'!$C$48</f>
        <v>2.3110568100753115</v>
      </c>
      <c r="H711" s="70">
        <f t="shared" ref="H711:H774" si="74">G711*60*24*365/(C711*2000)</f>
        <v>2.9275687707190808E-4</v>
      </c>
      <c r="I711" s="71">
        <f t="shared" si="72"/>
        <v>3.3279218065084483E-3</v>
      </c>
      <c r="L711" s="74"/>
      <c r="M711" s="74"/>
      <c r="N711" s="74"/>
      <c r="O711" s="74"/>
      <c r="P711" s="74"/>
      <c r="Q711" s="74"/>
      <c r="R711" s="74"/>
      <c r="S711" s="74"/>
      <c r="T711" s="74"/>
      <c r="U711" s="74"/>
      <c r="V711" s="74"/>
      <c r="W711" s="74"/>
      <c r="X711" s="74"/>
      <c r="Y711" s="74"/>
    </row>
    <row r="712" spans="1:25" x14ac:dyDescent="0.3">
      <c r="A712" s="66">
        <f t="shared" si="70"/>
        <v>2060.4999999999359</v>
      </c>
      <c r="B712" s="67">
        <f>LOOKUP(A712+0.01,AmountsB!$A$4:$A$103,AmountsB!$B$4:$B$103)*0.1*$A$2</f>
        <v>0</v>
      </c>
      <c r="C712" s="68">
        <f t="shared" si="69"/>
        <v>2074573.74105891</v>
      </c>
      <c r="D712" s="67">
        <f t="array" ref="D712">SUM($B$7:$B707*$F$1009*EXP(-$F$1009*($A712-$A$7:$A707)))*$F$1010</f>
        <v>597700.75404803839</v>
      </c>
      <c r="E712" s="67">
        <f t="shared" si="73"/>
        <v>1.1394637225336284</v>
      </c>
      <c r="F712" s="70">
        <f t="shared" si="71"/>
        <v>6.918823723224192E-2</v>
      </c>
      <c r="G712" s="67">
        <f>E712/'Lookup Tables'!$C$48</f>
        <v>2.2789274450672568</v>
      </c>
      <c r="H712" s="70">
        <f t="shared" si="74"/>
        <v>2.8868683754667684E-4</v>
      </c>
      <c r="I712" s="71">
        <f t="shared" si="72"/>
        <v>3.28165552089685E-3</v>
      </c>
      <c r="L712" s="74"/>
      <c r="M712" s="74"/>
      <c r="N712" s="74"/>
      <c r="O712" s="74"/>
      <c r="P712" s="74"/>
      <c r="Q712" s="74"/>
      <c r="R712" s="74"/>
      <c r="S712" s="74"/>
      <c r="T712" s="74"/>
      <c r="U712" s="74"/>
      <c r="V712" s="74"/>
      <c r="W712" s="74"/>
      <c r="X712" s="74"/>
      <c r="Y712" s="74"/>
    </row>
    <row r="713" spans="1:25" x14ac:dyDescent="0.3">
      <c r="A713" s="66">
        <f t="shared" si="70"/>
        <v>2060.5999999999358</v>
      </c>
      <c r="B713" s="67">
        <f>LOOKUP(A713+0.01,AmountsB!$A$4:$A$103,AmountsB!$B$4:$B$103)*0.1*$A$2</f>
        <v>0</v>
      </c>
      <c r="C713" s="68">
        <f t="shared" ref="C713:C776" si="75">C712+B713</f>
        <v>2074573.74105891</v>
      </c>
      <c r="D713" s="67">
        <f t="array" ref="D713">SUM($B$7:$B708*$F$1009*EXP(-$F$1009*($A713-$A$7:$A708)))*$F$1010</f>
        <v>589391.24577083904</v>
      </c>
      <c r="E713" s="67">
        <f t="shared" si="73"/>
        <v>1.1236223785670443</v>
      </c>
      <c r="F713" s="70">
        <f t="shared" si="71"/>
        <v>6.8226350826590912E-2</v>
      </c>
      <c r="G713" s="67">
        <f>E713/'Lookup Tables'!$C$48</f>
        <v>2.2472447571340886</v>
      </c>
      <c r="H713" s="70">
        <f t="shared" si="74"/>
        <v>2.8467338156579333E-4</v>
      </c>
      <c r="I713" s="71">
        <f t="shared" si="72"/>
        <v>3.2360324502730873E-3</v>
      </c>
      <c r="L713" s="74"/>
      <c r="M713" s="74"/>
      <c r="N713" s="74"/>
      <c r="O713" s="74"/>
      <c r="P713" s="74"/>
      <c r="Q713" s="74"/>
      <c r="R713" s="74"/>
      <c r="S713" s="74"/>
      <c r="T713" s="74"/>
      <c r="U713" s="74"/>
      <c r="V713" s="74"/>
      <c r="W713" s="74"/>
      <c r="X713" s="74"/>
      <c r="Y713" s="74"/>
    </row>
    <row r="714" spans="1:25" x14ac:dyDescent="0.3">
      <c r="A714" s="66">
        <f t="shared" si="70"/>
        <v>2060.6999999999357</v>
      </c>
      <c r="B714" s="67">
        <f>LOOKUP(A714+0.01,AmountsB!$A$4:$A$103,AmountsB!$B$4:$B$103)*0.1*$A$2</f>
        <v>0</v>
      </c>
      <c r="C714" s="68">
        <f t="shared" si="75"/>
        <v>2074573.74105891</v>
      </c>
      <c r="D714" s="67">
        <f t="array" ref="D714">SUM($B$7:$B709*$F$1009*EXP(-$F$1009*($A714-$A$7:$A709)))*$F$1010</f>
        <v>581197.26006466046</v>
      </c>
      <c r="E714" s="67">
        <f t="shared" si="73"/>
        <v>1.1080012681837719</v>
      </c>
      <c r="F714" s="70">
        <f t="shared" si="71"/>
        <v>6.7277837004118629E-2</v>
      </c>
      <c r="G714" s="67">
        <f>E714/'Lookup Tables'!$C$48</f>
        <v>2.2160025363675437</v>
      </c>
      <c r="H714" s="70">
        <f t="shared" si="74"/>
        <v>2.8071572247903695E-4</v>
      </c>
      <c r="I714" s="71">
        <f t="shared" si="72"/>
        <v>3.1910436523692634E-3</v>
      </c>
      <c r="L714" s="74"/>
      <c r="M714" s="74"/>
      <c r="N714" s="74"/>
      <c r="O714" s="74"/>
      <c r="P714" s="74"/>
      <c r="Q714" s="74"/>
      <c r="R714" s="74"/>
      <c r="S714" s="74"/>
      <c r="T714" s="74"/>
      <c r="U714" s="74"/>
      <c r="V714" s="74"/>
      <c r="W714" s="74"/>
      <c r="X714" s="74"/>
      <c r="Y714" s="74"/>
    </row>
    <row r="715" spans="1:25" x14ac:dyDescent="0.3">
      <c r="A715" s="66">
        <f t="shared" si="70"/>
        <v>2060.7999999999356</v>
      </c>
      <c r="B715" s="67">
        <f>LOOKUP(A715+0.01,AmountsB!$A$4:$A$103,AmountsB!$B$4:$B$103)*0.1*$A$2</f>
        <v>0</v>
      </c>
      <c r="C715" s="68">
        <f t="shared" si="75"/>
        <v>2074573.74105891</v>
      </c>
      <c r="D715" s="67">
        <f t="array" ref="D715">SUM($B$7:$B710*$F$1009*EXP(-$F$1009*($A715-$A$7:$A710)))*$F$1010</f>
        <v>573117.19088207302</v>
      </c>
      <c r="E715" s="67">
        <f t="shared" si="73"/>
        <v>1.0925973295961682</v>
      </c>
      <c r="F715" s="70">
        <f t="shared" si="71"/>
        <v>6.6342509853079337E-2</v>
      </c>
      <c r="G715" s="67">
        <f>E715/'Lookup Tables'!$C$48</f>
        <v>2.1851946591923364</v>
      </c>
      <c r="H715" s="70">
        <f t="shared" si="74"/>
        <v>2.7681308457255696E-4</v>
      </c>
      <c r="I715" s="71">
        <f t="shared" si="72"/>
        <v>3.1466803092369648E-3</v>
      </c>
      <c r="L715" s="74"/>
      <c r="M715" s="74"/>
      <c r="N715" s="74"/>
      <c r="O715" s="74"/>
      <c r="P715" s="74"/>
      <c r="Q715" s="74"/>
      <c r="R715" s="74"/>
      <c r="S715" s="74"/>
      <c r="T715" s="74"/>
      <c r="U715" s="74"/>
      <c r="V715" s="74"/>
      <c r="W715" s="74"/>
      <c r="X715" s="74"/>
      <c r="Y715" s="74"/>
    </row>
    <row r="716" spans="1:25" x14ac:dyDescent="0.3">
      <c r="A716" s="66">
        <f t="shared" si="70"/>
        <v>2060.8999999999355</v>
      </c>
      <c r="B716" s="67">
        <f>LOOKUP(A716+0.01,AmountsB!$A$4:$A$103,AmountsB!$B$4:$B$103)*0.1*$A$2</f>
        <v>0</v>
      </c>
      <c r="C716" s="68">
        <f t="shared" si="75"/>
        <v>2074573.74105891</v>
      </c>
      <c r="D716" s="67">
        <f t="array" ref="D716">SUM($B$7:$B711*$F$1009*EXP(-$F$1009*($A716-$A$7:$A711)))*$F$1010</f>
        <v>565149.45450364938</v>
      </c>
      <c r="E716" s="67">
        <f t="shared" si="73"/>
        <v>1.0774075435829562</v>
      </c>
      <c r="F716" s="70">
        <f t="shared" si="71"/>
        <v>6.5420186046357104E-2</v>
      </c>
      <c r="G716" s="67">
        <f>E716/'Lookup Tables'!$C$48</f>
        <v>2.1548150871659124</v>
      </c>
      <c r="H716" s="70">
        <f t="shared" si="74"/>
        <v>2.7296470291682988E-4</v>
      </c>
      <c r="I716" s="71">
        <f t="shared" si="72"/>
        <v>3.102933725518914E-3</v>
      </c>
      <c r="L716" s="74"/>
      <c r="M716" s="74"/>
      <c r="N716" s="74"/>
      <c r="O716" s="74"/>
      <c r="P716" s="74"/>
      <c r="Q716" s="74"/>
      <c r="R716" s="74"/>
      <c r="S716" s="74"/>
      <c r="T716" s="74"/>
      <c r="U716" s="74"/>
      <c r="V716" s="74"/>
      <c r="W716" s="74"/>
      <c r="X716" s="74"/>
      <c r="Y716" s="74"/>
    </row>
    <row r="717" spans="1:25" x14ac:dyDescent="0.3">
      <c r="A717" s="66">
        <f t="shared" si="70"/>
        <v>2060.9999999999354</v>
      </c>
      <c r="B717" s="67">
        <f>LOOKUP(A717+0.01,AmountsB!$A$4:$A$103,AmountsB!$B$4:$B$103)*0.1*$A$2</f>
        <v>0</v>
      </c>
      <c r="C717" s="68">
        <f t="shared" si="75"/>
        <v>2074573.74105891</v>
      </c>
      <c r="D717" s="67">
        <f t="array" ref="D717">SUM($B$7:$B712*$F$1009*EXP(-$F$1009*($A717-$A$7:$A712)))*$F$1010</f>
        <v>557292.48922755173</v>
      </c>
      <c r="E717" s="67">
        <f t="shared" si="73"/>
        <v>1.062428932897449</v>
      </c>
      <c r="F717" s="70">
        <f t="shared" si="71"/>
        <v>6.4510684805533111E-2</v>
      </c>
      <c r="G717" s="67">
        <f>E717/'Lookup Tables'!$C$48</f>
        <v>2.124857865794898</v>
      </c>
      <c r="H717" s="70">
        <f t="shared" si="74"/>
        <v>2.6916982321673104E-4</v>
      </c>
      <c r="I717" s="71">
        <f t="shared" si="72"/>
        <v>3.0597953267446532E-3</v>
      </c>
      <c r="L717" s="74"/>
      <c r="M717" s="74"/>
      <c r="N717" s="74"/>
      <c r="O717" s="74"/>
      <c r="P717" s="74"/>
      <c r="Q717" s="74"/>
      <c r="R717" s="74"/>
      <c r="S717" s="74"/>
      <c r="T717" s="74"/>
      <c r="U717" s="74"/>
      <c r="V717" s="74"/>
      <c r="W717" s="74"/>
      <c r="X717" s="74"/>
      <c r="Y717" s="74"/>
    </row>
    <row r="718" spans="1:25" x14ac:dyDescent="0.3">
      <c r="A718" s="66">
        <f t="shared" si="70"/>
        <v>2061.0999999999353</v>
      </c>
      <c r="B718" s="67">
        <f>LOOKUP(A718+0.01,AmountsB!$A$4:$A$103,AmountsB!$B$4:$B$103)*0.1*$A$2</f>
        <v>0</v>
      </c>
      <c r="C718" s="68">
        <f t="shared" si="75"/>
        <v>2074573.74105891</v>
      </c>
      <c r="D718" s="67">
        <f t="array" ref="D718">SUM($B$7:$B713*$F$1009*EXP(-$F$1009*($A718-$A$7:$A713)))*$F$1010</f>
        <v>549544.7550634332</v>
      </c>
      <c r="E718" s="67">
        <f t="shared" si="73"/>
        <v>1.0476585616840006</v>
      </c>
      <c r="F718" s="70">
        <f t="shared" si="71"/>
        <v>6.3613827865452527E-2</v>
      </c>
      <c r="G718" s="67">
        <f>E718/'Lookup Tables'!$C$48</f>
        <v>2.0953171233680012</v>
      </c>
      <c r="H718" s="70">
        <f t="shared" si="74"/>
        <v>2.6542770166369052E-4</v>
      </c>
      <c r="I718" s="71">
        <f t="shared" si="72"/>
        <v>3.0172566576499218E-3</v>
      </c>
      <c r="L718" s="74"/>
      <c r="M718" s="74"/>
      <c r="N718" s="74"/>
      <c r="O718" s="74"/>
      <c r="P718" s="74"/>
      <c r="Q718" s="74"/>
      <c r="R718" s="74"/>
      <c r="S718" s="74"/>
      <c r="T718" s="74"/>
      <c r="U718" s="74"/>
      <c r="V718" s="74"/>
      <c r="W718" s="74"/>
      <c r="X718" s="74"/>
      <c r="Y718" s="74"/>
    </row>
    <row r="719" spans="1:25" x14ac:dyDescent="0.3">
      <c r="A719" s="66">
        <f t="shared" si="70"/>
        <v>2061.1999999999352</v>
      </c>
      <c r="B719" s="67">
        <f>LOOKUP(A719+0.01,AmountsB!$A$4:$A$103,AmountsB!$B$4:$B$103)*0.1*$A$2</f>
        <v>0</v>
      </c>
      <c r="C719" s="68">
        <f t="shared" si="75"/>
        <v>2074573.74105891</v>
      </c>
      <c r="D719" s="67">
        <f t="array" ref="D719">SUM($B$7:$B714*$F$1009*EXP(-$F$1009*($A719-$A$7:$A714)))*$F$1010</f>
        <v>541904.73343059444</v>
      </c>
      <c r="E719" s="67">
        <f t="shared" si="73"/>
        <v>1.0330935349025683</v>
      </c>
      <c r="F719" s="70">
        <f t="shared" si="71"/>
        <v>6.2729439439283941E-2</v>
      </c>
      <c r="G719" s="67">
        <f>E719/'Lookup Tables'!$C$48</f>
        <v>2.0661870698051366</v>
      </c>
      <c r="H719" s="70">
        <f t="shared" si="74"/>
        <v>2.6173760478990409E-4</v>
      </c>
      <c r="I719" s="71">
        <f t="shared" si="72"/>
        <v>2.9753093805193966E-3</v>
      </c>
      <c r="L719" s="74"/>
      <c r="M719" s="74"/>
      <c r="N719" s="74"/>
      <c r="O719" s="74"/>
      <c r="P719" s="74"/>
      <c r="Q719" s="74"/>
      <c r="R719" s="74"/>
      <c r="S719" s="74"/>
      <c r="T719" s="74"/>
      <c r="U719" s="74"/>
      <c r="V719" s="74"/>
      <c r="W719" s="74"/>
      <c r="X719" s="74"/>
      <c r="Y719" s="74"/>
    </row>
    <row r="720" spans="1:25" x14ac:dyDescent="0.3">
      <c r="A720" s="66">
        <f t="shared" si="70"/>
        <v>2061.2999999999352</v>
      </c>
      <c r="B720" s="67">
        <f>LOOKUP(A720+0.01,AmountsB!$A$4:$A$103,AmountsB!$B$4:$B$103)*0.1*$A$2</f>
        <v>0</v>
      </c>
      <c r="C720" s="68">
        <f t="shared" si="75"/>
        <v>2074573.74105891</v>
      </c>
      <c r="D720" s="67">
        <f t="array" ref="D720">SUM($B$7:$B715*$F$1009*EXP(-$F$1009*($A720-$A$7:$A715)))*$F$1010</f>
        <v>534370.92686033668</v>
      </c>
      <c r="E720" s="67">
        <f t="shared" si="73"/>
        <v>1.0187309977612748</v>
      </c>
      <c r="F720" s="70">
        <f t="shared" si="71"/>
        <v>6.1857346184064611E-2</v>
      </c>
      <c r="G720" s="67">
        <f>E720/'Lookup Tables'!$C$48</f>
        <v>2.0374619955225497</v>
      </c>
      <c r="H720" s="70">
        <f t="shared" si="74"/>
        <v>2.5809880932457129E-4</v>
      </c>
      <c r="I720" s="71">
        <f t="shared" si="72"/>
        <v>2.9339452735524718E-3</v>
      </c>
      <c r="L720" s="74"/>
      <c r="M720" s="74"/>
      <c r="N720" s="74"/>
      <c r="O720" s="74"/>
      <c r="P720" s="74"/>
      <c r="Q720" s="74"/>
      <c r="R720" s="74"/>
      <c r="S720" s="74"/>
      <c r="T720" s="74"/>
      <c r="U720" s="74"/>
      <c r="V720" s="74"/>
      <c r="W720" s="74"/>
      <c r="X720" s="74"/>
      <c r="Y720" s="74"/>
    </row>
    <row r="721" spans="1:25" x14ac:dyDescent="0.3">
      <c r="A721" s="66">
        <f t="shared" si="70"/>
        <v>2061.3999999999351</v>
      </c>
      <c r="B721" s="67">
        <f>LOOKUP(A721+0.01,AmountsB!$A$4:$A$103,AmountsB!$B$4:$B$103)*0.1*$A$2</f>
        <v>0</v>
      </c>
      <c r="C721" s="68">
        <f t="shared" si="75"/>
        <v>2074573.74105891</v>
      </c>
      <c r="D721" s="67">
        <f t="array" ref="D721">SUM($B$7:$B716*$F$1009*EXP(-$F$1009*($A721-$A$7:$A716)))*$F$1010</f>
        <v>526941.85870245413</v>
      </c>
      <c r="E721" s="67">
        <f t="shared" si="73"/>
        <v>1.0045681351568609</v>
      </c>
      <c r="F721" s="70">
        <f t="shared" si="71"/>
        <v>6.0997377166724598E-2</v>
      </c>
      <c r="G721" s="67">
        <f>E721/'Lookup Tables'!$C$48</f>
        <v>2.0091362703137219</v>
      </c>
      <c r="H721" s="70">
        <f t="shared" si="74"/>
        <v>2.5451060205213157E-4</v>
      </c>
      <c r="I721" s="71">
        <f t="shared" si="72"/>
        <v>2.8931562292517595E-3</v>
      </c>
      <c r="L721" s="74"/>
      <c r="M721" s="74"/>
      <c r="N721" s="74"/>
      <c r="O721" s="74"/>
      <c r="P721" s="74"/>
      <c r="Q721" s="74"/>
      <c r="R721" s="74"/>
      <c r="S721" s="74"/>
      <c r="T721" s="74"/>
      <c r="U721" s="74"/>
      <c r="V721" s="74"/>
      <c r="W721" s="74"/>
      <c r="X721" s="74"/>
      <c r="Y721" s="74"/>
    </row>
    <row r="722" spans="1:25" x14ac:dyDescent="0.3">
      <c r="A722" s="66">
        <f t="shared" si="70"/>
        <v>2061.499999999935</v>
      </c>
      <c r="B722" s="67">
        <f>LOOKUP(A722+0.01,AmountsB!$A$4:$A$103,AmountsB!$B$4:$B$103)*0.1*$A$2</f>
        <v>0</v>
      </c>
      <c r="C722" s="68">
        <f t="shared" si="75"/>
        <v>2074573.74105891</v>
      </c>
      <c r="D722" s="67">
        <f t="array" ref="D722">SUM($B$7:$B717*$F$1009*EXP(-$F$1009*($A722-$A$7:$A717)))*$F$1010</f>
        <v>519616.07283580449</v>
      </c>
      <c r="E722" s="67">
        <f t="shared" si="73"/>
        <v>0.9906021711229156</v>
      </c>
      <c r="F722" s="70">
        <f t="shared" si="71"/>
        <v>6.0149363830583433E-2</v>
      </c>
      <c r="G722" s="67">
        <f>E722/'Lookup Tables'!$C$48</f>
        <v>1.9812043422458312</v>
      </c>
      <c r="H722" s="70">
        <f t="shared" si="74"/>
        <v>2.5097227967247254E-4</v>
      </c>
      <c r="I722" s="71">
        <f t="shared" si="72"/>
        <v>2.8529342528339965E-3</v>
      </c>
      <c r="L722" s="74"/>
      <c r="M722" s="74"/>
      <c r="N722" s="74"/>
      <c r="O722" s="74"/>
      <c r="P722" s="74"/>
      <c r="Q722" s="74"/>
      <c r="R722" s="74"/>
      <c r="S722" s="74"/>
      <c r="T722" s="74"/>
      <c r="U722" s="74"/>
      <c r="V722" s="74"/>
      <c r="W722" s="74"/>
      <c r="X722" s="74"/>
      <c r="Y722" s="74"/>
    </row>
    <row r="723" spans="1:25" x14ac:dyDescent="0.3">
      <c r="A723" s="66">
        <f t="shared" ref="A723:A786" si="76">A722+0.1</f>
        <v>2061.5999999999349</v>
      </c>
      <c r="B723" s="67">
        <f>LOOKUP(A723+0.01,AmountsB!$A$4:$A$103,AmountsB!$B$4:$B$103)*0.1*$A$2</f>
        <v>0</v>
      </c>
      <c r="C723" s="68">
        <f t="shared" si="75"/>
        <v>2074573.74105891</v>
      </c>
      <c r="D723" s="67">
        <f t="array" ref="D723">SUM($B$7:$B718*$F$1009*EXP(-$F$1009*($A723-$A$7:$A718)))*$F$1010</f>
        <v>512392.13338290568</v>
      </c>
      <c r="E723" s="67">
        <f t="shared" si="73"/>
        <v>0.97683036828577885</v>
      </c>
      <c r="F723" s="70">
        <f t="shared" ref="F723:F786" si="77">E723*60*1012/1000000</f>
        <v>5.9313139962312494E-2</v>
      </c>
      <c r="G723" s="67">
        <f>E723/'Lookup Tables'!$C$48</f>
        <v>1.9536607365715577</v>
      </c>
      <c r="H723" s="70">
        <f t="shared" si="74"/>
        <v>2.4748314866308055E-4</v>
      </c>
      <c r="I723" s="71">
        <f t="shared" ref="I723:I786" si="78">G723*60*24/1000000</f>
        <v>2.8132714606630433E-3</v>
      </c>
      <c r="L723" s="74"/>
      <c r="M723" s="74"/>
      <c r="N723" s="74"/>
      <c r="O723" s="74"/>
      <c r="P723" s="74"/>
      <c r="Q723" s="74"/>
      <c r="R723" s="74"/>
      <c r="S723" s="74"/>
      <c r="T723" s="74"/>
      <c r="U723" s="74"/>
      <c r="V723" s="74"/>
      <c r="W723" s="74"/>
      <c r="X723" s="74"/>
      <c r="Y723" s="74"/>
    </row>
    <row r="724" spans="1:25" x14ac:dyDescent="0.3">
      <c r="A724" s="66">
        <f t="shared" si="76"/>
        <v>2061.6999999999348</v>
      </c>
      <c r="B724" s="67">
        <f>LOOKUP(A724+0.01,AmountsB!$A$4:$A$103,AmountsB!$B$4:$B$103)*0.1*$A$2</f>
        <v>0</v>
      </c>
      <c r="C724" s="68">
        <f t="shared" si="75"/>
        <v>2074573.74105891</v>
      </c>
      <c r="D724" s="67">
        <f t="array" ref="D724">SUM($B$7:$B719*$F$1009*EXP(-$F$1009*($A724-$A$7:$A719)))*$F$1010</f>
        <v>505268.62442849862</v>
      </c>
      <c r="E724" s="67">
        <f t="shared" si="73"/>
        <v>0.96325002732800602</v>
      </c>
      <c r="F724" s="70">
        <f t="shared" si="77"/>
        <v>5.8488541659356533E-2</v>
      </c>
      <c r="G724" s="67">
        <f>E724/'Lookup Tables'!$C$48</f>
        <v>1.926500054656012</v>
      </c>
      <c r="H724" s="70">
        <f t="shared" si="74"/>
        <v>2.4404252514310763E-4</v>
      </c>
      <c r="I724" s="71">
        <f t="shared" si="78"/>
        <v>2.7741600787046573E-3</v>
      </c>
      <c r="L724" s="74"/>
      <c r="M724" s="74"/>
      <c r="N724" s="74"/>
      <c r="O724" s="74"/>
      <c r="P724" s="74"/>
      <c r="Q724" s="74"/>
      <c r="R724" s="74"/>
      <c r="S724" s="74"/>
      <c r="T724" s="74"/>
      <c r="U724" s="74"/>
      <c r="V724" s="74"/>
      <c r="W724" s="74"/>
      <c r="X724" s="74"/>
      <c r="Y724" s="74"/>
    </row>
    <row r="725" spans="1:25" x14ac:dyDescent="0.3">
      <c r="A725" s="66">
        <f t="shared" si="76"/>
        <v>2061.7999999999347</v>
      </c>
      <c r="B725" s="67">
        <f>LOOKUP(A725+0.01,AmountsB!$A$4:$A$103,AmountsB!$B$4:$B$103)*0.1*$A$2</f>
        <v>0</v>
      </c>
      <c r="C725" s="68">
        <f t="shared" si="75"/>
        <v>2074573.74105891</v>
      </c>
      <c r="D725" s="67">
        <f t="array" ref="D725">SUM($B$7:$B720*$F$1009*EXP(-$F$1009*($A725-$A$7:$A720)))*$F$1010</f>
        <v>498244.14974202309</v>
      </c>
      <c r="E725" s="67">
        <f t="shared" si="73"/>
        <v>0.94985848645929338</v>
      </c>
      <c r="F725" s="70">
        <f t="shared" si="77"/>
        <v>5.7675407297808297E-2</v>
      </c>
      <c r="G725" s="67">
        <f>E725/'Lookup Tables'!$C$48</f>
        <v>1.8997169729185868</v>
      </c>
      <c r="H725" s="70">
        <f t="shared" si="74"/>
        <v>2.4064973473932923E-4</v>
      </c>
      <c r="I725" s="71">
        <f t="shared" si="78"/>
        <v>2.7355924410027649E-3</v>
      </c>
      <c r="L725" s="74"/>
      <c r="M725" s="74"/>
      <c r="N725" s="74"/>
      <c r="O725" s="74"/>
      <c r="P725" s="74"/>
      <c r="Q725" s="74"/>
      <c r="R725" s="74"/>
      <c r="S725" s="74"/>
      <c r="T725" s="74"/>
      <c r="U725" s="74"/>
      <c r="V725" s="74"/>
      <c r="W725" s="74"/>
      <c r="X725" s="74"/>
      <c r="Y725" s="74"/>
    </row>
    <row r="726" spans="1:25" x14ac:dyDescent="0.3">
      <c r="A726" s="66">
        <f t="shared" si="76"/>
        <v>2061.8999999999346</v>
      </c>
      <c r="B726" s="67">
        <f>LOOKUP(A726+0.01,AmountsB!$A$4:$A$103,AmountsB!$B$4:$B$103)*0.1*$A$2</f>
        <v>0</v>
      </c>
      <c r="C726" s="68">
        <f t="shared" si="75"/>
        <v>2074573.74105891</v>
      </c>
      <c r="D726" s="67">
        <f t="array" ref="D726">SUM($B$7:$B721*$F$1009*EXP(-$F$1009*($A726-$A$7:$A721)))*$F$1010</f>
        <v>491317.33250395278</v>
      </c>
      <c r="E726" s="67">
        <f t="shared" si="73"/>
        <v>0.93665312089475983</v>
      </c>
      <c r="F726" s="70">
        <f t="shared" si="77"/>
        <v>5.6873577500729813E-2</v>
      </c>
      <c r="G726" s="67">
        <f>E726/'Lookup Tables'!$C$48</f>
        <v>1.8733062417895197</v>
      </c>
      <c r="H726" s="70">
        <f t="shared" si="74"/>
        <v>2.3730411245396463E-4</v>
      </c>
      <c r="I726" s="71">
        <f t="shared" si="78"/>
        <v>2.6975609881769082E-3</v>
      </c>
      <c r="L726" s="74"/>
      <c r="M726" s="74"/>
      <c r="N726" s="74"/>
      <c r="O726" s="74"/>
      <c r="P726" s="74"/>
      <c r="Q726" s="74"/>
      <c r="R726" s="74"/>
      <c r="S726" s="74"/>
      <c r="T726" s="74"/>
      <c r="U726" s="74"/>
      <c r="V726" s="74"/>
      <c r="W726" s="74"/>
      <c r="X726" s="74"/>
      <c r="Y726" s="74"/>
    </row>
    <row r="727" spans="1:25" x14ac:dyDescent="0.3">
      <c r="A727" s="66">
        <f t="shared" si="76"/>
        <v>2061.9999999999345</v>
      </c>
      <c r="B727" s="67">
        <f>LOOKUP(A727+0.01,AmountsB!$A$4:$A$103,AmountsB!$B$4:$B$103)*0.1*$A$2</f>
        <v>0</v>
      </c>
      <c r="C727" s="68">
        <f t="shared" si="75"/>
        <v>2074573.74105891</v>
      </c>
      <c r="D727" s="67">
        <f t="array" ref="D727">SUM($B$7:$B722*$F$1009*EXP(-$F$1009*($A727-$A$7:$A722)))*$F$1010</f>
        <v>484486.81503593409</v>
      </c>
      <c r="E727" s="67">
        <f t="shared" si="73"/>
        <v>0.92363134234048005</v>
      </c>
      <c r="F727" s="70">
        <f t="shared" si="77"/>
        <v>5.6082895106913951E-2</v>
      </c>
      <c r="G727" s="67">
        <f>E727/'Lookup Tables'!$C$48</f>
        <v>1.8472626846809601</v>
      </c>
      <c r="H727" s="70">
        <f t="shared" si="74"/>
        <v>2.3400500253433561E-4</v>
      </c>
      <c r="I727" s="71">
        <f t="shared" si="78"/>
        <v>2.6600582659405828E-3</v>
      </c>
      <c r="L727" s="74"/>
      <c r="M727" s="74"/>
      <c r="N727" s="74"/>
      <c r="O727" s="74"/>
      <c r="P727" s="74"/>
      <c r="Q727" s="74"/>
      <c r="R727" s="74"/>
      <c r="S727" s="74"/>
      <c r="T727" s="74"/>
      <c r="U727" s="74"/>
      <c r="V727" s="74"/>
      <c r="W727" s="74"/>
      <c r="X727" s="74"/>
      <c r="Y727" s="74"/>
    </row>
    <row r="728" spans="1:25" x14ac:dyDescent="0.3">
      <c r="A728" s="66">
        <f t="shared" si="76"/>
        <v>2062.0999999999344</v>
      </c>
      <c r="B728" s="67">
        <f>LOOKUP(A728+0.01,AmountsB!$A$4:$A$103,AmountsB!$B$4:$B$103)*0.1*$A$2</f>
        <v>0</v>
      </c>
      <c r="C728" s="68">
        <f t="shared" si="75"/>
        <v>2074573.74105891</v>
      </c>
      <c r="D728" s="67">
        <f t="array" ref="D728">SUM($B$7:$B723*$F$1009*EXP(-$F$1009*($A728-$A$7:$A723)))*$F$1010</f>
        <v>477751.25853467593</v>
      </c>
      <c r="E728" s="67">
        <f t="shared" si="73"/>
        <v>0.91079059848616939</v>
      </c>
      <c r="F728" s="70">
        <f t="shared" si="77"/>
        <v>5.5303205140080205E-2</v>
      </c>
      <c r="G728" s="67">
        <f>E728/'Lookup Tables'!$C$48</f>
        <v>1.8215811969723388</v>
      </c>
      <c r="H728" s="70">
        <f t="shared" si="74"/>
        <v>2.3075175834433596E-4</v>
      </c>
      <c r="I728" s="71">
        <f t="shared" si="78"/>
        <v>2.623076923640168E-3</v>
      </c>
      <c r="L728" s="74"/>
      <c r="M728" s="74"/>
      <c r="N728" s="74"/>
      <c r="O728" s="74"/>
      <c r="P728" s="74"/>
      <c r="Q728" s="74"/>
      <c r="R728" s="74"/>
      <c r="S728" s="74"/>
      <c r="T728" s="74"/>
      <c r="U728" s="74"/>
      <c r="V728" s="74"/>
      <c r="W728" s="74"/>
      <c r="X728" s="74"/>
      <c r="Y728" s="74"/>
    </row>
    <row r="729" spans="1:25" x14ac:dyDescent="0.3">
      <c r="A729" s="66">
        <f t="shared" si="76"/>
        <v>2062.1999999999343</v>
      </c>
      <c r="B729" s="67">
        <f>LOOKUP(A729+0.01,AmountsB!$A$4:$A$103,AmountsB!$B$4:$B$103)*0.1*$A$2</f>
        <v>0</v>
      </c>
      <c r="C729" s="68">
        <f t="shared" si="75"/>
        <v>2074573.74105891</v>
      </c>
      <c r="D729" s="67">
        <f t="array" ref="D729">SUM($B$7:$B724*$F$1009*EXP(-$F$1009*($A729-$A$7:$A724)))*$F$1010</f>
        <v>471109.34280954162</v>
      </c>
      <c r="E729" s="67">
        <f t="shared" si="73"/>
        <v>0.8981283725049255</v>
      </c>
      <c r="F729" s="70">
        <f t="shared" si="77"/>
        <v>5.4534354778499071E-2</v>
      </c>
      <c r="G729" s="67">
        <f>E729/'Lookup Tables'!$C$48</f>
        <v>1.796256745009851</v>
      </c>
      <c r="H729" s="70">
        <f t="shared" si="74"/>
        <v>2.2754374223768998E-4</v>
      </c>
      <c r="I729" s="71">
        <f t="shared" si="78"/>
        <v>2.5866097128141854E-3</v>
      </c>
      <c r="L729" s="74"/>
      <c r="M729" s="74"/>
      <c r="N729" s="74"/>
      <c r="O729" s="74"/>
      <c r="P729" s="74"/>
      <c r="Q729" s="74"/>
      <c r="R729" s="74"/>
      <c r="S729" s="74"/>
      <c r="T729" s="74"/>
      <c r="U729" s="74"/>
      <c r="V729" s="74"/>
      <c r="W729" s="74"/>
      <c r="X729" s="74"/>
      <c r="Y729" s="74"/>
    </row>
    <row r="730" spans="1:25" x14ac:dyDescent="0.3">
      <c r="A730" s="66">
        <f t="shared" si="76"/>
        <v>2062.2999999999342</v>
      </c>
      <c r="B730" s="67">
        <f>LOOKUP(A730+0.01,AmountsB!$A$4:$A$103,AmountsB!$B$4:$B$103)*0.1*$A$2</f>
        <v>0</v>
      </c>
      <c r="C730" s="68">
        <f t="shared" si="75"/>
        <v>2074573.74105891</v>
      </c>
      <c r="D730" s="67">
        <f t="array" ref="D730">SUM($B$7:$B725*$F$1009*EXP(-$F$1009*($A730-$A$7:$A725)))*$F$1010</f>
        <v>464559.76602378575</v>
      </c>
      <c r="E730" s="67">
        <f t="shared" si="73"/>
        <v>0.88564218255991922</v>
      </c>
      <c r="F730" s="70">
        <f t="shared" si="77"/>
        <v>5.3776193325038295E-2</v>
      </c>
      <c r="G730" s="67">
        <f>E730/'Lookup Tables'!$C$48</f>
        <v>1.7712843651198384</v>
      </c>
      <c r="H730" s="70">
        <f t="shared" si="74"/>
        <v>2.243803254329706E-4</v>
      </c>
      <c r="I730" s="71">
        <f t="shared" si="78"/>
        <v>2.5506494857725675E-3</v>
      </c>
      <c r="L730" s="74"/>
      <c r="M730" s="74"/>
      <c r="N730" s="74"/>
      <c r="O730" s="74"/>
      <c r="P730" s="74"/>
      <c r="Q730" s="74"/>
      <c r="R730" s="74"/>
      <c r="S730" s="74"/>
      <c r="T730" s="74"/>
      <c r="U730" s="74"/>
      <c r="V730" s="74"/>
      <c r="W730" s="74"/>
      <c r="X730" s="74"/>
      <c r="Y730" s="74"/>
    </row>
    <row r="731" spans="1:25" x14ac:dyDescent="0.3">
      <c r="A731" s="66">
        <f t="shared" si="76"/>
        <v>2062.3999999999342</v>
      </c>
      <c r="B731" s="67">
        <f>LOOKUP(A731+0.01,AmountsB!$A$4:$A$103,AmountsB!$B$4:$B$103)*0.1*$A$2</f>
        <v>0</v>
      </c>
      <c r="C731" s="68">
        <f t="shared" si="75"/>
        <v>2074573.74105891</v>
      </c>
      <c r="D731" s="67">
        <f t="array" ref="D731">SUM($B$7:$B726*$F$1009*EXP(-$F$1009*($A731-$A$7:$A726)))*$F$1010</f>
        <v>458101.2444393906</v>
      </c>
      <c r="E731" s="67">
        <f t="shared" si="73"/>
        <v>0.87332958131794858</v>
      </c>
      <c r="F731" s="70">
        <f t="shared" si="77"/>
        <v>5.3028572177625834E-2</v>
      </c>
      <c r="G731" s="67">
        <f>E731/'Lookup Tables'!$C$48</f>
        <v>1.7466591626358972</v>
      </c>
      <c r="H731" s="70">
        <f t="shared" si="74"/>
        <v>2.2126088789035689E-4</v>
      </c>
      <c r="I731" s="71">
        <f t="shared" si="78"/>
        <v>2.5151891941956918E-3</v>
      </c>
      <c r="L731" s="74"/>
      <c r="M731" s="74"/>
      <c r="N731" s="74"/>
      <c r="O731" s="74"/>
      <c r="P731" s="74"/>
      <c r="Q731" s="74"/>
      <c r="R731" s="74"/>
      <c r="S731" s="74"/>
      <c r="T731" s="74"/>
      <c r="U731" s="74"/>
      <c r="V731" s="74"/>
      <c r="W731" s="74"/>
      <c r="X731" s="74"/>
      <c r="Y731" s="74"/>
    </row>
    <row r="732" spans="1:25" x14ac:dyDescent="0.3">
      <c r="A732" s="66">
        <f t="shared" si="76"/>
        <v>2062.4999999999341</v>
      </c>
      <c r="B732" s="67">
        <f>LOOKUP(A732+0.01,AmountsB!$A$4:$A$103,AmountsB!$B$4:$B$103)*0.1*$A$2</f>
        <v>0</v>
      </c>
      <c r="C732" s="68">
        <f t="shared" si="75"/>
        <v>2074573.74105891</v>
      </c>
      <c r="D732" s="67">
        <f t="array" ref="D732">SUM($B$7:$B727*$F$1009*EXP(-$F$1009*($A732-$A$7:$A727)))*$F$1010</f>
        <v>451732.51216544985</v>
      </c>
      <c r="E732" s="67">
        <f t="shared" si="73"/>
        <v>0.86118815546975347</v>
      </c>
      <c r="F732" s="70">
        <f t="shared" si="77"/>
        <v>5.2291344800123436E-2</v>
      </c>
      <c r="G732" s="67">
        <f>E732/'Lookup Tables'!$C$48</f>
        <v>1.7223763109395069</v>
      </c>
      <c r="H732" s="70">
        <f t="shared" si="74"/>
        <v>2.1818481819010414E-4</v>
      </c>
      <c r="I732" s="71">
        <f t="shared" si="78"/>
        <v>2.4802218877528902E-3</v>
      </c>
      <c r="L732" s="74"/>
      <c r="M732" s="74"/>
      <c r="N732" s="74"/>
      <c r="O732" s="74"/>
      <c r="P732" s="74"/>
      <c r="Q732" s="74"/>
      <c r="R732" s="74"/>
      <c r="S732" s="74"/>
      <c r="T732" s="74"/>
      <c r="U732" s="74"/>
      <c r="V732" s="74"/>
      <c r="W732" s="74"/>
      <c r="X732" s="74"/>
      <c r="Y732" s="74"/>
    </row>
    <row r="733" spans="1:25" x14ac:dyDescent="0.3">
      <c r="A733" s="66">
        <f t="shared" si="76"/>
        <v>2062.599999999934</v>
      </c>
      <c r="B733" s="67">
        <f>LOOKUP(A733+0.01,AmountsB!$A$4:$A$103,AmountsB!$B$4:$B$103)*0.1*$A$2</f>
        <v>0</v>
      </c>
      <c r="C733" s="68">
        <f t="shared" si="75"/>
        <v>2074573.74105891</v>
      </c>
      <c r="D733" s="67">
        <f t="array" ref="D733">SUM($B$7:$B728*$F$1009*EXP(-$F$1009*($A733-$A$7:$A728)))*$F$1010</f>
        <v>445452.32091004914</v>
      </c>
      <c r="E733" s="67">
        <f t="shared" si="73"/>
        <v>0.84921552525699839</v>
      </c>
      <c r="F733" s="70">
        <f t="shared" si="77"/>
        <v>5.1564366693604945E-2</v>
      </c>
      <c r="G733" s="67">
        <f>E733/'Lookup Tables'!$C$48</f>
        <v>1.6984310505139968</v>
      </c>
      <c r="H733" s="70">
        <f t="shared" si="74"/>
        <v>2.151515134127034E-4</v>
      </c>
      <c r="I733" s="71">
        <f t="shared" si="78"/>
        <v>2.4457407127401556E-3</v>
      </c>
      <c r="L733" s="74"/>
      <c r="M733" s="74"/>
      <c r="N733" s="74"/>
      <c r="O733" s="74"/>
      <c r="P733" s="74"/>
      <c r="Q733" s="74"/>
      <c r="R733" s="74"/>
      <c r="S733" s="74"/>
      <c r="T733" s="74"/>
      <c r="U733" s="74"/>
      <c r="V733" s="74"/>
      <c r="W733" s="74"/>
      <c r="X733" s="74"/>
      <c r="Y733" s="74"/>
    </row>
    <row r="734" spans="1:25" x14ac:dyDescent="0.3">
      <c r="A734" s="66">
        <f t="shared" si="76"/>
        <v>2062.6999999999339</v>
      </c>
      <c r="B734" s="67">
        <f>LOOKUP(A734+0.01,AmountsB!$A$4:$A$103,AmountsB!$B$4:$B$103)*0.1*$A$2</f>
        <v>0</v>
      </c>
      <c r="C734" s="68">
        <f t="shared" si="75"/>
        <v>2074573.74105891</v>
      </c>
      <c r="D734" s="67">
        <f t="array" ref="D734">SUM($B$7:$B729*$F$1009*EXP(-$F$1009*($A734-$A$7:$A729)))*$F$1010</f>
        <v>439259.43973559735</v>
      </c>
      <c r="E734" s="67">
        <f t="shared" si="73"/>
        <v>0.83740934400583322</v>
      </c>
      <c r="F734" s="70">
        <f t="shared" si="77"/>
        <v>5.0847495368034193E-2</v>
      </c>
      <c r="G734" s="67">
        <f>E734/'Lookup Tables'!$C$48</f>
        <v>1.6748186880116664</v>
      </c>
      <c r="H734" s="70">
        <f t="shared" si="74"/>
        <v>2.1216037902070775E-4</v>
      </c>
      <c r="I734" s="71">
        <f t="shared" si="78"/>
        <v>2.4117389107367999E-3</v>
      </c>
      <c r="L734" s="74"/>
      <c r="M734" s="74"/>
      <c r="N734" s="74"/>
      <c r="O734" s="74"/>
      <c r="P734" s="74"/>
      <c r="Q734" s="74"/>
      <c r="R734" s="74"/>
      <c r="S734" s="74"/>
      <c r="T734" s="74"/>
      <c r="U734" s="74"/>
      <c r="V734" s="74"/>
      <c r="W734" s="74"/>
      <c r="X734" s="74"/>
      <c r="Y734" s="74"/>
    </row>
    <row r="735" spans="1:25" x14ac:dyDescent="0.3">
      <c r="A735" s="66">
        <f t="shared" si="76"/>
        <v>2062.7999999999338</v>
      </c>
      <c r="B735" s="67">
        <f>LOOKUP(A735+0.01,AmountsB!$A$4:$A$103,AmountsB!$B$4:$B$103)*0.1*$A$2</f>
        <v>0</v>
      </c>
      <c r="C735" s="68">
        <f t="shared" si="75"/>
        <v>2074573.74105891</v>
      </c>
      <c r="D735" s="67">
        <f t="array" ref="D735">SUM($B$7:$B730*$F$1009*EXP(-$F$1009*($A735-$A$7:$A730)))*$F$1010</f>
        <v>433152.65481755859</v>
      </c>
      <c r="E735" s="67">
        <f t="shared" si="73"/>
        <v>0.82576729766693668</v>
      </c>
      <c r="F735" s="70">
        <f t="shared" si="77"/>
        <v>5.0140590314336389E-2</v>
      </c>
      <c r="G735" s="67">
        <f>E735/'Lookup Tables'!$C$48</f>
        <v>1.6515345953338734</v>
      </c>
      <c r="H735" s="70">
        <f t="shared" si="74"/>
        <v>2.092108287422005E-4</v>
      </c>
      <c r="I735" s="71">
        <f t="shared" si="78"/>
        <v>2.3782098172807774E-3</v>
      </c>
      <c r="L735" s="74"/>
      <c r="M735" s="74"/>
      <c r="N735" s="74"/>
      <c r="O735" s="74"/>
      <c r="P735" s="74"/>
      <c r="Q735" s="74"/>
      <c r="R735" s="74"/>
      <c r="S735" s="74"/>
      <c r="T735" s="74"/>
      <c r="U735" s="74"/>
      <c r="V735" s="74"/>
      <c r="W735" s="74"/>
      <c r="X735" s="74"/>
      <c r="Y735" s="74"/>
    </row>
    <row r="736" spans="1:25" x14ac:dyDescent="0.3">
      <c r="A736" s="66">
        <f t="shared" si="76"/>
        <v>2062.8999999999337</v>
      </c>
      <c r="B736" s="67">
        <f>LOOKUP(A736+0.01,AmountsB!$A$4:$A$103,AmountsB!$B$4:$B$103)*0.1*$A$2</f>
        <v>0</v>
      </c>
      <c r="C736" s="68">
        <f t="shared" si="75"/>
        <v>2074573.74105891</v>
      </c>
      <c r="D736" s="67">
        <f t="array" ref="D736">SUM($B$7:$B731*$F$1009*EXP(-$F$1009*($A736-$A$7:$A731)))*$F$1010</f>
        <v>427130.76920653915</v>
      </c>
      <c r="E736" s="67">
        <f t="shared" si="73"/>
        <v>0.8142871043619565</v>
      </c>
      <c r="F736" s="70">
        <f t="shared" si="77"/>
        <v>4.9443512976857999E-2</v>
      </c>
      <c r="G736" s="67">
        <f>E736/'Lookup Tables'!$C$48</f>
        <v>1.628574208723913</v>
      </c>
      <c r="H736" s="70">
        <f t="shared" si="74"/>
        <v>2.063022844558848E-4</v>
      </c>
      <c r="I736" s="71">
        <f t="shared" si="78"/>
        <v>2.3451468605624349E-3</v>
      </c>
      <c r="L736" s="74"/>
      <c r="M736" s="74"/>
      <c r="N736" s="74"/>
      <c r="O736" s="74"/>
      <c r="P736" s="74"/>
      <c r="Q736" s="74"/>
      <c r="R736" s="74"/>
      <c r="S736" s="74"/>
      <c r="T736" s="74"/>
      <c r="U736" s="74"/>
      <c r="V736" s="74"/>
      <c r="W736" s="74"/>
      <c r="X736" s="74"/>
      <c r="Y736" s="74"/>
    </row>
    <row r="737" spans="1:25" x14ac:dyDescent="0.3">
      <c r="A737" s="66">
        <f t="shared" si="76"/>
        <v>2062.9999999999336</v>
      </c>
      <c r="B737" s="67">
        <f>LOOKUP(A737+0.01,AmountsB!$A$4:$A$103,AmountsB!$B$4:$B$103)*0.1*$A$2</f>
        <v>0</v>
      </c>
      <c r="C737" s="68">
        <f t="shared" si="75"/>
        <v>2074573.74105891</v>
      </c>
      <c r="D737" s="67">
        <f t="array" ref="D737">SUM($B$7:$B732*$F$1009*EXP(-$F$1009*($A737-$A$7:$A732)))*$F$1010</f>
        <v>421192.6025936809</v>
      </c>
      <c r="E737" s="67">
        <f t="shared" si="73"/>
        <v>0.80296651393625229</v>
      </c>
      <c r="F737" s="70">
        <f t="shared" si="77"/>
        <v>4.8756126726209242E-2</v>
      </c>
      <c r="G737" s="67">
        <f>E737/'Lookup Tables'!$C$48</f>
        <v>1.6059330278725046</v>
      </c>
      <c r="H737" s="70">
        <f t="shared" si="74"/>
        <v>2.0343417607776899E-4</v>
      </c>
      <c r="I737" s="71">
        <f t="shared" si="78"/>
        <v>2.3125435601364071E-3</v>
      </c>
      <c r="L737" s="74"/>
      <c r="M737" s="74"/>
      <c r="N737" s="74"/>
      <c r="O737" s="74"/>
      <c r="P737" s="74"/>
      <c r="Q737" s="74"/>
      <c r="R737" s="74"/>
      <c r="S737" s="74"/>
      <c r="T737" s="74"/>
      <c r="U737" s="74"/>
      <c r="V737" s="74"/>
      <c r="W737" s="74"/>
      <c r="X737" s="74"/>
      <c r="Y737" s="74"/>
    </row>
    <row r="738" spans="1:25" x14ac:dyDescent="0.3">
      <c r="A738" s="66">
        <f t="shared" si="76"/>
        <v>2063.0999999999335</v>
      </c>
      <c r="B738" s="67">
        <f>LOOKUP(A738+0.01,AmountsB!$A$4:$A$103,AmountsB!$B$4:$B$103)*0.1*$A$2</f>
        <v>0</v>
      </c>
      <c r="C738" s="68">
        <f t="shared" si="75"/>
        <v>2074573.74105891</v>
      </c>
      <c r="D738" s="67">
        <f t="array" ref="D738">SUM($B$7:$B733*$F$1009*EXP(-$F$1009*($A738-$A$7:$A733)))*$F$1010</f>
        <v>415336.99107931758</v>
      </c>
      <c r="E738" s="67">
        <f t="shared" si="73"/>
        <v>0.79180330751785966</v>
      </c>
      <c r="F738" s="70">
        <f t="shared" si="77"/>
        <v>4.8078296832484442E-2</v>
      </c>
      <c r="G738" s="67">
        <f>E738/'Lookup Tables'!$C$48</f>
        <v>1.5836066150357193</v>
      </c>
      <c r="H738" s="70">
        <f t="shared" si="74"/>
        <v>2.0060594144942923E-4</v>
      </c>
      <c r="I738" s="71">
        <f t="shared" si="78"/>
        <v>2.2803935256514359E-3</v>
      </c>
      <c r="L738" s="74"/>
      <c r="M738" s="74"/>
      <c r="N738" s="74"/>
      <c r="O738" s="74"/>
      <c r="P738" s="74"/>
      <c r="Q738" s="74"/>
      <c r="R738" s="74"/>
      <c r="S738" s="74"/>
      <c r="T738" s="74"/>
      <c r="U738" s="74"/>
      <c r="V738" s="74"/>
      <c r="W738" s="74"/>
      <c r="X738" s="74"/>
      <c r="Y738" s="74"/>
    </row>
    <row r="739" spans="1:25" x14ac:dyDescent="0.3">
      <c r="A739" s="66">
        <f t="shared" si="76"/>
        <v>2063.1999999999334</v>
      </c>
      <c r="B739" s="67">
        <f>LOOKUP(A739+0.01,AmountsB!$A$4:$A$103,AmountsB!$B$4:$B$103)*0.1*$A$2</f>
        <v>0</v>
      </c>
      <c r="C739" s="68">
        <f t="shared" si="75"/>
        <v>2074573.74105891</v>
      </c>
      <c r="D739" s="67">
        <f t="array" ref="D739">SUM($B$7:$B734*$F$1009*EXP(-$F$1009*($A739-$A$7:$A734)))*$F$1010</f>
        <v>409562.78694484639</v>
      </c>
      <c r="E739" s="67">
        <f t="shared" si="73"/>
        <v>0.78079529708258288</v>
      </c>
      <c r="F739" s="70">
        <f t="shared" si="77"/>
        <v>4.7409890438854435E-2</v>
      </c>
      <c r="G739" s="67">
        <f>E739/'Lookup Tables'!$C$48</f>
        <v>1.5615905941651658</v>
      </c>
      <c r="H739" s="70">
        <f t="shared" si="74"/>
        <v>1.9781702622782406E-4</v>
      </c>
      <c r="I739" s="71">
        <f t="shared" si="78"/>
        <v>2.2486904555978383E-3</v>
      </c>
      <c r="L739" s="74"/>
      <c r="M739" s="74"/>
      <c r="N739" s="74"/>
      <c r="O739" s="74"/>
      <c r="P739" s="74"/>
      <c r="Q739" s="74"/>
      <c r="R739" s="74"/>
      <c r="S739" s="74"/>
      <c r="T739" s="74"/>
      <c r="U739" s="74"/>
      <c r="V739" s="74"/>
      <c r="W739" s="74"/>
      <c r="X739" s="74"/>
      <c r="Y739" s="74"/>
    </row>
    <row r="740" spans="1:25" x14ac:dyDescent="0.3">
      <c r="A740" s="66">
        <f t="shared" si="76"/>
        <v>2063.2999999999333</v>
      </c>
      <c r="B740" s="67">
        <f>LOOKUP(A740+0.01,AmountsB!$A$4:$A$103,AmountsB!$B$4:$B$103)*0.1*$A$2</f>
        <v>0</v>
      </c>
      <c r="C740" s="68">
        <f t="shared" si="75"/>
        <v>2074573.74105891</v>
      </c>
      <c r="D740" s="67">
        <f t="array" ref="D740">SUM($B$7:$B735*$F$1009*EXP(-$F$1009*($A740-$A$7:$A735)))*$F$1010</f>
        <v>403868.85842777189</v>
      </c>
      <c r="E740" s="67">
        <f t="shared" si="73"/>
        <v>0.76994032502513654</v>
      </c>
      <c r="F740" s="70">
        <f t="shared" si="77"/>
        <v>4.6750776535526298E-2</v>
      </c>
      <c r="G740" s="67">
        <f>E740/'Lookup Tables'!$C$48</f>
        <v>1.5398806500502731</v>
      </c>
      <c r="H740" s="70">
        <f t="shared" si="74"/>
        <v>1.9506688377664202E-4</v>
      </c>
      <c r="I740" s="71">
        <f t="shared" si="78"/>
        <v>2.2174281360723934E-3</v>
      </c>
      <c r="L740" s="74"/>
      <c r="M740" s="74"/>
      <c r="N740" s="74"/>
      <c r="O740" s="74"/>
      <c r="P740" s="74"/>
      <c r="Q740" s="74"/>
      <c r="R740" s="74"/>
      <c r="S740" s="74"/>
      <c r="T740" s="74"/>
      <c r="U740" s="74"/>
      <c r="V740" s="74"/>
      <c r="W740" s="74"/>
      <c r="X740" s="74"/>
      <c r="Y740" s="74"/>
    </row>
    <row r="741" spans="1:25" x14ac:dyDescent="0.3">
      <c r="A741" s="66">
        <f t="shared" si="76"/>
        <v>2063.3999999999332</v>
      </c>
      <c r="B741" s="67">
        <f>LOOKUP(A741+0.01,AmountsB!$A$4:$A$103,AmountsB!$B$4:$B$103)*0.1*$A$2</f>
        <v>0</v>
      </c>
      <c r="C741" s="68">
        <f t="shared" si="75"/>
        <v>2074573.74105891</v>
      </c>
      <c r="D741" s="67">
        <f t="array" ref="D741">SUM($B$7:$B736*$F$1009*EXP(-$F$1009*($A741-$A$7:$A736)))*$F$1010</f>
        <v>398254.08949987643</v>
      </c>
      <c r="E741" s="67">
        <f t="shared" si="73"/>
        <v>0.75923626373624653</v>
      </c>
      <c r="F741" s="70">
        <f t="shared" si="77"/>
        <v>4.6100825934064886E-2</v>
      </c>
      <c r="G741" s="67">
        <f>E741/'Lookup Tables'!$C$48</f>
        <v>1.5184725274724931</v>
      </c>
      <c r="H741" s="70">
        <f t="shared" si="74"/>
        <v>1.9235497505915819E-4</v>
      </c>
      <c r="I741" s="71">
        <f t="shared" si="78"/>
        <v>2.1866004395603902E-3</v>
      </c>
      <c r="L741" s="74"/>
      <c r="M741" s="74"/>
      <c r="N741" s="74"/>
      <c r="O741" s="74"/>
      <c r="P741" s="74"/>
      <c r="Q741" s="74"/>
      <c r="R741" s="74"/>
      <c r="S741" s="74"/>
      <c r="T741" s="74"/>
      <c r="U741" s="74"/>
      <c r="V741" s="74"/>
      <c r="W741" s="74"/>
      <c r="X741" s="74"/>
      <c r="Y741" s="74"/>
    </row>
    <row r="742" spans="1:25" x14ac:dyDescent="0.3">
      <c r="A742" s="66">
        <f t="shared" si="76"/>
        <v>2063.4999999999332</v>
      </c>
      <c r="B742" s="67">
        <f>LOOKUP(A742+0.01,AmountsB!$A$4:$A$103,AmountsB!$B$4:$B$103)*0.1*$A$2</f>
        <v>0</v>
      </c>
      <c r="C742" s="68">
        <f t="shared" si="75"/>
        <v>2074573.74105891</v>
      </c>
      <c r="D742" s="67">
        <f t="array" ref="D742">SUM($B$7:$B737*$F$1009*EXP(-$F$1009*($A742-$A$7:$A737)))*$F$1010</f>
        <v>392717.37964847515</v>
      </c>
      <c r="E742" s="67">
        <f t="shared" si="73"/>
        <v>0.74868101518563279</v>
      </c>
      <c r="F742" s="70">
        <f t="shared" si="77"/>
        <v>4.5459911242071618E-2</v>
      </c>
      <c r="G742" s="67">
        <f>E742/'Lookup Tables'!$C$48</f>
        <v>1.4973620303712656</v>
      </c>
      <c r="H742" s="70">
        <f t="shared" si="74"/>
        <v>1.8968076853258234E-4</v>
      </c>
      <c r="I742" s="71">
        <f t="shared" si="78"/>
        <v>2.1562013237346224E-3</v>
      </c>
      <c r="L742" s="74"/>
      <c r="M742" s="74"/>
      <c r="N742" s="74"/>
      <c r="O742" s="74"/>
      <c r="P742" s="74"/>
      <c r="Q742" s="74"/>
      <c r="R742" s="74"/>
      <c r="S742" s="74"/>
      <c r="T742" s="74"/>
      <c r="U742" s="74"/>
      <c r="V742" s="74"/>
      <c r="W742" s="74"/>
      <c r="X742" s="74"/>
      <c r="Y742" s="74"/>
    </row>
    <row r="743" spans="1:25" x14ac:dyDescent="0.3">
      <c r="A743" s="66">
        <f t="shared" si="76"/>
        <v>2063.5999999999331</v>
      </c>
      <c r="B743" s="67">
        <f>LOOKUP(A743+0.01,AmountsB!$A$4:$A$103,AmountsB!$B$4:$B$103)*0.1*$A$2</f>
        <v>0</v>
      </c>
      <c r="C743" s="68">
        <f t="shared" si="75"/>
        <v>2074573.74105891</v>
      </c>
      <c r="D743" s="67">
        <f t="array" ref="D743">SUM($B$7:$B738*$F$1009*EXP(-$F$1009*($A743-$A$7:$A738)))*$F$1010</f>
        <v>387257.64366071229</v>
      </c>
      <c r="E743" s="67">
        <f t="shared" si="73"/>
        <v>0.73827251051078835</v>
      </c>
      <c r="F743" s="70">
        <f t="shared" si="77"/>
        <v>4.4827906838215074E-2</v>
      </c>
      <c r="G743" s="67">
        <f>E743/'Lookup Tables'!$C$48</f>
        <v>1.4765450210215767</v>
      </c>
      <c r="H743" s="70">
        <f t="shared" si="74"/>
        <v>1.8704374004387421E-4</v>
      </c>
      <c r="I743" s="71">
        <f t="shared" si="78"/>
        <v>2.1262248302710706E-3</v>
      </c>
      <c r="L743" s="74"/>
      <c r="M743" s="74"/>
      <c r="N743" s="74"/>
      <c r="O743" s="74"/>
      <c r="P743" s="74"/>
      <c r="Q743" s="74"/>
      <c r="R743" s="74"/>
      <c r="S743" s="74"/>
      <c r="T743" s="74"/>
      <c r="U743" s="74"/>
      <c r="V743" s="74"/>
      <c r="W743" s="74"/>
      <c r="X743" s="74"/>
      <c r="Y743" s="74"/>
    </row>
    <row r="744" spans="1:25" x14ac:dyDescent="0.3">
      <c r="A744" s="66">
        <f t="shared" si="76"/>
        <v>2063.699999999933</v>
      </c>
      <c r="B744" s="67">
        <f>LOOKUP(A744+0.01,AmountsB!$A$4:$A$103,AmountsB!$B$4:$B$103)*0.1*$A$2</f>
        <v>0</v>
      </c>
      <c r="C744" s="68">
        <f t="shared" si="75"/>
        <v>2074573.74105891</v>
      </c>
      <c r="D744" s="67">
        <f t="array" ref="D744">SUM($B$7:$B739*$F$1009*EXP(-$F$1009*($A744-$A$7:$A739)))*$F$1010</f>
        <v>381873.81141085573</v>
      </c>
      <c r="E744" s="67">
        <f t="shared" si="73"/>
        <v>0.72800870961147568</v>
      </c>
      <c r="F744" s="70">
        <f t="shared" si="77"/>
        <v>4.4204688847608802E-2</v>
      </c>
      <c r="G744" s="67">
        <f>E744/'Lookup Tables'!$C$48</f>
        <v>1.4560174192229514</v>
      </c>
      <c r="H744" s="70">
        <f t="shared" si="74"/>
        <v>1.8444337272700782E-4</v>
      </c>
      <c r="I744" s="71">
        <f t="shared" si="78"/>
        <v>2.0966650836810501E-3</v>
      </c>
      <c r="L744" s="74"/>
      <c r="M744" s="74"/>
      <c r="N744" s="74"/>
      <c r="O744" s="74"/>
      <c r="P744" s="74"/>
      <c r="Q744" s="74"/>
      <c r="R744" s="74"/>
      <c r="S744" s="74"/>
      <c r="T744" s="74"/>
      <c r="U744" s="74"/>
      <c r="V744" s="74"/>
      <c r="W744" s="74"/>
      <c r="X744" s="74"/>
      <c r="Y744" s="74"/>
    </row>
    <row r="745" spans="1:25" x14ac:dyDescent="0.3">
      <c r="A745" s="66">
        <f t="shared" si="76"/>
        <v>2063.7999999999329</v>
      </c>
      <c r="B745" s="67">
        <f>LOOKUP(A745+0.01,AmountsB!$A$4:$A$103,AmountsB!$B$4:$B$103)*0.1*$A$2</f>
        <v>0</v>
      </c>
      <c r="C745" s="68">
        <f t="shared" si="75"/>
        <v>2074573.74105891</v>
      </c>
      <c r="D745" s="67">
        <f t="array" ref="D745">SUM($B$7:$B740*$F$1009*EXP(-$F$1009*($A745-$A$7:$A740)))*$F$1010</f>
        <v>376564.82765054883</v>
      </c>
      <c r="E745" s="67">
        <f t="shared" si="73"/>
        <v>0.71788760074986013</v>
      </c>
      <c r="F745" s="70">
        <f t="shared" si="77"/>
        <v>4.3590135117531507E-2</v>
      </c>
      <c r="G745" s="67">
        <f>E745/'Lookup Tables'!$C$48</f>
        <v>1.4357752014997203</v>
      </c>
      <c r="H745" s="70">
        <f t="shared" si="74"/>
        <v>1.8187915690166443E-4</v>
      </c>
      <c r="I745" s="71">
        <f t="shared" si="78"/>
        <v>2.0675162901595974E-3</v>
      </c>
      <c r="L745" s="74"/>
      <c r="M745" s="74"/>
      <c r="N745" s="74"/>
      <c r="O745" s="74"/>
      <c r="P745" s="74"/>
      <c r="Q745" s="74"/>
      <c r="R745" s="74"/>
      <c r="S745" s="74"/>
      <c r="T745" s="74"/>
      <c r="U745" s="74"/>
      <c r="V745" s="74"/>
      <c r="W745" s="74"/>
      <c r="X745" s="74"/>
      <c r="Y745" s="74"/>
    </row>
    <row r="746" spans="1:25" x14ac:dyDescent="0.3">
      <c r="A746" s="66">
        <f t="shared" si="76"/>
        <v>2063.8999999999328</v>
      </c>
      <c r="B746" s="67">
        <f>LOOKUP(A746+0.01,AmountsB!$A$4:$A$103,AmountsB!$B$4:$B$103)*0.1*$A$2</f>
        <v>0</v>
      </c>
      <c r="C746" s="68">
        <f t="shared" si="75"/>
        <v>2074573.74105891</v>
      </c>
      <c r="D746" s="67">
        <f t="array" ref="D746">SUM($B$7:$B741*$F$1009*EXP(-$F$1009*($A746-$A$7:$A741)))*$F$1010</f>
        <v>371329.6518019787</v>
      </c>
      <c r="E746" s="67">
        <f t="shared" si="73"/>
        <v>0.70790720015620379</v>
      </c>
      <c r="F746" s="70">
        <f t="shared" si="77"/>
        <v>4.2984125193484699E-2</v>
      </c>
      <c r="G746" s="67">
        <f>E746/'Lookup Tables'!$C$48</f>
        <v>1.4158144003124076</v>
      </c>
      <c r="H746" s="70">
        <f t="shared" si="74"/>
        <v>1.7935058997333328E-4</v>
      </c>
      <c r="I746" s="71">
        <f t="shared" si="78"/>
        <v>2.0387727364498667E-3</v>
      </c>
      <c r="L746" s="74"/>
      <c r="M746" s="74"/>
      <c r="N746" s="74"/>
      <c r="O746" s="74"/>
      <c r="P746" s="74"/>
      <c r="Q746" s="74"/>
      <c r="R746" s="74"/>
      <c r="S746" s="74"/>
      <c r="T746" s="74"/>
      <c r="U746" s="74"/>
      <c r="V746" s="74"/>
      <c r="W746" s="74"/>
      <c r="X746" s="74"/>
      <c r="Y746" s="74"/>
    </row>
    <row r="747" spans="1:25" x14ac:dyDescent="0.3">
      <c r="A747" s="66">
        <f t="shared" si="76"/>
        <v>2063.9999999999327</v>
      </c>
      <c r="B747" s="67">
        <f>LOOKUP(A747+0.01,AmountsB!$A$4:$A$103,AmountsB!$B$4:$B$103)*0.1*$A$2</f>
        <v>0</v>
      </c>
      <c r="C747" s="68">
        <f t="shared" si="75"/>
        <v>2074573.74105891</v>
      </c>
      <c r="D747" s="67">
        <f t="array" ref="D747">SUM($B$7:$B742*$F$1009*EXP(-$F$1009*($A747-$A$7:$A742)))*$F$1010</f>
        <v>366167.25775391946</v>
      </c>
      <c r="E747" s="67">
        <f t="shared" si="73"/>
        <v>0.69806555164003969</v>
      </c>
      <c r="F747" s="70">
        <f t="shared" si="77"/>
        <v>4.2386540295583211E-2</v>
      </c>
      <c r="G747" s="67">
        <f>E747/'Lookup Tables'!$C$48</f>
        <v>1.3961311032800794</v>
      </c>
      <c r="H747" s="70">
        <f t="shared" si="74"/>
        <v>1.7685717633480168E-4</v>
      </c>
      <c r="I747" s="71">
        <f t="shared" si="78"/>
        <v>2.0104287887233144E-3</v>
      </c>
      <c r="L747" s="74"/>
      <c r="M747" s="74"/>
      <c r="N747" s="74"/>
      <c r="O747" s="74"/>
      <c r="P747" s="74"/>
      <c r="Q747" s="74"/>
      <c r="R747" s="74"/>
      <c r="S747" s="74"/>
      <c r="T747" s="74"/>
      <c r="U747" s="74"/>
      <c r="V747" s="74"/>
      <c r="W747" s="74"/>
      <c r="X747" s="74"/>
      <c r="Y747" s="74"/>
    </row>
    <row r="748" spans="1:25" x14ac:dyDescent="0.3">
      <c r="A748" s="66">
        <f t="shared" si="76"/>
        <v>2064.0999999999326</v>
      </c>
      <c r="B748" s="67">
        <f>LOOKUP(A748+0.01,AmountsB!$A$4:$A$103,AmountsB!$B$4:$B$103)*0.1*$A$2</f>
        <v>0</v>
      </c>
      <c r="C748" s="68">
        <f t="shared" si="75"/>
        <v>2074573.74105891</v>
      </c>
      <c r="D748" s="67">
        <f t="array" ref="D748">SUM($B$7:$B743*$F$1009*EXP(-$F$1009*($A748-$A$7:$A743)))*$F$1010</f>
        <v>361076.63366061106</v>
      </c>
      <c r="E748" s="67">
        <f t="shared" si="73"/>
        <v>0.68836072620675215</v>
      </c>
      <c r="F748" s="70">
        <f t="shared" si="77"/>
        <v>4.1797263295273987E-2</v>
      </c>
      <c r="G748" s="67">
        <f>E748/'Lookup Tables'!$C$48</f>
        <v>1.3767214524135043</v>
      </c>
      <c r="H748" s="70">
        <f t="shared" si="74"/>
        <v>1.7439842726901415E-4</v>
      </c>
      <c r="I748" s="71">
        <f t="shared" si="78"/>
        <v>1.9824788914754462E-3</v>
      </c>
      <c r="L748" s="74"/>
      <c r="M748" s="74"/>
      <c r="N748" s="74"/>
      <c r="O748" s="74"/>
      <c r="P748" s="74"/>
      <c r="Q748" s="74"/>
      <c r="R748" s="74"/>
      <c r="S748" s="74"/>
      <c r="T748" s="74"/>
      <c r="U748" s="74"/>
      <c r="V748" s="74"/>
      <c r="W748" s="74"/>
      <c r="X748" s="74"/>
      <c r="Y748" s="74"/>
    </row>
    <row r="749" spans="1:25" x14ac:dyDescent="0.3">
      <c r="A749" s="66">
        <f t="shared" si="76"/>
        <v>2064.1999999999325</v>
      </c>
      <c r="B749" s="67">
        <f>LOOKUP(A749+0.01,AmountsB!$A$4:$A$103,AmountsB!$B$4:$B$103)*0.1*$A$2</f>
        <v>0</v>
      </c>
      <c r="C749" s="68">
        <f t="shared" si="75"/>
        <v>2074573.74105891</v>
      </c>
      <c r="D749" s="67">
        <f t="array" ref="D749">SUM($B$7:$B744*$F$1009*EXP(-$F$1009*($A749-$A$7:$A744)))*$F$1010</f>
        <v>356056.78174343408</v>
      </c>
      <c r="E749" s="67">
        <f t="shared" si="73"/>
        <v>0.67879082167948712</v>
      </c>
      <c r="F749" s="70">
        <f t="shared" si="77"/>
        <v>4.1216178692378459E-2</v>
      </c>
      <c r="G749" s="67">
        <f>E749/'Lookup Tables'!$C$48</f>
        <v>1.3575816433589742</v>
      </c>
      <c r="H749" s="70">
        <f t="shared" si="74"/>
        <v>1.7197386085328236E-4</v>
      </c>
      <c r="I749" s="71">
        <f t="shared" si="78"/>
        <v>1.954917566436923E-3</v>
      </c>
      <c r="L749" s="74"/>
      <c r="M749" s="74"/>
      <c r="N749" s="74"/>
      <c r="O749" s="74"/>
      <c r="P749" s="74"/>
      <c r="Q749" s="74"/>
      <c r="R749" s="74"/>
      <c r="S749" s="74"/>
      <c r="T749" s="74"/>
      <c r="U749" s="74"/>
      <c r="V749" s="74"/>
      <c r="W749" s="74"/>
      <c r="X749" s="74"/>
      <c r="Y749" s="74"/>
    </row>
    <row r="750" spans="1:25" x14ac:dyDescent="0.3">
      <c r="A750" s="66">
        <f t="shared" si="76"/>
        <v>2064.2999999999324</v>
      </c>
      <c r="B750" s="67">
        <f>LOOKUP(A750+0.01,AmountsB!$A$4:$A$103,AmountsB!$B$4:$B$103)*0.1*$A$2</f>
        <v>0</v>
      </c>
      <c r="C750" s="68">
        <f t="shared" si="75"/>
        <v>2074573.74105891</v>
      </c>
      <c r="D750" s="67">
        <f t="array" ref="D750">SUM($B$7:$B745*$F$1009*EXP(-$F$1009*($A750-$A$7:$A745)))*$F$1010</f>
        <v>351106.71809534269</v>
      </c>
      <c r="E750" s="67">
        <f t="shared" si="73"/>
        <v>0.66935396232632105</v>
      </c>
      <c r="F750" s="70">
        <f t="shared" si="77"/>
        <v>4.0643172592454209E-2</v>
      </c>
      <c r="G750" s="67">
        <f>E750/'Lookup Tables'!$C$48</f>
        <v>1.3387079246526421</v>
      </c>
      <c r="H750" s="70">
        <f t="shared" si="74"/>
        <v>1.6958300186482704E-4</v>
      </c>
      <c r="I750" s="71">
        <f t="shared" si="78"/>
        <v>1.9277394114998046E-3</v>
      </c>
      <c r="L750" s="74"/>
      <c r="M750" s="74"/>
      <c r="N750" s="74"/>
      <c r="O750" s="74"/>
      <c r="P750" s="74"/>
      <c r="Q750" s="74"/>
      <c r="R750" s="74"/>
      <c r="S750" s="74"/>
      <c r="T750" s="74"/>
      <c r="U750" s="74"/>
      <c r="V750" s="74"/>
      <c r="W750" s="74"/>
      <c r="X750" s="74"/>
      <c r="Y750" s="74"/>
    </row>
    <row r="751" spans="1:25" x14ac:dyDescent="0.3">
      <c r="A751" s="66">
        <f t="shared" si="76"/>
        <v>2064.3999999999323</v>
      </c>
      <c r="B751" s="67">
        <f>LOOKUP(A751+0.01,AmountsB!$A$4:$A$103,AmountsB!$B$4:$B$103)*0.1*$A$2</f>
        <v>0</v>
      </c>
      <c r="C751" s="68">
        <f t="shared" si="75"/>
        <v>2074573.74105891</v>
      </c>
      <c r="D751" s="67">
        <f t="array" ref="D751">SUM($B$7:$B746*$F$1009*EXP(-$F$1009*($A751-$A$7:$A746)))*$F$1010</f>
        <v>346225.47248801473</v>
      </c>
      <c r="E751" s="67">
        <f t="shared" si="73"/>
        <v>0.66004829849260971</v>
      </c>
      <c r="F751" s="70">
        <f t="shared" si="77"/>
        <v>4.007813268447126E-2</v>
      </c>
      <c r="G751" s="67">
        <f>E751/'Lookup Tables'!$C$48</f>
        <v>1.3200965969852194</v>
      </c>
      <c r="H751" s="70">
        <f t="shared" si="74"/>
        <v>1.6722538168763236E-4</v>
      </c>
      <c r="I751" s="71">
        <f t="shared" si="78"/>
        <v>1.9009390996587159E-3</v>
      </c>
      <c r="L751" s="74"/>
      <c r="M751" s="74"/>
      <c r="N751" s="74"/>
      <c r="O751" s="74"/>
      <c r="P751" s="74"/>
      <c r="Q751" s="74"/>
      <c r="R751" s="74"/>
      <c r="S751" s="74"/>
      <c r="T751" s="74"/>
      <c r="U751" s="74"/>
      <c r="V751" s="74"/>
      <c r="W751" s="74"/>
      <c r="X751" s="74"/>
      <c r="Y751" s="74"/>
    </row>
    <row r="752" spans="1:25" x14ac:dyDescent="0.3">
      <c r="A752" s="66">
        <f t="shared" si="76"/>
        <v>2064.4999999999322</v>
      </c>
      <c r="B752" s="67">
        <f>LOOKUP(A752+0.01,AmountsB!$A$4:$A$103,AmountsB!$B$4:$B$103)*0.1*$A$2</f>
        <v>0</v>
      </c>
      <c r="C752" s="68">
        <f t="shared" si="75"/>
        <v>2074573.74105891</v>
      </c>
      <c r="D752" s="67">
        <f t="array" ref="D752">SUM($B$7:$B747*$F$1009*EXP(-$F$1009*($A752-$A$7:$A747)))*$F$1010</f>
        <v>341412.08818168467</v>
      </c>
      <c r="E752" s="67">
        <f t="shared" si="73"/>
        <v>0.65087200623845098</v>
      </c>
      <c r="F752" s="70">
        <f t="shared" si="77"/>
        <v>3.9520948218798743E-2</v>
      </c>
      <c r="G752" s="67">
        <f>E752/'Lookup Tables'!$C$48</f>
        <v>1.301744012476902</v>
      </c>
      <c r="H752" s="70">
        <f t="shared" si="74"/>
        <v>1.649005382205961E-4</v>
      </c>
      <c r="I752" s="71">
        <f t="shared" si="78"/>
        <v>1.8745113779667388E-3</v>
      </c>
      <c r="L752" s="74"/>
      <c r="M752" s="74"/>
      <c r="N752" s="74"/>
      <c r="O752" s="74"/>
      <c r="P752" s="74"/>
      <c r="Q752" s="74"/>
      <c r="R752" s="74"/>
      <c r="S752" s="74"/>
      <c r="T752" s="74"/>
      <c r="U752" s="74"/>
      <c r="V752" s="74"/>
      <c r="W752" s="74"/>
      <c r="X752" s="74"/>
      <c r="Y752" s="74"/>
    </row>
    <row r="753" spans="1:25" x14ac:dyDescent="0.3">
      <c r="A753" s="66">
        <f t="shared" si="76"/>
        <v>2064.5999999999322</v>
      </c>
      <c r="B753" s="67">
        <f>LOOKUP(A753+0.01,AmountsB!$A$4:$A$103,AmountsB!$B$4:$B$103)*0.1*$A$2</f>
        <v>0</v>
      </c>
      <c r="C753" s="68">
        <f t="shared" si="75"/>
        <v>2074573.74105891</v>
      </c>
      <c r="D753" s="67">
        <f t="array" ref="D753">SUM($B$7:$B748*$F$1009*EXP(-$F$1009*($A753-$A$7:$A748)))*$F$1010</f>
        <v>336665.62173761911</v>
      </c>
      <c r="E753" s="67">
        <f t="shared" si="73"/>
        <v>0.64182328698118674</v>
      </c>
      <c r="F753" s="70">
        <f t="shared" si="77"/>
        <v>3.8971509985497664E-2</v>
      </c>
      <c r="G753" s="67">
        <f>E753/'Lookup Tables'!$C$48</f>
        <v>1.2836465739623735</v>
      </c>
      <c r="H753" s="70">
        <f t="shared" si="74"/>
        <v>1.6260801578695606E-4</v>
      </c>
      <c r="I753" s="71">
        <f t="shared" si="78"/>
        <v>1.8484510665058179E-3</v>
      </c>
      <c r="L753" s="74"/>
      <c r="M753" s="74"/>
      <c r="N753" s="74"/>
      <c r="O753" s="74"/>
      <c r="P753" s="74"/>
      <c r="Q753" s="74"/>
      <c r="R753" s="74"/>
      <c r="S753" s="74"/>
      <c r="T753" s="74"/>
      <c r="U753" s="74"/>
      <c r="V753" s="74"/>
      <c r="W753" s="74"/>
      <c r="X753" s="74"/>
      <c r="Y753" s="74"/>
    </row>
    <row r="754" spans="1:25" x14ac:dyDescent="0.3">
      <c r="A754" s="66">
        <f t="shared" si="76"/>
        <v>2064.6999999999321</v>
      </c>
      <c r="B754" s="67">
        <f>LOOKUP(A754+0.01,AmountsB!$A$4:$A$103,AmountsB!$B$4:$B$103)*0.1*$A$2</f>
        <v>0</v>
      </c>
      <c r="C754" s="68">
        <f t="shared" si="75"/>
        <v>2074573.74105891</v>
      </c>
      <c r="D754" s="67">
        <f t="array" ref="D754">SUM($B$7:$B749*$F$1009*EXP(-$F$1009*($A754-$A$7:$A749)))*$F$1010</f>
        <v>331985.14283320005</v>
      </c>
      <c r="E754" s="67">
        <f t="shared" si="73"/>
        <v>0.63290036714287445</v>
      </c>
      <c r="F754" s="70">
        <f t="shared" si="77"/>
        <v>3.8429710292915344E-2</v>
      </c>
      <c r="G754" s="67">
        <f>E754/'Lookup Tables'!$C$48</f>
        <v>1.2658007342857489</v>
      </c>
      <c r="H754" s="70">
        <f t="shared" si="74"/>
        <v>1.6034736504497613E-4</v>
      </c>
      <c r="I754" s="71">
        <f t="shared" si="78"/>
        <v>1.8227530573714785E-3</v>
      </c>
      <c r="L754" s="74"/>
      <c r="M754" s="74"/>
      <c r="N754" s="74"/>
      <c r="O754" s="74"/>
      <c r="P754" s="74"/>
      <c r="Q754" s="74"/>
      <c r="R754" s="74"/>
      <c r="S754" s="74"/>
      <c r="T754" s="74"/>
      <c r="U754" s="74"/>
      <c r="V754" s="74"/>
      <c r="W754" s="74"/>
      <c r="X754" s="74"/>
      <c r="Y754" s="74"/>
    </row>
    <row r="755" spans="1:25" x14ac:dyDescent="0.3">
      <c r="A755" s="66">
        <f t="shared" si="76"/>
        <v>2064.799999999932</v>
      </c>
      <c r="B755" s="67">
        <f>LOOKUP(A755+0.01,AmountsB!$A$4:$A$103,AmountsB!$B$4:$B$103)*0.1*$A$2</f>
        <v>0</v>
      </c>
      <c r="C755" s="68">
        <f t="shared" si="75"/>
        <v>2074573.74105891</v>
      </c>
      <c r="D755" s="67">
        <f t="array" ref="D755">SUM($B$7:$B750*$F$1009*EXP(-$F$1009*($A755-$A$7:$A750)))*$F$1010</f>
        <v>327369.73407957825</v>
      </c>
      <c r="E755" s="67">
        <f t="shared" si="73"/>
        <v>0.62410149780266022</v>
      </c>
      <c r="F755" s="70">
        <f t="shared" si="77"/>
        <v>3.7895442946577526E-2</v>
      </c>
      <c r="G755" s="67">
        <f>E755/'Lookup Tables'!$C$48</f>
        <v>1.2482029956053204</v>
      </c>
      <c r="H755" s="70">
        <f t="shared" si="74"/>
        <v>1.5811814289987361E-4</v>
      </c>
      <c r="I755" s="71">
        <f t="shared" si="78"/>
        <v>1.7974123136716611E-3</v>
      </c>
      <c r="L755" s="74"/>
      <c r="M755" s="74"/>
      <c r="N755" s="74"/>
      <c r="O755" s="74"/>
      <c r="P755" s="74"/>
      <c r="Q755" s="74"/>
      <c r="R755" s="74"/>
      <c r="S755" s="74"/>
      <c r="T755" s="74"/>
      <c r="U755" s="74"/>
      <c r="V755" s="74"/>
      <c r="W755" s="74"/>
      <c r="X755" s="74"/>
      <c r="Y755" s="74"/>
    </row>
    <row r="756" spans="1:25" x14ac:dyDescent="0.3">
      <c r="A756" s="66">
        <f t="shared" si="76"/>
        <v>2064.8999999999319</v>
      </c>
      <c r="B756" s="67">
        <f>LOOKUP(A756+0.01,AmountsB!$A$4:$A$103,AmountsB!$B$4:$B$103)*0.1*$A$2</f>
        <v>0</v>
      </c>
      <c r="C756" s="68">
        <f t="shared" si="75"/>
        <v>2074573.74105891</v>
      </c>
      <c r="D756" s="67">
        <f t="array" ref="D756">SUM($B$7:$B751*$F$1009*EXP(-$F$1009*($A756-$A$7:$A751)))*$F$1010</f>
        <v>322818.49084186234</v>
      </c>
      <c r="E756" s="67">
        <f t="shared" si="73"/>
        <v>0.61542495435398503</v>
      </c>
      <c r="F756" s="70">
        <f t="shared" si="77"/>
        <v>3.7368603228373973E-2</v>
      </c>
      <c r="G756" s="67">
        <f>E756/'Lookup Tables'!$C$48</f>
        <v>1.2308499087079701</v>
      </c>
      <c r="H756" s="70">
        <f t="shared" si="74"/>
        <v>1.5591991241697167E-4</v>
      </c>
      <c r="I756" s="71">
        <f t="shared" si="78"/>
        <v>1.7724238685394769E-3</v>
      </c>
      <c r="L756" s="74"/>
      <c r="M756" s="74"/>
      <c r="N756" s="74"/>
      <c r="O756" s="74"/>
      <c r="P756" s="74"/>
      <c r="Q756" s="74"/>
      <c r="R756" s="74"/>
      <c r="S756" s="74"/>
      <c r="T756" s="74"/>
      <c r="U756" s="74"/>
      <c r="V756" s="74"/>
      <c r="W756" s="74"/>
      <c r="X756" s="74"/>
      <c r="Y756" s="74"/>
    </row>
    <row r="757" spans="1:25" x14ac:dyDescent="0.3">
      <c r="A757" s="66">
        <f t="shared" si="76"/>
        <v>2064.9999999999318</v>
      </c>
      <c r="B757" s="67">
        <f>LOOKUP(A757+0.01,AmountsB!$A$4:$A$103,AmountsB!$B$4:$B$103)*0.1*$A$2</f>
        <v>0</v>
      </c>
      <c r="C757" s="68">
        <f t="shared" si="75"/>
        <v>2074573.74105891</v>
      </c>
      <c r="D757" s="67">
        <f t="array" ref="D757">SUM($B$7:$B752*$F$1009*EXP(-$F$1009*($A757-$A$7:$A752)))*$F$1010</f>
        <v>318330.52106180764</v>
      </c>
      <c r="E757" s="67">
        <f t="shared" si="73"/>
        <v>0.60686903616655619</v>
      </c>
      <c r="F757" s="70">
        <f t="shared" si="77"/>
        <v>3.684908787603329E-2</v>
      </c>
      <c r="G757" s="67">
        <f>E757/'Lookup Tables'!$C$48</f>
        <v>1.2137380723331124</v>
      </c>
      <c r="H757" s="70">
        <f t="shared" si="74"/>
        <v>1.5375224273605822E-4</v>
      </c>
      <c r="I757" s="71">
        <f t="shared" si="78"/>
        <v>1.7477828241596819E-3</v>
      </c>
      <c r="L757" s="74"/>
      <c r="M757" s="74"/>
      <c r="N757" s="74"/>
      <c r="O757" s="74"/>
      <c r="P757" s="74"/>
      <c r="Q757" s="74"/>
      <c r="R757" s="74"/>
      <c r="S757" s="74"/>
      <c r="T757" s="74"/>
      <c r="U757" s="74"/>
      <c r="V757" s="74"/>
      <c r="W757" s="74"/>
      <c r="X757" s="74"/>
      <c r="Y757" s="74"/>
    </row>
    <row r="758" spans="1:25" x14ac:dyDescent="0.3">
      <c r="A758" s="66">
        <f t="shared" si="76"/>
        <v>2065.0999999999317</v>
      </c>
      <c r="B758" s="67">
        <f>LOOKUP(A758+0.01,AmountsB!$A$4:$A$103,AmountsB!$B$4:$B$103)*0.1*$A$2</f>
        <v>0</v>
      </c>
      <c r="C758" s="68">
        <f t="shared" si="75"/>
        <v>2074573.74105891</v>
      </c>
      <c r="D758" s="67">
        <f t="array" ref="D758">SUM($B$7:$B753*$F$1009*EXP(-$F$1009*($A758-$A$7:$A753)))*$F$1010</f>
        <v>313904.94508296973</v>
      </c>
      <c r="E758" s="67">
        <f t="shared" si="73"/>
        <v>0.59843206625301848</v>
      </c>
      <c r="F758" s="70">
        <f t="shared" si="77"/>
        <v>3.6336795062883287E-2</v>
      </c>
      <c r="G758" s="67">
        <f>E758/'Lookup Tables'!$C$48</f>
        <v>1.196864132506037</v>
      </c>
      <c r="H758" s="70">
        <f t="shared" si="74"/>
        <v>1.5161470898693635E-4</v>
      </c>
      <c r="I758" s="71">
        <f t="shared" si="78"/>
        <v>1.7234843508086932E-3</v>
      </c>
      <c r="L758" s="74"/>
      <c r="M758" s="74"/>
      <c r="N758" s="74"/>
      <c r="O758" s="74"/>
      <c r="P758" s="74"/>
      <c r="Q758" s="74"/>
      <c r="R758" s="74"/>
      <c r="S758" s="74"/>
      <c r="T758" s="74"/>
      <c r="U758" s="74"/>
      <c r="V758" s="74"/>
      <c r="W758" s="74"/>
      <c r="X758" s="74"/>
      <c r="Y758" s="74"/>
    </row>
    <row r="759" spans="1:25" x14ac:dyDescent="0.3">
      <c r="A759" s="66">
        <f t="shared" si="76"/>
        <v>2065.1999999999316</v>
      </c>
      <c r="B759" s="67">
        <f>LOOKUP(A759+0.01,AmountsB!$A$4:$A$103,AmountsB!$B$4:$B$103)*0.1*$A$2</f>
        <v>0</v>
      </c>
      <c r="C759" s="68">
        <f t="shared" si="75"/>
        <v>2074573.74105891</v>
      </c>
      <c r="D759" s="67">
        <f t="array" ref="D759">SUM($B$7:$B754*$F$1009*EXP(-$F$1009*($A759-$A$7:$A754)))*$F$1010</f>
        <v>309540.89547828893</v>
      </c>
      <c r="E759" s="67">
        <f t="shared" si="73"/>
        <v>0.59011239094025936</v>
      </c>
      <c r="F759" s="70">
        <f t="shared" si="77"/>
        <v>3.583162437789255E-2</v>
      </c>
      <c r="G759" s="67">
        <f>E759/'Lookup Tables'!$C$48</f>
        <v>1.1802247818805187</v>
      </c>
      <c r="H759" s="70">
        <f t="shared" si="74"/>
        <v>1.4950689220614831E-4</v>
      </c>
      <c r="I759" s="71">
        <f t="shared" si="78"/>
        <v>1.6995236859079469E-3</v>
      </c>
      <c r="L759" s="74"/>
      <c r="M759" s="74"/>
      <c r="N759" s="74"/>
      <c r="O759" s="74"/>
      <c r="P759" s="74"/>
      <c r="Q759" s="74"/>
      <c r="R759" s="74"/>
      <c r="S759" s="74"/>
      <c r="T759" s="74"/>
      <c r="U759" s="74"/>
      <c r="V759" s="74"/>
      <c r="W759" s="74"/>
      <c r="X759" s="74"/>
      <c r="Y759" s="74"/>
    </row>
    <row r="760" spans="1:25" x14ac:dyDescent="0.3">
      <c r="A760" s="66">
        <f t="shared" si="76"/>
        <v>2065.2999999999315</v>
      </c>
      <c r="B760" s="67">
        <f>LOOKUP(A760+0.01,AmountsB!$A$4:$A$103,AmountsB!$B$4:$B$103)*0.1*$A$2</f>
        <v>0</v>
      </c>
      <c r="C760" s="68">
        <f t="shared" si="75"/>
        <v>2074573.74105891</v>
      </c>
      <c r="D760" s="67">
        <f t="array" ref="D760">SUM($B$7:$B755*$F$1009*EXP(-$F$1009*($A760-$A$7:$A755)))*$F$1010</f>
        <v>305237.51688007184</v>
      </c>
      <c r="E760" s="67">
        <f t="shared" si="73"/>
        <v>0.58190837954528318</v>
      </c>
      <c r="F760" s="70">
        <f t="shared" si="77"/>
        <v>3.5333476805989597E-2</v>
      </c>
      <c r="G760" s="67">
        <f>E760/'Lookup Tables'!$C$48</f>
        <v>1.1638167590905664</v>
      </c>
      <c r="H760" s="70">
        <f t="shared" si="74"/>
        <v>1.4742837925485716E-4</v>
      </c>
      <c r="I760" s="71">
        <f t="shared" si="78"/>
        <v>1.6758961330904157E-3</v>
      </c>
      <c r="L760" s="74"/>
      <c r="M760" s="74"/>
      <c r="N760" s="74"/>
      <c r="O760" s="74"/>
      <c r="P760" s="74"/>
      <c r="Q760" s="74"/>
      <c r="R760" s="74"/>
      <c r="S760" s="74"/>
      <c r="T760" s="74"/>
      <c r="U760" s="74"/>
      <c r="V760" s="74"/>
      <c r="W760" s="74"/>
      <c r="X760" s="74"/>
      <c r="Y760" s="74"/>
    </row>
    <row r="761" spans="1:25" x14ac:dyDescent="0.3">
      <c r="A761" s="66">
        <f t="shared" si="76"/>
        <v>2065.3999999999314</v>
      </c>
      <c r="B761" s="67">
        <f>LOOKUP(A761+0.01,AmountsB!$A$4:$A$103,AmountsB!$B$4:$B$103)*0.1*$A$2</f>
        <v>0</v>
      </c>
      <c r="C761" s="68">
        <f t="shared" si="75"/>
        <v>2074573.74105891</v>
      </c>
      <c r="D761" s="67">
        <f t="array" ref="D761">SUM($B$7:$B756*$F$1009*EXP(-$F$1009*($A761-$A$7:$A756)))*$F$1010</f>
        <v>300993.96581233654</v>
      </c>
      <c r="E761" s="67">
        <f t="shared" si="73"/>
        <v>0.57381842405559247</v>
      </c>
      <c r="F761" s="70">
        <f t="shared" si="77"/>
        <v>3.4842254708655582E-2</v>
      </c>
      <c r="G761" s="67">
        <f>E761/'Lookup Tables'!$C$48</f>
        <v>1.1476368481111849</v>
      </c>
      <c r="H761" s="70">
        <f t="shared" si="74"/>
        <v>1.4537876273787038E-4</v>
      </c>
      <c r="I761" s="71">
        <f t="shared" si="78"/>
        <v>1.6525970612801066E-3</v>
      </c>
      <c r="L761" s="74"/>
      <c r="M761" s="74"/>
      <c r="N761" s="74"/>
      <c r="O761" s="74"/>
      <c r="P761" s="74"/>
      <c r="Q761" s="74"/>
      <c r="R761" s="74"/>
      <c r="S761" s="74"/>
      <c r="T761" s="74"/>
      <c r="U761" s="74"/>
      <c r="V761" s="74"/>
      <c r="W761" s="74"/>
      <c r="X761" s="74"/>
      <c r="Y761" s="74"/>
    </row>
    <row r="762" spans="1:25" x14ac:dyDescent="0.3">
      <c r="A762" s="66">
        <f t="shared" si="76"/>
        <v>2065.4999999999313</v>
      </c>
      <c r="B762" s="67">
        <f>LOOKUP(A762+0.01,AmountsB!$A$4:$A$103,AmountsB!$B$4:$B$103)*0.1*$A$2</f>
        <v>0</v>
      </c>
      <c r="C762" s="68">
        <f t="shared" si="75"/>
        <v>2074573.74105891</v>
      </c>
      <c r="D762" s="67">
        <f t="array" ref="D762">SUM($B$7:$B757*$F$1009*EXP(-$F$1009*($A762-$A$7:$A757)))*$F$1010</f>
        <v>296809.41052548873</v>
      </c>
      <c r="E762" s="67">
        <f t="shared" si="73"/>
        <v>0.56584093881401243</v>
      </c>
      <c r="F762" s="70">
        <f t="shared" si="77"/>
        <v>3.4357861804786831E-2</v>
      </c>
      <c r="G762" s="67">
        <f>E762/'Lookup Tables'!$C$48</f>
        <v>1.1316818776280249</v>
      </c>
      <c r="H762" s="70">
        <f t="shared" si="74"/>
        <v>1.4335764092378902E-4</v>
      </c>
      <c r="I762" s="71">
        <f t="shared" si="78"/>
        <v>1.6296219037843557E-3</v>
      </c>
      <c r="L762" s="74"/>
      <c r="M762" s="74"/>
      <c r="N762" s="74"/>
      <c r="O762" s="74"/>
      <c r="P762" s="74"/>
      <c r="Q762" s="74"/>
      <c r="R762" s="74"/>
      <c r="S762" s="74"/>
      <c r="T762" s="74"/>
      <c r="U762" s="74"/>
      <c r="V762" s="74"/>
      <c r="W762" s="74"/>
      <c r="X762" s="74"/>
      <c r="Y762" s="74"/>
    </row>
    <row r="763" spans="1:25" x14ac:dyDescent="0.3">
      <c r="A763" s="66">
        <f t="shared" si="76"/>
        <v>2065.5999999999312</v>
      </c>
      <c r="B763" s="67">
        <f>LOOKUP(A763+0.01,AmountsB!$A$4:$A$103,AmountsB!$B$4:$B$103)*0.1*$A$2</f>
        <v>0</v>
      </c>
      <c r="C763" s="68">
        <f t="shared" si="75"/>
        <v>2074573.74105891</v>
      </c>
      <c r="D763" s="67">
        <f t="array" ref="D763">SUM($B$7:$B758*$F$1009*EXP(-$F$1009*($A763-$A$7:$A758)))*$F$1010</f>
        <v>292683.03083329584</v>
      </c>
      <c r="E763" s="67">
        <f t="shared" si="73"/>
        <v>0.55797436020789715</v>
      </c>
      <c r="F763" s="70">
        <f t="shared" si="77"/>
        <v>3.3880203151823517E-2</v>
      </c>
      <c r="G763" s="67">
        <f>E763/'Lookup Tables'!$C$48</f>
        <v>1.1159487204157943</v>
      </c>
      <c r="H763" s="70">
        <f t="shared" si="74"/>
        <v>1.4136461766626736E-4</v>
      </c>
      <c r="I763" s="71">
        <f t="shared" si="78"/>
        <v>1.6069661573987436E-3</v>
      </c>
      <c r="L763" s="74"/>
      <c r="M763" s="74"/>
      <c r="N763" s="74"/>
      <c r="O763" s="74"/>
      <c r="P763" s="74"/>
      <c r="Q763" s="74"/>
      <c r="R763" s="74"/>
      <c r="S763" s="74"/>
      <c r="T763" s="74"/>
      <c r="U763" s="74"/>
      <c r="V763" s="74"/>
      <c r="W763" s="74"/>
      <c r="X763" s="74"/>
      <c r="Y763" s="74"/>
    </row>
    <row r="764" spans="1:25" x14ac:dyDescent="0.3">
      <c r="A764" s="66">
        <f t="shared" si="76"/>
        <v>2065.6999999999312</v>
      </c>
      <c r="B764" s="67">
        <f>LOOKUP(A764+0.01,AmountsB!$A$4:$A$103,AmountsB!$B$4:$B$103)*0.1*$A$2</f>
        <v>0</v>
      </c>
      <c r="C764" s="68">
        <f t="shared" si="75"/>
        <v>2074573.74105891</v>
      </c>
      <c r="D764" s="67">
        <f t="array" ref="D764">SUM($B$7:$B759*$F$1009*EXP(-$F$1009*($A764-$A$7:$A759)))*$F$1010</f>
        <v>288614.01795212814</v>
      </c>
      <c r="E764" s="67">
        <f t="shared" si="73"/>
        <v>0.55021714636265595</v>
      </c>
      <c r="F764" s="70">
        <f t="shared" si="77"/>
        <v>3.3409185127140473E-2</v>
      </c>
      <c r="G764" s="67">
        <f>E764/'Lookup Tables'!$C$48</f>
        <v>1.1004342927253119</v>
      </c>
      <c r="H764" s="70">
        <f t="shared" si="74"/>
        <v>1.3939930232636643E-4</v>
      </c>
      <c r="I764" s="71">
        <f t="shared" si="78"/>
        <v>1.5846253815244493E-3</v>
      </c>
      <c r="L764" s="74"/>
      <c r="M764" s="74"/>
      <c r="N764" s="74"/>
      <c r="O764" s="74"/>
      <c r="P764" s="74"/>
      <c r="Q764" s="74"/>
      <c r="R764" s="74"/>
      <c r="S764" s="74"/>
      <c r="T764" s="74"/>
      <c r="U764" s="74"/>
      <c r="V764" s="74"/>
      <c r="W764" s="74"/>
      <c r="X764" s="74"/>
      <c r="Y764" s="74"/>
    </row>
    <row r="765" spans="1:25" x14ac:dyDescent="0.3">
      <c r="A765" s="66">
        <f t="shared" si="76"/>
        <v>2065.7999999999311</v>
      </c>
      <c r="B765" s="67">
        <f>LOOKUP(A765+0.01,AmountsB!$A$4:$A$103,AmountsB!$B$4:$B$103)*0.1*$A$2</f>
        <v>0</v>
      </c>
      <c r="C765" s="68">
        <f t="shared" si="75"/>
        <v>2074573.74105891</v>
      </c>
      <c r="D765" s="67">
        <f t="array" ref="D765">SUM($B$7:$B760*$F$1009*EXP(-$F$1009*($A765-$A$7:$A760)))*$F$1010</f>
        <v>284601.5743424347</v>
      </c>
      <c r="E765" s="67">
        <f t="shared" si="73"/>
        <v>0.54256777683954149</v>
      </c>
      <c r="F765" s="70">
        <f t="shared" si="77"/>
        <v>3.2944715409696963E-2</v>
      </c>
      <c r="G765" s="67">
        <f>E765/'Lookup Tables'!$C$48</f>
        <v>1.085135553679083</v>
      </c>
      <c r="H765" s="70">
        <f t="shared" si="74"/>
        <v>1.3746130969598787E-4</v>
      </c>
      <c r="I765" s="71">
        <f t="shared" si="78"/>
        <v>1.5625951972978794E-3</v>
      </c>
      <c r="L765" s="74"/>
      <c r="M765" s="74"/>
      <c r="N765" s="74"/>
      <c r="O765" s="74"/>
      <c r="P765" s="74"/>
      <c r="Q765" s="74"/>
      <c r="R765" s="74"/>
      <c r="S765" s="74"/>
      <c r="T765" s="74"/>
      <c r="U765" s="74"/>
      <c r="V765" s="74"/>
      <c r="W765" s="74"/>
      <c r="X765" s="74"/>
      <c r="Y765" s="74"/>
    </row>
    <row r="766" spans="1:25" x14ac:dyDescent="0.3">
      <c r="A766" s="66">
        <f t="shared" si="76"/>
        <v>2065.899999999931</v>
      </c>
      <c r="B766" s="67">
        <f>LOOKUP(A766+0.01,AmountsB!$A$4:$A$103,AmountsB!$B$4:$B$103)*0.1*$A$2</f>
        <v>0</v>
      </c>
      <c r="C766" s="68">
        <f t="shared" si="75"/>
        <v>2074573.74105891</v>
      </c>
      <c r="D766" s="67">
        <f t="array" ref="D766">SUM($B$7:$B761*$F$1009*EXP(-$F$1009*($A766-$A$7:$A761)))*$F$1010</f>
        <v>280644.91355242272</v>
      </c>
      <c r="E766" s="67">
        <f t="shared" si="73"/>
        <v>0.53502475233763913</v>
      </c>
      <c r="F766" s="70">
        <f t="shared" si="77"/>
        <v>3.2486702961941449E-2</v>
      </c>
      <c r="G766" s="67">
        <f>E766/'Lookup Tables'!$C$48</f>
        <v>1.0700495046752783</v>
      </c>
      <c r="H766" s="70">
        <f t="shared" si="74"/>
        <v>1.3555025992237211E-4</v>
      </c>
      <c r="I766" s="71">
        <f t="shared" si="78"/>
        <v>1.5408712867324007E-3</v>
      </c>
      <c r="L766" s="74"/>
      <c r="M766" s="74"/>
      <c r="N766" s="74"/>
      <c r="O766" s="74"/>
      <c r="P766" s="74"/>
      <c r="Q766" s="74"/>
      <c r="R766" s="74"/>
      <c r="S766" s="74"/>
      <c r="T766" s="74"/>
      <c r="U766" s="74"/>
      <c r="V766" s="74"/>
      <c r="W766" s="74"/>
      <c r="X766" s="74"/>
      <c r="Y766" s="74"/>
    </row>
    <row r="767" spans="1:25" x14ac:dyDescent="0.3">
      <c r="A767" s="66">
        <f t="shared" si="76"/>
        <v>2065.9999999999309</v>
      </c>
      <c r="B767" s="67">
        <f>LOOKUP(A767+0.01,AmountsB!$A$4:$A$103,AmountsB!$B$4:$B$103)*0.1*$A$2</f>
        <v>0</v>
      </c>
      <c r="C767" s="68">
        <f t="shared" si="75"/>
        <v>2074573.74105891</v>
      </c>
      <c r="D767" s="67">
        <f t="array" ref="D767">SUM($B$7:$B762*$F$1009*EXP(-$F$1009*($A767-$A$7:$A762)))*$F$1010</f>
        <v>276743.26006391074</v>
      </c>
      <c r="E767" s="67">
        <f t="shared" si="73"/>
        <v>0.52758659439999855</v>
      </c>
      <c r="F767" s="70">
        <f t="shared" si="77"/>
        <v>3.2035058011967911E-2</v>
      </c>
      <c r="G767" s="67">
        <f>E767/'Lookup Tables'!$C$48</f>
        <v>1.0551731887999971</v>
      </c>
      <c r="H767" s="70">
        <f t="shared" si="74"/>
        <v>1.3366577843364547E-4</v>
      </c>
      <c r="I767" s="71">
        <f t="shared" si="78"/>
        <v>1.519449391871996E-3</v>
      </c>
      <c r="L767" s="74"/>
      <c r="M767" s="74"/>
      <c r="N767" s="74"/>
      <c r="O767" s="74"/>
      <c r="P767" s="74"/>
      <c r="Q767" s="74"/>
      <c r="R767" s="74"/>
      <c r="S767" s="74"/>
      <c r="T767" s="74"/>
      <c r="U767" s="74"/>
      <c r="V767" s="74"/>
      <c r="W767" s="74"/>
      <c r="X767" s="74"/>
      <c r="Y767" s="74"/>
    </row>
    <row r="768" spans="1:25" x14ac:dyDescent="0.3">
      <c r="A768" s="66">
        <f t="shared" si="76"/>
        <v>2066.0999999999308</v>
      </c>
      <c r="B768" s="67">
        <f>LOOKUP(A768+0.01,AmountsB!$A$4:$A$103,AmountsB!$B$4:$B$103)*0.1*$A$2</f>
        <v>0</v>
      </c>
      <c r="C768" s="68">
        <f t="shared" si="75"/>
        <v>2074573.74105891</v>
      </c>
      <c r="D768" s="67">
        <f t="array" ref="D768">SUM($B$7:$B763*$F$1009*EXP(-$F$1009*($A768-$A$7:$A763)))*$F$1010</f>
        <v>272895.84914032451</v>
      </c>
      <c r="E768" s="67">
        <f t="shared" si="73"/>
        <v>0.52025184512385203</v>
      </c>
      <c r="F768" s="70">
        <f t="shared" si="77"/>
        <v>3.1589692035920297E-2</v>
      </c>
      <c r="G768" s="67">
        <f>E768/'Lookup Tables'!$C$48</f>
        <v>1.0405036902477041</v>
      </c>
      <c r="H768" s="70">
        <f t="shared" si="74"/>
        <v>1.3180749586540335E-4</v>
      </c>
      <c r="I768" s="71">
        <f t="shared" si="78"/>
        <v>1.498325313956694E-3</v>
      </c>
      <c r="L768" s="74"/>
      <c r="M768" s="74"/>
      <c r="N768" s="74"/>
      <c r="O768" s="74"/>
      <c r="P768" s="74"/>
      <c r="Q768" s="74"/>
      <c r="R768" s="74"/>
      <c r="S768" s="74"/>
      <c r="T768" s="74"/>
      <c r="U768" s="74"/>
      <c r="V768" s="74"/>
      <c r="W768" s="74"/>
      <c r="X768" s="74"/>
      <c r="Y768" s="74"/>
    </row>
    <row r="769" spans="1:25" x14ac:dyDescent="0.3">
      <c r="A769" s="66">
        <f t="shared" si="76"/>
        <v>2066.1999999999307</v>
      </c>
      <c r="B769" s="67">
        <f>LOOKUP(A769+0.01,AmountsB!$A$4:$A$103,AmountsB!$B$4:$B$103)*0.1*$A$2</f>
        <v>0</v>
      </c>
      <c r="C769" s="68">
        <f t="shared" si="75"/>
        <v>2074573.74105891</v>
      </c>
      <c r="D769" s="67">
        <f t="array" ref="D769">SUM($B$7:$B764*$F$1009*EXP(-$F$1009*($A769-$A$7:$A764)))*$F$1010</f>
        <v>269101.92667680583</v>
      </c>
      <c r="E769" s="67">
        <f t="shared" si="73"/>
        <v>0.51301906687485965</v>
      </c>
      <c r="F769" s="70">
        <f t="shared" si="77"/>
        <v>3.1150517740641481E-2</v>
      </c>
      <c r="G769" s="67">
        <f>E769/'Lookup Tables'!$C$48</f>
        <v>1.0260381337497193</v>
      </c>
      <c r="H769" s="70">
        <f t="shared" si="74"/>
        <v>1.2997504798831317E-4</v>
      </c>
      <c r="I769" s="71">
        <f t="shared" si="78"/>
        <v>1.4774949125995959E-3</v>
      </c>
      <c r="L769" s="74"/>
      <c r="M769" s="74"/>
      <c r="N769" s="74"/>
      <c r="O769" s="74"/>
      <c r="P769" s="74"/>
      <c r="Q769" s="74"/>
      <c r="R769" s="74"/>
      <c r="S769" s="74"/>
      <c r="T769" s="74"/>
      <c r="U769" s="74"/>
      <c r="V769" s="74"/>
      <c r="W769" s="74"/>
      <c r="X769" s="74"/>
      <c r="Y769" s="74"/>
    </row>
    <row r="770" spans="1:25" x14ac:dyDescent="0.3">
      <c r="A770" s="66">
        <f t="shared" si="76"/>
        <v>2066.2999999999306</v>
      </c>
      <c r="B770" s="67">
        <f>LOOKUP(A770+0.01,AmountsB!$A$4:$A$103,AmountsB!$B$4:$B$103)*0.1*$A$2</f>
        <v>0</v>
      </c>
      <c r="C770" s="68">
        <f t="shared" si="75"/>
        <v>2074573.74105891</v>
      </c>
      <c r="D770" s="67">
        <f t="array" ref="D770">SUM($B$7:$B765*$F$1009*EXP(-$F$1009*($A770-$A$7:$A765)))*$F$1010</f>
        <v>265360.74905240635</v>
      </c>
      <c r="E770" s="67">
        <f t="shared" si="73"/>
        <v>0.50588684200533052</v>
      </c>
      <c r="F770" s="70">
        <f t="shared" si="77"/>
        <v>3.071744904656367E-2</v>
      </c>
      <c r="G770" s="67">
        <f>E770/'Lookup Tables'!$C$48</f>
        <v>1.011773684010661</v>
      </c>
      <c r="H770" s="70">
        <f t="shared" si="74"/>
        <v>1.2816807563672487E-4</v>
      </c>
      <c r="I770" s="71">
        <f t="shared" si="78"/>
        <v>1.4569541049753519E-3</v>
      </c>
      <c r="L770" s="74"/>
      <c r="M770" s="74"/>
      <c r="N770" s="74"/>
      <c r="O770" s="74"/>
      <c r="P770" s="74"/>
      <c r="Q770" s="74"/>
      <c r="R770" s="74"/>
      <c r="S770" s="74"/>
      <c r="T770" s="74"/>
      <c r="U770" s="74"/>
      <c r="V770" s="74"/>
      <c r="W770" s="74"/>
      <c r="X770" s="74"/>
      <c r="Y770" s="74"/>
    </row>
    <row r="771" spans="1:25" x14ac:dyDescent="0.3">
      <c r="A771" s="66">
        <f t="shared" si="76"/>
        <v>2066.3999999999305</v>
      </c>
      <c r="B771" s="67">
        <f>LOOKUP(A771+0.01,AmountsB!$A$4:$A$103,AmountsB!$B$4:$B$103)*0.1*$A$2</f>
        <v>0</v>
      </c>
      <c r="C771" s="68">
        <f t="shared" si="75"/>
        <v>2074573.74105891</v>
      </c>
      <c r="D771" s="67">
        <f t="array" ref="D771">SUM($B$7:$B766*$F$1009*EXP(-$F$1009*($A771-$A$7:$A766)))*$F$1010</f>
        <v>261671.58298433479</v>
      </c>
      <c r="E771" s="67">
        <f t="shared" si="73"/>
        <v>0.4988537725763571</v>
      </c>
      <c r="F771" s="70">
        <f t="shared" si="77"/>
        <v>3.0290401070836404E-2</v>
      </c>
      <c r="G771" s="67">
        <f>E771/'Lookup Tables'!$C$48</f>
        <v>0.9977075451527142</v>
      </c>
      <c r="H771" s="70">
        <f t="shared" si="74"/>
        <v>1.2638622463827272E-4</v>
      </c>
      <c r="I771" s="71">
        <f t="shared" si="78"/>
        <v>1.4366988650199085E-3</v>
      </c>
      <c r="L771" s="74"/>
      <c r="M771" s="74"/>
      <c r="N771" s="74"/>
      <c r="O771" s="74"/>
      <c r="P771" s="74"/>
      <c r="Q771" s="74"/>
      <c r="R771" s="74"/>
      <c r="S771" s="74"/>
      <c r="T771" s="74"/>
      <c r="U771" s="74"/>
      <c r="V771" s="74"/>
      <c r="W771" s="74"/>
      <c r="X771" s="74"/>
      <c r="Y771" s="74"/>
    </row>
    <row r="772" spans="1:25" x14ac:dyDescent="0.3">
      <c r="A772" s="66">
        <f t="shared" si="76"/>
        <v>2066.4999999999304</v>
      </c>
      <c r="B772" s="67">
        <f>LOOKUP(A772+0.01,AmountsB!$A$4:$A$103,AmountsB!$B$4:$B$103)*0.1*$A$2</f>
        <v>0</v>
      </c>
      <c r="C772" s="68">
        <f t="shared" si="75"/>
        <v>2074573.74105891</v>
      </c>
      <c r="D772" s="67">
        <f t="array" ref="D772">SUM($B$7:$B767*$F$1009*EXP(-$F$1009*($A772-$A$7:$A767)))*$F$1010</f>
        <v>258033.70538423146</v>
      </c>
      <c r="E772" s="67">
        <f t="shared" si="73"/>
        <v>0.49191848008381617</v>
      </c>
      <c r="F772" s="70">
        <f t="shared" si="77"/>
        <v>2.9869290110689319E-2</v>
      </c>
      <c r="G772" s="67">
        <f>E772/'Lookup Tables'!$C$48</f>
        <v>0.98383696016763234</v>
      </c>
      <c r="H772" s="70">
        <f t="shared" si="74"/>
        <v>1.2462914574445675E-4</v>
      </c>
      <c r="I772" s="71">
        <f t="shared" si="78"/>
        <v>1.4167252226413905E-3</v>
      </c>
      <c r="L772" s="74"/>
      <c r="M772" s="74"/>
      <c r="N772" s="74"/>
      <c r="O772" s="74"/>
      <c r="P772" s="74"/>
      <c r="Q772" s="74"/>
      <c r="R772" s="74"/>
      <c r="S772" s="74"/>
      <c r="T772" s="74"/>
      <c r="U772" s="74"/>
      <c r="V772" s="74"/>
      <c r="W772" s="74"/>
      <c r="X772" s="74"/>
      <c r="Y772" s="74"/>
    </row>
    <row r="773" spans="1:25" x14ac:dyDescent="0.3">
      <c r="A773" s="66">
        <f t="shared" si="76"/>
        <v>2066.5999999999303</v>
      </c>
      <c r="B773" s="67">
        <f>LOOKUP(A773+0.01,AmountsB!$A$4:$A$103,AmountsB!$B$4:$B$103)*0.1*$A$2</f>
        <v>0</v>
      </c>
      <c r="C773" s="68">
        <f t="shared" si="75"/>
        <v>2074573.74105891</v>
      </c>
      <c r="D773" s="67">
        <f t="array" ref="D773">SUM($B$7:$B768*$F$1009*EXP(-$F$1009*($A773-$A$7:$A768)))*$F$1010</f>
        <v>254446.4032164407</v>
      </c>
      <c r="E773" s="67">
        <f t="shared" si="73"/>
        <v>0.48507960518817689</v>
      </c>
      <c r="F773" s="70">
        <f t="shared" si="77"/>
        <v>2.9454033627026099E-2</v>
      </c>
      <c r="G773" s="67">
        <f>E773/'Lookup Tables'!$C$48</f>
        <v>0.97015921037635378</v>
      </c>
      <c r="H773" s="70">
        <f t="shared" si="74"/>
        <v>1.228964945621887E-4</v>
      </c>
      <c r="I773" s="71">
        <f t="shared" si="78"/>
        <v>1.3970292629419496E-3</v>
      </c>
      <c r="L773" s="74"/>
      <c r="M773" s="74"/>
      <c r="N773" s="74"/>
      <c r="O773" s="74"/>
      <c r="P773" s="74"/>
      <c r="Q773" s="74"/>
      <c r="R773" s="74"/>
      <c r="S773" s="74"/>
      <c r="T773" s="74"/>
      <c r="U773" s="74"/>
      <c r="V773" s="74"/>
      <c r="W773" s="74"/>
      <c r="X773" s="74"/>
      <c r="Y773" s="74"/>
    </row>
    <row r="774" spans="1:25" x14ac:dyDescent="0.3">
      <c r="A774" s="66">
        <f t="shared" si="76"/>
        <v>2066.6999999999302</v>
      </c>
      <c r="B774" s="67">
        <f>LOOKUP(A774+0.01,AmountsB!$A$4:$A$103,AmountsB!$B$4:$B$103)*0.1*$A$2</f>
        <v>0</v>
      </c>
      <c r="C774" s="68">
        <f t="shared" si="75"/>
        <v>2074573.74105891</v>
      </c>
      <c r="D774" s="67">
        <f t="array" ref="D774">SUM($B$7:$B769*$F$1009*EXP(-$F$1009*($A774-$A$7:$A769)))*$F$1010</f>
        <v>250908.9733582534</v>
      </c>
      <c r="E774" s="67">
        <f t="shared" si="73"/>
        <v>0.47833580744806603</v>
      </c>
      <c r="F774" s="70">
        <f t="shared" si="77"/>
        <v>2.9044550228246566E-2</v>
      </c>
      <c r="G774" s="67">
        <f>E774/'Lookup Tables'!$C$48</f>
        <v>0.95667161489613206</v>
      </c>
      <c r="H774" s="70">
        <f t="shared" si="74"/>
        <v>1.2118793148628999E-4</v>
      </c>
      <c r="I774" s="71">
        <f t="shared" si="78"/>
        <v>1.3776071254504303E-3</v>
      </c>
      <c r="L774" s="74"/>
      <c r="M774" s="74"/>
      <c r="N774" s="74"/>
      <c r="O774" s="74"/>
      <c r="P774" s="74"/>
      <c r="Q774" s="74"/>
      <c r="R774" s="74"/>
      <c r="S774" s="74"/>
      <c r="T774" s="74"/>
      <c r="U774" s="74"/>
      <c r="V774" s="74"/>
      <c r="W774" s="74"/>
      <c r="X774" s="74"/>
      <c r="Y774" s="74"/>
    </row>
    <row r="775" spans="1:25" x14ac:dyDescent="0.3">
      <c r="A775" s="66">
        <f t="shared" si="76"/>
        <v>2066.7999999999302</v>
      </c>
      <c r="B775" s="67">
        <f>LOOKUP(A775+0.01,AmountsB!$A$4:$A$103,AmountsB!$B$4:$B$103)*0.1*$A$2</f>
        <v>0</v>
      </c>
      <c r="C775" s="68">
        <f t="shared" si="75"/>
        <v>2074573.74105891</v>
      </c>
      <c r="D775" s="67">
        <f t="array" ref="D775">SUM($B$7:$B770*$F$1009*EXP(-$F$1009*($A775-$A$7:$A770)))*$F$1010</f>
        <v>247420.72246209258</v>
      </c>
      <c r="E775" s="67">
        <f t="shared" ref="E775:E838" si="79">D775/(365*24*60)*1.00201</f>
        <v>0.4716857650575369</v>
      </c>
      <c r="F775" s="70">
        <f t="shared" si="77"/>
        <v>2.8640759654293642E-2</v>
      </c>
      <c r="G775" s="67">
        <f>E775/'Lookup Tables'!$C$48</f>
        <v>0.9433715301150738</v>
      </c>
      <c r="H775" s="70">
        <f t="shared" ref="H775:H838" si="80">G775*60*24*365/(C775*2000)</f>
        <v>1.1950312163292798E-4</v>
      </c>
      <c r="I775" s="71">
        <f t="shared" si="78"/>
        <v>1.3584550033657063E-3</v>
      </c>
      <c r="L775" s="74"/>
      <c r="M775" s="74"/>
      <c r="N775" s="74"/>
      <c r="O775" s="74"/>
      <c r="P775" s="74"/>
      <c r="Q775" s="74"/>
      <c r="R775" s="74"/>
      <c r="S775" s="74"/>
      <c r="T775" s="74"/>
      <c r="U775" s="74"/>
      <c r="V775" s="74"/>
      <c r="W775" s="74"/>
      <c r="X775" s="74"/>
      <c r="Y775" s="74"/>
    </row>
    <row r="776" spans="1:25" x14ac:dyDescent="0.3">
      <c r="A776" s="66">
        <f t="shared" si="76"/>
        <v>2066.8999999999301</v>
      </c>
      <c r="B776" s="67">
        <f>LOOKUP(A776+0.01,AmountsB!$A$4:$A$103,AmountsB!$B$4:$B$103)*0.1*$A$2</f>
        <v>0</v>
      </c>
      <c r="C776" s="68">
        <f t="shared" si="75"/>
        <v>2074573.74105891</v>
      </c>
      <c r="D776" s="67">
        <f t="array" ref="D776">SUM($B$7:$B771*$F$1009*EXP(-$F$1009*($A776-$A$7:$A771)))*$F$1010</f>
        <v>243980.96681961571</v>
      </c>
      <c r="E776" s="67">
        <f t="shared" si="79"/>
        <v>0.46512817458699235</v>
      </c>
      <c r="F776" s="70">
        <f t="shared" si="77"/>
        <v>2.8242582760922178E-2</v>
      </c>
      <c r="G776" s="67">
        <f>E776/'Lookup Tables'!$C$48</f>
        <v>0.9302563491739847</v>
      </c>
      <c r="H776" s="70">
        <f t="shared" si="80"/>
        <v>1.1784173477397789E-4</v>
      </c>
      <c r="I776" s="71">
        <f t="shared" si="78"/>
        <v>1.339569142810538E-3</v>
      </c>
      <c r="L776" s="74"/>
      <c r="M776" s="74"/>
      <c r="N776" s="74"/>
      <c r="O776" s="74"/>
      <c r="P776" s="74"/>
      <c r="Q776" s="74"/>
      <c r="R776" s="74"/>
      <c r="S776" s="74"/>
      <c r="T776" s="74"/>
      <c r="U776" s="74"/>
      <c r="V776" s="74"/>
      <c r="W776" s="74"/>
      <c r="X776" s="74"/>
      <c r="Y776" s="74"/>
    </row>
    <row r="777" spans="1:25" x14ac:dyDescent="0.3">
      <c r="A777" s="66">
        <f t="shared" si="76"/>
        <v>2066.99999999993</v>
      </c>
      <c r="B777" s="67">
        <f>LOOKUP(A777+0.01,AmountsB!$A$4:$A$103,AmountsB!$B$4:$B$103)*0.1*$A$2</f>
        <v>0</v>
      </c>
      <c r="C777" s="68">
        <f t="shared" ref="C777:C840" si="81">C776+B777</f>
        <v>2074573.74105891</v>
      </c>
      <c r="D777" s="67">
        <f t="array" ref="D777">SUM($B$7:$B772*$F$1009*EXP(-$F$1009*($A777-$A$7:$A772)))*$F$1010</f>
        <v>240589.03222770488</v>
      </c>
      <c r="E777" s="67">
        <f t="shared" si="79"/>
        <v>0.4586617507277066</v>
      </c>
      <c r="F777" s="70">
        <f t="shared" si="77"/>
        <v>2.7849941504186342E-2</v>
      </c>
      <c r="G777" s="67">
        <f>E777/'Lookup Tables'!$C$48</f>
        <v>0.91732350145541319</v>
      </c>
      <c r="H777" s="70">
        <f t="shared" si="80"/>
        <v>1.1620344527229654E-4</v>
      </c>
      <c r="I777" s="71">
        <f t="shared" si="78"/>
        <v>1.3209458420957948E-3</v>
      </c>
      <c r="L777" s="74"/>
      <c r="M777" s="74"/>
      <c r="N777" s="74"/>
      <c r="O777" s="74"/>
      <c r="P777" s="74"/>
      <c r="Q777" s="74"/>
      <c r="R777" s="74"/>
      <c r="S777" s="74"/>
      <c r="T777" s="74"/>
      <c r="U777" s="74"/>
      <c r="V777" s="74"/>
      <c r="W777" s="74"/>
      <c r="X777" s="74"/>
      <c r="Y777" s="74"/>
    </row>
    <row r="778" spans="1:25" x14ac:dyDescent="0.3">
      <c r="A778" s="66">
        <f t="shared" si="76"/>
        <v>2067.0999999999299</v>
      </c>
      <c r="B778" s="67">
        <f>LOOKUP(A778+0.01,AmountsB!$A$4:$A$103,AmountsB!$B$4:$B$103)*0.1*$A$2</f>
        <v>0</v>
      </c>
      <c r="C778" s="68">
        <f t="shared" si="81"/>
        <v>2074573.74105891</v>
      </c>
      <c r="D778" s="67">
        <f t="array" ref="D778">SUM($B$7:$B773*$F$1009*EXP(-$F$1009*($A778-$A$7:$A773)))*$F$1010</f>
        <v>237244.25385632136</v>
      </c>
      <c r="E778" s="67">
        <f t="shared" si="79"/>
        <v>0.45228522603990218</v>
      </c>
      <c r="F778" s="70">
        <f t="shared" si="77"/>
        <v>2.7462758925142862E-2</v>
      </c>
      <c r="G778" s="67">
        <f>E778/'Lookup Tables'!$C$48</f>
        <v>0.90457045207980435</v>
      </c>
      <c r="H778" s="70">
        <f t="shared" si="80"/>
        <v>1.1458793201789697E-4</v>
      </c>
      <c r="I778" s="71">
        <f t="shared" si="78"/>
        <v>1.3025814509949182E-3</v>
      </c>
      <c r="L778" s="74"/>
      <c r="M778" s="74"/>
      <c r="N778" s="74"/>
      <c r="O778" s="74"/>
      <c r="P778" s="74"/>
      <c r="Q778" s="74"/>
      <c r="R778" s="74"/>
      <c r="S778" s="74"/>
      <c r="T778" s="74"/>
      <c r="U778" s="74"/>
      <c r="V778" s="74"/>
      <c r="W778" s="74"/>
      <c r="X778" s="74"/>
      <c r="Y778" s="74"/>
    </row>
    <row r="779" spans="1:25" x14ac:dyDescent="0.3">
      <c r="A779" s="66">
        <f t="shared" si="76"/>
        <v>2067.1999999999298</v>
      </c>
      <c r="B779" s="67">
        <f>LOOKUP(A779+0.01,AmountsB!$A$4:$A$103,AmountsB!$B$4:$B$103)*0.1*$A$2</f>
        <v>0</v>
      </c>
      <c r="C779" s="68">
        <f t="shared" si="81"/>
        <v>2074573.74105891</v>
      </c>
      <c r="D779" s="67">
        <f t="array" ref="D779">SUM($B$7:$B774*$F$1009*EXP(-$F$1009*($A779-$A$7:$A774)))*$F$1010</f>
        <v>233945.97611819647</v>
      </c>
      <c r="E779" s="67">
        <f t="shared" si="79"/>
        <v>0.44599735070432661</v>
      </c>
      <c r="F779" s="70">
        <f t="shared" si="77"/>
        <v>2.7080959134766713E-2</v>
      </c>
      <c r="G779" s="67">
        <f>E779/'Lookup Tables'!$C$48</f>
        <v>0.89199470140865322</v>
      </c>
      <c r="H779" s="70">
        <f t="shared" si="80"/>
        <v>1.1299487836500941E-4</v>
      </c>
      <c r="I779" s="71">
        <f t="shared" si="78"/>
        <v>1.2844723700284608E-3</v>
      </c>
      <c r="L779" s="74"/>
      <c r="M779" s="74"/>
      <c r="N779" s="74"/>
      <c r="O779" s="74"/>
      <c r="P779" s="74"/>
      <c r="Q779" s="74"/>
      <c r="R779" s="74"/>
      <c r="S779" s="74"/>
      <c r="T779" s="74"/>
      <c r="U779" s="74"/>
      <c r="V779" s="74"/>
      <c r="W779" s="74"/>
      <c r="X779" s="74"/>
      <c r="Y779" s="74"/>
    </row>
    <row r="780" spans="1:25" x14ac:dyDescent="0.3">
      <c r="A780" s="66">
        <f t="shared" si="76"/>
        <v>2067.2999999999297</v>
      </c>
      <c r="B780" s="67">
        <f>LOOKUP(A780+0.01,AmountsB!$A$4:$A$103,AmountsB!$B$4:$B$103)*0.1*$A$2</f>
        <v>0</v>
      </c>
      <c r="C780" s="68">
        <f t="shared" si="81"/>
        <v>2074573.74105891</v>
      </c>
      <c r="D780" s="67">
        <f t="array" ref="D780">SUM($B$7:$B775*$F$1009*EXP(-$F$1009*($A780-$A$7:$A775)))*$F$1010</f>
        <v>230693.55254033464</v>
      </c>
      <c r="E780" s="67">
        <f t="shared" si="79"/>
        <v>0.43979689227728447</v>
      </c>
      <c r="F780" s="70">
        <f t="shared" si="77"/>
        <v>2.6704467299076714E-2</v>
      </c>
      <c r="G780" s="67">
        <f>E780/'Lookup Tables'!$C$48</f>
        <v>0.87959378455456894</v>
      </c>
      <c r="H780" s="70">
        <f t="shared" si="80"/>
        <v>1.1142397207001799E-4</v>
      </c>
      <c r="I780" s="71">
        <f t="shared" si="78"/>
        <v>1.2666150497585792E-3</v>
      </c>
      <c r="L780" s="74"/>
      <c r="M780" s="74"/>
      <c r="N780" s="74"/>
      <c r="O780" s="74"/>
      <c r="P780" s="74"/>
      <c r="Q780" s="74"/>
      <c r="R780" s="74"/>
      <c r="S780" s="74"/>
      <c r="T780" s="74"/>
      <c r="U780" s="74"/>
      <c r="V780" s="74"/>
      <c r="W780" s="74"/>
      <c r="X780" s="74"/>
      <c r="Y780" s="74"/>
    </row>
    <row r="781" spans="1:25" x14ac:dyDescent="0.3">
      <c r="A781" s="66">
        <f t="shared" si="76"/>
        <v>2067.3999999999296</v>
      </c>
      <c r="B781" s="67">
        <f>LOOKUP(A781+0.01,AmountsB!$A$4:$A$103,AmountsB!$B$4:$B$103)*0.1*$A$2</f>
        <v>0</v>
      </c>
      <c r="C781" s="68">
        <f t="shared" si="81"/>
        <v>2074573.74105891</v>
      </c>
      <c r="D781" s="67">
        <f t="array" ref="D781">SUM($B$7:$B776*$F$1009*EXP(-$F$1009*($A781-$A$7:$A776)))*$F$1010</f>
        <v>227486.34563730244</v>
      </c>
      <c r="E781" s="67">
        <f t="shared" si="79"/>
        <v>0.43368263544907426</v>
      </c>
      <c r="F781" s="70">
        <f t="shared" si="77"/>
        <v>2.633320962446779E-2</v>
      </c>
      <c r="G781" s="67">
        <f>E781/'Lookup Tables'!$C$48</f>
        <v>0.86736527089814852</v>
      </c>
      <c r="H781" s="70">
        <f t="shared" si="80"/>
        <v>1.0987490523025986E-4</v>
      </c>
      <c r="I781" s="71">
        <f t="shared" si="78"/>
        <v>1.2490059900933338E-3</v>
      </c>
      <c r="L781" s="74"/>
      <c r="M781" s="74"/>
      <c r="N781" s="74"/>
      <c r="O781" s="74"/>
      <c r="P781" s="74"/>
      <c r="Q781" s="74"/>
      <c r="R781" s="74"/>
      <c r="S781" s="74"/>
      <c r="T781" s="74"/>
      <c r="U781" s="74"/>
      <c r="V781" s="74"/>
      <c r="W781" s="74"/>
      <c r="X781" s="74"/>
      <c r="Y781" s="74"/>
    </row>
    <row r="782" spans="1:25" x14ac:dyDescent="0.3">
      <c r="A782" s="66">
        <f t="shared" si="76"/>
        <v>2067.4999999999295</v>
      </c>
      <c r="B782" s="67">
        <f>LOOKUP(A782+0.01,AmountsB!$A$4:$A$103,AmountsB!$B$4:$B$103)*0.1*$A$2</f>
        <v>0</v>
      </c>
      <c r="C782" s="68">
        <f t="shared" si="81"/>
        <v>2074573.74105891</v>
      </c>
      <c r="D782" s="67">
        <f t="array" ref="D782">SUM($B$7:$B777*$F$1009*EXP(-$F$1009*($A782-$A$7:$A777)))*$F$1010</f>
        <v>224323.72678627938</v>
      </c>
      <c r="E782" s="67">
        <f t="shared" si="79"/>
        <v>0.42765338180578349</v>
      </c>
      <c r="F782" s="70">
        <f t="shared" si="77"/>
        <v>2.5967113343247174E-2</v>
      </c>
      <c r="G782" s="67">
        <f>E782/'Lookup Tables'!$C$48</f>
        <v>0.85530676361156699</v>
      </c>
      <c r="H782" s="70">
        <f t="shared" si="80"/>
        <v>1.0834737422367529E-4</v>
      </c>
      <c r="I782" s="71">
        <f t="shared" si="78"/>
        <v>1.2316417396006564E-3</v>
      </c>
      <c r="L782" s="74"/>
      <c r="M782" s="74"/>
      <c r="N782" s="74"/>
      <c r="O782" s="74"/>
      <c r="P782" s="74"/>
      <c r="Q782" s="74"/>
      <c r="R782" s="74"/>
      <c r="S782" s="74"/>
      <c r="T782" s="74"/>
      <c r="U782" s="74"/>
      <c r="V782" s="74"/>
      <c r="W782" s="74"/>
      <c r="X782" s="74"/>
      <c r="Y782" s="74"/>
    </row>
    <row r="783" spans="1:25" x14ac:dyDescent="0.3">
      <c r="A783" s="66">
        <f t="shared" si="76"/>
        <v>2067.5999999999294</v>
      </c>
      <c r="B783" s="67">
        <f>LOOKUP(A783+0.01,AmountsB!$A$4:$A$103,AmountsB!$B$4:$B$103)*0.1*$A$2</f>
        <v>0</v>
      </c>
      <c r="C783" s="68">
        <f t="shared" si="81"/>
        <v>2074573.74105891</v>
      </c>
      <c r="D783" s="67">
        <f t="array" ref="D783">SUM($B$7:$B778*$F$1009*EXP(-$F$1009*($A783-$A$7:$A778)))*$F$1010</f>
        <v>221205.07610384608</v>
      </c>
      <c r="E783" s="67">
        <f t="shared" si="79"/>
        <v>0.42170794959439656</v>
      </c>
      <c r="F783" s="70">
        <f t="shared" si="77"/>
        <v>2.5606106699371758E-2</v>
      </c>
      <c r="G783" s="67">
        <f>E783/'Lookup Tables'!$C$48</f>
        <v>0.84341589918879312</v>
      </c>
      <c r="H783" s="70">
        <f t="shared" si="80"/>
        <v>1.0684107964929689E-4</v>
      </c>
      <c r="I783" s="71">
        <f t="shared" si="78"/>
        <v>1.2145188948318622E-3</v>
      </c>
      <c r="L783" s="74"/>
      <c r="M783" s="74"/>
      <c r="N783" s="74"/>
      <c r="O783" s="74"/>
      <c r="P783" s="74"/>
      <c r="Q783" s="74"/>
      <c r="R783" s="74"/>
      <c r="S783" s="74"/>
      <c r="T783" s="74"/>
      <c r="U783" s="74"/>
      <c r="V783" s="74"/>
      <c r="W783" s="74"/>
      <c r="X783" s="74"/>
      <c r="Y783" s="74"/>
    </row>
    <row r="784" spans="1:25" x14ac:dyDescent="0.3">
      <c r="A784" s="66">
        <f t="shared" si="76"/>
        <v>2067.6999999999293</v>
      </c>
      <c r="B784" s="67">
        <f>LOOKUP(A784+0.01,AmountsB!$A$4:$A$103,AmountsB!$B$4:$B$103)*0.1*$A$2</f>
        <v>0</v>
      </c>
      <c r="C784" s="68">
        <f t="shared" si="81"/>
        <v>2074573.74105891</v>
      </c>
      <c r="D784" s="67">
        <f t="array" ref="D784">SUM($B$7:$B779*$F$1009*EXP(-$F$1009*($A784-$A$7:$A779)))*$F$1010</f>
        <v>218129.78232448481</v>
      </c>
      <c r="E784" s="67">
        <f t="shared" si="79"/>
        <v>0.41584517349116634</v>
      </c>
      <c r="F784" s="70">
        <f t="shared" si="77"/>
        <v>2.5250118934383621E-2</v>
      </c>
      <c r="G784" s="67">
        <f>E784/'Lookup Tables'!$C$48</f>
        <v>0.83169034698233268</v>
      </c>
      <c r="H784" s="70">
        <f t="shared" si="80"/>
        <v>1.0535572626856579E-4</v>
      </c>
      <c r="I784" s="71">
        <f t="shared" si="78"/>
        <v>1.1976340996545591E-3</v>
      </c>
      <c r="L784" s="74"/>
      <c r="M784" s="74"/>
      <c r="N784" s="74"/>
      <c r="O784" s="74"/>
      <c r="P784" s="74"/>
      <c r="Q784" s="74"/>
      <c r="R784" s="74"/>
      <c r="S784" s="74"/>
      <c r="T784" s="74"/>
      <c r="U784" s="74"/>
      <c r="V784" s="74"/>
      <c r="W784" s="74"/>
      <c r="X784" s="74"/>
      <c r="Y784" s="74"/>
    </row>
    <row r="785" spans="1:25" x14ac:dyDescent="0.3">
      <c r="A785" s="66">
        <f t="shared" si="76"/>
        <v>2067.7999999999292</v>
      </c>
      <c r="B785" s="67">
        <f>LOOKUP(A785+0.01,AmountsB!$A$4:$A$103,AmountsB!$B$4:$B$103)*0.1*$A$2</f>
        <v>0</v>
      </c>
      <c r="C785" s="68">
        <f t="shared" si="81"/>
        <v>2074573.74105891</v>
      </c>
      <c r="D785" s="67">
        <f t="array" ref="D785">SUM($B$7:$B780*$F$1009*EXP(-$F$1009*($A785-$A$7:$A780)))*$F$1010</f>
        <v>215097.24268076988</v>
      </c>
      <c r="E785" s="67">
        <f t="shared" si="79"/>
        <v>0.41006390437320822</v>
      </c>
      <c r="F785" s="70">
        <f t="shared" si="77"/>
        <v>2.4899080273541204E-2</v>
      </c>
      <c r="G785" s="67">
        <f>E785/'Lookup Tables'!$C$48</f>
        <v>0.82012780874641644</v>
      </c>
      <c r="H785" s="70">
        <f t="shared" si="80"/>
        <v>1.0389102294746436E-4</v>
      </c>
      <c r="I785" s="71">
        <f t="shared" si="78"/>
        <v>1.1809840445948395E-3</v>
      </c>
      <c r="L785" s="74"/>
      <c r="M785" s="74"/>
      <c r="N785" s="74"/>
      <c r="O785" s="74"/>
      <c r="P785" s="74"/>
      <c r="Q785" s="74"/>
      <c r="R785" s="74"/>
      <c r="S785" s="74"/>
      <c r="T785" s="74"/>
      <c r="U785" s="74"/>
      <c r="V785" s="74"/>
      <c r="W785" s="74"/>
      <c r="X785" s="74"/>
      <c r="Y785" s="74"/>
    </row>
    <row r="786" spans="1:25" x14ac:dyDescent="0.3">
      <c r="A786" s="66">
        <f t="shared" si="76"/>
        <v>2067.8999999999292</v>
      </c>
      <c r="B786" s="67">
        <f>LOOKUP(A786+0.01,AmountsB!$A$4:$A$103,AmountsB!$B$4:$B$103)*0.1*$A$2</f>
        <v>0</v>
      </c>
      <c r="C786" s="68">
        <f t="shared" si="81"/>
        <v>2074573.74105891</v>
      </c>
      <c r="D786" s="67">
        <f t="array" ref="D786">SUM($B$7:$B781*$F$1009*EXP(-$F$1009*($A786-$A$7:$A781)))*$F$1010</f>
        <v>212106.86278522274</v>
      </c>
      <c r="E786" s="67">
        <f t="shared" si="79"/>
        <v>0.40436300909326683</v>
      </c>
      <c r="F786" s="70">
        <f t="shared" si="77"/>
        <v>2.4552921912143165E-2</v>
      </c>
      <c r="G786" s="67">
        <f>E786/'Lookup Tables'!$C$48</f>
        <v>0.80872601818653367</v>
      </c>
      <c r="H786" s="70">
        <f t="shared" si="80"/>
        <v>1.0244668259945256E-4</v>
      </c>
      <c r="I786" s="71">
        <f t="shared" si="78"/>
        <v>1.1645654661886086E-3</v>
      </c>
      <c r="L786" s="74"/>
      <c r="M786" s="74"/>
      <c r="N786" s="74"/>
      <c r="O786" s="74"/>
      <c r="P786" s="74"/>
      <c r="Q786" s="74"/>
      <c r="R786" s="74"/>
      <c r="S786" s="74"/>
      <c r="T786" s="74"/>
      <c r="U786" s="74"/>
      <c r="V786" s="74"/>
      <c r="W786" s="74"/>
      <c r="X786" s="74"/>
      <c r="Y786" s="74"/>
    </row>
    <row r="787" spans="1:25" x14ac:dyDescent="0.3">
      <c r="A787" s="66">
        <f t="shared" ref="A787:A850" si="82">A786+0.1</f>
        <v>2067.9999999999291</v>
      </c>
      <c r="B787" s="67">
        <f>LOOKUP(A787+0.01,AmountsB!$A$4:$A$103,AmountsB!$B$4:$B$103)*0.1*$A$2</f>
        <v>0</v>
      </c>
      <c r="C787" s="68">
        <f t="shared" si="81"/>
        <v>2074573.74105891</v>
      </c>
      <c r="D787" s="67">
        <f t="array" ref="D787">SUM($B$7:$B782*$F$1009*EXP(-$F$1009*($A787-$A$7:$A782)))*$F$1010</f>
        <v>209158.05651381059</v>
      </c>
      <c r="E787" s="67">
        <f t="shared" si="79"/>
        <v>0.39874137025761675</v>
      </c>
      <c r="F787" s="70">
        <f t="shared" ref="F787:F850" si="83">E787*60*1012/1000000</f>
        <v>2.421157600204249E-2</v>
      </c>
      <c r="G787" s="67">
        <f>E787/'Lookup Tables'!$C$48</f>
        <v>0.79748274051523349</v>
      </c>
      <c r="H787" s="70">
        <f t="shared" si="80"/>
        <v>1.0102242212919831E-4</v>
      </c>
      <c r="I787" s="71">
        <f t="shared" ref="I787:I850" si="84">G787*60*24/1000000</f>
        <v>1.1483751463419363E-3</v>
      </c>
      <c r="L787" s="74"/>
      <c r="M787" s="74"/>
      <c r="N787" s="74"/>
      <c r="O787" s="74"/>
      <c r="P787" s="74"/>
      <c r="Q787" s="74"/>
      <c r="R787" s="74"/>
      <c r="S787" s="74"/>
      <c r="T787" s="74"/>
      <c r="U787" s="74"/>
      <c r="V787" s="74"/>
      <c r="W787" s="74"/>
      <c r="X787" s="74"/>
      <c r="Y787" s="74"/>
    </row>
    <row r="788" spans="1:25" x14ac:dyDescent="0.3">
      <c r="A788" s="66">
        <f t="shared" si="82"/>
        <v>2068.099999999929</v>
      </c>
      <c r="B788" s="67">
        <f>LOOKUP(A788+0.01,AmountsB!$A$4:$A$103,AmountsB!$B$4:$B$103)*0.1*$A$2</f>
        <v>0</v>
      </c>
      <c r="C788" s="68">
        <f t="shared" si="81"/>
        <v>2074573.74105891</v>
      </c>
      <c r="D788" s="67">
        <f t="array" ref="D788">SUM($B$7:$B783*$F$1009*EXP(-$F$1009*($A788-$A$7:$A783)))*$F$1010</f>
        <v>206250.24589106411</v>
      </c>
      <c r="E788" s="67">
        <f t="shared" si="79"/>
        <v>0.39319788600704941</v>
      </c>
      <c r="F788" s="70">
        <f t="shared" si="83"/>
        <v>2.3874975638348037E-2</v>
      </c>
      <c r="G788" s="67">
        <f>E788/'Lookup Tables'!$C$48</f>
        <v>0.78639577201409883</v>
      </c>
      <c r="H788" s="70">
        <f t="shared" si="80"/>
        <v>9.9617962377089903E-5</v>
      </c>
      <c r="I788" s="71">
        <f t="shared" si="84"/>
        <v>1.1324099117003023E-3</v>
      </c>
      <c r="L788" s="74"/>
      <c r="M788" s="74"/>
      <c r="N788" s="74"/>
      <c r="O788" s="74"/>
      <c r="P788" s="74"/>
      <c r="Q788" s="74"/>
      <c r="R788" s="74"/>
      <c r="S788" s="74"/>
      <c r="T788" s="74"/>
      <c r="U788" s="74"/>
      <c r="V788" s="74"/>
      <c r="W788" s="74"/>
      <c r="X788" s="74"/>
      <c r="Y788" s="74"/>
    </row>
    <row r="789" spans="1:25" x14ac:dyDescent="0.3">
      <c r="A789" s="66">
        <f t="shared" si="82"/>
        <v>2068.1999999999289</v>
      </c>
      <c r="B789" s="67">
        <f>LOOKUP(A789+0.01,AmountsB!$A$4:$A$103,AmountsB!$B$4:$B$103)*0.1*$A$2</f>
        <v>0</v>
      </c>
      <c r="C789" s="68">
        <f t="shared" si="81"/>
        <v>2074573.74105891</v>
      </c>
      <c r="D789" s="67">
        <f t="array" ref="D789">SUM($B$7:$B784*$F$1009*EXP(-$F$1009*($A789-$A$7:$A784)))*$F$1010</f>
        <v>203382.86097679235</v>
      </c>
      <c r="E789" s="67">
        <f t="shared" si="79"/>
        <v>0.38773146980090512</v>
      </c>
      <c r="F789" s="70">
        <f t="shared" si="83"/>
        <v>2.354305484631096E-2</v>
      </c>
      <c r="G789" s="67">
        <f>E789/'Lookup Tables'!$C$48</f>
        <v>0.77546293960181023</v>
      </c>
      <c r="H789" s="70">
        <f t="shared" si="80"/>
        <v>9.8233028064519776E-5</v>
      </c>
      <c r="I789" s="71">
        <f t="shared" si="84"/>
        <v>1.1166666330266067E-3</v>
      </c>
      <c r="L789" s="74"/>
      <c r="M789" s="74"/>
      <c r="N789" s="74"/>
      <c r="O789" s="74"/>
      <c r="P789" s="74"/>
      <c r="Q789" s="74"/>
      <c r="R789" s="74"/>
      <c r="S789" s="74"/>
      <c r="T789" s="74"/>
      <c r="U789" s="74"/>
      <c r="V789" s="74"/>
      <c r="W789" s="74"/>
      <c r="X789" s="74"/>
      <c r="Y789" s="74"/>
    </row>
    <row r="790" spans="1:25" x14ac:dyDescent="0.3">
      <c r="A790" s="66">
        <f t="shared" si="82"/>
        <v>2068.2999999999288</v>
      </c>
      <c r="B790" s="67">
        <f>LOOKUP(A790+0.01,AmountsB!$A$4:$A$103,AmountsB!$B$4:$B$103)*0.1*$A$2</f>
        <v>0</v>
      </c>
      <c r="C790" s="68">
        <f t="shared" si="81"/>
        <v>2074573.74105891</v>
      </c>
      <c r="D790" s="67">
        <f t="array" ref="D790">SUM($B$7:$B785*$F$1009*EXP(-$F$1009*($A790-$A$7:$A785)))*$F$1010</f>
        <v>200555.33975437252</v>
      </c>
      <c r="E790" s="67">
        <f t="shared" si="79"/>
        <v>0.38234105020410736</v>
      </c>
      <c r="F790" s="70">
        <f t="shared" si="83"/>
        <v>2.3215748568393396E-2</v>
      </c>
      <c r="G790" s="67">
        <f>E790/'Lookup Tables'!$C$48</f>
        <v>0.76468210040821472</v>
      </c>
      <c r="H790" s="70">
        <f t="shared" si="80"/>
        <v>9.6867347739928967E-5</v>
      </c>
      <c r="I790" s="71">
        <f t="shared" si="84"/>
        <v>1.1011422245878291E-3</v>
      </c>
      <c r="L790" s="74"/>
      <c r="M790" s="74"/>
      <c r="N790" s="74"/>
      <c r="O790" s="74"/>
      <c r="P790" s="74"/>
      <c r="Q790" s="74"/>
      <c r="R790" s="74"/>
      <c r="S790" s="74"/>
      <c r="T790" s="74"/>
      <c r="U790" s="74"/>
      <c r="V790" s="74"/>
      <c r="W790" s="74"/>
      <c r="X790" s="74"/>
      <c r="Y790" s="74"/>
    </row>
    <row r="791" spans="1:25" x14ac:dyDescent="0.3">
      <c r="A791" s="66">
        <f t="shared" si="82"/>
        <v>2068.3999999999287</v>
      </c>
      <c r="B791" s="67">
        <f>LOOKUP(A791+0.01,AmountsB!$A$4:$A$103,AmountsB!$B$4:$B$103)*0.1*$A$2</f>
        <v>0</v>
      </c>
      <c r="C791" s="68">
        <f t="shared" si="81"/>
        <v>2074573.74105891</v>
      </c>
      <c r="D791" s="67">
        <f t="array" ref="D791">SUM($B$7:$B786*$F$1009*EXP(-$F$1009*($A791-$A$7:$A786)))*$F$1010</f>
        <v>197767.12802059317</v>
      </c>
      <c r="E791" s="67">
        <f t="shared" si="79"/>
        <v>0.37702557067715864</v>
      </c>
      <c r="F791" s="70">
        <f t="shared" si="83"/>
        <v>2.2892992651517074E-2</v>
      </c>
      <c r="G791" s="67">
        <f>E791/'Lookup Tables'!$C$48</f>
        <v>0.75405114135431728</v>
      </c>
      <c r="H791" s="70">
        <f t="shared" si="80"/>
        <v>9.552065372560187E-5</v>
      </c>
      <c r="I791" s="71">
        <f t="shared" si="84"/>
        <v>1.085833643550217E-3</v>
      </c>
      <c r="L791" s="74"/>
      <c r="M791" s="74"/>
      <c r="N791" s="74"/>
      <c r="O791" s="74"/>
      <c r="P791" s="74"/>
      <c r="Q791" s="74"/>
      <c r="R791" s="74"/>
      <c r="S791" s="74"/>
      <c r="T791" s="74"/>
      <c r="U791" s="74"/>
      <c r="V791" s="74"/>
      <c r="W791" s="74"/>
      <c r="X791" s="74"/>
      <c r="Y791" s="74"/>
    </row>
    <row r="792" spans="1:25" x14ac:dyDescent="0.3">
      <c r="A792" s="66">
        <f t="shared" si="82"/>
        <v>2068.4999999999286</v>
      </c>
      <c r="B792" s="67">
        <f>LOOKUP(A792+0.01,AmountsB!$A$4:$A$103,AmountsB!$B$4:$B$103)*0.1*$A$2</f>
        <v>0</v>
      </c>
      <c r="C792" s="68">
        <f t="shared" si="81"/>
        <v>2074573.74105891</v>
      </c>
      <c r="D792" s="67">
        <f t="array" ref="D792">SUM($B$7:$B787*$F$1009*EXP(-$F$1009*($A792-$A$7:$A787)))*$F$1010</f>
        <v>195017.67927702845</v>
      </c>
      <c r="E792" s="67">
        <f t="shared" si="79"/>
        <v>0.37178398936905493</v>
      </c>
      <c r="F792" s="70">
        <f t="shared" si="83"/>
        <v>2.2574723834489017E-2</v>
      </c>
      <c r="G792" s="67">
        <f>E792/'Lookup Tables'!$C$48</f>
        <v>0.74356797873810987</v>
      </c>
      <c r="H792" s="70">
        <f t="shared" si="80"/>
        <v>9.4192682065200389E-5</v>
      </c>
      <c r="I792" s="71">
        <f t="shared" si="84"/>
        <v>1.0707378893828781E-3</v>
      </c>
      <c r="L792" s="74"/>
      <c r="M792" s="74"/>
      <c r="N792" s="74"/>
      <c r="O792" s="74"/>
      <c r="P792" s="74"/>
      <c r="Q792" s="74"/>
      <c r="R792" s="74"/>
      <c r="S792" s="74"/>
      <c r="T792" s="74"/>
      <c r="U792" s="74"/>
      <c r="V792" s="74"/>
      <c r="W792" s="74"/>
      <c r="X792" s="74"/>
      <c r="Y792" s="74"/>
    </row>
    <row r="793" spans="1:25" x14ac:dyDescent="0.3">
      <c r="A793" s="66">
        <f t="shared" si="82"/>
        <v>2068.5999999999285</v>
      </c>
      <c r="B793" s="67">
        <f>LOOKUP(A793+0.01,AmountsB!$A$4:$A$103,AmountsB!$B$4:$B$103)*0.1*$A$2</f>
        <v>0</v>
      </c>
      <c r="C793" s="68">
        <f t="shared" si="81"/>
        <v>2074573.74105891</v>
      </c>
      <c r="D793" s="67">
        <f t="array" ref="D793">SUM($B$7:$B788*$F$1009*EXP(-$F$1009*($A793-$A$7:$A788)))*$F$1010</f>
        <v>192306.45462292261</v>
      </c>
      <c r="E793" s="67">
        <f t="shared" si="79"/>
        <v>0.36661527891307971</v>
      </c>
      <c r="F793" s="70">
        <f t="shared" si="83"/>
        <v>2.2260879735602201E-2</v>
      </c>
      <c r="G793" s="67">
        <f>E793/'Lookup Tables'!$C$48</f>
        <v>0.73323055782615942</v>
      </c>
      <c r="H793" s="70">
        <f t="shared" si="80"/>
        <v>9.2883172472027814E-5</v>
      </c>
      <c r="I793" s="71">
        <f t="shared" si="84"/>
        <v>1.0558520032696696E-3</v>
      </c>
      <c r="L793" s="74"/>
      <c r="M793" s="74"/>
      <c r="N793" s="74"/>
      <c r="O793" s="74"/>
      <c r="P793" s="74"/>
      <c r="Q793" s="74"/>
      <c r="R793" s="74"/>
      <c r="S793" s="74"/>
      <c r="T793" s="74"/>
      <c r="U793" s="74"/>
      <c r="V793" s="74"/>
      <c r="W793" s="74"/>
      <c r="X793" s="74"/>
      <c r="Y793" s="74"/>
    </row>
    <row r="794" spans="1:25" x14ac:dyDescent="0.3">
      <c r="A794" s="66">
        <f t="shared" si="82"/>
        <v>2068.6999999999284</v>
      </c>
      <c r="B794" s="67">
        <f>LOOKUP(A794+0.01,AmountsB!$A$4:$A$103,AmountsB!$B$4:$B$103)*0.1*$A$2</f>
        <v>0</v>
      </c>
      <c r="C794" s="68">
        <f t="shared" si="81"/>
        <v>2074573.74105891</v>
      </c>
      <c r="D794" s="67">
        <f t="array" ref="D794">SUM($B$7:$B789*$F$1009*EXP(-$F$1009*($A794-$A$7:$A789)))*$F$1010</f>
        <v>189632.9226495639</v>
      </c>
      <c r="E794" s="67">
        <f t="shared" si="79"/>
        <v>0.36151842622543673</v>
      </c>
      <c r="F794" s="70">
        <f t="shared" si="83"/>
        <v>2.1951398840408518E-2</v>
      </c>
      <c r="G794" s="67">
        <f>E794/'Lookup Tables'!$C$48</f>
        <v>0.72303685245087346</v>
      </c>
      <c r="H794" s="70">
        <f t="shared" si="80"/>
        <v>9.1591868278011662E-5</v>
      </c>
      <c r="I794" s="71">
        <f t="shared" si="84"/>
        <v>1.0411730675292578E-3</v>
      </c>
      <c r="L794" s="74"/>
      <c r="M794" s="74"/>
      <c r="N794" s="74"/>
      <c r="O794" s="74"/>
      <c r="P794" s="74"/>
      <c r="Q794" s="74"/>
      <c r="R794" s="74"/>
      <c r="S794" s="74"/>
      <c r="T794" s="74"/>
      <c r="U794" s="74"/>
      <c r="V794" s="74"/>
      <c r="W794" s="74"/>
      <c r="X794" s="74"/>
      <c r="Y794" s="74"/>
    </row>
    <row r="795" spans="1:25" x14ac:dyDescent="0.3">
      <c r="A795" s="66">
        <f t="shared" si="82"/>
        <v>2068.7999999999283</v>
      </c>
      <c r="B795" s="67">
        <f>LOOKUP(A795+0.01,AmountsB!$A$4:$A$103,AmountsB!$B$4:$B$103)*0.1*$A$2</f>
        <v>0</v>
      </c>
      <c r="C795" s="68">
        <f t="shared" si="81"/>
        <v>2074573.74105891</v>
      </c>
      <c r="D795" s="67">
        <f t="array" ref="D795">SUM($B$7:$B790*$F$1009*EXP(-$F$1009*($A795-$A$7:$A790)))*$F$1010</f>
        <v>186996.55933612658</v>
      </c>
      <c r="E795" s="67">
        <f t="shared" si="79"/>
        <v>0.35649243230668226</v>
      </c>
      <c r="F795" s="70">
        <f t="shared" si="83"/>
        <v>2.1646220489661749E-2</v>
      </c>
      <c r="G795" s="67">
        <f>E795/'Lookup Tables'!$C$48</f>
        <v>0.71298486461336452</v>
      </c>
      <c r="H795" s="70">
        <f t="shared" si="80"/>
        <v>9.0318516383395935E-5</v>
      </c>
      <c r="I795" s="71">
        <f t="shared" si="84"/>
        <v>1.0266982050432449E-3</v>
      </c>
      <c r="L795" s="74"/>
      <c r="M795" s="74"/>
      <c r="N795" s="74"/>
      <c r="O795" s="74"/>
      <c r="P795" s="74"/>
      <c r="Q795" s="74"/>
      <c r="R795" s="74"/>
      <c r="S795" s="74"/>
      <c r="T795" s="74"/>
      <c r="U795" s="74"/>
      <c r="V795" s="74"/>
      <c r="W795" s="74"/>
      <c r="X795" s="74"/>
      <c r="Y795" s="74"/>
    </row>
    <row r="796" spans="1:25" x14ac:dyDescent="0.3">
      <c r="A796" s="66">
        <f t="shared" si="82"/>
        <v>2068.8999999999282</v>
      </c>
      <c r="B796" s="67">
        <f>LOOKUP(A796+0.01,AmountsB!$A$4:$A$103,AmountsB!$B$4:$B$103)*0.1*$A$2</f>
        <v>0</v>
      </c>
      <c r="C796" s="68">
        <f t="shared" si="81"/>
        <v>2074573.74105891</v>
      </c>
      <c r="D796" s="67">
        <f t="array" ref="D796">SUM($B$7:$B791*$F$1009*EXP(-$F$1009*($A796-$A$7:$A791)))*$F$1010</f>
        <v>184396.84794696132</v>
      </c>
      <c r="E796" s="67">
        <f t="shared" si="79"/>
        <v>0.35153631204591845</v>
      </c>
      <c r="F796" s="70">
        <f t="shared" si="83"/>
        <v>2.134528486742817E-2</v>
      </c>
      <c r="G796" s="67">
        <f>E796/'Lookup Tables'!$C$48</f>
        <v>0.70307262409183691</v>
      </c>
      <c r="H796" s="70">
        <f t="shared" si="80"/>
        <v>8.9062867207132949E-5</v>
      </c>
      <c r="I796" s="71">
        <f t="shared" si="84"/>
        <v>1.0124245786922452E-3</v>
      </c>
      <c r="L796" s="74"/>
      <c r="M796" s="74"/>
      <c r="N796" s="74"/>
      <c r="O796" s="74"/>
      <c r="P796" s="74"/>
      <c r="Q796" s="74"/>
      <c r="R796" s="74"/>
      <c r="S796" s="74"/>
      <c r="T796" s="74"/>
      <c r="U796" s="74"/>
      <c r="V796" s="74"/>
      <c r="W796" s="74"/>
      <c r="X796" s="74"/>
      <c r="Y796" s="74"/>
    </row>
    <row r="797" spans="1:25" x14ac:dyDescent="0.3">
      <c r="A797" s="66">
        <f t="shared" si="82"/>
        <v>2068.9999999999281</v>
      </c>
      <c r="B797" s="67">
        <f>LOOKUP(A797+0.01,AmountsB!$A$4:$A$103,AmountsB!$B$4:$B$103)*0.1*$A$2</f>
        <v>0</v>
      </c>
      <c r="C797" s="68">
        <f t="shared" si="81"/>
        <v>2074573.74105891</v>
      </c>
      <c r="D797" s="67">
        <f t="array" ref="D797">SUM($B$7:$B792*$F$1009*EXP(-$F$1009*($A797-$A$7:$A792)))*$F$1010</f>
        <v>181833.27893031327</v>
      </c>
      <c r="E797" s="67">
        <f t="shared" si="79"/>
        <v>0.34664909402770777</v>
      </c>
      <c r="F797" s="70">
        <f t="shared" si="83"/>
        <v>2.1048532989362413E-2</v>
      </c>
      <c r="G797" s="67">
        <f>E797/'Lookup Tables'!$C$48</f>
        <v>0.69329818805541554</v>
      </c>
      <c r="H797" s="70">
        <f t="shared" si="80"/>
        <v>8.7824674637964313E-5</v>
      </c>
      <c r="I797" s="71">
        <f t="shared" si="84"/>
        <v>9.9834939079979828E-4</v>
      </c>
      <c r="L797" s="74"/>
      <c r="M797" s="74"/>
      <c r="N797" s="74"/>
      <c r="O797" s="74"/>
      <c r="P797" s="74"/>
      <c r="Q797" s="74"/>
      <c r="R797" s="74"/>
      <c r="S797" s="74"/>
      <c r="T797" s="74"/>
      <c r="U797" s="74"/>
      <c r="V797" s="74"/>
      <c r="W797" s="74"/>
      <c r="X797" s="74"/>
      <c r="Y797" s="74"/>
    </row>
    <row r="798" spans="1:25" x14ac:dyDescent="0.3">
      <c r="A798" s="66">
        <f t="shared" si="82"/>
        <v>2069.0999999999281</v>
      </c>
      <c r="B798" s="67">
        <f>LOOKUP(A798+0.01,AmountsB!$A$4:$A$103,AmountsB!$B$4:$B$103)*0.1*$A$2</f>
        <v>0</v>
      </c>
      <c r="C798" s="68">
        <f t="shared" si="81"/>
        <v>2074573.74105891</v>
      </c>
      <c r="D798" s="67">
        <f t="array" ref="D798">SUM($B$7:$B793*$F$1009*EXP(-$F$1009*($A798-$A$7:$A793)))*$F$1010</f>
        <v>179305.34981844822</v>
      </c>
      <c r="E798" s="67">
        <f t="shared" si="79"/>
        <v>0.34182982034167297</v>
      </c>
      <c r="F798" s="70">
        <f t="shared" si="83"/>
        <v>2.0755906691146384E-2</v>
      </c>
      <c r="G798" s="67">
        <f>E798/'Lookup Tables'!$C$48</f>
        <v>0.68365964068334595</v>
      </c>
      <c r="H798" s="70">
        <f t="shared" si="80"/>
        <v>8.6603695986182597E-5</v>
      </c>
      <c r="I798" s="71">
        <f t="shared" si="84"/>
        <v>9.8446988258401821E-4</v>
      </c>
      <c r="L798" s="74"/>
      <c r="M798" s="74"/>
      <c r="N798" s="74"/>
      <c r="O798" s="74"/>
      <c r="P798" s="74"/>
      <c r="Q798" s="74"/>
      <c r="R798" s="74"/>
      <c r="S798" s="74"/>
      <c r="T798" s="74"/>
      <c r="U798" s="74"/>
      <c r="V798" s="74"/>
      <c r="W798" s="74"/>
      <c r="X798" s="74"/>
      <c r="Y798" s="74"/>
    </row>
    <row r="799" spans="1:25" x14ac:dyDescent="0.3">
      <c r="A799" s="66">
        <f t="shared" si="82"/>
        <v>2069.199999999928</v>
      </c>
      <c r="B799" s="67">
        <f>LOOKUP(A799+0.01,AmountsB!$A$4:$A$103,AmountsB!$B$4:$B$103)*0.1*$A$2</f>
        <v>0</v>
      </c>
      <c r="C799" s="68">
        <f t="shared" si="81"/>
        <v>2074573.74105891</v>
      </c>
      <c r="D799" s="67">
        <f t="array" ref="D799">SUM($B$7:$B794*$F$1009*EXP(-$F$1009*($A799-$A$7:$A794)))*$F$1010</f>
        <v>176812.5651291674</v>
      </c>
      <c r="E799" s="67">
        <f t="shared" si="79"/>
        <v>0.33707754639474324</v>
      </c>
      <c r="F799" s="70">
        <f t="shared" si="83"/>
        <v>2.046734861708881E-2</v>
      </c>
      <c r="G799" s="67">
        <f>E799/'Lookup Tables'!$C$48</f>
        <v>0.67415509278948649</v>
      </c>
      <c r="H799" s="70">
        <f t="shared" si="80"/>
        <v>8.5399691936063188E-5</v>
      </c>
      <c r="I799" s="71">
        <f t="shared" si="84"/>
        <v>9.707833336168605E-4</v>
      </c>
      <c r="L799" s="74"/>
      <c r="M799" s="74"/>
      <c r="N799" s="74"/>
      <c r="O799" s="74"/>
      <c r="P799" s="74"/>
      <c r="Q799" s="74"/>
      <c r="R799" s="74"/>
      <c r="S799" s="74"/>
      <c r="T799" s="74"/>
      <c r="U799" s="74"/>
      <c r="V799" s="74"/>
      <c r="W799" s="74"/>
      <c r="X799" s="74"/>
      <c r="Y799" s="74"/>
    </row>
    <row r="800" spans="1:25" x14ac:dyDescent="0.3">
      <c r="A800" s="66">
        <f t="shared" si="82"/>
        <v>2069.2999999999279</v>
      </c>
      <c r="B800" s="67">
        <f>LOOKUP(A800+0.01,AmountsB!$A$4:$A$103,AmountsB!$B$4:$B$103)*0.1*$A$2</f>
        <v>0</v>
      </c>
      <c r="C800" s="68">
        <f t="shared" si="81"/>
        <v>2074573.74105891</v>
      </c>
      <c r="D800" s="67">
        <f t="array" ref="D800">SUM($B$7:$B795*$F$1009*EXP(-$F$1009*($A800-$A$7:$A795)))*$F$1010</f>
        <v>174354.43626869153</v>
      </c>
      <c r="E800" s="67">
        <f t="shared" si="79"/>
        <v>0.33239134072601145</v>
      </c>
      <c r="F800" s="70">
        <f t="shared" si="83"/>
        <v>2.0182802208883414E-2</v>
      </c>
      <c r="G800" s="67">
        <f>E800/'Lookup Tables'!$C$48</f>
        <v>0.66478268145202291</v>
      </c>
      <c r="H800" s="70">
        <f t="shared" si="80"/>
        <v>8.4212426498957922E-5</v>
      </c>
      <c r="I800" s="71">
        <f t="shared" si="84"/>
        <v>9.5728706129091302E-4</v>
      </c>
      <c r="L800" s="74"/>
      <c r="M800" s="74"/>
      <c r="N800" s="74"/>
      <c r="O800" s="74"/>
      <c r="P800" s="74"/>
      <c r="Q800" s="74"/>
      <c r="R800" s="74"/>
      <c r="S800" s="74"/>
      <c r="T800" s="74"/>
      <c r="U800" s="74"/>
      <c r="V800" s="74"/>
      <c r="W800" s="74"/>
      <c r="X800" s="74"/>
      <c r="Y800" s="74"/>
    </row>
    <row r="801" spans="1:25" x14ac:dyDescent="0.3">
      <c r="A801" s="66">
        <f t="shared" si="82"/>
        <v>2069.3999999999278</v>
      </c>
      <c r="B801" s="67">
        <f>LOOKUP(A801+0.01,AmountsB!$A$4:$A$103,AmountsB!$B$4:$B$103)*0.1*$A$2</f>
        <v>0</v>
      </c>
      <c r="C801" s="68">
        <f t="shared" si="81"/>
        <v>2074573.74105891</v>
      </c>
      <c r="D801" s="67">
        <f t="array" ref="D801">SUM($B$7:$B796*$F$1009*EXP(-$F$1009*($A801-$A$7:$A796)))*$F$1010</f>
        <v>171930.48143589456</v>
      </c>
      <c r="E801" s="67">
        <f t="shared" si="79"/>
        <v>0.3277702848241642</v>
      </c>
      <c r="F801" s="70">
        <f t="shared" si="83"/>
        <v>1.9902211694523247E-2</v>
      </c>
      <c r="G801" s="67">
        <f>E801/'Lookup Tables'!$C$48</f>
        <v>0.65554056964832841</v>
      </c>
      <c r="H801" s="70">
        <f t="shared" si="80"/>
        <v>8.3041666967040198E-5</v>
      </c>
      <c r="I801" s="71">
        <f t="shared" si="84"/>
        <v>9.4397842029359284E-4</v>
      </c>
      <c r="L801" s="74"/>
      <c r="M801" s="74"/>
      <c r="N801" s="74"/>
      <c r="O801" s="74"/>
      <c r="P801" s="74"/>
      <c r="Q801" s="74"/>
      <c r="R801" s="74"/>
      <c r="S801" s="74"/>
      <c r="T801" s="74"/>
      <c r="U801" s="74"/>
      <c r="V801" s="74"/>
      <c r="W801" s="74"/>
      <c r="X801" s="74"/>
      <c r="Y801" s="74"/>
    </row>
    <row r="802" spans="1:25" x14ac:dyDescent="0.3">
      <c r="A802" s="66">
        <f t="shared" si="82"/>
        <v>2069.4999999999277</v>
      </c>
      <c r="B802" s="67">
        <f>LOOKUP(A802+0.01,AmountsB!$A$4:$A$103,AmountsB!$B$4:$B$103)*0.1*$A$2</f>
        <v>0</v>
      </c>
      <c r="C802" s="68">
        <f t="shared" si="81"/>
        <v>2074573.74105891</v>
      </c>
      <c r="D802" s="67">
        <f t="array" ref="D802">SUM($B$7:$B797*$F$1009*EXP(-$F$1009*($A802-$A$7:$A797)))*$F$1010</f>
        <v>169540.22552786939</v>
      </c>
      <c r="E802" s="67">
        <f t="shared" si="79"/>
        <v>0.32321347294745134</v>
      </c>
      <c r="F802" s="70">
        <f t="shared" si="83"/>
        <v>1.9625522077369246E-2</v>
      </c>
      <c r="G802" s="67">
        <f>E802/'Lookup Tables'!$C$48</f>
        <v>0.64642694589490268</v>
      </c>
      <c r="H802" s="70">
        <f t="shared" si="80"/>
        <v>8.1887183867693827E-5</v>
      </c>
      <c r="I802" s="71">
        <f t="shared" si="84"/>
        <v>9.3085480208865987E-4</v>
      </c>
      <c r="L802" s="74"/>
      <c r="M802" s="74"/>
      <c r="N802" s="74"/>
      <c r="O802" s="74"/>
      <c r="P802" s="74"/>
      <c r="Q802" s="74"/>
      <c r="R802" s="74"/>
      <c r="S802" s="74"/>
      <c r="T802" s="74"/>
      <c r="U802" s="74"/>
      <c r="V802" s="74"/>
      <c r="W802" s="74"/>
      <c r="X802" s="74"/>
      <c r="Y802" s="74"/>
    </row>
    <row r="803" spans="1:25" x14ac:dyDescent="0.3">
      <c r="A803" s="66">
        <f t="shared" si="82"/>
        <v>2069.5999999999276</v>
      </c>
      <c r="B803" s="67">
        <f>LOOKUP(A803+0.01,AmountsB!$A$4:$A$103,AmountsB!$B$4:$B$103)*0.1*$A$2</f>
        <v>0</v>
      </c>
      <c r="C803" s="68">
        <f t="shared" si="81"/>
        <v>2074573.74105891</v>
      </c>
      <c r="D803" s="67">
        <f t="array" ref="D803">SUM($B$7:$B798*$F$1009*EXP(-$F$1009*($A803-$A$7:$A798)))*$F$1010</f>
        <v>167183.20004680587</v>
      </c>
      <c r="E803" s="67">
        <f t="shared" si="79"/>
        <v>0.31872001194615668</v>
      </c>
      <c r="F803" s="70">
        <f t="shared" si="83"/>
        <v>1.9352679125370632E-2</v>
      </c>
      <c r="G803" s="67">
        <f>E803/'Lookup Tables'!$C$48</f>
        <v>0.63744002389231336</v>
      </c>
      <c r="H803" s="70">
        <f t="shared" si="80"/>
        <v>8.0748750918535313E-5</v>
      </c>
      <c r="I803" s="71">
        <f t="shared" si="84"/>
        <v>9.1791363440493117E-4</v>
      </c>
      <c r="L803" s="74"/>
      <c r="M803" s="74"/>
      <c r="N803" s="74"/>
      <c r="O803" s="74"/>
      <c r="P803" s="74"/>
      <c r="Q803" s="74"/>
      <c r="R803" s="74"/>
      <c r="S803" s="74"/>
      <c r="T803" s="74"/>
      <c r="U803" s="74"/>
      <c r="V803" s="74"/>
      <c r="W803" s="74"/>
      <c r="X803" s="74"/>
      <c r="Y803" s="74"/>
    </row>
    <row r="804" spans="1:25" x14ac:dyDescent="0.3">
      <c r="A804" s="66">
        <f t="shared" si="82"/>
        <v>2069.6999999999275</v>
      </c>
      <c r="B804" s="67">
        <f>LOOKUP(A804+0.01,AmountsB!$A$4:$A$103,AmountsB!$B$4:$B$103)*0.1*$A$2</f>
        <v>0</v>
      </c>
      <c r="C804" s="68">
        <f t="shared" si="81"/>
        <v>2074573.74105891</v>
      </c>
      <c r="D804" s="67">
        <f t="array" ref="D804">SUM($B$7:$B799*$F$1009*EXP(-$F$1009*($A804-$A$7:$A799)))*$F$1010</f>
        <v>164858.94300816415</v>
      </c>
      <c r="E804" s="67">
        <f t="shared" si="79"/>
        <v>0.31428902108753909</v>
      </c>
      <c r="F804" s="70">
        <f t="shared" si="83"/>
        <v>1.9083629360435374E-2</v>
      </c>
      <c r="G804" s="67">
        <f>E804/'Lookup Tables'!$C$48</f>
        <v>0.62857804217507818</v>
      </c>
      <c r="H804" s="70">
        <f t="shared" si="80"/>
        <v>7.9626144983062204E-5</v>
      </c>
      <c r="I804" s="71">
        <f t="shared" si="84"/>
        <v>9.051523807321125E-4</v>
      </c>
      <c r="L804" s="74"/>
      <c r="M804" s="74"/>
      <c r="N804" s="74"/>
      <c r="O804" s="74"/>
      <c r="P804" s="74"/>
      <c r="Q804" s="74"/>
      <c r="R804" s="74"/>
      <c r="S804" s="74"/>
      <c r="T804" s="74"/>
      <c r="U804" s="74"/>
      <c r="V804" s="74"/>
      <c r="W804" s="74"/>
      <c r="X804" s="74"/>
      <c r="Y804" s="74"/>
    </row>
    <row r="805" spans="1:25" x14ac:dyDescent="0.3">
      <c r="A805" s="66">
        <f t="shared" si="82"/>
        <v>2069.7999999999274</v>
      </c>
      <c r="B805" s="67">
        <f>LOOKUP(A805+0.01,AmountsB!$A$4:$A$103,AmountsB!$B$4:$B$103)*0.1*$A$2</f>
        <v>0</v>
      </c>
      <c r="C805" s="68">
        <f t="shared" si="81"/>
        <v>2074573.74105891</v>
      </c>
      <c r="D805" s="67">
        <f t="array" ref="D805">SUM($B$7:$B800*$F$1009*EXP(-$F$1009*($A805-$A$7:$A800)))*$F$1010</f>
        <v>162566.99885012384</v>
      </c>
      <c r="E805" s="67">
        <f t="shared" si="79"/>
        <v>0.30991963188320509</v>
      </c>
      <c r="F805" s="70">
        <f t="shared" si="83"/>
        <v>1.8818320047948214E-2</v>
      </c>
      <c r="G805" s="67">
        <f>E805/'Lookup Tables'!$C$48</f>
        <v>0.61983926376641019</v>
      </c>
      <c r="H805" s="70">
        <f t="shared" si="80"/>
        <v>7.8519146026917255E-5</v>
      </c>
      <c r="I805" s="71">
        <f t="shared" si="84"/>
        <v>8.9256853982363062E-4</v>
      </c>
      <c r="L805" s="74"/>
      <c r="M805" s="74"/>
      <c r="N805" s="74"/>
      <c r="O805" s="74"/>
      <c r="P805" s="74"/>
      <c r="Q805" s="74"/>
      <c r="R805" s="74"/>
      <c r="S805" s="74"/>
      <c r="T805" s="74"/>
      <c r="U805" s="74"/>
      <c r="V805" s="74"/>
      <c r="W805" s="74"/>
      <c r="X805" s="74"/>
      <c r="Y805" s="74"/>
    </row>
    <row r="806" spans="1:25" x14ac:dyDescent="0.3">
      <c r="A806" s="66">
        <f t="shared" si="82"/>
        <v>2069.8999999999273</v>
      </c>
      <c r="B806" s="67">
        <f>LOOKUP(A806+0.01,AmountsB!$A$4:$A$103,AmountsB!$B$4:$B$103)*0.1*$A$2</f>
        <v>0</v>
      </c>
      <c r="C806" s="68">
        <f t="shared" si="81"/>
        <v>2074573.74105891</v>
      </c>
      <c r="D806" s="67">
        <f t="array" ref="D806">SUM($B$7:$B801*$F$1009*EXP(-$F$1009*($A806-$A$7:$A801)))*$F$1010</f>
        <v>160306.91834429262</v>
      </c>
      <c r="E806" s="67">
        <f t="shared" si="79"/>
        <v>0.30561098791888253</v>
      </c>
      <c r="F806" s="70">
        <f t="shared" si="83"/>
        <v>1.8556699186434548E-2</v>
      </c>
      <c r="G806" s="67">
        <f>E806/'Lookup Tables'!$C$48</f>
        <v>0.61122197583776505</v>
      </c>
      <c r="H806" s="70">
        <f t="shared" si="80"/>
        <v>7.7427537074761132E-5</v>
      </c>
      <c r="I806" s="71">
        <f t="shared" si="84"/>
        <v>8.8015964520638174E-4</v>
      </c>
      <c r="L806" s="74"/>
      <c r="M806" s="74"/>
      <c r="N806" s="74"/>
      <c r="O806" s="74"/>
      <c r="P806" s="74"/>
      <c r="Q806" s="74"/>
      <c r="R806" s="74"/>
      <c r="S806" s="74"/>
      <c r="T806" s="74"/>
      <c r="U806" s="74"/>
      <c r="V806" s="74"/>
      <c r="W806" s="74"/>
      <c r="X806" s="74"/>
      <c r="Y806" s="74"/>
    </row>
    <row r="807" spans="1:25" x14ac:dyDescent="0.3">
      <c r="A807" s="66">
        <f t="shared" si="82"/>
        <v>2069.9999999999272</v>
      </c>
      <c r="B807" s="67">
        <f>LOOKUP(A807+0.01,AmountsB!$A$4:$A$103,AmountsB!$B$4:$B$103)*0.1*$A$2</f>
        <v>0</v>
      </c>
      <c r="C807" s="68">
        <f t="shared" si="81"/>
        <v>2074573.74105891</v>
      </c>
      <c r="D807" s="67">
        <f t="array" ref="D807">SUM($B$7:$B802*$F$1009*EXP(-$F$1009*($A807-$A$7:$A802)))*$F$1010</f>
        <v>158078.25850765608</v>
      </c>
      <c r="E807" s="67">
        <f t="shared" si="79"/>
        <v>0.30136224468656103</v>
      </c>
      <c r="F807" s="70">
        <f t="shared" si="83"/>
        <v>1.8298715497367987E-2</v>
      </c>
      <c r="G807" s="67">
        <f>E807/'Lookup Tables'!$C$48</f>
        <v>0.60272448937312206</v>
      </c>
      <c r="H807" s="70">
        <f t="shared" si="80"/>
        <v>7.6351104167744595E-5</v>
      </c>
      <c r="I807" s="71">
        <f t="shared" si="84"/>
        <v>8.679232646972957E-4</v>
      </c>
      <c r="L807" s="74"/>
      <c r="M807" s="74"/>
      <c r="N807" s="74"/>
      <c r="O807" s="74"/>
      <c r="P807" s="74"/>
      <c r="Q807" s="74"/>
      <c r="R807" s="74"/>
      <c r="S807" s="74"/>
      <c r="T807" s="74"/>
      <c r="U807" s="74"/>
      <c r="V807" s="74"/>
      <c r="W807" s="74"/>
      <c r="X807" s="74"/>
      <c r="Y807" s="74"/>
    </row>
    <row r="808" spans="1:25" x14ac:dyDescent="0.3">
      <c r="A808" s="66">
        <f t="shared" si="82"/>
        <v>2070.0999999999271</v>
      </c>
      <c r="B808" s="67">
        <f>LOOKUP(A808+0.01,AmountsB!$A$4:$A$103,AmountsB!$B$4:$B$103)*0.1*$A$2</f>
        <v>0</v>
      </c>
      <c r="C808" s="68">
        <f t="shared" si="81"/>
        <v>2074573.74105891</v>
      </c>
      <c r="D808" s="67">
        <f t="array" ref="D808">SUM($B$7:$B803*$F$1009*EXP(-$F$1009*($A808-$A$7:$A803)))*$F$1010</f>
        <v>155880.58251575151</v>
      </c>
      <c r="E808" s="67">
        <f t="shared" si="79"/>
        <v>0.2971725694189653</v>
      </c>
      <c r="F808" s="70">
        <f t="shared" si="83"/>
        <v>1.8044318415119574E-2</v>
      </c>
      <c r="G808" s="67">
        <f>E808/'Lookup Tables'!$C$48</f>
        <v>0.59434513883793061</v>
      </c>
      <c r="H808" s="70">
        <f t="shared" si="80"/>
        <v>7.5289636321571867E-5</v>
      </c>
      <c r="I808" s="71">
        <f t="shared" si="84"/>
        <v>8.5585699992662013E-4</v>
      </c>
      <c r="L808" s="74"/>
      <c r="M808" s="74"/>
      <c r="N808" s="74"/>
      <c r="O808" s="74"/>
      <c r="P808" s="74"/>
      <c r="Q808" s="74"/>
      <c r="R808" s="74"/>
      <c r="S808" s="74"/>
      <c r="T808" s="74"/>
      <c r="U808" s="74"/>
      <c r="V808" s="74"/>
      <c r="W808" s="74"/>
      <c r="X808" s="74"/>
      <c r="Y808" s="74"/>
    </row>
    <row r="809" spans="1:25" x14ac:dyDescent="0.3">
      <c r="A809" s="66">
        <f t="shared" si="82"/>
        <v>2070.1999999999271</v>
      </c>
      <c r="B809" s="67">
        <f>LOOKUP(A809+0.01,AmountsB!$A$4:$A$103,AmountsB!$B$4:$B$103)*0.1*$A$2</f>
        <v>0</v>
      </c>
      <c r="C809" s="68">
        <f t="shared" si="81"/>
        <v>2074573.74105891</v>
      </c>
      <c r="D809" s="67">
        <f t="array" ref="D809">SUM($B$7:$B804*$F$1009*EXP(-$F$1009*($A809-$A$7:$A804)))*$F$1010</f>
        <v>153713.45961704891</v>
      </c>
      <c r="E809" s="67">
        <f t="shared" si="79"/>
        <v>0.29304114092633027</v>
      </c>
      <c r="F809" s="70">
        <f t="shared" si="83"/>
        <v>1.7793458077046773E-2</v>
      </c>
      <c r="G809" s="67">
        <f>E809/'Lookup Tables'!$C$48</f>
        <v>0.58608228185266054</v>
      </c>
      <c r="H809" s="70">
        <f t="shared" si="80"/>
        <v>7.4242925485146945E-5</v>
      </c>
      <c r="I809" s="71">
        <f t="shared" si="84"/>
        <v>8.4395848586783112E-4</v>
      </c>
      <c r="L809" s="74"/>
      <c r="M809" s="74"/>
      <c r="N809" s="74"/>
      <c r="O809" s="74"/>
      <c r="P809" s="74"/>
      <c r="Q809" s="74"/>
      <c r="R809" s="74"/>
      <c r="S809" s="74"/>
      <c r="T809" s="74"/>
      <c r="U809" s="74"/>
      <c r="V809" s="74"/>
      <c r="W809" s="74"/>
      <c r="X809" s="74"/>
      <c r="Y809" s="74"/>
    </row>
    <row r="810" spans="1:25" x14ac:dyDescent="0.3">
      <c r="A810" s="66">
        <f t="shared" si="82"/>
        <v>2070.299999999927</v>
      </c>
      <c r="B810" s="67">
        <f>LOOKUP(A810+0.01,AmountsB!$A$4:$A$103,AmountsB!$B$4:$B$103)*0.1*$A$2</f>
        <v>0</v>
      </c>
      <c r="C810" s="68">
        <f t="shared" si="81"/>
        <v>2074573.74105891</v>
      </c>
      <c r="D810" s="67">
        <f t="array" ref="D810">SUM($B$7:$B805*$F$1009*EXP(-$F$1009*($A810-$A$7:$A805)))*$F$1010</f>
        <v>151576.4650485224</v>
      </c>
      <c r="E810" s="67">
        <f t="shared" si="79"/>
        <v>0.2889671494354451</v>
      </c>
      <c r="F810" s="70">
        <f t="shared" si="83"/>
        <v>1.754608531372023E-2</v>
      </c>
      <c r="G810" s="67">
        <f>E810/'Lookup Tables'!$C$48</f>
        <v>0.57793429887089021</v>
      </c>
      <c r="H810" s="70">
        <f t="shared" si="80"/>
        <v>7.3210766499794949E-5</v>
      </c>
      <c r="I810" s="71">
        <f t="shared" si="84"/>
        <v>8.3222539037408193E-4</v>
      </c>
      <c r="L810" s="74"/>
      <c r="M810" s="74"/>
      <c r="N810" s="74"/>
      <c r="O810" s="74"/>
      <c r="P810" s="74"/>
      <c r="Q810" s="74"/>
      <c r="R810" s="74"/>
      <c r="S810" s="74"/>
      <c r="T810" s="74"/>
      <c r="U810" s="74"/>
      <c r="V810" s="74"/>
      <c r="W810" s="74"/>
      <c r="X810" s="74"/>
      <c r="Y810" s="74"/>
    </row>
    <row r="811" spans="1:25" x14ac:dyDescent="0.3">
      <c r="A811" s="66">
        <f t="shared" si="82"/>
        <v>2070.3999999999269</v>
      </c>
      <c r="B811" s="67">
        <f>LOOKUP(A811+0.01,AmountsB!$A$4:$A$103,AmountsB!$B$4:$B$103)*0.1*$A$2</f>
        <v>0</v>
      </c>
      <c r="C811" s="68">
        <f t="shared" si="81"/>
        <v>2074573.74105891</v>
      </c>
      <c r="D811" s="67">
        <f t="array" ref="D811">SUM($B$7:$B806*$F$1009*EXP(-$F$1009*($A811-$A$7:$A806)))*$F$1010</f>
        <v>149469.17995239535</v>
      </c>
      <c r="E811" s="67">
        <f t="shared" si="79"/>
        <v>0.28494979643093543</v>
      </c>
      <c r="F811" s="70">
        <f t="shared" si="83"/>
        <v>1.73021516392864E-2</v>
      </c>
      <c r="G811" s="67">
        <f>E811/'Lookup Tables'!$C$48</f>
        <v>0.56989959286187086</v>
      </c>
      <c r="H811" s="70">
        <f t="shared" si="80"/>
        <v>7.2192957059050489E-5</v>
      </c>
      <c r="I811" s="71">
        <f t="shared" si="84"/>
        <v>8.2065541372109395E-4</v>
      </c>
      <c r="L811" s="74"/>
      <c r="M811" s="74"/>
      <c r="N811" s="74"/>
      <c r="O811" s="74"/>
      <c r="P811" s="74"/>
      <c r="Q811" s="74"/>
      <c r="R811" s="74"/>
      <c r="S811" s="74"/>
      <c r="T811" s="74"/>
      <c r="U811" s="74"/>
      <c r="V811" s="74"/>
      <c r="W811" s="74"/>
      <c r="X811" s="74"/>
      <c r="Y811" s="74"/>
    </row>
    <row r="812" spans="1:25" x14ac:dyDescent="0.3">
      <c r="A812" s="66">
        <f t="shared" si="82"/>
        <v>2070.4999999999268</v>
      </c>
      <c r="B812" s="67">
        <f>LOOKUP(A812+0.01,AmountsB!$A$4:$A$103,AmountsB!$B$4:$B$103)*0.1*$A$2</f>
        <v>0</v>
      </c>
      <c r="C812" s="68">
        <f t="shared" si="81"/>
        <v>2074573.74105891</v>
      </c>
      <c r="D812" s="67">
        <f t="array" ref="D812">SUM($B$7:$B807*$F$1009*EXP(-$F$1009*($A812-$A$7:$A807)))*$F$1010</f>
        <v>147391.19129404274</v>
      </c>
      <c r="E812" s="67">
        <f t="shared" si="79"/>
        <v>0.28098829449875146</v>
      </c>
      <c r="F812" s="70">
        <f t="shared" si="83"/>
        <v>1.706160924196419E-2</v>
      </c>
      <c r="G812" s="67">
        <f>E812/'Lookup Tables'!$C$48</f>
        <v>0.56197658899750291</v>
      </c>
      <c r="H812" s="70">
        <f t="shared" si="80"/>
        <v>7.1189297669004868E-5</v>
      </c>
      <c r="I812" s="71">
        <f t="shared" si="84"/>
        <v>8.0924628815640424E-4</v>
      </c>
      <c r="L812" s="74"/>
      <c r="M812" s="74"/>
      <c r="N812" s="74"/>
      <c r="O812" s="74"/>
      <c r="P812" s="74"/>
      <c r="Q812" s="74"/>
      <c r="R812" s="74"/>
      <c r="S812" s="74"/>
      <c r="T812" s="74"/>
      <c r="U812" s="74"/>
      <c r="V812" s="74"/>
      <c r="W812" s="74"/>
      <c r="X812" s="74"/>
      <c r="Y812" s="74"/>
    </row>
    <row r="813" spans="1:25" x14ac:dyDescent="0.3">
      <c r="A813" s="66">
        <f t="shared" si="82"/>
        <v>2070.5999999999267</v>
      </c>
      <c r="B813" s="67">
        <f>LOOKUP(A813+0.01,AmountsB!$A$4:$A$103,AmountsB!$B$4:$B$103)*0.1*$A$2</f>
        <v>0</v>
      </c>
      <c r="C813" s="68">
        <f t="shared" si="81"/>
        <v>2074573.74105891</v>
      </c>
      <c r="D813" s="67">
        <f t="array" ref="D813">SUM($B$7:$B808*$F$1009*EXP(-$F$1009*($A813-$A$7:$A808)))*$F$1010</f>
        <v>145342.09178103509</v>
      </c>
      <c r="E813" s="67">
        <f t="shared" si="79"/>
        <v>0.27708186717183214</v>
      </c>
      <c r="F813" s="70">
        <f t="shared" si="83"/>
        <v>1.6824410974673645E-2</v>
      </c>
      <c r="G813" s="67">
        <f>E813/'Lookup Tables'!$C$48</f>
        <v>0.55416373434366428</v>
      </c>
      <c r="H813" s="70">
        <f t="shared" si="80"/>
        <v>7.0199591609204466E-5</v>
      </c>
      <c r="I813" s="71">
        <f t="shared" si="84"/>
        <v>7.9799577745487654E-4</v>
      </c>
      <c r="L813" s="74"/>
      <c r="M813" s="74"/>
      <c r="N813" s="74"/>
      <c r="O813" s="74"/>
      <c r="P813" s="74"/>
      <c r="Q813" s="74"/>
      <c r="R813" s="74"/>
      <c r="S813" s="74"/>
      <c r="T813" s="74"/>
      <c r="U813" s="74"/>
      <c r="V813" s="74"/>
      <c r="W813" s="74"/>
      <c r="X813" s="74"/>
      <c r="Y813" s="74"/>
    </row>
    <row r="814" spans="1:25" x14ac:dyDescent="0.3">
      <c r="A814" s="66">
        <f t="shared" si="82"/>
        <v>2070.6999999999266</v>
      </c>
      <c r="B814" s="67">
        <f>LOOKUP(A814+0.01,AmountsB!$A$4:$A$103,AmountsB!$B$4:$B$103)*0.1*$A$2</f>
        <v>0</v>
      </c>
      <c r="C814" s="68">
        <f t="shared" si="81"/>
        <v>2074573.74105891</v>
      </c>
      <c r="D814" s="67">
        <f t="array" ref="D814">SUM($B$7:$B809*$F$1009*EXP(-$F$1009*($A814-$A$7:$A809)))*$F$1010</f>
        <v>143321.47978330805</v>
      </c>
      <c r="E814" s="67">
        <f t="shared" si="79"/>
        <v>0.27322974877791573</v>
      </c>
      <c r="F814" s="70">
        <f t="shared" si="83"/>
        <v>1.6590510345795041E-2</v>
      </c>
      <c r="G814" s="67">
        <f>E814/'Lookup Tables'!$C$48</f>
        <v>0.54645949755583145</v>
      </c>
      <c r="H814" s="70">
        <f t="shared" si="80"/>
        <v>6.922364489409323E-5</v>
      </c>
      <c r="I814" s="71">
        <f t="shared" si="84"/>
        <v>7.8690167648039731E-4</v>
      </c>
      <c r="L814" s="74"/>
      <c r="M814" s="74"/>
      <c r="N814" s="74"/>
      <c r="O814" s="74"/>
      <c r="P814" s="74"/>
      <c r="Q814" s="74"/>
      <c r="R814" s="74"/>
      <c r="S814" s="74"/>
      <c r="T814" s="74"/>
      <c r="U814" s="74"/>
      <c r="V814" s="74"/>
      <c r="W814" s="74"/>
      <c r="X814" s="74"/>
      <c r="Y814" s="74"/>
    </row>
    <row r="815" spans="1:25" x14ac:dyDescent="0.3">
      <c r="A815" s="66">
        <f t="shared" si="82"/>
        <v>2070.7999999999265</v>
      </c>
      <c r="B815" s="67">
        <f>LOOKUP(A815+0.01,AmountsB!$A$4:$A$103,AmountsB!$B$4:$B$103)*0.1*$A$2</f>
        <v>0</v>
      </c>
      <c r="C815" s="68">
        <f t="shared" si="81"/>
        <v>2074573.74105891</v>
      </c>
      <c r="D815" s="67">
        <f t="array" ref="D815">SUM($B$7:$B810*$F$1009*EXP(-$F$1009*($A815-$A$7:$A810)))*$F$1010</f>
        <v>141328.95925444126</v>
      </c>
      <c r="E815" s="67">
        <f t="shared" si="79"/>
        <v>0.26943118428946478</v>
      </c>
      <c r="F815" s="70">
        <f t="shared" si="83"/>
        <v>1.6359861510056303E-2</v>
      </c>
      <c r="G815" s="67">
        <f>E815/'Lookup Tables'!$C$48</f>
        <v>0.53886236857892955</v>
      </c>
      <c r="H815" s="70">
        <f t="shared" si="80"/>
        <v>6.8261266234990585E-5</v>
      </c>
      <c r="I815" s="71">
        <f t="shared" si="84"/>
        <v>7.7596181075365858E-4</v>
      </c>
      <c r="L815" s="74"/>
      <c r="M815" s="74"/>
      <c r="N815" s="74"/>
      <c r="O815" s="74"/>
      <c r="P815" s="74"/>
      <c r="Q815" s="74"/>
      <c r="R815" s="74"/>
      <c r="S815" s="74"/>
      <c r="T815" s="74"/>
      <c r="U815" s="74"/>
      <c r="V815" s="74"/>
      <c r="W815" s="74"/>
      <c r="X815" s="74"/>
      <c r="Y815" s="74"/>
    </row>
    <row r="816" spans="1:25" x14ac:dyDescent="0.3">
      <c r="A816" s="66">
        <f t="shared" si="82"/>
        <v>2070.8999999999264</v>
      </c>
      <c r="B816" s="67">
        <f>LOOKUP(A816+0.01,AmountsB!$A$4:$A$103,AmountsB!$B$4:$B$103)*0.1*$A$2</f>
        <v>0</v>
      </c>
      <c r="C816" s="68">
        <f t="shared" si="81"/>
        <v>2074573.74105891</v>
      </c>
      <c r="D816" s="67">
        <f t="array" ref="D816">SUM($B$7:$B811*$F$1009*EXP(-$F$1009*($A816-$A$7:$A811)))*$F$1010</f>
        <v>139364.13965403239</v>
      </c>
      <c r="E816" s="67">
        <f t="shared" si="79"/>
        <v>0.26568542917567928</v>
      </c>
      <c r="F816" s="70">
        <f t="shared" si="83"/>
        <v>1.6132419259547243E-2</v>
      </c>
      <c r="G816" s="67">
        <f>E816/'Lookup Tables'!$C$48</f>
        <v>0.53137085835135855</v>
      </c>
      <c r="H816" s="70">
        <f t="shared" si="80"/>
        <v>6.731226700259852E-5</v>
      </c>
      <c r="I816" s="71">
        <f t="shared" si="84"/>
        <v>7.6517403602595628E-4</v>
      </c>
      <c r="L816" s="74"/>
      <c r="M816" s="74"/>
      <c r="N816" s="74"/>
      <c r="O816" s="74"/>
      <c r="P816" s="74"/>
      <c r="Q816" s="74"/>
      <c r="R816" s="74"/>
      <c r="S816" s="74"/>
      <c r="T816" s="74"/>
      <c r="U816" s="74"/>
      <c r="V816" s="74"/>
      <c r="W816" s="74"/>
      <c r="X816" s="74"/>
      <c r="Y816" s="74"/>
    </row>
    <row r="817" spans="1:25" x14ac:dyDescent="0.3">
      <c r="A817" s="66">
        <f t="shared" si="82"/>
        <v>2070.9999999999263</v>
      </c>
      <c r="B817" s="67">
        <f>LOOKUP(A817+0.01,AmountsB!$A$4:$A$103,AmountsB!$B$4:$B$103)*0.1*$A$2</f>
        <v>0</v>
      </c>
      <c r="C817" s="68">
        <f t="shared" si="81"/>
        <v>2074573.74105891</v>
      </c>
      <c r="D817" s="67">
        <f t="array" ref="D817">SUM($B$7:$B812*$F$1009*EXP(-$F$1009*($A817-$A$7:$A812)))*$F$1010</f>
        <v>137426.63587114963</v>
      </c>
      <c r="E817" s="67">
        <f t="shared" si="79"/>
        <v>0.26199174925656515</v>
      </c>
      <c r="F817" s="70">
        <f t="shared" si="83"/>
        <v>1.5908139014858637E-2</v>
      </c>
      <c r="G817" s="67">
        <f>E817/'Lookup Tables'!$C$48</f>
        <v>0.52398349851313031</v>
      </c>
      <c r="H817" s="70">
        <f t="shared" si="80"/>
        <v>6.6376461190029298E-5</v>
      </c>
      <c r="I817" s="71">
        <f t="shared" si="84"/>
        <v>7.5453623785890758E-4</v>
      </c>
      <c r="L817" s="74"/>
      <c r="M817" s="74"/>
      <c r="N817" s="74"/>
      <c r="O817" s="74"/>
      <c r="P817" s="74"/>
      <c r="Q817" s="74"/>
      <c r="R817" s="74"/>
      <c r="S817" s="74"/>
      <c r="T817" s="74"/>
      <c r="U817" s="74"/>
      <c r="V817" s="74"/>
      <c r="W817" s="74"/>
      <c r="X817" s="74"/>
      <c r="Y817" s="74"/>
    </row>
    <row r="818" spans="1:25" x14ac:dyDescent="0.3">
      <c r="A818" s="66">
        <f t="shared" si="82"/>
        <v>2071.0999999999262</v>
      </c>
      <c r="B818" s="67">
        <f>LOOKUP(A818+0.01,AmountsB!$A$4:$A$103,AmountsB!$B$4:$B$103)*0.1*$A$2</f>
        <v>0</v>
      </c>
      <c r="C818" s="68">
        <f t="shared" si="81"/>
        <v>2074573.74105891</v>
      </c>
      <c r="D818" s="67">
        <f t="array" ref="D818">SUM($B$7:$B813*$F$1009*EXP(-$F$1009*($A818-$A$7:$A813)))*$F$1010</f>
        <v>135516.06814884889</v>
      </c>
      <c r="E818" s="67">
        <f t="shared" si="79"/>
        <v>0.25834942055903365</v>
      </c>
      <c r="F818" s="70">
        <f t="shared" si="83"/>
        <v>1.5686976816344522E-2</v>
      </c>
      <c r="G818" s="67">
        <f>E818/'Lookup Tables'!$C$48</f>
        <v>0.5166988411180673</v>
      </c>
      <c r="H818" s="70">
        <f t="shared" si="80"/>
        <v>6.545366537634789E-5</v>
      </c>
      <c r="I818" s="71">
        <f t="shared" si="84"/>
        <v>7.4404633121001693E-4</v>
      </c>
      <c r="L818" s="74"/>
      <c r="M818" s="74"/>
      <c r="N818" s="74"/>
      <c r="O818" s="74"/>
      <c r="P818" s="74"/>
      <c r="Q818" s="74"/>
      <c r="R818" s="74"/>
      <c r="S818" s="74"/>
      <c r="T818" s="74"/>
      <c r="U818" s="74"/>
      <c r="V818" s="74"/>
      <c r="W818" s="74"/>
      <c r="X818" s="74"/>
      <c r="Y818" s="74"/>
    </row>
    <row r="819" spans="1:25" x14ac:dyDescent="0.3">
      <c r="A819" s="66">
        <f t="shared" si="82"/>
        <v>2071.1999999999261</v>
      </c>
      <c r="B819" s="67">
        <f>LOOKUP(A819+0.01,AmountsB!$A$4:$A$103,AmountsB!$B$4:$B$103)*0.1*$A$2</f>
        <v>0</v>
      </c>
      <c r="C819" s="68">
        <f t="shared" si="81"/>
        <v>2074573.74105891</v>
      </c>
      <c r="D819" s="67">
        <f t="array" ref="D819">SUM($B$7:$B814*$F$1009*EXP(-$F$1009*($A819-$A$7:$A814)))*$F$1010</f>
        <v>133632.06200974024</v>
      </c>
      <c r="E819" s="67">
        <f t="shared" si="79"/>
        <v>0.25475772917499967</v>
      </c>
      <c r="F819" s="70">
        <f t="shared" si="83"/>
        <v>1.546888931550598E-2</v>
      </c>
      <c r="G819" s="67">
        <f>E819/'Lookup Tables'!$C$48</f>
        <v>0.50951545834999934</v>
      </c>
      <c r="H819" s="70">
        <f t="shared" si="80"/>
        <v>6.4543698690620586E-5</v>
      </c>
      <c r="I819" s="71">
        <f t="shared" si="84"/>
        <v>7.3370226002399911E-4</v>
      </c>
      <c r="L819" s="74"/>
      <c r="M819" s="74"/>
      <c r="N819" s="74"/>
      <c r="O819" s="74"/>
      <c r="P819" s="74"/>
      <c r="Q819" s="74"/>
      <c r="R819" s="74"/>
      <c r="S819" s="74"/>
      <c r="T819" s="74"/>
      <c r="U819" s="74"/>
      <c r="V819" s="74"/>
      <c r="W819" s="74"/>
      <c r="X819" s="74"/>
      <c r="Y819" s="74"/>
    </row>
    <row r="820" spans="1:25" x14ac:dyDescent="0.3">
      <c r="A820" s="66">
        <f t="shared" si="82"/>
        <v>2071.2999999999261</v>
      </c>
      <c r="B820" s="67">
        <f>LOOKUP(A820+0.01,AmountsB!$A$4:$A$103,AmountsB!$B$4:$B$103)*0.1*$A$2</f>
        <v>0</v>
      </c>
      <c r="C820" s="68">
        <f t="shared" si="81"/>
        <v>2074573.74105891</v>
      </c>
      <c r="D820" s="67">
        <f t="array" ref="D820">SUM($B$7:$B815*$F$1009*EXP(-$F$1009*($A820-$A$7:$A815)))*$F$1010</f>
        <v>131774.24818258901</v>
      </c>
      <c r="E820" s="67">
        <f t="shared" si="79"/>
        <v>0.25121597112145366</v>
      </c>
      <c r="F820" s="70">
        <f t="shared" si="83"/>
        <v>1.5253833766494666E-2</v>
      </c>
      <c r="G820" s="67">
        <f>E820/'Lookup Tables'!$C$48</f>
        <v>0.50243194224290733</v>
      </c>
      <c r="H820" s="70">
        <f t="shared" si="80"/>
        <v>6.3646382776463866E-5</v>
      </c>
      <c r="I820" s="71">
        <f t="shared" si="84"/>
        <v>7.2350199682978656E-4</v>
      </c>
      <c r="L820" s="74"/>
      <c r="M820" s="74"/>
      <c r="N820" s="74"/>
      <c r="O820" s="74"/>
      <c r="P820" s="74"/>
      <c r="Q820" s="74"/>
      <c r="R820" s="74"/>
      <c r="S820" s="74"/>
      <c r="T820" s="74"/>
      <c r="U820" s="74"/>
      <c r="V820" s="74"/>
      <c r="W820" s="74"/>
      <c r="X820" s="74"/>
      <c r="Y820" s="74"/>
    </row>
    <row r="821" spans="1:25" x14ac:dyDescent="0.3">
      <c r="A821" s="66">
        <f t="shared" si="82"/>
        <v>2071.399999999926</v>
      </c>
      <c r="B821" s="67">
        <f>LOOKUP(A821+0.01,AmountsB!$A$4:$A$103,AmountsB!$B$4:$B$103)*0.1*$A$2</f>
        <v>0</v>
      </c>
      <c r="C821" s="68">
        <f t="shared" si="81"/>
        <v>2074573.74105891</v>
      </c>
      <c r="D821" s="67">
        <f t="array" ref="D821">SUM($B$7:$B816*$F$1009*EXP(-$F$1009*($A821-$A$7:$A816)))*$F$1010</f>
        <v>129942.26252993759</v>
      </c>
      <c r="E821" s="67">
        <f t="shared" si="79"/>
        <v>0.24772345220247863</v>
      </c>
      <c r="F821" s="70">
        <f t="shared" si="83"/>
        <v>1.5041768017734504E-2</v>
      </c>
      <c r="G821" s="67">
        <f>E821/'Lookup Tables'!$C$48</f>
        <v>0.49544690440495726</v>
      </c>
      <c r="H821" s="70">
        <f t="shared" si="80"/>
        <v>6.2761541757085933E-5</v>
      </c>
      <c r="I821" s="71">
        <f t="shared" si="84"/>
        <v>7.1344354234313841E-4</v>
      </c>
      <c r="L821" s="74"/>
      <c r="M821" s="74"/>
      <c r="N821" s="74"/>
      <c r="O821" s="74"/>
      <c r="P821" s="74"/>
      <c r="Q821" s="74"/>
      <c r="R821" s="74"/>
      <c r="S821" s="74"/>
      <c r="T821" s="74"/>
      <c r="U821" s="74"/>
      <c r="V821" s="74"/>
      <c r="W821" s="74"/>
      <c r="X821" s="74"/>
      <c r="Y821" s="74"/>
    </row>
    <row r="822" spans="1:25" x14ac:dyDescent="0.3">
      <c r="A822" s="66">
        <f t="shared" si="82"/>
        <v>2071.4999999999259</v>
      </c>
      <c r="B822" s="67">
        <f>LOOKUP(A822+0.01,AmountsB!$A$4:$A$103,AmountsB!$B$4:$B$103)*0.1*$A$2</f>
        <v>0</v>
      </c>
      <c r="C822" s="68">
        <f t="shared" si="81"/>
        <v>2074573.74105891</v>
      </c>
      <c r="D822" s="67">
        <f t="array" ref="D822">SUM($B$7:$B817*$F$1009*EXP(-$F$1009*($A822-$A$7:$A817)))*$F$1010</f>
        <v>128135.74597673316</v>
      </c>
      <c r="E822" s="67">
        <f t="shared" si="79"/>
        <v>0.24427948787318568</v>
      </c>
      <c r="F822" s="70">
        <f t="shared" si="83"/>
        <v>1.4832650503659835E-2</v>
      </c>
      <c r="G822" s="67">
        <f>E822/'Lookup Tables'!$C$48</f>
        <v>0.48855897574637136</v>
      </c>
      <c r="H822" s="70">
        <f t="shared" si="80"/>
        <v>6.1889002200814268E-5</v>
      </c>
      <c r="I822" s="71">
        <f t="shared" si="84"/>
        <v>7.0352492507477478E-4</v>
      </c>
      <c r="L822" s="74"/>
      <c r="M822" s="74"/>
      <c r="N822" s="74"/>
      <c r="O822" s="74"/>
      <c r="P822" s="74"/>
      <c r="Q822" s="74"/>
      <c r="R822" s="74"/>
      <c r="S822" s="74"/>
      <c r="T822" s="74"/>
      <c r="U822" s="74"/>
      <c r="V822" s="74"/>
      <c r="W822" s="74"/>
      <c r="X822" s="74"/>
      <c r="Y822" s="74"/>
    </row>
    <row r="823" spans="1:25" x14ac:dyDescent="0.3">
      <c r="A823" s="66">
        <f t="shared" si="82"/>
        <v>2071.5999999999258</v>
      </c>
      <c r="B823" s="67">
        <f>LOOKUP(A823+0.01,AmountsB!$A$4:$A$103,AmountsB!$B$4:$B$103)*0.1*$A$2</f>
        <v>0</v>
      </c>
      <c r="C823" s="68">
        <f t="shared" si="81"/>
        <v>2074573.74105891</v>
      </c>
      <c r="D823" s="67">
        <f t="array" ref="D823">SUM($B$7:$B818*$F$1009*EXP(-$F$1009*($A823-$A$7:$A818)))*$F$1010</f>
        <v>126354.34443994806</v>
      </c>
      <c r="E823" s="67">
        <f t="shared" si="79"/>
        <v>0.24088340310554104</v>
      </c>
      <c r="F823" s="70">
        <f t="shared" si="83"/>
        <v>1.4626440236568453E-2</v>
      </c>
      <c r="G823" s="67">
        <f>E823/'Lookup Tables'!$C$48</f>
        <v>0.48176680621108209</v>
      </c>
      <c r="H823" s="70">
        <f t="shared" si="80"/>
        <v>6.1028593087102595E-5</v>
      </c>
      <c r="I823" s="71">
        <f t="shared" si="84"/>
        <v>6.9374420094395813E-4</v>
      </c>
      <c r="L823" s="74"/>
      <c r="M823" s="74"/>
      <c r="N823" s="74"/>
      <c r="O823" s="74"/>
      <c r="P823" s="74"/>
      <c r="Q823" s="74"/>
      <c r="R823" s="74"/>
      <c r="S823" s="74"/>
      <c r="T823" s="74"/>
      <c r="U823" s="74"/>
      <c r="V823" s="74"/>
      <c r="W823" s="74"/>
      <c r="X823" s="74"/>
      <c r="Y823" s="74"/>
    </row>
    <row r="824" spans="1:25" x14ac:dyDescent="0.3">
      <c r="A824" s="66">
        <f t="shared" si="82"/>
        <v>2071.6999999999257</v>
      </c>
      <c r="B824" s="67">
        <f>LOOKUP(A824+0.01,AmountsB!$A$4:$A$103,AmountsB!$B$4:$B$103)*0.1*$A$2</f>
        <v>0</v>
      </c>
      <c r="C824" s="68">
        <f t="shared" si="81"/>
        <v>2074573.74105891</v>
      </c>
      <c r="D824" s="67">
        <f t="array" ref="D824">SUM($B$7:$B819*$F$1009*EXP(-$F$1009*($A824-$A$7:$A819)))*$F$1010</f>
        <v>124597.70875917816</v>
      </c>
      <c r="E824" s="67">
        <f t="shared" si="79"/>
        <v>0.23753453225605806</v>
      </c>
      <c r="F824" s="70">
        <f t="shared" si="83"/>
        <v>1.4423096798587845E-2</v>
      </c>
      <c r="G824" s="67">
        <f>E824/'Lookup Tables'!$C$48</f>
        <v>0.47506906451211611</v>
      </c>
      <c r="H824" s="70">
        <f t="shared" si="80"/>
        <v>6.0180145773010101E-5</v>
      </c>
      <c r="I824" s="71">
        <f t="shared" si="84"/>
        <v>6.8409945289744727E-4</v>
      </c>
      <c r="L824" s="74"/>
      <c r="M824" s="74"/>
      <c r="N824" s="74"/>
      <c r="O824" s="74"/>
      <c r="P824" s="74"/>
      <c r="Q824" s="74"/>
      <c r="R824" s="74"/>
      <c r="S824" s="74"/>
      <c r="T824" s="74"/>
      <c r="U824" s="74"/>
      <c r="V824" s="74"/>
      <c r="W824" s="74"/>
      <c r="X824" s="74"/>
      <c r="Y824" s="74"/>
    </row>
    <row r="825" spans="1:25" x14ac:dyDescent="0.3">
      <c r="A825" s="66">
        <f t="shared" si="82"/>
        <v>2071.7999999999256</v>
      </c>
      <c r="B825" s="67">
        <f>LOOKUP(A825+0.01,AmountsB!$A$4:$A$103,AmountsB!$B$4:$B$103)*0.1*$A$2</f>
        <v>0</v>
      </c>
      <c r="C825" s="68">
        <f t="shared" si="81"/>
        <v>2074573.74105891</v>
      </c>
      <c r="D825" s="67">
        <f t="array" ref="D825">SUM($B$7:$B820*$F$1009*EXP(-$F$1009*($A825-$A$7:$A820)))*$F$1010</f>
        <v>122865.49462820645</v>
      </c>
      <c r="E825" s="67">
        <f t="shared" si="79"/>
        <v>0.23423221893532944</v>
      </c>
      <c r="F825" s="70">
        <f t="shared" si="83"/>
        <v>1.4222580333753204E-2</v>
      </c>
      <c r="G825" s="67">
        <f>E825/'Lookup Tables'!$C$48</f>
        <v>0.46846443787065889</v>
      </c>
      <c r="H825" s="70">
        <f t="shared" si="80"/>
        <v>5.9343493960147075E-5</v>
      </c>
      <c r="I825" s="71">
        <f t="shared" si="84"/>
        <v>6.7458879053374876E-4</v>
      </c>
      <c r="L825" s="74"/>
      <c r="M825" s="74"/>
      <c r="N825" s="74"/>
      <c r="O825" s="74"/>
      <c r="P825" s="74"/>
      <c r="Q825" s="74"/>
      <c r="R825" s="74"/>
      <c r="S825" s="74"/>
      <c r="T825" s="74"/>
      <c r="U825" s="74"/>
      <c r="V825" s="74"/>
      <c r="W825" s="74"/>
      <c r="X825" s="74"/>
      <c r="Y825" s="74"/>
    </row>
    <row r="826" spans="1:25" x14ac:dyDescent="0.3">
      <c r="A826" s="66">
        <f t="shared" si="82"/>
        <v>2071.8999999999255</v>
      </c>
      <c r="B826" s="67">
        <f>LOOKUP(A826+0.01,AmountsB!$A$4:$A$103,AmountsB!$B$4:$B$103)*0.1*$A$2</f>
        <v>0</v>
      </c>
      <c r="C826" s="68">
        <f t="shared" si="81"/>
        <v>2074573.74105891</v>
      </c>
      <c r="D826" s="67">
        <f t="array" ref="D826">SUM($B$7:$B821*$F$1009*EXP(-$F$1009*($A826-$A$7:$A821)))*$F$1010</f>
        <v>121157.36252751779</v>
      </c>
      <c r="E826" s="67">
        <f t="shared" si="79"/>
        <v>0.23097581587937235</v>
      </c>
      <c r="F826" s="70">
        <f t="shared" si="83"/>
        <v>1.4024851540195489E-2</v>
      </c>
      <c r="G826" s="67">
        <f>E826/'Lookup Tables'!$C$48</f>
        <v>0.46195163175874471</v>
      </c>
      <c r="H826" s="70">
        <f t="shared" si="80"/>
        <v>5.8518473662079758E-5</v>
      </c>
      <c r="I826" s="71">
        <f t="shared" si="84"/>
        <v>6.6521034973259234E-4</v>
      </c>
      <c r="L826" s="74"/>
      <c r="M826" s="74"/>
      <c r="N826" s="74"/>
      <c r="O826" s="74"/>
      <c r="P826" s="74"/>
      <c r="Q826" s="74"/>
      <c r="R826" s="74"/>
      <c r="S826" s="74"/>
      <c r="T826" s="74"/>
      <c r="U826" s="74"/>
      <c r="V826" s="74"/>
      <c r="W826" s="74"/>
      <c r="X826" s="74"/>
      <c r="Y826" s="74"/>
    </row>
    <row r="827" spans="1:25" x14ac:dyDescent="0.3">
      <c r="A827" s="66">
        <f t="shared" si="82"/>
        <v>2071.9999999999254</v>
      </c>
      <c r="B827" s="67">
        <f>LOOKUP(A827+0.01,AmountsB!$A$4:$A$103,AmountsB!$B$4:$B$103)*0.1*$A$2</f>
        <v>0</v>
      </c>
      <c r="C827" s="68">
        <f t="shared" si="81"/>
        <v>2074573.74105891</v>
      </c>
      <c r="D827" s="67">
        <f t="array" ref="D827">SUM($B$7:$B822*$F$1009*EXP(-$F$1009*($A827-$A$7:$A822)))*$F$1010</f>
        <v>119472.9776577521</v>
      </c>
      <c r="E827" s="67">
        <f t="shared" si="79"/>
        <v>0.22776468482276291</v>
      </c>
      <c r="F827" s="70">
        <f t="shared" si="83"/>
        <v>1.3829871662438164E-2</v>
      </c>
      <c r="G827" s="67">
        <f>E827/'Lookup Tables'!$C$48</f>
        <v>0.45552936964552582</v>
      </c>
      <c r="H827" s="70">
        <f t="shared" si="80"/>
        <v>5.7704923172188544E-5</v>
      </c>
      <c r="I827" s="71">
        <f t="shared" si="84"/>
        <v>6.5596229228955709E-4</v>
      </c>
      <c r="L827" s="74"/>
      <c r="M827" s="74"/>
      <c r="N827" s="74"/>
      <c r="O827" s="74"/>
      <c r="P827" s="74"/>
      <c r="Q827" s="74"/>
      <c r="R827" s="74"/>
      <c r="S827" s="74"/>
      <c r="T827" s="74"/>
      <c r="U827" s="74"/>
      <c r="V827" s="74"/>
      <c r="W827" s="74"/>
      <c r="X827" s="74"/>
      <c r="Y827" s="74"/>
    </row>
    <row r="828" spans="1:25" x14ac:dyDescent="0.3">
      <c r="A828" s="66">
        <f t="shared" si="82"/>
        <v>2072.0999999999253</v>
      </c>
      <c r="B828" s="67">
        <f>LOOKUP(A828+0.01,AmountsB!$A$4:$A$103,AmountsB!$B$4:$B$103)*0.1*$A$2</f>
        <v>0</v>
      </c>
      <c r="C828" s="68">
        <f t="shared" si="81"/>
        <v>2074573.74105891</v>
      </c>
      <c r="D828" s="67">
        <f t="array" ref="D828">SUM($B$7:$B823*$F$1009*EXP(-$F$1009*($A828-$A$7:$A823)))*$F$1010</f>
        <v>117812.00987408262</v>
      </c>
      <c r="E828" s="67">
        <f t="shared" si="79"/>
        <v>0.22459819637353412</v>
      </c>
      <c r="F828" s="70">
        <f t="shared" si="83"/>
        <v>1.3637602483800991E-2</v>
      </c>
      <c r="G828" s="67">
        <f>E828/'Lookup Tables'!$C$48</f>
        <v>0.44919639274706824</v>
      </c>
      <c r="H828" s="70">
        <f t="shared" si="80"/>
        <v>5.6902683031972966E-5</v>
      </c>
      <c r="I828" s="71">
        <f t="shared" si="84"/>
        <v>6.4684280555577824E-4</v>
      </c>
      <c r="L828" s="74"/>
      <c r="M828" s="74"/>
      <c r="N828" s="74"/>
      <c r="O828" s="74"/>
      <c r="P828" s="74"/>
      <c r="Q828" s="74"/>
      <c r="R828" s="74"/>
      <c r="S828" s="74"/>
      <c r="T828" s="74"/>
      <c r="U828" s="74"/>
      <c r="V828" s="74"/>
      <c r="W828" s="74"/>
      <c r="X828" s="74"/>
      <c r="Y828" s="74"/>
    </row>
    <row r="829" spans="1:25" x14ac:dyDescent="0.3">
      <c r="A829" s="66">
        <f t="shared" si="82"/>
        <v>2072.1999999999252</v>
      </c>
      <c r="B829" s="67">
        <f>LOOKUP(A829+0.01,AmountsB!$A$4:$A$103,AmountsB!$B$4:$B$103)*0.1*$A$2</f>
        <v>0</v>
      </c>
      <c r="C829" s="68">
        <f t="shared" si="81"/>
        <v>2074573.74105891</v>
      </c>
      <c r="D829" s="67">
        <f t="array" ref="D829">SUM($B$7:$B824*$F$1009*EXP(-$F$1009*($A829-$A$7:$A824)))*$F$1010</f>
        <v>116174.13362150639</v>
      </c>
      <c r="E829" s="67">
        <f t="shared" si="79"/>
        <v>0.22147572988981284</v>
      </c>
      <c r="F829" s="70">
        <f t="shared" si="83"/>
        <v>1.3448006318909436E-2</v>
      </c>
      <c r="G829" s="67">
        <f>E829/'Lookup Tables'!$C$48</f>
        <v>0.44295145977962569</v>
      </c>
      <c r="H829" s="70">
        <f t="shared" si="80"/>
        <v>5.6111595999797284E-5</v>
      </c>
      <c r="I829" s="71">
        <f t="shared" si="84"/>
        <v>6.3785010208266104E-4</v>
      </c>
      <c r="L829" s="74"/>
      <c r="M829" s="74"/>
      <c r="N829" s="74"/>
      <c r="O829" s="74"/>
      <c r="P829" s="74"/>
      <c r="Q829" s="74"/>
      <c r="R829" s="74"/>
      <c r="S829" s="74"/>
      <c r="T829" s="74"/>
      <c r="U829" s="74"/>
      <c r="V829" s="74"/>
      <c r="W829" s="74"/>
      <c r="X829" s="74"/>
      <c r="Y829" s="74"/>
    </row>
    <row r="830" spans="1:25" x14ac:dyDescent="0.3">
      <c r="A830" s="66">
        <f t="shared" si="82"/>
        <v>2072.2999999999251</v>
      </c>
      <c r="B830" s="67">
        <f>LOOKUP(A830+0.01,AmountsB!$A$4:$A$103,AmountsB!$B$4:$B$103)*0.1*$A$2</f>
        <v>0</v>
      </c>
      <c r="C830" s="68">
        <f t="shared" si="81"/>
        <v>2074573.74105891</v>
      </c>
      <c r="D830" s="67">
        <f t="array" ref="D830">SUM($B$7:$B825*$F$1009*EXP(-$F$1009*($A830-$A$7:$A825)))*$F$1010</f>
        <v>114559.02787103449</v>
      </c>
      <c r="E830" s="67">
        <f t="shared" si="79"/>
        <v>0.21839667335817214</v>
      </c>
      <c r="F830" s="70">
        <f t="shared" si="83"/>
        <v>1.3261046006308211E-2</v>
      </c>
      <c r="G830" s="67">
        <f>E830/'Lookup Tables'!$C$48</f>
        <v>0.43679334671634429</v>
      </c>
      <c r="H830" s="70">
        <f t="shared" si="80"/>
        <v>5.5331507020070632E-5</v>
      </c>
      <c r="I830" s="71">
        <f t="shared" si="84"/>
        <v>6.2898241927153572E-4</v>
      </c>
      <c r="L830" s="74"/>
      <c r="M830" s="74"/>
      <c r="N830" s="74"/>
      <c r="O830" s="74"/>
      <c r="P830" s="74"/>
      <c r="Q830" s="74"/>
      <c r="R830" s="74"/>
      <c r="S830" s="74"/>
      <c r="T830" s="74"/>
      <c r="U830" s="74"/>
      <c r="V830" s="74"/>
      <c r="W830" s="74"/>
      <c r="X830" s="74"/>
      <c r="Y830" s="74"/>
    </row>
    <row r="831" spans="1:25" x14ac:dyDescent="0.3">
      <c r="A831" s="66">
        <f t="shared" si="82"/>
        <v>2072.3999999999251</v>
      </c>
      <c r="B831" s="67">
        <f>LOOKUP(A831+0.01,AmountsB!$A$4:$A$103,AmountsB!$B$4:$B$103)*0.1*$A$2</f>
        <v>0</v>
      </c>
      <c r="C831" s="68">
        <f t="shared" si="81"/>
        <v>2074573.74105891</v>
      </c>
      <c r="D831" s="67">
        <f t="array" ref="D831">SUM($B$7:$B826*$F$1009*EXP(-$F$1009*($A831-$A$7:$A826)))*$F$1010</f>
        <v>112966.37605676931</v>
      </c>
      <c r="E831" s="67">
        <f t="shared" si="79"/>
        <v>0.21536042327367472</v>
      </c>
      <c r="F831" s="70">
        <f t="shared" si="83"/>
        <v>1.3076684901177528E-2</v>
      </c>
      <c r="G831" s="67">
        <f>E831/'Lookup Tables'!$C$48</f>
        <v>0.43072084654734943</v>
      </c>
      <c r="H831" s="70">
        <f t="shared" si="80"/>
        <v>5.4562263192855656E-5</v>
      </c>
      <c r="I831" s="71">
        <f t="shared" si="84"/>
        <v>6.2023801902818317E-4</v>
      </c>
      <c r="L831" s="74"/>
      <c r="M831" s="74"/>
      <c r="N831" s="74"/>
      <c r="O831" s="74"/>
      <c r="P831" s="74"/>
      <c r="Q831" s="74"/>
      <c r="R831" s="74"/>
      <c r="S831" s="74"/>
      <c r="T831" s="74"/>
      <c r="U831" s="74"/>
      <c r="V831" s="74"/>
      <c r="W831" s="74"/>
      <c r="X831" s="74"/>
      <c r="Y831" s="74"/>
    </row>
    <row r="832" spans="1:25" x14ac:dyDescent="0.3">
      <c r="A832" s="66">
        <f t="shared" si="82"/>
        <v>2072.499999999925</v>
      </c>
      <c r="B832" s="67">
        <f>LOOKUP(A832+0.01,AmountsB!$A$4:$A$103,AmountsB!$B$4:$B$103)*0.1*$A$2</f>
        <v>0</v>
      </c>
      <c r="C832" s="68">
        <f t="shared" si="81"/>
        <v>2074573.74105891</v>
      </c>
      <c r="D832" s="67">
        <f t="array" ref="D832">SUM($B$7:$B827*$F$1009*EXP(-$F$1009*($A832-$A$7:$A827)))*$F$1010</f>
        <v>111395.8660138566</v>
      </c>
      <c r="E832" s="67">
        <f t="shared" si="79"/>
        <v>0.21236638452158385</v>
      </c>
      <c r="F832" s="70">
        <f t="shared" si="83"/>
        <v>1.2894886868150572E-2</v>
      </c>
      <c r="G832" s="67">
        <f>E832/'Lookup Tables'!$C$48</f>
        <v>0.4247327690431677</v>
      </c>
      <c r="H832" s="70">
        <f t="shared" si="80"/>
        <v>5.3803713743899588E-5</v>
      </c>
      <c r="I832" s="71">
        <f t="shared" si="84"/>
        <v>6.1161518742216148E-4</v>
      </c>
      <c r="L832" s="74"/>
      <c r="M832" s="74"/>
      <c r="N832" s="74"/>
      <c r="O832" s="74"/>
      <c r="P832" s="74"/>
      <c r="Q832" s="74"/>
      <c r="R832" s="74"/>
      <c r="S832" s="74"/>
      <c r="T832" s="74"/>
      <c r="U832" s="74"/>
      <c r="V832" s="74"/>
      <c r="W832" s="74"/>
      <c r="X832" s="74"/>
      <c r="Y832" s="74"/>
    </row>
    <row r="833" spans="1:25" x14ac:dyDescent="0.3">
      <c r="A833" s="66">
        <f t="shared" si="82"/>
        <v>2072.5999999999249</v>
      </c>
      <c r="B833" s="67">
        <f>LOOKUP(A833+0.01,AmountsB!$A$4:$A$103,AmountsB!$B$4:$B$103)*0.1*$A$2</f>
        <v>0</v>
      </c>
      <c r="C833" s="68">
        <f t="shared" si="81"/>
        <v>2074573.74105891</v>
      </c>
      <c r="D833" s="67">
        <f t="array" ref="D833">SUM($B$7:$B828*$F$1009*EXP(-$F$1009*($A833-$A$7:$A828)))*$F$1010</f>
        <v>109847.18991730022</v>
      </c>
      <c r="E833" s="67">
        <f t="shared" si="79"/>
        <v>0.20941397026071917</v>
      </c>
      <c r="F833" s="70">
        <f t="shared" si="83"/>
        <v>1.2715616274230868E-2</v>
      </c>
      <c r="G833" s="67">
        <f>E833/'Lookup Tables'!$C$48</f>
        <v>0.41882794052143835</v>
      </c>
      <c r="H833" s="70">
        <f t="shared" si="80"/>
        <v>5.3055709995082054E-5</v>
      </c>
      <c r="I833" s="71">
        <f t="shared" si="84"/>
        <v>6.0311223435087122E-4</v>
      </c>
      <c r="L833" s="74"/>
      <c r="M833" s="74"/>
      <c r="N833" s="74"/>
      <c r="O833" s="74"/>
      <c r="P833" s="74"/>
      <c r="Q833" s="74"/>
      <c r="R833" s="74"/>
      <c r="S833" s="74"/>
      <c r="T833" s="74"/>
      <c r="U833" s="74"/>
      <c r="V833" s="74"/>
      <c r="W833" s="74"/>
      <c r="X833" s="74"/>
      <c r="Y833" s="74"/>
    </row>
    <row r="834" spans="1:25" x14ac:dyDescent="0.3">
      <c r="A834" s="66">
        <f t="shared" si="82"/>
        <v>2072.6999999999248</v>
      </c>
      <c r="B834" s="67">
        <f>LOOKUP(A834+0.01,AmountsB!$A$4:$A$103,AmountsB!$B$4:$B$103)*0.1*$A$2</f>
        <v>0</v>
      </c>
      <c r="C834" s="68">
        <f t="shared" si="81"/>
        <v>2074573.74105891</v>
      </c>
      <c r="D834" s="67">
        <f t="array" ref="D834">SUM($B$7:$B829*$F$1009*EXP(-$F$1009*($A834-$A$7:$A829)))*$F$1010</f>
        <v>108320.04422162731</v>
      </c>
      <c r="E834" s="67">
        <f t="shared" si="79"/>
        <v>0.20650260180843374</v>
      </c>
      <c r="F834" s="70">
        <f t="shared" si="83"/>
        <v>1.2538837981808097E-2</v>
      </c>
      <c r="G834" s="67">
        <f>E834/'Lookup Tables'!$C$48</f>
        <v>0.41300520361686749</v>
      </c>
      <c r="H834" s="70">
        <f t="shared" si="80"/>
        <v>5.2318105335273642E-5</v>
      </c>
      <c r="I834" s="71">
        <f t="shared" si="84"/>
        <v>5.9472749320828918E-4</v>
      </c>
      <c r="L834" s="74"/>
      <c r="M834" s="74"/>
      <c r="N834" s="74"/>
      <c r="O834" s="74"/>
      <c r="P834" s="74"/>
      <c r="Q834" s="74"/>
      <c r="R834" s="74"/>
      <c r="S834" s="74"/>
      <c r="T834" s="74"/>
      <c r="U834" s="74"/>
      <c r="V834" s="74"/>
      <c r="W834" s="74"/>
      <c r="X834" s="74"/>
      <c r="Y834" s="74"/>
    </row>
    <row r="835" spans="1:25" x14ac:dyDescent="0.3">
      <c r="A835" s="66">
        <f t="shared" si="82"/>
        <v>2072.7999999999247</v>
      </c>
      <c r="B835" s="67">
        <f>LOOKUP(A835+0.01,AmountsB!$A$4:$A$103,AmountsB!$B$4:$B$103)*0.1*$A$2</f>
        <v>0</v>
      </c>
      <c r="C835" s="68">
        <f t="shared" si="81"/>
        <v>2074573.74105891</v>
      </c>
      <c r="D835" s="67">
        <f t="array" ref="D835">SUM($B$7:$B830*$F$1009*EXP(-$F$1009*($A835-$A$7:$A830)))*$F$1010</f>
        <v>106814.12960139263</v>
      </c>
      <c r="E835" s="67">
        <f t="shared" si="79"/>
        <v>0.2036317085271907</v>
      </c>
      <c r="F835" s="70">
        <f t="shared" si="83"/>
        <v>1.236451734177102E-2</v>
      </c>
      <c r="G835" s="67">
        <f>E835/'Lookup Tables'!$C$48</f>
        <v>0.4072634170543814</v>
      </c>
      <c r="H835" s="70">
        <f t="shared" si="80"/>
        <v>5.1590755191599724E-5</v>
      </c>
      <c r="I835" s="71">
        <f t="shared" si="84"/>
        <v>5.8645932055830918E-4</v>
      </c>
      <c r="L835" s="74"/>
      <c r="M835" s="74"/>
      <c r="N835" s="74"/>
      <c r="O835" s="74"/>
      <c r="P835" s="74"/>
      <c r="Q835" s="74"/>
      <c r="R835" s="74"/>
      <c r="S835" s="74"/>
      <c r="T835" s="74"/>
      <c r="U835" s="74"/>
      <c r="V835" s="74"/>
      <c r="W835" s="74"/>
      <c r="X835" s="74"/>
      <c r="Y835" s="74"/>
    </row>
    <row r="836" spans="1:25" x14ac:dyDescent="0.3">
      <c r="A836" s="66">
        <f t="shared" si="82"/>
        <v>2072.8999999999246</v>
      </c>
      <c r="B836" s="67">
        <f>LOOKUP(A836+0.01,AmountsB!$A$4:$A$103,AmountsB!$B$4:$B$103)*0.1*$A$2</f>
        <v>0</v>
      </c>
      <c r="C836" s="68">
        <f t="shared" si="81"/>
        <v>2074573.74105891</v>
      </c>
      <c r="D836" s="67">
        <f t="array" ref="D836">SUM($B$7:$B831*$F$1009*EXP(-$F$1009*($A836-$A$7:$A831)))*$F$1010</f>
        <v>105329.15089250969</v>
      </c>
      <c r="E836" s="67">
        <f t="shared" si="79"/>
        <v>0.2008007277127162</v>
      </c>
      <c r="F836" s="70">
        <f t="shared" si="83"/>
        <v>1.2192620186716126E-2</v>
      </c>
      <c r="G836" s="67">
        <f>E836/'Lookup Tables'!$C$48</f>
        <v>0.40160145542543241</v>
      </c>
      <c r="H836" s="70">
        <f t="shared" si="80"/>
        <v>5.0873517001103636E-5</v>
      </c>
      <c r="I836" s="71">
        <f t="shared" si="84"/>
        <v>5.783060958126226E-4</v>
      </c>
      <c r="L836" s="74"/>
      <c r="M836" s="74"/>
      <c r="N836" s="74"/>
      <c r="O836" s="74"/>
      <c r="P836" s="74"/>
      <c r="Q836" s="74"/>
      <c r="R836" s="74"/>
      <c r="S836" s="74"/>
      <c r="T836" s="74"/>
      <c r="U836" s="74"/>
      <c r="V836" s="74"/>
      <c r="W836" s="74"/>
      <c r="X836" s="74"/>
      <c r="Y836" s="74"/>
    </row>
    <row r="837" spans="1:25" x14ac:dyDescent="0.3">
      <c r="A837" s="66">
        <f t="shared" si="82"/>
        <v>2072.9999999999245</v>
      </c>
      <c r="B837" s="67">
        <f>LOOKUP(A837+0.01,AmountsB!$A$4:$A$103,AmountsB!$B$4:$B$103)*0.1*$A$2</f>
        <v>0</v>
      </c>
      <c r="C837" s="68">
        <f t="shared" si="81"/>
        <v>2074573.74105891</v>
      </c>
      <c r="D837" s="67">
        <f t="array" ref="D837">SUM($B$7:$B832*$F$1009*EXP(-$F$1009*($A837-$A$7:$A832)))*$F$1010</f>
        <v>103864.81703439755</v>
      </c>
      <c r="E837" s="67">
        <f t="shared" si="79"/>
        <v>0.19800910448370757</v>
      </c>
      <c r="F837" s="70">
        <f t="shared" si="83"/>
        <v>1.2023112824250722E-2</v>
      </c>
      <c r="G837" s="67">
        <f>E837/'Lookup Tables'!$C$48</f>
        <v>0.39601820896741513</v>
      </c>
      <c r="H837" s="70">
        <f t="shared" si="80"/>
        <v>5.0166250182803884E-5</v>
      </c>
      <c r="I837" s="71">
        <f t="shared" si="84"/>
        <v>5.702662209130777E-4</v>
      </c>
      <c r="L837" s="74"/>
      <c r="M837" s="74"/>
      <c r="N837" s="74"/>
      <c r="O837" s="74"/>
      <c r="P837" s="74"/>
      <c r="Q837" s="74"/>
      <c r="R837" s="74"/>
      <c r="S837" s="74"/>
      <c r="T837" s="74"/>
      <c r="U837" s="74"/>
      <c r="V837" s="74"/>
      <c r="W837" s="74"/>
      <c r="X837" s="74"/>
      <c r="Y837" s="74"/>
    </row>
    <row r="838" spans="1:25" x14ac:dyDescent="0.3">
      <c r="A838" s="66">
        <f t="shared" si="82"/>
        <v>2073.0999999999244</v>
      </c>
      <c r="B838" s="67">
        <f>LOOKUP(A838+0.01,AmountsB!$A$4:$A$103,AmountsB!$B$4:$B$103)*0.1*$A$2</f>
        <v>0</v>
      </c>
      <c r="C838" s="68">
        <f t="shared" si="81"/>
        <v>2074573.74105891</v>
      </c>
      <c r="D838" s="67">
        <f t="array" ref="D838">SUM($B$7:$B833*$F$1009*EXP(-$F$1009*($A838-$A$7:$A833)))*$F$1010</f>
        <v>102420.84101293217</v>
      </c>
      <c r="E838" s="67">
        <f t="shared" si="79"/>
        <v>0.1952562916730749</v>
      </c>
      <c r="F838" s="70">
        <f t="shared" si="83"/>
        <v>1.1855962030389109E-2</v>
      </c>
      <c r="G838" s="67">
        <f>E838/'Lookup Tables'!$C$48</f>
        <v>0.3905125833461498</v>
      </c>
      <c r="H838" s="70">
        <f t="shared" si="80"/>
        <v>4.9468816110139891E-5</v>
      </c>
      <c r="I838" s="71">
        <f t="shared" si="84"/>
        <v>5.6233812001845579E-4</v>
      </c>
      <c r="L838" s="74"/>
      <c r="M838" s="74"/>
      <c r="N838" s="74"/>
      <c r="O838" s="74"/>
      <c r="P838" s="74"/>
      <c r="Q838" s="74"/>
      <c r="R838" s="74"/>
      <c r="S838" s="74"/>
      <c r="T838" s="74"/>
      <c r="U838" s="74"/>
      <c r="V838" s="74"/>
      <c r="W838" s="74"/>
      <c r="X838" s="74"/>
      <c r="Y838" s="74"/>
    </row>
    <row r="839" spans="1:25" x14ac:dyDescent="0.3">
      <c r="A839" s="66">
        <f t="shared" si="82"/>
        <v>2073.1999999999243</v>
      </c>
      <c r="B839" s="67">
        <f>LOOKUP(A839+0.01,AmountsB!$A$4:$A$103,AmountsB!$B$4:$B$103)*0.1*$A$2</f>
        <v>0</v>
      </c>
      <c r="C839" s="68">
        <f t="shared" si="81"/>
        <v>2074573.74105891</v>
      </c>
      <c r="D839" s="67">
        <f t="array" ref="D839">SUM($B$7:$B834*$F$1009*EXP(-$F$1009*($A839-$A$7:$A834)))*$F$1010</f>
        <v>100996.93980419071</v>
      </c>
      <c r="E839" s="67">
        <f t="shared" ref="E839:E902" si="85">D839/(365*24*60)*1.00201</f>
        <v>0.19254174972069471</v>
      </c>
      <c r="F839" s="70">
        <f t="shared" si="83"/>
        <v>1.1691135043040583E-2</v>
      </c>
      <c r="G839" s="67">
        <f>E839/'Lookup Tables'!$C$48</f>
        <v>0.38508349944138942</v>
      </c>
      <c r="H839" s="70">
        <f t="shared" ref="H839:H902" si="86">G839*60*24*365/(C839*2000)</f>
        <v>4.8781078083800662E-5</v>
      </c>
      <c r="I839" s="71">
        <f t="shared" si="84"/>
        <v>5.545202391956008E-4</v>
      </c>
      <c r="L839" s="74"/>
      <c r="M839" s="74"/>
      <c r="N839" s="74"/>
      <c r="O839" s="74"/>
      <c r="P839" s="74"/>
      <c r="Q839" s="74"/>
      <c r="R839" s="74"/>
      <c r="S839" s="74"/>
      <c r="T839" s="74"/>
      <c r="U839" s="74"/>
      <c r="V839" s="74"/>
      <c r="W839" s="74"/>
      <c r="X839" s="74"/>
      <c r="Y839" s="74"/>
    </row>
    <row r="840" spans="1:25" x14ac:dyDescent="0.3">
      <c r="A840" s="66">
        <f t="shared" si="82"/>
        <v>2073.2999999999242</v>
      </c>
      <c r="B840" s="67">
        <f>LOOKUP(A840+0.01,AmountsB!$A$4:$A$103,AmountsB!$B$4:$B$103)*0.1*$A$2</f>
        <v>0</v>
      </c>
      <c r="C840" s="68">
        <f t="shared" si="81"/>
        <v>2074573.74105891</v>
      </c>
      <c r="D840" s="67">
        <f t="array" ref="D840">SUM($B$7:$B835*$F$1009*EXP(-$F$1009*($A840-$A$7:$A835)))*$F$1010</f>
        <v>99592.834318977839</v>
      </c>
      <c r="E840" s="67">
        <f t="shared" si="85"/>
        <v>0.1898649465676541</v>
      </c>
      <c r="F840" s="70">
        <f t="shared" si="83"/>
        <v>1.1528599555587956E-2</v>
      </c>
      <c r="G840" s="67">
        <f>E840/'Lookup Tables'!$C$48</f>
        <v>0.37972989313530819</v>
      </c>
      <c r="H840" s="70">
        <f t="shared" si="86"/>
        <v>4.8102901304931359E-5</v>
      </c>
      <c r="I840" s="71">
        <f t="shared" si="84"/>
        <v>5.4681104611484373E-4</v>
      </c>
      <c r="L840" s="74"/>
      <c r="M840" s="74"/>
      <c r="N840" s="74"/>
      <c r="O840" s="74"/>
      <c r="P840" s="74"/>
      <c r="Q840" s="74"/>
      <c r="R840" s="74"/>
      <c r="S840" s="74"/>
      <c r="T840" s="74"/>
      <c r="U840" s="74"/>
      <c r="V840" s="74"/>
      <c r="W840" s="74"/>
      <c r="X840" s="74"/>
      <c r="Y840" s="74"/>
    </row>
    <row r="841" spans="1:25" x14ac:dyDescent="0.3">
      <c r="A841" s="66">
        <f t="shared" si="82"/>
        <v>2073.3999999999241</v>
      </c>
      <c r="B841" s="67">
        <f>LOOKUP(A841+0.01,AmountsB!$A$4:$A$103,AmountsB!$B$4:$B$103)*0.1*$A$2</f>
        <v>0</v>
      </c>
      <c r="C841" s="68">
        <f t="shared" ref="C841:C904" si="87">C840+B841</f>
        <v>2074573.74105891</v>
      </c>
      <c r="D841" s="67">
        <f t="array" ref="D841">SUM($B$7:$B836*$F$1009*EXP(-$F$1009*($A841-$A$7:$A836)))*$F$1010</f>
        <v>98208.249348123369</v>
      </c>
      <c r="E841" s="67">
        <f t="shared" si="85"/>
        <v>0.18722535755196557</v>
      </c>
      <c r="F841" s="70">
        <f t="shared" si="83"/>
        <v>1.1368323710555349E-2</v>
      </c>
      <c r="G841" s="67">
        <f>E841/'Lookup Tables'!$C$48</f>
        <v>0.37445071510393113</v>
      </c>
      <c r="H841" s="70">
        <f t="shared" si="86"/>
        <v>4.7434152848712244E-5</v>
      </c>
      <c r="I841" s="71">
        <f t="shared" si="84"/>
        <v>5.3920902974966087E-4</v>
      </c>
      <c r="L841" s="74"/>
      <c r="M841" s="74"/>
      <c r="N841" s="74"/>
      <c r="O841" s="74"/>
      <c r="P841" s="74"/>
      <c r="Q841" s="74"/>
      <c r="R841" s="74"/>
      <c r="S841" s="74"/>
      <c r="T841" s="74"/>
      <c r="U841" s="74"/>
      <c r="V841" s="74"/>
      <c r="W841" s="74"/>
      <c r="X841" s="74"/>
      <c r="Y841" s="74"/>
    </row>
    <row r="842" spans="1:25" x14ac:dyDescent="0.3">
      <c r="A842" s="66">
        <f t="shared" si="82"/>
        <v>2073.4999999999241</v>
      </c>
      <c r="B842" s="67">
        <f>LOOKUP(A842+0.01,AmountsB!$A$4:$A$103,AmountsB!$B$4:$B$103)*0.1*$A$2</f>
        <v>0</v>
      </c>
      <c r="C842" s="68">
        <f t="shared" si="87"/>
        <v>2074573.74105891</v>
      </c>
      <c r="D842" s="67">
        <f t="array" ref="D842">SUM($B$7:$B837*$F$1009*EXP(-$F$1009*($A842-$A$7:$A837)))*$F$1010</f>
        <v>96842.913508540485</v>
      </c>
      <c r="E842" s="67">
        <f t="shared" si="85"/>
        <v>0.18462246530573184</v>
      </c>
      <c r="F842" s="70">
        <f t="shared" si="83"/>
        <v>1.1210276093364039E-2</v>
      </c>
      <c r="G842" s="67">
        <f>E842/'Lookup Tables'!$C$48</f>
        <v>0.36924493061146368</v>
      </c>
      <c r="H842" s="70">
        <f t="shared" si="86"/>
        <v>4.6774701638304961E-5</v>
      </c>
      <c r="I842" s="71">
        <f t="shared" si="84"/>
        <v>5.3171270008050772E-4</v>
      </c>
      <c r="L842" s="74"/>
      <c r="M842" s="74"/>
      <c r="N842" s="74"/>
      <c r="O842" s="74"/>
      <c r="P842" s="74"/>
      <c r="Q842" s="74"/>
      <c r="R842" s="74"/>
      <c r="S842" s="74"/>
      <c r="T842" s="74"/>
      <c r="U842" s="74"/>
      <c r="V842" s="74"/>
      <c r="W842" s="74"/>
      <c r="X842" s="74"/>
      <c r="Y842" s="74"/>
    </row>
    <row r="843" spans="1:25" x14ac:dyDescent="0.3">
      <c r="A843" s="66">
        <f t="shared" si="82"/>
        <v>2073.599999999924</v>
      </c>
      <c r="B843" s="67">
        <f>LOOKUP(A843+0.01,AmountsB!$A$4:$A$103,AmountsB!$B$4:$B$103)*0.1*$A$2</f>
        <v>0</v>
      </c>
      <c r="C843" s="68">
        <f t="shared" si="87"/>
        <v>2074573.74105891</v>
      </c>
      <c r="D843" s="67">
        <f t="array" ref="D843">SUM($B$7:$B838*$F$1009*EXP(-$F$1009*($A843-$A$7:$A838)))*$F$1010</f>
        <v>95496.559190033717</v>
      </c>
      <c r="E843" s="67">
        <f t="shared" si="85"/>
        <v>0.18205575965373991</v>
      </c>
      <c r="F843" s="70">
        <f t="shared" si="83"/>
        <v>1.1054425726175087E-2</v>
      </c>
      <c r="G843" s="67">
        <f>E843/'Lookup Tables'!$C$48</f>
        <v>0.36411151930747981</v>
      </c>
      <c r="H843" s="70">
        <f t="shared" si="86"/>
        <v>4.612441841916117E-5</v>
      </c>
      <c r="I843" s="71">
        <f t="shared" si="84"/>
        <v>5.2432058780277086E-4</v>
      </c>
      <c r="L843" s="74"/>
      <c r="M843" s="74"/>
      <c r="N843" s="74"/>
      <c r="O843" s="74"/>
      <c r="P843" s="74"/>
      <c r="Q843" s="74"/>
      <c r="R843" s="74"/>
      <c r="S843" s="74"/>
      <c r="T843" s="74"/>
      <c r="U843" s="74"/>
      <c r="V843" s="74"/>
      <c r="W843" s="74"/>
      <c r="X843" s="74"/>
      <c r="Y843" s="74"/>
    </row>
    <row r="844" spans="1:25" x14ac:dyDescent="0.3">
      <c r="A844" s="66">
        <f t="shared" si="82"/>
        <v>2073.6999999999239</v>
      </c>
      <c r="B844" s="67">
        <f>LOOKUP(A844+0.01,AmountsB!$A$4:$A$103,AmountsB!$B$4:$B$103)*0.1*$A$2</f>
        <v>0</v>
      </c>
      <c r="C844" s="68">
        <f t="shared" si="87"/>
        <v>2074573.74105891</v>
      </c>
      <c r="D844" s="67">
        <f t="array" ref="D844">SUM($B$7:$B839*$F$1009*EXP(-$F$1009*($A844-$A$7:$A839)))*$F$1010</f>
        <v>94168.922502846501</v>
      </c>
      <c r="E844" s="67">
        <f t="shared" si="85"/>
        <v>0.17952473751346504</v>
      </c>
      <c r="F844" s="70">
        <f t="shared" si="83"/>
        <v>1.0900742061817596E-2</v>
      </c>
      <c r="G844" s="67">
        <f>E844/'Lookup Tables'!$C$48</f>
        <v>0.35904947502693008</v>
      </c>
      <c r="H844" s="70">
        <f t="shared" si="86"/>
        <v>4.5483175733688131E-5</v>
      </c>
      <c r="I844" s="71">
        <f t="shared" si="84"/>
        <v>5.1703124403877925E-4</v>
      </c>
      <c r="L844" s="74"/>
      <c r="M844" s="74"/>
      <c r="N844" s="74"/>
      <c r="O844" s="74"/>
      <c r="P844" s="74"/>
      <c r="Q844" s="74"/>
      <c r="R844" s="74"/>
      <c r="S844" s="74"/>
      <c r="T844" s="74"/>
      <c r="U844" s="74"/>
      <c r="V844" s="74"/>
      <c r="W844" s="74"/>
      <c r="X844" s="74"/>
      <c r="Y844" s="74"/>
    </row>
    <row r="845" spans="1:25" x14ac:dyDescent="0.3">
      <c r="A845" s="66">
        <f t="shared" si="82"/>
        <v>2073.7999999999238</v>
      </c>
      <c r="B845" s="67">
        <f>LOOKUP(A845+0.01,AmountsB!$A$4:$A$103,AmountsB!$B$4:$B$103)*0.1*$A$2</f>
        <v>0</v>
      </c>
      <c r="C845" s="68">
        <f t="shared" si="87"/>
        <v>2074573.74105891</v>
      </c>
      <c r="D845" s="67">
        <f t="array" ref="D845">SUM($B$7:$B840*$F$1009*EXP(-$F$1009*($A845-$A$7:$A840)))*$F$1010</f>
        <v>92859.743225937869</v>
      </c>
      <c r="E845" s="67">
        <f t="shared" si="85"/>
        <v>0.17702890279646499</v>
      </c>
      <c r="F845" s="70">
        <f t="shared" si="83"/>
        <v>1.0749194977801354E-2</v>
      </c>
      <c r="G845" s="67">
        <f>E845/'Lookup Tables'!$C$48</f>
        <v>0.35405780559292999</v>
      </c>
      <c r="H845" s="70">
        <f t="shared" si="86"/>
        <v>4.4850847896266618E-5</v>
      </c>
      <c r="I845" s="71">
        <f t="shared" si="84"/>
        <v>5.0984324005381911E-4</v>
      </c>
      <c r="L845" s="74"/>
      <c r="M845" s="74"/>
      <c r="N845" s="74"/>
      <c r="O845" s="74"/>
      <c r="P845" s="74"/>
      <c r="Q845" s="74"/>
      <c r="R845" s="74"/>
      <c r="S845" s="74"/>
      <c r="T845" s="74"/>
      <c r="U845" s="74"/>
      <c r="V845" s="74"/>
      <c r="W845" s="74"/>
      <c r="X845" s="74"/>
      <c r="Y845" s="74"/>
    </row>
    <row r="846" spans="1:25" x14ac:dyDescent="0.3">
      <c r="A846" s="66">
        <f t="shared" si="82"/>
        <v>2073.8999999999237</v>
      </c>
      <c r="B846" s="67">
        <f>LOOKUP(A846+0.01,AmountsB!$A$4:$A$103,AmountsB!$B$4:$B$103)*0.1*$A$2</f>
        <v>0</v>
      </c>
      <c r="C846" s="68">
        <f t="shared" si="87"/>
        <v>2074573.74105891</v>
      </c>
      <c r="D846" s="67">
        <f t="array" ref="D846">SUM($B$7:$B841*$F$1009*EXP(-$F$1009*($A846-$A$7:$A841)))*$F$1010</f>
        <v>91568.764755978438</v>
      </c>
      <c r="E846" s="67">
        <f t="shared" si="85"/>
        <v>0.17456776631114529</v>
      </c>
      <c r="F846" s="70">
        <f t="shared" si="83"/>
        <v>1.0599754770412742E-2</v>
      </c>
      <c r="G846" s="67">
        <f>E846/'Lookup Tables'!$C$48</f>
        <v>0.34913553262229058</v>
      </c>
      <c r="H846" s="70">
        <f t="shared" si="86"/>
        <v>4.4227310968616243E-5</v>
      </c>
      <c r="I846" s="71">
        <f t="shared" si="84"/>
        <v>5.0275516697609844E-4</v>
      </c>
      <c r="L846" s="74"/>
      <c r="M846" s="74"/>
      <c r="N846" s="74"/>
      <c r="O846" s="74"/>
      <c r="P846" s="74"/>
      <c r="Q846" s="74"/>
      <c r="R846" s="74"/>
      <c r="S846" s="74"/>
      <c r="T846" s="74"/>
      <c r="U846" s="74"/>
      <c r="V846" s="74"/>
      <c r="W846" s="74"/>
      <c r="X846" s="74"/>
      <c r="Y846" s="74"/>
    </row>
    <row r="847" spans="1:25" x14ac:dyDescent="0.3">
      <c r="A847" s="66">
        <f t="shared" si="82"/>
        <v>2073.9999999999236</v>
      </c>
      <c r="B847" s="67">
        <f>LOOKUP(A847+0.01,AmountsB!$A$4:$A$103,AmountsB!$B$4:$B$103)*0.1*$A$2</f>
        <v>0</v>
      </c>
      <c r="C847" s="68">
        <f t="shared" si="87"/>
        <v>2074573.74105891</v>
      </c>
      <c r="D847" s="67">
        <f t="array" ref="D847">SUM($B$7:$B842*$F$1009*EXP(-$F$1009*($A847-$A$7:$A842)))*$F$1010</f>
        <v>90295.73405705519</v>
      </c>
      <c r="E847" s="67">
        <f t="shared" si="85"/>
        <v>0.17214084566687571</v>
      </c>
      <c r="F847" s="70">
        <f t="shared" si="83"/>
        <v>1.0452392148892691E-2</v>
      </c>
      <c r="G847" s="67">
        <f>E847/'Lookup Tables'!$C$48</f>
        <v>0.34428169133375142</v>
      </c>
      <c r="H847" s="70">
        <f t="shared" si="86"/>
        <v>4.3612442735502958E-5</v>
      </c>
      <c r="I847" s="71">
        <f t="shared" si="84"/>
        <v>4.9576563552060197E-4</v>
      </c>
      <c r="L847" s="74"/>
      <c r="M847" s="74"/>
      <c r="N847" s="74"/>
      <c r="O847" s="74"/>
      <c r="P847" s="74"/>
      <c r="Q847" s="74"/>
      <c r="R847" s="74"/>
      <c r="S847" s="74"/>
      <c r="T847" s="74"/>
      <c r="U847" s="74"/>
      <c r="V847" s="74"/>
      <c r="W847" s="74"/>
      <c r="X847" s="74"/>
      <c r="Y847" s="74"/>
    </row>
    <row r="848" spans="1:25" x14ac:dyDescent="0.3">
      <c r="A848" s="66">
        <f t="shared" si="82"/>
        <v>2074.0999999999235</v>
      </c>
      <c r="B848" s="67">
        <f>LOOKUP(A848+0.01,AmountsB!$A$4:$A$103,AmountsB!$B$4:$B$103)*0.1*$A$2</f>
        <v>0</v>
      </c>
      <c r="C848" s="68">
        <f t="shared" si="87"/>
        <v>2074573.74105891</v>
      </c>
      <c r="D848" s="67">
        <f t="array" ref="D848">SUM($B$7:$B843*$F$1009*EXP(-$F$1009*($A848-$A$7:$A843)))*$F$1010</f>
        <v>89040.401611075751</v>
      </c>
      <c r="E848" s="67">
        <f t="shared" si="85"/>
        <v>0.16974766517944068</v>
      </c>
      <c r="F848" s="70">
        <f t="shared" si="83"/>
        <v>1.0307078229695638E-2</v>
      </c>
      <c r="G848" s="67">
        <f>E848/'Lookup Tables'!$C$48</f>
        <v>0.33949533035888135</v>
      </c>
      <c r="H848" s="70">
        <f t="shared" si="86"/>
        <v>4.3006122680784728E-5</v>
      </c>
      <c r="I848" s="71">
        <f t="shared" si="84"/>
        <v>4.8887327571678916E-4</v>
      </c>
      <c r="L848" s="74"/>
      <c r="M848" s="74"/>
      <c r="N848" s="74"/>
      <c r="O848" s="74"/>
      <c r="P848" s="74"/>
      <c r="Q848" s="74"/>
      <c r="R848" s="74"/>
      <c r="S848" s="74"/>
      <c r="T848" s="74"/>
      <c r="U848" s="74"/>
      <c r="V848" s="74"/>
      <c r="W848" s="74"/>
      <c r="X848" s="74"/>
      <c r="Y848" s="74"/>
    </row>
    <row r="849" spans="1:25" x14ac:dyDescent="0.3">
      <c r="A849" s="66">
        <f t="shared" si="82"/>
        <v>2074.1999999999234</v>
      </c>
      <c r="B849" s="67">
        <f>LOOKUP(A849+0.01,AmountsB!$A$4:$A$103,AmountsB!$B$4:$B$103)*0.1*$A$2</f>
        <v>0</v>
      </c>
      <c r="C849" s="68">
        <f t="shared" si="87"/>
        <v>2074573.74105891</v>
      </c>
      <c r="D849" s="67">
        <f t="array" ref="D849">SUM($B$7:$B844*$F$1009*EXP(-$F$1009*($A849-$A$7:$A844)))*$F$1010</f>
        <v>87802.521368861897</v>
      </c>
      <c r="E849" s="67">
        <f t="shared" si="85"/>
        <v>0.16738775577780313</v>
      </c>
      <c r="F849" s="70">
        <f t="shared" si="83"/>
        <v>1.0163784530828205E-2</v>
      </c>
      <c r="G849" s="67">
        <f>E849/'Lookup Tables'!$C$48</f>
        <v>0.33477551155560625</v>
      </c>
      <c r="H849" s="70">
        <f t="shared" si="86"/>
        <v>4.2408231963789734E-5</v>
      </c>
      <c r="I849" s="71">
        <f t="shared" si="84"/>
        <v>4.8207673664007301E-4</v>
      </c>
      <c r="L849" s="74"/>
      <c r="M849" s="74"/>
      <c r="N849" s="74"/>
      <c r="O849" s="74"/>
      <c r="P849" s="74"/>
      <c r="Q849" s="74"/>
      <c r="R849" s="74"/>
      <c r="S849" s="74"/>
      <c r="T849" s="74"/>
      <c r="U849" s="74"/>
      <c r="V849" s="74"/>
      <c r="W849" s="74"/>
      <c r="X849" s="74"/>
      <c r="Y849" s="74"/>
    </row>
    <row r="850" spans="1:25" x14ac:dyDescent="0.3">
      <c r="A850" s="66">
        <f t="shared" si="82"/>
        <v>2074.2999999999233</v>
      </c>
      <c r="B850" s="67">
        <f>LOOKUP(A850+0.01,AmountsB!$A$4:$A$103,AmountsB!$B$4:$B$103)*0.1*$A$2</f>
        <v>0</v>
      </c>
      <c r="C850" s="68">
        <f t="shared" si="87"/>
        <v>2074573.74105891</v>
      </c>
      <c r="D850" s="67">
        <f t="array" ref="D850">SUM($B$7:$B845*$F$1009*EXP(-$F$1009*($A850-$A$7:$A845)))*$F$1010</f>
        <v>86581.850701923278</v>
      </c>
      <c r="E850" s="67">
        <f t="shared" si="85"/>
        <v>0.16506065491216543</v>
      </c>
      <c r="F850" s="70">
        <f t="shared" si="83"/>
        <v>1.0022482966266686E-2</v>
      </c>
      <c r="G850" s="67">
        <f>E850/'Lookup Tables'!$C$48</f>
        <v>0.33012130982433086</v>
      </c>
      <c r="H850" s="70">
        <f t="shared" si="86"/>
        <v>4.1818653396023395E-5</v>
      </c>
      <c r="I850" s="71">
        <f t="shared" si="84"/>
        <v>4.7537468614703641E-4</v>
      </c>
      <c r="L850" s="74"/>
      <c r="M850" s="74"/>
      <c r="N850" s="74"/>
      <c r="O850" s="74"/>
      <c r="P850" s="74"/>
      <c r="Q850" s="74"/>
      <c r="R850" s="74"/>
      <c r="S850" s="74"/>
      <c r="T850" s="74"/>
      <c r="U850" s="74"/>
      <c r="V850" s="74"/>
      <c r="W850" s="74"/>
      <c r="X850" s="74"/>
      <c r="Y850" s="74"/>
    </row>
    <row r="851" spans="1:25" x14ac:dyDescent="0.3">
      <c r="A851" s="66">
        <f t="shared" ref="A851:A914" si="88">A850+0.1</f>
        <v>2074.3999999999232</v>
      </c>
      <c r="B851" s="67">
        <f>LOOKUP(A851+0.01,AmountsB!$A$4:$A$103,AmountsB!$B$4:$B$103)*0.1*$A$2</f>
        <v>0</v>
      </c>
      <c r="C851" s="68">
        <f t="shared" si="87"/>
        <v>2074573.74105891</v>
      </c>
      <c r="D851" s="67">
        <f t="array" ref="D851">SUM($B$7:$B846*$F$1009*EXP(-$F$1009*($A851-$A$7:$A846)))*$F$1010</f>
        <v>85378.150354901387</v>
      </c>
      <c r="E851" s="67">
        <f t="shared" si="85"/>
        <v>0.1627659064633081</v>
      </c>
      <c r="F851" s="70">
        <f t="shared" ref="F851:F914" si="89">E851*60*1012/1000000</f>
        <v>9.8831458404520667E-3</v>
      </c>
      <c r="G851" s="67">
        <f>E851/'Lookup Tables'!$C$48</f>
        <v>0.3255318129266162</v>
      </c>
      <c r="H851" s="70">
        <f t="shared" si="86"/>
        <v>4.1237271418198983E-5</v>
      </c>
      <c r="I851" s="71">
        <f t="shared" ref="I851:I914" si="90">G851*60*24/1000000</f>
        <v>4.6876581061432729E-4</v>
      </c>
      <c r="L851" s="74"/>
      <c r="M851" s="74"/>
      <c r="N851" s="74"/>
      <c r="O851" s="74"/>
      <c r="P851" s="74"/>
      <c r="Q851" s="74"/>
      <c r="R851" s="74"/>
      <c r="S851" s="74"/>
      <c r="T851" s="74"/>
      <c r="U851" s="74"/>
      <c r="V851" s="74"/>
      <c r="W851" s="74"/>
      <c r="X851" s="74"/>
      <c r="Y851" s="74"/>
    </row>
    <row r="852" spans="1:25" x14ac:dyDescent="0.3">
      <c r="A852" s="66">
        <f t="shared" si="88"/>
        <v>2074.4999999999231</v>
      </c>
      <c r="B852" s="67">
        <f>LOOKUP(A852+0.01,AmountsB!$A$4:$A$103,AmountsB!$B$4:$B$103)*0.1*$A$2</f>
        <v>0</v>
      </c>
      <c r="C852" s="68">
        <f t="shared" si="87"/>
        <v>2074573.74105891</v>
      </c>
      <c r="D852" s="67">
        <f t="array" ref="D852">SUM($B$7:$B847*$F$1009*EXP(-$F$1009*($A852-$A$7:$A847)))*$F$1010</f>
        <v>84191.184398674726</v>
      </c>
      <c r="E852" s="67">
        <f t="shared" si="85"/>
        <v>0.16050306065318887</v>
      </c>
      <c r="F852" s="70">
        <f t="shared" si="89"/>
        <v>9.7457458428616278E-3</v>
      </c>
      <c r="G852" s="67">
        <f>E852/'Lookup Tables'!$C$48</f>
        <v>0.32100612130637773</v>
      </c>
      <c r="H852" s="70">
        <f t="shared" si="86"/>
        <v>4.0663972077587648E-5</v>
      </c>
      <c r="I852" s="71">
        <f t="shared" si="90"/>
        <v>4.6224881468118396E-4</v>
      </c>
      <c r="L852" s="74"/>
      <c r="M852" s="74"/>
      <c r="N852" s="74"/>
      <c r="O852" s="74"/>
      <c r="P852" s="74"/>
      <c r="Q852" s="74"/>
      <c r="R852" s="74"/>
      <c r="S852" s="74"/>
      <c r="T852" s="74"/>
      <c r="U852" s="74"/>
      <c r="V852" s="74"/>
      <c r="W852" s="74"/>
      <c r="X852" s="74"/>
      <c r="Y852" s="74"/>
    </row>
    <row r="853" spans="1:25" x14ac:dyDescent="0.3">
      <c r="A853" s="66">
        <f t="shared" si="88"/>
        <v>2074.5999999999231</v>
      </c>
      <c r="B853" s="67">
        <f>LOOKUP(A853+0.01,AmountsB!$A$4:$A$103,AmountsB!$B$4:$B$103)*0.1*$A$2</f>
        <v>0</v>
      </c>
      <c r="C853" s="68">
        <f t="shared" si="87"/>
        <v>2074573.74105891</v>
      </c>
      <c r="D853" s="67">
        <f t="array" ref="D853">SUM($B$7:$B848*$F$1009*EXP(-$F$1009*($A853-$A$7:$A848)))*$F$1010</f>
        <v>83020.720184115969</v>
      </c>
      <c r="E853" s="67">
        <f t="shared" si="85"/>
        <v>0.15827167395678471</v>
      </c>
      <c r="F853" s="70">
        <f t="shared" si="89"/>
        <v>9.6102560426559683E-3</v>
      </c>
      <c r="G853" s="67">
        <f>E853/'Lookup Tables'!$C$48</f>
        <v>0.31654334791356942</v>
      </c>
      <c r="H853" s="70">
        <f t="shared" si="86"/>
        <v>4.0098643005683273E-5</v>
      </c>
      <c r="I853" s="71">
        <f t="shared" si="90"/>
        <v>4.5582242099553996E-4</v>
      </c>
      <c r="L853" s="74"/>
      <c r="M853" s="74"/>
      <c r="N853" s="74"/>
      <c r="O853" s="74"/>
      <c r="P853" s="74"/>
      <c r="Q853" s="74"/>
      <c r="R853" s="74"/>
      <c r="S853" s="74"/>
      <c r="T853" s="74"/>
      <c r="U853" s="74"/>
      <c r="V853" s="74"/>
      <c r="W853" s="74"/>
      <c r="X853" s="74"/>
      <c r="Y853" s="74"/>
    </row>
    <row r="854" spans="1:25" x14ac:dyDescent="0.3">
      <c r="A854" s="66">
        <f t="shared" si="88"/>
        <v>2074.699999999923</v>
      </c>
      <c r="B854" s="67">
        <f>LOOKUP(A854+0.01,AmountsB!$A$4:$A$103,AmountsB!$B$4:$B$103)*0.1*$A$2</f>
        <v>0</v>
      </c>
      <c r="C854" s="68">
        <f t="shared" si="87"/>
        <v>2074573.74105891</v>
      </c>
      <c r="D854" s="67">
        <f t="array" ref="D854">SUM($B$7:$B849*$F$1009*EXP(-$F$1009*($A854-$A$7:$A849)))*$F$1010</f>
        <v>81866.528296492004</v>
      </c>
      <c r="E854" s="67">
        <f t="shared" si="85"/>
        <v>0.15607130901515973</v>
      </c>
      <c r="F854" s="70">
        <f t="shared" si="89"/>
        <v>9.4766498834005005E-3</v>
      </c>
      <c r="G854" s="67">
        <f>E854/'Lookup Tables'!$C$48</f>
        <v>0.31214261803031945</v>
      </c>
      <c r="H854" s="70">
        <f t="shared" si="86"/>
        <v>3.9541173396177956E-5</v>
      </c>
      <c r="I854" s="71">
        <f t="shared" si="90"/>
        <v>4.4948536996366003E-4</v>
      </c>
      <c r="L854" s="74"/>
      <c r="M854" s="74"/>
      <c r="N854" s="74"/>
      <c r="O854" s="74"/>
      <c r="P854" s="74"/>
      <c r="Q854" s="74"/>
      <c r="R854" s="74"/>
      <c r="S854" s="74"/>
      <c r="T854" s="74"/>
      <c r="U854" s="74"/>
      <c r="V854" s="74"/>
      <c r="W854" s="74"/>
      <c r="X854" s="74"/>
      <c r="Y854" s="74"/>
    </row>
    <row r="855" spans="1:25" x14ac:dyDescent="0.3">
      <c r="A855" s="66">
        <f t="shared" si="88"/>
        <v>2074.7999999999229</v>
      </c>
      <c r="B855" s="67">
        <f>LOOKUP(A855+0.01,AmountsB!$A$4:$A$103,AmountsB!$B$4:$B$103)*0.1*$A$2</f>
        <v>0</v>
      </c>
      <c r="C855" s="68">
        <f t="shared" si="87"/>
        <v>2074573.74105891</v>
      </c>
      <c r="D855" s="67">
        <f t="array" ref="D855">SUM($B$7:$B850*$F$1009*EXP(-$F$1009*($A855-$A$7:$A850)))*$F$1010</f>
        <v>80728.382510497875</v>
      </c>
      <c r="E855" s="67">
        <f t="shared" si="85"/>
        <v>0.1539015345497412</v>
      </c>
      <c r="F855" s="70">
        <f t="shared" si="89"/>
        <v>9.3449011778602847E-3</v>
      </c>
      <c r="G855" s="67">
        <f>E855/'Lookup Tables'!$C$48</f>
        <v>0.30780306909948241</v>
      </c>
      <c r="H855" s="70">
        <f t="shared" si="86"/>
        <v>3.8991453983243576E-5</v>
      </c>
      <c r="I855" s="71">
        <f t="shared" si="90"/>
        <v>4.4323641950325463E-4</v>
      </c>
      <c r="L855" s="74"/>
      <c r="M855" s="74"/>
      <c r="N855" s="74"/>
      <c r="O855" s="74"/>
      <c r="P855" s="74"/>
      <c r="Q855" s="74"/>
      <c r="R855" s="74"/>
      <c r="S855" s="74"/>
      <c r="T855" s="74"/>
      <c r="U855" s="74"/>
      <c r="V855" s="74"/>
      <c r="W855" s="74"/>
      <c r="X855" s="74"/>
      <c r="Y855" s="74"/>
    </row>
    <row r="856" spans="1:25" x14ac:dyDescent="0.3">
      <c r="A856" s="66">
        <f t="shared" si="88"/>
        <v>2074.8999999999228</v>
      </c>
      <c r="B856" s="67">
        <f>LOOKUP(A856+0.01,AmountsB!$A$4:$A$103,AmountsB!$B$4:$B$103)*0.1*$A$2</f>
        <v>0</v>
      </c>
      <c r="C856" s="68">
        <f t="shared" si="87"/>
        <v>2074573.74105891</v>
      </c>
      <c r="D856" s="67">
        <f t="array" ref="D856">SUM($B$7:$B851*$F$1009*EXP(-$F$1009*($A856-$A$7:$A851)))*$F$1010</f>
        <v>79606.059745915933</v>
      </c>
      <c r="E856" s="67">
        <f t="shared" si="85"/>
        <v>0.15176192527778773</v>
      </c>
      <c r="F856" s="70">
        <f t="shared" si="89"/>
        <v>9.214984102867271E-3</v>
      </c>
      <c r="G856" s="67">
        <f>E856/'Lookup Tables'!$C$48</f>
        <v>0.30352385055557546</v>
      </c>
      <c r="H856" s="70">
        <f t="shared" si="86"/>
        <v>3.8449377020115368E-5</v>
      </c>
      <c r="I856" s="71">
        <f t="shared" si="90"/>
        <v>4.3707434480002867E-4</v>
      </c>
      <c r="L856" s="74"/>
      <c r="M856" s="74"/>
      <c r="N856" s="74"/>
      <c r="O856" s="74"/>
      <c r="P856" s="74"/>
      <c r="Q856" s="74"/>
      <c r="R856" s="74"/>
      <c r="S856" s="74"/>
      <c r="T856" s="74"/>
      <c r="U856" s="74"/>
      <c r="V856" s="74"/>
      <c r="W856" s="74"/>
      <c r="X856" s="74"/>
      <c r="Y856" s="74"/>
    </row>
    <row r="857" spans="1:25" x14ac:dyDescent="0.3">
      <c r="A857" s="66">
        <f t="shared" si="88"/>
        <v>2074.9999999999227</v>
      </c>
      <c r="B857" s="67">
        <f>LOOKUP(A857+0.01,AmountsB!$A$4:$A$103,AmountsB!$B$4:$B$103)*0.1*$A$2</f>
        <v>0</v>
      </c>
      <c r="C857" s="68">
        <f t="shared" si="87"/>
        <v>2074573.74105891</v>
      </c>
      <c r="D857" s="67">
        <f t="array" ref="D857">SUM($B$7:$B852*$F$1009*EXP(-$F$1009*($A857-$A$7:$A852)))*$F$1010</f>
        <v>78499.34002389136</v>
      </c>
      <c r="E857" s="67">
        <f t="shared" si="85"/>
        <v>0.14965206182903232</v>
      </c>
      <c r="F857" s="70">
        <f t="shared" si="89"/>
        <v>9.0868731942588422E-3</v>
      </c>
      <c r="G857" s="67">
        <f>E857/'Lookup Tables'!$C$48</f>
        <v>0.29930412365806464</v>
      </c>
      <c r="H857" s="70">
        <f t="shared" si="86"/>
        <v>3.7914836257973157E-5</v>
      </c>
      <c r="I857" s="71">
        <f t="shared" si="90"/>
        <v>4.3099793806761308E-4</v>
      </c>
      <c r="L857" s="74"/>
      <c r="M857" s="74"/>
      <c r="N857" s="74"/>
      <c r="O857" s="74"/>
      <c r="P857" s="74"/>
      <c r="Q857" s="74"/>
      <c r="R857" s="74"/>
      <c r="S857" s="74"/>
      <c r="T857" s="74"/>
      <c r="U857" s="74"/>
      <c r="V857" s="74"/>
      <c r="W857" s="74"/>
      <c r="X857" s="74"/>
      <c r="Y857" s="74"/>
    </row>
    <row r="858" spans="1:25" x14ac:dyDescent="0.3">
      <c r="A858" s="66">
        <f t="shared" si="88"/>
        <v>2075.0999999999226</v>
      </c>
      <c r="B858" s="67">
        <f>LOOKUP(A858+0.01,AmountsB!$A$4:$A$103,AmountsB!$B$4:$B$103)*0.1*$A$2</f>
        <v>0</v>
      </c>
      <c r="C858" s="68">
        <f t="shared" si="87"/>
        <v>2074573.74105891</v>
      </c>
      <c r="D858" s="67">
        <f t="array" ref="D858">SUM($B$7:$B853*$F$1009*EXP(-$F$1009*($A858-$A$7:$A853)))*$F$1010</f>
        <v>77408.006423815619</v>
      </c>
      <c r="E858" s="67">
        <f t="shared" si="85"/>
        <v>0.14757153066348458</v>
      </c>
      <c r="F858" s="70">
        <f t="shared" si="89"/>
        <v>8.9605433418867859E-3</v>
      </c>
      <c r="G858" s="67">
        <f>E858/'Lookup Tables'!$C$48</f>
        <v>0.29514306132696916</v>
      </c>
      <c r="H858" s="70">
        <f t="shared" si="86"/>
        <v>3.7387726925116319E-5</v>
      </c>
      <c r="I858" s="71">
        <f t="shared" si="90"/>
        <v>4.2500600831083565E-4</v>
      </c>
      <c r="L858" s="74"/>
      <c r="M858" s="74"/>
      <c r="N858" s="74"/>
      <c r="O858" s="74"/>
      <c r="P858" s="74"/>
      <c r="Q858" s="74"/>
      <c r="R858" s="74"/>
      <c r="S858" s="74"/>
      <c r="T858" s="74"/>
      <c r="U858" s="74"/>
      <c r="V858" s="74"/>
      <c r="W858" s="74"/>
      <c r="X858" s="74"/>
      <c r="Y858" s="74"/>
    </row>
    <row r="859" spans="1:25" x14ac:dyDescent="0.3">
      <c r="A859" s="66">
        <f t="shared" si="88"/>
        <v>2075.1999999999225</v>
      </c>
      <c r="B859" s="67">
        <f>LOOKUP(A859+0.01,AmountsB!$A$4:$A$103,AmountsB!$B$4:$B$103)*0.1*$A$2</f>
        <v>0</v>
      </c>
      <c r="C859" s="68">
        <f t="shared" si="87"/>
        <v>2074573.74105891</v>
      </c>
      <c r="D859" s="67">
        <f t="array" ref="D859">SUM($B$7:$B854*$F$1009*EXP(-$F$1009*($A859-$A$7:$A854)))*$F$1010</f>
        <v>76331.845040809407</v>
      </c>
      <c r="E859" s="67">
        <f t="shared" si="85"/>
        <v>0.14551992399037564</v>
      </c>
      <c r="F859" s="70">
        <f t="shared" si="89"/>
        <v>8.8359697846956096E-3</v>
      </c>
      <c r="G859" s="67">
        <f>E859/'Lookup Tables'!$C$48</f>
        <v>0.29103984798075128</v>
      </c>
      <c r="H859" s="70">
        <f t="shared" si="86"/>
        <v>3.6867945706428151E-5</v>
      </c>
      <c r="I859" s="71">
        <f t="shared" si="90"/>
        <v>4.1909738109228187E-4</v>
      </c>
      <c r="L859" s="74"/>
      <c r="M859" s="74"/>
      <c r="N859" s="74"/>
      <c r="O859" s="74"/>
      <c r="P859" s="74"/>
      <c r="Q859" s="74"/>
      <c r="R859" s="74"/>
      <c r="S859" s="74"/>
      <c r="T859" s="74"/>
      <c r="U859" s="74"/>
      <c r="V859" s="74"/>
      <c r="W859" s="74"/>
      <c r="X859" s="74"/>
      <c r="Y859" s="74"/>
    </row>
    <row r="860" spans="1:25" x14ac:dyDescent="0.3">
      <c r="A860" s="66">
        <f t="shared" si="88"/>
        <v>2075.2999999999224</v>
      </c>
      <c r="B860" s="67">
        <f>LOOKUP(A860+0.01,AmountsB!$A$4:$A$103,AmountsB!$B$4:$B$103)*0.1*$A$2</f>
        <v>0</v>
      </c>
      <c r="C860" s="68">
        <f t="shared" si="87"/>
        <v>2074573.74105891</v>
      </c>
      <c r="D860" s="67">
        <f t="array" ref="D860">SUM($B$7:$B855*$F$1009*EXP(-$F$1009*($A860-$A$7:$A855)))*$F$1010</f>
        <v>75270.644943796418</v>
      </c>
      <c r="E860" s="67">
        <f t="shared" si="85"/>
        <v>0.14349683968822957</v>
      </c>
      <c r="F860" s="70">
        <f t="shared" si="89"/>
        <v>8.7131281058693E-3</v>
      </c>
      <c r="G860" s="67">
        <f>E860/'Lookup Tables'!$C$48</f>
        <v>0.28699367937645914</v>
      </c>
      <c r="H860" s="70">
        <f t="shared" si="86"/>
        <v>3.635539072312579E-5</v>
      </c>
      <c r="I860" s="71">
        <f t="shared" si="90"/>
        <v>4.1327089830210114E-4</v>
      </c>
      <c r="L860" s="74"/>
      <c r="M860" s="74"/>
      <c r="N860" s="74"/>
      <c r="O860" s="74"/>
      <c r="P860" s="74"/>
      <c r="Q860" s="74"/>
      <c r="R860" s="74"/>
      <c r="S860" s="74"/>
      <c r="T860" s="74"/>
      <c r="U860" s="74"/>
      <c r="V860" s="74"/>
      <c r="W860" s="74"/>
      <c r="X860" s="74"/>
      <c r="Y860" s="74"/>
    </row>
    <row r="861" spans="1:25" x14ac:dyDescent="0.3">
      <c r="A861" s="66">
        <f t="shared" si="88"/>
        <v>2075.3999999999223</v>
      </c>
      <c r="B861" s="67">
        <f>LOOKUP(A861+0.01,AmountsB!$A$4:$A$103,AmountsB!$B$4:$B$103)*0.1*$A$2</f>
        <v>0</v>
      </c>
      <c r="C861" s="68">
        <f t="shared" si="87"/>
        <v>2074573.74105891</v>
      </c>
      <c r="D861" s="67">
        <f t="array" ref="D861">SUM($B$7:$B856*$F$1009*EXP(-$F$1009*($A861-$A$7:$A856)))*$F$1010</f>
        <v>74224.198134160397</v>
      </c>
      <c r="E861" s="67">
        <f t="shared" si="85"/>
        <v>0.14150188122604654</v>
      </c>
      <c r="F861" s="70">
        <f t="shared" si="89"/>
        <v>8.5919942280455446E-3</v>
      </c>
      <c r="G861" s="67">
        <f>E861/'Lookup Tables'!$C$48</f>
        <v>0.28300376245209308</v>
      </c>
      <c r="H861" s="70">
        <f t="shared" si="86"/>
        <v>3.5849961512791616E-5</v>
      </c>
      <c r="I861" s="71">
        <f t="shared" si="90"/>
        <v>4.0752541793101396E-4</v>
      </c>
      <c r="L861" s="74"/>
      <c r="M861" s="74"/>
      <c r="N861" s="74"/>
      <c r="O861" s="74"/>
      <c r="P861" s="74"/>
      <c r="Q861" s="74"/>
      <c r="R861" s="74"/>
      <c r="S861" s="74"/>
      <c r="T861" s="74"/>
      <c r="U861" s="74"/>
      <c r="V861" s="74"/>
      <c r="W861" s="74"/>
      <c r="X861" s="74"/>
      <c r="Y861" s="74"/>
    </row>
    <row r="862" spans="1:25" x14ac:dyDescent="0.3">
      <c r="A862" s="66">
        <f t="shared" si="88"/>
        <v>2075.4999999999222</v>
      </c>
      <c r="B862" s="67">
        <f>LOOKUP(A862+0.01,AmountsB!$A$4:$A$103,AmountsB!$B$4:$B$103)*0.1*$A$2</f>
        <v>0</v>
      </c>
      <c r="C862" s="68">
        <f t="shared" si="87"/>
        <v>2074573.74105891</v>
      </c>
      <c r="D862" s="67">
        <f t="array" ref="D862">SUM($B$7:$B857*$F$1009*EXP(-$F$1009*($A862-$A$7:$A857)))*$F$1010</f>
        <v>73192.299504976603</v>
      </c>
      <c r="E862" s="67">
        <f t="shared" si="85"/>
        <v>0.13953465758558145</v>
      </c>
      <c r="F862" s="70">
        <f t="shared" si="89"/>
        <v>8.4725444085965058E-3</v>
      </c>
      <c r="G862" s="67">
        <f>E862/'Lookup Tables'!$C$48</f>
        <v>0.2790693151711629</v>
      </c>
      <c r="H862" s="70">
        <f t="shared" si="86"/>
        <v>3.535155900968239E-5</v>
      </c>
      <c r="I862" s="71">
        <f t="shared" si="90"/>
        <v>4.018598138464746E-4</v>
      </c>
      <c r="L862" s="74"/>
      <c r="M862" s="74"/>
      <c r="N862" s="74"/>
      <c r="O862" s="74"/>
      <c r="P862" s="74"/>
      <c r="Q862" s="74"/>
      <c r="R862" s="74"/>
      <c r="S862" s="74"/>
      <c r="T862" s="74"/>
      <c r="U862" s="74"/>
      <c r="V862" s="74"/>
      <c r="W862" s="74"/>
      <c r="X862" s="74"/>
      <c r="Y862" s="74"/>
    </row>
    <row r="863" spans="1:25" x14ac:dyDescent="0.3">
      <c r="A863" s="66">
        <f t="shared" si="88"/>
        <v>2075.5999999999221</v>
      </c>
      <c r="B863" s="67">
        <f>LOOKUP(A863+0.01,AmountsB!$A$4:$A$103,AmountsB!$B$4:$B$103)*0.1*$A$2</f>
        <v>0</v>
      </c>
      <c r="C863" s="68">
        <f t="shared" si="87"/>
        <v>2074573.74105891</v>
      </c>
      <c r="D863" s="67">
        <f t="array" ref="D863">SUM($B$7:$B858*$F$1009*EXP(-$F$1009*($A863-$A$7:$A858)))*$F$1010</f>
        <v>72174.746800810215</v>
      </c>
      <c r="E863" s="67">
        <f t="shared" si="85"/>
        <v>0.13759478318470289</v>
      </c>
      <c r="F863" s="70">
        <f t="shared" si="89"/>
        <v>8.354755234975161E-3</v>
      </c>
      <c r="G863" s="67">
        <f>E863/'Lookup Tables'!$C$48</f>
        <v>0.27518956636940578</v>
      </c>
      <c r="H863" s="70">
        <f t="shared" si="86"/>
        <v>3.4860085525311884E-5</v>
      </c>
      <c r="I863" s="71">
        <f t="shared" si="90"/>
        <v>3.9627297557194433E-4</v>
      </c>
      <c r="L863" s="74"/>
      <c r="M863" s="74"/>
      <c r="N863" s="74"/>
      <c r="O863" s="74"/>
      <c r="P863" s="74"/>
      <c r="Q863" s="74"/>
      <c r="R863" s="74"/>
      <c r="S863" s="74"/>
      <c r="T863" s="74"/>
      <c r="U863" s="74"/>
      <c r="V863" s="74"/>
      <c r="W863" s="74"/>
      <c r="X863" s="74"/>
      <c r="Y863" s="74"/>
    </row>
    <row r="864" spans="1:25" x14ac:dyDescent="0.3">
      <c r="A864" s="66">
        <f t="shared" si="88"/>
        <v>2075.6999999999221</v>
      </c>
      <c r="B864" s="67">
        <f>LOOKUP(A864+0.01,AmountsB!$A$4:$A$103,AmountsB!$B$4:$B$103)*0.1*$A$2</f>
        <v>0</v>
      </c>
      <c r="C864" s="68">
        <f t="shared" si="87"/>
        <v>2074573.74105891</v>
      </c>
      <c r="D864" s="67">
        <f t="array" ref="D864">SUM($B$7:$B859*$F$1009*EXP(-$F$1009*($A864-$A$7:$A859)))*$F$1010</f>
        <v>71171.340578073723</v>
      </c>
      <c r="E864" s="67">
        <f t="shared" si="85"/>
        <v>0.1356818778018182</v>
      </c>
      <c r="F864" s="70">
        <f t="shared" si="89"/>
        <v>8.2386036201264022E-3</v>
      </c>
      <c r="G864" s="67">
        <f>E864/'Lookup Tables'!$C$48</f>
        <v>0.2713637556036364</v>
      </c>
      <c r="H864" s="70">
        <f t="shared" si="86"/>
        <v>3.4375444729303828E-5</v>
      </c>
      <c r="I864" s="71">
        <f t="shared" si="90"/>
        <v>3.9076380806923639E-4</v>
      </c>
      <c r="L864" s="74"/>
      <c r="M864" s="74"/>
      <c r="N864" s="74"/>
      <c r="O864" s="74"/>
      <c r="P864" s="74"/>
      <c r="Q864" s="74"/>
      <c r="R864" s="74"/>
      <c r="S864" s="74"/>
      <c r="T864" s="74"/>
      <c r="U864" s="74"/>
      <c r="V864" s="74"/>
      <c r="W864" s="74"/>
      <c r="X864" s="74"/>
      <c r="Y864" s="74"/>
    </row>
    <row r="865" spans="1:25" x14ac:dyDescent="0.3">
      <c r="A865" s="66">
        <f t="shared" si="88"/>
        <v>2075.799999999922</v>
      </c>
      <c r="B865" s="67">
        <f>LOOKUP(A865+0.01,AmountsB!$A$4:$A$103,AmountsB!$B$4:$B$103)*0.1*$A$2</f>
        <v>0</v>
      </c>
      <c r="C865" s="68">
        <f t="shared" si="87"/>
        <v>2074573.74105891</v>
      </c>
      <c r="D865" s="67">
        <f t="array" ref="D865">SUM($B$7:$B860*$F$1009*EXP(-$F$1009*($A865-$A$7:$A860)))*$F$1010</f>
        <v>70181.884165935189</v>
      </c>
      <c r="E865" s="67">
        <f t="shared" si="85"/>
        <v>0.13379556650134841</v>
      </c>
      <c r="F865" s="70">
        <f t="shared" si="89"/>
        <v>8.1240667979618746E-3</v>
      </c>
      <c r="G865" s="67">
        <f>E865/'Lookup Tables'!$C$48</f>
        <v>0.26759113300269682</v>
      </c>
      <c r="H865" s="70">
        <f t="shared" si="86"/>
        <v>3.3897541630510696E-5</v>
      </c>
      <c r="I865" s="71">
        <f t="shared" si="90"/>
        <v>3.8533123152388339E-4</v>
      </c>
      <c r="L865" s="74"/>
      <c r="M865" s="74"/>
      <c r="N865" s="74"/>
      <c r="O865" s="74"/>
      <c r="P865" s="74"/>
      <c r="Q865" s="74"/>
      <c r="R865" s="74"/>
      <c r="S865" s="74"/>
      <c r="T865" s="74"/>
      <c r="U865" s="74"/>
      <c r="V865" s="74"/>
      <c r="W865" s="74"/>
      <c r="X865" s="74"/>
      <c r="Y865" s="74"/>
    </row>
    <row r="866" spans="1:25" x14ac:dyDescent="0.3">
      <c r="A866" s="66">
        <f t="shared" si="88"/>
        <v>2075.8999999999219</v>
      </c>
      <c r="B866" s="67">
        <f>LOOKUP(A866+0.01,AmountsB!$A$4:$A$103,AmountsB!$B$4:$B$103)*0.1*$A$2</f>
        <v>0</v>
      </c>
      <c r="C866" s="68">
        <f t="shared" si="87"/>
        <v>2074573.74105891</v>
      </c>
      <c r="D866" s="67">
        <f t="array" ref="D866">SUM($B$7:$B861*$F$1009*EXP(-$F$1009*($A866-$A$7:$A861)))*$F$1010</f>
        <v>69206.18362777018</v>
      </c>
      <c r="E866" s="67">
        <f t="shared" si="85"/>
        <v>0.13193547956023974</v>
      </c>
      <c r="F866" s="70">
        <f t="shared" si="89"/>
        <v>8.0111223188977579E-3</v>
      </c>
      <c r="G866" s="67">
        <f>E866/'Lookup Tables'!$C$48</f>
        <v>0.26387095912047948</v>
      </c>
      <c r="H866" s="70">
        <f t="shared" si="86"/>
        <v>3.342628255839514E-5</v>
      </c>
      <c r="I866" s="71">
        <f t="shared" si="90"/>
        <v>3.7997418113349047E-4</v>
      </c>
      <c r="L866" s="74"/>
      <c r="M866" s="74"/>
      <c r="N866" s="74"/>
      <c r="O866" s="74"/>
      <c r="P866" s="74"/>
      <c r="Q866" s="74"/>
      <c r="R866" s="74"/>
      <c r="S866" s="74"/>
      <c r="T866" s="74"/>
      <c r="U866" s="74"/>
      <c r="V866" s="74"/>
      <c r="W866" s="74"/>
      <c r="X866" s="74"/>
      <c r="Y866" s="74"/>
    </row>
    <row r="867" spans="1:25" x14ac:dyDescent="0.3">
      <c r="A867" s="66">
        <f t="shared" si="88"/>
        <v>2075.9999999999218</v>
      </c>
      <c r="B867" s="67">
        <f>LOOKUP(A867+0.01,AmountsB!$A$4:$A$103,AmountsB!$B$4:$B$103)*0.1*$A$2</f>
        <v>0</v>
      </c>
      <c r="C867" s="68">
        <f t="shared" si="87"/>
        <v>2074573.74105891</v>
      </c>
      <c r="D867" s="67">
        <f t="array" ref="D867">SUM($B$7:$B862*$F$1009*EXP(-$F$1009*($A867-$A$7:$A862)))*$F$1010</f>
        <v>68244.047723149735</v>
      </c>
      <c r="E867" s="67">
        <f t="shared" si="85"/>
        <v>0.13010125239549708</v>
      </c>
      <c r="F867" s="70">
        <f t="shared" si="89"/>
        <v>7.8997480454545826E-3</v>
      </c>
      <c r="G867" s="67">
        <f>E867/'Lookup Tables'!$C$48</f>
        <v>0.26020250479099416</v>
      </c>
      <c r="H867" s="70">
        <f t="shared" si="86"/>
        <v>3.29615751446704E-5</v>
      </c>
      <c r="I867" s="71">
        <f t="shared" si="90"/>
        <v>3.7469160689903159E-4</v>
      </c>
      <c r="L867" s="74"/>
      <c r="M867" s="74"/>
      <c r="N867" s="74"/>
      <c r="O867" s="74"/>
      <c r="P867" s="74"/>
      <c r="Q867" s="74"/>
      <c r="R867" s="74"/>
      <c r="S867" s="74"/>
      <c r="T867" s="74"/>
      <c r="U867" s="74"/>
      <c r="V867" s="74"/>
      <c r="W867" s="74"/>
      <c r="X867" s="74"/>
      <c r="Y867" s="74"/>
    </row>
    <row r="868" spans="1:25" x14ac:dyDescent="0.3">
      <c r="A868" s="66">
        <f t="shared" si="88"/>
        <v>2076.0999999999217</v>
      </c>
      <c r="B868" s="67">
        <f>LOOKUP(A868+0.01,AmountsB!$A$4:$A$103,AmountsB!$B$4:$B$103)*0.1*$A$2</f>
        <v>0</v>
      </c>
      <c r="C868" s="68">
        <f t="shared" si="87"/>
        <v>2074573.74105891</v>
      </c>
      <c r="D868" s="67">
        <f t="array" ref="D868">SUM($B$7:$B863*$F$1009*EXP(-$F$1009*($A868-$A$7:$A863)))*$F$1010</f>
        <v>67295.287870356347</v>
      </c>
      <c r="E868" s="67">
        <f t="shared" si="85"/>
        <v>0.12829252549272405</v>
      </c>
      <c r="F868" s="70">
        <f t="shared" si="89"/>
        <v>7.7899221479182041E-3</v>
      </c>
      <c r="G868" s="67">
        <f>E868/'Lookup Tables'!$C$48</f>
        <v>0.25658505098544809</v>
      </c>
      <c r="H868" s="70">
        <f t="shared" si="86"/>
        <v>3.2503328305195675E-5</v>
      </c>
      <c r="I868" s="71">
        <f t="shared" si="90"/>
        <v>3.6948247341904526E-4</v>
      </c>
      <c r="L868" s="74"/>
      <c r="M868" s="74"/>
      <c r="N868" s="74"/>
      <c r="O868" s="74"/>
      <c r="P868" s="74"/>
      <c r="Q868" s="74"/>
      <c r="R868" s="74"/>
      <c r="S868" s="74"/>
      <c r="T868" s="74"/>
      <c r="U868" s="74"/>
      <c r="V868" s="74"/>
      <c r="W868" s="74"/>
      <c r="X868" s="74"/>
      <c r="Y868" s="74"/>
    </row>
    <row r="869" spans="1:25" x14ac:dyDescent="0.3">
      <c r="A869" s="66">
        <f t="shared" si="88"/>
        <v>2076.1999999999216</v>
      </c>
      <c r="B869" s="67">
        <f>LOOKUP(A869+0.01,AmountsB!$A$4:$A$103,AmountsB!$B$4:$B$103)*0.1*$A$2</f>
        <v>0</v>
      </c>
      <c r="C869" s="68">
        <f t="shared" si="87"/>
        <v>2074573.74105891</v>
      </c>
      <c r="D869" s="67">
        <f t="array" ref="D869">SUM($B$7:$B864*$F$1009*EXP(-$F$1009*($A869-$A$7:$A864)))*$F$1010</f>
        <v>66359.718109421578</v>
      </c>
      <c r="E869" s="67">
        <f t="shared" si="85"/>
        <v>0.1265089443356574</v>
      </c>
      <c r="F869" s="70">
        <f t="shared" si="89"/>
        <v>7.6816231000611168E-3</v>
      </c>
      <c r="G869" s="67">
        <f>E869/'Lookup Tables'!$C$48</f>
        <v>0.25301788867131481</v>
      </c>
      <c r="H869" s="70">
        <f t="shared" si="86"/>
        <v>3.2051452222123432E-5</v>
      </c>
      <c r="I869" s="71">
        <f t="shared" si="90"/>
        <v>3.6434575968669335E-4</v>
      </c>
      <c r="L869" s="74"/>
      <c r="M869" s="74"/>
      <c r="N869" s="74"/>
      <c r="O869" s="74"/>
      <c r="P869" s="74"/>
      <c r="Q869" s="74"/>
      <c r="R869" s="74"/>
      <c r="S869" s="74"/>
      <c r="T869" s="74"/>
      <c r="U869" s="74"/>
      <c r="V869" s="74"/>
      <c r="W869" s="74"/>
      <c r="X869" s="74"/>
      <c r="Y869" s="74"/>
    </row>
    <row r="870" spans="1:25" x14ac:dyDescent="0.3">
      <c r="A870" s="66">
        <f t="shared" si="88"/>
        <v>2076.2999999999215</v>
      </c>
      <c r="B870" s="67">
        <f>LOOKUP(A870+0.01,AmountsB!$A$4:$A$103,AmountsB!$B$4:$B$103)*0.1*$A$2</f>
        <v>0</v>
      </c>
      <c r="C870" s="68">
        <f t="shared" si="87"/>
        <v>2074573.74105891</v>
      </c>
      <c r="D870" s="67">
        <f t="array" ref="D870">SUM($B$7:$B865*$F$1009*EXP(-$F$1009*($A870-$A$7:$A865)))*$F$1010</f>
        <v>65437.155065677238</v>
      </c>
      <c r="E870" s="67">
        <f t="shared" si="85"/>
        <v>0.12475015933668047</v>
      </c>
      <c r="F870" s="70">
        <f t="shared" si="89"/>
        <v>7.5748296749232388E-3</v>
      </c>
      <c r="G870" s="67">
        <f>E870/'Lookup Tables'!$C$48</f>
        <v>0.24950031867336095</v>
      </c>
      <c r="H870" s="70">
        <f t="shared" si="86"/>
        <v>3.1605858326294778E-5</v>
      </c>
      <c r="I870" s="71">
        <f t="shared" si="90"/>
        <v>3.5928045888963974E-4</v>
      </c>
      <c r="L870" s="74"/>
      <c r="M870" s="74"/>
      <c r="N870" s="74"/>
      <c r="O870" s="74"/>
      <c r="P870" s="74"/>
      <c r="Q870" s="74"/>
      <c r="R870" s="74"/>
      <c r="S870" s="74"/>
      <c r="T870" s="74"/>
      <c r="U870" s="74"/>
      <c r="V870" s="74"/>
      <c r="W870" s="74"/>
      <c r="X870" s="74"/>
      <c r="Y870" s="74"/>
    </row>
    <row r="871" spans="1:25" x14ac:dyDescent="0.3">
      <c r="A871" s="66">
        <f t="shared" si="88"/>
        <v>2076.3999999999214</v>
      </c>
      <c r="B871" s="67">
        <f>LOOKUP(A871+0.01,AmountsB!$A$4:$A$103,AmountsB!$B$4:$B$103)*0.1*$A$2</f>
        <v>0</v>
      </c>
      <c r="C871" s="68">
        <f t="shared" si="87"/>
        <v>2074573.74105891</v>
      </c>
      <c r="D871" s="67">
        <f t="array" ref="D871">SUM($B$7:$B866*$F$1009*EXP(-$F$1009*($A871-$A$7:$A866)))*$F$1010</f>
        <v>64527.417913813231</v>
      </c>
      <c r="E871" s="67">
        <f t="shared" si="85"/>
        <v>0.12301582576830289</v>
      </c>
      <c r="F871" s="70">
        <f t="shared" si="89"/>
        <v>7.4695209406513514E-3</v>
      </c>
      <c r="G871" s="67">
        <f>E871/'Lookup Tables'!$C$48</f>
        <v>0.24603165153660578</v>
      </c>
      <c r="H871" s="70">
        <f t="shared" si="86"/>
        <v>3.1166459279879596E-5</v>
      </c>
      <c r="I871" s="71">
        <f t="shared" si="90"/>
        <v>3.5428557821271233E-4</v>
      </c>
      <c r="L871" s="74"/>
      <c r="M871" s="74"/>
      <c r="N871" s="74"/>
      <c r="O871" s="74"/>
      <c r="P871" s="74"/>
      <c r="Q871" s="74"/>
      <c r="R871" s="74"/>
      <c r="S871" s="74"/>
      <c r="T871" s="74"/>
      <c r="U871" s="74"/>
      <c r="V871" s="74"/>
      <c r="W871" s="74"/>
      <c r="X871" s="74"/>
      <c r="Y871" s="74"/>
    </row>
    <row r="872" spans="1:25" x14ac:dyDescent="0.3">
      <c r="A872" s="66">
        <f t="shared" si="88"/>
        <v>2076.4999999999213</v>
      </c>
      <c r="B872" s="67">
        <f>LOOKUP(A872+0.01,AmountsB!$A$4:$A$103,AmountsB!$B$4:$B$103)*0.1*$A$2</f>
        <v>0</v>
      </c>
      <c r="C872" s="68">
        <f t="shared" si="87"/>
        <v>2074573.74105891</v>
      </c>
      <c r="D872" s="67">
        <f t="array" ref="D872">SUM($B$7:$B867*$F$1009*EXP(-$F$1009*($A872-$A$7:$A867)))*$F$1010</f>
        <v>63630.328342435438</v>
      </c>
      <c r="E872" s="67">
        <f t="shared" si="85"/>
        <v>0.12130560369559311</v>
      </c>
      <c r="F872" s="70">
        <f t="shared" si="89"/>
        <v>7.3656762563964143E-3</v>
      </c>
      <c r="G872" s="67">
        <f>E872/'Lookup Tables'!$C$48</f>
        <v>0.24261120739118622</v>
      </c>
      <c r="H872" s="70">
        <f t="shared" si="86"/>
        <v>3.0733168959258143E-5</v>
      </c>
      <c r="I872" s="71">
        <f t="shared" si="90"/>
        <v>3.4936013864330815E-4</v>
      </c>
      <c r="L872" s="74"/>
      <c r="M872" s="74"/>
      <c r="N872" s="74"/>
      <c r="O872" s="74"/>
      <c r="P872" s="74"/>
      <c r="Q872" s="74"/>
      <c r="R872" s="74"/>
      <c r="S872" s="74"/>
      <c r="T872" s="74"/>
      <c r="U872" s="74"/>
      <c r="V872" s="74"/>
      <c r="W872" s="74"/>
      <c r="X872" s="74"/>
      <c r="Y872" s="74"/>
    </row>
    <row r="873" spans="1:25" x14ac:dyDescent="0.3">
      <c r="A873" s="66">
        <f t="shared" si="88"/>
        <v>2076.5999999999212</v>
      </c>
      <c r="B873" s="67">
        <f>LOOKUP(A873+0.01,AmountsB!$A$4:$A$103,AmountsB!$B$4:$B$103)*0.1*$A$2</f>
        <v>0</v>
      </c>
      <c r="C873" s="68">
        <f t="shared" si="87"/>
        <v>2074573.74105891</v>
      </c>
      <c r="D873" s="67">
        <f t="array" ref="D873">SUM($B$7:$B868*$F$1009*EXP(-$F$1009*($A873-$A$7:$A868)))*$F$1010</f>
        <v>62745.71051911595</v>
      </c>
      <c r="E873" s="67">
        <f t="shared" si="85"/>
        <v>0.1196191579095498</v>
      </c>
      <c r="F873" s="70">
        <f t="shared" si="89"/>
        <v>7.2632752682678641E-3</v>
      </c>
      <c r="G873" s="67">
        <f>E873/'Lookup Tables'!$C$48</f>
        <v>0.2392383158190996</v>
      </c>
      <c r="H873" s="70">
        <f t="shared" si="86"/>
        <v>3.0305902438140449E-5</v>
      </c>
      <c r="I873" s="71">
        <f t="shared" si="90"/>
        <v>3.4450317477950339E-4</v>
      </c>
      <c r="L873" s="74"/>
      <c r="M873" s="74"/>
      <c r="N873" s="74"/>
      <c r="O873" s="74"/>
      <c r="P873" s="74"/>
      <c r="Q873" s="74"/>
      <c r="R873" s="74"/>
      <c r="S873" s="74"/>
      <c r="T873" s="74"/>
      <c r="U873" s="74"/>
      <c r="V873" s="74"/>
      <c r="W873" s="74"/>
      <c r="X873" s="74"/>
      <c r="Y873" s="74"/>
    </row>
    <row r="874" spans="1:25" x14ac:dyDescent="0.3">
      <c r="A874" s="66">
        <f t="shared" si="88"/>
        <v>2076.6999999999211</v>
      </c>
      <c r="B874" s="67">
        <f>LOOKUP(A874+0.01,AmountsB!$A$4:$A$103,AmountsB!$B$4:$B$103)*0.1*$A$2</f>
        <v>0</v>
      </c>
      <c r="C874" s="68">
        <f t="shared" si="87"/>
        <v>2074573.74105891</v>
      </c>
      <c r="D874" s="67">
        <f t="array" ref="D874">SUM($B$7:$B869*$F$1009*EXP(-$F$1009*($A874-$A$7:$A869)))*$F$1010</f>
        <v>61873.391055929453</v>
      </c>
      <c r="E874" s="67">
        <f t="shared" si="85"/>
        <v>0.11795615786140007</v>
      </c>
      <c r="F874" s="70">
        <f t="shared" si="89"/>
        <v>7.1622979053442126E-3</v>
      </c>
      <c r="G874" s="67">
        <f>E874/'Lookup Tables'!$C$48</f>
        <v>0.23591231572280014</v>
      </c>
      <c r="H874" s="70">
        <f t="shared" si="86"/>
        <v>2.9884575970920555E-5</v>
      </c>
      <c r="I874" s="71">
        <f t="shared" si="90"/>
        <v>3.3971373464083217E-4</v>
      </c>
      <c r="L874" s="74"/>
      <c r="M874" s="74"/>
      <c r="N874" s="74"/>
      <c r="O874" s="74"/>
      <c r="P874" s="74"/>
      <c r="Q874" s="74"/>
      <c r="R874" s="74"/>
      <c r="S874" s="74"/>
      <c r="T874" s="74"/>
      <c r="U874" s="74"/>
      <c r="V874" s="74"/>
      <c r="W874" s="74"/>
      <c r="X874" s="74"/>
      <c r="Y874" s="74"/>
    </row>
    <row r="875" spans="1:25" x14ac:dyDescent="0.3">
      <c r="A875" s="66">
        <f t="shared" si="88"/>
        <v>2076.7999999999211</v>
      </c>
      <c r="B875" s="67">
        <f>LOOKUP(A875+0.01,AmountsB!$A$4:$A$103,AmountsB!$B$4:$B$103)*0.1*$A$2</f>
        <v>0</v>
      </c>
      <c r="C875" s="68">
        <f t="shared" si="87"/>
        <v>2074573.74105891</v>
      </c>
      <c r="D875" s="67">
        <f t="array" ref="D875">SUM($B$7:$B870*$F$1009*EXP(-$F$1009*($A875-$A$7:$A870)))*$F$1010</f>
        <v>61013.19897546852</v>
      </c>
      <c r="E875" s="67">
        <f t="shared" si="85"/>
        <v>0.11631627759781053</v>
      </c>
      <c r="F875" s="70">
        <f t="shared" si="89"/>
        <v>7.0627243757390556E-3</v>
      </c>
      <c r="G875" s="67">
        <f>E875/'Lookup Tables'!$C$48</f>
        <v>0.23263255519562107</v>
      </c>
      <c r="H875" s="70">
        <f t="shared" si="86"/>
        <v>2.9469106976262066E-5</v>
      </c>
      <c r="I875" s="71">
        <f t="shared" si="90"/>
        <v>3.349908794816943E-4</v>
      </c>
      <c r="L875" s="74"/>
      <c r="M875" s="74"/>
      <c r="N875" s="74"/>
      <c r="O875" s="74"/>
      <c r="P875" s="74"/>
      <c r="Q875" s="74"/>
      <c r="R875" s="74"/>
      <c r="S875" s="74"/>
      <c r="T875" s="74"/>
      <c r="U875" s="74"/>
      <c r="V875" s="74"/>
      <c r="W875" s="74"/>
      <c r="X875" s="74"/>
      <c r="Y875" s="74"/>
    </row>
    <row r="876" spans="1:25" x14ac:dyDescent="0.3">
      <c r="A876" s="66">
        <f t="shared" si="88"/>
        <v>2076.899999999921</v>
      </c>
      <c r="B876" s="67">
        <f>LOOKUP(A876+0.01,AmountsB!$A$4:$A$103,AmountsB!$B$4:$B$103)*0.1*$A$2</f>
        <v>0</v>
      </c>
      <c r="C876" s="68">
        <f t="shared" si="87"/>
        <v>2074573.74105891</v>
      </c>
      <c r="D876" s="67">
        <f t="array" ref="D876">SUM($B$7:$B871*$F$1009*EXP(-$F$1009*($A876-$A$7:$A871)))*$F$1010</f>
        <v>60164.965677331638</v>
      </c>
      <c r="E876" s="67">
        <f t="shared" si="85"/>
        <v>0.11469919569699978</v>
      </c>
      <c r="F876" s="70">
        <f t="shared" si="89"/>
        <v>6.9645351627218273E-3</v>
      </c>
      <c r="G876" s="67">
        <f>E876/'Lookup Tables'!$C$48</f>
        <v>0.22939839139399956</v>
      </c>
      <c r="H876" s="70">
        <f t="shared" si="86"/>
        <v>2.9059414020911969E-5</v>
      </c>
      <c r="I876" s="71">
        <f t="shared" si="90"/>
        <v>3.303336836073594E-4</v>
      </c>
      <c r="L876" s="74"/>
      <c r="M876" s="74"/>
      <c r="N876" s="74"/>
      <c r="O876" s="74"/>
      <c r="P876" s="74"/>
      <c r="Q876" s="74"/>
      <c r="R876" s="74"/>
      <c r="S876" s="74"/>
      <c r="T876" s="74"/>
      <c r="U876" s="74"/>
      <c r="V876" s="74"/>
      <c r="W876" s="74"/>
      <c r="X876" s="74"/>
      <c r="Y876" s="74"/>
    </row>
    <row r="877" spans="1:25" x14ac:dyDescent="0.3">
      <c r="A877" s="66">
        <f t="shared" si="88"/>
        <v>2076.9999999999209</v>
      </c>
      <c r="B877" s="67">
        <f>LOOKUP(A877+0.01,AmountsB!$A$4:$A$103,AmountsB!$B$4:$B$103)*0.1*$A$2</f>
        <v>0</v>
      </c>
      <c r="C877" s="68">
        <f t="shared" si="87"/>
        <v>2074573.74105891</v>
      </c>
      <c r="D877" s="67">
        <f t="array" ref="D877">SUM($B$7:$B872*$F$1009*EXP(-$F$1009*($A877-$A$7:$A872)))*$F$1010</f>
        <v>59328.524905076862</v>
      </c>
      <c r="E877" s="67">
        <f t="shared" si="85"/>
        <v>0.11310459520573833</v>
      </c>
      <c r="F877" s="70">
        <f t="shared" si="89"/>
        <v>6.8677110208924313E-3</v>
      </c>
      <c r="G877" s="67">
        <f>E877/'Lookup Tables'!$C$48</f>
        <v>0.22620919041147666</v>
      </c>
      <c r="H877" s="70">
        <f t="shared" si="86"/>
        <v>2.865541680373943E-5</v>
      </c>
      <c r="I877" s="71">
        <f t="shared" si="90"/>
        <v>3.2574123419252643E-4</v>
      </c>
      <c r="L877" s="74"/>
      <c r="M877" s="74"/>
      <c r="N877" s="74"/>
      <c r="O877" s="74"/>
      <c r="P877" s="74"/>
      <c r="Q877" s="74"/>
      <c r="R877" s="74"/>
      <c r="S877" s="74"/>
      <c r="T877" s="74"/>
      <c r="U877" s="74"/>
      <c r="V877" s="74"/>
      <c r="W877" s="74"/>
      <c r="X877" s="74"/>
      <c r="Y877" s="74"/>
    </row>
    <row r="878" spans="1:25" x14ac:dyDescent="0.3">
      <c r="A878" s="66">
        <f t="shared" si="88"/>
        <v>2077.0999999999208</v>
      </c>
      <c r="B878" s="67">
        <f>LOOKUP(A878+0.01,AmountsB!$A$4:$A$103,AmountsB!$B$4:$B$103)*0.1*$A$2</f>
        <v>0</v>
      </c>
      <c r="C878" s="68">
        <f t="shared" si="87"/>
        <v>2074573.74105891</v>
      </c>
      <c r="D878" s="67">
        <f t="array" ref="D878">SUM($B$7:$B873*$F$1009*EXP(-$F$1009*($A878-$A$7:$A873)))*$F$1010</f>
        <v>58503.71271363509</v>
      </c>
      <c r="E878" s="67">
        <f t="shared" si="85"/>
        <v>0.11153216357722508</v>
      </c>
      <c r="F878" s="70">
        <f t="shared" si="89"/>
        <v>6.7722329724091068E-3</v>
      </c>
      <c r="G878" s="67">
        <f>E878/'Lookup Tables'!$C$48</f>
        <v>0.22306432715445015</v>
      </c>
      <c r="H878" s="70">
        <f t="shared" si="86"/>
        <v>2.8257036139996568E-5</v>
      </c>
      <c r="I878" s="71">
        <f t="shared" si="90"/>
        <v>3.2121263110240826E-4</v>
      </c>
      <c r="L878" s="74"/>
      <c r="M878" s="74"/>
      <c r="N878" s="74"/>
      <c r="O878" s="74"/>
      <c r="P878" s="74"/>
      <c r="Q878" s="74"/>
      <c r="R878" s="74"/>
      <c r="S878" s="74"/>
      <c r="T878" s="74"/>
      <c r="U878" s="74"/>
      <c r="V878" s="74"/>
      <c r="W878" s="74"/>
      <c r="X878" s="74"/>
      <c r="Y878" s="74"/>
    </row>
    <row r="879" spans="1:25" x14ac:dyDescent="0.3">
      <c r="A879" s="66">
        <f t="shared" si="88"/>
        <v>2077.1999999999207</v>
      </c>
      <c r="B879" s="67">
        <f>LOOKUP(A879+0.01,AmountsB!$A$4:$A$103,AmountsB!$B$4:$B$103)*0.1*$A$2</f>
        <v>0</v>
      </c>
      <c r="C879" s="68">
        <f t="shared" si="87"/>
        <v>2074573.74105891</v>
      </c>
      <c r="D879" s="67">
        <f t="array" ref="D879">SUM($B$7:$B874*$F$1009*EXP(-$F$1009*($A879-$A$7:$A874)))*$F$1010</f>
        <v>57690.367437176283</v>
      </c>
      <c r="E879" s="67">
        <f t="shared" si="85"/>
        <v>0.10998159260982689</v>
      </c>
      <c r="F879" s="70">
        <f t="shared" si="89"/>
        <v>6.6780823032686889E-3</v>
      </c>
      <c r="G879" s="67">
        <f>E879/'Lookup Tables'!$C$48</f>
        <v>0.21996318521965377</v>
      </c>
      <c r="H879" s="70">
        <f t="shared" si="86"/>
        <v>2.7864193945797911E-5</v>
      </c>
      <c r="I879" s="71">
        <f t="shared" si="90"/>
        <v>3.167469867163014E-4</v>
      </c>
      <c r="L879" s="74"/>
      <c r="M879" s="74"/>
      <c r="N879" s="74"/>
      <c r="O879" s="74"/>
      <c r="P879" s="74"/>
      <c r="Q879" s="74"/>
      <c r="R879" s="74"/>
      <c r="S879" s="74"/>
      <c r="T879" s="74"/>
      <c r="U879" s="74"/>
      <c r="V879" s="74"/>
      <c r="W879" s="74"/>
      <c r="X879" s="74"/>
      <c r="Y879" s="74"/>
    </row>
    <row r="880" spans="1:25" x14ac:dyDescent="0.3">
      <c r="A880" s="66">
        <f t="shared" si="88"/>
        <v>2077.2999999999206</v>
      </c>
      <c r="B880" s="67">
        <f>LOOKUP(A880+0.01,AmountsB!$A$4:$A$103,AmountsB!$B$4:$B$103)*0.1*$A$2</f>
        <v>0</v>
      </c>
      <c r="C880" s="68">
        <f t="shared" si="87"/>
        <v>2074573.74105891</v>
      </c>
      <c r="D880" s="67">
        <f t="array" ref="D880">SUM($B$7:$B875*$F$1009*EXP(-$F$1009*($A880-$A$7:$A875)))*$F$1010</f>
        <v>56888.329657422422</v>
      </c>
      <c r="E880" s="67">
        <f t="shared" si="85"/>
        <v>0.10845257838667018</v>
      </c>
      <c r="F880" s="70">
        <f t="shared" si="89"/>
        <v>6.5852405596386132E-3</v>
      </c>
      <c r="G880" s="67">
        <f>E880/'Lookup Tables'!$C$48</f>
        <v>0.21690515677334035</v>
      </c>
      <c r="H880" s="70">
        <f t="shared" si="86"/>
        <v>2.7476813222815771E-5</v>
      </c>
      <c r="I880" s="71">
        <f t="shared" si="90"/>
        <v>3.1234342575361013E-4</v>
      </c>
      <c r="L880" s="74"/>
      <c r="M880" s="74"/>
      <c r="N880" s="74"/>
      <c r="O880" s="74"/>
      <c r="P880" s="74"/>
      <c r="Q880" s="74"/>
      <c r="R880" s="74"/>
      <c r="S880" s="74"/>
      <c r="T880" s="74"/>
      <c r="U880" s="74"/>
      <c r="V880" s="74"/>
      <c r="W880" s="74"/>
      <c r="X880" s="74"/>
      <c r="Y880" s="74"/>
    </row>
    <row r="881" spans="1:25" x14ac:dyDescent="0.3">
      <c r="A881" s="66">
        <f t="shared" si="88"/>
        <v>2077.3999999999205</v>
      </c>
      <c r="B881" s="67">
        <f>LOOKUP(A881+0.01,AmountsB!$A$4:$A$103,AmountsB!$B$4:$B$103)*0.1*$A$2</f>
        <v>0</v>
      </c>
      <c r="C881" s="68">
        <f t="shared" si="87"/>
        <v>2074573.74105891</v>
      </c>
      <c r="D881" s="67">
        <f t="array" ref="D881">SUM($B$7:$B876*$F$1009*EXP(-$F$1009*($A881-$A$7:$A876)))*$F$1010</f>
        <v>56097.442172401097</v>
      </c>
      <c r="E881" s="67">
        <f t="shared" si="85"/>
        <v>0.10694482121607235</v>
      </c>
      <c r="F881" s="70">
        <f t="shared" si="89"/>
        <v>6.4936895442399131E-3</v>
      </c>
      <c r="G881" s="67">
        <f>E881/'Lookup Tables'!$C$48</f>
        <v>0.2138896424321447</v>
      </c>
      <c r="H881" s="70">
        <f t="shared" si="86"/>
        <v>2.7094818043188305E-5</v>
      </c>
      <c r="I881" s="71">
        <f t="shared" si="90"/>
        <v>3.0800108510228836E-4</v>
      </c>
      <c r="L881" s="74"/>
      <c r="M881" s="74"/>
      <c r="N881" s="74"/>
      <c r="O881" s="74"/>
      <c r="P881" s="74"/>
      <c r="Q881" s="74"/>
      <c r="R881" s="74"/>
      <c r="S881" s="74"/>
      <c r="T881" s="74"/>
      <c r="U881" s="74"/>
      <c r="V881" s="74"/>
      <c r="W881" s="74"/>
      <c r="X881" s="74"/>
      <c r="Y881" s="74"/>
    </row>
    <row r="882" spans="1:25" x14ac:dyDescent="0.3">
      <c r="A882" s="66">
        <f t="shared" si="88"/>
        <v>2077.4999999999204</v>
      </c>
      <c r="B882" s="67">
        <f>LOOKUP(A882+0.01,AmountsB!$A$4:$A$103,AmountsB!$B$4:$B$103)*0.1*$A$2</f>
        <v>0</v>
      </c>
      <c r="C882" s="68">
        <f t="shared" si="87"/>
        <v>2074573.74105891</v>
      </c>
      <c r="D882" s="67">
        <f t="array" ref="D882">SUM($B$7:$B877*$F$1009*EXP(-$F$1009*($A882-$A$7:$A877)))*$F$1010</f>
        <v>55317.549965633327</v>
      </c>
      <c r="E882" s="67">
        <f t="shared" si="85"/>
        <v>0.1054580255728011</v>
      </c>
      <c r="F882" s="70">
        <f t="shared" si="89"/>
        <v>6.4034113127804833E-3</v>
      </c>
      <c r="G882" s="67">
        <f>E882/'Lookup Tables'!$C$48</f>
        <v>0.21091605114560219</v>
      </c>
      <c r="H882" s="70">
        <f t="shared" si="86"/>
        <v>2.6718133534637413E-5</v>
      </c>
      <c r="I882" s="71">
        <f t="shared" si="90"/>
        <v>3.0371911364966719E-4</v>
      </c>
      <c r="L882" s="74"/>
      <c r="M882" s="74"/>
      <c r="N882" s="74"/>
      <c r="O882" s="74"/>
      <c r="P882" s="74"/>
      <c r="Q882" s="74"/>
      <c r="R882" s="74"/>
      <c r="S882" s="74"/>
      <c r="T882" s="74"/>
      <c r="U882" s="74"/>
      <c r="V882" s="74"/>
      <c r="W882" s="74"/>
      <c r="X882" s="74"/>
      <c r="Y882" s="74"/>
    </row>
    <row r="883" spans="1:25" x14ac:dyDescent="0.3">
      <c r="A883" s="66">
        <f t="shared" si="88"/>
        <v>2077.5999999999203</v>
      </c>
      <c r="B883" s="67">
        <f>LOOKUP(A883+0.01,AmountsB!$A$4:$A$103,AmountsB!$B$4:$B$103)*0.1*$A$2</f>
        <v>0</v>
      </c>
      <c r="C883" s="68">
        <f t="shared" si="87"/>
        <v>2074573.74105891</v>
      </c>
      <c r="D883" s="67">
        <f t="array" ref="D883">SUM($B$7:$B878*$F$1009*EXP(-$F$1009*($A883-$A$7:$A878)))*$F$1010</f>
        <v>54548.50017574989</v>
      </c>
      <c r="E883" s="67">
        <f t="shared" si="85"/>
        <v>0.10399190004015059</v>
      </c>
      <c r="F883" s="70">
        <f t="shared" si="89"/>
        <v>6.3143881704379439E-3</v>
      </c>
      <c r="G883" s="67">
        <f>E883/'Lookup Tables'!$C$48</f>
        <v>0.20798380008030118</v>
      </c>
      <c r="H883" s="70">
        <f t="shared" si="86"/>
        <v>2.6346685865793509E-5</v>
      </c>
      <c r="I883" s="71">
        <f t="shared" si="90"/>
        <v>2.9949667211563372E-4</v>
      </c>
      <c r="L883" s="74"/>
      <c r="M883" s="74"/>
      <c r="N883" s="74"/>
      <c r="O883" s="74"/>
      <c r="P883" s="74"/>
      <c r="Q883" s="74"/>
      <c r="R883" s="74"/>
      <c r="S883" s="74"/>
      <c r="T883" s="74"/>
      <c r="U883" s="74"/>
      <c r="V883" s="74"/>
      <c r="W883" s="74"/>
      <c r="X883" s="74"/>
      <c r="Y883" s="74"/>
    </row>
    <row r="884" spans="1:25" x14ac:dyDescent="0.3">
      <c r="A884" s="66">
        <f t="shared" si="88"/>
        <v>2077.6999999999202</v>
      </c>
      <c r="B884" s="67">
        <f>LOOKUP(A884+0.01,AmountsB!$A$4:$A$103,AmountsB!$B$4:$B$103)*0.1*$A$2</f>
        <v>0</v>
      </c>
      <c r="C884" s="68">
        <f t="shared" si="87"/>
        <v>2074573.74105891</v>
      </c>
      <c r="D884" s="67">
        <f t="array" ref="D884">SUM($B$7:$B879*$F$1009*EXP(-$F$1009*($A884-$A$7:$A879)))*$F$1010</f>
        <v>53790.142066529937</v>
      </c>
      <c r="E884" s="67">
        <f t="shared" si="85"/>
        <v>0.1025461572528228</v>
      </c>
      <c r="F884" s="70">
        <f t="shared" si="89"/>
        <v>6.2266026683914007E-3</v>
      </c>
      <c r="G884" s="67">
        <f>E884/'Lookup Tables'!$C$48</f>
        <v>0.20509231450564561</v>
      </c>
      <c r="H884" s="70">
        <f t="shared" si="86"/>
        <v>2.598040223172436E-5</v>
      </c>
      <c r="I884" s="71">
        <f t="shared" si="90"/>
        <v>2.9533293288812969E-4</v>
      </c>
      <c r="L884" s="74"/>
      <c r="M884" s="74"/>
      <c r="N884" s="74"/>
      <c r="O884" s="74"/>
      <c r="P884" s="74"/>
      <c r="Q884" s="74"/>
      <c r="R884" s="74"/>
      <c r="S884" s="74"/>
      <c r="T884" s="74"/>
      <c r="U884" s="74"/>
      <c r="V884" s="74"/>
      <c r="W884" s="74"/>
      <c r="X884" s="74"/>
      <c r="Y884" s="74"/>
    </row>
    <row r="885" spans="1:25" x14ac:dyDescent="0.3">
      <c r="A885" s="66">
        <f t="shared" si="88"/>
        <v>2077.7999999999201</v>
      </c>
      <c r="B885" s="67">
        <f>LOOKUP(A885+0.01,AmountsB!$A$4:$A$103,AmountsB!$B$4:$B$103)*0.1*$A$2</f>
        <v>0</v>
      </c>
      <c r="C885" s="68">
        <f t="shared" si="87"/>
        <v>2074573.74105891</v>
      </c>
      <c r="D885" s="67">
        <f t="array" ref="D885">SUM($B$7:$B880*$F$1009*EXP(-$F$1009*($A885-$A$7:$A880)))*$F$1010</f>
        <v>53042.326997356307</v>
      </c>
      <c r="E885" s="67">
        <f t="shared" si="85"/>
        <v>0.10112051384060311</v>
      </c>
      <c r="F885" s="70">
        <f t="shared" si="89"/>
        <v>6.1400376004014214E-3</v>
      </c>
      <c r="G885" s="67">
        <f>E885/'Lookup Tables'!$C$48</f>
        <v>0.20224102768120622</v>
      </c>
      <c r="H885" s="70">
        <f t="shared" si="86"/>
        <v>2.5619210839665093E-5</v>
      </c>
      <c r="I885" s="71">
        <f t="shared" si="90"/>
        <v>2.9122707986093695E-4</v>
      </c>
      <c r="L885" s="74"/>
      <c r="M885" s="74"/>
      <c r="N885" s="74"/>
      <c r="O885" s="74"/>
      <c r="P885" s="74"/>
      <c r="Q885" s="74"/>
      <c r="R885" s="74"/>
      <c r="S885" s="74"/>
      <c r="T885" s="74"/>
      <c r="U885" s="74"/>
      <c r="V885" s="74"/>
      <c r="W885" s="74"/>
      <c r="X885" s="74"/>
      <c r="Y885" s="74"/>
    </row>
    <row r="886" spans="1:25" x14ac:dyDescent="0.3">
      <c r="A886" s="66">
        <f t="shared" si="88"/>
        <v>2077.8999999999201</v>
      </c>
      <c r="B886" s="67">
        <f>LOOKUP(A886+0.01,AmountsB!$A$4:$A$103,AmountsB!$B$4:$B$103)*0.1*$A$2</f>
        <v>0</v>
      </c>
      <c r="C886" s="68">
        <f t="shared" si="87"/>
        <v>2074573.74105891</v>
      </c>
      <c r="D886" s="67">
        <f t="array" ref="D886">SUM($B$7:$B881*$F$1009*EXP(-$F$1009*($A886-$A$7:$A881)))*$F$1010</f>
        <v>52304.908394081431</v>
      </c>
      <c r="E886" s="67">
        <f t="shared" si="85"/>
        <v>9.9714690372818757E-2</v>
      </c>
      <c r="F886" s="70">
        <f t="shared" si="89"/>
        <v>6.0546759994375551E-3</v>
      </c>
      <c r="G886" s="67">
        <f>E886/'Lookup Tables'!$C$48</f>
        <v>0.19942938074563751</v>
      </c>
      <c r="H886" s="70">
        <f t="shared" si="86"/>
        <v>2.526304089494657E-5</v>
      </c>
      <c r="I886" s="71">
        <f t="shared" si="90"/>
        <v>2.8717830827371804E-4</v>
      </c>
      <c r="L886" s="74"/>
      <c r="M886" s="74"/>
      <c r="N886" s="74"/>
      <c r="O886" s="74"/>
      <c r="P886" s="74"/>
      <c r="Q886" s="74"/>
      <c r="R886" s="74"/>
      <c r="S886" s="74"/>
      <c r="T886" s="74"/>
      <c r="U886" s="74"/>
      <c r="V886" s="74"/>
      <c r="W886" s="74"/>
      <c r="X886" s="74"/>
      <c r="Y886" s="74"/>
    </row>
    <row r="887" spans="1:25" x14ac:dyDescent="0.3">
      <c r="A887" s="66">
        <f t="shared" si="88"/>
        <v>2077.99999999992</v>
      </c>
      <c r="B887" s="67">
        <f>LOOKUP(A887+0.01,AmountsB!$A$4:$A$103,AmountsB!$B$4:$B$103)*0.1*$A$2</f>
        <v>0</v>
      </c>
      <c r="C887" s="68">
        <f t="shared" si="87"/>
        <v>2074573.74105891</v>
      </c>
      <c r="D887" s="67">
        <f t="array" ref="D887">SUM($B$7:$B882*$F$1009*EXP(-$F$1009*($A887-$A$7:$A882)))*$F$1010</f>
        <v>51577.741720298305</v>
      </c>
      <c r="E887" s="67">
        <f t="shared" si="85"/>
        <v>9.8328411303569452E-2</v>
      </c>
      <c r="F887" s="70">
        <f t="shared" si="89"/>
        <v>5.9705011343527377E-3</v>
      </c>
      <c r="G887" s="67">
        <f>E887/'Lookup Tables'!$C$48</f>
        <v>0.1966568226071389</v>
      </c>
      <c r="H887" s="70">
        <f t="shared" si="86"/>
        <v>2.4911822587119377E-5</v>
      </c>
      <c r="I887" s="71">
        <f t="shared" si="90"/>
        <v>2.8318582455428003E-4</v>
      </c>
      <c r="L887" s="74"/>
      <c r="M887" s="74"/>
      <c r="N887" s="74"/>
      <c r="O887" s="74"/>
      <c r="P887" s="74"/>
      <c r="Q887" s="74"/>
      <c r="R887" s="74"/>
      <c r="S887" s="74"/>
      <c r="T887" s="74"/>
      <c r="U887" s="74"/>
      <c r="V887" s="74"/>
      <c r="W887" s="74"/>
      <c r="X887" s="74"/>
      <c r="Y887" s="74"/>
    </row>
    <row r="888" spans="1:25" x14ac:dyDescent="0.3">
      <c r="A888" s="66">
        <f t="shared" si="88"/>
        <v>2078.0999999999199</v>
      </c>
      <c r="B888" s="67">
        <f>LOOKUP(A888+0.01,AmountsB!$A$4:$A$103,AmountsB!$B$4:$B$103)*0.1*$A$2</f>
        <v>0</v>
      </c>
      <c r="C888" s="68">
        <f t="shared" si="87"/>
        <v>2074573.74105891</v>
      </c>
      <c r="D888" s="67">
        <f t="array" ref="D888">SUM($B$7:$B883*$F$1009*EXP(-$F$1009*($A888-$A$7:$A883)))*$F$1010</f>
        <v>50860.68444901098</v>
      </c>
      <c r="E888" s="67">
        <f t="shared" si="85"/>
        <v>9.6961404917719735E-2</v>
      </c>
      <c r="F888" s="70">
        <f t="shared" si="89"/>
        <v>5.8874965066039418E-3</v>
      </c>
      <c r="G888" s="67">
        <f>E888/'Lookup Tables'!$C$48</f>
        <v>0.19392280983543947</v>
      </c>
      <c r="H888" s="70">
        <f t="shared" si="86"/>
        <v>2.4565487076270833E-5</v>
      </c>
      <c r="I888" s="71">
        <f t="shared" si="90"/>
        <v>2.7924884616303288E-4</v>
      </c>
      <c r="L888" s="74"/>
      <c r="M888" s="74"/>
      <c r="N888" s="74"/>
      <c r="O888" s="74"/>
      <c r="P888" s="74"/>
      <c r="Q888" s="74"/>
      <c r="R888" s="74"/>
      <c r="S888" s="74"/>
      <c r="T888" s="74"/>
      <c r="U888" s="74"/>
      <c r="V888" s="74"/>
      <c r="W888" s="74"/>
      <c r="X888" s="74"/>
      <c r="Y888" s="74"/>
    </row>
    <row r="889" spans="1:25" x14ac:dyDescent="0.3">
      <c r="A889" s="66">
        <f t="shared" si="88"/>
        <v>2078.1999999999198</v>
      </c>
      <c r="B889" s="67">
        <f>LOOKUP(A889+0.01,AmountsB!$A$4:$A$103,AmountsB!$B$4:$B$103)*0.1*$A$2</f>
        <v>0</v>
      </c>
      <c r="C889" s="68">
        <f t="shared" si="87"/>
        <v>2074573.74105891</v>
      </c>
      <c r="D889" s="67">
        <f t="array" ref="D889">SUM($B$7:$B884*$F$1009*EXP(-$F$1009*($A889-$A$7:$A884)))*$F$1010</f>
        <v>50153.596034698676</v>
      </c>
      <c r="E889" s="67">
        <f t="shared" si="85"/>
        <v>9.561340327764159E-2</v>
      </c>
      <c r="F889" s="70">
        <f t="shared" si="89"/>
        <v>5.8056458470183972E-3</v>
      </c>
      <c r="G889" s="67">
        <f>E889/'Lookup Tables'!$C$48</f>
        <v>0.19122680655528318</v>
      </c>
      <c r="H889" s="70">
        <f t="shared" si="86"/>
        <v>2.4223966479532034E-5</v>
      </c>
      <c r="I889" s="71">
        <f t="shared" si="90"/>
        <v>2.7536660143960773E-4</v>
      </c>
      <c r="L889" s="74"/>
      <c r="M889" s="74"/>
      <c r="N889" s="74"/>
      <c r="O889" s="74"/>
      <c r="P889" s="74"/>
      <c r="Q889" s="74"/>
      <c r="R889" s="74"/>
      <c r="S889" s="74"/>
      <c r="T889" s="74"/>
      <c r="U889" s="74"/>
      <c r="V889" s="74"/>
      <c r="W889" s="74"/>
      <c r="X889" s="74"/>
      <c r="Y889" s="74"/>
    </row>
    <row r="890" spans="1:25" x14ac:dyDescent="0.3">
      <c r="A890" s="66">
        <f t="shared" si="88"/>
        <v>2078.2999999999197</v>
      </c>
      <c r="B890" s="67">
        <f>LOOKUP(A890+0.01,AmountsB!$A$4:$A$103,AmountsB!$B$4:$B$103)*0.1*$A$2</f>
        <v>0</v>
      </c>
      <c r="C890" s="68">
        <f t="shared" si="87"/>
        <v>2074573.74105891</v>
      </c>
      <c r="D890" s="67">
        <f t="array" ref="D890">SUM($B$7:$B885*$F$1009*EXP(-$F$1009*($A890-$A$7:$A885)))*$F$1010</f>
        <v>49456.337885768611</v>
      </c>
      <c r="E890" s="67">
        <f t="shared" si="85"/>
        <v>9.4284142170698262E-2</v>
      </c>
      <c r="F890" s="70">
        <f t="shared" si="89"/>
        <v>5.7249331126047985E-3</v>
      </c>
      <c r="G890" s="67">
        <f>E890/'Lookup Tables'!$C$48</f>
        <v>0.18856828434139652</v>
      </c>
      <c r="H890" s="70">
        <f t="shared" si="86"/>
        <v>2.3887193857772737E-5</v>
      </c>
      <c r="I890" s="71">
        <f t="shared" si="90"/>
        <v>2.71538329451611E-4</v>
      </c>
      <c r="L890" s="74"/>
      <c r="M890" s="74"/>
      <c r="N890" s="74"/>
      <c r="O890" s="74"/>
      <c r="P890" s="74"/>
      <c r="Q890" s="74"/>
      <c r="R890" s="74"/>
      <c r="S890" s="74"/>
      <c r="T890" s="74"/>
      <c r="U890" s="74"/>
      <c r="V890" s="74"/>
      <c r="W890" s="74"/>
      <c r="X890" s="74"/>
      <c r="Y890" s="74"/>
    </row>
    <row r="891" spans="1:25" x14ac:dyDescent="0.3">
      <c r="A891" s="66">
        <f t="shared" si="88"/>
        <v>2078.3999999999196</v>
      </c>
      <c r="B891" s="67">
        <f>LOOKUP(A891+0.01,AmountsB!$A$4:$A$103,AmountsB!$B$4:$B$103)*0.1*$A$2</f>
        <v>0</v>
      </c>
      <c r="C891" s="68">
        <f t="shared" si="87"/>
        <v>2074573.74105891</v>
      </c>
      <c r="D891" s="67">
        <f t="array" ref="D891">SUM($B$7:$B886*$F$1009*EXP(-$F$1009*($A891-$A$7:$A886)))*$F$1010</f>
        <v>48768.773337391387</v>
      </c>
      <c r="E891" s="67">
        <f t="shared" si="85"/>
        <v>9.2973361057457279E-2</v>
      </c>
      <c r="F891" s="70">
        <f t="shared" si="89"/>
        <v>5.6453424834088063E-3</v>
      </c>
      <c r="G891" s="67">
        <f>E891/'Lookup Tables'!$C$48</f>
        <v>0.18594672211491456</v>
      </c>
      <c r="H891" s="70">
        <f t="shared" si="86"/>
        <v>2.3555103202480914E-5</v>
      </c>
      <c r="I891" s="71">
        <f t="shared" si="90"/>
        <v>2.67763279845477E-4</v>
      </c>
      <c r="L891" s="74"/>
      <c r="M891" s="74"/>
      <c r="N891" s="74"/>
      <c r="O891" s="74"/>
      <c r="P891" s="74"/>
      <c r="Q891" s="74"/>
      <c r="R891" s="74"/>
      <c r="S891" s="74"/>
      <c r="T891" s="74"/>
      <c r="U891" s="74"/>
      <c r="V891" s="74"/>
      <c r="W891" s="74"/>
      <c r="X891" s="74"/>
      <c r="Y891" s="74"/>
    </row>
    <row r="892" spans="1:25" x14ac:dyDescent="0.3">
      <c r="A892" s="66">
        <f t="shared" si="88"/>
        <v>2078.4999999999195</v>
      </c>
      <c r="B892" s="67">
        <f>LOOKUP(A892+0.01,AmountsB!$A$4:$A$103,AmountsB!$B$4:$B$103)*0.1*$A$2</f>
        <v>0</v>
      </c>
      <c r="C892" s="68">
        <f t="shared" si="87"/>
        <v>2074573.74105891</v>
      </c>
      <c r="D892" s="67">
        <f t="array" ref="D892">SUM($B$7:$B887*$F$1009*EXP(-$F$1009*($A892-$A$7:$A887)))*$F$1010</f>
        <v>48090.76762471439</v>
      </c>
      <c r="E892" s="67">
        <f t="shared" si="85"/>
        <v>9.1680803020624174E-2</v>
      </c>
      <c r="F892" s="70">
        <f t="shared" si="89"/>
        <v>5.5668583594123003E-3</v>
      </c>
      <c r="G892" s="67">
        <f>E892/'Lookup Tables'!$C$48</f>
        <v>0.18336160604124835</v>
      </c>
      <c r="H892" s="70">
        <f t="shared" si="86"/>
        <v>2.3227629422824994E-5</v>
      </c>
      <c r="I892" s="71">
        <f t="shared" si="90"/>
        <v>2.640407126993976E-4</v>
      </c>
      <c r="L892" s="74"/>
      <c r="M892" s="74"/>
      <c r="N892" s="74"/>
      <c r="O892" s="74"/>
      <c r="P892" s="74"/>
      <c r="Q892" s="74"/>
      <c r="R892" s="74"/>
      <c r="S892" s="74"/>
      <c r="T892" s="74"/>
      <c r="U892" s="74"/>
      <c r="V892" s="74"/>
      <c r="W892" s="74"/>
      <c r="X892" s="74"/>
      <c r="Y892" s="74"/>
    </row>
    <row r="893" spans="1:25" x14ac:dyDescent="0.3">
      <c r="A893" s="66">
        <f t="shared" si="88"/>
        <v>2078.5999999999194</v>
      </c>
      <c r="B893" s="67">
        <f>LOOKUP(A893+0.01,AmountsB!$A$4:$A$103,AmountsB!$B$4:$B$103)*0.1*$A$2</f>
        <v>0</v>
      </c>
      <c r="C893" s="68">
        <f t="shared" si="87"/>
        <v>2074573.74105891</v>
      </c>
      <c r="D893" s="67">
        <f t="array" ref="D893">SUM($B$7:$B888*$F$1009*EXP(-$F$1009*($A893-$A$7:$A888)))*$F$1010</f>
        <v>47422.187856447417</v>
      </c>
      <c r="E893" s="67">
        <f t="shared" si="85"/>
        <v>9.0406214714685851E-2</v>
      </c>
      <c r="F893" s="70">
        <f t="shared" si="89"/>
        <v>5.489465357475725E-3</v>
      </c>
      <c r="G893" s="67">
        <f>E893/'Lookup Tables'!$C$48</f>
        <v>0.1808124294293717</v>
      </c>
      <c r="H893" s="70">
        <f t="shared" si="86"/>
        <v>2.2904708332895827E-5</v>
      </c>
      <c r="I893" s="71">
        <f t="shared" si="90"/>
        <v>2.6036989837829524E-4</v>
      </c>
      <c r="L893" s="74"/>
      <c r="M893" s="74"/>
      <c r="N893" s="74"/>
      <c r="O893" s="74"/>
      <c r="P893" s="74"/>
      <c r="Q893" s="74"/>
      <c r="R893" s="74"/>
      <c r="S893" s="74"/>
      <c r="T893" s="74"/>
      <c r="U893" s="74"/>
      <c r="V893" s="74"/>
      <c r="W893" s="74"/>
      <c r="X893" s="74"/>
      <c r="Y893" s="74"/>
    </row>
    <row r="894" spans="1:25" x14ac:dyDescent="0.3">
      <c r="A894" s="66">
        <f t="shared" si="88"/>
        <v>2078.6999999999193</v>
      </c>
      <c r="B894" s="67">
        <f>LOOKUP(A894+0.01,AmountsB!$A$4:$A$103,AmountsB!$B$4:$B$103)*0.1*$A$2</f>
        <v>0</v>
      </c>
      <c r="C894" s="68">
        <f t="shared" si="87"/>
        <v>2074573.74105891</v>
      </c>
      <c r="D894" s="67">
        <f t="array" ref="D894">SUM($B$7:$B889*$F$1009*EXP(-$F$1009*($A894-$A$7:$A889)))*$F$1010</f>
        <v>46762.902988815513</v>
      </c>
      <c r="E894" s="67">
        <f t="shared" si="85"/>
        <v>8.9149346316253875E-2</v>
      </c>
      <c r="F894" s="70">
        <f t="shared" si="89"/>
        <v>5.4131483083229362E-3</v>
      </c>
      <c r="G894" s="67">
        <f>E894/'Lookup Tables'!$C$48</f>
        <v>0.17829869263250775</v>
      </c>
      <c r="H894" s="70">
        <f t="shared" si="86"/>
        <v>2.2586276639125975E-5</v>
      </c>
      <c r="I894" s="71">
        <f t="shared" si="90"/>
        <v>2.5675011739081119E-4</v>
      </c>
      <c r="L894" s="74"/>
      <c r="M894" s="74"/>
      <c r="N894" s="74"/>
      <c r="O894" s="74"/>
      <c r="P894" s="74"/>
      <c r="Q894" s="74"/>
      <c r="R894" s="74"/>
      <c r="S894" s="74"/>
      <c r="T894" s="74"/>
      <c r="U894" s="74"/>
      <c r="V894" s="74"/>
      <c r="W894" s="74"/>
      <c r="X894" s="74"/>
      <c r="Y894" s="74"/>
    </row>
    <row r="895" spans="1:25" x14ac:dyDescent="0.3">
      <c r="A895" s="66">
        <f t="shared" si="88"/>
        <v>2078.7999999999192</v>
      </c>
      <c r="B895" s="67">
        <f>LOOKUP(A895+0.01,AmountsB!$A$4:$A$103,AmountsB!$B$4:$B$103)*0.1*$A$2</f>
        <v>0</v>
      </c>
      <c r="C895" s="68">
        <f t="shared" si="87"/>
        <v>2074573.74105891</v>
      </c>
      <c r="D895" s="67">
        <f t="array" ref="D895">SUM($B$7:$B890*$F$1009*EXP(-$F$1009*($A895-$A$7:$A890)))*$F$1010</f>
        <v>46112.783799874007</v>
      </c>
      <c r="E895" s="67">
        <f t="shared" si="85"/>
        <v>8.7909951475098475E-2</v>
      </c>
      <c r="F895" s="70">
        <f t="shared" si="89"/>
        <v>5.3378922535679794E-3</v>
      </c>
      <c r="G895" s="67">
        <f>E895/'Lookup Tables'!$C$48</f>
        <v>0.17581990295019695</v>
      </c>
      <c r="H895" s="70">
        <f t="shared" si="86"/>
        <v>2.2272271927884049E-5</v>
      </c>
      <c r="I895" s="71">
        <f t="shared" si="90"/>
        <v>2.531806602482836E-4</v>
      </c>
      <c r="L895" s="74"/>
      <c r="M895" s="74"/>
      <c r="N895" s="74"/>
      <c r="O895" s="74"/>
      <c r="P895" s="74"/>
      <c r="Q895" s="74"/>
      <c r="R895" s="74"/>
      <c r="S895" s="74"/>
      <c r="T895" s="74"/>
      <c r="U895" s="74"/>
      <c r="V895" s="74"/>
      <c r="W895" s="74"/>
      <c r="X895" s="74"/>
      <c r="Y895" s="74"/>
    </row>
    <row r="896" spans="1:25" x14ac:dyDescent="0.3">
      <c r="A896" s="66">
        <f t="shared" si="88"/>
        <v>2078.8999999999191</v>
      </c>
      <c r="B896" s="67">
        <f>LOOKUP(A896+0.01,AmountsB!$A$4:$A$103,AmountsB!$B$4:$B$103)*0.1*$A$2</f>
        <v>0</v>
      </c>
      <c r="C896" s="68">
        <f t="shared" si="87"/>
        <v>2074573.74105891</v>
      </c>
      <c r="D896" s="67">
        <f t="array" ref="D896">SUM($B$7:$B891*$F$1009*EXP(-$F$1009*($A896-$A$7:$A891)))*$F$1010</f>
        <v>45471.702864180617</v>
      </c>
      <c r="E896" s="67">
        <f t="shared" si="85"/>
        <v>8.6687787265863056E-2</v>
      </c>
      <c r="F896" s="70">
        <f t="shared" si="89"/>
        <v>5.2636824427832046E-3</v>
      </c>
      <c r="G896" s="67">
        <f>E896/'Lookup Tables'!$C$48</f>
        <v>0.17337557453172611</v>
      </c>
      <c r="H896" s="70">
        <f t="shared" si="86"/>
        <v>2.1962632653241417E-5</v>
      </c>
      <c r="I896" s="71">
        <f t="shared" si="90"/>
        <v>2.4966082732568563E-4</v>
      </c>
      <c r="L896" s="74"/>
      <c r="M896" s="74"/>
      <c r="N896" s="74"/>
      <c r="O896" s="74"/>
      <c r="P896" s="74"/>
      <c r="Q896" s="74"/>
      <c r="R896" s="74"/>
      <c r="S896" s="74"/>
      <c r="T896" s="74"/>
      <c r="U896" s="74"/>
      <c r="V896" s="74"/>
      <c r="W896" s="74"/>
      <c r="X896" s="74"/>
      <c r="Y896" s="74"/>
    </row>
    <row r="897" spans="1:25" x14ac:dyDescent="0.3">
      <c r="A897" s="66">
        <f t="shared" si="88"/>
        <v>2078.9999999999191</v>
      </c>
      <c r="B897" s="67">
        <f>LOOKUP(A897+0.01,AmountsB!$A$4:$A$103,AmountsB!$B$4:$B$103)*0.1*$A$2</f>
        <v>0</v>
      </c>
      <c r="C897" s="68">
        <f t="shared" si="87"/>
        <v>2074573.74105891</v>
      </c>
      <c r="D897" s="67">
        <f t="array" ref="D897">SUM($B$7:$B892*$F$1009*EXP(-$F$1009*($A897-$A$7:$A892)))*$F$1010</f>
        <v>44839.534527819611</v>
      </c>
      <c r="E897" s="67">
        <f t="shared" si="85"/>
        <v>8.5482614140450025E-2</v>
      </c>
      <c r="F897" s="70">
        <f t="shared" si="89"/>
        <v>5.1905043306081254E-3</v>
      </c>
      <c r="G897" s="67">
        <f>E897/'Lookup Tables'!$C$48</f>
        <v>0.17096522828090005</v>
      </c>
      <c r="H897" s="70">
        <f t="shared" si="86"/>
        <v>2.1657298124908972E-5</v>
      </c>
      <c r="I897" s="71">
        <f t="shared" si="90"/>
        <v>2.4618992872449603E-4</v>
      </c>
      <c r="L897" s="74"/>
      <c r="M897" s="74"/>
      <c r="N897" s="74"/>
      <c r="O897" s="74"/>
      <c r="P897" s="74"/>
      <c r="Q897" s="74"/>
      <c r="R897" s="74"/>
      <c r="S897" s="74"/>
      <c r="T897" s="74"/>
      <c r="U897" s="74"/>
      <c r="V897" s="74"/>
      <c r="W897" s="74"/>
      <c r="X897" s="74"/>
      <c r="Y897" s="74"/>
    </row>
    <row r="898" spans="1:25" x14ac:dyDescent="0.3">
      <c r="A898" s="66">
        <f t="shared" si="88"/>
        <v>2079.099999999919</v>
      </c>
      <c r="B898" s="67">
        <f>LOOKUP(A898+0.01,AmountsB!$A$4:$A$103,AmountsB!$B$4:$B$103)*0.1*$A$2</f>
        <v>0</v>
      </c>
      <c r="C898" s="68">
        <f t="shared" si="87"/>
        <v>2074573.74105891</v>
      </c>
      <c r="D898" s="67">
        <f t="array" ref="D898">SUM($B$7:$B893*$F$1009*EXP(-$F$1009*($A898-$A$7:$A893)))*$F$1010</f>
        <v>44216.154883773292</v>
      </c>
      <c r="E898" s="67">
        <f t="shared" si="85"/>
        <v>8.4294195881068651E-2</v>
      </c>
      <c r="F898" s="70">
        <f t="shared" si="89"/>
        <v>5.1183435738984887E-3</v>
      </c>
      <c r="G898" s="67">
        <f>E898/'Lookup Tables'!$C$48</f>
        <v>0.1685883917621373</v>
      </c>
      <c r="H898" s="70">
        <f t="shared" si="86"/>
        <v>2.1356208496341699E-5</v>
      </c>
      <c r="I898" s="71">
        <f t="shared" si="90"/>
        <v>2.4276728413747772E-4</v>
      </c>
      <c r="L898" s="74"/>
      <c r="M898" s="74"/>
      <c r="N898" s="74"/>
      <c r="O898" s="74"/>
      <c r="P898" s="74"/>
      <c r="Q898" s="74"/>
      <c r="R898" s="74"/>
      <c r="S898" s="74"/>
      <c r="T898" s="74"/>
      <c r="U898" s="74"/>
      <c r="V898" s="74"/>
      <c r="W898" s="74"/>
      <c r="X898" s="74"/>
      <c r="Y898" s="74"/>
    </row>
    <row r="899" spans="1:25" x14ac:dyDescent="0.3">
      <c r="A899" s="66">
        <f t="shared" si="88"/>
        <v>2079.1999999999189</v>
      </c>
      <c r="B899" s="67">
        <f>LOOKUP(A899+0.01,AmountsB!$A$4:$A$103,AmountsB!$B$4:$B$103)*0.1*$A$2</f>
        <v>0</v>
      </c>
      <c r="C899" s="68">
        <f t="shared" si="87"/>
        <v>2074573.74105891</v>
      </c>
      <c r="D899" s="67">
        <f t="array" ref="D899">SUM($B$7:$B894*$F$1009*EXP(-$F$1009*($A899-$A$7:$A894)))*$F$1010</f>
        <v>43601.441747635748</v>
      </c>
      <c r="E899" s="67">
        <f t="shared" si="85"/>
        <v>8.3122299553935505E-2</v>
      </c>
      <c r="F899" s="70">
        <f t="shared" si="89"/>
        <v>5.0471860289149637E-3</v>
      </c>
      <c r="G899" s="67">
        <f>E899/'Lookup Tables'!$C$48</f>
        <v>0.16624459910787101</v>
      </c>
      <c r="H899" s="70">
        <f t="shared" si="86"/>
        <v>2.1059304753008486E-5</v>
      </c>
      <c r="I899" s="71">
        <f t="shared" si="90"/>
        <v>2.3939222271533424E-4</v>
      </c>
      <c r="L899" s="74"/>
      <c r="M899" s="74"/>
      <c r="N899" s="74"/>
      <c r="O899" s="74"/>
      <c r="P899" s="74"/>
      <c r="Q899" s="74"/>
      <c r="R899" s="74"/>
      <c r="S899" s="74"/>
      <c r="T899" s="74"/>
      <c r="U899" s="74"/>
      <c r="V899" s="74"/>
      <c r="W899" s="74"/>
      <c r="X899" s="74"/>
      <c r="Y899" s="74"/>
    </row>
    <row r="900" spans="1:25" x14ac:dyDescent="0.3">
      <c r="A900" s="66">
        <f t="shared" si="88"/>
        <v>2079.2999999999188</v>
      </c>
      <c r="B900" s="67">
        <f>LOOKUP(A900+0.01,AmountsB!$A$4:$A$103,AmountsB!$B$4:$B$103)*0.1*$A$2</f>
        <v>0</v>
      </c>
      <c r="C900" s="68">
        <f t="shared" si="87"/>
        <v>2074573.74105891</v>
      </c>
      <c r="D900" s="67">
        <f t="array" ref="D900">SUM($B$7:$B895*$F$1009*EXP(-$F$1009*($A900-$A$7:$A895)))*$F$1010</f>
        <v>42995.27463366439</v>
      </c>
      <c r="E900" s="67">
        <f t="shared" si="85"/>
        <v>8.1966695463618844E-2</v>
      </c>
      <c r="F900" s="70">
        <f t="shared" si="89"/>
        <v>4.9770177485509359E-3</v>
      </c>
      <c r="G900" s="67">
        <f>E900/'Lookup Tables'!$C$48</f>
        <v>0.16393339092723769</v>
      </c>
      <c r="H900" s="70">
        <f t="shared" si="86"/>
        <v>2.0766528700825152E-5</v>
      </c>
      <c r="I900" s="71">
        <f t="shared" si="90"/>
        <v>2.3606408293522224E-4</v>
      </c>
      <c r="L900" s="74"/>
      <c r="M900" s="74"/>
      <c r="N900" s="74"/>
      <c r="O900" s="74"/>
      <c r="P900" s="74"/>
      <c r="Q900" s="74"/>
      <c r="R900" s="74"/>
      <c r="S900" s="74"/>
      <c r="T900" s="74"/>
      <c r="U900" s="74"/>
      <c r="V900" s="74"/>
      <c r="W900" s="74"/>
      <c r="X900" s="74"/>
      <c r="Y900" s="74"/>
    </row>
    <row r="901" spans="1:25" x14ac:dyDescent="0.3">
      <c r="A901" s="66">
        <f t="shared" si="88"/>
        <v>2079.3999999999187</v>
      </c>
      <c r="B901" s="67">
        <f>LOOKUP(A901+0.01,AmountsB!$A$4:$A$103,AmountsB!$B$4:$B$103)*0.1*$A$2</f>
        <v>0</v>
      </c>
      <c r="C901" s="68">
        <f t="shared" si="87"/>
        <v>2074573.74105891</v>
      </c>
      <c r="D901" s="67">
        <f t="array" ref="D901">SUM($B$7:$B896*$F$1009*EXP(-$F$1009*($A901-$A$7:$A896)))*$F$1010</f>
        <v>42397.534731164313</v>
      </c>
      <c r="E901" s="67">
        <f t="shared" si="85"/>
        <v>8.0827157108017425E-2</v>
      </c>
      <c r="F901" s="70">
        <f t="shared" si="89"/>
        <v>4.9078249795988177E-3</v>
      </c>
      <c r="G901" s="67">
        <f>E901/'Lookup Tables'!$C$48</f>
        <v>0.16165431421603485</v>
      </c>
      <c r="H901" s="70">
        <f t="shared" si="86"/>
        <v>2.0477822954748182E-5</v>
      </c>
      <c r="I901" s="71">
        <f t="shared" si="90"/>
        <v>2.3278221247109018E-4</v>
      </c>
      <c r="L901" s="74"/>
      <c r="M901" s="74"/>
      <c r="N901" s="74"/>
      <c r="O901" s="74"/>
      <c r="P901" s="74"/>
      <c r="Q901" s="74"/>
      <c r="R901" s="74"/>
      <c r="S901" s="74"/>
      <c r="T901" s="74"/>
      <c r="U901" s="74"/>
      <c r="V901" s="74"/>
      <c r="W901" s="74"/>
      <c r="X901" s="74"/>
      <c r="Y901" s="74"/>
    </row>
    <row r="902" spans="1:25" x14ac:dyDescent="0.3">
      <c r="A902" s="66">
        <f t="shared" si="88"/>
        <v>2079.4999999999186</v>
      </c>
      <c r="B902" s="67">
        <f>LOOKUP(A902+0.01,AmountsB!$A$4:$A$103,AmountsB!$B$4:$B$103)*0.1*$A$2</f>
        <v>0</v>
      </c>
      <c r="C902" s="68">
        <f t="shared" si="87"/>
        <v>2074573.74105891</v>
      </c>
      <c r="D902" s="67">
        <f t="array" ref="D902">SUM($B$7:$B897*$F$1009*EXP(-$F$1009*($A902-$A$7:$A897)))*$F$1010</f>
        <v>41808.104881201063</v>
      </c>
      <c r="E902" s="67">
        <f t="shared" si="85"/>
        <v>7.9703461133965522E-2</v>
      </c>
      <c r="F902" s="70">
        <f t="shared" si="89"/>
        <v>4.8395941600543864E-3</v>
      </c>
      <c r="G902" s="67">
        <f>E902/'Lookup Tables'!$C$48</f>
        <v>0.15940692226793104</v>
      </c>
      <c r="H902" s="70">
        <f t="shared" si="86"/>
        <v>2.0193130927527102E-5</v>
      </c>
      <c r="I902" s="71">
        <f t="shared" si="90"/>
        <v>2.2954596806582073E-4</v>
      </c>
      <c r="L902" s="74"/>
      <c r="M902" s="74"/>
      <c r="N902" s="74"/>
      <c r="O902" s="74"/>
      <c r="P902" s="74"/>
      <c r="Q902" s="74"/>
      <c r="R902" s="74"/>
      <c r="S902" s="74"/>
      <c r="T902" s="74"/>
      <c r="U902" s="74"/>
      <c r="V902" s="74"/>
      <c r="W902" s="74"/>
      <c r="X902" s="74"/>
      <c r="Y902" s="74"/>
    </row>
    <row r="903" spans="1:25" x14ac:dyDescent="0.3">
      <c r="A903" s="66">
        <f t="shared" si="88"/>
        <v>2079.5999999999185</v>
      </c>
      <c r="B903" s="67">
        <f>LOOKUP(A903+0.01,AmountsB!$A$4:$A$103,AmountsB!$B$4:$B$103)*0.1*$A$2</f>
        <v>0</v>
      </c>
      <c r="C903" s="68">
        <f t="shared" si="87"/>
        <v>2074573.74105891</v>
      </c>
      <c r="D903" s="67">
        <f t="array" ref="D903">SUM($B$7:$B898*$F$1009*EXP(-$F$1009*($A903-$A$7:$A898)))*$F$1010</f>
        <v>41226.869553637058</v>
      </c>
      <c r="E903" s="67">
        <f t="shared" ref="E903:E966" si="91">D903/(365*24*60)*1.00201</f>
        <v>7.859538729345486E-2</v>
      </c>
      <c r="F903" s="70">
        <f t="shared" si="89"/>
        <v>4.7723119164585796E-3</v>
      </c>
      <c r="G903" s="67">
        <f>E903/'Lookup Tables'!$C$48</f>
        <v>0.15719077458690972</v>
      </c>
      <c r="H903" s="70">
        <f t="shared" ref="H903:H966" si="92">G903*60*24*365/(C903*2000)</f>
        <v>1.9912396818613171E-5</v>
      </c>
      <c r="I903" s="71">
        <f t="shared" si="90"/>
        <v>2.2635471540514998E-4</v>
      </c>
      <c r="L903" s="74"/>
      <c r="M903" s="74"/>
      <c r="N903" s="74"/>
      <c r="O903" s="74"/>
      <c r="P903" s="74"/>
      <c r="Q903" s="74"/>
      <c r="R903" s="74"/>
      <c r="S903" s="74"/>
      <c r="T903" s="74"/>
      <c r="U903" s="74"/>
      <c r="V903" s="74"/>
      <c r="W903" s="74"/>
      <c r="X903" s="74"/>
      <c r="Y903" s="74"/>
    </row>
    <row r="904" spans="1:25" x14ac:dyDescent="0.3">
      <c r="A904" s="66">
        <f t="shared" si="88"/>
        <v>2079.6999999999184</v>
      </c>
      <c r="B904" s="67">
        <f>LOOKUP(A904+0.01,AmountsB!$A$4:$A$103,AmountsB!$B$4:$B$103)*0.1*$A$2</f>
        <v>0</v>
      </c>
      <c r="C904" s="68">
        <f t="shared" si="87"/>
        <v>2074573.74105891</v>
      </c>
      <c r="D904" s="67">
        <f t="array" ref="D904">SUM($B$7:$B899*$F$1009*EXP(-$F$1009*($A904-$A$7:$A899)))*$F$1010</f>
        <v>40653.714824487375</v>
      </c>
      <c r="E904" s="67">
        <f t="shared" si="91"/>
        <v>7.7502718400465367E-2</v>
      </c>
      <c r="F904" s="70">
        <f t="shared" si="89"/>
        <v>4.705965061276257E-3</v>
      </c>
      <c r="G904" s="67">
        <f>E904/'Lookup Tables'!$C$48</f>
        <v>0.15500543680093073</v>
      </c>
      <c r="H904" s="70">
        <f t="shared" si="92"/>
        <v>1.963556560322233E-5</v>
      </c>
      <c r="I904" s="71">
        <f t="shared" si="90"/>
        <v>2.2320782899334029E-4</v>
      </c>
      <c r="L904" s="74"/>
      <c r="M904" s="74"/>
      <c r="N904" s="74"/>
      <c r="O904" s="74"/>
      <c r="P904" s="74"/>
      <c r="Q904" s="74"/>
      <c r="R904" s="74"/>
      <c r="S904" s="74"/>
      <c r="T904" s="74"/>
      <c r="U904" s="74"/>
      <c r="V904" s="74"/>
      <c r="W904" s="74"/>
      <c r="X904" s="74"/>
      <c r="Y904" s="74"/>
    </row>
    <row r="905" spans="1:25" x14ac:dyDescent="0.3">
      <c r="A905" s="66">
        <f t="shared" si="88"/>
        <v>2079.7999999999183</v>
      </c>
      <c r="B905" s="67">
        <f>LOOKUP(A905+0.01,AmountsB!$A$4:$A$103,AmountsB!$B$4:$B$103)*0.1*$A$2</f>
        <v>0</v>
      </c>
      <c r="C905" s="68">
        <f t="shared" ref="C905:C968" si="93">C904+B905</f>
        <v>2074573.74105891</v>
      </c>
      <c r="D905" s="67">
        <f t="array" ref="D905">SUM($B$7:$B900*$F$1009*EXP(-$F$1009*($A905-$A$7:$A900)))*$F$1010</f>
        <v>40088.528353590213</v>
      </c>
      <c r="E905" s="67">
        <f t="shared" si="91"/>
        <v>7.6425240288395979E-2</v>
      </c>
      <c r="F905" s="70">
        <f t="shared" si="89"/>
        <v>4.6405405903114033E-3</v>
      </c>
      <c r="G905" s="67">
        <f>E905/'Lookup Tables'!$C$48</f>
        <v>0.15285048057679196</v>
      </c>
      <c r="H905" s="70">
        <f t="shared" si="92"/>
        <v>1.9362583021550101E-5</v>
      </c>
      <c r="I905" s="71">
        <f t="shared" si="90"/>
        <v>2.201046920305804E-4</v>
      </c>
      <c r="L905" s="74"/>
      <c r="M905" s="74"/>
      <c r="N905" s="74"/>
      <c r="O905" s="74"/>
      <c r="P905" s="74"/>
      <c r="Q905" s="74"/>
      <c r="R905" s="74"/>
      <c r="S905" s="74"/>
      <c r="T905" s="74"/>
      <c r="U905" s="74"/>
      <c r="V905" s="74"/>
      <c r="W905" s="74"/>
      <c r="X905" s="74"/>
      <c r="Y905" s="74"/>
    </row>
    <row r="906" spans="1:25" x14ac:dyDescent="0.3">
      <c r="A906" s="66">
        <f t="shared" si="88"/>
        <v>2079.8999999999182</v>
      </c>
      <c r="B906" s="67">
        <f>LOOKUP(A906+0.01,AmountsB!$A$4:$A$103,AmountsB!$B$4:$B$103)*0.1*$A$2</f>
        <v>0</v>
      </c>
      <c r="C906" s="68">
        <f t="shared" si="93"/>
        <v>2074573.74105891</v>
      </c>
      <c r="D906" s="67">
        <f t="array" ref="D906">SUM($B$7:$B901*$F$1009*EXP(-$F$1009*($A906-$A$7:$A901)))*$F$1010</f>
        <v>39531.199362587919</v>
      </c>
      <c r="E906" s="67">
        <f t="shared" si="91"/>
        <v>7.5362741768087368E-2</v>
      </c>
      <c r="F906" s="70">
        <f t="shared" si="89"/>
        <v>4.5760256801582657E-3</v>
      </c>
      <c r="G906" s="67">
        <f>E906/'Lookup Tables'!$C$48</f>
        <v>0.15072548353617474</v>
      </c>
      <c r="H906" s="70">
        <f t="shared" si="92"/>
        <v>1.9093395568136581E-5</v>
      </c>
      <c r="I906" s="71">
        <f t="shared" si="90"/>
        <v>2.1704469629209164E-4</v>
      </c>
      <c r="L906" s="74"/>
      <c r="M906" s="74"/>
      <c r="N906" s="74"/>
      <c r="O906" s="74"/>
      <c r="P906" s="74"/>
      <c r="Q906" s="74"/>
      <c r="R906" s="74"/>
      <c r="S906" s="74"/>
      <c r="T906" s="74"/>
      <c r="U906" s="74"/>
      <c r="V906" s="74"/>
      <c r="W906" s="74"/>
      <c r="X906" s="74"/>
      <c r="Y906" s="74"/>
    </row>
    <row r="907" spans="1:25" x14ac:dyDescent="0.3">
      <c r="A907" s="66">
        <f t="shared" si="88"/>
        <v>2079.9999999999181</v>
      </c>
      <c r="B907" s="67">
        <f>LOOKUP(A907+0.01,AmountsB!$A$4:$A$103,AmountsB!$B$4:$B$103)*0.1*$A$2</f>
        <v>0</v>
      </c>
      <c r="C907" s="68">
        <f t="shared" si="93"/>
        <v>2074573.74105891</v>
      </c>
      <c r="D907" s="67">
        <f t="array" ref="D907">SUM($B$7:$B902*$F$1009*EXP(-$F$1009*($A907-$A$7:$A902)))*$F$1010</f>
        <v>38981.618613214057</v>
      </c>
      <c r="E907" s="67">
        <f t="shared" si="91"/>
        <v>7.4315014586428127E-2</v>
      </c>
      <c r="F907" s="70">
        <f t="shared" si="89"/>
        <v>4.5124076856879157E-3</v>
      </c>
      <c r="G907" s="67">
        <f>E907/'Lookup Tables'!$C$48</f>
        <v>0.14863002917285625</v>
      </c>
      <c r="H907" s="70">
        <f t="shared" si="92"/>
        <v>1.8827950481379134E-5</v>
      </c>
      <c r="I907" s="71">
        <f t="shared" si="90"/>
        <v>2.1402724200891298E-4</v>
      </c>
      <c r="L907" s="74"/>
      <c r="M907" s="74"/>
      <c r="N907" s="74"/>
      <c r="O907" s="74"/>
      <c r="P907" s="74"/>
      <c r="Q907" s="74"/>
      <c r="R907" s="74"/>
      <c r="S907" s="74"/>
      <c r="T907" s="74"/>
      <c r="U907" s="74"/>
      <c r="V907" s="74"/>
      <c r="W907" s="74"/>
      <c r="X907" s="74"/>
      <c r="Y907" s="74"/>
    </row>
    <row r="908" spans="1:25" x14ac:dyDescent="0.3">
      <c r="A908" s="66">
        <f t="shared" si="88"/>
        <v>2080.0999999999181</v>
      </c>
      <c r="B908" s="67">
        <f>LOOKUP(A908+0.01,AmountsB!$A$4:$A$103,AmountsB!$B$4:$B$103)*0.1*$A$2</f>
        <v>0</v>
      </c>
      <c r="C908" s="68">
        <f t="shared" si="93"/>
        <v>2074573.74105891</v>
      </c>
      <c r="D908" s="67">
        <f t="array" ref="D908">SUM($B$7:$B903*$F$1009*EXP(-$F$1009*($A908-$A$7:$A903)))*$F$1010</f>
        <v>38439.678385882333</v>
      </c>
      <c r="E908" s="67">
        <f t="shared" si="91"/>
        <v>7.3281853385536458E-2</v>
      </c>
      <c r="F908" s="70">
        <f t="shared" si="89"/>
        <v>4.449674137569774E-3</v>
      </c>
      <c r="G908" s="67">
        <f>E908/'Lookup Tables'!$C$48</f>
        <v>0.14656370677107292</v>
      </c>
      <c r="H908" s="70">
        <f t="shared" si="92"/>
        <v>1.8566195733190972E-5</v>
      </c>
      <c r="I908" s="71">
        <f t="shared" si="90"/>
        <v>2.1105173775034502E-4</v>
      </c>
      <c r="L908" s="74"/>
      <c r="M908" s="74"/>
      <c r="N908" s="74"/>
      <c r="O908" s="74"/>
      <c r="P908" s="74"/>
      <c r="Q908" s="74"/>
      <c r="R908" s="74"/>
      <c r="S908" s="74"/>
      <c r="T908" s="74"/>
      <c r="U908" s="74"/>
      <c r="V908" s="74"/>
      <c r="W908" s="74"/>
      <c r="X908" s="74"/>
      <c r="Y908" s="74"/>
    </row>
    <row r="909" spans="1:25" x14ac:dyDescent="0.3">
      <c r="A909" s="66">
        <f t="shared" si="88"/>
        <v>2080.199999999918</v>
      </c>
      <c r="B909" s="67">
        <f>LOOKUP(A909+0.01,AmountsB!$A$4:$A$103,AmountsB!$B$4:$B$103)*0.1*$A$2</f>
        <v>0</v>
      </c>
      <c r="C909" s="68">
        <f t="shared" si="93"/>
        <v>2074573.74105891</v>
      </c>
      <c r="D909" s="67">
        <f t="array" ref="D909">SUM($B$7:$B904*$F$1009*EXP(-$F$1009*($A909-$A$7:$A904)))*$F$1010</f>
        <v>37905.272458573258</v>
      </c>
      <c r="E909" s="67">
        <f t="shared" si="91"/>
        <v>7.2263055662509498E-2</v>
      </c>
      <c r="F909" s="70">
        <f t="shared" si="89"/>
        <v>4.3878127398275764E-3</v>
      </c>
      <c r="G909" s="67">
        <f>E909/'Lookup Tables'!$C$48</f>
        <v>0.144526111325019</v>
      </c>
      <c r="H909" s="70">
        <f t="shared" si="92"/>
        <v>1.8308080018803468E-5</v>
      </c>
      <c r="I909" s="71">
        <f t="shared" si="90"/>
        <v>2.0811760030802737E-4</v>
      </c>
      <c r="L909" s="74"/>
      <c r="M909" s="74"/>
      <c r="N909" s="74"/>
      <c r="O909" s="74"/>
      <c r="P909" s="74"/>
      <c r="Q909" s="74"/>
      <c r="R909" s="74"/>
      <c r="S909" s="74"/>
      <c r="T909" s="74"/>
      <c r="U909" s="74"/>
      <c r="V909" s="74"/>
      <c r="W909" s="74"/>
      <c r="X909" s="74"/>
      <c r="Y909" s="74"/>
    </row>
    <row r="910" spans="1:25" x14ac:dyDescent="0.3">
      <c r="A910" s="66">
        <f t="shared" si="88"/>
        <v>2080.2999999999179</v>
      </c>
      <c r="B910" s="67">
        <f>LOOKUP(A910+0.01,AmountsB!$A$4:$A$103,AmountsB!$B$4:$B$103)*0.1*$A$2</f>
        <v>0</v>
      </c>
      <c r="C910" s="68">
        <f t="shared" si="93"/>
        <v>2074573.74105891</v>
      </c>
      <c r="D910" s="67">
        <f t="array" ref="D910">SUM($B$7:$B905*$F$1009*EXP(-$F$1009*($A910-$A$7:$A905)))*$F$1010</f>
        <v>37378.296086014256</v>
      </c>
      <c r="E910" s="67">
        <f t="shared" si="91"/>
        <v>7.1258421729732013E-2</v>
      </c>
      <c r="F910" s="70">
        <f t="shared" si="89"/>
        <v>4.3268113674293273E-3</v>
      </c>
      <c r="G910" s="67">
        <f>E910/'Lookup Tables'!$C$48</f>
        <v>0.14251684345946403</v>
      </c>
      <c r="H910" s="70">
        <f t="shared" si="92"/>
        <v>1.8053552746710299E-5</v>
      </c>
      <c r="I910" s="71">
        <f t="shared" si="90"/>
        <v>2.0522425458162821E-4</v>
      </c>
      <c r="L910" s="74"/>
      <c r="M910" s="74"/>
      <c r="N910" s="74"/>
      <c r="O910" s="74"/>
      <c r="P910" s="74"/>
      <c r="Q910" s="74"/>
      <c r="R910" s="74"/>
      <c r="S910" s="74"/>
      <c r="T910" s="74"/>
      <c r="U910" s="74"/>
      <c r="V910" s="74"/>
      <c r="W910" s="74"/>
      <c r="X910" s="74"/>
      <c r="Y910" s="74"/>
    </row>
    <row r="911" spans="1:25" x14ac:dyDescent="0.3">
      <c r="A911" s="66">
        <f t="shared" si="88"/>
        <v>2080.3999999999178</v>
      </c>
      <c r="B911" s="67">
        <f>LOOKUP(A911+0.01,AmountsB!$A$4:$A$103,AmountsB!$B$4:$B$103)*0.1*$A$2</f>
        <v>0</v>
      </c>
      <c r="C911" s="68">
        <f t="shared" si="93"/>
        <v>2074573.74105891</v>
      </c>
      <c r="D911" s="67">
        <f t="array" ref="D911">SUM($B$7:$B906*$F$1009*EXP(-$F$1009*($A911-$A$7:$A906)))*$F$1010</f>
        <v>36858.645979149267</v>
      </c>
      <c r="E911" s="67">
        <f t="shared" si="91"/>
        <v>7.0267754675736982E-2</v>
      </c>
      <c r="F911" s="70">
        <f t="shared" si="89"/>
        <v>4.2666580639107495E-3</v>
      </c>
      <c r="G911" s="67">
        <f>E911/'Lookup Tables'!$C$48</f>
        <v>0.14053550935147396</v>
      </c>
      <c r="H911" s="70">
        <f t="shared" si="92"/>
        <v>1.78025640287513E-5</v>
      </c>
      <c r="I911" s="71">
        <f t="shared" si="90"/>
        <v>2.0237113346612253E-4</v>
      </c>
      <c r="L911" s="74"/>
      <c r="M911" s="74"/>
      <c r="N911" s="74"/>
      <c r="O911" s="74"/>
      <c r="P911" s="74"/>
      <c r="Q911" s="74"/>
      <c r="R911" s="74"/>
      <c r="S911" s="74"/>
      <c r="T911" s="74"/>
      <c r="U911" s="74"/>
      <c r="V911" s="74"/>
      <c r="W911" s="74"/>
      <c r="X911" s="74"/>
      <c r="Y911" s="74"/>
    </row>
    <row r="912" spans="1:25" x14ac:dyDescent="0.3">
      <c r="A912" s="66">
        <f t="shared" si="88"/>
        <v>2080.4999999999177</v>
      </c>
      <c r="B912" s="67">
        <f>LOOKUP(A912+0.01,AmountsB!$A$4:$A$103,AmountsB!$B$4:$B$103)*0.1*$A$2</f>
        <v>0</v>
      </c>
      <c r="C912" s="68">
        <f t="shared" si="93"/>
        <v>2074573.74105891</v>
      </c>
      <c r="D912" s="67">
        <f t="array" ref="D912">SUM($B$7:$B907*$F$1009*EXP(-$F$1009*($A912-$A$7:$A907)))*$F$1010</f>
        <v>36346.220284893767</v>
      </c>
      <c r="E912" s="67">
        <f t="shared" si="91"/>
        <v>6.929086032661036E-2</v>
      </c>
      <c r="F912" s="70">
        <f t="shared" si="89"/>
        <v>4.2073410390317803E-3</v>
      </c>
      <c r="G912" s="67">
        <f>E912/'Lookup Tables'!$C$48</f>
        <v>0.13858172065322072</v>
      </c>
      <c r="H912" s="70">
        <f t="shared" si="92"/>
        <v>1.7555064670334236E-5</v>
      </c>
      <c r="I912" s="71">
        <f t="shared" si="90"/>
        <v>1.9955767774063781E-4</v>
      </c>
      <c r="L912" s="74"/>
      <c r="M912" s="74"/>
      <c r="N912" s="74"/>
      <c r="O912" s="74"/>
      <c r="P912" s="74"/>
      <c r="Q912" s="74"/>
      <c r="R912" s="74"/>
      <c r="S912" s="74"/>
      <c r="T912" s="74"/>
      <c r="U912" s="74"/>
      <c r="V912" s="74"/>
      <c r="W912" s="74"/>
      <c r="X912" s="74"/>
      <c r="Y912" s="74"/>
    </row>
    <row r="913" spans="1:25" x14ac:dyDescent="0.3">
      <c r="A913" s="66">
        <f t="shared" si="88"/>
        <v>2080.5999999999176</v>
      </c>
      <c r="B913" s="67">
        <f>LOOKUP(A913+0.01,AmountsB!$A$4:$A$103,AmountsB!$B$4:$B$103)*0.1*$A$2</f>
        <v>0</v>
      </c>
      <c r="C913" s="68">
        <f t="shared" si="93"/>
        <v>2074573.74105891</v>
      </c>
      <c r="D913" s="67">
        <f t="array" ref="D913">SUM($B$7:$B908*$F$1009*EXP(-$F$1009*($A913-$A$7:$A908)))*$F$1010</f>
        <v>35840.918566171233</v>
      </c>
      <c r="E913" s="67">
        <f t="shared" si="91"/>
        <v>6.832754720793234E-2</v>
      </c>
      <c r="F913" s="70">
        <f t="shared" si="89"/>
        <v>4.1488486664656519E-3</v>
      </c>
      <c r="G913" s="67">
        <f>E913/'Lookup Tables'!$C$48</f>
        <v>0.13665509441586468</v>
      </c>
      <c r="H913" s="70">
        <f t="shared" si="92"/>
        <v>1.731100616079255E-5</v>
      </c>
      <c r="I913" s="71">
        <f t="shared" si="90"/>
        <v>1.9678333595884515E-4</v>
      </c>
      <c r="L913" s="74"/>
      <c r="M913" s="74"/>
      <c r="N913" s="74"/>
      <c r="O913" s="74"/>
      <c r="P913" s="74"/>
      <c r="Q913" s="74"/>
      <c r="R913" s="74"/>
      <c r="S913" s="74"/>
      <c r="T913" s="74"/>
      <c r="U913" s="74"/>
      <c r="V913" s="74"/>
      <c r="W913" s="74"/>
      <c r="X913" s="74"/>
      <c r="Y913" s="74"/>
    </row>
    <row r="914" spans="1:25" x14ac:dyDescent="0.3">
      <c r="A914" s="66">
        <f t="shared" si="88"/>
        <v>2080.6999999999175</v>
      </c>
      <c r="B914" s="67">
        <f>LOOKUP(A914+0.01,AmountsB!$A$4:$A$103,AmountsB!$B$4:$B$103)*0.1*$A$2</f>
        <v>0</v>
      </c>
      <c r="C914" s="68">
        <f t="shared" si="93"/>
        <v>2074573.74105891</v>
      </c>
      <c r="D914" s="67">
        <f t="array" ref="D914">SUM($B$7:$B909*$F$1009*EXP(-$F$1009*($A914-$A$7:$A909)))*$F$1010</f>
        <v>35342.641782227103</v>
      </c>
      <c r="E914" s="67">
        <f t="shared" si="91"/>
        <v>6.737762650724767E-2</v>
      </c>
      <c r="F914" s="70">
        <f t="shared" si="89"/>
        <v>4.0911694815200786E-3</v>
      </c>
      <c r="G914" s="67">
        <f>E914/'Lookup Tables'!$C$48</f>
        <v>0.13475525301449534</v>
      </c>
      <c r="H914" s="70">
        <f t="shared" si="92"/>
        <v>1.7070340663877012E-5</v>
      </c>
      <c r="I914" s="71">
        <f t="shared" si="90"/>
        <v>1.940475643408733E-4</v>
      </c>
      <c r="L914" s="74"/>
      <c r="M914" s="74"/>
      <c r="N914" s="74"/>
      <c r="O914" s="74"/>
      <c r="P914" s="74"/>
      <c r="Q914" s="74"/>
      <c r="R914" s="74"/>
      <c r="S914" s="74"/>
      <c r="T914" s="74"/>
      <c r="U914" s="74"/>
      <c r="V914" s="74"/>
      <c r="W914" s="74"/>
      <c r="X914" s="74"/>
      <c r="Y914" s="74"/>
    </row>
    <row r="915" spans="1:25" x14ac:dyDescent="0.3">
      <c r="A915" s="66">
        <f t="shared" ref="A915:A978" si="94">A914+0.1</f>
        <v>2080.7999999999174</v>
      </c>
      <c r="B915" s="67">
        <f>LOOKUP(A915+0.01,AmountsB!$A$4:$A$103,AmountsB!$B$4:$B$103)*0.1*$A$2</f>
        <v>0</v>
      </c>
      <c r="C915" s="68">
        <f t="shared" si="93"/>
        <v>2074573.74105891</v>
      </c>
      <c r="D915" s="67">
        <f t="array" ref="D915">SUM($B$7:$B910*$F$1009*EXP(-$F$1009*($A915-$A$7:$A910)))*$F$1010</f>
        <v>34851.29226921661</v>
      </c>
      <c r="E915" s="67">
        <f t="shared" si="91"/>
        <v>6.6440912037058097E-2</v>
      </c>
      <c r="F915" s="70">
        <f t="shared" ref="F915:F978" si="95">E915*60*1012/1000000</f>
        <v>4.0342921788901675E-3</v>
      </c>
      <c r="G915" s="67">
        <f>E915/'Lookup Tables'!$C$48</f>
        <v>0.13288182407411619</v>
      </c>
      <c r="H915" s="70">
        <f t="shared" si="92"/>
        <v>1.6833021008379813E-5</v>
      </c>
      <c r="I915" s="71">
        <f t="shared" ref="I915:I978" si="96">G915*60*24/1000000</f>
        <v>1.9134982666672731E-4</v>
      </c>
      <c r="L915" s="74"/>
      <c r="M915" s="74"/>
      <c r="N915" s="74"/>
      <c r="O915" s="74"/>
      <c r="P915" s="74"/>
      <c r="Q915" s="74"/>
      <c r="R915" s="74"/>
      <c r="S915" s="74"/>
      <c r="T915" s="74"/>
      <c r="U915" s="74"/>
      <c r="V915" s="74"/>
      <c r="W915" s="74"/>
      <c r="X915" s="74"/>
      <c r="Y915" s="74"/>
    </row>
    <row r="916" spans="1:25" x14ac:dyDescent="0.3">
      <c r="A916" s="66">
        <f t="shared" si="94"/>
        <v>2080.8999999999173</v>
      </c>
      <c r="B916" s="67">
        <f>LOOKUP(A916+0.01,AmountsB!$A$4:$A$103,AmountsB!$B$4:$B$103)*0.1*$A$2</f>
        <v>0</v>
      </c>
      <c r="C916" s="68">
        <f t="shared" si="93"/>
        <v>2074573.74105891</v>
      </c>
      <c r="D916" s="67">
        <f t="array" ref="D916">SUM($B$7:$B911*$F$1009*EXP(-$F$1009*($A916-$A$7:$A911)))*$F$1010</f>
        <v>34366.773721062193</v>
      </c>
      <c r="E916" s="67">
        <f t="shared" si="91"/>
        <v>6.5517220198328632E-2</v>
      </c>
      <c r="F916" s="70">
        <f t="shared" si="95"/>
        <v>3.9782056104425145E-3</v>
      </c>
      <c r="G916" s="67">
        <f>E916/'Lookup Tables'!$C$48</f>
        <v>0.13103444039665726</v>
      </c>
      <c r="H916" s="70">
        <f t="shared" si="92"/>
        <v>1.6599000678888703E-5</v>
      </c>
      <c r="I916" s="71">
        <f t="shared" si="96"/>
        <v>1.8868959417118645E-4</v>
      </c>
      <c r="L916" s="74"/>
      <c r="M916" s="74"/>
      <c r="N916" s="74"/>
      <c r="O916" s="74"/>
      <c r="P916" s="74"/>
      <c r="Q916" s="74"/>
      <c r="R916" s="74"/>
      <c r="S916" s="74"/>
      <c r="T916" s="74"/>
      <c r="U916" s="74"/>
      <c r="V916" s="74"/>
      <c r="W916" s="74"/>
      <c r="X916" s="74"/>
      <c r="Y916" s="74"/>
    </row>
    <row r="917" spans="1:25" x14ac:dyDescent="0.3">
      <c r="A917" s="66">
        <f t="shared" si="94"/>
        <v>2080.9999999999172</v>
      </c>
      <c r="B917" s="67">
        <f>LOOKUP(A917+0.01,AmountsB!$A$4:$A$103,AmountsB!$B$4:$B$103)*0.1*$A$2</f>
        <v>0</v>
      </c>
      <c r="C917" s="68">
        <f t="shared" si="93"/>
        <v>2074573.74105891</v>
      </c>
      <c r="D917" s="67">
        <f t="array" ref="D917">SUM($B$7:$B912*$F$1009*EXP(-$F$1009*($A917-$A$7:$A912)))*$F$1010</f>
        <v>33888.991170577327</v>
      </c>
      <c r="E917" s="67">
        <f t="shared" si="91"/>
        <v>6.4606369944501876E-2</v>
      </c>
      <c r="F917" s="70">
        <f t="shared" si="95"/>
        <v>3.9228987830301539E-3</v>
      </c>
      <c r="G917" s="67">
        <f>E917/'Lookup Tables'!$C$48</f>
        <v>0.12921273988900375</v>
      </c>
      <c r="H917" s="70">
        <f t="shared" si="92"/>
        <v>1.6368233806669941E-5</v>
      </c>
      <c r="I917" s="71">
        <f t="shared" si="96"/>
        <v>1.8606634544016541E-4</v>
      </c>
      <c r="L917" s="74"/>
      <c r="M917" s="74"/>
      <c r="N917" s="74"/>
      <c r="O917" s="74"/>
      <c r="P917" s="74"/>
      <c r="Q917" s="74"/>
      <c r="R917" s="74"/>
      <c r="S917" s="74"/>
      <c r="T917" s="74"/>
      <c r="U917" s="74"/>
      <c r="V917" s="74"/>
      <c r="W917" s="74"/>
      <c r="X917" s="74"/>
      <c r="Y917" s="74"/>
    </row>
    <row r="918" spans="1:25" x14ac:dyDescent="0.3">
      <c r="A918" s="66">
        <f t="shared" si="94"/>
        <v>2081.0999999999171</v>
      </c>
      <c r="B918" s="67">
        <f>LOOKUP(A918+0.01,AmountsB!$A$4:$A$103,AmountsB!$B$4:$B$103)*0.1*$A$2</f>
        <v>0</v>
      </c>
      <c r="C918" s="68">
        <f t="shared" si="93"/>
        <v>2074573.74105891</v>
      </c>
      <c r="D918" s="67">
        <f t="array" ref="D918">SUM($B$7:$B913*$F$1009*EXP(-$F$1009*($A918-$A$7:$A913)))*$F$1010</f>
        <v>33417.850970852531</v>
      </c>
      <c r="E918" s="67">
        <f t="shared" si="91"/>
        <v>6.3708182746012074E-2</v>
      </c>
      <c r="F918" s="70">
        <f t="shared" si="95"/>
        <v>3.868360856337853E-3</v>
      </c>
      <c r="G918" s="67">
        <f>E918/'Lookup Tables'!$C$48</f>
        <v>0.12741636549202415</v>
      </c>
      <c r="H918" s="70">
        <f t="shared" si="92"/>
        <v>1.6140675160677791E-5</v>
      </c>
      <c r="I918" s="71">
        <f t="shared" si="96"/>
        <v>1.8347956630851477E-4</v>
      </c>
      <c r="L918" s="74"/>
      <c r="M918" s="74"/>
      <c r="N918" s="74"/>
      <c r="O918" s="74"/>
      <c r="P918" s="74"/>
      <c r="Q918" s="74"/>
      <c r="R918" s="74"/>
      <c r="S918" s="74"/>
      <c r="T918" s="74"/>
      <c r="U918" s="74"/>
      <c r="V918" s="74"/>
      <c r="W918" s="74"/>
      <c r="X918" s="74"/>
      <c r="Y918" s="74"/>
    </row>
    <row r="919" spans="1:25" x14ac:dyDescent="0.3">
      <c r="A919" s="66">
        <f t="shared" si="94"/>
        <v>2081.1999999999171</v>
      </c>
      <c r="B919" s="67">
        <f>LOOKUP(A919+0.01,AmountsB!$A$4:$A$103,AmountsB!$B$4:$B$103)*0.1*$A$2</f>
        <v>0</v>
      </c>
      <c r="C919" s="68">
        <f t="shared" si="93"/>
        <v>2074573.74105891</v>
      </c>
      <c r="D919" s="67">
        <f t="array" ref="D919">SUM($B$7:$B914*$F$1009*EXP(-$F$1009*($A919-$A$7:$A914)))*$F$1010</f>
        <v>32953.260776900395</v>
      </c>
      <c r="E919" s="67">
        <f t="shared" si="91"/>
        <v>6.2822482555292949E-2</v>
      </c>
      <c r="F919" s="70">
        <f t="shared" si="95"/>
        <v>3.814581140757388E-3</v>
      </c>
      <c r="G919" s="67">
        <f>E919/'Lookup Tables'!$C$48</f>
        <v>0.1256449651105859</v>
      </c>
      <c r="H919" s="70">
        <f t="shared" si="92"/>
        <v>1.5916280138689147E-5</v>
      </c>
      <c r="I919" s="71">
        <f t="shared" si="96"/>
        <v>1.8092874975924369E-4</v>
      </c>
      <c r="L919" s="74"/>
      <c r="M919" s="74"/>
      <c r="N919" s="74"/>
      <c r="O919" s="74"/>
      <c r="P919" s="74"/>
      <c r="Q919" s="74"/>
      <c r="R919" s="74"/>
      <c r="S919" s="74"/>
      <c r="T919" s="74"/>
      <c r="U919" s="74"/>
      <c r="V919" s="74"/>
      <c r="W919" s="74"/>
      <c r="X919" s="74"/>
      <c r="Y919" s="74"/>
    </row>
    <row r="920" spans="1:25" x14ac:dyDescent="0.3">
      <c r="A920" s="66">
        <f t="shared" si="94"/>
        <v>2081.299999999917</v>
      </c>
      <c r="B920" s="67">
        <f>LOOKUP(A920+0.01,AmountsB!$A$4:$A$103,AmountsB!$B$4:$B$103)*0.1*$A$2</f>
        <v>0</v>
      </c>
      <c r="C920" s="68">
        <f t="shared" si="93"/>
        <v>2074573.74105891</v>
      </c>
      <c r="D920" s="67">
        <f t="array" ref="D920">SUM($B$7:$B915*$F$1009*EXP(-$F$1009*($A920-$A$7:$A915)))*$F$1010</f>
        <v>32495.129527555586</v>
      </c>
      <c r="E920" s="67">
        <f t="shared" si="91"/>
        <v>6.1949095772271645E-2</v>
      </c>
      <c r="F920" s="70">
        <f t="shared" si="95"/>
        <v>3.7615490952923342E-3</v>
      </c>
      <c r="G920" s="67">
        <f>E920/'Lookup Tables'!$C$48</f>
        <v>0.12389819154454329</v>
      </c>
      <c r="H920" s="70">
        <f t="shared" si="92"/>
        <v>1.5695004758561331E-5</v>
      </c>
      <c r="I920" s="71">
        <f t="shared" si="96"/>
        <v>1.7841339582414233E-4</v>
      </c>
      <c r="L920" s="74"/>
      <c r="M920" s="74"/>
      <c r="N920" s="74"/>
      <c r="O920" s="74"/>
      <c r="P920" s="74"/>
      <c r="Q920" s="74"/>
      <c r="R920" s="74"/>
      <c r="S920" s="74"/>
      <c r="T920" s="74"/>
      <c r="U920" s="74"/>
      <c r="V920" s="74"/>
      <c r="W920" s="74"/>
      <c r="X920" s="74"/>
      <c r="Y920" s="74"/>
    </row>
    <row r="921" spans="1:25" x14ac:dyDescent="0.3">
      <c r="A921" s="66">
        <f t="shared" si="94"/>
        <v>2081.3999999999169</v>
      </c>
      <c r="B921" s="67">
        <f>LOOKUP(A921+0.01,AmountsB!$A$4:$A$103,AmountsB!$B$4:$B$103)*0.1*$A$2</f>
        <v>0</v>
      </c>
      <c r="C921" s="68">
        <f t="shared" si="93"/>
        <v>2074573.74105891</v>
      </c>
      <c r="D921" s="67">
        <f t="array" ref="D921">SUM($B$7:$B916*$F$1009*EXP(-$F$1009*($A921-$A$7:$A916)))*$F$1010</f>
        <v>32043.367427626585</v>
      </c>
      <c r="E921" s="67">
        <f t="shared" si="91"/>
        <v>6.1087851210342686E-2</v>
      </c>
      <c r="F921" s="70">
        <f t="shared" si="95"/>
        <v>3.7092543254920078E-3</v>
      </c>
      <c r="G921" s="67">
        <f>E921/'Lookup Tables'!$C$48</f>
        <v>0.12217570242068537</v>
      </c>
      <c r="H921" s="70">
        <f t="shared" si="92"/>
        <v>1.5476805649611459E-5</v>
      </c>
      <c r="I921" s="71">
        <f t="shared" si="96"/>
        <v>1.7593301148578696E-4</v>
      </c>
      <c r="L921" s="74"/>
      <c r="M921" s="74"/>
      <c r="N921" s="74"/>
      <c r="O921" s="74"/>
      <c r="P921" s="74"/>
      <c r="Q921" s="74"/>
      <c r="R921" s="74"/>
      <c r="S921" s="74"/>
      <c r="T921" s="74"/>
      <c r="U921" s="74"/>
      <c r="V921" s="74"/>
      <c r="W921" s="74"/>
      <c r="X921" s="74"/>
      <c r="Y921" s="74"/>
    </row>
    <row r="922" spans="1:25" x14ac:dyDescent="0.3">
      <c r="A922" s="66">
        <f t="shared" si="94"/>
        <v>2081.4999999999168</v>
      </c>
      <c r="B922" s="67">
        <f>LOOKUP(A922+0.01,AmountsB!$A$4:$A$103,AmountsB!$B$4:$B$103)*0.1*$A$2</f>
        <v>0</v>
      </c>
      <c r="C922" s="68">
        <f t="shared" si="93"/>
        <v>2074573.74105891</v>
      </c>
      <c r="D922" s="67">
        <f t="array" ref="D922">SUM($B$7:$B917*$F$1009*EXP(-$F$1009*($A922-$A$7:$A917)))*$F$1010</f>
        <v>31597.885930295561</v>
      </c>
      <c r="E922" s="67">
        <f t="shared" si="91"/>
        <v>6.0238580062814795E-2</v>
      </c>
      <c r="F922" s="70">
        <f t="shared" si="95"/>
        <v>3.6576865814141142E-3</v>
      </c>
      <c r="G922" s="67">
        <f>E922/'Lookup Tables'!$C$48</f>
        <v>0.12047716012562959</v>
      </c>
      <c r="H922" s="70">
        <f t="shared" si="92"/>
        <v>1.526164004411564E-5</v>
      </c>
      <c r="I922" s="71">
        <f t="shared" si="96"/>
        <v>1.734871105809066E-4</v>
      </c>
      <c r="L922" s="74"/>
      <c r="M922" s="74"/>
      <c r="N922" s="74"/>
      <c r="O922" s="74"/>
      <c r="P922" s="74"/>
      <c r="Q922" s="74"/>
      <c r="R922" s="74"/>
      <c r="S922" s="74"/>
      <c r="T922" s="74"/>
      <c r="U922" s="74"/>
      <c r="V922" s="74"/>
      <c r="W922" s="74"/>
      <c r="X922" s="74"/>
      <c r="Y922" s="74"/>
    </row>
    <row r="923" spans="1:25" x14ac:dyDescent="0.3">
      <c r="A923" s="66">
        <f t="shared" si="94"/>
        <v>2081.5999999999167</v>
      </c>
      <c r="B923" s="67">
        <f>LOOKUP(A923+0.01,AmountsB!$A$4:$A$103,AmountsB!$B$4:$B$103)*0.1*$A$2</f>
        <v>0</v>
      </c>
      <c r="C923" s="68">
        <f t="shared" si="93"/>
        <v>2074573.74105891</v>
      </c>
      <c r="D923" s="67">
        <f t="array" ref="D923">SUM($B$7:$B918*$F$1009*EXP(-$F$1009*($A923-$A$7:$A918)))*$F$1010</f>
        <v>31158.597719762882</v>
      </c>
      <c r="E923" s="67">
        <f t="shared" si="91"/>
        <v>5.940111586982421E-2</v>
      </c>
      <c r="F923" s="70">
        <f t="shared" si="95"/>
        <v>3.6068357556157263E-3</v>
      </c>
      <c r="G923" s="67">
        <f>E923/'Lookup Tables'!$C$48</f>
        <v>0.11880223173964842</v>
      </c>
      <c r="H923" s="70">
        <f t="shared" si="92"/>
        <v>1.5049465768926379E-5</v>
      </c>
      <c r="I923" s="71">
        <f t="shared" si="96"/>
        <v>1.7107521370509371E-4</v>
      </c>
      <c r="L923" s="74"/>
      <c r="M923" s="74"/>
      <c r="N923" s="74"/>
      <c r="O923" s="74"/>
      <c r="P923" s="74"/>
      <c r="Q923" s="74"/>
      <c r="R923" s="74"/>
      <c r="S923" s="74"/>
      <c r="T923" s="74"/>
      <c r="U923" s="74"/>
      <c r="V923" s="74"/>
      <c r="W923" s="74"/>
      <c r="X923" s="74"/>
      <c r="Y923" s="74"/>
    </row>
    <row r="924" spans="1:25" x14ac:dyDescent="0.3">
      <c r="A924" s="66">
        <f t="shared" si="94"/>
        <v>2081.6999999999166</v>
      </c>
      <c r="B924" s="67">
        <f>LOOKUP(A924+0.01,AmountsB!$A$4:$A$103,AmountsB!$B$4:$B$103)*0.1*$A$2</f>
        <v>0</v>
      </c>
      <c r="C924" s="68">
        <f t="shared" si="93"/>
        <v>2074573.74105891</v>
      </c>
      <c r="D924" s="67">
        <f t="array" ref="D924">SUM($B$7:$B919*$F$1009*EXP(-$F$1009*($A924-$A$7:$A919)))*$F$1010</f>
        <v>30725.416694132982</v>
      </c>
      <c r="E924" s="67">
        <f t="shared" si="91"/>
        <v>5.8575294485708126E-2</v>
      </c>
      <c r="F924" s="70">
        <f t="shared" si="95"/>
        <v>3.5566918811721976E-3</v>
      </c>
      <c r="G924" s="67">
        <f>E924/'Lookup Tables'!$C$48</f>
        <v>0.11715058897141625</v>
      </c>
      <c r="H924" s="70">
        <f t="shared" si="92"/>
        <v>1.4840241237206496E-5</v>
      </c>
      <c r="I924" s="71">
        <f t="shared" si="96"/>
        <v>1.686968481188394E-4</v>
      </c>
      <c r="L924" s="74"/>
      <c r="M924" s="74"/>
      <c r="N924" s="74"/>
      <c r="O924" s="74"/>
      <c r="P924" s="74"/>
      <c r="Q924" s="74"/>
      <c r="R924" s="74"/>
      <c r="S924" s="74"/>
      <c r="T924" s="74"/>
      <c r="U924" s="74"/>
      <c r="V924" s="74"/>
      <c r="W924" s="74"/>
      <c r="X924" s="74"/>
      <c r="Y924" s="74"/>
    </row>
    <row r="925" spans="1:25" x14ac:dyDescent="0.3">
      <c r="A925" s="66">
        <f t="shared" si="94"/>
        <v>2081.7999999999165</v>
      </c>
      <c r="B925" s="67">
        <f>LOOKUP(A925+0.01,AmountsB!$A$4:$A$103,AmountsB!$B$4:$B$103)*0.1*$A$2</f>
        <v>0</v>
      </c>
      <c r="C925" s="68">
        <f t="shared" si="93"/>
        <v>2074573.74105891</v>
      </c>
      <c r="D925" s="67">
        <f t="array" ref="D925">SUM($B$7:$B920*$F$1009*EXP(-$F$1009*($A925-$A$7:$A920)))*$F$1010</f>
        <v>30298.257948538063</v>
      </c>
      <c r="E925" s="67">
        <f t="shared" si="91"/>
        <v>5.7760954046831479E-2</v>
      </c>
      <c r="F925" s="70">
        <f t="shared" si="95"/>
        <v>3.5072451297236077E-3</v>
      </c>
      <c r="G925" s="67">
        <f>E925/'Lookup Tables'!$C$48</f>
        <v>0.11552190809366296</v>
      </c>
      <c r="H925" s="70">
        <f t="shared" si="92"/>
        <v>1.4633925440277967E-5</v>
      </c>
      <c r="I925" s="71">
        <f t="shared" si="96"/>
        <v>1.6635154765487465E-4</v>
      </c>
      <c r="L925" s="74"/>
      <c r="M925" s="74"/>
      <c r="N925" s="74"/>
      <c r="O925" s="74"/>
      <c r="P925" s="74"/>
      <c r="Q925" s="74"/>
      <c r="R925" s="74"/>
      <c r="S925" s="74"/>
      <c r="T925" s="74"/>
      <c r="U925" s="74"/>
      <c r="V925" s="74"/>
      <c r="W925" s="74"/>
      <c r="X925" s="74"/>
      <c r="Y925" s="74"/>
    </row>
    <row r="926" spans="1:25" x14ac:dyDescent="0.3">
      <c r="A926" s="66">
        <f t="shared" si="94"/>
        <v>2081.8999999999164</v>
      </c>
      <c r="B926" s="67">
        <f>LOOKUP(A926+0.01,AmountsB!$A$4:$A$103,AmountsB!$B$4:$B$103)*0.1*$A$2</f>
        <v>0</v>
      </c>
      <c r="C926" s="68">
        <f t="shared" si="93"/>
        <v>2074573.74105891</v>
      </c>
      <c r="D926" s="67">
        <f t="array" ref="D926">SUM($B$7:$B921*$F$1009*EXP(-$F$1009*($A926-$A$7:$A921)))*$F$1010</f>
        <v>29877.037758496499</v>
      </c>
      <c r="E926" s="67">
        <f t="shared" si="91"/>
        <v>5.6957934939861267E-2</v>
      </c>
      <c r="F926" s="70">
        <f t="shared" si="95"/>
        <v>3.4584858095483765E-3</v>
      </c>
      <c r="G926" s="67">
        <f>E926/'Lookup Tables'!$C$48</f>
        <v>0.11391586987972253</v>
      </c>
      <c r="H926" s="70">
        <f t="shared" si="92"/>
        <v>1.4430477939584111E-5</v>
      </c>
      <c r="I926" s="71">
        <f t="shared" si="96"/>
        <v>1.6403885262680047E-4</v>
      </c>
      <c r="L926" s="74"/>
      <c r="M926" s="74"/>
      <c r="N926" s="74"/>
      <c r="O926" s="74"/>
      <c r="P926" s="74"/>
      <c r="Q926" s="74"/>
      <c r="R926" s="74"/>
      <c r="S926" s="74"/>
      <c r="T926" s="74"/>
      <c r="U926" s="74"/>
      <c r="V926" s="74"/>
      <c r="W926" s="74"/>
      <c r="X926" s="74"/>
      <c r="Y926" s="74"/>
    </row>
    <row r="927" spans="1:25" x14ac:dyDescent="0.3">
      <c r="A927" s="66">
        <f t="shared" si="94"/>
        <v>2081.9999999999163</v>
      </c>
      <c r="B927" s="67">
        <f>LOOKUP(A927+0.01,AmountsB!$A$4:$A$103,AmountsB!$B$4:$B$103)*0.1*$A$2</f>
        <v>0</v>
      </c>
      <c r="C927" s="68">
        <f t="shared" si="93"/>
        <v>2074573.74105891</v>
      </c>
      <c r="D927" s="67">
        <f t="array" ref="D927">SUM($B$7:$B922*$F$1009*EXP(-$F$1009*($A927-$A$7:$A922)))*$F$1010</f>
        <v>29461.673563502569</v>
      </c>
      <c r="E927" s="67">
        <f t="shared" si="91"/>
        <v>5.6166079770481755E-2</v>
      </c>
      <c r="F927" s="70">
        <f t="shared" si="95"/>
        <v>3.4104043636636523E-3</v>
      </c>
      <c r="G927" s="67">
        <f>E927/'Lookup Tables'!$C$48</f>
        <v>0.11233215954096351</v>
      </c>
      <c r="H927" s="70">
        <f t="shared" si="92"/>
        <v>1.4229858858763474E-5</v>
      </c>
      <c r="I927" s="71">
        <f t="shared" si="96"/>
        <v>1.6175830973898746E-4</v>
      </c>
      <c r="L927" s="74"/>
      <c r="M927" s="74"/>
      <c r="N927" s="74"/>
      <c r="O927" s="74"/>
      <c r="P927" s="74"/>
      <c r="Q927" s="74"/>
      <c r="R927" s="74"/>
      <c r="S927" s="74"/>
      <c r="T927" s="74"/>
      <c r="U927" s="74"/>
      <c r="V927" s="74"/>
      <c r="W927" s="74"/>
      <c r="X927" s="74"/>
      <c r="Y927" s="74"/>
    </row>
    <row r="928" spans="1:25" x14ac:dyDescent="0.3">
      <c r="A928" s="66">
        <f t="shared" si="94"/>
        <v>2082.0999999999162</v>
      </c>
      <c r="B928" s="67">
        <f>LOOKUP(A928+0.01,AmountsB!$A$4:$A$103,AmountsB!$B$4:$B$103)*0.1*$A$2</f>
        <v>0</v>
      </c>
      <c r="C928" s="68">
        <f t="shared" si="93"/>
        <v>2074573.74105891</v>
      </c>
      <c r="D928" s="67">
        <f t="array" ref="D928">SUM($B$7:$B923*$F$1009*EXP(-$F$1009*($A928-$A$7:$A923)))*$F$1010</f>
        <v>29052.083950844339</v>
      </c>
      <c r="E928" s="67">
        <f t="shared" si="91"/>
        <v>5.5385233332544782E-2</v>
      </c>
      <c r="F928" s="70">
        <f t="shared" si="95"/>
        <v>3.3629913679521194E-3</v>
      </c>
      <c r="G928" s="67">
        <f>E928/'Lookup Tables'!$C$48</f>
        <v>0.11077046666508956</v>
      </c>
      <c r="H928" s="70">
        <f t="shared" si="92"/>
        <v>1.4032028875833972E-5</v>
      </c>
      <c r="I928" s="71">
        <f t="shared" si="96"/>
        <v>1.5950947199772897E-4</v>
      </c>
      <c r="L928" s="74"/>
      <c r="M928" s="74"/>
      <c r="N928" s="74"/>
      <c r="O928" s="74"/>
      <c r="P928" s="74"/>
      <c r="Q928" s="74"/>
      <c r="R928" s="74"/>
      <c r="S928" s="74"/>
      <c r="T928" s="74"/>
      <c r="U928" s="74"/>
      <c r="V928" s="74"/>
      <c r="W928" s="74"/>
      <c r="X928" s="74"/>
      <c r="Y928" s="74"/>
    </row>
    <row r="929" spans="1:25" x14ac:dyDescent="0.3">
      <c r="A929" s="66">
        <f t="shared" si="94"/>
        <v>2082.1999999999161</v>
      </c>
      <c r="B929" s="67">
        <f>LOOKUP(A929+0.01,AmountsB!$A$4:$A$103,AmountsB!$B$4:$B$103)*0.1*$A$2</f>
        <v>0</v>
      </c>
      <c r="C929" s="68">
        <f t="shared" si="93"/>
        <v>2074573.74105891</v>
      </c>
      <c r="D929" s="67">
        <f t="array" ref="D929">SUM($B$7:$B924*$F$1009*EXP(-$F$1009*($A929-$A$7:$A924)))*$F$1010</f>
        <v>28648.188639646469</v>
      </c>
      <c r="E929" s="67">
        <f t="shared" si="91"/>
        <v>5.4615242577648708E-2</v>
      </c>
      <c r="F929" s="70">
        <f t="shared" si="95"/>
        <v>3.3162375293148295E-3</v>
      </c>
      <c r="G929" s="67">
        <f>E929/'Lookup Tables'!$C$48</f>
        <v>0.10923048515529742</v>
      </c>
      <c r="H929" s="70">
        <f t="shared" si="92"/>
        <v>1.3836949215485623E-5</v>
      </c>
      <c r="I929" s="71">
        <f t="shared" si="96"/>
        <v>1.5729189862362828E-4</v>
      </c>
      <c r="L929" s="74"/>
      <c r="M929" s="74"/>
      <c r="N929" s="74"/>
      <c r="O929" s="74"/>
      <c r="P929" s="74"/>
      <c r="Q929" s="74"/>
      <c r="R929" s="74"/>
      <c r="S929" s="74"/>
      <c r="T929" s="74"/>
      <c r="U929" s="74"/>
      <c r="V929" s="74"/>
      <c r="W929" s="74"/>
      <c r="X929" s="74"/>
      <c r="Y929" s="74"/>
    </row>
    <row r="930" spans="1:25" x14ac:dyDescent="0.3">
      <c r="A930" s="66">
        <f t="shared" si="94"/>
        <v>2082.2999999999161</v>
      </c>
      <c r="B930" s="67">
        <f>LOOKUP(A930+0.01,AmountsB!$A$4:$A$103,AmountsB!$B$4:$B$103)*0.1*$A$2</f>
        <v>0</v>
      </c>
      <c r="C930" s="68">
        <f t="shared" si="93"/>
        <v>2074573.74105891</v>
      </c>
      <c r="D930" s="67">
        <f t="array" ref="D930">SUM($B$7:$B925*$F$1009*EXP(-$F$1009*($A930-$A$7:$A925)))*$F$1010</f>
        <v>28249.908465134962</v>
      </c>
      <c r="E930" s="67">
        <f t="shared" si="91"/>
        <v>5.3855956585140578E-2</v>
      </c>
      <c r="F930" s="70">
        <f t="shared" si="95"/>
        <v>3.2701336838497361E-3</v>
      </c>
      <c r="G930" s="67">
        <f>E930/'Lookup Tables'!$C$48</f>
        <v>0.10771191317028116</v>
      </c>
      <c r="H930" s="70">
        <f t="shared" si="92"/>
        <v>1.3644581641480482E-5</v>
      </c>
      <c r="I930" s="71">
        <f t="shared" si="96"/>
        <v>1.5510515496520487E-4</v>
      </c>
      <c r="L930" s="74"/>
      <c r="M930" s="74"/>
      <c r="N930" s="74"/>
      <c r="O930" s="74"/>
      <c r="P930" s="74"/>
      <c r="Q930" s="74"/>
      <c r="R930" s="74"/>
      <c r="S930" s="74"/>
      <c r="T930" s="74"/>
      <c r="U930" s="74"/>
      <c r="V930" s="74"/>
      <c r="W930" s="74"/>
      <c r="X930" s="74"/>
      <c r="Y930" s="74"/>
    </row>
    <row r="931" spans="1:25" x14ac:dyDescent="0.3">
      <c r="A931" s="66">
        <f t="shared" si="94"/>
        <v>2082.399999999916</v>
      </c>
      <c r="B931" s="67">
        <f>LOOKUP(A931+0.01,AmountsB!$A$4:$A$103,AmountsB!$B$4:$B$103)*0.1*$A$2</f>
        <v>0</v>
      </c>
      <c r="C931" s="68">
        <f t="shared" si="93"/>
        <v>2074573.74105891</v>
      </c>
      <c r="D931" s="67">
        <f t="array" ref="D931">SUM($B$7:$B926*$F$1009*EXP(-$F$1009*($A931-$A$7:$A926)))*$F$1010</f>
        <v>27857.165363120574</v>
      </c>
      <c r="E931" s="67">
        <f t="shared" si="91"/>
        <v>5.31072265325351E-2</v>
      </c>
      <c r="F931" s="70">
        <f t="shared" si="95"/>
        <v>3.2246707950555316E-3</v>
      </c>
      <c r="G931" s="67">
        <f>E931/'Lookup Tables'!$C$48</f>
        <v>0.1062144530650702</v>
      </c>
      <c r="H931" s="70">
        <f t="shared" si="92"/>
        <v>1.3454888449158202E-5</v>
      </c>
      <c r="I931" s="71">
        <f t="shared" si="96"/>
        <v>1.5294881241370109E-4</v>
      </c>
      <c r="L931" s="74"/>
      <c r="M931" s="74"/>
      <c r="N931" s="74"/>
      <c r="O931" s="74"/>
      <c r="P931" s="74"/>
      <c r="Q931" s="74"/>
      <c r="R931" s="74"/>
      <c r="S931" s="74"/>
      <c r="T931" s="74"/>
      <c r="U931" s="74"/>
      <c r="V931" s="74"/>
      <c r="W931" s="74"/>
      <c r="X931" s="74"/>
      <c r="Y931" s="74"/>
    </row>
    <row r="932" spans="1:25" x14ac:dyDescent="0.3">
      <c r="A932" s="66">
        <f t="shared" si="94"/>
        <v>2082.4999999999159</v>
      </c>
      <c r="B932" s="67">
        <f>LOOKUP(A932+0.01,AmountsB!$A$4:$A$103,AmountsB!$B$4:$B$103)*0.1*$A$2</f>
        <v>0</v>
      </c>
      <c r="C932" s="68">
        <f t="shared" si="93"/>
        <v>2074573.74105891</v>
      </c>
      <c r="D932" s="67">
        <f t="array" ref="D932">SUM($B$7:$B927*$F$1009*EXP(-$F$1009*($A932-$A$7:$A927)))*$F$1010</f>
        <v>27469.882354698002</v>
      </c>
      <c r="E932" s="67">
        <f t="shared" si="91"/>
        <v>5.2368905666345028E-2</v>
      </c>
      <c r="F932" s="70">
        <f t="shared" si="95"/>
        <v>3.1798399520604702E-3</v>
      </c>
      <c r="G932" s="67">
        <f>E932/'Lookup Tables'!$C$48</f>
        <v>0.10473781133269006</v>
      </c>
      <c r="H932" s="70">
        <f t="shared" si="92"/>
        <v>1.3267832458045819E-5</v>
      </c>
      <c r="I932" s="71">
        <f t="shared" si="96"/>
        <v>1.5082244831907368E-4</v>
      </c>
      <c r="L932" s="74"/>
      <c r="M932" s="74"/>
      <c r="N932" s="74"/>
      <c r="O932" s="74"/>
      <c r="P932" s="74"/>
      <c r="Q932" s="74"/>
      <c r="R932" s="74"/>
      <c r="S932" s="74"/>
      <c r="T932" s="74"/>
      <c r="U932" s="74"/>
      <c r="V932" s="74"/>
      <c r="W932" s="74"/>
      <c r="X932" s="74"/>
      <c r="Y932" s="74"/>
    </row>
    <row r="933" spans="1:25" x14ac:dyDescent="0.3">
      <c r="A933" s="66">
        <f t="shared" si="94"/>
        <v>2082.5999999999158</v>
      </c>
      <c r="B933" s="67">
        <f>LOOKUP(A933+0.01,AmountsB!$A$4:$A$103,AmountsB!$B$4:$B$103)*0.1*$A$2</f>
        <v>0</v>
      </c>
      <c r="C933" s="68">
        <f t="shared" si="93"/>
        <v>2074573.74105891</v>
      </c>
      <c r="D933" s="67">
        <f t="array" ref="D933">SUM($B$7:$B928*$F$1009*EXP(-$F$1009*($A933-$A$7:$A928)))*$F$1010</f>
        <v>27087.983531157763</v>
      </c>
      <c r="E933" s="67">
        <f t="shared" si="91"/>
        <v>5.1640849273316955E-2</v>
      </c>
      <c r="F933" s="70">
        <f t="shared" si="95"/>
        <v>3.1356323678758059E-3</v>
      </c>
      <c r="G933" s="67">
        <f>E933/'Lookup Tables'!$C$48</f>
        <v>0.10328169854663391</v>
      </c>
      <c r="H933" s="70">
        <f t="shared" si="92"/>
        <v>1.3083377004570239E-5</v>
      </c>
      <c r="I933" s="71">
        <f t="shared" si="96"/>
        <v>1.4872564590715285E-4</v>
      </c>
      <c r="L933" s="74"/>
      <c r="M933" s="74"/>
      <c r="N933" s="74"/>
      <c r="O933" s="74"/>
      <c r="P933" s="74"/>
      <c r="Q933" s="74"/>
      <c r="R933" s="74"/>
      <c r="S933" s="74"/>
      <c r="T933" s="74"/>
      <c r="U933" s="74"/>
      <c r="V933" s="74"/>
      <c r="W933" s="74"/>
      <c r="X933" s="74"/>
      <c r="Y933" s="74"/>
    </row>
    <row r="934" spans="1:25" x14ac:dyDescent="0.3">
      <c r="A934" s="66">
        <f t="shared" si="94"/>
        <v>2082.6999999999157</v>
      </c>
      <c r="B934" s="67">
        <f>LOOKUP(A934+0.01,AmountsB!$A$4:$A$103,AmountsB!$B$4:$B$103)*0.1*$A$2</f>
        <v>0</v>
      </c>
      <c r="C934" s="68">
        <f t="shared" si="93"/>
        <v>2074573.74105891</v>
      </c>
      <c r="D934" s="67">
        <f t="array" ref="D934">SUM($B$7:$B929*$F$1009*EXP(-$F$1009*($A934-$A$7:$A929)))*$F$1010</f>
        <v>26711.394039107858</v>
      </c>
      <c r="E934" s="67">
        <f t="shared" si="91"/>
        <v>5.0922914652067094E-2</v>
      </c>
      <c r="F934" s="70">
        <f t="shared" si="95"/>
        <v>3.092039377673514E-3</v>
      </c>
      <c r="G934" s="67">
        <f>E934/'Lookup Tables'!$C$48</f>
        <v>0.10184582930413419</v>
      </c>
      <c r="H934" s="70">
        <f t="shared" si="92"/>
        <v>1.2901485934872072E-5</v>
      </c>
      <c r="I934" s="71">
        <f t="shared" si="96"/>
        <v>1.4665799419795323E-4</v>
      </c>
      <c r="L934" s="74"/>
      <c r="M934" s="74"/>
      <c r="N934" s="74"/>
      <c r="O934" s="74"/>
      <c r="P934" s="74"/>
      <c r="Q934" s="74"/>
      <c r="R934" s="74"/>
      <c r="S934" s="74"/>
      <c r="T934" s="74"/>
      <c r="U934" s="74"/>
      <c r="V934" s="74"/>
      <c r="W934" s="74"/>
      <c r="X934" s="74"/>
      <c r="Y934" s="74"/>
    </row>
    <row r="935" spans="1:25" x14ac:dyDescent="0.3">
      <c r="A935" s="66">
        <f t="shared" si="94"/>
        <v>2082.7999999999156</v>
      </c>
      <c r="B935" s="67">
        <f>LOOKUP(A935+0.01,AmountsB!$A$4:$A$103,AmountsB!$B$4:$B$103)*0.1*$A$2</f>
        <v>0</v>
      </c>
      <c r="C935" s="68">
        <f t="shared" si="93"/>
        <v>2074573.74105891</v>
      </c>
      <c r="D935" s="67">
        <f t="array" ref="D935">SUM($B$7:$B930*$F$1009*EXP(-$F$1009*($A935-$A$7:$A930)))*$F$1010</f>
        <v>26340.040065802244</v>
      </c>
      <c r="E935" s="67">
        <f t="shared" si="91"/>
        <v>5.0214961085111323E-2</v>
      </c>
      <c r="F935" s="70">
        <f t="shared" si="95"/>
        <v>3.0490524370879592E-3</v>
      </c>
      <c r="G935" s="67">
        <f>E935/'Lookup Tables'!$C$48</f>
        <v>0.10042992217022265</v>
      </c>
      <c r="H935" s="70">
        <f t="shared" si="92"/>
        <v>1.2722123597719366E-5</v>
      </c>
      <c r="I935" s="71">
        <f t="shared" si="96"/>
        <v>1.446190879251206E-4</v>
      </c>
      <c r="L935" s="74"/>
      <c r="M935" s="74"/>
      <c r="N935" s="74"/>
      <c r="O935" s="74"/>
      <c r="P935" s="74"/>
      <c r="Q935" s="74"/>
      <c r="R935" s="74"/>
      <c r="S935" s="74"/>
      <c r="T935" s="74"/>
      <c r="U935" s="74"/>
      <c r="V935" s="74"/>
      <c r="W935" s="74"/>
      <c r="X935" s="74"/>
      <c r="Y935" s="74"/>
    </row>
    <row r="936" spans="1:25" x14ac:dyDescent="0.3">
      <c r="A936" s="66">
        <f t="shared" si="94"/>
        <v>2082.8999999999155</v>
      </c>
      <c r="B936" s="67">
        <f>LOOKUP(A936+0.01,AmountsB!$A$4:$A$103,AmountsB!$B$4:$B$103)*0.1*$A$2</f>
        <v>0</v>
      </c>
      <c r="C936" s="68">
        <f t="shared" si="93"/>
        <v>2074573.74105891</v>
      </c>
      <c r="D936" s="67">
        <f t="array" ref="D936">SUM($B$7:$B931*$F$1009*EXP(-$F$1009*($A936-$A$7:$A931)))*$F$1010</f>
        <v>25973.84882467331</v>
      </c>
      <c r="E936" s="67">
        <f t="shared" si="91"/>
        <v>4.9516849811284069E-2</v>
      </c>
      <c r="F936" s="70">
        <f t="shared" si="95"/>
        <v>3.0066631205411688E-3</v>
      </c>
      <c r="G936" s="67">
        <f>E936/'Lookup Tables'!$C$48</f>
        <v>9.9033699622568139E-2</v>
      </c>
      <c r="H936" s="70">
        <f t="shared" si="92"/>
        <v>1.2545254837519831E-5</v>
      </c>
      <c r="I936" s="71">
        <f t="shared" si="96"/>
        <v>1.4260852745649812E-4</v>
      </c>
      <c r="L936" s="74"/>
      <c r="M936" s="74"/>
      <c r="N936" s="74"/>
      <c r="O936" s="74"/>
      <c r="P936" s="74"/>
      <c r="Q936" s="74"/>
      <c r="R936" s="74"/>
      <c r="S936" s="74"/>
      <c r="T936" s="74"/>
      <c r="U936" s="74"/>
      <c r="V936" s="74"/>
      <c r="W936" s="74"/>
      <c r="X936" s="74"/>
      <c r="Y936" s="74"/>
    </row>
    <row r="937" spans="1:25" x14ac:dyDescent="0.3">
      <c r="A937" s="66">
        <f t="shared" si="94"/>
        <v>2082.9999999999154</v>
      </c>
      <c r="B937" s="67">
        <f>LOOKUP(A937+0.01,AmountsB!$A$4:$A$103,AmountsB!$B$4:$B$103)*0.1*$A$2</f>
        <v>0</v>
      </c>
      <c r="C937" s="68">
        <f t="shared" si="93"/>
        <v>2074573.74105891</v>
      </c>
      <c r="D937" s="67">
        <f t="array" ref="D937">SUM($B$7:$B932*$F$1009*EXP(-$F$1009*($A937-$A$7:$A932)))*$F$1010</f>
        <v>25612.748541065503</v>
      </c>
      <c r="E937" s="67">
        <f t="shared" si="91"/>
        <v>4.8828443998540805E-2</v>
      </c>
      <c r="F937" s="70">
        <f t="shared" si="95"/>
        <v>2.9648631195913979E-3</v>
      </c>
      <c r="G937" s="67">
        <f>E937/'Lookup Tables'!$C$48</f>
        <v>9.7656887997081609E-2</v>
      </c>
      <c r="H937" s="70">
        <f t="shared" si="92"/>
        <v>1.2370844987430255E-5</v>
      </c>
      <c r="I937" s="71">
        <f t="shared" si="96"/>
        <v>1.4062591871579752E-4</v>
      </c>
      <c r="L937" s="74"/>
      <c r="M937" s="74"/>
      <c r="N937" s="74"/>
      <c r="O937" s="74"/>
      <c r="P937" s="74"/>
      <c r="Q937" s="74"/>
      <c r="R937" s="74"/>
      <c r="S937" s="74"/>
      <c r="T937" s="74"/>
      <c r="U937" s="74"/>
      <c r="V937" s="74"/>
      <c r="W937" s="74"/>
      <c r="X937" s="74"/>
      <c r="Y937" s="74"/>
    </row>
    <row r="938" spans="1:25" x14ac:dyDescent="0.3">
      <c r="A938" s="66">
        <f t="shared" si="94"/>
        <v>2083.0999999999153</v>
      </c>
      <c r="B938" s="67">
        <f>LOOKUP(A938+0.01,AmountsB!$A$4:$A$103,AmountsB!$B$4:$B$103)*0.1*$A$2</f>
        <v>0</v>
      </c>
      <c r="C938" s="68">
        <f t="shared" si="93"/>
        <v>2074573.74105891</v>
      </c>
      <c r="D938" s="67">
        <f t="array" ref="D938">SUM($B$7:$B933*$F$1009*EXP(-$F$1009*($A938-$A$7:$A933)))*$F$1010</f>
        <v>25256.668438167217</v>
      </c>
      <c r="E938" s="67">
        <f t="shared" si="91"/>
        <v>4.8149608717138387E-2</v>
      </c>
      <c r="F938" s="70">
        <f t="shared" si="95"/>
        <v>2.9236442413046429E-3</v>
      </c>
      <c r="G938" s="67">
        <f>E938/'Lookup Tables'!$C$48</f>
        <v>9.6299217434276774E-2</v>
      </c>
      <c r="H938" s="70">
        <f t="shared" si="92"/>
        <v>1.2198859862561666E-5</v>
      </c>
      <c r="I938" s="71">
        <f t="shared" si="96"/>
        <v>1.3867087310535857E-4</v>
      </c>
      <c r="L938" s="74"/>
      <c r="M938" s="74"/>
      <c r="N938" s="74"/>
      <c r="O938" s="74"/>
      <c r="P938" s="74"/>
      <c r="Q938" s="74"/>
      <c r="R938" s="74"/>
      <c r="S938" s="74"/>
      <c r="T938" s="74"/>
      <c r="U938" s="74"/>
      <c r="V938" s="74"/>
      <c r="W938" s="74"/>
      <c r="X938" s="74"/>
      <c r="Y938" s="74"/>
    </row>
    <row r="939" spans="1:25" x14ac:dyDescent="0.3">
      <c r="A939" s="66">
        <f t="shared" si="94"/>
        <v>2083.1999999999152</v>
      </c>
      <c r="B939" s="67">
        <f>LOOKUP(A939+0.01,AmountsB!$A$4:$A$103,AmountsB!$B$4:$B$103)*0.1*$A$2</f>
        <v>0</v>
      </c>
      <c r="C939" s="68">
        <f t="shared" si="93"/>
        <v>2074573.74105891</v>
      </c>
      <c r="D939" s="67">
        <f t="array" ref="D939">SUM($B$7:$B934*$F$1009*EXP(-$F$1009*($A939-$A$7:$A934)))*$F$1010</f>
        <v>24905.538723138339</v>
      </c>
      <c r="E939" s="67">
        <f t="shared" si="91"/>
        <v>4.748021091318845E-2</v>
      </c>
      <c r="F939" s="70">
        <f t="shared" si="95"/>
        <v>2.8829984066488026E-3</v>
      </c>
      <c r="G939" s="67">
        <f>E939/'Lookup Tables'!$C$48</f>
        <v>9.4960421826376901E-2</v>
      </c>
      <c r="H939" s="70">
        <f t="shared" si="92"/>
        <v>1.2029265753279005E-5</v>
      </c>
      <c r="I939" s="71">
        <f t="shared" si="96"/>
        <v>1.3674300742998275E-4</v>
      </c>
      <c r="L939" s="74"/>
      <c r="M939" s="74"/>
      <c r="N939" s="74"/>
      <c r="O939" s="74"/>
      <c r="P939" s="74"/>
      <c r="Q939" s="74"/>
      <c r="R939" s="74"/>
      <c r="S939" s="74"/>
      <c r="T939" s="74"/>
      <c r="U939" s="74"/>
      <c r="V939" s="74"/>
      <c r="W939" s="74"/>
      <c r="X939" s="74"/>
      <c r="Y939" s="74"/>
    </row>
    <row r="940" spans="1:25" x14ac:dyDescent="0.3">
      <c r="A940" s="66">
        <f t="shared" si="94"/>
        <v>2083.2999999999151</v>
      </c>
      <c r="B940" s="67">
        <f>LOOKUP(A940+0.01,AmountsB!$A$4:$A$103,AmountsB!$B$4:$B$103)*0.1*$A$2</f>
        <v>0</v>
      </c>
      <c r="C940" s="68">
        <f t="shared" si="93"/>
        <v>2074573.74105891</v>
      </c>
      <c r="D940" s="67">
        <f t="array" ref="D940">SUM($B$7:$B935*$F$1009*EXP(-$F$1009*($A940-$A$7:$A935)))*$F$1010</f>
        <v>24559.290573430641</v>
      </c>
      <c r="E940" s="67">
        <f t="shared" si="91"/>
        <v>4.6820119382578455E-2</v>
      </c>
      <c r="F940" s="70">
        <f t="shared" si="95"/>
        <v>2.8429176489101638E-3</v>
      </c>
      <c r="G940" s="67">
        <f>E940/'Lookup Tables'!$C$48</f>
        <v>9.3640238765156911E-2</v>
      </c>
      <c r="H940" s="70">
        <f t="shared" si="92"/>
        <v>1.186202941859392E-5</v>
      </c>
      <c r="I940" s="71">
        <f t="shared" si="96"/>
        <v>1.3484194382182597E-4</v>
      </c>
      <c r="L940" s="74"/>
      <c r="M940" s="74"/>
      <c r="N940" s="74"/>
      <c r="O940" s="74"/>
      <c r="P940" s="74"/>
      <c r="Q940" s="74"/>
      <c r="R940" s="74"/>
      <c r="S940" s="74"/>
      <c r="T940" s="74"/>
      <c r="U940" s="74"/>
      <c r="V940" s="74"/>
      <c r="W940" s="74"/>
      <c r="X940" s="74"/>
      <c r="Y940" s="74"/>
    </row>
    <row r="941" spans="1:25" x14ac:dyDescent="0.3">
      <c r="A941" s="66">
        <f t="shared" si="94"/>
        <v>2083.3999999999151</v>
      </c>
      <c r="B941" s="67">
        <f>LOOKUP(A941+0.01,AmountsB!$A$4:$A$103,AmountsB!$B$4:$B$103)*0.1*$A$2</f>
        <v>0</v>
      </c>
      <c r="C941" s="68">
        <f t="shared" si="93"/>
        <v>2074573.74105891</v>
      </c>
      <c r="D941" s="67">
        <f t="array" ref="D941">SUM($B$7:$B936*$F$1009*EXP(-$F$1009*($A941-$A$7:$A936)))*$F$1010</f>
        <v>24217.856123298319</v>
      </c>
      <c r="E941" s="67">
        <f t="shared" si="91"/>
        <v>4.6169204745255231E-2</v>
      </c>
      <c r="F941" s="70">
        <f t="shared" si="95"/>
        <v>2.8033941121318978E-3</v>
      </c>
      <c r="G941" s="67">
        <f>E941/'Lookup Tables'!$C$48</f>
        <v>9.2338409490510462E-2</v>
      </c>
      <c r="H941" s="70">
        <f t="shared" si="92"/>
        <v>1.1697118079649438E-5</v>
      </c>
      <c r="I941" s="71">
        <f t="shared" si="96"/>
        <v>1.3296730966633506E-4</v>
      </c>
      <c r="L941" s="74"/>
      <c r="M941" s="74"/>
      <c r="N941" s="74"/>
      <c r="O941" s="74"/>
      <c r="P941" s="74"/>
      <c r="Q941" s="74"/>
      <c r="R941" s="74"/>
      <c r="S941" s="74"/>
      <c r="T941" s="74"/>
      <c r="U941" s="74"/>
      <c r="V941" s="74"/>
      <c r="W941" s="74"/>
      <c r="X941" s="74"/>
      <c r="Y941" s="74"/>
    </row>
    <row r="942" spans="1:25" x14ac:dyDescent="0.3">
      <c r="A942" s="66">
        <f t="shared" si="94"/>
        <v>2083.499999999915</v>
      </c>
      <c r="B942" s="67">
        <f>LOOKUP(A942+0.01,AmountsB!$A$4:$A$103,AmountsB!$B$4:$B$103)*0.1*$A$2</f>
        <v>0</v>
      </c>
      <c r="C942" s="68">
        <f t="shared" si="93"/>
        <v>2074573.74105891</v>
      </c>
      <c r="D942" s="67">
        <f t="array" ref="D942">SUM($B$7:$B937*$F$1009*EXP(-$F$1009*($A942-$A$7:$A937)))*$F$1010</f>
        <v>23881.168450496087</v>
      </c>
      <c r="E942" s="67">
        <f t="shared" si="91"/>
        <v>4.5527339419866031E-2</v>
      </c>
      <c r="F942" s="70">
        <f t="shared" si="95"/>
        <v>2.7644200495742653E-3</v>
      </c>
      <c r="G942" s="67">
        <f>E942/'Lookup Tables'!$C$48</f>
        <v>9.1054678839732062E-2</v>
      </c>
      <c r="H942" s="70">
        <f t="shared" si="92"/>
        <v>1.153449941329518E-5</v>
      </c>
      <c r="I942" s="71">
        <f t="shared" si="96"/>
        <v>1.3111873752921416E-4</v>
      </c>
      <c r="L942" s="74"/>
      <c r="M942" s="74"/>
      <c r="N942" s="74"/>
      <c r="O942" s="74"/>
      <c r="P942" s="74"/>
      <c r="Q942" s="74"/>
      <c r="R942" s="74"/>
      <c r="S942" s="74"/>
      <c r="T942" s="74"/>
      <c r="U942" s="74"/>
      <c r="V942" s="74"/>
      <c r="W942" s="74"/>
      <c r="X942" s="74"/>
      <c r="Y942" s="74"/>
    </row>
    <row r="943" spans="1:25" x14ac:dyDescent="0.3">
      <c r="A943" s="66">
        <f t="shared" si="94"/>
        <v>2083.5999999999149</v>
      </c>
      <c r="B943" s="67">
        <f>LOOKUP(A943+0.01,AmountsB!$A$4:$A$103,AmountsB!$B$4:$B$103)*0.1*$A$2</f>
        <v>0</v>
      </c>
      <c r="C943" s="68">
        <f t="shared" si="93"/>
        <v>2074573.74105891</v>
      </c>
      <c r="D943" s="67">
        <f t="array" ref="D943">SUM($B$7:$B938*$F$1009*EXP(-$F$1009*($A943-$A$7:$A938)))*$F$1010</f>
        <v>23549.16156316223</v>
      </c>
      <c r="E943" s="67">
        <f t="shared" si="91"/>
        <v>4.4894397598752259E-2</v>
      </c>
      <c r="F943" s="70">
        <f t="shared" si="95"/>
        <v>2.7259878221962373E-3</v>
      </c>
      <c r="G943" s="67">
        <f>E943/'Lookup Tables'!$C$48</f>
        <v>8.9788795197504517E-2</v>
      </c>
      <c r="H943" s="70">
        <f t="shared" si="92"/>
        <v>1.1374141545751945E-5</v>
      </c>
      <c r="I943" s="71">
        <f t="shared" si="96"/>
        <v>1.2929586508440651E-4</v>
      </c>
      <c r="L943" s="74"/>
      <c r="M943" s="74"/>
      <c r="N943" s="74"/>
      <c r="O943" s="74"/>
      <c r="P943" s="74"/>
      <c r="Q943" s="74"/>
      <c r="R943" s="74"/>
      <c r="S943" s="74"/>
      <c r="T943" s="74"/>
      <c r="U943" s="74"/>
      <c r="V943" s="74"/>
      <c r="W943" s="74"/>
      <c r="X943" s="74"/>
      <c r="Y943" s="74"/>
    </row>
    <row r="944" spans="1:25" x14ac:dyDescent="0.3">
      <c r="A944" s="66">
        <f t="shared" si="94"/>
        <v>2083.6999999999148</v>
      </c>
      <c r="B944" s="67">
        <f>LOOKUP(A944+0.01,AmountsB!$A$4:$A$103,AmountsB!$B$4:$B$103)*0.1*$A$2</f>
        <v>0</v>
      </c>
      <c r="C944" s="68">
        <f t="shared" si="93"/>
        <v>2074573.74105891</v>
      </c>
      <c r="D944" s="67">
        <f t="array" ref="D944">SUM($B$7:$B939*$F$1009*EXP(-$F$1009*($A944-$A$7:$A939)))*$F$1010</f>
        <v>23221.770386883945</v>
      </c>
      <c r="E944" s="67">
        <f t="shared" si="91"/>
        <v>4.4270255223290686E-2</v>
      </c>
      <c r="F944" s="70">
        <f t="shared" si="95"/>
        <v>2.6880898971582104E-3</v>
      </c>
      <c r="G944" s="67">
        <f>E944/'Lookup Tables'!$C$48</f>
        <v>8.8540510446581372E-2</v>
      </c>
      <c r="H944" s="70">
        <f t="shared" si="92"/>
        <v>1.1216013046364328E-5</v>
      </c>
      <c r="I944" s="71">
        <f t="shared" si="96"/>
        <v>1.2749833504307719E-4</v>
      </c>
      <c r="L944" s="74"/>
      <c r="M944" s="74"/>
      <c r="N944" s="74"/>
      <c r="O944" s="74"/>
      <c r="P944" s="74"/>
      <c r="Q944" s="74"/>
      <c r="R944" s="74"/>
      <c r="S944" s="74"/>
      <c r="T944" s="74"/>
      <c r="U944" s="74"/>
      <c r="V944" s="74"/>
      <c r="W944" s="74"/>
      <c r="X944" s="74"/>
      <c r="Y944" s="74"/>
    </row>
    <row r="945" spans="1:25" x14ac:dyDescent="0.3">
      <c r="A945" s="66">
        <f t="shared" si="94"/>
        <v>2083.7999999999147</v>
      </c>
      <c r="B945" s="67">
        <f>LOOKUP(A945+0.01,AmountsB!$A$4:$A$103,AmountsB!$B$4:$B$103)*0.1*$A$2</f>
        <v>0</v>
      </c>
      <c r="C945" s="68">
        <f t="shared" si="93"/>
        <v>2074573.74105891</v>
      </c>
      <c r="D945" s="67">
        <f t="array" ref="D945">SUM($B$7:$B940*$F$1009*EXP(-$F$1009*($A945-$A$7:$A940)))*$F$1010</f>
        <v>22898.930751942597</v>
      </c>
      <c r="E945" s="67">
        <f t="shared" si="91"/>
        <v>4.3654789959577632E-2</v>
      </c>
      <c r="F945" s="70">
        <f t="shared" si="95"/>
        <v>2.6507188463455542E-3</v>
      </c>
      <c r="G945" s="67">
        <f>E945/'Lookup Tables'!$C$48</f>
        <v>8.7309579919155264E-2</v>
      </c>
      <c r="H945" s="70">
        <f t="shared" si="92"/>
        <v>1.1060082921440225E-5</v>
      </c>
      <c r="I945" s="71">
        <f t="shared" si="96"/>
        <v>1.2572579508358359E-4</v>
      </c>
      <c r="L945" s="74"/>
      <c r="M945" s="74"/>
      <c r="N945" s="74"/>
      <c r="O945" s="74"/>
      <c r="P945" s="74"/>
      <c r="Q945" s="74"/>
      <c r="R945" s="74"/>
      <c r="S945" s="74"/>
      <c r="T945" s="74"/>
      <c r="U945" s="74"/>
      <c r="V945" s="74"/>
      <c r="W945" s="74"/>
      <c r="X945" s="74"/>
      <c r="Y945" s="74"/>
    </row>
    <row r="946" spans="1:25" x14ac:dyDescent="0.3">
      <c r="A946" s="66">
        <f t="shared" si="94"/>
        <v>2083.8999999999146</v>
      </c>
      <c r="B946" s="67">
        <f>LOOKUP(A946+0.01,AmountsB!$A$4:$A$103,AmountsB!$B$4:$B$103)*0.1*$A$2</f>
        <v>0</v>
      </c>
      <c r="C946" s="68">
        <f t="shared" si="93"/>
        <v>2074573.74105891</v>
      </c>
      <c r="D946" s="67">
        <f t="array" ref="D946">SUM($B$7:$B941*$F$1009*EXP(-$F$1009*($A946-$A$7:$A941)))*$F$1010</f>
        <v>22580.579380736202</v>
      </c>
      <c r="E946" s="67">
        <f t="shared" si="91"/>
        <v>4.3047881174451075E-2</v>
      </c>
      <c r="F946" s="70">
        <f t="shared" si="95"/>
        <v>2.6138673449126694E-3</v>
      </c>
      <c r="G946" s="67">
        <f>E946/'Lookup Tables'!$C$48</f>
        <v>8.609576234890215E-2</v>
      </c>
      <c r="H946" s="70">
        <f t="shared" si="92"/>
        <v>1.0906320608175959E-5</v>
      </c>
      <c r="I946" s="71">
        <f t="shared" si="96"/>
        <v>1.2397789778241909E-4</v>
      </c>
      <c r="L946" s="74"/>
      <c r="M946" s="74"/>
      <c r="N946" s="74"/>
      <c r="O946" s="74"/>
      <c r="P946" s="74"/>
      <c r="Q946" s="74"/>
      <c r="R946" s="74"/>
      <c r="S946" s="74"/>
      <c r="T946" s="74"/>
      <c r="U946" s="74"/>
      <c r="V946" s="74"/>
      <c r="W946" s="74"/>
      <c r="X946" s="74"/>
      <c r="Y946" s="74"/>
    </row>
    <row r="947" spans="1:25" x14ac:dyDescent="0.3">
      <c r="A947" s="66">
        <f t="shared" si="94"/>
        <v>2083.9999999999145</v>
      </c>
      <c r="B947" s="67">
        <f>LOOKUP(A947+0.01,AmountsB!$A$4:$A$103,AmountsB!$B$4:$B$103)*0.1*$A$2</f>
        <v>0</v>
      </c>
      <c r="C947" s="68">
        <f t="shared" si="93"/>
        <v>2074573.74105891</v>
      </c>
      <c r="D947" s="67">
        <f t="array" ref="D947">SUM($B$7:$B942*$F$1009*EXP(-$F$1009*($A947-$A$7:$A942)))*$F$1010</f>
        <v>22266.653875376869</v>
      </c>
      <c r="E947" s="67">
        <f t="shared" si="91"/>
        <v>4.2449409911846231E-2</v>
      </c>
      <c r="F947" s="70">
        <f t="shared" si="95"/>
        <v>2.5775281698473033E-3</v>
      </c>
      <c r="G947" s="67">
        <f>E947/'Lookup Tables'!$C$48</f>
        <v>8.4898819823692462E-2</v>
      </c>
      <c r="H947" s="70">
        <f t="shared" si="92"/>
        <v>1.0754695968665893E-5</v>
      </c>
      <c r="I947" s="71">
        <f t="shared" si="96"/>
        <v>1.2225430054611715E-4</v>
      </c>
      <c r="L947" s="74"/>
      <c r="M947" s="74"/>
      <c r="N947" s="74"/>
      <c r="O947" s="74"/>
      <c r="P947" s="74"/>
      <c r="Q947" s="74"/>
      <c r="R947" s="74"/>
      <c r="S947" s="74"/>
      <c r="T947" s="74"/>
      <c r="U947" s="74"/>
      <c r="V947" s="74"/>
      <c r="W947" s="74"/>
      <c r="X947" s="74"/>
      <c r="Y947" s="74"/>
    </row>
    <row r="948" spans="1:25" x14ac:dyDescent="0.3">
      <c r="A948" s="66">
        <f t="shared" si="94"/>
        <v>2084.0999999999144</v>
      </c>
      <c r="B948" s="67">
        <f>LOOKUP(A948+0.01,AmountsB!$A$4:$A$103,AmountsB!$B$4:$B$103)*0.1*$A$2</f>
        <v>0</v>
      </c>
      <c r="C948" s="68">
        <f t="shared" si="93"/>
        <v>2074573.74105891</v>
      </c>
      <c r="D948" s="67">
        <f t="array" ref="D948">SUM($B$7:$B943*$F$1009*EXP(-$F$1009*($A948-$A$7:$A943)))*$F$1010</f>
        <v>21957.092705460542</v>
      </c>
      <c r="E948" s="67">
        <f t="shared" si="91"/>
        <v>4.1859258869479679E-2</v>
      </c>
      <c r="F948" s="70">
        <f t="shared" si="95"/>
        <v>2.541694198554806E-3</v>
      </c>
      <c r="G948" s="67">
        <f>E948/'Lookup Tables'!$C$48</f>
        <v>8.3718517738959358E-2</v>
      </c>
      <c r="H948" s="70">
        <f t="shared" si="92"/>
        <v>1.0605179283995267E-5</v>
      </c>
      <c r="I948" s="71">
        <f t="shared" si="96"/>
        <v>1.2055466554410146E-4</v>
      </c>
      <c r="L948" s="74"/>
      <c r="M948" s="74"/>
      <c r="N948" s="74"/>
      <c r="O948" s="74"/>
      <c r="P948" s="74"/>
      <c r="Q948" s="74"/>
      <c r="R948" s="74"/>
      <c r="S948" s="74"/>
      <c r="T948" s="74"/>
      <c r="U948" s="74"/>
      <c r="V948" s="74"/>
      <c r="W948" s="74"/>
      <c r="X948" s="74"/>
      <c r="Y948" s="74"/>
    </row>
    <row r="949" spans="1:25" x14ac:dyDescent="0.3">
      <c r="A949" s="66">
        <f t="shared" si="94"/>
        <v>2084.1999999999143</v>
      </c>
      <c r="B949" s="67">
        <f>LOOKUP(A949+0.01,AmountsB!$A$4:$A$103,AmountsB!$B$4:$B$103)*0.1*$A$2</f>
        <v>0</v>
      </c>
      <c r="C949" s="68">
        <f t="shared" si="93"/>
        <v>2074573.74105891</v>
      </c>
      <c r="D949" s="67">
        <f t="array" ref="D949">SUM($B$7:$B944*$F$1009*EXP(-$F$1009*($A949-$A$7:$A944)))*$F$1010</f>
        <v>21651.835196006916</v>
      </c>
      <c r="E949" s="67">
        <f t="shared" si="91"/>
        <v>4.1277312375857862E-2</v>
      </c>
      <c r="F949" s="70">
        <f t="shared" si="95"/>
        <v>2.5063584074620894E-3</v>
      </c>
      <c r="G949" s="67">
        <f>E949/'Lookup Tables'!$C$48</f>
        <v>8.2554624751715724E-2</v>
      </c>
      <c r="H949" s="70">
        <f t="shared" si="92"/>
        <v>1.0457741248415245E-5</v>
      </c>
      <c r="I949" s="71">
        <f t="shared" si="96"/>
        <v>1.1887865964247063E-4</v>
      </c>
      <c r="L949" s="74"/>
      <c r="M949" s="74"/>
      <c r="N949" s="74"/>
      <c r="O949" s="74"/>
      <c r="P949" s="74"/>
      <c r="Q949" s="74"/>
      <c r="R949" s="74"/>
      <c r="S949" s="74"/>
      <c r="T949" s="74"/>
      <c r="U949" s="74"/>
      <c r="V949" s="74"/>
      <c r="W949" s="74"/>
      <c r="X949" s="74"/>
      <c r="Y949" s="74"/>
    </row>
    <row r="950" spans="1:25" x14ac:dyDescent="0.3">
      <c r="A950" s="66">
        <f t="shared" si="94"/>
        <v>2084.2999999999142</v>
      </c>
      <c r="B950" s="67">
        <f>LOOKUP(A950+0.01,AmountsB!$A$4:$A$103,AmountsB!$B$4:$B$103)*0.1*$A$2</f>
        <v>0</v>
      </c>
      <c r="C950" s="68">
        <f t="shared" si="93"/>
        <v>2074573.74105891</v>
      </c>
      <c r="D950" s="67">
        <f t="array" ref="D950">SUM($B$7:$B945*$F$1009*EXP(-$F$1009*($A950-$A$7:$A945)))*$F$1010</f>
        <v>21350.821515566888</v>
      </c>
      <c r="E950" s="67">
        <f t="shared" si="91"/>
        <v>4.070345636760498E-2</v>
      </c>
      <c r="F950" s="70">
        <f t="shared" si="95"/>
        <v>2.4715138706409745E-3</v>
      </c>
      <c r="G950" s="67">
        <f>E950/'Lookup Tables'!$C$48</f>
        <v>8.140691273520996E-2</v>
      </c>
      <c r="H950" s="70">
        <f t="shared" si="92"/>
        <v>1.0312352963598837E-5</v>
      </c>
      <c r="I950" s="71">
        <f t="shared" si="96"/>
        <v>1.1722595433870233E-4</v>
      </c>
      <c r="L950" s="74"/>
      <c r="M950" s="74"/>
      <c r="N950" s="74"/>
      <c r="O950" s="74"/>
      <c r="P950" s="74"/>
      <c r="Q950" s="74"/>
      <c r="R950" s="74"/>
      <c r="S950" s="74"/>
      <c r="T950" s="74"/>
      <c r="U950" s="74"/>
      <c r="V950" s="74"/>
      <c r="W950" s="74"/>
      <c r="X950" s="74"/>
      <c r="Y950" s="74"/>
    </row>
    <row r="951" spans="1:25" x14ac:dyDescent="0.3">
      <c r="A951" s="66">
        <f t="shared" si="94"/>
        <v>2084.3999999999141</v>
      </c>
      <c r="B951" s="67">
        <f>LOOKUP(A951+0.01,AmountsB!$A$4:$A$103,AmountsB!$B$4:$B$103)*0.1*$A$2</f>
        <v>0</v>
      </c>
      <c r="C951" s="68">
        <f t="shared" si="93"/>
        <v>2074573.74105891</v>
      </c>
      <c r="D951" s="67">
        <f t="array" ref="D951">SUM($B$7:$B946*$F$1009*EXP(-$F$1009*($A951-$A$7:$A946)))*$F$1010</f>
        <v>21053.992664495458</v>
      </c>
      <c r="E951" s="67">
        <f t="shared" si="91"/>
        <v>4.0137578367106345E-2</v>
      </c>
      <c r="F951" s="70">
        <f t="shared" si="95"/>
        <v>2.4371537584506973E-3</v>
      </c>
      <c r="G951" s="67">
        <f>E951/'Lookup Tables'!$C$48</f>
        <v>8.0275156734212691E-2</v>
      </c>
      <c r="H951" s="70">
        <f t="shared" si="92"/>
        <v>1.0168985932976792E-5</v>
      </c>
      <c r="I951" s="71">
        <f t="shared" si="96"/>
        <v>1.1559622569726628E-4</v>
      </c>
      <c r="L951" s="74"/>
      <c r="M951" s="74"/>
      <c r="N951" s="74"/>
      <c r="O951" s="74"/>
      <c r="P951" s="74"/>
      <c r="Q951" s="74"/>
      <c r="R951" s="74"/>
      <c r="S951" s="74"/>
      <c r="T951" s="74"/>
      <c r="U951" s="74"/>
      <c r="V951" s="74"/>
      <c r="W951" s="74"/>
      <c r="X951" s="74"/>
      <c r="Y951" s="74"/>
    </row>
    <row r="952" spans="1:25" x14ac:dyDescent="0.3">
      <c r="A952" s="66">
        <f t="shared" si="94"/>
        <v>2084.4999999999141</v>
      </c>
      <c r="B952" s="67">
        <f>LOOKUP(A952+0.01,AmountsB!$A$4:$A$103,AmountsB!$B$4:$B$103)*0.1*$A$2</f>
        <v>0</v>
      </c>
      <c r="C952" s="68">
        <f t="shared" si="93"/>
        <v>2074573.74105891</v>
      </c>
      <c r="D952" s="67">
        <f t="array" ref="D952">SUM($B$7:$B947*$F$1009*EXP(-$F$1009*($A952-$A$7:$A947)))*$F$1010</f>
        <v>20761.290463387544</v>
      </c>
      <c r="E952" s="67">
        <f t="shared" si="91"/>
        <v>3.9579567460462248E-2</v>
      </c>
      <c r="F952" s="70">
        <f t="shared" si="95"/>
        <v>2.4032713361992679E-3</v>
      </c>
      <c r="G952" s="67">
        <f>E952/'Lookup Tables'!$C$48</f>
        <v>7.9159134920924495E-2</v>
      </c>
      <c r="H952" s="70">
        <f t="shared" si="92"/>
        <v>1.0027612056152133E-5</v>
      </c>
      <c r="I952" s="71">
        <f t="shared" si="96"/>
        <v>1.1398915428613128E-4</v>
      </c>
      <c r="L952" s="74"/>
      <c r="M952" s="74"/>
      <c r="N952" s="74"/>
      <c r="O952" s="74"/>
      <c r="P952" s="74"/>
      <c r="Q952" s="74"/>
      <c r="R952" s="74"/>
      <c r="S952" s="74"/>
      <c r="T952" s="74"/>
      <c r="U952" s="74"/>
      <c r="V952" s="74"/>
      <c r="W952" s="74"/>
      <c r="X952" s="74"/>
      <c r="Y952" s="74"/>
    </row>
    <row r="953" spans="1:25" x14ac:dyDescent="0.3">
      <c r="A953" s="66">
        <f t="shared" si="94"/>
        <v>2084.599999999914</v>
      </c>
      <c r="B953" s="67">
        <f>LOOKUP(A953+0.01,AmountsB!$A$4:$A$103,AmountsB!$B$4:$B$103)*0.1*$A$2</f>
        <v>0</v>
      </c>
      <c r="C953" s="68">
        <f t="shared" si="93"/>
        <v>2074573.74105891</v>
      </c>
      <c r="D953" s="67">
        <f t="array" ref="D953">SUM($B$7:$B948*$F$1009*EXP(-$F$1009*($A953-$A$7:$A948)))*$F$1010</f>
        <v>20472.657541674693</v>
      </c>
      <c r="E953" s="67">
        <f t="shared" si="91"/>
        <v>3.9029314275748593E-2</v>
      </c>
      <c r="F953" s="70">
        <f t="shared" si="95"/>
        <v>2.3698599628234544E-3</v>
      </c>
      <c r="G953" s="67">
        <f>E953/'Lookup Tables'!$C$48</f>
        <v>7.8058628551497186E-2</v>
      </c>
      <c r="H953" s="70">
        <f t="shared" si="92"/>
        <v>9.8882036233924081E-6</v>
      </c>
      <c r="I953" s="71">
        <f t="shared" si="96"/>
        <v>1.1240442511415594E-4</v>
      </c>
      <c r="L953" s="74"/>
      <c r="M953" s="74"/>
      <c r="N953" s="74"/>
      <c r="O953" s="74"/>
      <c r="P953" s="74"/>
      <c r="Q953" s="74"/>
      <c r="R953" s="74"/>
      <c r="S953" s="74"/>
      <c r="T953" s="74"/>
      <c r="U953" s="74"/>
      <c r="V953" s="74"/>
      <c r="W953" s="74"/>
      <c r="X953" s="74"/>
      <c r="Y953" s="74"/>
    </row>
    <row r="954" spans="1:25" x14ac:dyDescent="0.3">
      <c r="A954" s="66">
        <f t="shared" si="94"/>
        <v>2084.6999999999139</v>
      </c>
      <c r="B954" s="67">
        <f>LOOKUP(A954+0.01,AmountsB!$A$4:$A$103,AmountsB!$B$4:$B$103)*0.1*$A$2</f>
        <v>0</v>
      </c>
      <c r="C954" s="68">
        <f t="shared" si="93"/>
        <v>2074573.74105891</v>
      </c>
      <c r="D954" s="67">
        <f t="array" ref="D954">SUM($B$7:$B949*$F$1009*EXP(-$F$1009*($A954-$A$7:$A949)))*$F$1010</f>
        <v>20188.037326380228</v>
      </c>
      <c r="E954" s="67">
        <f t="shared" si="91"/>
        <v>3.8486710961579636E-2</v>
      </c>
      <c r="F954" s="70">
        <f t="shared" si="95"/>
        <v>2.3369130895871154E-3</v>
      </c>
      <c r="G954" s="67">
        <f>E954/'Lookup Tables'!$C$48</f>
        <v>7.6973421923159271E-2</v>
      </c>
      <c r="H954" s="70">
        <f t="shared" si="92"/>
        <v>9.7507333101985119E-6</v>
      </c>
      <c r="I954" s="71">
        <f t="shared" si="96"/>
        <v>1.1084172756934936E-4</v>
      </c>
      <c r="L954" s="74"/>
      <c r="M954" s="74"/>
      <c r="N954" s="74"/>
      <c r="O954" s="74"/>
      <c r="P954" s="74"/>
      <c r="Q954" s="74"/>
      <c r="R954" s="74"/>
      <c r="S954" s="74"/>
      <c r="T954" s="74"/>
      <c r="U954" s="74"/>
      <c r="V954" s="74"/>
      <c r="W954" s="74"/>
      <c r="X954" s="74"/>
      <c r="Y954" s="74"/>
    </row>
    <row r="955" spans="1:25" x14ac:dyDescent="0.3">
      <c r="A955" s="66">
        <f t="shared" si="94"/>
        <v>2084.7999999999138</v>
      </c>
      <c r="B955" s="67">
        <f>LOOKUP(A955+0.01,AmountsB!$A$4:$A$103,AmountsB!$B$4:$B$103)*0.1*$A$2</f>
        <v>0</v>
      </c>
      <c r="C955" s="68">
        <f t="shared" si="93"/>
        <v>2074573.74105891</v>
      </c>
      <c r="D955" s="67">
        <f t="array" ref="D955">SUM($B$7:$B950*$F$1009*EXP(-$F$1009*($A955-$A$7:$A950)))*$F$1010</f>
        <v>19907.374031030791</v>
      </c>
      <c r="E955" s="67">
        <f t="shared" si="91"/>
        <v>3.7951651165968728E-2</v>
      </c>
      <c r="F955" s="70">
        <f t="shared" si="95"/>
        <v>2.3044242587976211E-3</v>
      </c>
      <c r="G955" s="67">
        <f>E955/'Lookup Tables'!$C$48</f>
        <v>7.5903302331937456E-2</v>
      </c>
      <c r="H955" s="70">
        <f t="shared" si="92"/>
        <v>9.6151741719489601E-6</v>
      </c>
      <c r="I955" s="71">
        <f t="shared" si="96"/>
        <v>1.0930075535798993E-4</v>
      </c>
      <c r="L955" s="74"/>
      <c r="M955" s="74"/>
      <c r="N955" s="74"/>
      <c r="O955" s="74"/>
      <c r="P955" s="74"/>
      <c r="Q955" s="74"/>
      <c r="R955" s="74"/>
      <c r="S955" s="74"/>
      <c r="T955" s="74"/>
      <c r="U955" s="74"/>
      <c r="V955" s="74"/>
      <c r="W955" s="74"/>
      <c r="X955" s="74"/>
      <c r="Y955" s="74"/>
    </row>
    <row r="956" spans="1:25" x14ac:dyDescent="0.3">
      <c r="A956" s="66">
        <f t="shared" si="94"/>
        <v>2084.8999999999137</v>
      </c>
      <c r="B956" s="67">
        <f>LOOKUP(A956+0.01,AmountsB!$A$4:$A$103,AmountsB!$B$4:$B$103)*0.1*$A$2</f>
        <v>0</v>
      </c>
      <c r="C956" s="68">
        <f t="shared" si="93"/>
        <v>2074573.74105891</v>
      </c>
      <c r="D956" s="67">
        <f t="array" ref="D956">SUM($B$7:$B951*$F$1009*EXP(-$F$1009*($A956-$A$7:$A951)))*$F$1010</f>
        <v>19630.61264472199</v>
      </c>
      <c r="E956" s="67">
        <f t="shared" si="91"/>
        <v>3.7424030015483035E-2</v>
      </c>
      <c r="F956" s="70">
        <f t="shared" si="95"/>
        <v>2.2723871025401299E-3</v>
      </c>
      <c r="G956" s="67">
        <f>E956/'Lookup Tables'!$C$48</f>
        <v>7.4848060030966071E-2</v>
      </c>
      <c r="H956" s="70">
        <f t="shared" si="92"/>
        <v>9.4814996386186927E-6</v>
      </c>
      <c r="I956" s="71">
        <f t="shared" si="96"/>
        <v>1.0778120644459115E-4</v>
      </c>
      <c r="L956" s="74"/>
      <c r="M956" s="74"/>
      <c r="N956" s="74"/>
      <c r="O956" s="74"/>
      <c r="P956" s="74"/>
      <c r="Q956" s="74"/>
      <c r="R956" s="74"/>
      <c r="S956" s="74"/>
      <c r="T956" s="74"/>
      <c r="U956" s="74"/>
      <c r="V956" s="74"/>
      <c r="W956" s="74"/>
      <c r="X956" s="74"/>
      <c r="Y956" s="74"/>
    </row>
    <row r="957" spans="1:25" x14ac:dyDescent="0.3">
      <c r="A957" s="66">
        <f t="shared" si="94"/>
        <v>2084.9999999999136</v>
      </c>
      <c r="B957" s="67">
        <f>LOOKUP(A957+0.01,AmountsB!$A$4:$A$103,AmountsB!$B$4:$B$103)*0.1*$A$2</f>
        <v>0</v>
      </c>
      <c r="C957" s="68">
        <f t="shared" si="93"/>
        <v>2074573.74105891</v>
      </c>
      <c r="D957" s="67">
        <f t="array" ref="D957">SUM($B$7:$B952*$F$1009*EXP(-$F$1009*($A957-$A$7:$A952)))*$F$1010</f>
        <v>19357.698921336087</v>
      </c>
      <c r="E957" s="67">
        <f t="shared" si="91"/>
        <v>3.6903744094687926E-2</v>
      </c>
      <c r="F957" s="70">
        <f t="shared" si="95"/>
        <v>2.240795341429451E-3</v>
      </c>
      <c r="G957" s="67">
        <f>E957/'Lookup Tables'!$C$48</f>
        <v>7.3807488189375853E-2</v>
      </c>
      <c r="H957" s="70">
        <f t="shared" si="92"/>
        <v>9.3496835095712261E-6</v>
      </c>
      <c r="I957" s="71">
        <f t="shared" si="96"/>
        <v>1.0628278299270124E-4</v>
      </c>
      <c r="L957" s="74"/>
      <c r="M957" s="74"/>
      <c r="N957" s="74"/>
      <c r="O957" s="74"/>
      <c r="P957" s="74"/>
      <c r="Q957" s="74"/>
      <c r="R957" s="74"/>
      <c r="S957" s="74"/>
      <c r="T957" s="74"/>
      <c r="U957" s="74"/>
      <c r="V957" s="74"/>
      <c r="W957" s="74"/>
      <c r="X957" s="74"/>
      <c r="Y957" s="74"/>
    </row>
    <row r="958" spans="1:25" x14ac:dyDescent="0.3">
      <c r="A958" s="66">
        <f t="shared" si="94"/>
        <v>2085.0999999999135</v>
      </c>
      <c r="B958" s="67">
        <f>LOOKUP(A958+0.01,AmountsB!$A$4:$A$103,AmountsB!$B$4:$B$103)*0.1*$A$2</f>
        <v>0</v>
      </c>
      <c r="C958" s="68">
        <f t="shared" si="93"/>
        <v>2074573.74105891</v>
      </c>
      <c r="D958" s="67">
        <f t="array" ref="D958">SUM($B$7:$B953*$F$1009*EXP(-$F$1009*($A958-$A$7:$A953)))*$F$1010</f>
        <v>19088.57936890961</v>
      </c>
      <c r="E958" s="67">
        <f t="shared" si="91"/>
        <v>3.6390691425877322E-2</v>
      </c>
      <c r="F958" s="70">
        <f t="shared" si="95"/>
        <v>2.2096427833792707E-3</v>
      </c>
      <c r="G958" s="67">
        <f>E958/'Lookup Tables'!$C$48</f>
        <v>7.2781382851754645E-2</v>
      </c>
      <c r="H958" s="70">
        <f t="shared" si="92"/>
        <v>9.219699948423277E-6</v>
      </c>
      <c r="I958" s="71">
        <f t="shared" si="96"/>
        <v>1.0480519130652667E-4</v>
      </c>
      <c r="L958" s="74"/>
      <c r="M958" s="74"/>
      <c r="N958" s="74"/>
      <c r="O958" s="74"/>
      <c r="P958" s="74"/>
      <c r="Q958" s="74"/>
      <c r="R958" s="74"/>
      <c r="S958" s="74"/>
      <c r="T958" s="74"/>
      <c r="U958" s="74"/>
      <c r="V958" s="74"/>
      <c r="W958" s="74"/>
      <c r="X958" s="74"/>
      <c r="Y958" s="74"/>
    </row>
    <row r="959" spans="1:25" x14ac:dyDescent="0.3">
      <c r="A959" s="66">
        <f t="shared" si="94"/>
        <v>2085.1999999999134</v>
      </c>
      <c r="B959" s="67">
        <f>LOOKUP(A959+0.01,AmountsB!$A$4:$A$103,AmountsB!$B$4:$B$103)*0.1*$A$2</f>
        <v>0</v>
      </c>
      <c r="C959" s="68">
        <f t="shared" si="93"/>
        <v>2074573.74105891</v>
      </c>
      <c r="D959" s="67">
        <f t="array" ref="D959">SUM($B$7:$B954*$F$1009*EXP(-$F$1009*($A959-$A$7:$A954)))*$F$1010</f>
        <v>18823.201239148741</v>
      </c>
      <c r="E959" s="67">
        <f t="shared" si="91"/>
        <v>3.5884771449085674E-2</v>
      </c>
      <c r="F959" s="70">
        <f t="shared" si="95"/>
        <v>2.1789233223884819E-3</v>
      </c>
      <c r="G959" s="67">
        <f>E959/'Lookup Tables'!$C$48</f>
        <v>7.1769542898171348E-2</v>
      </c>
      <c r="H959" s="70">
        <f t="shared" si="92"/>
        <v>9.0915234779807452E-6</v>
      </c>
      <c r="I959" s="71">
        <f t="shared" si="96"/>
        <v>1.0334814177336674E-4</v>
      </c>
      <c r="L959" s="74"/>
      <c r="M959" s="74"/>
      <c r="N959" s="74"/>
      <c r="O959" s="74"/>
      <c r="P959" s="74"/>
      <c r="Q959" s="74"/>
      <c r="R959" s="74"/>
      <c r="S959" s="74"/>
      <c r="T959" s="74"/>
      <c r="U959" s="74"/>
      <c r="V959" s="74"/>
      <c r="W959" s="74"/>
      <c r="X959" s="74"/>
      <c r="Y959" s="74"/>
    </row>
    <row r="960" spans="1:25" x14ac:dyDescent="0.3">
      <c r="A960" s="66">
        <f t="shared" si="94"/>
        <v>2085.2999999999133</v>
      </c>
      <c r="B960" s="67">
        <f>LOOKUP(A960+0.01,AmountsB!$A$4:$A$103,AmountsB!$B$4:$B$103)*0.1*$A$2</f>
        <v>0</v>
      </c>
      <c r="C960" s="68">
        <f t="shared" si="93"/>
        <v>2074573.74105891</v>
      </c>
      <c r="D960" s="67">
        <f t="array" ref="D960">SUM($B$7:$B955*$F$1009*EXP(-$F$1009*($A960-$A$7:$A955)))*$F$1010</f>
        <v>18561.512517090472</v>
      </c>
      <c r="E960" s="67">
        <f t="shared" si="91"/>
        <v>3.5385885002377902E-2</v>
      </c>
      <c r="F960" s="70">
        <f t="shared" si="95"/>
        <v>2.148630937344386E-3</v>
      </c>
      <c r="G960" s="67">
        <f>E960/'Lookup Tables'!$C$48</f>
        <v>7.0771770004755805E-2</v>
      </c>
      <c r="H960" s="70">
        <f t="shared" si="92"/>
        <v>8.9651289752450836E-6</v>
      </c>
      <c r="I960" s="71">
        <f t="shared" si="96"/>
        <v>1.0191134880684835E-4</v>
      </c>
      <c r="L960" s="74"/>
      <c r="M960" s="74"/>
      <c r="N960" s="74"/>
      <c r="O960" s="74"/>
      <c r="P960" s="74"/>
      <c r="Q960" s="74"/>
      <c r="R960" s="74"/>
      <c r="S960" s="74"/>
      <c r="T960" s="74"/>
      <c r="U960" s="74"/>
      <c r="V960" s="74"/>
      <c r="W960" s="74"/>
      <c r="X960" s="74"/>
      <c r="Y960" s="74"/>
    </row>
    <row r="961" spans="1:25" x14ac:dyDescent="0.3">
      <c r="A961" s="66">
        <f t="shared" si="94"/>
        <v>2085.3999999999132</v>
      </c>
      <c r="B961" s="67">
        <f>LOOKUP(A961+0.01,AmountsB!$A$4:$A$103,AmountsB!$B$4:$B$103)*0.1*$A$2</f>
        <v>0</v>
      </c>
      <c r="C961" s="68">
        <f t="shared" si="93"/>
        <v>2074573.74105891</v>
      </c>
      <c r="D961" s="67">
        <f t="array" ref="D961">SUM($B$7:$B956*$F$1009*EXP(-$F$1009*($A961-$A$7:$A956)))*$F$1010</f>
        <v>18303.461910907514</v>
      </c>
      <c r="E961" s="67">
        <f t="shared" si="91"/>
        <v>3.4893934302413318E-2</v>
      </c>
      <c r="F961" s="70">
        <f t="shared" si="95"/>
        <v>2.1187596908425368E-3</v>
      </c>
      <c r="G961" s="67">
        <f>E961/'Lookup Tables'!$C$48</f>
        <v>6.9787868604826636E-2</v>
      </c>
      <c r="H961" s="70">
        <f t="shared" si="92"/>
        <v>8.8404916664891145E-6</v>
      </c>
      <c r="I961" s="71">
        <f t="shared" si="96"/>
        <v>1.0049453079095037E-4</v>
      </c>
      <c r="L961" s="74"/>
      <c r="M961" s="74"/>
      <c r="N961" s="74"/>
      <c r="O961" s="74"/>
      <c r="P961" s="74"/>
      <c r="Q961" s="74"/>
      <c r="R961" s="74"/>
      <c r="S961" s="74"/>
      <c r="T961" s="74"/>
      <c r="U961" s="74"/>
      <c r="V961" s="74"/>
      <c r="W961" s="74"/>
      <c r="X961" s="74"/>
      <c r="Y961" s="74"/>
    </row>
    <row r="962" spans="1:25" x14ac:dyDescent="0.3">
      <c r="A962" s="66">
        <f t="shared" si="94"/>
        <v>2085.4999999999131</v>
      </c>
      <c r="B962" s="67">
        <f>LOOKUP(A962+0.01,AmountsB!$A$4:$A$103,AmountsB!$B$4:$B$103)*0.1*$A$2</f>
        <v>0</v>
      </c>
      <c r="C962" s="68">
        <f t="shared" si="93"/>
        <v>2074573.74105891</v>
      </c>
      <c r="D962" s="67">
        <f t="array" ref="D962">SUM($B$7:$B957*$F$1009*EXP(-$F$1009*($A962-$A$7:$A957)))*$F$1010</f>
        <v>18048.998841854962</v>
      </c>
      <c r="E962" s="67">
        <f t="shared" si="91"/>
        <v>3.4408822925279851E-2</v>
      </c>
      <c r="F962" s="70">
        <f t="shared" si="95"/>
        <v>2.0893037280229928E-3</v>
      </c>
      <c r="G962" s="67">
        <f>E962/'Lookup Tables'!$C$48</f>
        <v>6.8817645850559703E-2</v>
      </c>
      <c r="H962" s="70">
        <f t="shared" si="92"/>
        <v>8.7175871224013232E-6</v>
      </c>
      <c r="I962" s="71">
        <f t="shared" si="96"/>
        <v>9.9097410024805982E-5</v>
      </c>
      <c r="L962" s="74"/>
      <c r="M962" s="74"/>
      <c r="N962" s="74"/>
      <c r="O962" s="74"/>
      <c r="P962" s="74"/>
      <c r="Q962" s="74"/>
      <c r="R962" s="74"/>
      <c r="S962" s="74"/>
      <c r="T962" s="74"/>
      <c r="U962" s="74"/>
      <c r="V962" s="74"/>
      <c r="W962" s="74"/>
      <c r="X962" s="74"/>
      <c r="Y962" s="74"/>
    </row>
    <row r="963" spans="1:25" x14ac:dyDescent="0.3">
      <c r="A963" s="66">
        <f t="shared" si="94"/>
        <v>2085.5999999999131</v>
      </c>
      <c r="B963" s="67">
        <f>LOOKUP(A963+0.01,AmountsB!$A$4:$A$103,AmountsB!$B$4:$B$103)*0.1*$A$2</f>
        <v>0</v>
      </c>
      <c r="C963" s="68">
        <f t="shared" si="93"/>
        <v>2074573.74105891</v>
      </c>
      <c r="D963" s="67">
        <f t="array" ref="D963">SUM($B$7:$B958*$F$1009*EXP(-$F$1009*($A963-$A$7:$A958)))*$F$1010</f>
        <v>17798.07343435664</v>
      </c>
      <c r="E963" s="67">
        <f t="shared" si="91"/>
        <v>3.3930455787594557E-2</v>
      </c>
      <c r="F963" s="70">
        <f t="shared" si="95"/>
        <v>2.0602572754227413E-3</v>
      </c>
      <c r="G963" s="67">
        <f>E963/'Lookup Tables'!$C$48</f>
        <v>6.7860911575189115E-2</v>
      </c>
      <c r="H963" s="70">
        <f t="shared" si="92"/>
        <v>8.5963912532976015E-6</v>
      </c>
      <c r="I963" s="71">
        <f t="shared" si="96"/>
        <v>9.7719712668272327E-5</v>
      </c>
      <c r="L963" s="74"/>
      <c r="M963" s="74"/>
      <c r="N963" s="74"/>
      <c r="O963" s="74"/>
      <c r="P963" s="74"/>
      <c r="Q963" s="74"/>
      <c r="R963" s="74"/>
      <c r="S963" s="74"/>
      <c r="T963" s="74"/>
      <c r="U963" s="74"/>
      <c r="V963" s="74"/>
      <c r="W963" s="74"/>
      <c r="X963" s="74"/>
      <c r="Y963" s="74"/>
    </row>
    <row r="964" spans="1:25" x14ac:dyDescent="0.3">
      <c r="A964" s="66">
        <f t="shared" si="94"/>
        <v>2085.699999999913</v>
      </c>
      <c r="B964" s="67">
        <f>LOOKUP(A964+0.01,AmountsB!$A$4:$A$103,AmountsB!$B$4:$B$103)*0.1*$A$2</f>
        <v>0</v>
      </c>
      <c r="C964" s="68">
        <f t="shared" si="93"/>
        <v>2074573.74105891</v>
      </c>
      <c r="D964" s="67">
        <f t="array" ref="D964">SUM($B$7:$B959*$F$1009*EXP(-$F$1009*($A964-$A$7:$A959)))*$F$1010</f>
        <v>17550.636506229392</v>
      </c>
      <c r="E964" s="67">
        <f t="shared" si="91"/>
        <v>3.3458739127867038E-2</v>
      </c>
      <c r="F964" s="70">
        <f t="shared" si="95"/>
        <v>2.0316146398440867E-3</v>
      </c>
      <c r="G964" s="67">
        <f>E964/'Lookup Tables'!$C$48</f>
        <v>6.6917478255734075E-2</v>
      </c>
      <c r="H964" s="70">
        <f t="shared" si="92"/>
        <v>8.4768803043996215E-6</v>
      </c>
      <c r="I964" s="71">
        <f t="shared" si="96"/>
        <v>9.6361168688257069E-5</v>
      </c>
      <c r="L964" s="74"/>
      <c r="M964" s="74"/>
      <c r="N964" s="74"/>
      <c r="O964" s="74"/>
      <c r="P964" s="74"/>
      <c r="Q964" s="74"/>
      <c r="R964" s="74"/>
      <c r="S964" s="74"/>
      <c r="T964" s="74"/>
      <c r="U964" s="74"/>
      <c r="V964" s="74"/>
      <c r="W964" s="74"/>
      <c r="X964" s="74"/>
      <c r="Y964" s="74"/>
    </row>
    <row r="965" spans="1:25" x14ac:dyDescent="0.3">
      <c r="A965" s="66">
        <f t="shared" si="94"/>
        <v>2085.7999999999129</v>
      </c>
      <c r="B965" s="67">
        <f>LOOKUP(A965+0.01,AmountsB!$A$4:$A$103,AmountsB!$B$4:$B$103)*0.1*$A$2</f>
        <v>0</v>
      </c>
      <c r="C965" s="68">
        <f t="shared" si="93"/>
        <v>2074573.74105891</v>
      </c>
      <c r="D965" s="67">
        <f t="array" ref="D965">SUM($B$7:$B960*$F$1009*EXP(-$F$1009*($A965-$A$7:$A960)))*$F$1010</f>
        <v>17306.63955904316</v>
      </c>
      <c r="E965" s="67">
        <f t="shared" si="91"/>
        <v>3.2993580488121843E-2</v>
      </c>
      <c r="F965" s="70">
        <f t="shared" si="95"/>
        <v>2.0033702072387582E-3</v>
      </c>
      <c r="G965" s="67">
        <f>E965/'Lookup Tables'!$C$48</f>
        <v>6.5987160976243686E-2</v>
      </c>
      <c r="H965" s="70">
        <f t="shared" si="92"/>
        <v>8.3590308511787952E-6</v>
      </c>
      <c r="I965" s="71">
        <f t="shared" si="96"/>
        <v>9.5021511805790915E-5</v>
      </c>
      <c r="L965" s="74"/>
      <c r="M965" s="74"/>
      <c r="N965" s="74"/>
      <c r="O965" s="74"/>
      <c r="P965" s="74"/>
      <c r="Q965" s="74"/>
      <c r="R965" s="74"/>
      <c r="S965" s="74"/>
      <c r="T965" s="74"/>
      <c r="U965" s="74"/>
      <c r="V965" s="74"/>
      <c r="W965" s="74"/>
      <c r="X965" s="74"/>
      <c r="Y965" s="74"/>
    </row>
    <row r="966" spans="1:25" x14ac:dyDescent="0.3">
      <c r="A966" s="66">
        <f t="shared" si="94"/>
        <v>2085.8999999999128</v>
      </c>
      <c r="B966" s="67">
        <f>LOOKUP(A966+0.01,AmountsB!$A$4:$A$103,AmountsB!$B$4:$B$103)*0.1*$A$2</f>
        <v>0</v>
      </c>
      <c r="C966" s="68">
        <f t="shared" si="93"/>
        <v>2074573.74105891</v>
      </c>
      <c r="D966" s="67">
        <f t="array" ref="D966">SUM($B$7:$B961*$F$1009*EXP(-$F$1009*($A966-$A$7:$A961)))*$F$1010</f>
        <v>17066.034768615169</v>
      </c>
      <c r="E966" s="67">
        <f t="shared" si="91"/>
        <v>3.2534888695776421E-2</v>
      </c>
      <c r="F966" s="70">
        <f t="shared" si="95"/>
        <v>1.9755184416075443E-3</v>
      </c>
      <c r="G966" s="67">
        <f>E966/'Lookup Tables'!$C$48</f>
        <v>6.5069777391552841E-2</v>
      </c>
      <c r="H966" s="70">
        <f t="shared" si="92"/>
        <v>8.2428197947650093E-6</v>
      </c>
      <c r="I966" s="71">
        <f t="shared" si="96"/>
        <v>9.3700479443836087E-5</v>
      </c>
      <c r="L966" s="74"/>
      <c r="M966" s="74"/>
      <c r="N966" s="74"/>
      <c r="O966" s="74"/>
      <c r="P966" s="74"/>
      <c r="Q966" s="74"/>
      <c r="R966" s="74"/>
      <c r="S966" s="74"/>
      <c r="T966" s="74"/>
      <c r="U966" s="74"/>
      <c r="V966" s="74"/>
      <c r="W966" s="74"/>
      <c r="X966" s="74"/>
      <c r="Y966" s="74"/>
    </row>
    <row r="967" spans="1:25" x14ac:dyDescent="0.3">
      <c r="A967" s="66">
        <f t="shared" si="94"/>
        <v>2085.9999999999127</v>
      </c>
      <c r="B967" s="67">
        <f>LOOKUP(A967+0.01,AmountsB!$A$4:$A$103,AmountsB!$B$4:$B$103)*0.1*$A$2</f>
        <v>0</v>
      </c>
      <c r="C967" s="68">
        <f t="shared" si="93"/>
        <v>2074573.74105891</v>
      </c>
      <c r="D967" s="67">
        <f t="array" ref="D967">SUM($B$7:$B962*$F$1009*EXP(-$F$1009*($A967-$A$7:$A962)))*$F$1010</f>
        <v>16828.77497563625</v>
      </c>
      <c r="E967" s="67">
        <f t="shared" ref="E967:E1007" si="97">D967/(365*24*60)*1.00201</f>
        <v>3.2082573845771081E-2</v>
      </c>
      <c r="F967" s="70">
        <f t="shared" si="95"/>
        <v>1.94805388391522E-3</v>
      </c>
      <c r="G967" s="67">
        <f>E967/'Lookup Tables'!$C$48</f>
        <v>6.4165147691542163E-2</v>
      </c>
      <c r="H967" s="70">
        <f t="shared" ref="H967:H1007" si="98">G967*60*24*365/(C967*2000)</f>
        <v>8.1282243574191878E-6</v>
      </c>
      <c r="I967" s="71">
        <f t="shared" si="96"/>
        <v>9.2397812675820712E-5</v>
      </c>
      <c r="L967" s="74"/>
      <c r="M967" s="74"/>
      <c r="N967" s="74"/>
      <c r="O967" s="74"/>
      <c r="P967" s="74"/>
      <c r="Q967" s="74"/>
      <c r="R967" s="74"/>
      <c r="S967" s="74"/>
      <c r="T967" s="74"/>
      <c r="U967" s="74"/>
      <c r="V967" s="74"/>
      <c r="W967" s="74"/>
      <c r="X967" s="74"/>
      <c r="Y967" s="74"/>
    </row>
    <row r="968" spans="1:25" x14ac:dyDescent="0.3">
      <c r="A968" s="66">
        <f t="shared" si="94"/>
        <v>2086.0999999999126</v>
      </c>
      <c r="B968" s="67">
        <f>LOOKUP(A968+0.01,AmountsB!$A$4:$A$103,AmountsB!$B$4:$B$103)*0.1*$A$2</f>
        <v>0</v>
      </c>
      <c r="C968" s="68">
        <f t="shared" si="93"/>
        <v>2074573.74105891</v>
      </c>
      <c r="D968" s="67">
        <f t="array" ref="D968">SUM($B$7:$B963*$F$1009*EXP(-$F$1009*($A968-$A$7:$A963)))*$F$1010</f>
        <v>16594.81367642742</v>
      </c>
      <c r="E968" s="67">
        <f t="shared" si="97"/>
        <v>3.1636547282947187E-2</v>
      </c>
      <c r="F968" s="70">
        <f t="shared" si="95"/>
        <v>1.9209711510205531E-3</v>
      </c>
      <c r="G968" s="67">
        <f>E968/'Lookup Tables'!$C$48</f>
        <v>6.3273094565894375E-2</v>
      </c>
      <c r="H968" s="70">
        <f t="shared" si="98"/>
        <v>8.0152220780687424E-6</v>
      </c>
      <c r="I968" s="71">
        <f t="shared" si="96"/>
        <v>9.1113256174887909E-5</v>
      </c>
      <c r="L968" s="74"/>
      <c r="M968" s="74"/>
      <c r="N968" s="74"/>
      <c r="O968" s="74"/>
      <c r="P968" s="74"/>
      <c r="Q968" s="74"/>
      <c r="R968" s="74"/>
      <c r="S968" s="74"/>
      <c r="T968" s="74"/>
      <c r="U968" s="74"/>
      <c r="V968" s="74"/>
      <c r="W968" s="74"/>
      <c r="X968" s="74"/>
      <c r="Y968" s="74"/>
    </row>
    <row r="969" spans="1:25" x14ac:dyDescent="0.3">
      <c r="A969" s="66">
        <f t="shared" si="94"/>
        <v>2086.1999999999125</v>
      </c>
      <c r="B969" s="67">
        <f>LOOKUP(A969+0.01,AmountsB!$A$4:$A$103,AmountsB!$B$4:$B$103)*0.1*$A$2</f>
        <v>0</v>
      </c>
      <c r="C969" s="68">
        <f t="shared" ref="C969:C1006" si="99">C968+B969</f>
        <v>2074573.74105891</v>
      </c>
      <c r="D969" s="67">
        <f t="array" ref="D969">SUM($B$7:$B964*$F$1009*EXP(-$F$1009*($A969-$A$7:$A964)))*$F$1010</f>
        <v>16364.105013825039</v>
      </c>
      <c r="E969" s="67">
        <f t="shared" si="97"/>
        <v>3.1196721584670527E-2</v>
      </c>
      <c r="F969" s="70">
        <f t="shared" si="95"/>
        <v>1.8942649346211946E-3</v>
      </c>
      <c r="G969" s="67">
        <f>E969/'Lookup Tables'!$C$48</f>
        <v>6.2393443169341055E-2</v>
      </c>
      <c r="H969" s="70">
        <f t="shared" si="98"/>
        <v>7.9037908079051562E-6</v>
      </c>
      <c r="I969" s="71">
        <f t="shared" si="96"/>
        <v>8.984655816385111E-5</v>
      </c>
      <c r="L969" s="74"/>
      <c r="M969" s="74"/>
      <c r="N969" s="74"/>
      <c r="O969" s="74"/>
      <c r="P969" s="74"/>
      <c r="Q969" s="74"/>
      <c r="R969" s="74"/>
      <c r="S969" s="74"/>
      <c r="T969" s="74"/>
      <c r="U969" s="74"/>
      <c r="V969" s="74"/>
      <c r="W969" s="74"/>
      <c r="X969" s="74"/>
      <c r="Y969" s="74"/>
    </row>
    <row r="970" spans="1:25" x14ac:dyDescent="0.3">
      <c r="A970" s="66">
        <f t="shared" si="94"/>
        <v>2086.2999999999124</v>
      </c>
      <c r="B970" s="67">
        <f>LOOKUP(A970+0.01,AmountsB!$A$4:$A$103,AmountsB!$B$4:$B$103)*0.1*$A$2</f>
        <v>0</v>
      </c>
      <c r="C970" s="68">
        <f t="shared" si="99"/>
        <v>2074573.74105891</v>
      </c>
      <c r="D970" s="67">
        <f t="array" ref="D970">SUM($B$7:$B965*$F$1009*EXP(-$F$1009*($A970-$A$7:$A965)))*$F$1010</f>
        <v>16136.603768192661</v>
      </c>
      <c r="E970" s="67">
        <f t="shared" si="97"/>
        <v>3.0763010543696213E-2</v>
      </c>
      <c r="F970" s="70">
        <f t="shared" si="95"/>
        <v>1.867930000213234E-3</v>
      </c>
      <c r="G970" s="67">
        <f>E970/'Lookup Tables'!$C$48</f>
        <v>6.1526021087392427E-2</v>
      </c>
      <c r="H970" s="70">
        <f t="shared" si="98"/>
        <v>7.7939087060427549E-6</v>
      </c>
      <c r="I970" s="71">
        <f t="shared" si="96"/>
        <v>8.8597470365845088E-5</v>
      </c>
      <c r="L970" s="74"/>
      <c r="M970" s="74"/>
      <c r="N970" s="74"/>
      <c r="O970" s="74"/>
      <c r="P970" s="74"/>
      <c r="Q970" s="74"/>
      <c r="R970" s="74"/>
      <c r="S970" s="74"/>
      <c r="T970" s="74"/>
      <c r="U970" s="74"/>
      <c r="V970" s="74"/>
      <c r="W970" s="74"/>
      <c r="X970" s="74"/>
      <c r="Y970" s="74"/>
    </row>
    <row r="971" spans="1:25" x14ac:dyDescent="0.3">
      <c r="A971" s="66">
        <f t="shared" si="94"/>
        <v>2086.3999999999123</v>
      </c>
      <c r="B971" s="67">
        <f>LOOKUP(A971+0.01,AmountsB!$A$4:$A$103,AmountsB!$B$4:$B$103)*0.1*$A$2</f>
        <v>0</v>
      </c>
      <c r="C971" s="68">
        <f t="shared" si="99"/>
        <v>2074573.74105891</v>
      </c>
      <c r="D971" s="67">
        <f t="array" ref="D971">SUM($B$7:$B966*$F$1009*EXP(-$F$1009*($A971-$A$7:$A966)))*$F$1010</f>
        <v>15912.265348557832</v>
      </c>
      <c r="E971" s="67">
        <f t="shared" si="97"/>
        <v>3.0335329151271753E-2</v>
      </c>
      <c r="F971" s="70">
        <f t="shared" si="95"/>
        <v>1.841961186065221E-3</v>
      </c>
      <c r="G971" s="67">
        <f>E971/'Lookup Tables'!$C$48</f>
        <v>6.0670658302543506E-2</v>
      </c>
      <c r="H971" s="70">
        <f t="shared" si="98"/>
        <v>7.685554235237801E-6</v>
      </c>
      <c r="I971" s="71">
        <f t="shared" si="96"/>
        <v>8.7365747955662657E-5</v>
      </c>
      <c r="L971" s="74"/>
      <c r="M971" s="74"/>
      <c r="N971" s="74"/>
      <c r="O971" s="74"/>
      <c r="P971" s="74"/>
      <c r="Q971" s="74"/>
      <c r="R971" s="74"/>
      <c r="S971" s="74"/>
      <c r="T971" s="74"/>
      <c r="U971" s="74"/>
      <c r="V971" s="74"/>
      <c r="W971" s="74"/>
      <c r="X971" s="74"/>
      <c r="Y971" s="74"/>
    </row>
    <row r="972" spans="1:25" x14ac:dyDescent="0.3">
      <c r="A972" s="66">
        <f t="shared" si="94"/>
        <v>2086.4999999999122</v>
      </c>
      <c r="B972" s="67">
        <f>LOOKUP(A972+0.01,AmountsB!$A$4:$A$103,AmountsB!$B$4:$B$103)*0.1*$A$2</f>
        <v>0</v>
      </c>
      <c r="C972" s="68">
        <f t="shared" si="99"/>
        <v>2074573.74105891</v>
      </c>
      <c r="D972" s="67">
        <f t="array" ref="D972">SUM($B$7:$B967*$F$1009*EXP(-$F$1009*($A972-$A$7:$A967)))*$F$1010</f>
        <v>15691.045783872109</v>
      </c>
      <c r="E972" s="67">
        <f t="shared" si="97"/>
        <v>2.9913593580475059E-2</v>
      </c>
      <c r="F972" s="70">
        <f t="shared" si="95"/>
        <v>1.8163534022064454E-3</v>
      </c>
      <c r="G972" s="67">
        <f>E972/'Lookup Tables'!$C$48</f>
        <v>5.9827187160950118E-2</v>
      </c>
      <c r="H972" s="70">
        <f t="shared" si="98"/>
        <v>7.5787061576671276E-6</v>
      </c>
      <c r="I972" s="71">
        <f t="shared" si="96"/>
        <v>8.6151149511768169E-5</v>
      </c>
      <c r="L972" s="74"/>
      <c r="M972" s="74"/>
      <c r="N972" s="74"/>
      <c r="O972" s="74"/>
      <c r="P972" s="74"/>
      <c r="Q972" s="74"/>
      <c r="R972" s="74"/>
      <c r="S972" s="74"/>
      <c r="T972" s="74"/>
      <c r="U972" s="74"/>
      <c r="V972" s="74"/>
      <c r="W972" s="74"/>
      <c r="X972" s="74"/>
      <c r="Y972" s="74"/>
    </row>
    <row r="973" spans="1:25" x14ac:dyDescent="0.3">
      <c r="A973" s="66">
        <f t="shared" si="94"/>
        <v>2086.5999999999121</v>
      </c>
      <c r="B973" s="67">
        <f>LOOKUP(A973+0.01,AmountsB!$A$4:$A$103,AmountsB!$B$4:$B$103)*0.1*$A$2</f>
        <v>0</v>
      </c>
      <c r="C973" s="68">
        <f t="shared" si="99"/>
        <v>2074573.74105891</v>
      </c>
      <c r="D973" s="67">
        <f t="array" ref="D973">SUM($B$7:$B968*$F$1009*EXP(-$F$1009*($A973-$A$7:$A968)))*$F$1010</f>
        <v>15472.901714392614</v>
      </c>
      <c r="E973" s="67">
        <f t="shared" si="97"/>
        <v>2.9497721169784139E-2</v>
      </c>
      <c r="F973" s="70">
        <f t="shared" si="95"/>
        <v>1.7911016294292928E-3</v>
      </c>
      <c r="G973" s="67">
        <f>E973/'Lookup Tables'!$C$48</f>
        <v>5.8995442339568278E-2</v>
      </c>
      <c r="H973" s="70">
        <f t="shared" si="98"/>
        <v>7.4733435307654775E-6</v>
      </c>
      <c r="I973" s="71">
        <f t="shared" si="96"/>
        <v>8.4953436968978306E-5</v>
      </c>
      <c r="L973" s="74"/>
      <c r="M973" s="74"/>
      <c r="N973" s="74"/>
      <c r="O973" s="74"/>
      <c r="P973" s="74"/>
      <c r="Q973" s="74"/>
      <c r="R973" s="74"/>
      <c r="S973" s="74"/>
      <c r="T973" s="74"/>
      <c r="U973" s="74"/>
      <c r="V973" s="74"/>
      <c r="W973" s="74"/>
      <c r="X973" s="74"/>
      <c r="Y973" s="74"/>
    </row>
    <row r="974" spans="1:25" x14ac:dyDescent="0.3">
      <c r="A974" s="66">
        <f t="shared" si="94"/>
        <v>2086.6999999999121</v>
      </c>
      <c r="B974" s="67">
        <f>LOOKUP(A974+0.01,AmountsB!$A$4:$A$103,AmountsB!$B$4:$B$103)*0.1*$A$2</f>
        <v>0</v>
      </c>
      <c r="C974" s="68">
        <f t="shared" si="99"/>
        <v>2074573.74105891</v>
      </c>
      <c r="D974" s="67">
        <f t="array" ref="D974">SUM($B$7:$B969*$F$1009*EXP(-$F$1009*($A974-$A$7:$A969)))*$F$1010</f>
        <v>15257.790383183376</v>
      </c>
      <c r="E974" s="67">
        <f t="shared" si="97"/>
        <v>2.9087630406875144E-2</v>
      </c>
      <c r="F974" s="70">
        <f t="shared" si="95"/>
        <v>1.7662009183054589E-3</v>
      </c>
      <c r="G974" s="67">
        <f>E974/'Lookup Tables'!$C$48</f>
        <v>5.8175260813750289E-2</v>
      </c>
      <c r="H974" s="70">
        <f t="shared" si="98"/>
        <v>7.3694457031206789E-6</v>
      </c>
      <c r="I974" s="71">
        <f t="shared" si="96"/>
        <v>8.3772375571800422E-5</v>
      </c>
      <c r="L974" s="74"/>
      <c r="M974" s="74"/>
      <c r="N974" s="74"/>
      <c r="O974" s="74"/>
      <c r="P974" s="74"/>
      <c r="Q974" s="74"/>
      <c r="R974" s="74"/>
      <c r="S974" s="74"/>
      <c r="T974" s="74"/>
      <c r="U974" s="74"/>
      <c r="V974" s="74"/>
      <c r="W974" s="74"/>
      <c r="X974" s="74"/>
      <c r="Y974" s="74"/>
    </row>
    <row r="975" spans="1:25" x14ac:dyDescent="0.3">
      <c r="A975" s="66">
        <f t="shared" si="94"/>
        <v>2086.799999999912</v>
      </c>
      <c r="B975" s="67">
        <f>LOOKUP(A975+0.01,AmountsB!$A$4:$A$103,AmountsB!$B$4:$B$103)*0.1*$A$2</f>
        <v>0</v>
      </c>
      <c r="C975" s="68">
        <f t="shared" si="99"/>
        <v>2074573.74105891</v>
      </c>
      <c r="D975" s="67">
        <f t="array" ref="D975">SUM($B$7:$B970*$F$1009*EXP(-$F$1009*($A975-$A$7:$A970)))*$F$1010</f>
        <v>15045.669627734827</v>
      </c>
      <c r="E975" s="67">
        <f t="shared" si="97"/>
        <v>2.868324091264569E-2</v>
      </c>
      <c r="F975" s="70">
        <f t="shared" si="95"/>
        <v>1.7416463882158463E-3</v>
      </c>
      <c r="G975" s="67">
        <f>E975/'Lookup Tables'!$C$48</f>
        <v>5.7366481825291381E-2</v>
      </c>
      <c r="H975" s="70">
        <f t="shared" si="98"/>
        <v>7.266992310425891E-6</v>
      </c>
      <c r="I975" s="71">
        <f t="shared" si="96"/>
        <v>8.2607733828419583E-5</v>
      </c>
      <c r="L975" s="74"/>
      <c r="M975" s="74"/>
      <c r="N975" s="74"/>
      <c r="O975" s="74"/>
      <c r="P975" s="74"/>
      <c r="Q975" s="74"/>
      <c r="R975" s="74"/>
      <c r="S975" s="74"/>
      <c r="T975" s="74"/>
      <c r="U975" s="74"/>
      <c r="V975" s="74"/>
      <c r="W975" s="74"/>
      <c r="X975" s="74"/>
      <c r="Y975" s="74"/>
    </row>
    <row r="976" spans="1:25" x14ac:dyDescent="0.3">
      <c r="A976" s="66">
        <f t="shared" si="94"/>
        <v>2086.8999999999119</v>
      </c>
      <c r="B976" s="67">
        <f>LOOKUP(A976+0.01,AmountsB!$A$4:$A$103,AmountsB!$B$4:$B$103)*0.1*$A$2</f>
        <v>0</v>
      </c>
      <c r="C976" s="68">
        <f t="shared" si="99"/>
        <v>2074573.74105891</v>
      </c>
      <c r="D976" s="67">
        <f t="array" ref="D976">SUM($B$7:$B971*$F$1009*EXP(-$F$1009*($A976-$A$7:$A971)))*$F$1010</f>
        <v>14836.497871699832</v>
      </c>
      <c r="E976" s="67">
        <f t="shared" si="97"/>
        <v>2.8284473425460331E-2</v>
      </c>
      <c r="F976" s="70">
        <f t="shared" si="95"/>
        <v>1.7174332263939513E-3</v>
      </c>
      <c r="G976" s="67">
        <f>E976/'Lookup Tables'!$C$48</f>
        <v>5.6568946850920662E-2</v>
      </c>
      <c r="H976" s="70">
        <f t="shared" si="98"/>
        <v>7.1659632714881662E-6</v>
      </c>
      <c r="I976" s="71">
        <f t="shared" si="96"/>
        <v>8.145928346532575E-5</v>
      </c>
      <c r="L976" s="74"/>
      <c r="M976" s="74"/>
      <c r="N976" s="74"/>
      <c r="O976" s="74"/>
      <c r="P976" s="74"/>
      <c r="Q976" s="74"/>
      <c r="R976" s="74"/>
      <c r="S976" s="74"/>
      <c r="T976" s="74"/>
      <c r="U976" s="74"/>
      <c r="V976" s="74"/>
      <c r="W976" s="74"/>
      <c r="X976" s="74"/>
      <c r="Y976" s="74"/>
    </row>
    <row r="977" spans="1:25" x14ac:dyDescent="0.3">
      <c r="A977" s="66">
        <f t="shared" si="94"/>
        <v>2086.9999999999118</v>
      </c>
      <c r="B977" s="67">
        <f>LOOKUP(A977+0.01,AmountsB!$A$4:$A$103,AmountsB!$B$4:$B$103)*0.1*$A$2</f>
        <v>0</v>
      </c>
      <c r="C977" s="68">
        <f t="shared" si="99"/>
        <v>2074573.74105891</v>
      </c>
      <c r="D977" s="67">
        <f t="array" ref="D977">SUM($B$7:$B972*$F$1009*EXP(-$F$1009*($A977-$A$7:$A972)))*$F$1010</f>
        <v>14630.234116744568</v>
      </c>
      <c r="E977" s="67">
        <f t="shared" si="97"/>
        <v>2.7891249785614965E-2</v>
      </c>
      <c r="F977" s="70">
        <f t="shared" si="95"/>
        <v>1.6935566869825407E-3</v>
      </c>
      <c r="G977" s="67">
        <f>E977/'Lookup Tables'!$C$48</f>
        <v>5.5782499571229931E-2</v>
      </c>
      <c r="H977" s="70">
        <f t="shared" si="98"/>
        <v>7.0663387842924336E-6</v>
      </c>
      <c r="I977" s="71">
        <f t="shared" si="96"/>
        <v>8.03267993825711E-5</v>
      </c>
      <c r="L977" s="74"/>
      <c r="M977" s="74"/>
      <c r="N977" s="74"/>
      <c r="O977" s="74"/>
      <c r="P977" s="74"/>
      <c r="Q977" s="74"/>
      <c r="R977" s="74"/>
      <c r="S977" s="74"/>
      <c r="T977" s="74"/>
      <c r="U977" s="74"/>
      <c r="V977" s="74"/>
      <c r="W977" s="74"/>
      <c r="X977" s="74"/>
      <c r="Y977" s="74"/>
    </row>
    <row r="978" spans="1:25" x14ac:dyDescent="0.3">
      <c r="A978" s="66">
        <f t="shared" si="94"/>
        <v>2087.0999999999117</v>
      </c>
      <c r="B978" s="67">
        <f>LOOKUP(A978+0.01,AmountsB!$A$4:$A$103,AmountsB!$B$4:$B$103)*0.1*$A$2</f>
        <v>0</v>
      </c>
      <c r="C978" s="68">
        <f t="shared" si="99"/>
        <v>2074573.74105891</v>
      </c>
      <c r="D978" s="67">
        <f t="array" ref="D978">SUM($B$7:$B973*$F$1009*EXP(-$F$1009*($A978-$A$7:$A973)))*$F$1010</f>
        <v>14426.837934512743</v>
      </c>
      <c r="E978" s="67">
        <f t="shared" si="97"/>
        <v>2.7503492920017341E-2</v>
      </c>
      <c r="F978" s="70">
        <f t="shared" si="95"/>
        <v>1.6700120901034529E-3</v>
      </c>
      <c r="G978" s="67">
        <f>E978/'Lookup Tables'!$C$48</f>
        <v>5.5006985840034682E-2</v>
      </c>
      <c r="H978" s="70">
        <f t="shared" si="98"/>
        <v>6.9680993221202737E-6</v>
      </c>
      <c r="I978" s="71">
        <f t="shared" si="96"/>
        <v>7.9210059609649935E-5</v>
      </c>
      <c r="L978" s="74"/>
      <c r="M978" s="74"/>
      <c r="N978" s="74"/>
      <c r="O978" s="74"/>
      <c r="P978" s="74"/>
      <c r="Q978" s="74"/>
      <c r="R978" s="74"/>
      <c r="S978" s="74"/>
      <c r="T978" s="74"/>
      <c r="U978" s="74"/>
      <c r="V978" s="74"/>
      <c r="W978" s="74"/>
      <c r="X978" s="74"/>
      <c r="Y978" s="74"/>
    </row>
    <row r="979" spans="1:25" x14ac:dyDescent="0.3">
      <c r="A979" s="66">
        <f t="shared" ref="A979:A1006" si="100">A978+0.1</f>
        <v>2087.1999999999116</v>
      </c>
      <c r="B979" s="67">
        <f>LOOKUP(A979+0.01,AmountsB!$A$4:$A$103,AmountsB!$B$4:$B$103)*0.1*$A$2</f>
        <v>0</v>
      </c>
      <c r="C979" s="68">
        <f t="shared" si="99"/>
        <v>2074573.74105891</v>
      </c>
      <c r="D979" s="67">
        <f t="array" ref="D979">SUM($B$7:$B974*$F$1009*EXP(-$F$1009*($A979-$A$7:$A974)))*$F$1010</f>
        <v>14226.269458701496</v>
      </c>
      <c r="E979" s="67">
        <f t="shared" si="97"/>
        <v>2.7121126827080455E-2</v>
      </c>
      <c r="F979" s="70">
        <f t="shared" ref="F979:F1007" si="101">E979*60*1012/1000000</f>
        <v>1.6467948209403253E-3</v>
      </c>
      <c r="G979" s="67">
        <f>E979/'Lookup Tables'!$C$48</f>
        <v>5.424225365416091E-2</v>
      </c>
      <c r="H979" s="70">
        <f t="shared" si="98"/>
        <v>6.8712256297226039E-6</v>
      </c>
      <c r="I979" s="71">
        <f t="shared" ref="I979:I1006" si="102">G979*60*24/1000000</f>
        <v>7.8108845261991712E-5</v>
      </c>
      <c r="L979" s="74"/>
      <c r="M979" s="74"/>
      <c r="N979" s="74"/>
      <c r="O979" s="74"/>
      <c r="P979" s="74"/>
      <c r="Q979" s="74"/>
      <c r="R979" s="74"/>
      <c r="S979" s="74"/>
      <c r="T979" s="74"/>
      <c r="U979" s="74"/>
      <c r="V979" s="74"/>
      <c r="W979" s="74"/>
      <c r="X979" s="74"/>
      <c r="Y979" s="74"/>
    </row>
    <row r="980" spans="1:25" x14ac:dyDescent="0.3">
      <c r="A980" s="66">
        <f t="shared" si="100"/>
        <v>2087.2999999999115</v>
      </c>
      <c r="B980" s="67">
        <f>LOOKUP(A980+0.01,AmountsB!$A$4:$A$103,AmountsB!$B$4:$B$103)*0.1*$A$2</f>
        <v>0</v>
      </c>
      <c r="C980" s="68">
        <f t="shared" si="99"/>
        <v>2074573.74105891</v>
      </c>
      <c r="D980" s="67">
        <f t="array" ref="D980">SUM($B$7:$B975*$F$1009*EXP(-$F$1009*($A980-$A$7:$A975)))*$F$1010</f>
        <v>14028.489377247479</v>
      </c>
      <c r="E980" s="67">
        <f t="shared" si="97"/>
        <v>2.6744076561826001E-2</v>
      </c>
      <c r="F980" s="70">
        <f t="shared" si="101"/>
        <v>1.6239003288340747E-3</v>
      </c>
      <c r="G980" s="67">
        <f>E980/'Lookup Tables'!$C$48</f>
        <v>5.3488153123652002E-2</v>
      </c>
      <c r="H980" s="70">
        <f t="shared" si="98"/>
        <v>6.7756987195455827E-6</v>
      </c>
      <c r="I980" s="71">
        <f t="shared" si="102"/>
        <v>7.702294049805889E-5</v>
      </c>
      <c r="L980" s="74"/>
      <c r="M980" s="74"/>
      <c r="N980" s="74"/>
      <c r="O980" s="74"/>
      <c r="P980" s="74"/>
      <c r="Q980" s="74"/>
      <c r="R980" s="74"/>
      <c r="S980" s="74"/>
      <c r="T980" s="74"/>
      <c r="U980" s="74"/>
      <c r="V980" s="74"/>
      <c r="W980" s="74"/>
      <c r="X980" s="74"/>
      <c r="Y980" s="74"/>
    </row>
    <row r="981" spans="1:25" x14ac:dyDescent="0.3">
      <c r="A981" s="66">
        <f t="shared" si="100"/>
        <v>2087.3999999999114</v>
      </c>
      <c r="B981" s="67">
        <f>LOOKUP(A981+0.01,AmountsB!$A$4:$A$103,AmountsB!$B$4:$B$103)*0.1*$A$2</f>
        <v>0</v>
      </c>
      <c r="C981" s="68">
        <f t="shared" si="99"/>
        <v>2074573.74105891</v>
      </c>
      <c r="D981" s="67">
        <f t="array" ref="D981">SUM($B$7:$B976*$F$1009*EXP(-$F$1009*($A981-$A$7:$A976)))*$F$1010</f>
        <v>13833.458924621558</v>
      </c>
      <c r="E981" s="67">
        <f t="shared" si="97"/>
        <v>2.6372268221194917E-2</v>
      </c>
      <c r="F981" s="70">
        <f t="shared" si="101"/>
        <v>1.6013241263909553E-3</v>
      </c>
      <c r="G981" s="67">
        <f>E981/'Lookup Tables'!$C$48</f>
        <v>5.2744536442389835E-2</v>
      </c>
      <c r="H981" s="70">
        <f t="shared" si="98"/>
        <v>6.6814998680090008E-6</v>
      </c>
      <c r="I981" s="71">
        <f t="shared" si="102"/>
        <v>7.5952132477041361E-5</v>
      </c>
      <c r="L981" s="74"/>
      <c r="M981" s="74"/>
      <c r="N981" s="74"/>
      <c r="O981" s="74"/>
      <c r="P981" s="74"/>
      <c r="Q981" s="74"/>
      <c r="R981" s="74"/>
      <c r="S981" s="74"/>
      <c r="T981" s="74"/>
      <c r="U981" s="74"/>
      <c r="V981" s="74"/>
      <c r="W981" s="74"/>
      <c r="X981" s="74"/>
      <c r="Y981" s="74"/>
    </row>
    <row r="982" spans="1:25" x14ac:dyDescent="0.3">
      <c r="A982" s="66">
        <f t="shared" si="100"/>
        <v>2087.4999999999113</v>
      </c>
      <c r="B982" s="67">
        <f>LOOKUP(A982+0.01,AmountsB!$A$4:$A$103,AmountsB!$B$4:$B$103)*0.1*$A$2</f>
        <v>0</v>
      </c>
      <c r="C982" s="68">
        <f t="shared" si="99"/>
        <v>2074573.74105891</v>
      </c>
      <c r="D982" s="67">
        <f t="array" ref="D982">SUM($B$7:$B977*$F$1009*EXP(-$F$1009*($A982-$A$7:$A977)))*$F$1010</f>
        <v>13641.139874230663</v>
      </c>
      <c r="E982" s="67">
        <f t="shared" si="97"/>
        <v>2.6005628929562152E-2</v>
      </c>
      <c r="F982" s="70">
        <f t="shared" si="101"/>
        <v>1.5790617886030139E-3</v>
      </c>
      <c r="G982" s="67">
        <f>E982/'Lookup Tables'!$C$48</f>
        <v>5.2011257859124305E-2</v>
      </c>
      <c r="H982" s="70">
        <f t="shared" si="98"/>
        <v>6.5886106118363971E-6</v>
      </c>
      <c r="I982" s="71">
        <f t="shared" si="102"/>
        <v>7.4896211317139008E-5</v>
      </c>
      <c r="L982" s="74"/>
      <c r="M982" s="74"/>
      <c r="N982" s="74"/>
      <c r="O982" s="74"/>
      <c r="P982" s="74"/>
      <c r="Q982" s="74"/>
      <c r="R982" s="74"/>
      <c r="S982" s="74"/>
      <c r="T982" s="74"/>
      <c r="U982" s="74"/>
      <c r="V982" s="74"/>
      <c r="W982" s="74"/>
      <c r="X982" s="74"/>
      <c r="Y982" s="74"/>
    </row>
    <row r="983" spans="1:25" x14ac:dyDescent="0.3">
      <c r="A983" s="66">
        <f t="shared" si="100"/>
        <v>2087.5999999999112</v>
      </c>
      <c r="B983" s="67">
        <f>LOOKUP(A983+0.01,AmountsB!$A$4:$A$103,AmountsB!$B$4:$B$103)*0.1*$A$2</f>
        <v>0</v>
      </c>
      <c r="C983" s="68">
        <f t="shared" si="99"/>
        <v>2074573.74105891</v>
      </c>
      <c r="D983" s="67">
        <f t="array" ref="D983">SUM($B$7:$B978*$F$1009*EXP(-$F$1009*($A983-$A$7:$A978)))*$F$1010</f>
        <v>13451.494530925234</v>
      </c>
      <c r="E983" s="67">
        <f t="shared" si="97"/>
        <v>2.5644086824452805E-2</v>
      </c>
      <c r="F983" s="70">
        <f t="shared" si="101"/>
        <v>1.5571089519807741E-3</v>
      </c>
      <c r="G983" s="67">
        <f>E983/'Lookup Tables'!$C$48</f>
        <v>5.1288173648905609E-2</v>
      </c>
      <c r="H983" s="70">
        <f t="shared" si="98"/>
        <v>6.4970127444361858E-6</v>
      </c>
      <c r="I983" s="71">
        <f t="shared" si="102"/>
        <v>7.3854970054424091E-5</v>
      </c>
      <c r="L983" s="74"/>
      <c r="M983" s="74"/>
      <c r="N983" s="74"/>
      <c r="O983" s="74"/>
      <c r="P983" s="74"/>
      <c r="Q983" s="74"/>
      <c r="R983" s="74"/>
      <c r="S983" s="74"/>
      <c r="T983" s="74"/>
      <c r="U983" s="74"/>
      <c r="V983" s="74"/>
      <c r="W983" s="74"/>
      <c r="X983" s="74"/>
      <c r="Y983" s="74"/>
    </row>
    <row r="984" spans="1:25" x14ac:dyDescent="0.3">
      <c r="A984" s="66">
        <f t="shared" si="100"/>
        <v>2087.6999999999111</v>
      </c>
      <c r="B984" s="67">
        <f>LOOKUP(A984+0.01,AmountsB!$A$4:$A$103,AmountsB!$B$4:$B$103)*0.1*$A$2</f>
        <v>0</v>
      </c>
      <c r="C984" s="68">
        <f t="shared" si="99"/>
        <v>2074573.74105891</v>
      </c>
      <c r="D984" s="67">
        <f t="array" ref="D984">SUM($B$7:$B979*$F$1009*EXP(-$F$1009*($A984-$A$7:$A979)))*$F$1010</f>
        <v>13264.48572361086</v>
      </c>
      <c r="E984" s="67">
        <f t="shared" si="97"/>
        <v>2.5287571042456849E-2</v>
      </c>
      <c r="F984" s="70">
        <f t="shared" si="101"/>
        <v>1.5354613136979798E-3</v>
      </c>
      <c r="G984" s="67">
        <f>E984/'Lookup Tables'!$C$48</f>
        <v>5.0575142084913698E-2</v>
      </c>
      <c r="H984" s="70">
        <f t="shared" si="98"/>
        <v>6.4066883123331228E-6</v>
      </c>
      <c r="I984" s="71">
        <f t="shared" si="102"/>
        <v>7.2828204602275729E-5</v>
      </c>
      <c r="L984" s="74"/>
      <c r="M984" s="74"/>
      <c r="N984" s="74"/>
      <c r="O984" s="74"/>
      <c r="P984" s="74"/>
      <c r="Q984" s="74"/>
      <c r="R984" s="74"/>
      <c r="S984" s="74"/>
      <c r="T984" s="74"/>
      <c r="U984" s="74"/>
      <c r="V984" s="74"/>
      <c r="W984" s="74"/>
      <c r="X984" s="74"/>
      <c r="Y984" s="74"/>
    </row>
    <row r="985" spans="1:25" x14ac:dyDescent="0.3">
      <c r="A985" s="66">
        <f t="shared" si="100"/>
        <v>2087.7999999999111</v>
      </c>
      <c r="B985" s="67">
        <f>LOOKUP(A985+0.01,AmountsB!$A$4:$A$103,AmountsB!$B$4:$B$103)*0.1*$A$2</f>
        <v>0</v>
      </c>
      <c r="C985" s="68">
        <f t="shared" si="99"/>
        <v>2074573.74105891</v>
      </c>
      <c r="D985" s="67">
        <f t="array" ref="D985">SUM($B$7:$B980*$F$1009*EXP(-$F$1009*($A985-$A$7:$A980)))*$F$1010</f>
        <v>13080.076797962627</v>
      </c>
      <c r="E985" s="67">
        <f t="shared" si="97"/>
        <v>2.4936011705339677E-2</v>
      </c>
      <c r="F985" s="70">
        <f t="shared" si="101"/>
        <v>1.5141146307482251E-3</v>
      </c>
      <c r="G985" s="67">
        <f>E985/'Lookup Tables'!$C$48</f>
        <v>4.9872023410679353E-2</v>
      </c>
      <c r="H985" s="70">
        <f t="shared" si="98"/>
        <v>6.3176196116493519E-6</v>
      </c>
      <c r="I985" s="71">
        <f t="shared" si="102"/>
        <v>7.1815713711378262E-5</v>
      </c>
      <c r="L985" s="74"/>
      <c r="M985" s="74"/>
      <c r="N985" s="74"/>
      <c r="O985" s="74"/>
      <c r="P985" s="74"/>
      <c r="Q985" s="74"/>
      <c r="R985" s="74"/>
      <c r="S985" s="74"/>
      <c r="T985" s="74"/>
      <c r="U985" s="74"/>
      <c r="V985" s="74"/>
      <c r="W985" s="74"/>
      <c r="X985" s="74"/>
      <c r="Y985" s="74"/>
    </row>
    <row r="986" spans="1:25" x14ac:dyDescent="0.3">
      <c r="A986" s="66">
        <f t="shared" si="100"/>
        <v>2087.899999999911</v>
      </c>
      <c r="B986" s="67">
        <f>LOOKUP(A986+0.01,AmountsB!$A$4:$A$103,AmountsB!$B$4:$B$103)*0.1*$A$2</f>
        <v>0</v>
      </c>
      <c r="C986" s="68">
        <f t="shared" si="99"/>
        <v>2074573.74105891</v>
      </c>
      <c r="D986" s="67">
        <f t="array" ref="D986">SUM($B$7:$B981*$F$1009*EXP(-$F$1009*($A986-$A$7:$A981)))*$F$1010</f>
        <v>12898.231609240747</v>
      </c>
      <c r="E986" s="67">
        <f t="shared" si="97"/>
        <v>2.458933990634574E-2</v>
      </c>
      <c r="F986" s="70">
        <f t="shared" si="101"/>
        <v>1.4930647191133133E-3</v>
      </c>
      <c r="G986" s="67">
        <f>E986/'Lookup Tables'!$C$48</f>
        <v>4.917867981269148E-2</v>
      </c>
      <c r="H986" s="70">
        <f t="shared" si="98"/>
        <v>6.2297891846343978E-6</v>
      </c>
      <c r="I986" s="71">
        <f t="shared" si="102"/>
        <v>7.0817298930275725E-5</v>
      </c>
      <c r="L986" s="74"/>
      <c r="M986" s="74"/>
      <c r="N986" s="74"/>
      <c r="O986" s="74"/>
      <c r="P986" s="74"/>
      <c r="Q986" s="74"/>
      <c r="R986" s="74"/>
      <c r="S986" s="74"/>
      <c r="T986" s="74"/>
      <c r="U986" s="74"/>
      <c r="V986" s="74"/>
      <c r="W986" s="74"/>
      <c r="X986" s="74"/>
      <c r="Y986" s="74"/>
    </row>
    <row r="987" spans="1:25" x14ac:dyDescent="0.3">
      <c r="A987" s="66">
        <f t="shared" si="100"/>
        <v>2087.9999999999109</v>
      </c>
      <c r="B987" s="67">
        <f>LOOKUP(A987+0.01,AmountsB!$A$4:$A$103,AmountsB!$B$4:$B$103)*0.1*$A$2</f>
        <v>0</v>
      </c>
      <c r="C987" s="68">
        <f t="shared" si="99"/>
        <v>2074573.74105891</v>
      </c>
      <c r="D987" s="67">
        <f t="array" ref="D987">SUM($B$7:$B982*$F$1009*EXP(-$F$1009*($A987-$A$7:$A982)))*$F$1010</f>
        <v>12718.914515206085</v>
      </c>
      <c r="E987" s="67">
        <f t="shared" si="97"/>
        <v>2.4247487696692639E-2</v>
      </c>
      <c r="F987" s="70">
        <f t="shared" si="101"/>
        <v>1.4723074529431768E-3</v>
      </c>
      <c r="G987" s="67">
        <f>E987/'Lookup Tables'!$C$48</f>
        <v>4.8494975393385278E-2</v>
      </c>
      <c r="H987" s="70">
        <f t="shared" si="98"/>
        <v>6.1431798162433953E-6</v>
      </c>
      <c r="I987" s="71">
        <f t="shared" si="102"/>
        <v>6.9832764566474793E-5</v>
      </c>
      <c r="L987" s="74"/>
      <c r="M987" s="74"/>
      <c r="N987" s="74"/>
      <c r="O987" s="74"/>
      <c r="P987" s="74"/>
      <c r="Q987" s="74"/>
      <c r="R987" s="74"/>
      <c r="S987" s="74"/>
      <c r="T987" s="74"/>
      <c r="U987" s="74"/>
      <c r="V987" s="74"/>
      <c r="W987" s="74"/>
      <c r="X987" s="74"/>
      <c r="Y987" s="74"/>
    </row>
    <row r="988" spans="1:25" x14ac:dyDescent="0.3">
      <c r="A988" s="66">
        <f t="shared" si="100"/>
        <v>2088.0999999999108</v>
      </c>
      <c r="B988" s="67">
        <f>LOOKUP(A988+0.01,AmountsB!$A$4:$A$103,AmountsB!$B$4:$B$103)*0.1*$A$2</f>
        <v>0</v>
      </c>
      <c r="C988" s="68">
        <f t="shared" si="99"/>
        <v>2074573.74105891</v>
      </c>
      <c r="D988" s="67">
        <f t="array" ref="D988">SUM($B$7:$B983*$F$1009*EXP(-$F$1009*($A988-$A$7:$A983)))*$F$1010</f>
        <v>12542.09036913415</v>
      </c>
      <c r="E988" s="67">
        <f t="shared" si="97"/>
        <v>2.3910388072252875E-2</v>
      </c>
      <c r="F988" s="70">
        <f t="shared" si="101"/>
        <v>1.4518387637471946E-3</v>
      </c>
      <c r="G988" s="67">
        <f>E988/'Lookup Tables'!$C$48</f>
        <v>4.782077614450575E-2</v>
      </c>
      <c r="H988" s="70">
        <f t="shared" si="98"/>
        <v>6.0577745307628705E-6</v>
      </c>
      <c r="I988" s="71">
        <f t="shared" si="102"/>
        <v>6.8861917648088285E-5</v>
      </c>
      <c r="L988" s="74"/>
      <c r="M988" s="74"/>
      <c r="N988" s="74"/>
      <c r="O988" s="74"/>
      <c r="P988" s="74"/>
      <c r="Q988" s="74"/>
      <c r="R988" s="74"/>
      <c r="S988" s="74"/>
      <c r="T988" s="74"/>
      <c r="U988" s="74"/>
      <c r="V988" s="74"/>
      <c r="W988" s="74"/>
      <c r="X988" s="74"/>
      <c r="Y988" s="74"/>
    </row>
    <row r="989" spans="1:25" x14ac:dyDescent="0.3">
      <c r="A989" s="66">
        <f t="shared" si="100"/>
        <v>2088.1999999999107</v>
      </c>
      <c r="B989" s="67">
        <f>LOOKUP(A989+0.01,AmountsB!$A$4:$A$103,AmountsB!$B$4:$B$103)*0.1*$A$2</f>
        <v>0</v>
      </c>
      <c r="C989" s="68">
        <f t="shared" si="99"/>
        <v>2074573.74105891</v>
      </c>
      <c r="D989" s="67">
        <f t="array" ref="D989">SUM($B$7:$B984*$F$1009*EXP(-$F$1009*($A989-$A$7:$A984)))*$F$1010</f>
        <v>12367.724512926232</v>
      </c>
      <c r="E989" s="67">
        <f t="shared" si="97"/>
        <v>2.357797496042088E-2</v>
      </c>
      <c r="F989" s="70">
        <f t="shared" si="101"/>
        <v>1.4316546395967559E-3</v>
      </c>
      <c r="G989" s="67">
        <f>E989/'Lookup Tables'!$C$48</f>
        <v>4.715594992084176E-2</v>
      </c>
      <c r="H989" s="70">
        <f t="shared" si="98"/>
        <v>5.9735565884834512E-6</v>
      </c>
      <c r="I989" s="71">
        <f t="shared" si="102"/>
        <v>6.7904567886012133E-5</v>
      </c>
      <c r="L989" s="74"/>
      <c r="M989" s="74"/>
      <c r="N989" s="74"/>
      <c r="O989" s="74"/>
      <c r="P989" s="74"/>
      <c r="Q989" s="74"/>
      <c r="R989" s="74"/>
      <c r="S989" s="74"/>
      <c r="T989" s="74"/>
      <c r="U989" s="74"/>
      <c r="V989" s="74"/>
      <c r="W989" s="74"/>
      <c r="X989" s="74"/>
      <c r="Y989" s="74"/>
    </row>
    <row r="990" spans="1:25" x14ac:dyDescent="0.3">
      <c r="A990" s="66">
        <f t="shared" si="100"/>
        <v>2088.2999999999106</v>
      </c>
      <c r="B990" s="67">
        <f>LOOKUP(A990+0.01,AmountsB!$A$4:$A$103,AmountsB!$B$4:$B$103)*0.1*$A$2</f>
        <v>0</v>
      </c>
      <c r="C990" s="68">
        <f t="shared" si="99"/>
        <v>2074573.74105891</v>
      </c>
      <c r="D990" s="67">
        <f t="array" ref="D990">SUM($B$7:$B985*$F$1009*EXP(-$F$1009*($A990-$A$7:$A985)))*$F$1010</f>
        <v>12195.782770316313</v>
      </c>
      <c r="E990" s="67">
        <f t="shared" si="97"/>
        <v>2.3250183207162576E-2</v>
      </c>
      <c r="F990" s="70">
        <f t="shared" si="101"/>
        <v>1.4117511243389115E-3</v>
      </c>
      <c r="G990" s="67">
        <f>E990/'Lookup Tables'!$C$48</f>
        <v>4.6500366414325152E-2</v>
      </c>
      <c r="H990" s="70">
        <f t="shared" si="98"/>
        <v>5.8905094824188452E-6</v>
      </c>
      <c r="I990" s="71">
        <f t="shared" si="102"/>
        <v>6.6960527636628219E-5</v>
      </c>
      <c r="L990" s="74"/>
      <c r="M990" s="74"/>
      <c r="N990" s="74"/>
      <c r="O990" s="74"/>
      <c r="P990" s="74"/>
      <c r="Q990" s="74"/>
      <c r="R990" s="74"/>
      <c r="S990" s="74"/>
      <c r="T990" s="74"/>
      <c r="U990" s="74"/>
      <c r="V990" s="74"/>
      <c r="W990" s="74"/>
      <c r="X990" s="74"/>
      <c r="Y990" s="74"/>
    </row>
    <row r="991" spans="1:25" x14ac:dyDescent="0.3">
      <c r="A991" s="66">
        <f t="shared" si="100"/>
        <v>2088.3999999999105</v>
      </c>
      <c r="B991" s="67">
        <f>LOOKUP(A991+0.01,AmountsB!$A$4:$A$103,AmountsB!$B$4:$B$103)*0.1*$A$2</f>
        <v>0</v>
      </c>
      <c r="C991" s="68">
        <f t="shared" si="99"/>
        <v>2074573.74105891</v>
      </c>
      <c r="D991" s="67">
        <f t="array" ref="D991">SUM($B$7:$B986*$F$1009*EXP(-$F$1009*($A991-$A$7:$A986)))*$F$1010</f>
        <v>12026.231440172392</v>
      </c>
      <c r="E991" s="67">
        <f t="shared" si="97"/>
        <v>2.2926948564244938E-2</v>
      </c>
      <c r="F991" s="70">
        <f t="shared" si="101"/>
        <v>1.3921243168209525E-3</v>
      </c>
      <c r="G991" s="67">
        <f>E991/'Lookup Tables'!$C$48</f>
        <v>4.5853897128489876E-2</v>
      </c>
      <c r="H991" s="70">
        <f t="shared" si="98"/>
        <v>5.8086169350704002E-6</v>
      </c>
      <c r="I991" s="71">
        <f t="shared" si="102"/>
        <v>6.602961186502543E-5</v>
      </c>
      <c r="L991" s="74"/>
      <c r="M991" s="74"/>
      <c r="N991" s="74"/>
      <c r="O991" s="74"/>
      <c r="P991" s="74"/>
      <c r="Q991" s="74"/>
      <c r="R991" s="74"/>
      <c r="S991" s="74"/>
      <c r="T991" s="74"/>
      <c r="U991" s="74"/>
      <c r="V991" s="74"/>
      <c r="W991" s="74"/>
      <c r="X991" s="74"/>
      <c r="Y991" s="74"/>
    </row>
    <row r="992" spans="1:25" x14ac:dyDescent="0.3">
      <c r="A992" s="66">
        <f t="shared" si="100"/>
        <v>2088.4999999999104</v>
      </c>
      <c r="B992" s="67">
        <f>LOOKUP(A992+0.01,AmountsB!$A$4:$A$103,AmountsB!$B$4:$B$103)*0.1*$A$2</f>
        <v>0</v>
      </c>
      <c r="C992" s="68">
        <f t="shared" si="99"/>
        <v>2074573.74105891</v>
      </c>
      <c r="D992" s="67">
        <f t="array" ref="D992">SUM($B$7:$B987*$F$1009*EXP(-$F$1009*($A992-$A$7:$A987)))*$F$1010</f>
        <v>11859.03728989097</v>
      </c>
      <c r="E992" s="67">
        <f t="shared" si="97"/>
        <v>2.260820767664317E-2</v>
      </c>
      <c r="F992" s="70">
        <f t="shared" si="101"/>
        <v>1.3727703701257733E-3</v>
      </c>
      <c r="G992" s="67">
        <f>E992/'Lookup Tables'!$C$48</f>
        <v>4.5216415353286341E-2</v>
      </c>
      <c r="H992" s="70">
        <f t="shared" si="98"/>
        <v>5.7278628952366665E-6</v>
      </c>
      <c r="I992" s="71">
        <f t="shared" si="102"/>
        <v>6.5111638108732338E-5</v>
      </c>
      <c r="L992" s="74"/>
      <c r="M992" s="74"/>
      <c r="N992" s="74"/>
      <c r="O992" s="74"/>
      <c r="P992" s="74"/>
      <c r="Q992" s="74"/>
      <c r="R992" s="74"/>
      <c r="S992" s="74"/>
      <c r="T992" s="74"/>
      <c r="U992" s="74"/>
      <c r="V992" s="74"/>
      <c r="W992" s="74"/>
      <c r="X992" s="74"/>
      <c r="Y992" s="74"/>
    </row>
    <row r="993" spans="1:25" x14ac:dyDescent="0.3">
      <c r="A993" s="66">
        <f t="shared" si="100"/>
        <v>2088.5999999999103</v>
      </c>
      <c r="B993" s="67">
        <f>LOOKUP(A993+0.01,AmountsB!$A$4:$A$103,AmountsB!$B$4:$B$103)*0.1*$A$2</f>
        <v>0</v>
      </c>
      <c r="C993" s="68">
        <f t="shared" si="99"/>
        <v>2074573.74105891</v>
      </c>
      <c r="D993" s="67">
        <f t="array" ref="D993">SUM($B$7:$B988*$F$1009*EXP(-$F$1009*($A993-$A$7:$A988)))*$F$1010</f>
        <v>11694.167548883341</v>
      </c>
      <c r="E993" s="67">
        <f t="shared" si="97"/>
        <v>2.2293898070122904E-2</v>
      </c>
      <c r="F993" s="70">
        <f t="shared" si="101"/>
        <v>1.3536854908178628E-3</v>
      </c>
      <c r="G993" s="67">
        <f>E993/'Lookup Tables'!$C$48</f>
        <v>4.4587796140245807E-2</v>
      </c>
      <c r="H993" s="70">
        <f t="shared" si="98"/>
        <v>5.6482315348673167E-6</v>
      </c>
      <c r="I993" s="71">
        <f t="shared" si="102"/>
        <v>6.4206426441953962E-5</v>
      </c>
      <c r="L993" s="74"/>
      <c r="M993" s="74"/>
      <c r="N993" s="74"/>
      <c r="O993" s="74"/>
      <c r="P993" s="74"/>
      <c r="Q993" s="74"/>
      <c r="R993" s="74"/>
      <c r="S993" s="74"/>
      <c r="T993" s="74"/>
      <c r="U993" s="74"/>
      <c r="V993" s="74"/>
      <c r="W993" s="74"/>
      <c r="X993" s="74"/>
      <c r="Y993" s="74"/>
    </row>
    <row r="994" spans="1:25" x14ac:dyDescent="0.3">
      <c r="A994" s="66">
        <f t="shared" si="100"/>
        <v>2088.6999999999102</v>
      </c>
      <c r="B994" s="67">
        <f>LOOKUP(A994+0.01,AmountsB!$A$4:$A$103,AmountsB!$B$4:$B$103)*0.1*$A$2</f>
        <v>0</v>
      </c>
      <c r="C994" s="68">
        <f t="shared" si="99"/>
        <v>2074573.74105891</v>
      </c>
      <c r="D994" s="67">
        <f t="array" ref="D994">SUM($B$7:$B989*$F$1009*EXP(-$F$1009*($A994-$A$7:$A989)))*$F$1010</f>
        <v>11531.589902152462</v>
      </c>
      <c r="E994" s="67">
        <f t="shared" si="97"/>
        <v>2.1983958138995032E-2</v>
      </c>
      <c r="F994" s="70">
        <f t="shared" si="101"/>
        <v>1.3348659381997785E-3</v>
      </c>
      <c r="G994" s="67">
        <f>E994/'Lookup Tables'!$C$48</f>
        <v>4.3967916277990064E-2</v>
      </c>
      <c r="H994" s="70">
        <f t="shared" si="98"/>
        <v>5.5697072459607879E-6</v>
      </c>
      <c r="I994" s="71">
        <f t="shared" si="102"/>
        <v>6.3313799440305697E-5</v>
      </c>
      <c r="L994" s="74"/>
      <c r="M994" s="74"/>
      <c r="N994" s="74"/>
      <c r="O994" s="74"/>
      <c r="P994" s="74"/>
      <c r="Q994" s="74"/>
      <c r="R994" s="74"/>
      <c r="S994" s="74"/>
      <c r="T994" s="74"/>
      <c r="U994" s="74"/>
      <c r="V994" s="74"/>
      <c r="W994" s="74"/>
      <c r="X994" s="74"/>
      <c r="Y994" s="74"/>
    </row>
    <row r="995" spans="1:25" x14ac:dyDescent="0.3">
      <c r="A995" s="66">
        <f t="shared" si="100"/>
        <v>2088.7999999999101</v>
      </c>
      <c r="B995" s="67">
        <f>LOOKUP(A995+0.01,AmountsB!$A$4:$A$103,AmountsB!$B$4:$B$103)*0.1*$A$2</f>
        <v>0</v>
      </c>
      <c r="C995" s="68">
        <f t="shared" si="99"/>
        <v>2074573.74105891</v>
      </c>
      <c r="D995" s="67">
        <f t="array" ref="D995">SUM($B$7:$B990*$F$1009*EXP(-$F$1009*($A995-$A$7:$A990)))*$F$1010</f>
        <v>11371.272483959101</v>
      </c>
      <c r="E995" s="67">
        <f t="shared" si="97"/>
        <v>2.1678327134040828E-2</v>
      </c>
      <c r="F995" s="70">
        <f t="shared" si="101"/>
        <v>1.3163080235789591E-3</v>
      </c>
      <c r="G995" s="67">
        <f>E995/'Lookup Tables'!$C$48</f>
        <v>4.3356654268081656E-2</v>
      </c>
      <c r="H995" s="70">
        <f t="shared" si="98"/>
        <v>5.4922746375050681E-6</v>
      </c>
      <c r="I995" s="71">
        <f t="shared" si="102"/>
        <v>6.2433582146037583E-5</v>
      </c>
      <c r="L995" s="74"/>
      <c r="M995" s="74"/>
      <c r="N995" s="74"/>
      <c r="O995" s="74"/>
      <c r="P995" s="74"/>
      <c r="Q995" s="74"/>
      <c r="R995" s="74"/>
      <c r="S995" s="74"/>
      <c r="T995" s="74"/>
      <c r="U995" s="74"/>
      <c r="V995" s="74"/>
      <c r="W995" s="74"/>
      <c r="X995" s="74"/>
      <c r="Y995" s="74"/>
    </row>
    <row r="996" spans="1:25" x14ac:dyDescent="0.3">
      <c r="A996" s="66">
        <f t="shared" si="100"/>
        <v>2088.8999999999101</v>
      </c>
      <c r="B996" s="67">
        <f>LOOKUP(A996+0.01,AmountsB!$A$4:$A$103,AmountsB!$B$4:$B$103)*0.1*$A$2</f>
        <v>0</v>
      </c>
      <c r="C996" s="68">
        <f t="shared" si="99"/>
        <v>2074573.74105891</v>
      </c>
      <c r="D996" s="67">
        <f t="array" ref="D996">SUM($B$7:$B991*$F$1009*EXP(-$F$1009*($A996-$A$7:$A991)))*$F$1010</f>
        <v>11213.18387157607</v>
      </c>
      <c r="E996" s="67">
        <f t="shared" si="97"/>
        <v>2.1376945150604905E-2</v>
      </c>
      <c r="F996" s="70">
        <f t="shared" si="101"/>
        <v>1.2980081095447299E-3</v>
      </c>
      <c r="G996" s="67">
        <f>E996/'Lookup Tables'!$C$48</f>
        <v>4.275389030120981E-2</v>
      </c>
      <c r="H996" s="70">
        <f t="shared" si="98"/>
        <v>5.415918532461018E-6</v>
      </c>
      <c r="I996" s="71">
        <f t="shared" si="102"/>
        <v>6.1565602033742124E-5</v>
      </c>
      <c r="L996" s="74"/>
      <c r="M996" s="74"/>
      <c r="N996" s="74"/>
      <c r="O996" s="74"/>
      <c r="P996" s="74"/>
      <c r="Q996" s="74"/>
      <c r="R996" s="74"/>
      <c r="S996" s="74"/>
      <c r="T996" s="74"/>
      <c r="U996" s="74"/>
      <c r="V996" s="74"/>
      <c r="W996" s="74"/>
      <c r="X996" s="74"/>
      <c r="Y996" s="74"/>
    </row>
    <row r="997" spans="1:25" x14ac:dyDescent="0.3">
      <c r="A997" s="66">
        <f t="shared" si="100"/>
        <v>2088.99999999991</v>
      </c>
      <c r="B997" s="67">
        <f>LOOKUP(A997+0.01,AmountsB!$A$4:$A$103,AmountsB!$B$4:$B$103)*0.1*$A$2</f>
        <v>0</v>
      </c>
      <c r="C997" s="68">
        <f t="shared" si="99"/>
        <v>2074573.74105891</v>
      </c>
      <c r="D997" s="67">
        <f t="array" ref="D997">SUM($B$7:$B992*$F$1009*EXP(-$F$1009*($A997-$A$7:$A992)))*$F$1010</f>
        <v>11057.293079129233</v>
      </c>
      <c r="E997" s="67">
        <f t="shared" si="97"/>
        <v>2.1079753116853658E-2</v>
      </c>
      <c r="F997" s="70">
        <f t="shared" si="101"/>
        <v>1.279962609255354E-3</v>
      </c>
      <c r="G997" s="67">
        <f>E997/'Lookup Tables'!$C$48</f>
        <v>4.2159506233707317E-2</v>
      </c>
      <c r="H997" s="70">
        <f t="shared" si="98"/>
        <v>5.3406239647876003E-6</v>
      </c>
      <c r="I997" s="71">
        <f t="shared" si="102"/>
        <v>6.0709688976538532E-5</v>
      </c>
      <c r="L997" s="74"/>
      <c r="M997" s="74"/>
      <c r="N997" s="74"/>
      <c r="O997" s="74"/>
      <c r="P997" s="74"/>
      <c r="Q997" s="74"/>
      <c r="R997" s="74"/>
      <c r="S997" s="74"/>
      <c r="T997" s="74"/>
      <c r="U997" s="74"/>
      <c r="V997" s="74"/>
      <c r="W997" s="74"/>
      <c r="X997" s="74"/>
      <c r="Y997" s="74"/>
    </row>
    <row r="998" spans="1:25" x14ac:dyDescent="0.3">
      <c r="A998" s="66">
        <f t="shared" si="100"/>
        <v>2089.0999999999099</v>
      </c>
      <c r="B998" s="67">
        <f>LOOKUP(A998+0.01,AmountsB!$A$4:$A$103,AmountsB!$B$4:$B$103)*0.1*$A$2</f>
        <v>0</v>
      </c>
      <c r="C998" s="68">
        <f t="shared" si="99"/>
        <v>2074573.74105891</v>
      </c>
      <c r="D998" s="67">
        <f t="array" ref="D998">SUM($B$7:$B993*$F$1009*EXP(-$F$1009*($A998-$A$7:$A993)))*$F$1010</f>
        <v>10903.569551524213</v>
      </c>
      <c r="E998" s="67">
        <f t="shared" si="97"/>
        <v>2.0786692782197067E-2</v>
      </c>
      <c r="F998" s="70">
        <f t="shared" si="101"/>
        <v>1.262167985735006E-3</v>
      </c>
      <c r="G998" s="67">
        <f>E998/'Lookup Tables'!$C$48</f>
        <v>4.1573385564394133E-2</v>
      </c>
      <c r="H998" s="70">
        <f t="shared" si="98"/>
        <v>5.2663761765085095E-6</v>
      </c>
      <c r="I998" s="71">
        <f t="shared" si="102"/>
        <v>5.9865675212727551E-5</v>
      </c>
      <c r="L998" s="74"/>
      <c r="M998" s="74"/>
      <c r="N998" s="74"/>
      <c r="O998" s="74"/>
      <c r="P998" s="74"/>
      <c r="Q998" s="74"/>
      <c r="R998" s="74"/>
      <c r="S998" s="74"/>
      <c r="T998" s="74"/>
      <c r="U998" s="74"/>
      <c r="V998" s="74"/>
      <c r="W998" s="74"/>
      <c r="X998" s="74"/>
      <c r="Y998" s="74"/>
    </row>
    <row r="999" spans="1:25" x14ac:dyDescent="0.3">
      <c r="A999" s="66">
        <f t="shared" si="100"/>
        <v>2089.1999999999098</v>
      </c>
      <c r="B999" s="67">
        <f>LOOKUP(A999+0.01,AmountsB!$A$4:$A$103,AmountsB!$B$4:$B$103)*0.1*$A$2</f>
        <v>0</v>
      </c>
      <c r="C999" s="68">
        <f t="shared" si="99"/>
        <v>2074573.74105891</v>
      </c>
      <c r="D999" s="67">
        <f t="array" ref="D999">SUM($B$7:$B994*$F$1009*EXP(-$F$1009*($A999-$A$7:$A994)))*$F$1010</f>
        <v>10751.983158457479</v>
      </c>
      <c r="E999" s="67">
        <f t="shared" si="97"/>
        <v>2.0497706705871345E-2</v>
      </c>
      <c r="F999" s="70">
        <f t="shared" si="101"/>
        <v>1.2446207511805081E-3</v>
      </c>
      <c r="G999" s="67">
        <f>E999/'Lookup Tables'!$C$48</f>
        <v>4.099541341174269E-2</v>
      </c>
      <c r="H999" s="70">
        <f t="shared" si="98"/>
        <v>5.1931606148195477E-6</v>
      </c>
      <c r="I999" s="71">
        <f t="shared" si="102"/>
        <v>5.9033395312909471E-5</v>
      </c>
      <c r="L999" s="74"/>
      <c r="M999" s="74"/>
      <c r="N999" s="74"/>
      <c r="O999" s="74"/>
      <c r="P999" s="74"/>
      <c r="Q999" s="74"/>
      <c r="R999" s="74"/>
      <c r="S999" s="74"/>
      <c r="T999" s="74"/>
      <c r="U999" s="74"/>
      <c r="V999" s="74"/>
      <c r="W999" s="74"/>
      <c r="X999" s="74"/>
      <c r="Y999" s="74"/>
    </row>
    <row r="1000" spans="1:25" x14ac:dyDescent="0.3">
      <c r="A1000" s="66">
        <f t="shared" si="100"/>
        <v>2089.2999999999097</v>
      </c>
      <c r="B1000" s="67">
        <f>LOOKUP(A1000+0.01,AmountsB!$A$4:$A$103,AmountsB!$B$4:$B$103)*0.1*$A$2</f>
        <v>0</v>
      </c>
      <c r="C1000" s="68">
        <f t="shared" si="99"/>
        <v>2074573.74105891</v>
      </c>
      <c r="D1000" s="67">
        <f t="array" ref="D1000">SUM($B$7:$B995*$F$1009*EXP(-$F$1009*($A1000-$A$7:$A995)))*$F$1010</f>
        <v>10602.504188510704</v>
      </c>
      <c r="E1000" s="67">
        <f t="shared" si="97"/>
        <v>2.0212738245680387E-2</v>
      </c>
      <c r="F1000" s="70">
        <f t="shared" si="101"/>
        <v>1.227317466277713E-3</v>
      </c>
      <c r="G1000" s="67">
        <f>E1000/'Lookup Tables'!$C$48</f>
        <v>4.0425476491360773E-2</v>
      </c>
      <c r="H1000" s="70">
        <f t="shared" si="98"/>
        <v>5.1209629292362352E-6</v>
      </c>
      <c r="I1000" s="71">
        <f t="shared" si="102"/>
        <v>5.8212686147559517E-5</v>
      </c>
      <c r="L1000" s="74"/>
      <c r="M1000" s="74"/>
      <c r="N1000" s="74"/>
      <c r="O1000" s="74"/>
      <c r="P1000" s="74"/>
      <c r="Q1000" s="74"/>
      <c r="R1000" s="74"/>
      <c r="S1000" s="74"/>
      <c r="T1000" s="74"/>
      <c r="U1000" s="74"/>
      <c r="V1000" s="74"/>
      <c r="W1000" s="74"/>
      <c r="X1000" s="74"/>
      <c r="Y1000" s="74"/>
    </row>
    <row r="1001" spans="1:25" x14ac:dyDescent="0.3">
      <c r="A1001" s="66">
        <f t="shared" si="100"/>
        <v>2089.3999999999096</v>
      </c>
      <c r="B1001" s="67">
        <f>LOOKUP(A1001+0.01,AmountsB!$A$4:$A$103,AmountsB!$B$4:$B$103)*0.1*$A$2</f>
        <v>0</v>
      </c>
      <c r="C1001" s="68">
        <f t="shared" si="99"/>
        <v>2074573.74105891</v>
      </c>
      <c r="D1001" s="67">
        <f t="array" ref="D1001">SUM($B$7:$B996*$F$1009*EXP(-$F$1009*($A1001-$A$7:$A996)))*$F$1010</f>
        <v>10455.103343327246</v>
      </c>
      <c r="E1001" s="67">
        <f t="shared" si="97"/>
        <v>1.9931731546893709E-2</v>
      </c>
      <c r="F1001" s="70">
        <f t="shared" si="101"/>
        <v>1.210254739527386E-3</v>
      </c>
      <c r="G1001" s="67">
        <f>E1001/'Lookup Tables'!$C$48</f>
        <v>3.9863463093787417E-2</v>
      </c>
      <c r="H1001" s="70">
        <f t="shared" si="98"/>
        <v>5.0497689687810673E-6</v>
      </c>
      <c r="I1001" s="71">
        <f t="shared" si="102"/>
        <v>5.7403386855053883E-5</v>
      </c>
      <c r="L1001" s="74"/>
      <c r="M1001" s="74"/>
      <c r="N1001" s="74"/>
      <c r="O1001" s="74"/>
      <c r="P1001" s="74"/>
      <c r="Q1001" s="74"/>
      <c r="R1001" s="74"/>
      <c r="S1001" s="74"/>
      <c r="T1001" s="74"/>
      <c r="U1001" s="74"/>
      <c r="V1001" s="74"/>
      <c r="W1001" s="74"/>
      <c r="X1001" s="74"/>
      <c r="Y1001" s="74"/>
    </row>
    <row r="1002" spans="1:25" x14ac:dyDescent="0.3">
      <c r="A1002" s="66">
        <f t="shared" si="100"/>
        <v>2089.4999999999095</v>
      </c>
      <c r="B1002" s="67">
        <f>LOOKUP(A1002+0.01,AmountsB!$A$4:$A$103,AmountsB!$B$4:$B$103)*0.1*$A$2</f>
        <v>0</v>
      </c>
      <c r="C1002" s="68">
        <f t="shared" si="99"/>
        <v>2074573.74105891</v>
      </c>
      <c r="D1002" s="67">
        <f t="array" ref="D1002">SUM($B$7:$B997*$F$1009*EXP(-$F$1009*($A1002-$A$7:$A997)))*$F$1010</f>
        <v>10309.751731869565</v>
      </c>
      <c r="E1002" s="67">
        <f t="shared" si="97"/>
        <v>1.965463153129875E-2</v>
      </c>
      <c r="F1002" s="70">
        <f t="shared" si="101"/>
        <v>1.1934292265804601E-3</v>
      </c>
      <c r="G1002" s="67">
        <f>E1002/'Lookup Tables'!$C$48</f>
        <v>3.9309263062597501E-2</v>
      </c>
      <c r="H1002" s="70">
        <f t="shared" si="98"/>
        <v>4.9795647792098778E-6</v>
      </c>
      <c r="I1002" s="71">
        <f t="shared" si="102"/>
        <v>5.6605338810140396E-5</v>
      </c>
      <c r="L1002" s="74"/>
      <c r="M1002" s="74"/>
      <c r="N1002" s="74"/>
      <c r="O1002" s="74"/>
      <c r="P1002" s="74"/>
      <c r="Q1002" s="74"/>
      <c r="R1002" s="74"/>
      <c r="S1002" s="74"/>
      <c r="T1002" s="74"/>
      <c r="U1002" s="74"/>
      <c r="V1002" s="74"/>
      <c r="W1002" s="74"/>
      <c r="X1002" s="74"/>
      <c r="Y1002" s="74"/>
    </row>
    <row r="1003" spans="1:25" x14ac:dyDescent="0.3">
      <c r="A1003" s="66">
        <f t="shared" si="100"/>
        <v>2089.5999999999094</v>
      </c>
      <c r="B1003" s="67">
        <f>LOOKUP(A1003+0.01,AmountsB!$A$4:$A$103,AmountsB!$B$4:$B$103)*0.1*$A$2</f>
        <v>0</v>
      </c>
      <c r="C1003" s="68">
        <f t="shared" si="99"/>
        <v>2074573.74105891</v>
      </c>
      <c r="D1003" s="67">
        <f t="array" ref="D1003">SUM($B$7:$B998*$F$1009*EXP(-$F$1009*($A1003-$A$7:$A998)))*$F$1010</f>
        <v>10166.420864756496</v>
      </c>
      <c r="E1003" s="67">
        <f t="shared" si="97"/>
        <v>1.9381383886405361E-2</v>
      </c>
      <c r="F1003" s="70">
        <f t="shared" si="101"/>
        <v>1.1768376295825335E-3</v>
      </c>
      <c r="G1003" s="67">
        <f>E1003/'Lookup Tables'!$C$48</f>
        <v>3.8762767772810722E-2</v>
      </c>
      <c r="H1003" s="70">
        <f t="shared" si="98"/>
        <v>4.9103366002767638E-6</v>
      </c>
      <c r="I1003" s="71">
        <f t="shared" si="102"/>
        <v>5.5818385592847433E-5</v>
      </c>
      <c r="L1003" s="74"/>
      <c r="M1003" s="74"/>
      <c r="N1003" s="74"/>
      <c r="O1003" s="74"/>
      <c r="P1003" s="74"/>
      <c r="Q1003" s="74"/>
      <c r="R1003" s="74"/>
      <c r="S1003" s="74"/>
      <c r="T1003" s="74"/>
      <c r="U1003" s="74"/>
      <c r="V1003" s="74"/>
      <c r="W1003" s="74"/>
      <c r="X1003" s="74"/>
      <c r="Y1003" s="74"/>
    </row>
    <row r="1004" spans="1:25" x14ac:dyDescent="0.3">
      <c r="A1004" s="66">
        <f t="shared" si="100"/>
        <v>2089.6999999999093</v>
      </c>
      <c r="B1004" s="67">
        <f>LOOKUP(A1004+0.01,AmountsB!$A$4:$A$103,AmountsB!$B$4:$B$103)*0.1*$A$2</f>
        <v>0</v>
      </c>
      <c r="C1004" s="68">
        <f t="shared" si="99"/>
        <v>2074573.74105891</v>
      </c>
      <c r="D1004" s="67">
        <f t="array" ref="D1004">SUM($B$7:$B999*$F$1009*EXP(-$F$1009*($A1004-$A$7:$A999)))*$F$1010</f>
        <v>10025.082648679228</v>
      </c>
      <c r="E1004" s="67">
        <f t="shared" si="97"/>
        <v>1.9111935054800369E-2</v>
      </c>
      <c r="F1004" s="70">
        <f t="shared" si="101"/>
        <v>1.1604766965274784E-3</v>
      </c>
      <c r="G1004" s="67">
        <f>E1004/'Lookup Tables'!$C$48</f>
        <v>3.8223870109600738E-2</v>
      </c>
      <c r="H1004" s="70">
        <f t="shared" si="98"/>
        <v>4.8420708630370285E-6</v>
      </c>
      <c r="I1004" s="71">
        <f t="shared" si="102"/>
        <v>5.5042372957825064E-5</v>
      </c>
      <c r="L1004" s="74"/>
      <c r="M1004" s="74"/>
      <c r="N1004" s="74"/>
      <c r="O1004" s="74"/>
      <c r="P1004" s="74"/>
      <c r="Q1004" s="74"/>
      <c r="R1004" s="74"/>
      <c r="S1004" s="74"/>
      <c r="T1004" s="74"/>
      <c r="U1004" s="74"/>
      <c r="V1004" s="74"/>
      <c r="W1004" s="74"/>
      <c r="X1004" s="74"/>
      <c r="Y1004" s="74"/>
    </row>
    <row r="1005" spans="1:25" x14ac:dyDescent="0.3">
      <c r="A1005" s="66">
        <f t="shared" si="100"/>
        <v>2089.7999999999092</v>
      </c>
      <c r="B1005" s="67">
        <f>LOOKUP(A1005+0.01,AmountsB!$A$4:$A$103,AmountsB!$B$4:$B$103)*0.1*$A$2</f>
        <v>0</v>
      </c>
      <c r="C1005" s="68">
        <f t="shared" si="99"/>
        <v>2074573.74105891</v>
      </c>
      <c r="D1005" s="67">
        <f t="array" ref="D1005">SUM($B$7:$B1000*$F$1009*EXP(-$F$1009*($A1005-$A$7:$A1000)))*$F$1010</f>
        <v>9885.7093808949394</v>
      </c>
      <c r="E1005" s="67">
        <f t="shared" si="97"/>
        <v>1.8846232223650186E-2</v>
      </c>
      <c r="F1005" s="70">
        <f t="shared" si="101"/>
        <v>1.1443432206200393E-3</v>
      </c>
      <c r="G1005" s="67">
        <f>E1005/'Lookup Tables'!$C$48</f>
        <v>3.7692464447300372E-2</v>
      </c>
      <c r="H1005" s="70">
        <f t="shared" si="98"/>
        <v>4.7747541871876309E-6</v>
      </c>
      <c r="I1005" s="71">
        <f t="shared" si="102"/>
        <v>5.4277148804112541E-5</v>
      </c>
      <c r="L1005" s="74"/>
      <c r="M1005" s="74"/>
      <c r="N1005" s="74"/>
      <c r="O1005" s="74"/>
      <c r="P1005" s="74"/>
      <c r="Q1005" s="74"/>
      <c r="R1005" s="74"/>
      <c r="S1005" s="74"/>
      <c r="T1005" s="74"/>
      <c r="U1005" s="74"/>
      <c r="V1005" s="74"/>
      <c r="W1005" s="74"/>
      <c r="X1005" s="74"/>
      <c r="Y1005" s="74"/>
    </row>
    <row r="1006" spans="1:25" x14ac:dyDescent="0.3">
      <c r="A1006" s="66">
        <f t="shared" si="100"/>
        <v>2089.8999999999091</v>
      </c>
      <c r="B1006" s="67">
        <f>LOOKUP(A1006+0.01,AmountsB!$A$4:$A$103,AmountsB!$B$4:$B$103)*0.1*$A$2</f>
        <v>0</v>
      </c>
      <c r="C1006" s="68">
        <f t="shared" si="99"/>
        <v>2074573.74105891</v>
      </c>
      <c r="D1006" s="67">
        <f t="array" ref="D1006">SUM($B$7:$B1001*$F$1009*EXP(-$F$1009*($A1006-$A$7:$A1001)))*$F$1010</f>
        <v>9748.2737437969608</v>
      </c>
      <c r="E1006" s="67">
        <f t="shared" si="97"/>
        <v>1.85842233143493E-2</v>
      </c>
      <c r="F1006" s="70">
        <f t="shared" si="101"/>
        <v>1.1284340396472896E-3</v>
      </c>
      <c r="G1006" s="67">
        <f>E1006/'Lookup Tables'!$C$48</f>
        <v>3.7168446628698601E-2</v>
      </c>
      <c r="H1006" s="70">
        <f t="shared" si="98"/>
        <v>4.7083733784446003E-6</v>
      </c>
      <c r="I1006" s="71">
        <f t="shared" si="102"/>
        <v>5.3522563145325992E-5</v>
      </c>
      <c r="L1006" s="74"/>
      <c r="M1006" s="74"/>
      <c r="N1006" s="74"/>
      <c r="O1006" s="74"/>
      <c r="P1006" s="74"/>
      <c r="Q1006" s="74"/>
      <c r="R1006" s="74"/>
      <c r="S1006" s="74"/>
      <c r="T1006" s="74"/>
      <c r="U1006" s="74"/>
      <c r="V1006" s="74"/>
      <c r="W1006" s="74"/>
      <c r="X1006" s="74"/>
      <c r="Y1006" s="74"/>
    </row>
    <row r="1007" spans="1:25" x14ac:dyDescent="0.3">
      <c r="A1007" s="66">
        <f>A1006+0.1</f>
        <v>2089.9999999999091</v>
      </c>
      <c r="B1007" s="67">
        <f>LOOKUP(A1007+0.01,AmountsB!$A$4:$A$103,AmountsB!$B$4:$B$103)*0.1*$A$2</f>
        <v>0</v>
      </c>
      <c r="C1007" s="68">
        <f>C1006+B1007</f>
        <v>2074573.74105891</v>
      </c>
      <c r="D1007" s="67">
        <f t="array" ref="D1007">SUM($B$7:$B1002*$F$1009*EXP(-$F$1009*($A1007-$A$7:$A1002)))*$F$1010</f>
        <v>9612.7487995604406</v>
      </c>
      <c r="E1007" s="67">
        <f t="shared" si="97"/>
        <v>1.8325856972312704E-2</v>
      </c>
      <c r="F1007" s="70">
        <f t="shared" si="101"/>
        <v>1.1127460353588274E-3</v>
      </c>
      <c r="G1007" s="67">
        <f>E1007/'Lookup Tables'!$C$48</f>
        <v>3.6651713944625408E-2</v>
      </c>
      <c r="H1007" s="70">
        <f t="shared" si="98"/>
        <v>4.6429154259569139E-6</v>
      </c>
      <c r="I1007" s="71">
        <f>G1007*60*24/1000000</f>
        <v>5.2778468080260589E-5</v>
      </c>
      <c r="L1007" s="74"/>
      <c r="M1007" s="74"/>
      <c r="N1007" s="74"/>
      <c r="O1007" s="74"/>
      <c r="P1007" s="74"/>
      <c r="Q1007" s="74"/>
      <c r="R1007" s="74"/>
      <c r="S1007" s="74"/>
      <c r="T1007" s="74"/>
      <c r="U1007" s="74"/>
      <c r="V1007" s="74"/>
      <c r="W1007" s="74"/>
      <c r="X1007" s="74"/>
      <c r="Y1007" s="74"/>
    </row>
    <row r="1008" spans="1:25" x14ac:dyDescent="0.3">
      <c r="A1008" s="65" t="s">
        <v>11</v>
      </c>
      <c r="E1008" s="78"/>
      <c r="F1008" s="79">
        <f>'Lookup Tables'!C48</f>
        <v>0.5</v>
      </c>
    </row>
    <row r="1009" spans="1:10" x14ac:dyDescent="0.3">
      <c r="A1009" s="65" t="s">
        <v>36</v>
      </c>
      <c r="E1009" s="78"/>
      <c r="F1009" s="80">
        <f>'Lookup Tables'!F36</f>
        <v>0.14000000000000001</v>
      </c>
    </row>
    <row r="1010" spans="1:10" x14ac:dyDescent="0.3">
      <c r="A1010" s="65" t="s">
        <v>35</v>
      </c>
      <c r="E1010" s="78"/>
      <c r="F1010" s="81">
        <f>'Lookup Tables'!H36/F1011</f>
        <v>2234.7172514164886</v>
      </c>
      <c r="G1010" s="65" t="s">
        <v>12</v>
      </c>
    </row>
    <row r="1011" spans="1:10" x14ac:dyDescent="0.3">
      <c r="F1011" s="82">
        <v>3.1213999999999999E-2</v>
      </c>
      <c r="G1011" s="35" t="s">
        <v>13</v>
      </c>
    </row>
    <row r="1014" spans="1:10" x14ac:dyDescent="0.3">
      <c r="E1014" s="83"/>
      <c r="H1014" s="84"/>
      <c r="I1014" s="84"/>
      <c r="J1014" s="84"/>
    </row>
    <row r="1015" spans="1:10" x14ac:dyDescent="0.3">
      <c r="E1015" s="83"/>
      <c r="H1015" s="84"/>
      <c r="I1015" s="84"/>
      <c r="J1015" s="84"/>
    </row>
  </sheetData>
  <sheetProtection password="8BBD" sheet="1" objects="1" scenarios="1"/>
  <mergeCells count="1">
    <mergeCell ref="D4:F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15"/>
  <sheetViews>
    <sheetView zoomScale="75" zoomScaleNormal="75" workbookViewId="0">
      <selection activeCell="K34" sqref="K34:M34"/>
    </sheetView>
  </sheetViews>
  <sheetFormatPr defaultColWidth="9" defaultRowHeight="13.5" x14ac:dyDescent="0.3"/>
  <cols>
    <col min="1" max="1" width="8.08203125" style="35" customWidth="1"/>
    <col min="2" max="2" width="14" style="35" customWidth="1"/>
    <col min="3" max="3" width="13.83203125" style="35" customWidth="1"/>
    <col min="4" max="4" width="13.25" style="35" customWidth="1"/>
    <col min="5" max="5" width="9.75" style="35" customWidth="1"/>
    <col min="6" max="6" width="12.5" style="35" bestFit="1" customWidth="1"/>
    <col min="7" max="7" width="14.08203125" style="35" customWidth="1"/>
    <col min="8" max="104" width="13.58203125" style="35" customWidth="1"/>
    <col min="105" max="16384" width="9" style="35"/>
  </cols>
  <sheetData>
    <row r="1" spans="1:26" x14ac:dyDescent="0.3">
      <c r="A1" s="34">
        <v>0.5</v>
      </c>
      <c r="B1" s="35" t="s">
        <v>16</v>
      </c>
      <c r="F1" s="34">
        <f>A1</f>
        <v>0.5</v>
      </c>
      <c r="G1" s="35" t="s">
        <v>37</v>
      </c>
    </row>
    <row r="2" spans="1:26" ht="14" thickBot="1" x14ac:dyDescent="0.35">
      <c r="A2" s="36">
        <f>Amounts!E2</f>
        <v>8.2309999999999994E-2</v>
      </c>
      <c r="B2" s="37"/>
      <c r="C2" s="37"/>
    </row>
    <row r="3" spans="1:26" ht="14" thickTop="1" x14ac:dyDescent="0.3">
      <c r="A3" s="38"/>
      <c r="B3" s="39"/>
      <c r="C3" s="39"/>
      <c r="D3" s="40"/>
      <c r="E3" s="41"/>
      <c r="F3" s="42"/>
      <c r="G3" s="43"/>
      <c r="H3" s="41"/>
      <c r="I3" s="44"/>
      <c r="J3" s="35">
        <f>A7</f>
        <v>1990</v>
      </c>
      <c r="K3" s="73">
        <v>0</v>
      </c>
    </row>
    <row r="4" spans="1:26" x14ac:dyDescent="0.3">
      <c r="A4" s="45"/>
      <c r="B4" s="46"/>
      <c r="C4" s="47" t="s">
        <v>1</v>
      </c>
      <c r="D4" s="452" t="s">
        <v>33</v>
      </c>
      <c r="E4" s="453"/>
      <c r="F4" s="454"/>
      <c r="G4" s="48" t="s">
        <v>6</v>
      </c>
      <c r="H4" s="49"/>
      <c r="I4" s="50"/>
      <c r="J4" s="35">
        <f t="shared" ref="J4:J67" si="0">J3+1</f>
        <v>1991</v>
      </c>
      <c r="K4" s="75">
        <f>$G21</f>
        <v>0</v>
      </c>
    </row>
    <row r="5" spans="1:26" x14ac:dyDescent="0.3">
      <c r="A5" s="45"/>
      <c r="B5" s="51" t="s">
        <v>2</v>
      </c>
      <c r="C5" s="52" t="s">
        <v>3</v>
      </c>
      <c r="D5" s="53"/>
      <c r="E5" s="54"/>
      <c r="F5" s="55"/>
      <c r="G5" s="56" t="s">
        <v>34</v>
      </c>
      <c r="H5" s="49"/>
      <c r="I5" s="57"/>
      <c r="J5" s="35">
        <f t="shared" si="0"/>
        <v>1992</v>
      </c>
      <c r="K5" s="75">
        <f>$G31</f>
        <v>0</v>
      </c>
    </row>
    <row r="6" spans="1:26" x14ac:dyDescent="0.3">
      <c r="A6" s="58" t="s">
        <v>0</v>
      </c>
      <c r="B6" s="59" t="s">
        <v>4</v>
      </c>
      <c r="C6" s="59" t="s">
        <v>5</v>
      </c>
      <c r="D6" s="60" t="s">
        <v>14</v>
      </c>
      <c r="E6" s="60" t="s">
        <v>7</v>
      </c>
      <c r="F6" s="61" t="s">
        <v>8</v>
      </c>
      <c r="G6" s="85" t="s">
        <v>7</v>
      </c>
      <c r="H6" s="63" t="s">
        <v>9</v>
      </c>
      <c r="I6" s="64" t="s">
        <v>10</v>
      </c>
      <c r="J6" s="35">
        <f t="shared" si="0"/>
        <v>1993</v>
      </c>
      <c r="K6" s="75">
        <f>$G41</f>
        <v>0</v>
      </c>
      <c r="L6" s="65"/>
    </row>
    <row r="7" spans="1:26" x14ac:dyDescent="0.3">
      <c r="A7" s="66">
        <f>Amounts!A4</f>
        <v>1990</v>
      </c>
      <c r="B7" s="67">
        <f>LOOKUP(A7+0.01,AmountsB!$A$4:$A$103,AmountsB!$B$4:$B$103)*0.1*$A$2</f>
        <v>0</v>
      </c>
      <c r="C7" s="68">
        <f>B7</f>
        <v>0</v>
      </c>
      <c r="D7" s="69">
        <v>0</v>
      </c>
      <c r="E7" s="67">
        <f t="shared" ref="E7:E70" si="1">D7/(365*24*60)*1.00201</f>
        <v>0</v>
      </c>
      <c r="F7" s="70">
        <f>E7*60*1012/1000000</f>
        <v>0</v>
      </c>
      <c r="G7" s="67">
        <f>E7/'Lookup Tables'!$C$48</f>
        <v>0</v>
      </c>
      <c r="H7" s="70" t="e">
        <f t="shared" ref="H7:H70" si="2">G7*60*24*365/(C7*2000)</f>
        <v>#DIV/0!</v>
      </c>
      <c r="I7" s="71">
        <f>G7*60*24/1000000</f>
        <v>0</v>
      </c>
      <c r="J7" s="35">
        <f t="shared" si="0"/>
        <v>1994</v>
      </c>
      <c r="K7" s="75">
        <f>$G51</f>
        <v>0</v>
      </c>
      <c r="L7" s="65"/>
    </row>
    <row r="8" spans="1:26" x14ac:dyDescent="0.3">
      <c r="A8" s="66">
        <f>A7+0.1</f>
        <v>1990.1</v>
      </c>
      <c r="B8" s="67">
        <f>LOOKUP(A8+0.01,AmountsB!$A$4:$A$103,AmountsB!$B$4:$B$103)*0.1*$A$2</f>
        <v>0</v>
      </c>
      <c r="C8" s="68">
        <f>C7+B8</f>
        <v>0</v>
      </c>
      <c r="D8" s="67">
        <v>0</v>
      </c>
      <c r="E8" s="67">
        <f t="shared" si="1"/>
        <v>0</v>
      </c>
      <c r="F8" s="70">
        <f>E8*60*1012/1000000</f>
        <v>0</v>
      </c>
      <c r="G8" s="67">
        <f>E8/'Lookup Tables'!$C$48</f>
        <v>0</v>
      </c>
      <c r="H8" s="70" t="e">
        <f t="shared" si="2"/>
        <v>#DIV/0!</v>
      </c>
      <c r="I8" s="71">
        <f>G8*60*24/1000000</f>
        <v>0</v>
      </c>
      <c r="J8" s="35">
        <f t="shared" si="0"/>
        <v>1995</v>
      </c>
      <c r="K8" s="75">
        <f>$G61</f>
        <v>0</v>
      </c>
      <c r="L8" s="74"/>
      <c r="M8" s="74"/>
      <c r="N8" s="74"/>
      <c r="O8" s="74"/>
      <c r="P8" s="74"/>
      <c r="Q8" s="74"/>
      <c r="R8" s="74"/>
      <c r="S8" s="74"/>
      <c r="T8" s="74"/>
      <c r="U8" s="74"/>
      <c r="V8" s="74"/>
      <c r="W8" s="74"/>
      <c r="X8" s="74"/>
      <c r="Y8" s="74"/>
      <c r="Z8" s="74"/>
    </row>
    <row r="9" spans="1:26" x14ac:dyDescent="0.3">
      <c r="A9" s="66">
        <f t="shared" ref="A9:A15" si="3">A8+0.1</f>
        <v>1990.1999999999998</v>
      </c>
      <c r="B9" s="67">
        <f>LOOKUP(A9+0.01,AmountsB!$A$4:$A$103,AmountsB!$B$4:$B$103)*0.1*$A$2</f>
        <v>0</v>
      </c>
      <c r="C9" s="68">
        <f t="shared" ref="C9:C72" si="4">C8+B9</f>
        <v>0</v>
      </c>
      <c r="D9" s="67">
        <v>0</v>
      </c>
      <c r="E9" s="67">
        <f t="shared" si="1"/>
        <v>0</v>
      </c>
      <c r="F9" s="70">
        <f t="shared" ref="F9:F16" si="5">E9*60*1012/1000000</f>
        <v>0</v>
      </c>
      <c r="G9" s="67">
        <f>E9/'Lookup Tables'!$C$48</f>
        <v>0</v>
      </c>
      <c r="H9" s="70" t="e">
        <f t="shared" si="2"/>
        <v>#DIV/0!</v>
      </c>
      <c r="I9" s="71">
        <f t="shared" ref="I9:I15" si="6">G9*60*24/1000000</f>
        <v>0</v>
      </c>
      <c r="J9" s="35">
        <f t="shared" si="0"/>
        <v>1996</v>
      </c>
      <c r="K9" s="75">
        <f>$G71</f>
        <v>0</v>
      </c>
      <c r="L9" s="74"/>
      <c r="M9" s="74"/>
      <c r="N9" s="74"/>
      <c r="O9" s="74"/>
      <c r="P9" s="74"/>
      <c r="Q9" s="74"/>
      <c r="R9" s="74"/>
      <c r="S9" s="74"/>
      <c r="T9" s="74"/>
      <c r="U9" s="74"/>
      <c r="V9" s="74"/>
      <c r="W9" s="74"/>
      <c r="X9" s="74"/>
      <c r="Y9" s="74"/>
      <c r="Z9" s="74"/>
    </row>
    <row r="10" spans="1:26" x14ac:dyDescent="0.3">
      <c r="A10" s="66">
        <f t="shared" si="3"/>
        <v>1990.2999999999997</v>
      </c>
      <c r="B10" s="67">
        <f>LOOKUP(A10+0.01,AmountsB!$A$4:$A$103,AmountsB!$B$4:$B$103)*0.1*$A$2</f>
        <v>0</v>
      </c>
      <c r="C10" s="68">
        <f t="shared" si="4"/>
        <v>0</v>
      </c>
      <c r="D10" s="67">
        <v>0</v>
      </c>
      <c r="E10" s="67">
        <f t="shared" si="1"/>
        <v>0</v>
      </c>
      <c r="F10" s="70">
        <f t="shared" si="5"/>
        <v>0</v>
      </c>
      <c r="G10" s="67">
        <f>E10/'Lookup Tables'!$C$48</f>
        <v>0</v>
      </c>
      <c r="H10" s="70" t="e">
        <f t="shared" si="2"/>
        <v>#DIV/0!</v>
      </c>
      <c r="I10" s="71">
        <f t="shared" si="6"/>
        <v>0</v>
      </c>
      <c r="J10" s="35">
        <f t="shared" si="0"/>
        <v>1997</v>
      </c>
      <c r="K10" s="75">
        <f>$G81</f>
        <v>0</v>
      </c>
      <c r="L10" s="74"/>
      <c r="M10" s="74"/>
      <c r="N10" s="74"/>
      <c r="O10" s="74"/>
      <c r="P10" s="74"/>
      <c r="Q10" s="74"/>
      <c r="R10" s="74"/>
      <c r="S10" s="74"/>
      <c r="T10" s="74"/>
      <c r="U10" s="74"/>
      <c r="V10" s="74"/>
      <c r="W10" s="74"/>
      <c r="X10" s="74"/>
      <c r="Y10" s="74"/>
      <c r="Z10" s="74"/>
    </row>
    <row r="11" spans="1:26" x14ac:dyDescent="0.3">
      <c r="A11" s="66">
        <f t="shared" si="3"/>
        <v>1990.3999999999996</v>
      </c>
      <c r="B11" s="67">
        <f>LOOKUP(A11+0.01,AmountsB!$A$4:$A$103,AmountsB!$B$4:$B$103)*0.1*$A$2</f>
        <v>0</v>
      </c>
      <c r="C11" s="68">
        <f t="shared" si="4"/>
        <v>0</v>
      </c>
      <c r="D11" s="67">
        <v>0</v>
      </c>
      <c r="E11" s="67">
        <f t="shared" si="1"/>
        <v>0</v>
      </c>
      <c r="F11" s="70">
        <f t="shared" si="5"/>
        <v>0</v>
      </c>
      <c r="G11" s="67">
        <f>E11/'Lookup Tables'!$C$48</f>
        <v>0</v>
      </c>
      <c r="H11" s="70" t="e">
        <f t="shared" si="2"/>
        <v>#DIV/0!</v>
      </c>
      <c r="I11" s="71">
        <f t="shared" si="6"/>
        <v>0</v>
      </c>
      <c r="J11" s="35">
        <f t="shared" si="0"/>
        <v>1998</v>
      </c>
      <c r="K11" s="75">
        <f>$G91</f>
        <v>0</v>
      </c>
      <c r="L11" s="74"/>
      <c r="M11" s="74"/>
      <c r="N11" s="74"/>
      <c r="O11" s="74"/>
      <c r="P11" s="74"/>
      <c r="Q11" s="74"/>
      <c r="R11" s="74"/>
      <c r="S11" s="74"/>
      <c r="T11" s="74"/>
      <c r="U11" s="74"/>
      <c r="V11" s="74"/>
      <c r="W11" s="74"/>
      <c r="X11" s="74"/>
      <c r="Y11" s="74"/>
      <c r="Z11" s="74"/>
    </row>
    <row r="12" spans="1:26" x14ac:dyDescent="0.3">
      <c r="A12" s="66">
        <f t="shared" si="3"/>
        <v>1990.4999999999995</v>
      </c>
      <c r="B12" s="67">
        <f>LOOKUP(A12+0.01,AmountsB!$A$4:$A$103,AmountsB!$B$4:$B$103)*0.1*$A$2</f>
        <v>0</v>
      </c>
      <c r="C12" s="68">
        <f t="shared" si="4"/>
        <v>0</v>
      </c>
      <c r="D12" s="67">
        <f t="array" ref="D12">SUM($B$7:$B7*$F$1009*EXP(-$F$1009*($A12-$A$7:$A7)))*$F$1010</f>
        <v>0</v>
      </c>
      <c r="E12" s="67">
        <f t="shared" si="1"/>
        <v>0</v>
      </c>
      <c r="F12" s="70">
        <f t="shared" si="5"/>
        <v>0</v>
      </c>
      <c r="G12" s="67">
        <f>E12/'Lookup Tables'!$C$48</f>
        <v>0</v>
      </c>
      <c r="H12" s="70" t="e">
        <f t="shared" si="2"/>
        <v>#DIV/0!</v>
      </c>
      <c r="I12" s="71">
        <f t="shared" si="6"/>
        <v>0</v>
      </c>
      <c r="J12" s="35">
        <f t="shared" si="0"/>
        <v>1999</v>
      </c>
      <c r="K12" s="75">
        <f>$G101</f>
        <v>0</v>
      </c>
      <c r="L12" s="74"/>
      <c r="M12" s="74"/>
      <c r="N12" s="74"/>
      <c r="O12" s="74"/>
      <c r="P12" s="74"/>
      <c r="Q12" s="74"/>
      <c r="R12" s="74"/>
      <c r="S12" s="74"/>
      <c r="T12" s="74"/>
      <c r="U12" s="74"/>
      <c r="V12" s="74"/>
      <c r="W12" s="74"/>
      <c r="X12" s="74"/>
      <c r="Y12" s="74"/>
      <c r="Z12" s="74"/>
    </row>
    <row r="13" spans="1:26" x14ac:dyDescent="0.3">
      <c r="A13" s="66">
        <f t="shared" si="3"/>
        <v>1990.5999999999995</v>
      </c>
      <c r="B13" s="67">
        <f>LOOKUP(A13+0.01,AmountsB!$A$4:$A$103,AmountsB!$B$4:$B$103)*0.1*$A$2</f>
        <v>0</v>
      </c>
      <c r="C13" s="68">
        <f t="shared" si="4"/>
        <v>0</v>
      </c>
      <c r="D13" s="67">
        <f t="array" ref="D13">SUM($B$7:$B8*$F$1009*EXP(-$F$1009*($A13-$A$7:$A8)))*$F$1010</f>
        <v>0</v>
      </c>
      <c r="E13" s="67">
        <f t="shared" si="1"/>
        <v>0</v>
      </c>
      <c r="F13" s="70">
        <f t="shared" si="5"/>
        <v>0</v>
      </c>
      <c r="G13" s="67">
        <f>E13/'Lookup Tables'!$C$48</f>
        <v>0</v>
      </c>
      <c r="H13" s="70" t="e">
        <f t="shared" si="2"/>
        <v>#DIV/0!</v>
      </c>
      <c r="I13" s="71">
        <f t="shared" si="6"/>
        <v>0</v>
      </c>
      <c r="J13" s="35">
        <f t="shared" si="0"/>
        <v>2000</v>
      </c>
      <c r="K13" s="75">
        <f>$G111</f>
        <v>0</v>
      </c>
      <c r="L13" s="74"/>
      <c r="M13" s="74"/>
      <c r="N13" s="74"/>
      <c r="O13" s="74"/>
      <c r="P13" s="74"/>
      <c r="Q13" s="74"/>
      <c r="R13" s="74"/>
      <c r="S13" s="74"/>
      <c r="T13" s="74"/>
      <c r="U13" s="74"/>
      <c r="V13" s="74"/>
      <c r="W13" s="74"/>
      <c r="X13" s="74"/>
      <c r="Y13" s="74"/>
      <c r="Z13" s="74"/>
    </row>
    <row r="14" spans="1:26" x14ac:dyDescent="0.3">
      <c r="A14" s="66">
        <f t="shared" si="3"/>
        <v>1990.6999999999994</v>
      </c>
      <c r="B14" s="67">
        <f>LOOKUP(A14+0.01,AmountsB!$A$4:$A$103,AmountsB!$B$4:$B$103)*0.1*$A$2</f>
        <v>0</v>
      </c>
      <c r="C14" s="68">
        <f t="shared" si="4"/>
        <v>0</v>
      </c>
      <c r="D14" s="67">
        <f t="array" ref="D14">SUM($B$7:$B9*$F$1009*EXP(-$F$1009*($A14-$A$7:$A9)))*$F$1010</f>
        <v>0</v>
      </c>
      <c r="E14" s="67">
        <f t="shared" si="1"/>
        <v>0</v>
      </c>
      <c r="F14" s="70">
        <f t="shared" si="5"/>
        <v>0</v>
      </c>
      <c r="G14" s="67">
        <f>E14/'Lookup Tables'!$C$48</f>
        <v>0</v>
      </c>
      <c r="H14" s="70" t="e">
        <f t="shared" si="2"/>
        <v>#DIV/0!</v>
      </c>
      <c r="I14" s="71">
        <f t="shared" si="6"/>
        <v>0</v>
      </c>
      <c r="J14" s="35">
        <f t="shared" si="0"/>
        <v>2001</v>
      </c>
      <c r="K14" s="75">
        <f>$G121</f>
        <v>22.945051241244183</v>
      </c>
      <c r="L14" s="74"/>
      <c r="M14" s="74"/>
      <c r="N14" s="74"/>
      <c r="O14" s="74"/>
      <c r="P14" s="74"/>
      <c r="Q14" s="74"/>
      <c r="R14" s="74"/>
      <c r="S14" s="74"/>
      <c r="T14" s="74"/>
      <c r="U14" s="74"/>
      <c r="V14" s="74"/>
      <c r="W14" s="74"/>
      <c r="X14" s="74"/>
      <c r="Y14" s="74"/>
      <c r="Z14" s="74"/>
    </row>
    <row r="15" spans="1:26" x14ac:dyDescent="0.3">
      <c r="A15" s="66">
        <f t="shared" si="3"/>
        <v>1990.7999999999993</v>
      </c>
      <c r="B15" s="67">
        <f>LOOKUP(A15+0.01,AmountsB!$A$4:$A$103,AmountsB!$B$4:$B$103)*0.1*$A$2</f>
        <v>0</v>
      </c>
      <c r="C15" s="68">
        <f t="shared" si="4"/>
        <v>0</v>
      </c>
      <c r="D15" s="67">
        <f t="array" ref="D15">SUM($B$7:$B10*$F$1009*EXP(-$F$1009*($A15-$A$7:$A10)))*$F$1010</f>
        <v>0</v>
      </c>
      <c r="E15" s="67">
        <f t="shared" si="1"/>
        <v>0</v>
      </c>
      <c r="F15" s="70">
        <f t="shared" si="5"/>
        <v>0</v>
      </c>
      <c r="G15" s="67">
        <f>E15/'Lookup Tables'!$C$48</f>
        <v>0</v>
      </c>
      <c r="H15" s="70" t="e">
        <f t="shared" si="2"/>
        <v>#DIV/0!</v>
      </c>
      <c r="I15" s="71">
        <f t="shared" si="6"/>
        <v>0</v>
      </c>
      <c r="J15" s="35">
        <f t="shared" si="0"/>
        <v>2002</v>
      </c>
      <c r="K15" s="75">
        <f>$G131</f>
        <v>44.798046341493858</v>
      </c>
      <c r="L15" s="74"/>
      <c r="M15" s="74"/>
      <c r="N15" s="74"/>
      <c r="O15" s="74"/>
      <c r="P15" s="74"/>
      <c r="Q15" s="74"/>
      <c r="R15" s="74"/>
      <c r="S15" s="74"/>
      <c r="T15" s="74"/>
      <c r="U15" s="74"/>
      <c r="V15" s="74"/>
      <c r="W15" s="74"/>
      <c r="X15" s="74"/>
      <c r="Y15" s="74"/>
      <c r="Z15" s="74"/>
    </row>
    <row r="16" spans="1:26" x14ac:dyDescent="0.3">
      <c r="A16" s="66">
        <f>A15+0.1</f>
        <v>1990.8999999999992</v>
      </c>
      <c r="B16" s="67">
        <f>LOOKUP(A16+0.01,AmountsB!$A$4:$A$103,AmountsB!$B$4:$B$103)*0.1*$A$2</f>
        <v>0</v>
      </c>
      <c r="C16" s="68">
        <f t="shared" si="4"/>
        <v>0</v>
      </c>
      <c r="D16" s="67">
        <f t="array" ref="D16">SUM($B$7:$B11*$F$1009*EXP(-$F$1009*($A16-$A$7:$A11)))*$F$1010</f>
        <v>0</v>
      </c>
      <c r="E16" s="67">
        <f t="shared" si="1"/>
        <v>0</v>
      </c>
      <c r="F16" s="70">
        <f t="shared" si="5"/>
        <v>0</v>
      </c>
      <c r="G16" s="67">
        <f>E16/'Lookup Tables'!$C$48</f>
        <v>0</v>
      </c>
      <c r="H16" s="70" t="e">
        <f t="shared" si="2"/>
        <v>#DIV/0!</v>
      </c>
      <c r="I16" s="71">
        <f>G16*60*24/1000000</f>
        <v>0</v>
      </c>
      <c r="J16" s="35">
        <f t="shared" si="0"/>
        <v>2003</v>
      </c>
      <c r="K16" s="75">
        <f>$G141</f>
        <v>65.641593316406514</v>
      </c>
      <c r="L16" s="74"/>
      <c r="M16" s="74"/>
      <c r="N16" s="74"/>
      <c r="O16" s="74"/>
      <c r="P16" s="74"/>
      <c r="Q16" s="74"/>
      <c r="R16" s="74"/>
      <c r="S16" s="74"/>
      <c r="T16" s="74"/>
      <c r="U16" s="74"/>
      <c r="V16" s="74"/>
      <c r="W16" s="74"/>
      <c r="X16" s="74"/>
      <c r="Y16" s="74"/>
      <c r="Z16" s="74"/>
    </row>
    <row r="17" spans="1:26" x14ac:dyDescent="0.3">
      <c r="A17" s="66">
        <f>A16+0.1</f>
        <v>1990.9999999999991</v>
      </c>
      <c r="B17" s="67">
        <f>LOOKUP(A17+0.01,AmountsB!$A$4:$A$103,AmountsB!$B$4:$B$103)*0.1*$A$2</f>
        <v>0</v>
      </c>
      <c r="C17" s="68">
        <f t="shared" si="4"/>
        <v>0</v>
      </c>
      <c r="D17" s="67">
        <f t="array" ref="D17">SUM($B$7:$B12*$F$1009*EXP(-$F$1009*($A17-$A$7:$A12)))*$F$1010</f>
        <v>0</v>
      </c>
      <c r="E17" s="67">
        <f t="shared" si="1"/>
        <v>0</v>
      </c>
      <c r="F17" s="70">
        <f>E17*60*1012/1000000</f>
        <v>0</v>
      </c>
      <c r="G17" s="67">
        <f>E17/'Lookup Tables'!$C$48</f>
        <v>0</v>
      </c>
      <c r="H17" s="70" t="e">
        <f t="shared" si="2"/>
        <v>#DIV/0!</v>
      </c>
      <c r="I17" s="71">
        <f>G17*60*24/1000000</f>
        <v>0</v>
      </c>
      <c r="J17" s="35">
        <f t="shared" si="0"/>
        <v>2004</v>
      </c>
      <c r="K17" s="75">
        <f>$G151</f>
        <v>85.553390620911017</v>
      </c>
      <c r="L17" s="74"/>
      <c r="M17" s="74"/>
      <c r="N17" s="74"/>
      <c r="O17" s="74"/>
      <c r="P17" s="74"/>
      <c r="Q17" s="74"/>
      <c r="R17" s="74"/>
      <c r="S17" s="74"/>
      <c r="T17" s="74"/>
      <c r="U17" s="74"/>
      <c r="V17" s="74"/>
      <c r="W17" s="74"/>
      <c r="X17" s="74"/>
      <c r="Y17" s="74"/>
      <c r="Z17" s="74"/>
    </row>
    <row r="18" spans="1:26" x14ac:dyDescent="0.3">
      <c r="A18" s="66">
        <f>A17+0.1</f>
        <v>1991.099999999999</v>
      </c>
      <c r="B18" s="67">
        <f>LOOKUP(A18+0.01,AmountsB!$A$4:$A$103,AmountsB!$B$4:$B$103)*0.1*$A$2</f>
        <v>0</v>
      </c>
      <c r="C18" s="68">
        <f t="shared" si="4"/>
        <v>0</v>
      </c>
      <c r="D18" s="67">
        <f t="array" ref="D18">SUM($B$7:$B13*$F$1009*EXP(-$F$1009*($A18-$A$7:$A13)))*$F$1010</f>
        <v>0</v>
      </c>
      <c r="E18" s="67">
        <f t="shared" si="1"/>
        <v>0</v>
      </c>
      <c r="F18" s="70">
        <f>E18*60*1012/1000000</f>
        <v>0</v>
      </c>
      <c r="G18" s="67">
        <f>E18/'Lookup Tables'!$C$48</f>
        <v>0</v>
      </c>
      <c r="H18" s="70" t="e">
        <f t="shared" si="2"/>
        <v>#DIV/0!</v>
      </c>
      <c r="I18" s="71">
        <f>G18*60*24/1000000</f>
        <v>0</v>
      </c>
      <c r="J18" s="35">
        <f t="shared" si="0"/>
        <v>2005</v>
      </c>
      <c r="K18" s="75">
        <f>$G161</f>
        <v>104.60588381419933</v>
      </c>
      <c r="L18" s="74"/>
      <c r="M18" s="74"/>
      <c r="N18" s="74"/>
      <c r="O18" s="74"/>
      <c r="P18" s="74"/>
      <c r="Q18" s="74"/>
      <c r="R18" s="74"/>
      <c r="S18" s="74"/>
      <c r="T18" s="74"/>
      <c r="U18" s="74"/>
      <c r="V18" s="74"/>
      <c r="W18" s="74"/>
      <c r="X18" s="74"/>
      <c r="Y18" s="74"/>
      <c r="Z18" s="74"/>
    </row>
    <row r="19" spans="1:26" x14ac:dyDescent="0.3">
      <c r="A19" s="66">
        <f t="shared" ref="A19:A82" si="7">A18+0.1</f>
        <v>1991.1999999999989</v>
      </c>
      <c r="B19" s="67">
        <f>LOOKUP(A19+0.01,AmountsB!$A$4:$A$103,AmountsB!$B$4:$B$103)*0.1*$A$2</f>
        <v>0</v>
      </c>
      <c r="C19" s="68">
        <f t="shared" si="4"/>
        <v>0</v>
      </c>
      <c r="D19" s="67">
        <f t="array" ref="D19">SUM($B$7:$B14*$F$1009*EXP(-$F$1009*($A19-$A$7:$A14)))*$F$1010</f>
        <v>0</v>
      </c>
      <c r="E19" s="67">
        <f t="shared" si="1"/>
        <v>0</v>
      </c>
      <c r="F19" s="70">
        <f t="shared" ref="F19:F82" si="8">E19*60*1012/1000000</f>
        <v>0</v>
      </c>
      <c r="G19" s="67">
        <f>E19/'Lookup Tables'!$C$48</f>
        <v>0</v>
      </c>
      <c r="H19" s="70" t="e">
        <f t="shared" si="2"/>
        <v>#DIV/0!</v>
      </c>
      <c r="I19" s="71">
        <f t="shared" ref="I19:I82" si="9">G19*60*24/1000000</f>
        <v>0</v>
      </c>
      <c r="J19" s="35">
        <f t="shared" si="0"/>
        <v>2006</v>
      </c>
      <c r="K19" s="75">
        <f>$G171</f>
        <v>122.86729593959666</v>
      </c>
      <c r="L19" s="74"/>
      <c r="M19" s="74"/>
      <c r="N19" s="74"/>
      <c r="O19" s="74"/>
      <c r="P19" s="74"/>
      <c r="Q19" s="74"/>
      <c r="R19" s="74"/>
      <c r="S19" s="74"/>
      <c r="T19" s="74"/>
      <c r="U19" s="74"/>
      <c r="V19" s="74"/>
      <c r="W19" s="74"/>
      <c r="X19" s="74"/>
      <c r="Y19" s="74"/>
      <c r="Z19" s="74"/>
    </row>
    <row r="20" spans="1:26" x14ac:dyDescent="0.3">
      <c r="A20" s="66">
        <f t="shared" si="7"/>
        <v>1991.2999999999988</v>
      </c>
      <c r="B20" s="67">
        <f>LOOKUP(A20+0.01,AmountsB!$A$4:$A$103,AmountsB!$B$4:$B$103)*0.1*$A$2</f>
        <v>0</v>
      </c>
      <c r="C20" s="68">
        <f t="shared" si="4"/>
        <v>0</v>
      </c>
      <c r="D20" s="67">
        <f t="array" ref="D20">SUM($B$7:$B15*$F$1009*EXP(-$F$1009*($A20-$A$7:$A15)))*$F$1010</f>
        <v>0</v>
      </c>
      <c r="E20" s="67">
        <f t="shared" si="1"/>
        <v>0</v>
      </c>
      <c r="F20" s="70">
        <f t="shared" si="8"/>
        <v>0</v>
      </c>
      <c r="G20" s="67">
        <f>E20/'Lookup Tables'!$C$48</f>
        <v>0</v>
      </c>
      <c r="H20" s="70" t="e">
        <f t="shared" si="2"/>
        <v>#DIV/0!</v>
      </c>
      <c r="I20" s="71">
        <f t="shared" si="9"/>
        <v>0</v>
      </c>
      <c r="J20" s="35">
        <f t="shared" si="0"/>
        <v>2007</v>
      </c>
      <c r="K20" s="75">
        <f>$G181</f>
        <v>140.40056248941966</v>
      </c>
      <c r="L20" s="74"/>
      <c r="M20" s="74"/>
      <c r="N20" s="74"/>
      <c r="O20" s="74"/>
      <c r="P20" s="74"/>
      <c r="Q20" s="74"/>
      <c r="R20" s="74"/>
      <c r="S20" s="74"/>
      <c r="T20" s="74"/>
      <c r="U20" s="74"/>
      <c r="V20" s="74"/>
      <c r="W20" s="74"/>
      <c r="X20" s="74"/>
      <c r="Y20" s="74"/>
      <c r="Z20" s="74"/>
    </row>
    <row r="21" spans="1:26" x14ac:dyDescent="0.3">
      <c r="A21" s="66">
        <f t="shared" si="7"/>
        <v>1991.3999999999987</v>
      </c>
      <c r="B21" s="67">
        <f>LOOKUP(A21+0.01,AmountsB!$A$4:$A$103,AmountsB!$B$4:$B$103)*0.1*$A$2</f>
        <v>0</v>
      </c>
      <c r="C21" s="68">
        <f t="shared" si="4"/>
        <v>0</v>
      </c>
      <c r="D21" s="67">
        <f t="array" ref="D21">SUM($B$7:$B16*$F$1009*EXP(-$F$1009*($A21-$A$7:$A16)))*$F$1010</f>
        <v>0</v>
      </c>
      <c r="E21" s="67">
        <f t="shared" si="1"/>
        <v>0</v>
      </c>
      <c r="F21" s="70">
        <f t="shared" si="8"/>
        <v>0</v>
      </c>
      <c r="G21" s="67">
        <f>E21/'Lookup Tables'!$C$48</f>
        <v>0</v>
      </c>
      <c r="H21" s="70" t="e">
        <f t="shared" si="2"/>
        <v>#DIV/0!</v>
      </c>
      <c r="I21" s="71">
        <f t="shared" si="9"/>
        <v>0</v>
      </c>
      <c r="J21" s="35">
        <f t="shared" si="0"/>
        <v>2008</v>
      </c>
      <c r="K21" s="75">
        <f>$G191</f>
        <v>157.2650393794122</v>
      </c>
      <c r="L21" s="74"/>
      <c r="M21" s="74"/>
      <c r="N21" s="74"/>
      <c r="O21" s="74"/>
      <c r="P21" s="74"/>
      <c r="Q21" s="74"/>
      <c r="R21" s="74"/>
      <c r="S21" s="74"/>
      <c r="T21" s="74"/>
      <c r="U21" s="74"/>
      <c r="V21" s="74"/>
      <c r="W21" s="74"/>
      <c r="X21" s="74"/>
      <c r="Y21" s="74"/>
      <c r="Z21" s="74"/>
    </row>
    <row r="22" spans="1:26" x14ac:dyDescent="0.3">
      <c r="A22" s="66">
        <f t="shared" si="7"/>
        <v>1991.4999999999986</v>
      </c>
      <c r="B22" s="67">
        <f>LOOKUP(A22+0.01,AmountsB!$A$4:$A$103,AmountsB!$B$4:$B$103)*0.1*$A$2</f>
        <v>0</v>
      </c>
      <c r="C22" s="68">
        <f t="shared" si="4"/>
        <v>0</v>
      </c>
      <c r="D22" s="67">
        <f t="array" ref="D22">SUM($B$7:$B17*$F$1009*EXP(-$F$1009*($A22-$A$7:$A17)))*$F$1010</f>
        <v>0</v>
      </c>
      <c r="E22" s="67">
        <f t="shared" si="1"/>
        <v>0</v>
      </c>
      <c r="F22" s="70">
        <f t="shared" si="8"/>
        <v>0</v>
      </c>
      <c r="G22" s="67">
        <f>E22/'Lookup Tables'!$C$48</f>
        <v>0</v>
      </c>
      <c r="H22" s="70" t="e">
        <f t="shared" si="2"/>
        <v>#DIV/0!</v>
      </c>
      <c r="I22" s="71">
        <f t="shared" si="9"/>
        <v>0</v>
      </c>
      <c r="J22" s="35">
        <f t="shared" si="0"/>
        <v>2009</v>
      </c>
      <c r="K22" s="75">
        <f>$G201</f>
        <v>173.51674495024378</v>
      </c>
      <c r="L22" s="74"/>
      <c r="M22" s="74"/>
      <c r="N22" s="74"/>
      <c r="O22" s="74"/>
      <c r="P22" s="74"/>
      <c r="Q22" s="74"/>
      <c r="R22" s="74"/>
      <c r="S22" s="74"/>
      <c r="T22" s="74"/>
      <c r="U22" s="74"/>
      <c r="V22" s="74"/>
      <c r="W22" s="74"/>
      <c r="X22" s="74"/>
      <c r="Y22" s="74"/>
      <c r="Z22" s="74"/>
    </row>
    <row r="23" spans="1:26" x14ac:dyDescent="0.3">
      <c r="A23" s="66">
        <f t="shared" si="7"/>
        <v>1991.5999999999985</v>
      </c>
      <c r="B23" s="67">
        <f>LOOKUP(A23+0.01,AmountsB!$A$4:$A$103,AmountsB!$B$4:$B$103)*0.1*$A$2</f>
        <v>0</v>
      </c>
      <c r="C23" s="68">
        <f t="shared" si="4"/>
        <v>0</v>
      </c>
      <c r="D23" s="67">
        <f t="array" ref="D23">SUM($B$7:$B18*$F$1009*EXP(-$F$1009*($A23-$A$7:$A18)))*$F$1010</f>
        <v>0</v>
      </c>
      <c r="E23" s="67">
        <f t="shared" si="1"/>
        <v>0</v>
      </c>
      <c r="F23" s="70">
        <f t="shared" si="8"/>
        <v>0</v>
      </c>
      <c r="G23" s="67">
        <f>E23/'Lookup Tables'!$C$48</f>
        <v>0</v>
      </c>
      <c r="H23" s="70" t="e">
        <f t="shared" si="2"/>
        <v>#DIV/0!</v>
      </c>
      <c r="I23" s="71">
        <f t="shared" si="9"/>
        <v>0</v>
      </c>
      <c r="J23" s="35">
        <f t="shared" si="0"/>
        <v>2010</v>
      </c>
      <c r="K23" s="75">
        <f>$G211</f>
        <v>189.20723510490086</v>
      </c>
      <c r="L23" s="74"/>
      <c r="M23" s="74"/>
      <c r="N23" s="74"/>
      <c r="O23" s="74"/>
      <c r="P23" s="74"/>
      <c r="Q23" s="74"/>
      <c r="R23" s="74"/>
      <c r="S23" s="74"/>
      <c r="T23" s="74"/>
      <c r="U23" s="74"/>
      <c r="V23" s="74"/>
      <c r="W23" s="74"/>
      <c r="X23" s="74"/>
      <c r="Y23" s="74"/>
      <c r="Z23" s="74"/>
    </row>
    <row r="24" spans="1:26" x14ac:dyDescent="0.3">
      <c r="A24" s="66">
        <f t="shared" si="7"/>
        <v>1991.6999999999985</v>
      </c>
      <c r="B24" s="67">
        <f>LOOKUP(A24+0.01,AmountsB!$A$4:$A$103,AmountsB!$B$4:$B$103)*0.1*$A$2</f>
        <v>0</v>
      </c>
      <c r="C24" s="68">
        <f t="shared" si="4"/>
        <v>0</v>
      </c>
      <c r="D24" s="67">
        <f t="array" ref="D24">SUM($B$7:$B19*$F$1009*EXP(-$F$1009*($A24-$A$7:$A19)))*$F$1010</f>
        <v>0</v>
      </c>
      <c r="E24" s="67">
        <f t="shared" si="1"/>
        <v>0</v>
      </c>
      <c r="F24" s="70">
        <f t="shared" si="8"/>
        <v>0</v>
      </c>
      <c r="G24" s="67">
        <f>E24/'Lookup Tables'!$C$48</f>
        <v>0</v>
      </c>
      <c r="H24" s="70" t="e">
        <f t="shared" si="2"/>
        <v>#DIV/0!</v>
      </c>
      <c r="I24" s="71">
        <f t="shared" si="9"/>
        <v>0</v>
      </c>
      <c r="J24" s="35">
        <f t="shared" si="0"/>
        <v>2011</v>
      </c>
      <c r="K24" s="75">
        <f>$G221</f>
        <v>204.38525550036306</v>
      </c>
      <c r="L24" s="74"/>
      <c r="M24" s="74"/>
      <c r="N24" s="74"/>
      <c r="O24" s="74"/>
      <c r="P24" s="74"/>
      <c r="Q24" s="74"/>
      <c r="R24" s="74"/>
      <c r="S24" s="74"/>
      <c r="T24" s="74"/>
      <c r="U24" s="74"/>
      <c r="V24" s="74"/>
      <c r="W24" s="74"/>
      <c r="X24" s="74"/>
      <c r="Y24" s="74"/>
      <c r="Z24" s="74"/>
    </row>
    <row r="25" spans="1:26" x14ac:dyDescent="0.3">
      <c r="A25" s="66">
        <f t="shared" si="7"/>
        <v>1991.7999999999984</v>
      </c>
      <c r="B25" s="67">
        <f>LOOKUP(A25+0.01,AmountsB!$A$4:$A$103,AmountsB!$B$4:$B$103)*0.1*$A$2</f>
        <v>0</v>
      </c>
      <c r="C25" s="68">
        <f t="shared" si="4"/>
        <v>0</v>
      </c>
      <c r="D25" s="67">
        <f t="array" ref="D25">SUM($B$7:$B20*$F$1009*EXP(-$F$1009*($A25-$A$7:$A20)))*$F$1010</f>
        <v>0</v>
      </c>
      <c r="E25" s="67">
        <f t="shared" si="1"/>
        <v>0</v>
      </c>
      <c r="F25" s="70">
        <f t="shared" si="8"/>
        <v>0</v>
      </c>
      <c r="G25" s="67">
        <f>E25/'Lookup Tables'!$C$48</f>
        <v>0</v>
      </c>
      <c r="H25" s="70" t="e">
        <f t="shared" si="2"/>
        <v>#DIV/0!</v>
      </c>
      <c r="I25" s="71">
        <f t="shared" si="9"/>
        <v>0</v>
      </c>
      <c r="J25" s="35">
        <f t="shared" si="0"/>
        <v>2012</v>
      </c>
      <c r="K25" s="75">
        <f>$G231</f>
        <v>219.0962562859452</v>
      </c>
      <c r="L25" s="74"/>
      <c r="M25" s="74"/>
      <c r="N25" s="74"/>
      <c r="O25" s="74"/>
      <c r="P25" s="74"/>
      <c r="Q25" s="74"/>
      <c r="R25" s="74"/>
      <c r="S25" s="74"/>
      <c r="T25" s="74"/>
      <c r="U25" s="74"/>
      <c r="V25" s="74"/>
      <c r="W25" s="74"/>
      <c r="X25" s="74"/>
      <c r="Y25" s="74"/>
      <c r="Z25" s="74"/>
    </row>
    <row r="26" spans="1:26" x14ac:dyDescent="0.3">
      <c r="A26" s="66">
        <f t="shared" si="7"/>
        <v>1991.8999999999983</v>
      </c>
      <c r="B26" s="67">
        <f>LOOKUP(A26+0.01,AmountsB!$A$4:$A$103,AmountsB!$B$4:$B$103)*0.1*$A$2</f>
        <v>0</v>
      </c>
      <c r="C26" s="68">
        <f t="shared" si="4"/>
        <v>0</v>
      </c>
      <c r="D26" s="67">
        <f t="array" ref="D26">SUM($B$7:$B21*$F$1009*EXP(-$F$1009*($A26-$A$7:$A21)))*$F$1010</f>
        <v>0</v>
      </c>
      <c r="E26" s="67">
        <f t="shared" si="1"/>
        <v>0</v>
      </c>
      <c r="F26" s="70">
        <f t="shared" si="8"/>
        <v>0</v>
      </c>
      <c r="G26" s="67">
        <f>E26/'Lookup Tables'!$C$48</f>
        <v>0</v>
      </c>
      <c r="H26" s="70" t="e">
        <f t="shared" si="2"/>
        <v>#DIV/0!</v>
      </c>
      <c r="I26" s="71">
        <f t="shared" si="9"/>
        <v>0</v>
      </c>
      <c r="J26" s="35">
        <f t="shared" si="0"/>
        <v>2013</v>
      </c>
      <c r="K26" s="75">
        <f>$G241</f>
        <v>234.67031980631114</v>
      </c>
      <c r="L26" s="74"/>
      <c r="M26" s="74"/>
      <c r="N26" s="74"/>
      <c r="O26" s="74"/>
      <c r="P26" s="74"/>
      <c r="Q26" s="74"/>
      <c r="R26" s="74"/>
      <c r="S26" s="74"/>
      <c r="T26" s="74"/>
      <c r="U26" s="74"/>
      <c r="V26" s="74"/>
      <c r="W26" s="74"/>
      <c r="X26" s="74"/>
      <c r="Y26" s="74"/>
      <c r="Z26" s="74"/>
    </row>
    <row r="27" spans="1:26" x14ac:dyDescent="0.3">
      <c r="A27" s="66">
        <f t="shared" si="7"/>
        <v>1991.9999999999982</v>
      </c>
      <c r="B27" s="67">
        <f>LOOKUP(A27+0.01,AmountsB!$A$4:$A$103,AmountsB!$B$4:$B$103)*0.1*$A$2</f>
        <v>0</v>
      </c>
      <c r="C27" s="68">
        <f t="shared" si="4"/>
        <v>0</v>
      </c>
      <c r="D27" s="67">
        <f t="array" ref="D27">SUM($B$7:$B22*$F$1009*EXP(-$F$1009*($A27-$A$7:$A22)))*$F$1010</f>
        <v>0</v>
      </c>
      <c r="E27" s="67">
        <f t="shared" si="1"/>
        <v>0</v>
      </c>
      <c r="F27" s="70">
        <f t="shared" si="8"/>
        <v>0</v>
      </c>
      <c r="G27" s="67">
        <f>E27/'Lookup Tables'!$C$48</f>
        <v>0</v>
      </c>
      <c r="H27" s="70" t="e">
        <f t="shared" si="2"/>
        <v>#DIV/0!</v>
      </c>
      <c r="I27" s="71">
        <f t="shared" si="9"/>
        <v>0</v>
      </c>
      <c r="J27" s="35">
        <f t="shared" si="0"/>
        <v>2014</v>
      </c>
      <c r="K27" s="75">
        <f>$G251</f>
        <v>249.79920687313896</v>
      </c>
      <c r="L27" s="74"/>
      <c r="M27" s="74"/>
      <c r="N27" s="74"/>
      <c r="O27" s="74"/>
      <c r="P27" s="74"/>
      <c r="Q27" s="74"/>
      <c r="R27" s="74"/>
      <c r="S27" s="74"/>
      <c r="T27" s="74"/>
      <c r="U27" s="74"/>
      <c r="V27" s="74"/>
      <c r="W27" s="74"/>
      <c r="X27" s="74"/>
      <c r="Y27" s="74"/>
      <c r="Z27" s="74"/>
    </row>
    <row r="28" spans="1:26" x14ac:dyDescent="0.3">
      <c r="A28" s="66">
        <f t="shared" si="7"/>
        <v>1992.0999999999981</v>
      </c>
      <c r="B28" s="67">
        <f>LOOKUP(A28+0.01,AmountsB!$A$4:$A$103,AmountsB!$B$4:$B$103)*0.1*$A$2</f>
        <v>0</v>
      </c>
      <c r="C28" s="68">
        <f t="shared" si="4"/>
        <v>0</v>
      </c>
      <c r="D28" s="67">
        <f t="array" ref="D28">SUM($B$7:$B23*$F$1009*EXP(-$F$1009*($A28-$A$7:$A23)))*$F$1010</f>
        <v>0</v>
      </c>
      <c r="E28" s="67">
        <f t="shared" si="1"/>
        <v>0</v>
      </c>
      <c r="F28" s="70">
        <f t="shared" si="8"/>
        <v>0</v>
      </c>
      <c r="G28" s="67">
        <f>E28/'Lookup Tables'!$C$48</f>
        <v>0</v>
      </c>
      <c r="H28" s="70" t="e">
        <f t="shared" si="2"/>
        <v>#DIV/0!</v>
      </c>
      <c r="I28" s="71">
        <f t="shared" si="9"/>
        <v>0</v>
      </c>
      <c r="J28" s="35">
        <f t="shared" si="0"/>
        <v>2015</v>
      </c>
      <c r="K28" s="75">
        <f>$G261</f>
        <v>264.52516869571252</v>
      </c>
      <c r="L28" s="74"/>
      <c r="M28" s="74"/>
      <c r="N28" s="74"/>
      <c r="O28" s="74"/>
      <c r="P28" s="74"/>
      <c r="Q28" s="74"/>
      <c r="R28" s="74"/>
      <c r="S28" s="74"/>
      <c r="T28" s="74"/>
      <c r="U28" s="74"/>
      <c r="V28" s="74"/>
      <c r="W28" s="74"/>
      <c r="X28" s="74"/>
      <c r="Y28" s="74"/>
      <c r="Z28" s="74"/>
    </row>
    <row r="29" spans="1:26" x14ac:dyDescent="0.3">
      <c r="A29" s="66">
        <f t="shared" si="7"/>
        <v>1992.199999999998</v>
      </c>
      <c r="B29" s="67">
        <f>LOOKUP(A29+0.01,AmountsB!$A$4:$A$103,AmountsB!$B$4:$B$103)*0.1*$A$2</f>
        <v>0</v>
      </c>
      <c r="C29" s="68">
        <f t="shared" si="4"/>
        <v>0</v>
      </c>
      <c r="D29" s="67">
        <f t="array" ref="D29">SUM($B$7:$B24*$F$1009*EXP(-$F$1009*($A29-$A$7:$A24)))*$F$1010</f>
        <v>0</v>
      </c>
      <c r="E29" s="67">
        <f t="shared" si="1"/>
        <v>0</v>
      </c>
      <c r="F29" s="70">
        <f t="shared" si="8"/>
        <v>0</v>
      </c>
      <c r="G29" s="67">
        <f>E29/'Lookup Tables'!$C$48</f>
        <v>0</v>
      </c>
      <c r="H29" s="70" t="e">
        <f t="shared" si="2"/>
        <v>#DIV/0!</v>
      </c>
      <c r="I29" s="71">
        <f t="shared" si="9"/>
        <v>0</v>
      </c>
      <c r="J29" s="35">
        <f t="shared" si="0"/>
        <v>2016</v>
      </c>
      <c r="K29" s="75">
        <f>$G271</f>
        <v>278.88760004045156</v>
      </c>
      <c r="L29" s="74"/>
      <c r="M29" s="74"/>
      <c r="N29" s="74"/>
      <c r="O29" s="74"/>
      <c r="P29" s="74"/>
      <c r="Q29" s="74"/>
      <c r="R29" s="74"/>
      <c r="S29" s="74"/>
      <c r="T29" s="74"/>
      <c r="U29" s="74"/>
      <c r="V29" s="74"/>
      <c r="W29" s="74"/>
      <c r="X29" s="74"/>
      <c r="Y29" s="74"/>
      <c r="Z29" s="74"/>
    </row>
    <row r="30" spans="1:26" x14ac:dyDescent="0.3">
      <c r="A30" s="66">
        <f t="shared" si="7"/>
        <v>1992.2999999999979</v>
      </c>
      <c r="B30" s="67">
        <f>LOOKUP(A30+0.01,AmountsB!$A$4:$A$103,AmountsB!$B$4:$B$103)*0.1*$A$2</f>
        <v>0</v>
      </c>
      <c r="C30" s="68">
        <f t="shared" si="4"/>
        <v>0</v>
      </c>
      <c r="D30" s="67">
        <f t="array" ref="D30">SUM($B$7:$B25*$F$1009*EXP(-$F$1009*($A30-$A$7:$A25)))*$F$1010</f>
        <v>0</v>
      </c>
      <c r="E30" s="67">
        <f t="shared" si="1"/>
        <v>0</v>
      </c>
      <c r="F30" s="70">
        <f t="shared" si="8"/>
        <v>0</v>
      </c>
      <c r="G30" s="67">
        <f>E30/'Lookup Tables'!$C$48</f>
        <v>0</v>
      </c>
      <c r="H30" s="70" t="e">
        <f t="shared" si="2"/>
        <v>#DIV/0!</v>
      </c>
      <c r="I30" s="71">
        <f t="shared" si="9"/>
        <v>0</v>
      </c>
      <c r="J30" s="35">
        <f t="shared" si="0"/>
        <v>2017</v>
      </c>
      <c r="K30" s="75">
        <f>$G281</f>
        <v>292.92390759575778</v>
      </c>
      <c r="L30" s="74"/>
      <c r="M30" s="74"/>
      <c r="N30" s="74"/>
      <c r="O30" s="74"/>
      <c r="P30" s="74"/>
      <c r="Q30" s="74"/>
      <c r="R30" s="74"/>
      <c r="S30" s="74"/>
      <c r="T30" s="74"/>
      <c r="U30" s="74"/>
      <c r="V30" s="74"/>
      <c r="W30" s="74"/>
      <c r="X30" s="74"/>
      <c r="Y30" s="74"/>
      <c r="Z30" s="74"/>
    </row>
    <row r="31" spans="1:26" x14ac:dyDescent="0.3">
      <c r="A31" s="66">
        <f t="shared" si="7"/>
        <v>1992.3999999999978</v>
      </c>
      <c r="B31" s="67">
        <f>LOOKUP(A31+0.01,AmountsB!$A$4:$A$103,AmountsB!$B$4:$B$103)*0.1*$A$2</f>
        <v>0</v>
      </c>
      <c r="C31" s="68">
        <f t="shared" si="4"/>
        <v>0</v>
      </c>
      <c r="D31" s="67">
        <f t="array" ref="D31">SUM($B$7:$B26*$F$1009*EXP(-$F$1009*($A31-$A$7:$A26)))*$F$1010</f>
        <v>0</v>
      </c>
      <c r="E31" s="67">
        <f t="shared" si="1"/>
        <v>0</v>
      </c>
      <c r="F31" s="70">
        <f t="shared" si="8"/>
        <v>0</v>
      </c>
      <c r="G31" s="67">
        <f>E31/'Lookup Tables'!$C$48</f>
        <v>0</v>
      </c>
      <c r="H31" s="70" t="e">
        <f t="shared" si="2"/>
        <v>#DIV/0!</v>
      </c>
      <c r="I31" s="71">
        <f t="shared" si="9"/>
        <v>0</v>
      </c>
      <c r="J31" s="35">
        <f t="shared" si="0"/>
        <v>2018</v>
      </c>
      <c r="K31" s="75">
        <f>$G291</f>
        <v>273.12044114500276</v>
      </c>
      <c r="L31" s="74"/>
      <c r="M31" s="74"/>
      <c r="N31" s="74"/>
      <c r="O31" s="74"/>
      <c r="P31" s="74"/>
      <c r="Q31" s="74"/>
      <c r="R31" s="74"/>
      <c r="S31" s="74"/>
      <c r="T31" s="74"/>
      <c r="U31" s="74"/>
      <c r="V31" s="74"/>
      <c r="W31" s="74"/>
      <c r="X31" s="74"/>
      <c r="Y31" s="74"/>
      <c r="Z31" s="74"/>
    </row>
    <row r="32" spans="1:26" x14ac:dyDescent="0.3">
      <c r="A32" s="66">
        <f t="shared" si="7"/>
        <v>1992.4999999999977</v>
      </c>
      <c r="B32" s="67">
        <f>LOOKUP(A32+0.01,AmountsB!$A$4:$A$103,AmountsB!$B$4:$B$103)*0.1*$A$2</f>
        <v>0</v>
      </c>
      <c r="C32" s="68">
        <f t="shared" si="4"/>
        <v>0</v>
      </c>
      <c r="D32" s="67">
        <f t="array" ref="D32">SUM($B$7:$B27*$F$1009*EXP(-$F$1009*($A32-$A$7:$A27)))*$F$1010</f>
        <v>0</v>
      </c>
      <c r="E32" s="67">
        <f t="shared" si="1"/>
        <v>0</v>
      </c>
      <c r="F32" s="70">
        <f t="shared" si="8"/>
        <v>0</v>
      </c>
      <c r="G32" s="67">
        <f>E32/'Lookup Tables'!$C$48</f>
        <v>0</v>
      </c>
      <c r="H32" s="70" t="e">
        <f t="shared" si="2"/>
        <v>#DIV/0!</v>
      </c>
      <c r="I32" s="71">
        <f t="shared" si="9"/>
        <v>0</v>
      </c>
      <c r="J32" s="35">
        <f t="shared" si="0"/>
        <v>2019</v>
      </c>
      <c r="K32" s="75">
        <f>$G301</f>
        <v>254.65581141360309</v>
      </c>
      <c r="L32" s="74"/>
      <c r="M32" s="74"/>
      <c r="N32" s="74"/>
      <c r="O32" s="74"/>
      <c r="P32" s="74"/>
      <c r="Q32" s="74"/>
      <c r="R32" s="74"/>
      <c r="S32" s="74"/>
      <c r="T32" s="74"/>
      <c r="U32" s="74"/>
      <c r="V32" s="74"/>
      <c r="W32" s="74"/>
      <c r="X32" s="74"/>
      <c r="Y32" s="74"/>
      <c r="Z32" s="74"/>
    </row>
    <row r="33" spans="1:26" x14ac:dyDescent="0.3">
      <c r="A33" s="66">
        <f t="shared" si="7"/>
        <v>1992.5999999999976</v>
      </c>
      <c r="B33" s="67">
        <f>LOOKUP(A33+0.01,AmountsB!$A$4:$A$103,AmountsB!$B$4:$B$103)*0.1*$A$2</f>
        <v>0</v>
      </c>
      <c r="C33" s="68">
        <f t="shared" si="4"/>
        <v>0</v>
      </c>
      <c r="D33" s="67">
        <f t="array" ref="D33">SUM($B$7:$B28*$F$1009*EXP(-$F$1009*($A33-$A$7:$A28)))*$F$1010</f>
        <v>0</v>
      </c>
      <c r="E33" s="67">
        <f t="shared" si="1"/>
        <v>0</v>
      </c>
      <c r="F33" s="70">
        <f t="shared" si="8"/>
        <v>0</v>
      </c>
      <c r="G33" s="67">
        <f>E33/'Lookup Tables'!$C$48</f>
        <v>0</v>
      </c>
      <c r="H33" s="70" t="e">
        <f t="shared" si="2"/>
        <v>#DIV/0!</v>
      </c>
      <c r="I33" s="71">
        <f t="shared" si="9"/>
        <v>0</v>
      </c>
      <c r="J33" s="35">
        <f t="shared" si="0"/>
        <v>2020</v>
      </c>
      <c r="K33" s="75">
        <f>$G311</f>
        <v>237.43950476519331</v>
      </c>
      <c r="L33" s="74"/>
      <c r="M33" s="74"/>
      <c r="N33" s="74"/>
      <c r="O33" s="74"/>
      <c r="P33" s="74"/>
      <c r="Q33" s="74"/>
      <c r="R33" s="74"/>
      <c r="S33" s="74"/>
      <c r="T33" s="74"/>
      <c r="U33" s="74"/>
      <c r="V33" s="74"/>
      <c r="W33" s="74"/>
      <c r="X33" s="74"/>
      <c r="Y33" s="74"/>
      <c r="Z33" s="74"/>
    </row>
    <row r="34" spans="1:26" x14ac:dyDescent="0.3">
      <c r="A34" s="66">
        <f t="shared" si="7"/>
        <v>1992.6999999999975</v>
      </c>
      <c r="B34" s="67">
        <f>LOOKUP(A34+0.01,AmountsB!$A$4:$A$103,AmountsB!$B$4:$B$103)*0.1*$A$2</f>
        <v>0</v>
      </c>
      <c r="C34" s="68">
        <f t="shared" si="4"/>
        <v>0</v>
      </c>
      <c r="D34" s="67">
        <f t="array" ref="D34">SUM($B$7:$B29*$F$1009*EXP(-$F$1009*($A34-$A$7:$A29)))*$F$1010</f>
        <v>0</v>
      </c>
      <c r="E34" s="67">
        <f t="shared" si="1"/>
        <v>0</v>
      </c>
      <c r="F34" s="70">
        <f t="shared" si="8"/>
        <v>0</v>
      </c>
      <c r="G34" s="67">
        <f>E34/'Lookup Tables'!$C$48</f>
        <v>0</v>
      </c>
      <c r="H34" s="70" t="e">
        <f t="shared" si="2"/>
        <v>#DIV/0!</v>
      </c>
      <c r="I34" s="71">
        <f t="shared" si="9"/>
        <v>0</v>
      </c>
      <c r="J34" s="35">
        <f t="shared" si="0"/>
        <v>2021</v>
      </c>
      <c r="K34" s="75">
        <f>$G321</f>
        <v>221.38712684460924</v>
      </c>
      <c r="L34" s="74"/>
      <c r="M34" s="74"/>
      <c r="N34" s="74"/>
      <c r="O34" s="74"/>
      <c r="P34" s="74"/>
      <c r="Q34" s="74"/>
      <c r="R34" s="74"/>
      <c r="S34" s="74"/>
      <c r="T34" s="74"/>
      <c r="U34" s="74"/>
      <c r="V34" s="74"/>
      <c r="W34" s="74"/>
      <c r="X34" s="74"/>
      <c r="Y34" s="74"/>
      <c r="Z34" s="74"/>
    </row>
    <row r="35" spans="1:26" x14ac:dyDescent="0.3">
      <c r="A35" s="66">
        <f t="shared" si="7"/>
        <v>1992.7999999999975</v>
      </c>
      <c r="B35" s="67">
        <f>LOOKUP(A35+0.01,AmountsB!$A$4:$A$103,AmountsB!$B$4:$B$103)*0.1*$A$2</f>
        <v>0</v>
      </c>
      <c r="C35" s="68">
        <f t="shared" si="4"/>
        <v>0</v>
      </c>
      <c r="D35" s="67">
        <f t="array" ref="D35">SUM($B$7:$B30*$F$1009*EXP(-$F$1009*($A35-$A$7:$A30)))*$F$1010</f>
        <v>0</v>
      </c>
      <c r="E35" s="67">
        <f t="shared" si="1"/>
        <v>0</v>
      </c>
      <c r="F35" s="70">
        <f t="shared" si="8"/>
        <v>0</v>
      </c>
      <c r="G35" s="67">
        <f>E35/'Lookup Tables'!$C$48</f>
        <v>0</v>
      </c>
      <c r="H35" s="70" t="e">
        <f t="shared" si="2"/>
        <v>#DIV/0!</v>
      </c>
      <c r="I35" s="71">
        <f t="shared" si="9"/>
        <v>0</v>
      </c>
      <c r="J35" s="35">
        <f t="shared" si="0"/>
        <v>2022</v>
      </c>
      <c r="K35" s="75">
        <f>$G331</f>
        <v>206.41998887666114</v>
      </c>
      <c r="L35" s="74"/>
      <c r="M35" s="74"/>
      <c r="N35" s="74"/>
      <c r="O35" s="74"/>
      <c r="P35" s="74"/>
      <c r="Q35" s="74"/>
      <c r="R35" s="74"/>
      <c r="S35" s="74"/>
      <c r="T35" s="74"/>
      <c r="U35" s="74"/>
      <c r="V35" s="74"/>
      <c r="W35" s="74"/>
      <c r="X35" s="74"/>
      <c r="Y35" s="74"/>
      <c r="Z35" s="74"/>
    </row>
    <row r="36" spans="1:26" x14ac:dyDescent="0.3">
      <c r="A36" s="66">
        <f t="shared" si="7"/>
        <v>1992.8999999999974</v>
      </c>
      <c r="B36" s="67">
        <f>LOOKUP(A36+0.01,AmountsB!$A$4:$A$103,AmountsB!$B$4:$B$103)*0.1*$A$2</f>
        <v>0</v>
      </c>
      <c r="C36" s="68">
        <f t="shared" si="4"/>
        <v>0</v>
      </c>
      <c r="D36" s="67">
        <f t="array" ref="D36">SUM($B$7:$B31*$F$1009*EXP(-$F$1009*($A36-$A$7:$A31)))*$F$1010</f>
        <v>0</v>
      </c>
      <c r="E36" s="67">
        <f t="shared" si="1"/>
        <v>0</v>
      </c>
      <c r="F36" s="70">
        <f t="shared" si="8"/>
        <v>0</v>
      </c>
      <c r="G36" s="67">
        <f>E36/'Lookup Tables'!$C$48</f>
        <v>0</v>
      </c>
      <c r="H36" s="70" t="e">
        <f t="shared" si="2"/>
        <v>#DIV/0!</v>
      </c>
      <c r="I36" s="71">
        <f t="shared" si="9"/>
        <v>0</v>
      </c>
      <c r="J36" s="35">
        <f t="shared" si="0"/>
        <v>2023</v>
      </c>
      <c r="K36" s="75">
        <f>$G341</f>
        <v>192.46472193366566</v>
      </c>
      <c r="L36" s="74"/>
      <c r="M36" s="74"/>
      <c r="N36" s="74"/>
      <c r="O36" s="74"/>
      <c r="P36" s="74"/>
      <c r="Q36" s="74"/>
      <c r="R36" s="74"/>
      <c r="S36" s="74"/>
      <c r="T36" s="74"/>
      <c r="U36" s="74"/>
      <c r="V36" s="74"/>
      <c r="W36" s="74"/>
      <c r="X36" s="74"/>
      <c r="Y36" s="74"/>
      <c r="Z36" s="74"/>
    </row>
    <row r="37" spans="1:26" x14ac:dyDescent="0.3">
      <c r="A37" s="66">
        <f t="shared" si="7"/>
        <v>1992.9999999999973</v>
      </c>
      <c r="B37" s="67">
        <f>LOOKUP(A37+0.01,AmountsB!$A$4:$A$103,AmountsB!$B$4:$B$103)*0.1*$A$2</f>
        <v>0</v>
      </c>
      <c r="C37" s="68">
        <f t="shared" si="4"/>
        <v>0</v>
      </c>
      <c r="D37" s="67">
        <f t="array" ref="D37">SUM($B$7:$B32*$F$1009*EXP(-$F$1009*($A37-$A$7:$A32)))*$F$1010</f>
        <v>0</v>
      </c>
      <c r="E37" s="67">
        <f t="shared" si="1"/>
        <v>0</v>
      </c>
      <c r="F37" s="70">
        <f t="shared" si="8"/>
        <v>0</v>
      </c>
      <c r="G37" s="67">
        <f>E37/'Lookup Tables'!$C$48</f>
        <v>0</v>
      </c>
      <c r="H37" s="70" t="e">
        <f t="shared" si="2"/>
        <v>#DIV/0!</v>
      </c>
      <c r="I37" s="71">
        <f t="shared" si="9"/>
        <v>0</v>
      </c>
      <c r="J37" s="35">
        <f t="shared" si="0"/>
        <v>2024</v>
      </c>
      <c r="K37" s="75">
        <f>$G351</f>
        <v>179.4529172808781</v>
      </c>
      <c r="L37" s="74"/>
      <c r="M37" s="74"/>
      <c r="N37" s="74"/>
      <c r="O37" s="74"/>
      <c r="P37" s="74"/>
      <c r="Q37" s="74"/>
      <c r="R37" s="74"/>
      <c r="S37" s="74"/>
      <c r="T37" s="74"/>
      <c r="U37" s="74"/>
      <c r="V37" s="74"/>
      <c r="W37" s="74"/>
      <c r="X37" s="74"/>
      <c r="Y37" s="74"/>
      <c r="Z37" s="74"/>
    </row>
    <row r="38" spans="1:26" x14ac:dyDescent="0.3">
      <c r="A38" s="66">
        <f t="shared" si="7"/>
        <v>1993.0999999999972</v>
      </c>
      <c r="B38" s="67">
        <f>LOOKUP(A38+0.01,AmountsB!$A$4:$A$103,AmountsB!$B$4:$B$103)*0.1*$A$2</f>
        <v>0</v>
      </c>
      <c r="C38" s="68">
        <f t="shared" si="4"/>
        <v>0</v>
      </c>
      <c r="D38" s="67">
        <f t="array" ref="D38">SUM($B$7:$B33*$F$1009*EXP(-$F$1009*($A38-$A$7:$A33)))*$F$1010</f>
        <v>0</v>
      </c>
      <c r="E38" s="67">
        <f t="shared" si="1"/>
        <v>0</v>
      </c>
      <c r="F38" s="70">
        <f t="shared" si="8"/>
        <v>0</v>
      </c>
      <c r="G38" s="67">
        <f>E38/'Lookup Tables'!$C$48</f>
        <v>0</v>
      </c>
      <c r="H38" s="70" t="e">
        <f t="shared" si="2"/>
        <v>#DIV/0!</v>
      </c>
      <c r="I38" s="71">
        <f t="shared" si="9"/>
        <v>0</v>
      </c>
      <c r="J38" s="35">
        <f t="shared" si="0"/>
        <v>2025</v>
      </c>
      <c r="K38" s="75">
        <f>$G361</f>
        <v>167.32079103679467</v>
      </c>
      <c r="L38" s="74"/>
      <c r="M38" s="74"/>
      <c r="N38" s="74"/>
      <c r="O38" s="74"/>
      <c r="P38" s="74"/>
      <c r="Q38" s="74"/>
      <c r="R38" s="74"/>
      <c r="S38" s="74"/>
      <c r="T38" s="74"/>
      <c r="U38" s="74"/>
      <c r="V38" s="74"/>
      <c r="W38" s="74"/>
      <c r="X38" s="74"/>
      <c r="Y38" s="74"/>
      <c r="Z38" s="74"/>
    </row>
    <row r="39" spans="1:26" x14ac:dyDescent="0.3">
      <c r="A39" s="66">
        <f t="shared" si="7"/>
        <v>1993.1999999999971</v>
      </c>
      <c r="B39" s="67">
        <f>LOOKUP(A39+0.01,AmountsB!$A$4:$A$103,AmountsB!$B$4:$B$103)*0.1*$A$2</f>
        <v>0</v>
      </c>
      <c r="C39" s="68">
        <f t="shared" si="4"/>
        <v>0</v>
      </c>
      <c r="D39" s="67">
        <f t="array" ref="D39">SUM($B$7:$B34*$F$1009*EXP(-$F$1009*($A39-$A$7:$A34)))*$F$1010</f>
        <v>0</v>
      </c>
      <c r="E39" s="67">
        <f t="shared" si="1"/>
        <v>0</v>
      </c>
      <c r="F39" s="70">
        <f t="shared" si="8"/>
        <v>0</v>
      </c>
      <c r="G39" s="67">
        <f>E39/'Lookup Tables'!$C$48</f>
        <v>0</v>
      </c>
      <c r="H39" s="70" t="e">
        <f t="shared" si="2"/>
        <v>#DIV/0!</v>
      </c>
      <c r="I39" s="71">
        <f t="shared" si="9"/>
        <v>0</v>
      </c>
      <c r="J39" s="35">
        <f t="shared" si="0"/>
        <v>2026</v>
      </c>
      <c r="K39" s="75">
        <f>$G371</f>
        <v>156.00887150449185</v>
      </c>
      <c r="L39" s="74"/>
      <c r="M39" s="74"/>
      <c r="N39" s="74"/>
      <c r="O39" s="74"/>
      <c r="P39" s="74"/>
      <c r="Q39" s="74"/>
      <c r="R39" s="74"/>
      <c r="S39" s="74"/>
      <c r="T39" s="74"/>
      <c r="U39" s="74"/>
      <c r="V39" s="74"/>
      <c r="W39" s="74"/>
      <c r="X39" s="74"/>
      <c r="Y39" s="74"/>
      <c r="Z39" s="74"/>
    </row>
    <row r="40" spans="1:26" x14ac:dyDescent="0.3">
      <c r="A40" s="66">
        <f t="shared" si="7"/>
        <v>1993.299999999997</v>
      </c>
      <c r="B40" s="67">
        <f>LOOKUP(A40+0.01,AmountsB!$A$4:$A$103,AmountsB!$B$4:$B$103)*0.1*$A$2</f>
        <v>0</v>
      </c>
      <c r="C40" s="68">
        <f t="shared" si="4"/>
        <v>0</v>
      </c>
      <c r="D40" s="67">
        <f t="array" ref="D40">SUM($B$7:$B35*$F$1009*EXP(-$F$1009*($A40-$A$7:$A35)))*$F$1010</f>
        <v>0</v>
      </c>
      <c r="E40" s="67">
        <f t="shared" si="1"/>
        <v>0</v>
      </c>
      <c r="F40" s="70">
        <f t="shared" si="8"/>
        <v>0</v>
      </c>
      <c r="G40" s="67">
        <f>E40/'Lookup Tables'!$C$48</f>
        <v>0</v>
      </c>
      <c r="H40" s="70" t="e">
        <f t="shared" si="2"/>
        <v>#DIV/0!</v>
      </c>
      <c r="I40" s="71">
        <f t="shared" si="9"/>
        <v>0</v>
      </c>
      <c r="J40" s="35">
        <f t="shared" si="0"/>
        <v>2027</v>
      </c>
      <c r="K40" s="75">
        <f>$G381</f>
        <v>145.46170764129863</v>
      </c>
      <c r="L40" s="74"/>
      <c r="M40" s="74"/>
      <c r="N40" s="74"/>
      <c r="O40" s="74"/>
      <c r="P40" s="74"/>
      <c r="Q40" s="74"/>
      <c r="R40" s="74"/>
      <c r="S40" s="74"/>
      <c r="T40" s="74"/>
      <c r="U40" s="74"/>
      <c r="V40" s="74"/>
      <c r="W40" s="74"/>
      <c r="X40" s="74"/>
      <c r="Y40" s="74"/>
      <c r="Z40" s="74"/>
    </row>
    <row r="41" spans="1:26" x14ac:dyDescent="0.3">
      <c r="A41" s="66">
        <f t="shared" si="7"/>
        <v>1993.3999999999969</v>
      </c>
      <c r="B41" s="67">
        <f>LOOKUP(A41+0.01,AmountsB!$A$4:$A$103,AmountsB!$B$4:$B$103)*0.1*$A$2</f>
        <v>0</v>
      </c>
      <c r="C41" s="68">
        <f t="shared" si="4"/>
        <v>0</v>
      </c>
      <c r="D41" s="67">
        <f t="array" ref="D41">SUM($B$7:$B36*$F$1009*EXP(-$F$1009*($A41-$A$7:$A36)))*$F$1010</f>
        <v>0</v>
      </c>
      <c r="E41" s="67">
        <f t="shared" si="1"/>
        <v>0</v>
      </c>
      <c r="F41" s="70">
        <f t="shared" si="8"/>
        <v>0</v>
      </c>
      <c r="G41" s="67">
        <f>E41/'Lookup Tables'!$C$48</f>
        <v>0</v>
      </c>
      <c r="H41" s="70" t="e">
        <f t="shared" si="2"/>
        <v>#DIV/0!</v>
      </c>
      <c r="I41" s="71">
        <f t="shared" si="9"/>
        <v>0</v>
      </c>
      <c r="J41" s="35">
        <f t="shared" si="0"/>
        <v>2028</v>
      </c>
      <c r="K41" s="75">
        <f>$G391</f>
        <v>135.62759723772143</v>
      </c>
      <c r="L41" s="74"/>
      <c r="M41" s="74"/>
      <c r="N41" s="74"/>
      <c r="O41" s="74"/>
      <c r="P41" s="74"/>
      <c r="Q41" s="74"/>
      <c r="R41" s="74"/>
      <c r="S41" s="74"/>
      <c r="T41" s="74"/>
      <c r="U41" s="74"/>
      <c r="V41" s="74"/>
      <c r="W41" s="74"/>
      <c r="X41" s="74"/>
      <c r="Y41" s="74"/>
      <c r="Z41" s="74"/>
    </row>
    <row r="42" spans="1:26" x14ac:dyDescent="0.3">
      <c r="A42" s="66">
        <f t="shared" si="7"/>
        <v>1993.4999999999968</v>
      </c>
      <c r="B42" s="67">
        <f>LOOKUP(A42+0.01,AmountsB!$A$4:$A$103,AmountsB!$B$4:$B$103)*0.1*$A$2</f>
        <v>0</v>
      </c>
      <c r="C42" s="68">
        <f t="shared" si="4"/>
        <v>0</v>
      </c>
      <c r="D42" s="67">
        <f t="array" ref="D42">SUM($B$7:$B37*$F$1009*EXP(-$F$1009*($A42-$A$7:$A37)))*$F$1010</f>
        <v>0</v>
      </c>
      <c r="E42" s="67">
        <f t="shared" si="1"/>
        <v>0</v>
      </c>
      <c r="F42" s="70">
        <f t="shared" si="8"/>
        <v>0</v>
      </c>
      <c r="G42" s="67">
        <f>E42/'Lookup Tables'!$C$48</f>
        <v>0</v>
      </c>
      <c r="H42" s="70" t="e">
        <f t="shared" si="2"/>
        <v>#DIV/0!</v>
      </c>
      <c r="I42" s="71">
        <f t="shared" si="9"/>
        <v>0</v>
      </c>
      <c r="J42" s="35">
        <f t="shared" si="0"/>
        <v>2029</v>
      </c>
      <c r="K42" s="75">
        <f>$G401</f>
        <v>126.45833347315252</v>
      </c>
      <c r="L42" s="74"/>
      <c r="M42" s="74"/>
      <c r="N42" s="74"/>
      <c r="O42" s="74"/>
      <c r="P42" s="74"/>
      <c r="Q42" s="74"/>
      <c r="R42" s="74"/>
      <c r="S42" s="74"/>
      <c r="T42" s="74"/>
      <c r="U42" s="74"/>
      <c r="V42" s="74"/>
      <c r="W42" s="74"/>
      <c r="X42" s="74"/>
      <c r="Y42" s="74"/>
      <c r="Z42" s="74"/>
    </row>
    <row r="43" spans="1:26" x14ac:dyDescent="0.3">
      <c r="A43" s="66">
        <f t="shared" si="7"/>
        <v>1993.5999999999967</v>
      </c>
      <c r="B43" s="67">
        <f>LOOKUP(A43+0.01,AmountsB!$A$4:$A$103,AmountsB!$B$4:$B$103)*0.1*$A$2</f>
        <v>0</v>
      </c>
      <c r="C43" s="68">
        <f t="shared" si="4"/>
        <v>0</v>
      </c>
      <c r="D43" s="67">
        <f t="array" ref="D43">SUM($B$7:$B38*$F$1009*EXP(-$F$1009*($A43-$A$7:$A38)))*$F$1010</f>
        <v>0</v>
      </c>
      <c r="E43" s="67">
        <f t="shared" si="1"/>
        <v>0</v>
      </c>
      <c r="F43" s="70">
        <f t="shared" si="8"/>
        <v>0</v>
      </c>
      <c r="G43" s="67">
        <f>E43/'Lookup Tables'!$C$48</f>
        <v>0</v>
      </c>
      <c r="H43" s="70" t="e">
        <f t="shared" si="2"/>
        <v>#DIV/0!</v>
      </c>
      <c r="I43" s="71">
        <f t="shared" si="9"/>
        <v>0</v>
      </c>
      <c r="J43" s="35">
        <f t="shared" si="0"/>
        <v>2030</v>
      </c>
      <c r="K43" s="75">
        <f>$G411</f>
        <v>117.90896860598043</v>
      </c>
      <c r="L43" s="74"/>
      <c r="M43" s="74"/>
      <c r="N43" s="74"/>
      <c r="O43" s="74"/>
      <c r="P43" s="74"/>
      <c r="Q43" s="74"/>
      <c r="R43" s="74"/>
      <c r="S43" s="74"/>
      <c r="T43" s="74"/>
      <c r="U43" s="74"/>
      <c r="V43" s="74"/>
      <c r="W43" s="74"/>
      <c r="X43" s="74"/>
      <c r="Y43" s="74"/>
      <c r="Z43" s="74"/>
    </row>
    <row r="44" spans="1:26" x14ac:dyDescent="0.3">
      <c r="A44" s="66">
        <f t="shared" si="7"/>
        <v>1993.6999999999966</v>
      </c>
      <c r="B44" s="67">
        <f>LOOKUP(A44+0.01,AmountsB!$A$4:$A$103,AmountsB!$B$4:$B$103)*0.1*$A$2</f>
        <v>0</v>
      </c>
      <c r="C44" s="68">
        <f t="shared" si="4"/>
        <v>0</v>
      </c>
      <c r="D44" s="67">
        <f t="array" ref="D44">SUM($B$7:$B39*$F$1009*EXP(-$F$1009*($A44-$A$7:$A39)))*$F$1010</f>
        <v>0</v>
      </c>
      <c r="E44" s="67">
        <f t="shared" si="1"/>
        <v>0</v>
      </c>
      <c r="F44" s="70">
        <f t="shared" si="8"/>
        <v>0</v>
      </c>
      <c r="G44" s="67">
        <f>E44/'Lookup Tables'!$C$48</f>
        <v>0</v>
      </c>
      <c r="H44" s="70" t="e">
        <f t="shared" si="2"/>
        <v>#DIV/0!</v>
      </c>
      <c r="I44" s="71">
        <f t="shared" si="9"/>
        <v>0</v>
      </c>
      <c r="J44" s="35">
        <f t="shared" si="0"/>
        <v>2031</v>
      </c>
      <c r="K44" s="75">
        <f>$G421</f>
        <v>109.93759363970752</v>
      </c>
      <c r="L44" s="74"/>
      <c r="M44" s="74"/>
      <c r="N44" s="74"/>
      <c r="O44" s="74"/>
      <c r="P44" s="74"/>
      <c r="Q44" s="74"/>
      <c r="R44" s="74"/>
      <c r="S44" s="74"/>
      <c r="T44" s="74"/>
      <c r="U44" s="74"/>
      <c r="V44" s="74"/>
      <c r="W44" s="74"/>
      <c r="X44" s="74"/>
      <c r="Y44" s="74"/>
      <c r="Z44" s="74"/>
    </row>
    <row r="45" spans="1:26" x14ac:dyDescent="0.3">
      <c r="A45" s="66">
        <f t="shared" si="7"/>
        <v>1993.7999999999965</v>
      </c>
      <c r="B45" s="67">
        <f>LOOKUP(A45+0.01,AmountsB!$A$4:$A$103,AmountsB!$B$4:$B$103)*0.1*$A$2</f>
        <v>0</v>
      </c>
      <c r="C45" s="68">
        <f t="shared" si="4"/>
        <v>0</v>
      </c>
      <c r="D45" s="67">
        <f t="array" ref="D45">SUM($B$7:$B40*$F$1009*EXP(-$F$1009*($A45-$A$7:$A40)))*$F$1010</f>
        <v>0</v>
      </c>
      <c r="E45" s="67">
        <f t="shared" si="1"/>
        <v>0</v>
      </c>
      <c r="F45" s="70">
        <f t="shared" si="8"/>
        <v>0</v>
      </c>
      <c r="G45" s="67">
        <f>E45/'Lookup Tables'!$C$48</f>
        <v>0</v>
      </c>
      <c r="H45" s="70" t="e">
        <f t="shared" si="2"/>
        <v>#DIV/0!</v>
      </c>
      <c r="I45" s="71">
        <f t="shared" si="9"/>
        <v>0</v>
      </c>
      <c r="J45" s="35">
        <f t="shared" si="0"/>
        <v>2032</v>
      </c>
      <c r="K45" s="75">
        <f>$G431</f>
        <v>102.50513288500134</v>
      </c>
      <c r="L45" s="74"/>
      <c r="M45" s="74"/>
      <c r="N45" s="74"/>
      <c r="O45" s="74"/>
      <c r="P45" s="74"/>
      <c r="Q45" s="74"/>
      <c r="R45" s="74"/>
      <c r="S45" s="74"/>
      <c r="T45" s="74"/>
      <c r="U45" s="74"/>
      <c r="V45" s="74"/>
      <c r="W45" s="74"/>
      <c r="X45" s="74"/>
      <c r="Y45" s="74"/>
      <c r="Z45" s="74"/>
    </row>
    <row r="46" spans="1:26" x14ac:dyDescent="0.3">
      <c r="A46" s="66">
        <f t="shared" si="7"/>
        <v>1993.8999999999965</v>
      </c>
      <c r="B46" s="67">
        <f>LOOKUP(A46+0.01,AmountsB!$A$4:$A$103,AmountsB!$B$4:$B$103)*0.1*$A$2</f>
        <v>0</v>
      </c>
      <c r="C46" s="68">
        <f t="shared" si="4"/>
        <v>0</v>
      </c>
      <c r="D46" s="67">
        <f t="array" ref="D46">SUM($B$7:$B41*$F$1009*EXP(-$F$1009*($A46-$A$7:$A41)))*$F$1010</f>
        <v>0</v>
      </c>
      <c r="E46" s="67">
        <f t="shared" si="1"/>
        <v>0</v>
      </c>
      <c r="F46" s="70">
        <f t="shared" si="8"/>
        <v>0</v>
      </c>
      <c r="G46" s="67">
        <f>E46/'Lookup Tables'!$C$48</f>
        <v>0</v>
      </c>
      <c r="H46" s="70" t="e">
        <f t="shared" si="2"/>
        <v>#DIV/0!</v>
      </c>
      <c r="I46" s="71">
        <f t="shared" si="9"/>
        <v>0</v>
      </c>
      <c r="J46" s="35">
        <f t="shared" si="0"/>
        <v>2033</v>
      </c>
      <c r="K46" s="75">
        <f>$G441</f>
        <v>95.575152410619353</v>
      </c>
      <c r="L46" s="74"/>
      <c r="M46" s="74"/>
      <c r="N46" s="74"/>
      <c r="O46" s="74"/>
      <c r="P46" s="74"/>
      <c r="Q46" s="74"/>
      <c r="R46" s="74"/>
      <c r="S46" s="74"/>
      <c r="T46" s="74"/>
      <c r="U46" s="74"/>
      <c r="V46" s="74"/>
      <c r="W46" s="74"/>
      <c r="X46" s="74"/>
      <c r="Y46" s="74"/>
      <c r="Z46" s="74"/>
    </row>
    <row r="47" spans="1:26" x14ac:dyDescent="0.3">
      <c r="A47" s="66">
        <f t="shared" si="7"/>
        <v>1993.9999999999964</v>
      </c>
      <c r="B47" s="67">
        <f>LOOKUP(A47+0.01,AmountsB!$A$4:$A$103,AmountsB!$B$4:$B$103)*0.1*$A$2</f>
        <v>0</v>
      </c>
      <c r="C47" s="68">
        <f t="shared" si="4"/>
        <v>0</v>
      </c>
      <c r="D47" s="67">
        <f t="array" ref="D47">SUM($B$7:$B42*$F$1009*EXP(-$F$1009*($A47-$A$7:$A42)))*$F$1010</f>
        <v>0</v>
      </c>
      <c r="E47" s="67">
        <f t="shared" si="1"/>
        <v>0</v>
      </c>
      <c r="F47" s="70">
        <f t="shared" si="8"/>
        <v>0</v>
      </c>
      <c r="G47" s="67">
        <f>E47/'Lookup Tables'!$C$48</f>
        <v>0</v>
      </c>
      <c r="H47" s="70" t="e">
        <f t="shared" si="2"/>
        <v>#DIV/0!</v>
      </c>
      <c r="I47" s="71">
        <f t="shared" si="9"/>
        <v>0</v>
      </c>
      <c r="J47" s="35">
        <f t="shared" si="0"/>
        <v>2034</v>
      </c>
      <c r="K47" s="75">
        <f>$G451</f>
        <v>89.113681444236235</v>
      </c>
      <c r="L47" s="74"/>
      <c r="M47" s="74"/>
      <c r="N47" s="74"/>
      <c r="O47" s="74"/>
      <c r="P47" s="74"/>
      <c r="Q47" s="74"/>
      <c r="R47" s="74"/>
      <c r="S47" s="74"/>
      <c r="T47" s="74"/>
      <c r="U47" s="74"/>
      <c r="V47" s="74"/>
      <c r="W47" s="74"/>
      <c r="X47" s="74"/>
      <c r="Y47" s="74"/>
      <c r="Z47" s="74"/>
    </row>
    <row r="48" spans="1:26" x14ac:dyDescent="0.3">
      <c r="A48" s="66">
        <f t="shared" si="7"/>
        <v>1994.0999999999963</v>
      </c>
      <c r="B48" s="67">
        <f>LOOKUP(A48+0.01,AmountsB!$A$4:$A$103,AmountsB!$B$4:$B$103)*0.1*$A$2</f>
        <v>0</v>
      </c>
      <c r="C48" s="68">
        <f t="shared" si="4"/>
        <v>0</v>
      </c>
      <c r="D48" s="67">
        <f t="array" ref="D48">SUM($B$7:$B43*$F$1009*EXP(-$F$1009*($A48-$A$7:$A43)))*$F$1010</f>
        <v>0</v>
      </c>
      <c r="E48" s="67">
        <f t="shared" si="1"/>
        <v>0</v>
      </c>
      <c r="F48" s="70">
        <f t="shared" si="8"/>
        <v>0</v>
      </c>
      <c r="G48" s="67">
        <f>E48/'Lookup Tables'!$C$48</f>
        <v>0</v>
      </c>
      <c r="H48" s="70" t="e">
        <f t="shared" si="2"/>
        <v>#DIV/0!</v>
      </c>
      <c r="I48" s="71">
        <f t="shared" si="9"/>
        <v>0</v>
      </c>
      <c r="J48" s="35">
        <f t="shared" si="0"/>
        <v>2035</v>
      </c>
      <c r="K48" s="75">
        <f>$G461</f>
        <v>83.089045847678548</v>
      </c>
      <c r="L48" s="74"/>
      <c r="M48" s="74"/>
      <c r="N48" s="74"/>
      <c r="O48" s="74"/>
      <c r="P48" s="74"/>
      <c r="Q48" s="74"/>
      <c r="R48" s="74"/>
      <c r="S48" s="74"/>
      <c r="T48" s="74"/>
      <c r="U48" s="74"/>
      <c r="V48" s="74"/>
      <c r="W48" s="74"/>
      <c r="X48" s="74"/>
      <c r="Y48" s="74"/>
      <c r="Z48" s="74"/>
    </row>
    <row r="49" spans="1:26" x14ac:dyDescent="0.3">
      <c r="A49" s="66">
        <f t="shared" si="7"/>
        <v>1994.1999999999962</v>
      </c>
      <c r="B49" s="67">
        <f>LOOKUP(A49+0.01,AmountsB!$A$4:$A$103,AmountsB!$B$4:$B$103)*0.1*$A$2</f>
        <v>0</v>
      </c>
      <c r="C49" s="68">
        <f t="shared" si="4"/>
        <v>0</v>
      </c>
      <c r="D49" s="67">
        <f t="array" ref="D49">SUM($B$7:$B44*$F$1009*EXP(-$F$1009*($A49-$A$7:$A44)))*$F$1010</f>
        <v>0</v>
      </c>
      <c r="E49" s="67">
        <f t="shared" si="1"/>
        <v>0</v>
      </c>
      <c r="F49" s="70">
        <f t="shared" si="8"/>
        <v>0</v>
      </c>
      <c r="G49" s="67">
        <f>E49/'Lookup Tables'!$C$48</f>
        <v>0</v>
      </c>
      <c r="H49" s="70" t="e">
        <f t="shared" si="2"/>
        <v>#DIV/0!</v>
      </c>
      <c r="I49" s="71">
        <f t="shared" si="9"/>
        <v>0</v>
      </c>
      <c r="J49" s="35">
        <f t="shared" si="0"/>
        <v>2036</v>
      </c>
      <c r="K49" s="75">
        <f>$G471</f>
        <v>77.471712850262364</v>
      </c>
      <c r="L49" s="74"/>
      <c r="M49" s="74"/>
      <c r="N49" s="74"/>
      <c r="O49" s="74"/>
      <c r="P49" s="74"/>
      <c r="Q49" s="74"/>
      <c r="R49" s="74"/>
      <c r="S49" s="74"/>
      <c r="T49" s="74"/>
      <c r="U49" s="74"/>
      <c r="V49" s="74"/>
      <c r="W49" s="74"/>
      <c r="X49" s="74"/>
      <c r="Y49" s="74"/>
      <c r="Z49" s="74"/>
    </row>
    <row r="50" spans="1:26" x14ac:dyDescent="0.3">
      <c r="A50" s="66">
        <f t="shared" si="7"/>
        <v>1994.2999999999961</v>
      </c>
      <c r="B50" s="67">
        <f>LOOKUP(A50+0.01,AmountsB!$A$4:$A$103,AmountsB!$B$4:$B$103)*0.1*$A$2</f>
        <v>0</v>
      </c>
      <c r="C50" s="68">
        <f t="shared" si="4"/>
        <v>0</v>
      </c>
      <c r="D50" s="67">
        <f t="array" ref="D50">SUM($B$7:$B45*$F$1009*EXP(-$F$1009*($A50-$A$7:$A45)))*$F$1010</f>
        <v>0</v>
      </c>
      <c r="E50" s="67">
        <f t="shared" si="1"/>
        <v>0</v>
      </c>
      <c r="F50" s="70">
        <f t="shared" si="8"/>
        <v>0</v>
      </c>
      <c r="G50" s="67">
        <f>E50/'Lookup Tables'!$C$48</f>
        <v>0</v>
      </c>
      <c r="H50" s="70" t="e">
        <f t="shared" si="2"/>
        <v>#DIV/0!</v>
      </c>
      <c r="I50" s="71">
        <f t="shared" si="9"/>
        <v>0</v>
      </c>
      <c r="J50" s="35">
        <f t="shared" si="0"/>
        <v>2037</v>
      </c>
      <c r="K50" s="75">
        <f>$G481</f>
        <v>72.23414627911751</v>
      </c>
      <c r="L50" s="74"/>
      <c r="M50" s="74"/>
      <c r="N50" s="74"/>
      <c r="O50" s="74"/>
      <c r="P50" s="74"/>
      <c r="Q50" s="74"/>
      <c r="R50" s="74"/>
      <c r="S50" s="74"/>
      <c r="T50" s="74"/>
      <c r="U50" s="74"/>
      <c r="V50" s="74"/>
      <c r="W50" s="74"/>
      <c r="X50" s="74"/>
      <c r="Y50" s="74"/>
      <c r="Z50" s="74"/>
    </row>
    <row r="51" spans="1:26" x14ac:dyDescent="0.3">
      <c r="A51" s="66">
        <f t="shared" si="7"/>
        <v>1994.399999999996</v>
      </c>
      <c r="B51" s="67">
        <f>LOOKUP(A51+0.01,AmountsB!$A$4:$A$103,AmountsB!$B$4:$B$103)*0.1*$A$2</f>
        <v>0</v>
      </c>
      <c r="C51" s="68">
        <f t="shared" si="4"/>
        <v>0</v>
      </c>
      <c r="D51" s="67">
        <f t="array" ref="D51">SUM($B$7:$B46*$F$1009*EXP(-$F$1009*($A51-$A$7:$A46)))*$F$1010</f>
        <v>0</v>
      </c>
      <c r="E51" s="67">
        <f t="shared" si="1"/>
        <v>0</v>
      </c>
      <c r="F51" s="70">
        <f t="shared" si="8"/>
        <v>0</v>
      </c>
      <c r="G51" s="67">
        <f>E51/'Lookup Tables'!$C$48</f>
        <v>0</v>
      </c>
      <c r="H51" s="70" t="e">
        <f t="shared" si="2"/>
        <v>#DIV/0!</v>
      </c>
      <c r="I51" s="71">
        <f t="shared" si="9"/>
        <v>0</v>
      </c>
      <c r="J51" s="35">
        <f t="shared" si="0"/>
        <v>2038</v>
      </c>
      <c r="K51" s="75">
        <f>$G491</f>
        <v>67.350671576835666</v>
      </c>
      <c r="L51" s="74"/>
      <c r="M51" s="74"/>
      <c r="N51" s="74"/>
      <c r="O51" s="74"/>
      <c r="P51" s="74"/>
      <c r="Q51" s="74"/>
      <c r="R51" s="74"/>
      <c r="S51" s="74"/>
      <c r="T51" s="74"/>
      <c r="U51" s="74"/>
      <c r="V51" s="74"/>
      <c r="W51" s="74"/>
      <c r="X51" s="74"/>
      <c r="Y51" s="74"/>
      <c r="Z51" s="74"/>
    </row>
    <row r="52" spans="1:26" x14ac:dyDescent="0.3">
      <c r="A52" s="66">
        <f t="shared" si="7"/>
        <v>1994.4999999999959</v>
      </c>
      <c r="B52" s="67">
        <f>LOOKUP(A52+0.01,AmountsB!$A$4:$A$103,AmountsB!$B$4:$B$103)*0.1*$A$2</f>
        <v>0</v>
      </c>
      <c r="C52" s="68">
        <f t="shared" si="4"/>
        <v>0</v>
      </c>
      <c r="D52" s="67">
        <f t="array" ref="D52">SUM($B$7:$B47*$F$1009*EXP(-$F$1009*($A52-$A$7:$A47)))*$F$1010</f>
        <v>0</v>
      </c>
      <c r="E52" s="67">
        <f t="shared" si="1"/>
        <v>0</v>
      </c>
      <c r="F52" s="70">
        <f t="shared" si="8"/>
        <v>0</v>
      </c>
      <c r="G52" s="67">
        <f>E52/'Lookup Tables'!$C$48</f>
        <v>0</v>
      </c>
      <c r="H52" s="70" t="e">
        <f t="shared" si="2"/>
        <v>#DIV/0!</v>
      </c>
      <c r="I52" s="71">
        <f t="shared" si="9"/>
        <v>0</v>
      </c>
      <c r="J52" s="35">
        <f t="shared" si="0"/>
        <v>2039</v>
      </c>
      <c r="K52" s="75">
        <f>$G501</f>
        <v>62.797349944760782</v>
      </c>
      <c r="L52" s="74"/>
      <c r="M52" s="74"/>
      <c r="N52" s="74"/>
      <c r="O52" s="74"/>
      <c r="P52" s="74"/>
      <c r="Q52" s="74"/>
      <c r="R52" s="74"/>
      <c r="S52" s="74"/>
      <c r="T52" s="74"/>
      <c r="U52" s="74"/>
      <c r="V52" s="74"/>
      <c r="W52" s="74"/>
      <c r="X52" s="74"/>
      <c r="Y52" s="74"/>
      <c r="Z52" s="74"/>
    </row>
    <row r="53" spans="1:26" x14ac:dyDescent="0.3">
      <c r="A53" s="66">
        <f t="shared" si="7"/>
        <v>1994.5999999999958</v>
      </c>
      <c r="B53" s="67">
        <f>LOOKUP(A53+0.01,AmountsB!$A$4:$A$103,AmountsB!$B$4:$B$103)*0.1*$A$2</f>
        <v>0</v>
      </c>
      <c r="C53" s="68">
        <f t="shared" si="4"/>
        <v>0</v>
      </c>
      <c r="D53" s="67">
        <f t="array" ref="D53">SUM($B$7:$B48*$F$1009*EXP(-$F$1009*($A53-$A$7:$A48)))*$F$1010</f>
        <v>0</v>
      </c>
      <c r="E53" s="67">
        <f t="shared" si="1"/>
        <v>0</v>
      </c>
      <c r="F53" s="70">
        <f t="shared" si="8"/>
        <v>0</v>
      </c>
      <c r="G53" s="67">
        <f>E53/'Lookup Tables'!$C$48</f>
        <v>0</v>
      </c>
      <c r="H53" s="70" t="e">
        <f t="shared" si="2"/>
        <v>#DIV/0!</v>
      </c>
      <c r="I53" s="71">
        <f t="shared" si="9"/>
        <v>0</v>
      </c>
      <c r="J53" s="35">
        <f t="shared" si="0"/>
        <v>2040</v>
      </c>
      <c r="K53" s="75">
        <f>$G511</f>
        <v>58.551860994969836</v>
      </c>
      <c r="L53" s="74"/>
      <c r="M53" s="74"/>
      <c r="N53" s="74"/>
      <c r="O53" s="74"/>
      <c r="P53" s="74"/>
      <c r="Q53" s="74"/>
      <c r="R53" s="74"/>
      <c r="S53" s="74"/>
      <c r="T53" s="74"/>
      <c r="U53" s="74"/>
      <c r="V53" s="74"/>
      <c r="W53" s="74"/>
      <c r="X53" s="74"/>
      <c r="Y53" s="74"/>
      <c r="Z53" s="74"/>
    </row>
    <row r="54" spans="1:26" x14ac:dyDescent="0.3">
      <c r="A54" s="66">
        <f t="shared" si="7"/>
        <v>1994.6999999999957</v>
      </c>
      <c r="B54" s="67">
        <f>LOOKUP(A54+0.01,AmountsB!$A$4:$A$103,AmountsB!$B$4:$B$103)*0.1*$A$2</f>
        <v>0</v>
      </c>
      <c r="C54" s="68">
        <f t="shared" si="4"/>
        <v>0</v>
      </c>
      <c r="D54" s="67">
        <f t="array" ref="D54">SUM($B$7:$B49*$F$1009*EXP(-$F$1009*($A54-$A$7:$A49)))*$F$1010</f>
        <v>0</v>
      </c>
      <c r="E54" s="67">
        <f t="shared" si="1"/>
        <v>0</v>
      </c>
      <c r="F54" s="70">
        <f t="shared" si="8"/>
        <v>0</v>
      </c>
      <c r="G54" s="67">
        <f>E54/'Lookup Tables'!$C$48</f>
        <v>0</v>
      </c>
      <c r="H54" s="70" t="e">
        <f t="shared" si="2"/>
        <v>#DIV/0!</v>
      </c>
      <c r="I54" s="71">
        <f t="shared" si="9"/>
        <v>0</v>
      </c>
      <c r="J54" s="35">
        <f t="shared" si="0"/>
        <v>2041</v>
      </c>
      <c r="K54" s="77">
        <f>$G521</f>
        <v>54.593393335705464</v>
      </c>
      <c r="L54" s="74"/>
      <c r="M54" s="74"/>
      <c r="N54" s="74"/>
      <c r="O54" s="74"/>
      <c r="P54" s="74"/>
      <c r="Q54" s="74"/>
      <c r="R54" s="74"/>
      <c r="S54" s="74"/>
      <c r="T54" s="74"/>
      <c r="U54" s="74"/>
      <c r="V54" s="74"/>
      <c r="W54" s="74"/>
      <c r="X54" s="74"/>
      <c r="Y54" s="74"/>
      <c r="Z54" s="74"/>
    </row>
    <row r="55" spans="1:26" x14ac:dyDescent="0.3">
      <c r="A55" s="66">
        <f t="shared" si="7"/>
        <v>1994.7999999999956</v>
      </c>
      <c r="B55" s="67">
        <f>LOOKUP(A55+0.01,AmountsB!$A$4:$A$103,AmountsB!$B$4:$B$103)*0.1*$A$2</f>
        <v>0</v>
      </c>
      <c r="C55" s="68">
        <f t="shared" si="4"/>
        <v>0</v>
      </c>
      <c r="D55" s="67">
        <f t="array" ref="D55">SUM($B$7:$B50*$F$1009*EXP(-$F$1009*($A55-$A$7:$A50)))*$F$1010</f>
        <v>0</v>
      </c>
      <c r="E55" s="67">
        <f t="shared" si="1"/>
        <v>0</v>
      </c>
      <c r="F55" s="70">
        <f t="shared" si="8"/>
        <v>0</v>
      </c>
      <c r="G55" s="67">
        <f>E55/'Lookup Tables'!$C$48</f>
        <v>0</v>
      </c>
      <c r="H55" s="70" t="e">
        <f t="shared" si="2"/>
        <v>#DIV/0!</v>
      </c>
      <c r="I55" s="71">
        <f t="shared" si="9"/>
        <v>0</v>
      </c>
      <c r="J55" s="35">
        <f t="shared" si="0"/>
        <v>2042</v>
      </c>
      <c r="K55" s="77">
        <f>$G531</f>
        <v>50.902542553909633</v>
      </c>
      <c r="L55" s="74"/>
      <c r="M55" s="74"/>
      <c r="N55" s="74"/>
      <c r="O55" s="74"/>
      <c r="P55" s="74"/>
      <c r="Q55" s="74"/>
      <c r="R55" s="74"/>
      <c r="S55" s="74"/>
      <c r="T55" s="74"/>
      <c r="U55" s="74"/>
      <c r="V55" s="74"/>
      <c r="W55" s="74"/>
      <c r="X55" s="74"/>
      <c r="Y55" s="74"/>
      <c r="Z55" s="74"/>
    </row>
    <row r="56" spans="1:26" x14ac:dyDescent="0.3">
      <c r="A56" s="66">
        <f t="shared" si="7"/>
        <v>1994.8999999999955</v>
      </c>
      <c r="B56" s="67">
        <f>LOOKUP(A56+0.01,AmountsB!$A$4:$A$103,AmountsB!$B$4:$B$103)*0.1*$A$2</f>
        <v>0</v>
      </c>
      <c r="C56" s="68">
        <f t="shared" si="4"/>
        <v>0</v>
      </c>
      <c r="D56" s="67">
        <f t="array" ref="D56">SUM($B$7:$B51*$F$1009*EXP(-$F$1009*($A56-$A$7:$A51)))*$F$1010</f>
        <v>0</v>
      </c>
      <c r="E56" s="67">
        <f t="shared" si="1"/>
        <v>0</v>
      </c>
      <c r="F56" s="70">
        <f t="shared" si="8"/>
        <v>0</v>
      </c>
      <c r="G56" s="67">
        <f>E56/'Lookup Tables'!$C$48</f>
        <v>0</v>
      </c>
      <c r="H56" s="70" t="e">
        <f t="shared" si="2"/>
        <v>#DIV/0!</v>
      </c>
      <c r="I56" s="71">
        <f t="shared" si="9"/>
        <v>0</v>
      </c>
      <c r="J56" s="35">
        <f t="shared" si="0"/>
        <v>2043</v>
      </c>
      <c r="K56" s="77">
        <f>$G541</f>
        <v>47.461216094767892</v>
      </c>
      <c r="L56" s="74"/>
      <c r="M56" s="74"/>
      <c r="N56" s="74"/>
      <c r="O56" s="74"/>
      <c r="P56" s="74"/>
      <c r="Q56" s="74"/>
      <c r="R56" s="74"/>
      <c r="S56" s="74"/>
      <c r="T56" s="74"/>
      <c r="U56" s="74"/>
      <c r="V56" s="74"/>
      <c r="W56" s="74"/>
      <c r="X56" s="74"/>
      <c r="Y56" s="74"/>
      <c r="Z56" s="74"/>
    </row>
    <row r="57" spans="1:26" x14ac:dyDescent="0.3">
      <c r="A57" s="66">
        <f t="shared" si="7"/>
        <v>1994.9999999999955</v>
      </c>
      <c r="B57" s="67">
        <f>LOOKUP(A57+0.01,AmountsB!$A$4:$A$103,AmountsB!$B$4:$B$103)*0.1*$A$2</f>
        <v>0</v>
      </c>
      <c r="C57" s="68">
        <f t="shared" si="4"/>
        <v>0</v>
      </c>
      <c r="D57" s="67">
        <f t="array" ref="D57">SUM($B$7:$B52*$F$1009*EXP(-$F$1009*($A57-$A$7:$A52)))*$F$1010</f>
        <v>0</v>
      </c>
      <c r="E57" s="67">
        <f t="shared" si="1"/>
        <v>0</v>
      </c>
      <c r="F57" s="70">
        <f t="shared" si="8"/>
        <v>0</v>
      </c>
      <c r="G57" s="67">
        <f>E57/'Lookup Tables'!$C$48</f>
        <v>0</v>
      </c>
      <c r="H57" s="70" t="e">
        <f t="shared" si="2"/>
        <v>#DIV/0!</v>
      </c>
      <c r="I57" s="71">
        <f t="shared" si="9"/>
        <v>0</v>
      </c>
      <c r="J57" s="35">
        <f t="shared" si="0"/>
        <v>2044</v>
      </c>
      <c r="K57" s="77">
        <f>$G551</f>
        <v>44.252544571985119</v>
      </c>
      <c r="L57" s="74"/>
      <c r="M57" s="74"/>
      <c r="N57" s="74"/>
      <c r="O57" s="74"/>
      <c r="P57" s="74"/>
      <c r="Q57" s="74"/>
      <c r="R57" s="74"/>
      <c r="S57" s="74"/>
      <c r="T57" s="74"/>
      <c r="U57" s="74"/>
      <c r="V57" s="74"/>
      <c r="W57" s="74"/>
      <c r="X57" s="74"/>
      <c r="Y57" s="74"/>
      <c r="Z57" s="74"/>
    </row>
    <row r="58" spans="1:26" x14ac:dyDescent="0.3">
      <c r="A58" s="66">
        <f t="shared" si="7"/>
        <v>1995.0999999999954</v>
      </c>
      <c r="B58" s="67">
        <f>LOOKUP(A58+0.01,AmountsB!$A$4:$A$103,AmountsB!$B$4:$B$103)*0.1*$A$2</f>
        <v>0</v>
      </c>
      <c r="C58" s="68">
        <f t="shared" si="4"/>
        <v>0</v>
      </c>
      <c r="D58" s="67">
        <f t="array" ref="D58">SUM($B$7:$B53*$F$1009*EXP(-$F$1009*($A58-$A$7:$A53)))*$F$1010</f>
        <v>0</v>
      </c>
      <c r="E58" s="67">
        <f t="shared" si="1"/>
        <v>0</v>
      </c>
      <c r="F58" s="70">
        <f t="shared" si="8"/>
        <v>0</v>
      </c>
      <c r="G58" s="67">
        <f>E58/'Lookup Tables'!$C$48</f>
        <v>0</v>
      </c>
      <c r="H58" s="70" t="e">
        <f t="shared" si="2"/>
        <v>#DIV/0!</v>
      </c>
      <c r="I58" s="71">
        <f t="shared" si="9"/>
        <v>0</v>
      </c>
      <c r="J58" s="35">
        <f t="shared" si="0"/>
        <v>2045</v>
      </c>
      <c r="K58" s="77">
        <f>$G561</f>
        <v>41.260799074034061</v>
      </c>
      <c r="L58" s="74"/>
      <c r="M58" s="74"/>
      <c r="N58" s="74"/>
      <c r="O58" s="74"/>
      <c r="P58" s="74"/>
      <c r="Q58" s="74"/>
      <c r="R58" s="74"/>
      <c r="S58" s="74"/>
      <c r="T58" s="74"/>
      <c r="U58" s="74"/>
      <c r="V58" s="74"/>
      <c r="W58" s="74"/>
      <c r="X58" s="74"/>
      <c r="Y58" s="74"/>
      <c r="Z58" s="74"/>
    </row>
    <row r="59" spans="1:26" x14ac:dyDescent="0.3">
      <c r="A59" s="66">
        <f t="shared" si="7"/>
        <v>1995.1999999999953</v>
      </c>
      <c r="B59" s="67">
        <f>LOOKUP(A59+0.01,AmountsB!$A$4:$A$103,AmountsB!$B$4:$B$103)*0.1*$A$2</f>
        <v>0</v>
      </c>
      <c r="C59" s="68">
        <f t="shared" si="4"/>
        <v>0</v>
      </c>
      <c r="D59" s="67">
        <f t="array" ref="D59">SUM($B$7:$B54*$F$1009*EXP(-$F$1009*($A59-$A$7:$A54)))*$F$1010</f>
        <v>0</v>
      </c>
      <c r="E59" s="67">
        <f t="shared" si="1"/>
        <v>0</v>
      </c>
      <c r="F59" s="70">
        <f t="shared" si="8"/>
        <v>0</v>
      </c>
      <c r="G59" s="67">
        <f>E59/'Lookup Tables'!$C$48</f>
        <v>0</v>
      </c>
      <c r="H59" s="70" t="e">
        <f t="shared" si="2"/>
        <v>#DIV/0!</v>
      </c>
      <c r="I59" s="71">
        <f t="shared" si="9"/>
        <v>0</v>
      </c>
      <c r="J59" s="35">
        <f t="shared" si="0"/>
        <v>2046</v>
      </c>
      <c r="K59" s="77">
        <f>$G571</f>
        <v>38.471314061012897</v>
      </c>
      <c r="L59" s="74"/>
      <c r="M59" s="74"/>
      <c r="N59" s="74"/>
      <c r="O59" s="74"/>
      <c r="P59" s="74"/>
      <c r="Q59" s="74"/>
      <c r="R59" s="74"/>
      <c r="S59" s="74"/>
      <c r="T59" s="74"/>
      <c r="U59" s="74"/>
      <c r="V59" s="74"/>
      <c r="W59" s="74"/>
      <c r="X59" s="74"/>
      <c r="Y59" s="74"/>
      <c r="Z59" s="74"/>
    </row>
    <row r="60" spans="1:26" x14ac:dyDescent="0.3">
      <c r="A60" s="66">
        <f t="shared" si="7"/>
        <v>1995.2999999999952</v>
      </c>
      <c r="B60" s="67">
        <f>LOOKUP(A60+0.01,AmountsB!$A$4:$A$103,AmountsB!$B$4:$B$103)*0.1*$A$2</f>
        <v>0</v>
      </c>
      <c r="C60" s="68">
        <f t="shared" si="4"/>
        <v>0</v>
      </c>
      <c r="D60" s="67">
        <f t="array" ref="D60">SUM($B$7:$B55*$F$1009*EXP(-$F$1009*($A60-$A$7:$A55)))*$F$1010</f>
        <v>0</v>
      </c>
      <c r="E60" s="67">
        <f t="shared" si="1"/>
        <v>0</v>
      </c>
      <c r="F60" s="70">
        <f t="shared" si="8"/>
        <v>0</v>
      </c>
      <c r="G60" s="67">
        <f>E60/'Lookup Tables'!$C$48</f>
        <v>0</v>
      </c>
      <c r="H60" s="70" t="e">
        <f t="shared" si="2"/>
        <v>#DIV/0!</v>
      </c>
      <c r="I60" s="71">
        <f t="shared" si="9"/>
        <v>0</v>
      </c>
      <c r="J60" s="35">
        <f t="shared" si="0"/>
        <v>2047</v>
      </c>
      <c r="K60" s="77">
        <f>$G581</f>
        <v>35.870415474151493</v>
      </c>
      <c r="L60" s="74"/>
      <c r="M60" s="74"/>
      <c r="N60" s="74"/>
      <c r="O60" s="74"/>
      <c r="P60" s="74"/>
      <c r="Q60" s="74"/>
      <c r="R60" s="74"/>
      <c r="S60" s="74"/>
      <c r="T60" s="74"/>
      <c r="U60" s="74"/>
      <c r="V60" s="74"/>
      <c r="W60" s="74"/>
      <c r="X60" s="74"/>
      <c r="Y60" s="74"/>
      <c r="Z60" s="74"/>
    </row>
    <row r="61" spans="1:26" x14ac:dyDescent="0.3">
      <c r="A61" s="66">
        <f t="shared" si="7"/>
        <v>1995.3999999999951</v>
      </c>
      <c r="B61" s="67">
        <f>LOOKUP(A61+0.01,AmountsB!$A$4:$A$103,AmountsB!$B$4:$B$103)*0.1*$A$2</f>
        <v>0</v>
      </c>
      <c r="C61" s="68">
        <f t="shared" si="4"/>
        <v>0</v>
      </c>
      <c r="D61" s="67">
        <f t="array" ref="D61">SUM($B$7:$B56*$F$1009*EXP(-$F$1009*($A61-$A$7:$A56)))*$F$1010</f>
        <v>0</v>
      </c>
      <c r="E61" s="67">
        <f t="shared" si="1"/>
        <v>0</v>
      </c>
      <c r="F61" s="70">
        <f t="shared" si="8"/>
        <v>0</v>
      </c>
      <c r="G61" s="67">
        <f>E61/'Lookup Tables'!$C$48</f>
        <v>0</v>
      </c>
      <c r="H61" s="70" t="e">
        <f t="shared" si="2"/>
        <v>#DIV/0!</v>
      </c>
      <c r="I61" s="71">
        <f t="shared" si="9"/>
        <v>0</v>
      </c>
      <c r="J61" s="35">
        <f t="shared" si="0"/>
        <v>2048</v>
      </c>
      <c r="K61" s="77">
        <f>$G591</f>
        <v>33.445353705559675</v>
      </c>
      <c r="L61" s="74"/>
      <c r="M61" s="74"/>
      <c r="N61" s="74"/>
      <c r="O61" s="74"/>
      <c r="P61" s="74"/>
      <c r="Q61" s="74"/>
      <c r="R61" s="74"/>
      <c r="S61" s="74"/>
      <c r="T61" s="74"/>
      <c r="U61" s="74"/>
      <c r="V61" s="74"/>
      <c r="W61" s="74"/>
      <c r="X61" s="74"/>
      <c r="Y61" s="74"/>
      <c r="Z61" s="74"/>
    </row>
    <row r="62" spans="1:26" x14ac:dyDescent="0.3">
      <c r="A62" s="66">
        <f t="shared" si="7"/>
        <v>1995.499999999995</v>
      </c>
      <c r="B62" s="67">
        <f>LOOKUP(A62+0.01,AmountsB!$A$4:$A$103,AmountsB!$B$4:$B$103)*0.1*$A$2</f>
        <v>0</v>
      </c>
      <c r="C62" s="68">
        <f t="shared" si="4"/>
        <v>0</v>
      </c>
      <c r="D62" s="67">
        <f t="array" ref="D62">SUM($B$7:$B57*$F$1009*EXP(-$F$1009*($A62-$A$7:$A57)))*$F$1010</f>
        <v>0</v>
      </c>
      <c r="E62" s="67">
        <f t="shared" si="1"/>
        <v>0</v>
      </c>
      <c r="F62" s="70">
        <f t="shared" si="8"/>
        <v>0</v>
      </c>
      <c r="G62" s="67">
        <f>E62/'Lookup Tables'!$C$48</f>
        <v>0</v>
      </c>
      <c r="H62" s="70" t="e">
        <f t="shared" si="2"/>
        <v>#DIV/0!</v>
      </c>
      <c r="I62" s="71">
        <f t="shared" si="9"/>
        <v>0</v>
      </c>
      <c r="J62" s="35">
        <f t="shared" si="0"/>
        <v>2049</v>
      </c>
      <c r="K62" s="77">
        <f>$G601</f>
        <v>31.184241099634335</v>
      </c>
      <c r="L62" s="74"/>
      <c r="M62" s="74"/>
      <c r="N62" s="74"/>
      <c r="O62" s="74"/>
      <c r="P62" s="74"/>
      <c r="Q62" s="74"/>
      <c r="R62" s="74"/>
      <c r="S62" s="74"/>
      <c r="T62" s="74"/>
      <c r="U62" s="74"/>
      <c r="V62" s="74"/>
      <c r="W62" s="74"/>
      <c r="X62" s="74"/>
      <c r="Y62" s="74"/>
      <c r="Z62" s="74"/>
    </row>
    <row r="63" spans="1:26" x14ac:dyDescent="0.3">
      <c r="A63" s="66">
        <f t="shared" si="7"/>
        <v>1995.5999999999949</v>
      </c>
      <c r="B63" s="67">
        <f>LOOKUP(A63+0.01,AmountsB!$A$4:$A$103,AmountsB!$B$4:$B$103)*0.1*$A$2</f>
        <v>0</v>
      </c>
      <c r="C63" s="68">
        <f t="shared" si="4"/>
        <v>0</v>
      </c>
      <c r="D63" s="67">
        <f t="array" ref="D63">SUM($B$7:$B58*$F$1009*EXP(-$F$1009*($A63-$A$7:$A58)))*$F$1010</f>
        <v>0</v>
      </c>
      <c r="E63" s="67">
        <f t="shared" si="1"/>
        <v>0</v>
      </c>
      <c r="F63" s="70">
        <f t="shared" si="8"/>
        <v>0</v>
      </c>
      <c r="G63" s="67">
        <f>E63/'Lookup Tables'!$C$48</f>
        <v>0</v>
      </c>
      <c r="H63" s="70" t="e">
        <f t="shared" si="2"/>
        <v>#DIV/0!</v>
      </c>
      <c r="I63" s="71">
        <f t="shared" si="9"/>
        <v>0</v>
      </c>
      <c r="J63" s="35">
        <f t="shared" si="0"/>
        <v>2050</v>
      </c>
      <c r="K63" s="77">
        <f>$G611</f>
        <v>29.075993679757996</v>
      </c>
      <c r="L63" s="74"/>
      <c r="M63" s="74"/>
      <c r="N63" s="74"/>
      <c r="O63" s="74"/>
      <c r="P63" s="74"/>
      <c r="Q63" s="74"/>
      <c r="R63" s="74"/>
      <c r="S63" s="74"/>
      <c r="T63" s="74"/>
      <c r="U63" s="74"/>
      <c r="V63" s="74"/>
      <c r="W63" s="74"/>
      <c r="X63" s="74"/>
      <c r="Y63" s="74"/>
      <c r="Z63" s="74"/>
    </row>
    <row r="64" spans="1:26" x14ac:dyDescent="0.3">
      <c r="A64" s="66">
        <f t="shared" si="7"/>
        <v>1995.6999999999948</v>
      </c>
      <c r="B64" s="67">
        <f>LOOKUP(A64+0.01,AmountsB!$A$4:$A$103,AmountsB!$B$4:$B$103)*0.1*$A$2</f>
        <v>0</v>
      </c>
      <c r="C64" s="68">
        <f t="shared" si="4"/>
        <v>0</v>
      </c>
      <c r="D64" s="67">
        <f t="array" ref="D64">SUM($B$7:$B59*$F$1009*EXP(-$F$1009*($A64-$A$7:$A59)))*$F$1010</f>
        <v>0</v>
      </c>
      <c r="E64" s="67">
        <f t="shared" si="1"/>
        <v>0</v>
      </c>
      <c r="F64" s="70">
        <f t="shared" si="8"/>
        <v>0</v>
      </c>
      <c r="G64" s="67">
        <f>E64/'Lookup Tables'!$C$48</f>
        <v>0</v>
      </c>
      <c r="H64" s="70" t="e">
        <f t="shared" si="2"/>
        <v>#DIV/0!</v>
      </c>
      <c r="I64" s="71">
        <f t="shared" si="9"/>
        <v>0</v>
      </c>
      <c r="J64" s="35">
        <f t="shared" si="0"/>
        <v>2051</v>
      </c>
      <c r="K64" s="77">
        <f>$G621</f>
        <v>27.110276814632471</v>
      </c>
      <c r="L64" s="74"/>
      <c r="M64" s="74"/>
      <c r="N64" s="74"/>
      <c r="O64" s="74"/>
      <c r="P64" s="74"/>
      <c r="Q64" s="74"/>
      <c r="R64" s="74"/>
      <c r="S64" s="74"/>
      <c r="T64" s="74"/>
      <c r="U64" s="74"/>
      <c r="V64" s="74"/>
      <c r="W64" s="74"/>
      <c r="X64" s="74"/>
      <c r="Y64" s="74"/>
      <c r="Z64" s="74"/>
    </row>
    <row r="65" spans="1:26" x14ac:dyDescent="0.3">
      <c r="A65" s="66">
        <f t="shared" si="7"/>
        <v>1995.7999999999947</v>
      </c>
      <c r="B65" s="67">
        <f>LOOKUP(A65+0.01,AmountsB!$A$4:$A$103,AmountsB!$B$4:$B$103)*0.1*$A$2</f>
        <v>0</v>
      </c>
      <c r="C65" s="68">
        <f t="shared" si="4"/>
        <v>0</v>
      </c>
      <c r="D65" s="67">
        <f t="array" ref="D65">SUM($B$7:$B60*$F$1009*EXP(-$F$1009*($A65-$A$7:$A60)))*$F$1010</f>
        <v>0</v>
      </c>
      <c r="E65" s="67">
        <f t="shared" si="1"/>
        <v>0</v>
      </c>
      <c r="F65" s="70">
        <f t="shared" si="8"/>
        <v>0</v>
      </c>
      <c r="G65" s="67">
        <f>E65/'Lookup Tables'!$C$48</f>
        <v>0</v>
      </c>
      <c r="H65" s="70" t="e">
        <f t="shared" si="2"/>
        <v>#DIV/0!</v>
      </c>
      <c r="I65" s="71">
        <f t="shared" si="9"/>
        <v>0</v>
      </c>
      <c r="J65" s="35">
        <f t="shared" si="0"/>
        <v>2052</v>
      </c>
      <c r="K65" s="77">
        <f>$G631</f>
        <v>25.277454557904434</v>
      </c>
      <c r="L65" s="74"/>
      <c r="M65" s="74"/>
      <c r="N65" s="74"/>
      <c r="O65" s="74"/>
      <c r="P65" s="74"/>
      <c r="Q65" s="74"/>
      <c r="R65" s="74"/>
      <c r="S65" s="74"/>
      <c r="T65" s="74"/>
      <c r="U65" s="74"/>
      <c r="V65" s="74"/>
      <c r="W65" s="74"/>
      <c r="X65" s="74"/>
      <c r="Y65" s="74"/>
      <c r="Z65" s="74"/>
    </row>
    <row r="66" spans="1:26" x14ac:dyDescent="0.3">
      <c r="A66" s="66">
        <f t="shared" si="7"/>
        <v>1995.8999999999946</v>
      </c>
      <c r="B66" s="67">
        <f>LOOKUP(A66+0.01,AmountsB!$A$4:$A$103,AmountsB!$B$4:$B$103)*0.1*$A$2</f>
        <v>0</v>
      </c>
      <c r="C66" s="68">
        <f t="shared" si="4"/>
        <v>0</v>
      </c>
      <c r="D66" s="67">
        <f t="array" ref="D66">SUM($B$7:$B61*$F$1009*EXP(-$F$1009*($A66-$A$7:$A61)))*$F$1010</f>
        <v>0</v>
      </c>
      <c r="E66" s="67">
        <f t="shared" si="1"/>
        <v>0</v>
      </c>
      <c r="F66" s="70">
        <f t="shared" si="8"/>
        <v>0</v>
      </c>
      <c r="G66" s="67">
        <f>E66/'Lookup Tables'!$C$48</f>
        <v>0</v>
      </c>
      <c r="H66" s="70" t="e">
        <f t="shared" si="2"/>
        <v>#DIV/0!</v>
      </c>
      <c r="I66" s="71">
        <f t="shared" si="9"/>
        <v>0</v>
      </c>
      <c r="J66" s="35">
        <f t="shared" si="0"/>
        <v>2053</v>
      </c>
      <c r="K66" s="77">
        <f>$G641</f>
        <v>23.56854241274505</v>
      </c>
      <c r="L66" s="74"/>
      <c r="M66" s="74"/>
      <c r="N66" s="74"/>
      <c r="O66" s="74"/>
      <c r="P66" s="74"/>
      <c r="Q66" s="74"/>
      <c r="R66" s="74"/>
      <c r="S66" s="74"/>
      <c r="T66" s="74"/>
      <c r="U66" s="74"/>
      <c r="V66" s="74"/>
      <c r="W66" s="74"/>
      <c r="X66" s="74"/>
      <c r="Y66" s="74"/>
      <c r="Z66" s="74"/>
    </row>
    <row r="67" spans="1:26" x14ac:dyDescent="0.3">
      <c r="A67" s="66">
        <f t="shared" si="7"/>
        <v>1995.9999999999945</v>
      </c>
      <c r="B67" s="67">
        <f>LOOKUP(A67+0.01,AmountsB!$A$4:$A$103,AmountsB!$B$4:$B$103)*0.1*$A$2</f>
        <v>0</v>
      </c>
      <c r="C67" s="68">
        <f t="shared" si="4"/>
        <v>0</v>
      </c>
      <c r="D67" s="67">
        <f t="array" ref="D67">SUM($B$7:$B62*$F$1009*EXP(-$F$1009*($A67-$A$7:$A62)))*$F$1010</f>
        <v>0</v>
      </c>
      <c r="E67" s="67">
        <f t="shared" si="1"/>
        <v>0</v>
      </c>
      <c r="F67" s="70">
        <f t="shared" si="8"/>
        <v>0</v>
      </c>
      <c r="G67" s="67">
        <f>E67/'Lookup Tables'!$C$48</f>
        <v>0</v>
      </c>
      <c r="H67" s="70" t="e">
        <f t="shared" si="2"/>
        <v>#DIV/0!</v>
      </c>
      <c r="I67" s="71">
        <f t="shared" si="9"/>
        <v>0</v>
      </c>
      <c r="J67" s="35">
        <f t="shared" si="0"/>
        <v>2054</v>
      </c>
      <c r="K67" s="77">
        <f>$G651</f>
        <v>21.975163289836114</v>
      </c>
      <c r="L67" s="74"/>
      <c r="M67" s="74"/>
      <c r="N67" s="74"/>
      <c r="O67" s="74"/>
      <c r="P67" s="74"/>
      <c r="Q67" s="74"/>
      <c r="R67" s="74"/>
      <c r="S67" s="74"/>
      <c r="T67" s="74"/>
      <c r="U67" s="74"/>
      <c r="V67" s="74"/>
      <c r="W67" s="74"/>
      <c r="X67" s="74"/>
      <c r="Y67" s="74"/>
      <c r="Z67" s="74"/>
    </row>
    <row r="68" spans="1:26" x14ac:dyDescent="0.3">
      <c r="A68" s="66">
        <f t="shared" si="7"/>
        <v>1996.0999999999945</v>
      </c>
      <c r="B68" s="67">
        <f>LOOKUP(A68+0.01,AmountsB!$A$4:$A$103,AmountsB!$B$4:$B$103)*0.1*$A$2</f>
        <v>0</v>
      </c>
      <c r="C68" s="68">
        <f t="shared" si="4"/>
        <v>0</v>
      </c>
      <c r="D68" s="67">
        <f t="array" ref="D68">SUM($B$7:$B63*$F$1009*EXP(-$F$1009*($A68-$A$7:$A63)))*$F$1010</f>
        <v>0</v>
      </c>
      <c r="E68" s="67">
        <f t="shared" si="1"/>
        <v>0</v>
      </c>
      <c r="F68" s="70">
        <f t="shared" si="8"/>
        <v>0</v>
      </c>
      <c r="G68" s="67">
        <f>E68/'Lookup Tables'!$C$48</f>
        <v>0</v>
      </c>
      <c r="H68" s="70" t="e">
        <f t="shared" si="2"/>
        <v>#DIV/0!</v>
      </c>
      <c r="I68" s="71">
        <f t="shared" si="9"/>
        <v>0</v>
      </c>
      <c r="J68" s="35">
        <f>J67+1</f>
        <v>2055</v>
      </c>
      <c r="K68" s="77">
        <f>$G661</f>
        <v>20.489506442868556</v>
      </c>
      <c r="L68" s="74"/>
      <c r="M68" s="74"/>
      <c r="N68" s="74"/>
      <c r="O68" s="74"/>
      <c r="P68" s="74"/>
      <c r="Q68" s="74"/>
      <c r="R68" s="74"/>
      <c r="S68" s="74"/>
      <c r="T68" s="74"/>
      <c r="U68" s="74"/>
      <c r="V68" s="74"/>
      <c r="W68" s="74"/>
      <c r="X68" s="74"/>
      <c r="Y68" s="74"/>
      <c r="Z68" s="74"/>
    </row>
    <row r="69" spans="1:26" x14ac:dyDescent="0.3">
      <c r="A69" s="66">
        <f t="shared" si="7"/>
        <v>1996.1999999999944</v>
      </c>
      <c r="B69" s="67">
        <f>LOOKUP(A69+0.01,AmountsB!$A$4:$A$103,AmountsB!$B$4:$B$103)*0.1*$A$2</f>
        <v>0</v>
      </c>
      <c r="C69" s="68">
        <f t="shared" si="4"/>
        <v>0</v>
      </c>
      <c r="D69" s="67">
        <f t="array" ref="D69">SUM($B$7:$B64*$F$1009*EXP(-$F$1009*($A69-$A$7:$A64)))*$F$1010</f>
        <v>0</v>
      </c>
      <c r="E69" s="67">
        <f t="shared" si="1"/>
        <v>0</v>
      </c>
      <c r="F69" s="70">
        <f t="shared" si="8"/>
        <v>0</v>
      </c>
      <c r="G69" s="67">
        <f>E69/'Lookup Tables'!$C$48</f>
        <v>0</v>
      </c>
      <c r="H69" s="70" t="e">
        <f t="shared" si="2"/>
        <v>#DIV/0!</v>
      </c>
      <c r="I69" s="71">
        <f t="shared" si="9"/>
        <v>0</v>
      </c>
      <c r="J69" s="35">
        <f t="shared" ref="J69:J102" si="10">J68+1</f>
        <v>2056</v>
      </c>
      <c r="K69" s="77">
        <f>$G671</f>
        <v>19.10428918025497</v>
      </c>
      <c r="L69" s="74"/>
      <c r="M69" s="74"/>
      <c r="N69" s="74"/>
      <c r="O69" s="74"/>
      <c r="P69" s="74"/>
      <c r="Q69" s="74"/>
      <c r="R69" s="74"/>
      <c r="S69" s="74"/>
      <c r="T69" s="74"/>
      <c r="U69" s="74"/>
      <c r="V69" s="74"/>
      <c r="W69" s="74"/>
      <c r="X69" s="74"/>
      <c r="Y69" s="74"/>
      <c r="Z69" s="74"/>
    </row>
    <row r="70" spans="1:26" x14ac:dyDescent="0.3">
      <c r="A70" s="66">
        <f t="shared" si="7"/>
        <v>1996.2999999999943</v>
      </c>
      <c r="B70" s="67">
        <f>LOOKUP(A70+0.01,AmountsB!$A$4:$A$103,AmountsB!$B$4:$B$103)*0.1*$A$2</f>
        <v>0</v>
      </c>
      <c r="C70" s="68">
        <f t="shared" si="4"/>
        <v>0</v>
      </c>
      <c r="D70" s="67">
        <f t="array" ref="D70">SUM($B$7:$B65*$F$1009*EXP(-$F$1009*($A70-$A$7:$A65)))*$F$1010</f>
        <v>0</v>
      </c>
      <c r="E70" s="67">
        <f t="shared" si="1"/>
        <v>0</v>
      </c>
      <c r="F70" s="70">
        <f t="shared" si="8"/>
        <v>0</v>
      </c>
      <c r="G70" s="67">
        <f>E70/'Lookup Tables'!$C$48</f>
        <v>0</v>
      </c>
      <c r="H70" s="70" t="e">
        <f t="shared" si="2"/>
        <v>#DIV/0!</v>
      </c>
      <c r="I70" s="71">
        <f t="shared" si="9"/>
        <v>0</v>
      </c>
      <c r="J70" s="35">
        <f t="shared" si="10"/>
        <v>2057</v>
      </c>
      <c r="K70" s="77">
        <f>$G681</f>
        <v>17.812721165366938</v>
      </c>
      <c r="L70" s="74"/>
      <c r="M70" s="74"/>
      <c r="N70" s="74"/>
      <c r="O70" s="74"/>
      <c r="P70" s="74"/>
      <c r="Q70" s="74"/>
      <c r="R70" s="74"/>
      <c r="S70" s="74"/>
      <c r="T70" s="74"/>
      <c r="U70" s="74"/>
      <c r="V70" s="74"/>
      <c r="W70" s="74"/>
      <c r="X70" s="74"/>
      <c r="Y70" s="74"/>
      <c r="Z70" s="74"/>
    </row>
    <row r="71" spans="1:26" x14ac:dyDescent="0.3">
      <c r="A71" s="66">
        <f t="shared" si="7"/>
        <v>1996.3999999999942</v>
      </c>
      <c r="B71" s="67">
        <f>LOOKUP(A71+0.01,AmountsB!$A$4:$A$103,AmountsB!$B$4:$B$103)*0.1*$A$2</f>
        <v>0</v>
      </c>
      <c r="C71" s="68">
        <f t="shared" si="4"/>
        <v>0</v>
      </c>
      <c r="D71" s="67">
        <f t="array" ref="D71">SUM($B$7:$B66*$F$1009*EXP(-$F$1009*($A71-$A$7:$A66)))*$F$1010</f>
        <v>0</v>
      </c>
      <c r="E71" s="67">
        <f t="shared" ref="E71:E134" si="11">D71/(365*24*60)*1.00201</f>
        <v>0</v>
      </c>
      <c r="F71" s="70">
        <f t="shared" si="8"/>
        <v>0</v>
      </c>
      <c r="G71" s="67">
        <f>E71/'Lookup Tables'!$C$48</f>
        <v>0</v>
      </c>
      <c r="H71" s="70" t="e">
        <f t="shared" ref="H71:H134" si="12">G71*60*24*365/(C71*2000)</f>
        <v>#DIV/0!</v>
      </c>
      <c r="I71" s="71">
        <f t="shared" si="9"/>
        <v>0</v>
      </c>
      <c r="J71" s="35">
        <f t="shared" si="10"/>
        <v>2058</v>
      </c>
      <c r="K71" s="77">
        <f>$G691</f>
        <v>16.608471130297072</v>
      </c>
      <c r="L71" s="74"/>
      <c r="M71" s="74"/>
      <c r="N71" s="74"/>
      <c r="O71" s="74"/>
      <c r="P71" s="74"/>
      <c r="Q71" s="74"/>
      <c r="R71" s="74"/>
      <c r="S71" s="74"/>
      <c r="T71" s="74"/>
      <c r="U71" s="74"/>
      <c r="V71" s="74"/>
      <c r="W71" s="74"/>
      <c r="X71" s="74"/>
      <c r="Y71" s="74"/>
      <c r="Z71" s="74"/>
    </row>
    <row r="72" spans="1:26" x14ac:dyDescent="0.3">
      <c r="A72" s="66">
        <f t="shared" si="7"/>
        <v>1996.4999999999941</v>
      </c>
      <c r="B72" s="67">
        <f>LOOKUP(A72+0.01,AmountsB!$A$4:$A$103,AmountsB!$B$4:$B$103)*0.1*$A$2</f>
        <v>0</v>
      </c>
      <c r="C72" s="68">
        <f t="shared" si="4"/>
        <v>0</v>
      </c>
      <c r="D72" s="67">
        <f t="array" ref="D72">SUM($B$7:$B67*$F$1009*EXP(-$F$1009*($A72-$A$7:$A67)))*$F$1010</f>
        <v>0</v>
      </c>
      <c r="E72" s="67">
        <f t="shared" si="11"/>
        <v>0</v>
      </c>
      <c r="F72" s="70">
        <f t="shared" si="8"/>
        <v>0</v>
      </c>
      <c r="G72" s="67">
        <f>E72/'Lookup Tables'!$C$48</f>
        <v>0</v>
      </c>
      <c r="H72" s="70" t="e">
        <f t="shared" si="12"/>
        <v>#DIV/0!</v>
      </c>
      <c r="I72" s="71">
        <f t="shared" si="9"/>
        <v>0</v>
      </c>
      <c r="J72" s="35">
        <f t="shared" si="10"/>
        <v>2059</v>
      </c>
      <c r="K72" s="77">
        <f>$G701</f>
        <v>15.485635839976332</v>
      </c>
      <c r="L72" s="74"/>
      <c r="M72" s="74"/>
      <c r="N72" s="74"/>
      <c r="O72" s="74"/>
      <c r="P72" s="74"/>
      <c r="Q72" s="74"/>
      <c r="R72" s="74"/>
      <c r="S72" s="74"/>
      <c r="T72" s="74"/>
      <c r="U72" s="74"/>
      <c r="V72" s="74"/>
      <c r="W72" s="74"/>
      <c r="X72" s="74"/>
      <c r="Y72" s="74"/>
      <c r="Z72" s="74"/>
    </row>
    <row r="73" spans="1:26" x14ac:dyDescent="0.3">
      <c r="A73" s="66">
        <f t="shared" si="7"/>
        <v>1996.599999999994</v>
      </c>
      <c r="B73" s="67">
        <f>LOOKUP(A73+0.01,AmountsB!$A$4:$A$103,AmountsB!$B$4:$B$103)*0.1*$A$2</f>
        <v>0</v>
      </c>
      <c r="C73" s="68">
        <f t="shared" ref="C73:C136" si="13">C72+B73</f>
        <v>0</v>
      </c>
      <c r="D73" s="67">
        <f t="array" ref="D73">SUM($B$7:$B68*$F$1009*EXP(-$F$1009*($A73-$A$7:$A68)))*$F$1010</f>
        <v>0</v>
      </c>
      <c r="E73" s="67">
        <f t="shared" si="11"/>
        <v>0</v>
      </c>
      <c r="F73" s="70">
        <f t="shared" si="8"/>
        <v>0</v>
      </c>
      <c r="G73" s="67">
        <f>E73/'Lookup Tables'!$C$48</f>
        <v>0</v>
      </c>
      <c r="H73" s="70" t="e">
        <f t="shared" si="12"/>
        <v>#DIV/0!</v>
      </c>
      <c r="I73" s="71">
        <f t="shared" si="9"/>
        <v>0</v>
      </c>
      <c r="J73" s="35">
        <f t="shared" si="10"/>
        <v>2060</v>
      </c>
      <c r="K73" s="77">
        <f>$G711</f>
        <v>14.438711154508908</v>
      </c>
      <c r="L73" s="74"/>
      <c r="M73" s="74"/>
      <c r="N73" s="74"/>
      <c r="O73" s="74"/>
      <c r="P73" s="74"/>
      <c r="Q73" s="74"/>
      <c r="R73" s="74"/>
      <c r="S73" s="74"/>
      <c r="T73" s="74"/>
      <c r="U73" s="74"/>
      <c r="V73" s="74"/>
      <c r="W73" s="74"/>
      <c r="X73" s="74"/>
      <c r="Y73" s="74"/>
      <c r="Z73" s="74"/>
    </row>
    <row r="74" spans="1:26" x14ac:dyDescent="0.3">
      <c r="A74" s="66">
        <f t="shared" si="7"/>
        <v>1996.6999999999939</v>
      </c>
      <c r="B74" s="67">
        <f>LOOKUP(A74+0.01,AmountsB!$A$4:$A$103,AmountsB!$B$4:$B$103)*0.1*$A$2</f>
        <v>0</v>
      </c>
      <c r="C74" s="68">
        <f t="shared" si="13"/>
        <v>0</v>
      </c>
      <c r="D74" s="67">
        <f t="array" ref="D74">SUM($B$7:$B69*$F$1009*EXP(-$F$1009*($A74-$A$7:$A69)))*$F$1010</f>
        <v>0</v>
      </c>
      <c r="E74" s="67">
        <f t="shared" si="11"/>
        <v>0</v>
      </c>
      <c r="F74" s="70">
        <f t="shared" si="8"/>
        <v>0</v>
      </c>
      <c r="G74" s="67">
        <f>E74/'Lookup Tables'!$C$48</f>
        <v>0</v>
      </c>
      <c r="H74" s="70" t="e">
        <f t="shared" si="12"/>
        <v>#DIV/0!</v>
      </c>
      <c r="I74" s="71">
        <f t="shared" si="9"/>
        <v>0</v>
      </c>
      <c r="J74" s="35">
        <f t="shared" si="10"/>
        <v>2061</v>
      </c>
      <c r="K74" s="77">
        <f>$G721</f>
        <v>13.462565047872047</v>
      </c>
      <c r="L74" s="74"/>
      <c r="M74" s="74"/>
      <c r="N74" s="74"/>
      <c r="O74" s="74"/>
      <c r="P74" s="74"/>
      <c r="Q74" s="74"/>
      <c r="R74" s="74"/>
      <c r="S74" s="74"/>
      <c r="T74" s="74"/>
      <c r="U74" s="74"/>
      <c r="V74" s="74"/>
      <c r="W74" s="74"/>
      <c r="X74" s="74"/>
      <c r="Y74" s="74"/>
      <c r="Z74" s="74"/>
    </row>
    <row r="75" spans="1:26" x14ac:dyDescent="0.3">
      <c r="A75" s="66">
        <f t="shared" si="7"/>
        <v>1996.7999999999938</v>
      </c>
      <c r="B75" s="67">
        <f>LOOKUP(A75+0.01,AmountsB!$A$4:$A$103,AmountsB!$B$4:$B$103)*0.1*$A$2</f>
        <v>0</v>
      </c>
      <c r="C75" s="68">
        <f t="shared" si="13"/>
        <v>0</v>
      </c>
      <c r="D75" s="67">
        <f t="array" ref="D75">SUM($B$7:$B70*$F$1009*EXP(-$F$1009*($A75-$A$7:$A70)))*$F$1010</f>
        <v>0</v>
      </c>
      <c r="E75" s="67">
        <f t="shared" si="11"/>
        <v>0</v>
      </c>
      <c r="F75" s="70">
        <f t="shared" si="8"/>
        <v>0</v>
      </c>
      <c r="G75" s="67">
        <f>E75/'Lookup Tables'!$C$48</f>
        <v>0</v>
      </c>
      <c r="H75" s="70" t="e">
        <f t="shared" si="12"/>
        <v>#DIV/0!</v>
      </c>
      <c r="I75" s="71">
        <f t="shared" si="9"/>
        <v>0</v>
      </c>
      <c r="J75" s="35">
        <f t="shared" si="10"/>
        <v>2062</v>
      </c>
      <c r="K75" s="77">
        <f>$G731</f>
        <v>12.552412450718522</v>
      </c>
      <c r="L75" s="74"/>
      <c r="M75" s="74"/>
      <c r="N75" s="74"/>
      <c r="O75" s="74"/>
      <c r="P75" s="74"/>
      <c r="Q75" s="74"/>
      <c r="R75" s="74"/>
      <c r="S75" s="74"/>
      <c r="T75" s="74"/>
      <c r="U75" s="74"/>
      <c r="V75" s="74"/>
      <c r="W75" s="74"/>
      <c r="X75" s="74"/>
      <c r="Y75" s="74"/>
      <c r="Z75" s="74"/>
    </row>
    <row r="76" spans="1:26" x14ac:dyDescent="0.3">
      <c r="A76" s="66">
        <f t="shared" si="7"/>
        <v>1996.8999999999937</v>
      </c>
      <c r="B76" s="67">
        <f>LOOKUP(A76+0.01,AmountsB!$A$4:$A$103,AmountsB!$B$4:$B$103)*0.1*$A$2</f>
        <v>0</v>
      </c>
      <c r="C76" s="68">
        <f t="shared" si="13"/>
        <v>0</v>
      </c>
      <c r="D76" s="67">
        <f t="array" ref="D76">SUM($B$7:$B71*$F$1009*EXP(-$F$1009*($A76-$A$7:$A71)))*$F$1010</f>
        <v>0</v>
      </c>
      <c r="E76" s="67">
        <f t="shared" si="11"/>
        <v>0</v>
      </c>
      <c r="F76" s="70">
        <f t="shared" si="8"/>
        <v>0</v>
      </c>
      <c r="G76" s="67">
        <f>E76/'Lookup Tables'!$C$48</f>
        <v>0</v>
      </c>
      <c r="H76" s="70" t="e">
        <f t="shared" si="12"/>
        <v>#DIV/0!</v>
      </c>
      <c r="I76" s="71">
        <f t="shared" si="9"/>
        <v>0</v>
      </c>
      <c r="J76" s="35">
        <f t="shared" si="10"/>
        <v>2063</v>
      </c>
      <c r="K76" s="77">
        <f>$G741</f>
        <v>11.703791793961168</v>
      </c>
      <c r="L76" s="74"/>
      <c r="M76" s="74"/>
      <c r="N76" s="74"/>
      <c r="O76" s="74"/>
      <c r="P76" s="74"/>
      <c r="Q76" s="74"/>
      <c r="R76" s="74"/>
      <c r="S76" s="74"/>
      <c r="T76" s="74"/>
      <c r="U76" s="74"/>
      <c r="V76" s="74"/>
      <c r="W76" s="74"/>
      <c r="X76" s="74"/>
      <c r="Y76" s="74"/>
      <c r="Z76" s="74"/>
    </row>
    <row r="77" spans="1:26" x14ac:dyDescent="0.3">
      <c r="A77" s="66">
        <f t="shared" si="7"/>
        <v>1996.9999999999936</v>
      </c>
      <c r="B77" s="67">
        <f>LOOKUP(A77+0.01,AmountsB!$A$4:$A$103,AmountsB!$B$4:$B$103)*0.1*$A$2</f>
        <v>0</v>
      </c>
      <c r="C77" s="68">
        <f t="shared" si="13"/>
        <v>0</v>
      </c>
      <c r="D77" s="67">
        <f t="array" ref="D77">SUM($B$7:$B72*$F$1009*EXP(-$F$1009*($A77-$A$7:$A72)))*$F$1010</f>
        <v>0</v>
      </c>
      <c r="E77" s="67">
        <f t="shared" si="11"/>
        <v>0</v>
      </c>
      <c r="F77" s="70">
        <f t="shared" si="8"/>
        <v>0</v>
      </c>
      <c r="G77" s="67">
        <f>E77/'Lookup Tables'!$C$48</f>
        <v>0</v>
      </c>
      <c r="H77" s="70" t="e">
        <f t="shared" si="12"/>
        <v>#DIV/0!</v>
      </c>
      <c r="I77" s="71">
        <f t="shared" si="9"/>
        <v>0</v>
      </c>
      <c r="J77" s="35">
        <f t="shared" si="10"/>
        <v>2064</v>
      </c>
      <c r="K77" s="77">
        <f>$G751</f>
        <v>10.912543138156042</v>
      </c>
      <c r="L77" s="74"/>
      <c r="M77" s="74"/>
      <c r="N77" s="74"/>
      <c r="O77" s="74"/>
      <c r="P77" s="74"/>
      <c r="Q77" s="74"/>
      <c r="R77" s="74"/>
      <c r="S77" s="74"/>
      <c r="T77" s="74"/>
      <c r="U77" s="74"/>
      <c r="V77" s="74"/>
      <c r="W77" s="74"/>
      <c r="X77" s="74"/>
      <c r="Y77" s="74"/>
      <c r="Z77" s="74"/>
    </row>
    <row r="78" spans="1:26" x14ac:dyDescent="0.3">
      <c r="A78" s="66">
        <f t="shared" si="7"/>
        <v>1997.0999999999935</v>
      </c>
      <c r="B78" s="67">
        <f>LOOKUP(A78+0.01,AmountsB!$A$4:$A$103,AmountsB!$B$4:$B$103)*0.1*$A$2</f>
        <v>0</v>
      </c>
      <c r="C78" s="68">
        <f t="shared" si="13"/>
        <v>0</v>
      </c>
      <c r="D78" s="67">
        <f t="array" ref="D78">SUM($B$7:$B73*$F$1009*EXP(-$F$1009*($A78-$A$7:$A73)))*$F$1010</f>
        <v>0</v>
      </c>
      <c r="E78" s="67">
        <f t="shared" si="11"/>
        <v>0</v>
      </c>
      <c r="F78" s="70">
        <f t="shared" si="8"/>
        <v>0</v>
      </c>
      <c r="G78" s="67">
        <f>E78/'Lookup Tables'!$C$48</f>
        <v>0</v>
      </c>
      <c r="H78" s="70" t="e">
        <f t="shared" si="12"/>
        <v>#DIV/0!</v>
      </c>
      <c r="I78" s="71">
        <f t="shared" si="9"/>
        <v>0</v>
      </c>
      <c r="J78" s="35">
        <f t="shared" si="10"/>
        <v>2065</v>
      </c>
      <c r="K78" s="77">
        <f>$G761</f>
        <v>10.174787781474402</v>
      </c>
      <c r="L78" s="74"/>
      <c r="M78" s="74"/>
      <c r="N78" s="74"/>
      <c r="O78" s="74"/>
      <c r="P78" s="74"/>
      <c r="Q78" s="74"/>
      <c r="R78" s="74"/>
      <c r="S78" s="74"/>
      <c r="T78" s="74"/>
      <c r="U78" s="74"/>
      <c r="V78" s="74"/>
      <c r="W78" s="74"/>
      <c r="X78" s="74"/>
      <c r="Y78" s="74"/>
      <c r="Z78" s="74"/>
    </row>
    <row r="79" spans="1:26" x14ac:dyDescent="0.3">
      <c r="A79" s="66">
        <f t="shared" si="7"/>
        <v>1997.1999999999935</v>
      </c>
      <c r="B79" s="67">
        <f>LOOKUP(A79+0.01,AmountsB!$A$4:$A$103,AmountsB!$B$4:$B$103)*0.1*$A$2</f>
        <v>0</v>
      </c>
      <c r="C79" s="68">
        <f t="shared" si="13"/>
        <v>0</v>
      </c>
      <c r="D79" s="67">
        <f t="array" ref="D79">SUM($B$7:$B74*$F$1009*EXP(-$F$1009*($A79-$A$7:$A74)))*$F$1010</f>
        <v>0</v>
      </c>
      <c r="E79" s="67">
        <f t="shared" si="11"/>
        <v>0</v>
      </c>
      <c r="F79" s="70">
        <f t="shared" si="8"/>
        <v>0</v>
      </c>
      <c r="G79" s="67">
        <f>E79/'Lookup Tables'!$C$48</f>
        <v>0</v>
      </c>
      <c r="H79" s="70" t="e">
        <f t="shared" si="12"/>
        <v>#DIV/0!</v>
      </c>
      <c r="I79" s="71">
        <f t="shared" si="9"/>
        <v>0</v>
      </c>
      <c r="J79" s="35">
        <f t="shared" si="10"/>
        <v>2066</v>
      </c>
      <c r="K79" s="77">
        <f>$G771</f>
        <v>9.4869092463018898</v>
      </c>
      <c r="L79" s="74"/>
      <c r="M79" s="74"/>
      <c r="N79" s="74"/>
      <c r="O79" s="74"/>
      <c r="P79" s="74"/>
      <c r="Q79" s="74"/>
      <c r="R79" s="74"/>
      <c r="S79" s="74"/>
      <c r="T79" s="74"/>
      <c r="U79" s="74"/>
      <c r="V79" s="74"/>
      <c r="W79" s="74"/>
      <c r="X79" s="74"/>
      <c r="Y79" s="74"/>
      <c r="Z79" s="74"/>
    </row>
    <row r="80" spans="1:26" x14ac:dyDescent="0.3">
      <c r="A80" s="66">
        <f t="shared" si="7"/>
        <v>1997.2999999999934</v>
      </c>
      <c r="B80" s="67">
        <f>LOOKUP(A80+0.01,AmountsB!$A$4:$A$103,AmountsB!$B$4:$B$103)*0.1*$A$2</f>
        <v>0</v>
      </c>
      <c r="C80" s="68">
        <f t="shared" si="13"/>
        <v>0</v>
      </c>
      <c r="D80" s="67">
        <f t="array" ref="D80">SUM($B$7:$B75*$F$1009*EXP(-$F$1009*($A80-$A$7:$A75)))*$F$1010</f>
        <v>0</v>
      </c>
      <c r="E80" s="67">
        <f t="shared" si="11"/>
        <v>0</v>
      </c>
      <c r="F80" s="70">
        <f t="shared" si="8"/>
        <v>0</v>
      </c>
      <c r="G80" s="67">
        <f>E80/'Lookup Tables'!$C$48</f>
        <v>0</v>
      </c>
      <c r="H80" s="70" t="e">
        <f t="shared" si="12"/>
        <v>#DIV/0!</v>
      </c>
      <c r="I80" s="71">
        <f t="shared" si="9"/>
        <v>0</v>
      </c>
      <c r="J80" s="35">
        <f t="shared" si="10"/>
        <v>2067</v>
      </c>
      <c r="K80" s="77">
        <f>$G781</f>
        <v>8.8455355512610367</v>
      </c>
      <c r="L80" s="74"/>
      <c r="M80" s="74"/>
      <c r="N80" s="74"/>
      <c r="O80" s="74"/>
      <c r="P80" s="74"/>
      <c r="Q80" s="74"/>
      <c r="R80" s="74"/>
      <c r="S80" s="74"/>
      <c r="T80" s="74"/>
      <c r="U80" s="74"/>
      <c r="V80" s="74"/>
      <c r="W80" s="74"/>
      <c r="X80" s="74"/>
      <c r="Y80" s="74"/>
      <c r="Z80" s="74"/>
    </row>
    <row r="81" spans="1:26" x14ac:dyDescent="0.3">
      <c r="A81" s="66">
        <f t="shared" si="7"/>
        <v>1997.3999999999933</v>
      </c>
      <c r="B81" s="67">
        <f>LOOKUP(A81+0.01,AmountsB!$A$4:$A$103,AmountsB!$B$4:$B$103)*0.1*$A$2</f>
        <v>0</v>
      </c>
      <c r="C81" s="68">
        <f t="shared" si="13"/>
        <v>0</v>
      </c>
      <c r="D81" s="67">
        <f t="array" ref="D81">SUM($B$7:$B76*$F$1009*EXP(-$F$1009*($A81-$A$7:$A76)))*$F$1010</f>
        <v>0</v>
      </c>
      <c r="E81" s="67">
        <f t="shared" si="11"/>
        <v>0</v>
      </c>
      <c r="F81" s="70">
        <f t="shared" si="8"/>
        <v>0</v>
      </c>
      <c r="G81" s="67">
        <f>E81/'Lookup Tables'!$C$48</f>
        <v>0</v>
      </c>
      <c r="H81" s="70" t="e">
        <f t="shared" si="12"/>
        <v>#DIV/0!</v>
      </c>
      <c r="I81" s="71">
        <f t="shared" si="9"/>
        <v>0</v>
      </c>
      <c r="J81" s="35">
        <f t="shared" si="10"/>
        <v>2068</v>
      </c>
      <c r="K81" s="77">
        <f>$G791</f>
        <v>8.2475226817546741</v>
      </c>
      <c r="L81" s="74"/>
      <c r="M81" s="74"/>
      <c r="N81" s="74"/>
      <c r="O81" s="74"/>
      <c r="P81" s="74"/>
      <c r="Q81" s="74"/>
      <c r="R81" s="74"/>
      <c r="S81" s="74"/>
      <c r="T81" s="74"/>
      <c r="U81" s="74"/>
      <c r="V81" s="74"/>
      <c r="W81" s="74"/>
      <c r="X81" s="74"/>
      <c r="Y81" s="74"/>
      <c r="Z81" s="74"/>
    </row>
    <row r="82" spans="1:26" x14ac:dyDescent="0.3">
      <c r="A82" s="66">
        <f t="shared" si="7"/>
        <v>1997.4999999999932</v>
      </c>
      <c r="B82" s="67">
        <f>LOOKUP(A82+0.01,AmountsB!$A$4:$A$103,AmountsB!$B$4:$B$103)*0.1*$A$2</f>
        <v>0</v>
      </c>
      <c r="C82" s="68">
        <f t="shared" si="13"/>
        <v>0</v>
      </c>
      <c r="D82" s="67">
        <f t="array" ref="D82">SUM($B$7:$B77*$F$1009*EXP(-$F$1009*($A82-$A$7:$A77)))*$F$1010</f>
        <v>0</v>
      </c>
      <c r="E82" s="67">
        <f t="shared" si="11"/>
        <v>0</v>
      </c>
      <c r="F82" s="70">
        <f t="shared" si="8"/>
        <v>0</v>
      </c>
      <c r="G82" s="67">
        <f>E82/'Lookup Tables'!$C$48</f>
        <v>0</v>
      </c>
      <c r="H82" s="70" t="e">
        <f t="shared" si="12"/>
        <v>#DIV/0!</v>
      </c>
      <c r="I82" s="71">
        <f t="shared" si="9"/>
        <v>0</v>
      </c>
      <c r="J82" s="35">
        <f t="shared" si="10"/>
        <v>2069</v>
      </c>
      <c r="K82" s="77">
        <f>$G801</f>
        <v>7.6899391780026809</v>
      </c>
      <c r="L82" s="74"/>
      <c r="M82" s="74"/>
      <c r="N82" s="74"/>
      <c r="O82" s="74"/>
      <c r="P82" s="74"/>
      <c r="Q82" s="74"/>
      <c r="R82" s="74"/>
      <c r="S82" s="74"/>
      <c r="T82" s="74"/>
      <c r="U82" s="74"/>
      <c r="V82" s="74"/>
      <c r="W82" s="74"/>
      <c r="X82" s="74"/>
      <c r="Y82" s="74"/>
      <c r="Z82" s="74"/>
    </row>
    <row r="83" spans="1:26" x14ac:dyDescent="0.3">
      <c r="A83" s="66">
        <f t="shared" ref="A83:A146" si="14">A82+0.1</f>
        <v>1997.5999999999931</v>
      </c>
      <c r="B83" s="67">
        <f>LOOKUP(A83+0.01,AmountsB!$A$4:$A$103,AmountsB!$B$4:$B$103)*0.1*$A$2</f>
        <v>0</v>
      </c>
      <c r="C83" s="68">
        <f t="shared" si="13"/>
        <v>0</v>
      </c>
      <c r="D83" s="67">
        <f t="array" ref="D83">SUM($B$7:$B78*$F$1009*EXP(-$F$1009*($A83-$A$7:$A78)))*$F$1010</f>
        <v>0</v>
      </c>
      <c r="E83" s="67">
        <f t="shared" si="11"/>
        <v>0</v>
      </c>
      <c r="F83" s="70">
        <f t="shared" ref="F83:F146" si="15">E83*60*1012/1000000</f>
        <v>0</v>
      </c>
      <c r="G83" s="67">
        <f>E83/'Lookup Tables'!$C$48</f>
        <v>0</v>
      </c>
      <c r="H83" s="70" t="e">
        <f t="shared" si="12"/>
        <v>#DIV/0!</v>
      </c>
      <c r="I83" s="71">
        <f t="shared" ref="I83:I146" si="16">G83*60*24/1000000</f>
        <v>0</v>
      </c>
      <c r="J83" s="35">
        <f t="shared" si="10"/>
        <v>2070</v>
      </c>
      <c r="K83" s="77">
        <f>$G811</f>
        <v>7.1700517650227873</v>
      </c>
      <c r="L83" s="74"/>
      <c r="M83" s="74"/>
      <c r="N83" s="74"/>
      <c r="O83" s="74"/>
      <c r="P83" s="74"/>
      <c r="Q83" s="74"/>
      <c r="R83" s="74"/>
      <c r="S83" s="74"/>
      <c r="T83" s="74"/>
      <c r="U83" s="74"/>
      <c r="V83" s="74"/>
      <c r="W83" s="74"/>
      <c r="X83" s="74"/>
      <c r="Y83" s="74"/>
      <c r="Z83" s="74"/>
    </row>
    <row r="84" spans="1:26" x14ac:dyDescent="0.3">
      <c r="A84" s="66">
        <f t="shared" si="14"/>
        <v>1997.699999999993</v>
      </c>
      <c r="B84" s="67">
        <f>LOOKUP(A84+0.01,AmountsB!$A$4:$A$103,AmountsB!$B$4:$B$103)*0.1*$A$2</f>
        <v>0</v>
      </c>
      <c r="C84" s="68">
        <f t="shared" si="13"/>
        <v>0</v>
      </c>
      <c r="D84" s="67">
        <f t="array" ref="D84">SUM($B$7:$B79*$F$1009*EXP(-$F$1009*($A84-$A$7:$A79)))*$F$1010</f>
        <v>0</v>
      </c>
      <c r="E84" s="67">
        <f t="shared" si="11"/>
        <v>0</v>
      </c>
      <c r="F84" s="70">
        <f t="shared" si="15"/>
        <v>0</v>
      </c>
      <c r="G84" s="67">
        <f>E84/'Lookup Tables'!$C$48</f>
        <v>0</v>
      </c>
      <c r="H84" s="70" t="e">
        <f t="shared" si="12"/>
        <v>#DIV/0!</v>
      </c>
      <c r="I84" s="71">
        <f t="shared" si="16"/>
        <v>0</v>
      </c>
      <c r="J84" s="35">
        <f t="shared" si="10"/>
        <v>2071</v>
      </c>
      <c r="K84" s="77">
        <f>$G821</f>
        <v>6.6853119541134038</v>
      </c>
      <c r="L84" s="74"/>
      <c r="M84" s="74"/>
      <c r="N84" s="74"/>
      <c r="O84" s="74"/>
      <c r="P84" s="74"/>
      <c r="Q84" s="74"/>
      <c r="R84" s="74"/>
      <c r="S84" s="74"/>
      <c r="T84" s="74"/>
      <c r="U84" s="74"/>
      <c r="V84" s="74"/>
      <c r="W84" s="74"/>
      <c r="X84" s="74"/>
      <c r="Y84" s="74"/>
      <c r="Z84" s="74"/>
    </row>
    <row r="85" spans="1:26" x14ac:dyDescent="0.3">
      <c r="A85" s="66">
        <f t="shared" si="14"/>
        <v>1997.7999999999929</v>
      </c>
      <c r="B85" s="67">
        <f>LOOKUP(A85+0.01,AmountsB!$A$4:$A$103,AmountsB!$B$4:$B$103)*0.1*$A$2</f>
        <v>0</v>
      </c>
      <c r="C85" s="68">
        <f t="shared" si="13"/>
        <v>0</v>
      </c>
      <c r="D85" s="67">
        <f t="array" ref="D85">SUM($B$7:$B80*$F$1009*EXP(-$F$1009*($A85-$A$7:$A80)))*$F$1010</f>
        <v>0</v>
      </c>
      <c r="E85" s="67">
        <f t="shared" si="11"/>
        <v>0</v>
      </c>
      <c r="F85" s="70">
        <f t="shared" si="15"/>
        <v>0</v>
      </c>
      <c r="G85" s="67">
        <f>E85/'Lookup Tables'!$C$48</f>
        <v>0</v>
      </c>
      <c r="H85" s="70" t="e">
        <f t="shared" si="12"/>
        <v>#DIV/0!</v>
      </c>
      <c r="I85" s="71">
        <f t="shared" si="16"/>
        <v>0</v>
      </c>
      <c r="J85" s="35">
        <f t="shared" si="10"/>
        <v>2072</v>
      </c>
      <c r="K85" s="77">
        <f>$G831</f>
        <v>6.2333435501590913</v>
      </c>
      <c r="L85" s="74"/>
      <c r="M85" s="74"/>
      <c r="N85" s="74"/>
      <c r="O85" s="74"/>
      <c r="P85" s="74"/>
      <c r="Q85" s="74"/>
      <c r="R85" s="74"/>
      <c r="S85" s="74"/>
      <c r="T85" s="74"/>
      <c r="U85" s="74"/>
      <c r="V85" s="74"/>
      <c r="W85" s="74"/>
      <c r="X85" s="74"/>
      <c r="Y85" s="74"/>
      <c r="Z85" s="74"/>
    </row>
    <row r="86" spans="1:26" x14ac:dyDescent="0.3">
      <c r="A86" s="66">
        <f t="shared" si="14"/>
        <v>1997.8999999999928</v>
      </c>
      <c r="B86" s="67">
        <f>LOOKUP(A86+0.01,AmountsB!$A$4:$A$103,AmountsB!$B$4:$B$103)*0.1*$A$2</f>
        <v>0</v>
      </c>
      <c r="C86" s="68">
        <f t="shared" si="13"/>
        <v>0</v>
      </c>
      <c r="D86" s="67">
        <f t="array" ref="D86">SUM($B$7:$B81*$F$1009*EXP(-$F$1009*($A86-$A$7:$A81)))*$F$1010</f>
        <v>0</v>
      </c>
      <c r="E86" s="67">
        <f t="shared" si="11"/>
        <v>0</v>
      </c>
      <c r="F86" s="70">
        <f t="shared" si="15"/>
        <v>0</v>
      </c>
      <c r="G86" s="67">
        <f>E86/'Lookup Tables'!$C$48</f>
        <v>0</v>
      </c>
      <c r="H86" s="70" t="e">
        <f t="shared" si="12"/>
        <v>#DIV/0!</v>
      </c>
      <c r="I86" s="71">
        <f t="shared" si="16"/>
        <v>0</v>
      </c>
      <c r="J86" s="35">
        <f t="shared" si="10"/>
        <v>2073</v>
      </c>
      <c r="K86" s="77">
        <f>$G841</f>
        <v>5.8119310035193124</v>
      </c>
      <c r="L86" s="74"/>
      <c r="M86" s="74"/>
      <c r="N86" s="74"/>
      <c r="O86" s="74"/>
      <c r="P86" s="74"/>
      <c r="Q86" s="74"/>
      <c r="R86" s="74"/>
      <c r="S86" s="74"/>
      <c r="T86" s="74"/>
      <c r="U86" s="74"/>
      <c r="V86" s="74"/>
      <c r="W86" s="74"/>
      <c r="X86" s="74"/>
      <c r="Y86" s="74"/>
      <c r="Z86" s="74"/>
    </row>
    <row r="87" spans="1:26" x14ac:dyDescent="0.3">
      <c r="A87" s="66">
        <f t="shared" si="14"/>
        <v>1997.9999999999927</v>
      </c>
      <c r="B87" s="67">
        <f>LOOKUP(A87+0.01,AmountsB!$A$4:$A$103,AmountsB!$B$4:$B$103)*0.1*$A$2</f>
        <v>0</v>
      </c>
      <c r="C87" s="68">
        <f t="shared" si="13"/>
        <v>0</v>
      </c>
      <c r="D87" s="67">
        <f t="array" ref="D87">SUM($B$7:$B82*$F$1009*EXP(-$F$1009*($A87-$A$7:$A82)))*$F$1010</f>
        <v>0</v>
      </c>
      <c r="E87" s="67">
        <f t="shared" si="11"/>
        <v>0</v>
      </c>
      <c r="F87" s="70">
        <f t="shared" si="15"/>
        <v>0</v>
      </c>
      <c r="G87" s="67">
        <f>E87/'Lookup Tables'!$C$48</f>
        <v>0</v>
      </c>
      <c r="H87" s="70" t="e">
        <f t="shared" si="12"/>
        <v>#DIV/0!</v>
      </c>
      <c r="I87" s="71">
        <f t="shared" si="16"/>
        <v>0</v>
      </c>
      <c r="J87" s="35">
        <f t="shared" si="10"/>
        <v>2074</v>
      </c>
      <c r="K87" s="77">
        <f>$G851</f>
        <v>5.4190085494015312</v>
      </c>
      <c r="L87" s="74"/>
      <c r="M87" s="74"/>
      <c r="N87" s="74"/>
      <c r="O87" s="74"/>
      <c r="P87" s="74"/>
      <c r="Q87" s="74"/>
      <c r="R87" s="74"/>
      <c r="S87" s="74"/>
      <c r="T87" s="74"/>
      <c r="U87" s="74"/>
      <c r="V87" s="74"/>
      <c r="W87" s="74"/>
      <c r="X87" s="74"/>
      <c r="Y87" s="74"/>
      <c r="Z87" s="74"/>
    </row>
    <row r="88" spans="1:26" x14ac:dyDescent="0.3">
      <c r="A88" s="66">
        <f t="shared" si="14"/>
        <v>1998.0999999999926</v>
      </c>
      <c r="B88" s="67">
        <f>LOOKUP(A88+0.01,AmountsB!$A$4:$A$103,AmountsB!$B$4:$B$103)*0.1*$A$2</f>
        <v>0</v>
      </c>
      <c r="C88" s="68">
        <f t="shared" si="13"/>
        <v>0</v>
      </c>
      <c r="D88" s="67">
        <f t="array" ref="D88">SUM($B$7:$B83*$F$1009*EXP(-$F$1009*($A88-$A$7:$A83)))*$F$1010</f>
        <v>0</v>
      </c>
      <c r="E88" s="67">
        <f t="shared" si="11"/>
        <v>0</v>
      </c>
      <c r="F88" s="70">
        <f t="shared" si="15"/>
        <v>0</v>
      </c>
      <c r="G88" s="67">
        <f>E88/'Lookup Tables'!$C$48</f>
        <v>0</v>
      </c>
      <c r="H88" s="70" t="e">
        <f t="shared" si="12"/>
        <v>#DIV/0!</v>
      </c>
      <c r="I88" s="71">
        <f t="shared" si="16"/>
        <v>0</v>
      </c>
      <c r="J88" s="35">
        <f t="shared" si="10"/>
        <v>2075</v>
      </c>
      <c r="K88" s="77">
        <f>$G861</f>
        <v>5.0526500814798041</v>
      </c>
      <c r="L88" s="74"/>
      <c r="M88" s="74"/>
      <c r="N88" s="74"/>
      <c r="O88" s="74"/>
      <c r="P88" s="74"/>
      <c r="Q88" s="74"/>
      <c r="R88" s="74"/>
      <c r="S88" s="74"/>
      <c r="T88" s="74"/>
      <c r="U88" s="74"/>
      <c r="V88" s="74"/>
      <c r="W88" s="74"/>
      <c r="X88" s="74"/>
      <c r="Y88" s="74"/>
      <c r="Z88" s="74"/>
    </row>
    <row r="89" spans="1:26" x14ac:dyDescent="0.3">
      <c r="A89" s="66">
        <f t="shared" si="14"/>
        <v>1998.1999999999925</v>
      </c>
      <c r="B89" s="67">
        <f>LOOKUP(A89+0.01,AmountsB!$A$4:$A$103,AmountsB!$B$4:$B$103)*0.1*$A$2</f>
        <v>0</v>
      </c>
      <c r="C89" s="68">
        <f t="shared" si="13"/>
        <v>0</v>
      </c>
      <c r="D89" s="67">
        <f t="array" ref="D89">SUM($B$7:$B84*$F$1009*EXP(-$F$1009*($A89-$A$7:$A84)))*$F$1010</f>
        <v>0</v>
      </c>
      <c r="E89" s="67">
        <f t="shared" si="11"/>
        <v>0</v>
      </c>
      <c r="F89" s="70">
        <f t="shared" si="15"/>
        <v>0</v>
      </c>
      <c r="G89" s="67">
        <f>E89/'Lookup Tables'!$C$48</f>
        <v>0</v>
      </c>
      <c r="H89" s="70" t="e">
        <f t="shared" si="12"/>
        <v>#DIV/0!</v>
      </c>
      <c r="I89" s="71">
        <f t="shared" si="16"/>
        <v>0</v>
      </c>
      <c r="J89" s="35">
        <f t="shared" si="10"/>
        <v>2076</v>
      </c>
      <c r="K89" s="77">
        <f>$G871</f>
        <v>4.7110597101193559</v>
      </c>
      <c r="L89" s="74"/>
      <c r="M89" s="74"/>
      <c r="N89" s="74"/>
      <c r="O89" s="74"/>
      <c r="P89" s="74"/>
      <c r="Q89" s="74"/>
      <c r="R89" s="74"/>
      <c r="S89" s="74"/>
      <c r="T89" s="74"/>
      <c r="U89" s="74"/>
      <c r="V89" s="74"/>
      <c r="W89" s="74"/>
      <c r="X89" s="74"/>
      <c r="Y89" s="74"/>
      <c r="Z89" s="74"/>
    </row>
    <row r="90" spans="1:26" x14ac:dyDescent="0.3">
      <c r="A90" s="66">
        <f t="shared" si="14"/>
        <v>1998.2999999999925</v>
      </c>
      <c r="B90" s="67">
        <f>LOOKUP(A90+0.01,AmountsB!$A$4:$A$103,AmountsB!$B$4:$B$103)*0.1*$A$2</f>
        <v>0</v>
      </c>
      <c r="C90" s="68">
        <f t="shared" si="13"/>
        <v>0</v>
      </c>
      <c r="D90" s="67">
        <f t="array" ref="D90">SUM($B$7:$B85*$F$1009*EXP(-$F$1009*($A90-$A$7:$A85)))*$F$1010</f>
        <v>0</v>
      </c>
      <c r="E90" s="67">
        <f t="shared" si="11"/>
        <v>0</v>
      </c>
      <c r="F90" s="70">
        <f t="shared" si="15"/>
        <v>0</v>
      </c>
      <c r="G90" s="67">
        <f>E90/'Lookup Tables'!$C$48</f>
        <v>0</v>
      </c>
      <c r="H90" s="70" t="e">
        <f t="shared" si="12"/>
        <v>#DIV/0!</v>
      </c>
      <c r="I90" s="71">
        <f t="shared" si="16"/>
        <v>0</v>
      </c>
      <c r="J90" s="35">
        <f t="shared" si="10"/>
        <v>2077</v>
      </c>
      <c r="K90" s="77">
        <f>$G881</f>
        <v>4.3925629589234738</v>
      </c>
      <c r="L90" s="74"/>
      <c r="M90" s="74"/>
      <c r="N90" s="74"/>
      <c r="O90" s="74"/>
      <c r="P90" s="74"/>
      <c r="Q90" s="74"/>
      <c r="R90" s="74"/>
      <c r="S90" s="74"/>
      <c r="T90" s="74"/>
      <c r="U90" s="74"/>
      <c r="V90" s="74"/>
      <c r="W90" s="74"/>
      <c r="X90" s="74"/>
      <c r="Y90" s="74"/>
      <c r="Z90" s="74"/>
    </row>
    <row r="91" spans="1:26" x14ac:dyDescent="0.3">
      <c r="A91" s="66">
        <f t="shared" si="14"/>
        <v>1998.3999999999924</v>
      </c>
      <c r="B91" s="67">
        <f>LOOKUP(A91+0.01,AmountsB!$A$4:$A$103,AmountsB!$B$4:$B$103)*0.1*$A$2</f>
        <v>0</v>
      </c>
      <c r="C91" s="68">
        <f t="shared" si="13"/>
        <v>0</v>
      </c>
      <c r="D91" s="67">
        <f t="array" ref="D91">SUM($B$7:$B86*$F$1009*EXP(-$F$1009*($A91-$A$7:$A86)))*$F$1010</f>
        <v>0</v>
      </c>
      <c r="E91" s="67">
        <f t="shared" si="11"/>
        <v>0</v>
      </c>
      <c r="F91" s="70">
        <f t="shared" si="15"/>
        <v>0</v>
      </c>
      <c r="G91" s="67">
        <f>E91/'Lookup Tables'!$C$48</f>
        <v>0</v>
      </c>
      <c r="H91" s="70" t="e">
        <f t="shared" si="12"/>
        <v>#DIV/0!</v>
      </c>
      <c r="I91" s="71">
        <f t="shared" si="16"/>
        <v>0</v>
      </c>
      <c r="J91" s="35">
        <f t="shared" si="10"/>
        <v>2078</v>
      </c>
      <c r="K91" s="77">
        <f>$G891</f>
        <v>4.0955985564482917</v>
      </c>
      <c r="L91" s="74"/>
      <c r="M91" s="74"/>
      <c r="N91" s="74"/>
      <c r="O91" s="74"/>
      <c r="P91" s="74"/>
      <c r="Q91" s="74"/>
      <c r="R91" s="74"/>
      <c r="S91" s="74"/>
      <c r="T91" s="74"/>
      <c r="U91" s="74"/>
      <c r="V91" s="74"/>
      <c r="W91" s="74"/>
      <c r="X91" s="74"/>
      <c r="Y91" s="74"/>
      <c r="Z91" s="74"/>
    </row>
    <row r="92" spans="1:26" x14ac:dyDescent="0.3">
      <c r="A92" s="66">
        <f t="shared" si="14"/>
        <v>1998.4999999999923</v>
      </c>
      <c r="B92" s="67">
        <f>LOOKUP(A92+0.01,AmountsB!$A$4:$A$103,AmountsB!$B$4:$B$103)*0.1*$A$2</f>
        <v>0</v>
      </c>
      <c r="C92" s="68">
        <f t="shared" si="13"/>
        <v>0</v>
      </c>
      <c r="D92" s="67">
        <f t="array" ref="D92">SUM($B$7:$B87*$F$1009*EXP(-$F$1009*($A92-$A$7:$A87)))*$F$1010</f>
        <v>0</v>
      </c>
      <c r="E92" s="67">
        <f t="shared" si="11"/>
        <v>0</v>
      </c>
      <c r="F92" s="70">
        <f t="shared" si="15"/>
        <v>0</v>
      </c>
      <c r="G92" s="67">
        <f>E92/'Lookup Tables'!$C$48</f>
        <v>0</v>
      </c>
      <c r="H92" s="70" t="e">
        <f t="shared" si="12"/>
        <v>#DIV/0!</v>
      </c>
      <c r="I92" s="71">
        <f t="shared" si="16"/>
        <v>0</v>
      </c>
      <c r="J92" s="35">
        <f t="shared" si="10"/>
        <v>2079</v>
      </c>
      <c r="K92" s="77">
        <f>$G901</f>
        <v>3.8187107828483553</v>
      </c>
      <c r="L92" s="74"/>
      <c r="M92" s="74"/>
      <c r="N92" s="74"/>
      <c r="O92" s="74"/>
      <c r="P92" s="74"/>
      <c r="Q92" s="74"/>
      <c r="R92" s="74"/>
      <c r="S92" s="74"/>
      <c r="T92" s="74"/>
      <c r="U92" s="74"/>
      <c r="V92" s="74"/>
      <c r="W92" s="74"/>
      <c r="X92" s="74"/>
      <c r="Y92" s="74"/>
      <c r="Z92" s="74"/>
    </row>
    <row r="93" spans="1:26" x14ac:dyDescent="0.3">
      <c r="A93" s="66">
        <f t="shared" si="14"/>
        <v>1998.5999999999922</v>
      </c>
      <c r="B93" s="67">
        <f>LOOKUP(A93+0.01,AmountsB!$A$4:$A$103,AmountsB!$B$4:$B$103)*0.1*$A$2</f>
        <v>0</v>
      </c>
      <c r="C93" s="68">
        <f t="shared" si="13"/>
        <v>0</v>
      </c>
      <c r="D93" s="67">
        <f t="array" ref="D93">SUM($B$7:$B88*$F$1009*EXP(-$F$1009*($A93-$A$7:$A88)))*$F$1010</f>
        <v>0</v>
      </c>
      <c r="E93" s="67">
        <f t="shared" si="11"/>
        <v>0</v>
      </c>
      <c r="F93" s="70">
        <f t="shared" si="15"/>
        <v>0</v>
      </c>
      <c r="G93" s="67">
        <f>E93/'Lookup Tables'!$C$48</f>
        <v>0</v>
      </c>
      <c r="H93" s="70" t="e">
        <f t="shared" si="12"/>
        <v>#DIV/0!</v>
      </c>
      <c r="I93" s="71">
        <f t="shared" si="16"/>
        <v>0</v>
      </c>
      <c r="J93" s="35">
        <f t="shared" si="10"/>
        <v>2080</v>
      </c>
      <c r="K93" s="77">
        <f>$G911</f>
        <v>3.5605423339362385</v>
      </c>
      <c r="L93" s="74"/>
      <c r="M93" s="74"/>
      <c r="N93" s="74"/>
      <c r="O93" s="74"/>
      <c r="P93" s="74"/>
      <c r="Q93" s="74"/>
      <c r="R93" s="74"/>
      <c r="S93" s="74"/>
      <c r="T93" s="74"/>
      <c r="U93" s="74"/>
      <c r="V93" s="74"/>
      <c r="W93" s="74"/>
      <c r="X93" s="74"/>
      <c r="Y93" s="74"/>
      <c r="Z93" s="74"/>
    </row>
    <row r="94" spans="1:26" x14ac:dyDescent="0.3">
      <c r="A94" s="66">
        <f t="shared" si="14"/>
        <v>1998.6999999999921</v>
      </c>
      <c r="B94" s="67">
        <f>LOOKUP(A94+0.01,AmountsB!$A$4:$A$103,AmountsB!$B$4:$B$103)*0.1*$A$2</f>
        <v>0</v>
      </c>
      <c r="C94" s="68">
        <f t="shared" si="13"/>
        <v>0</v>
      </c>
      <c r="D94" s="67">
        <f t="array" ref="D94">SUM($B$7:$B89*$F$1009*EXP(-$F$1009*($A94-$A$7:$A89)))*$F$1010</f>
        <v>0</v>
      </c>
      <c r="E94" s="67">
        <f t="shared" si="11"/>
        <v>0</v>
      </c>
      <c r="F94" s="70">
        <f t="shared" si="15"/>
        <v>0</v>
      </c>
      <c r="G94" s="67">
        <f>E94/'Lookup Tables'!$C$48</f>
        <v>0</v>
      </c>
      <c r="H94" s="70" t="e">
        <f t="shared" si="12"/>
        <v>#DIV/0!</v>
      </c>
      <c r="I94" s="71">
        <f t="shared" si="16"/>
        <v>0</v>
      </c>
      <c r="J94" s="35">
        <f t="shared" si="10"/>
        <v>2081</v>
      </c>
      <c r="K94" s="77">
        <f>$G921</f>
        <v>3.31982766767586</v>
      </c>
      <c r="L94" s="74"/>
      <c r="M94" s="74"/>
      <c r="N94" s="74"/>
      <c r="O94" s="74"/>
      <c r="P94" s="74"/>
      <c r="Q94" s="74"/>
      <c r="R94" s="74"/>
      <c r="S94" s="74"/>
      <c r="T94" s="74"/>
      <c r="U94" s="74"/>
      <c r="V94" s="74"/>
      <c r="W94" s="74"/>
      <c r="X94" s="74"/>
      <c r="Y94" s="74"/>
      <c r="Z94" s="74"/>
    </row>
    <row r="95" spans="1:26" x14ac:dyDescent="0.3">
      <c r="A95" s="66">
        <f t="shared" si="14"/>
        <v>1998.799999999992</v>
      </c>
      <c r="B95" s="67">
        <f>LOOKUP(A95+0.01,AmountsB!$A$4:$A$103,AmountsB!$B$4:$B$103)*0.1*$A$2</f>
        <v>0</v>
      </c>
      <c r="C95" s="68">
        <f t="shared" si="13"/>
        <v>0</v>
      </c>
      <c r="D95" s="67">
        <f t="array" ref="D95">SUM($B$7:$B90*$F$1009*EXP(-$F$1009*($A95-$A$7:$A90)))*$F$1010</f>
        <v>0</v>
      </c>
      <c r="E95" s="67">
        <f t="shared" si="11"/>
        <v>0</v>
      </c>
      <c r="F95" s="70">
        <f t="shared" si="15"/>
        <v>0</v>
      </c>
      <c r="G95" s="67">
        <f>E95/'Lookup Tables'!$C$48</f>
        <v>0</v>
      </c>
      <c r="H95" s="70" t="e">
        <f t="shared" si="12"/>
        <v>#DIV/0!</v>
      </c>
      <c r="I95" s="71">
        <f t="shared" si="16"/>
        <v>0</v>
      </c>
      <c r="J95" s="35">
        <f t="shared" si="10"/>
        <v>2082</v>
      </c>
      <c r="K95" s="77">
        <f>$G931</f>
        <v>3.0953868004939471</v>
      </c>
      <c r="L95" s="74"/>
      <c r="M95" s="74"/>
      <c r="N95" s="74"/>
      <c r="O95" s="74"/>
      <c r="P95" s="74"/>
      <c r="Q95" s="74"/>
      <c r="R95" s="74"/>
      <c r="S95" s="74"/>
      <c r="T95" s="74"/>
      <c r="U95" s="74"/>
      <c r="V95" s="74"/>
      <c r="W95" s="74"/>
      <c r="X95" s="74"/>
      <c r="Y95" s="74"/>
      <c r="Z95" s="74"/>
    </row>
    <row r="96" spans="1:26" x14ac:dyDescent="0.3">
      <c r="A96" s="66">
        <f t="shared" si="14"/>
        <v>1998.8999999999919</v>
      </c>
      <c r="B96" s="67">
        <f>LOOKUP(A96+0.01,AmountsB!$A$4:$A$103,AmountsB!$B$4:$B$103)*0.1*$A$2</f>
        <v>0</v>
      </c>
      <c r="C96" s="68">
        <f t="shared" si="13"/>
        <v>0</v>
      </c>
      <c r="D96" s="67">
        <f t="array" ref="D96">SUM($B$7:$B91*$F$1009*EXP(-$F$1009*($A96-$A$7:$A91)))*$F$1010</f>
        <v>0</v>
      </c>
      <c r="E96" s="67">
        <f t="shared" si="11"/>
        <v>0</v>
      </c>
      <c r="F96" s="70">
        <f t="shared" si="15"/>
        <v>0</v>
      </c>
      <c r="G96" s="67">
        <f>E96/'Lookup Tables'!$C$48</f>
        <v>0</v>
      </c>
      <c r="H96" s="70" t="e">
        <f t="shared" si="12"/>
        <v>#DIV/0!</v>
      </c>
      <c r="I96" s="71">
        <f t="shared" si="16"/>
        <v>0</v>
      </c>
      <c r="J96" s="35">
        <f t="shared" si="10"/>
        <v>2083</v>
      </c>
      <c r="K96" s="77">
        <f>$G941</f>
        <v>2.8861195229991874</v>
      </c>
      <c r="L96" s="74"/>
      <c r="M96" s="74"/>
      <c r="N96" s="74"/>
      <c r="O96" s="74"/>
      <c r="P96" s="74"/>
      <c r="Q96" s="74"/>
      <c r="R96" s="74"/>
      <c r="S96" s="74"/>
      <c r="T96" s="74"/>
      <c r="U96" s="74"/>
      <c r="V96" s="74"/>
      <c r="W96" s="74"/>
      <c r="X96" s="74"/>
      <c r="Y96" s="74"/>
      <c r="Z96" s="74"/>
    </row>
    <row r="97" spans="1:26" x14ac:dyDescent="0.3">
      <c r="A97" s="66">
        <f t="shared" si="14"/>
        <v>1998.9999999999918</v>
      </c>
      <c r="B97" s="67">
        <f>LOOKUP(A97+0.01,AmountsB!$A$4:$A$103,AmountsB!$B$4:$B$103)*0.1*$A$2</f>
        <v>0</v>
      </c>
      <c r="C97" s="68">
        <f t="shared" si="13"/>
        <v>0</v>
      </c>
      <c r="D97" s="67">
        <f t="array" ref="D97">SUM($B$7:$B92*$F$1009*EXP(-$F$1009*($A97-$A$7:$A92)))*$F$1010</f>
        <v>0</v>
      </c>
      <c r="E97" s="67">
        <f t="shared" si="11"/>
        <v>0</v>
      </c>
      <c r="F97" s="70">
        <f t="shared" si="15"/>
        <v>0</v>
      </c>
      <c r="G97" s="67">
        <f>E97/'Lookup Tables'!$C$48</f>
        <v>0</v>
      </c>
      <c r="H97" s="70" t="e">
        <f t="shared" si="12"/>
        <v>#DIV/0!</v>
      </c>
      <c r="I97" s="71">
        <f t="shared" si="16"/>
        <v>0</v>
      </c>
      <c r="J97" s="35">
        <f t="shared" si="10"/>
        <v>2084</v>
      </c>
      <c r="K97" s="77">
        <f>$G951</f>
        <v>2.6910000067545155</v>
      </c>
      <c r="L97" s="74"/>
      <c r="M97" s="74"/>
      <c r="N97" s="74"/>
      <c r="O97" s="74"/>
      <c r="P97" s="74"/>
      <c r="Q97" s="74"/>
      <c r="R97" s="74"/>
      <c r="S97" s="74"/>
      <c r="T97" s="74"/>
      <c r="U97" s="74"/>
      <c r="V97" s="74"/>
      <c r="W97" s="74"/>
      <c r="X97" s="74"/>
      <c r="Y97" s="74"/>
      <c r="Z97" s="74"/>
    </row>
    <row r="98" spans="1:26" x14ac:dyDescent="0.3">
      <c r="A98" s="66">
        <f t="shared" si="14"/>
        <v>1999.0999999999917</v>
      </c>
      <c r="B98" s="67">
        <f>LOOKUP(A98+0.01,AmountsB!$A$4:$A$103,AmountsB!$B$4:$B$103)*0.1*$A$2</f>
        <v>0</v>
      </c>
      <c r="C98" s="68">
        <f t="shared" si="13"/>
        <v>0</v>
      </c>
      <c r="D98" s="67">
        <f t="array" ref="D98">SUM($B$7:$B93*$F$1009*EXP(-$F$1009*($A98-$A$7:$A93)))*$F$1010</f>
        <v>0</v>
      </c>
      <c r="E98" s="67">
        <f t="shared" si="11"/>
        <v>0</v>
      </c>
      <c r="F98" s="70">
        <f t="shared" si="15"/>
        <v>0</v>
      </c>
      <c r="G98" s="67">
        <f>E98/'Lookup Tables'!$C$48</f>
        <v>0</v>
      </c>
      <c r="H98" s="70" t="e">
        <f t="shared" si="12"/>
        <v>#DIV/0!</v>
      </c>
      <c r="I98" s="71">
        <f t="shared" si="16"/>
        <v>0</v>
      </c>
      <c r="J98" s="35">
        <f t="shared" si="10"/>
        <v>2085</v>
      </c>
      <c r="K98" s="77">
        <f>$G961</f>
        <v>2.5090717756649359</v>
      </c>
      <c r="L98" s="74"/>
      <c r="M98" s="74"/>
      <c r="N98" s="74"/>
      <c r="O98" s="74"/>
      <c r="P98" s="74"/>
      <c r="Q98" s="74"/>
      <c r="R98" s="74"/>
      <c r="S98" s="74"/>
      <c r="T98" s="74"/>
      <c r="U98" s="74"/>
      <c r="V98" s="74"/>
      <c r="W98" s="74"/>
      <c r="X98" s="74"/>
      <c r="Y98" s="74"/>
      <c r="Z98" s="74"/>
    </row>
    <row r="99" spans="1:26" x14ac:dyDescent="0.3">
      <c r="A99" s="66">
        <f t="shared" si="14"/>
        <v>1999.1999999999916</v>
      </c>
      <c r="B99" s="67">
        <f>LOOKUP(A99+0.01,AmountsB!$A$4:$A$103,AmountsB!$B$4:$B$103)*0.1*$A$2</f>
        <v>0</v>
      </c>
      <c r="C99" s="68">
        <f t="shared" si="13"/>
        <v>0</v>
      </c>
      <c r="D99" s="67">
        <f t="array" ref="D99">SUM($B$7:$B94*$F$1009*EXP(-$F$1009*($A99-$A$7:$A94)))*$F$1010</f>
        <v>0</v>
      </c>
      <c r="E99" s="67">
        <f t="shared" si="11"/>
        <v>0</v>
      </c>
      <c r="F99" s="70">
        <f t="shared" si="15"/>
        <v>0</v>
      </c>
      <c r="G99" s="67">
        <f>E99/'Lookup Tables'!$C$48</f>
        <v>0</v>
      </c>
      <c r="H99" s="70" t="e">
        <f t="shared" si="12"/>
        <v>#DIV/0!</v>
      </c>
      <c r="I99" s="71">
        <f t="shared" si="16"/>
        <v>0</v>
      </c>
      <c r="J99" s="35">
        <f t="shared" si="10"/>
        <v>2086</v>
      </c>
      <c r="K99" s="77">
        <f>$G971</f>
        <v>2.3394430173305776</v>
      </c>
      <c r="L99" s="74"/>
      <c r="M99" s="74"/>
      <c r="N99" s="74"/>
      <c r="O99" s="74"/>
      <c r="P99" s="74"/>
      <c r="Q99" s="74"/>
      <c r="R99" s="74"/>
      <c r="S99" s="74"/>
      <c r="T99" s="74"/>
      <c r="U99" s="74"/>
      <c r="V99" s="74"/>
      <c r="W99" s="74"/>
      <c r="X99" s="74"/>
      <c r="Y99" s="74"/>
      <c r="Z99" s="74"/>
    </row>
    <row r="100" spans="1:26" x14ac:dyDescent="0.3">
      <c r="A100" s="66">
        <f t="shared" si="14"/>
        <v>1999.2999999999915</v>
      </c>
      <c r="B100" s="67">
        <f>LOOKUP(A100+0.01,AmountsB!$A$4:$A$103,AmountsB!$B$4:$B$103)*0.1*$A$2</f>
        <v>0</v>
      </c>
      <c r="C100" s="68">
        <f t="shared" si="13"/>
        <v>0</v>
      </c>
      <c r="D100" s="67">
        <f t="array" ref="D100">SUM($B$7:$B95*$F$1009*EXP(-$F$1009*($A100-$A$7:$A95)))*$F$1010</f>
        <v>0</v>
      </c>
      <c r="E100" s="67">
        <f t="shared" si="11"/>
        <v>0</v>
      </c>
      <c r="F100" s="70">
        <f t="shared" si="15"/>
        <v>0</v>
      </c>
      <c r="G100" s="67">
        <f>E100/'Lookup Tables'!$C$48</f>
        <v>0</v>
      </c>
      <c r="H100" s="70" t="e">
        <f t="shared" si="12"/>
        <v>#DIV/0!</v>
      </c>
      <c r="I100" s="71">
        <f t="shared" si="16"/>
        <v>0</v>
      </c>
      <c r="J100" s="35">
        <f t="shared" si="10"/>
        <v>2087</v>
      </c>
      <c r="K100" s="77">
        <f>$G981</f>
        <v>2.1812822113812964</v>
      </c>
      <c r="L100" s="74"/>
      <c r="M100" s="74"/>
      <c r="N100" s="74"/>
      <c r="O100" s="74"/>
      <c r="P100" s="74"/>
      <c r="Q100" s="74"/>
      <c r="R100" s="74"/>
      <c r="S100" s="74"/>
      <c r="T100" s="74"/>
      <c r="U100" s="74"/>
      <c r="V100" s="74"/>
      <c r="W100" s="74"/>
      <c r="X100" s="74"/>
      <c r="Y100" s="74"/>
      <c r="Z100" s="74"/>
    </row>
    <row r="101" spans="1:26" x14ac:dyDescent="0.3">
      <c r="A101" s="66">
        <f t="shared" si="14"/>
        <v>1999.3999999999915</v>
      </c>
      <c r="B101" s="67">
        <f>LOOKUP(A101+0.01,AmountsB!$A$4:$A$103,AmountsB!$B$4:$B$103)*0.1*$A$2</f>
        <v>0</v>
      </c>
      <c r="C101" s="68">
        <f t="shared" si="13"/>
        <v>0</v>
      </c>
      <c r="D101" s="67">
        <f t="array" ref="D101">SUM($B$7:$B96*$F$1009*EXP(-$F$1009*($A101-$A$7:$A96)))*$F$1010</f>
        <v>0</v>
      </c>
      <c r="E101" s="67">
        <f t="shared" si="11"/>
        <v>0</v>
      </c>
      <c r="F101" s="70">
        <f t="shared" si="15"/>
        <v>0</v>
      </c>
      <c r="G101" s="67">
        <f>E101/'Lookup Tables'!$C$48</f>
        <v>0</v>
      </c>
      <c r="H101" s="70" t="e">
        <f t="shared" si="12"/>
        <v>#DIV/0!</v>
      </c>
      <c r="I101" s="71">
        <f t="shared" si="16"/>
        <v>0</v>
      </c>
      <c r="J101" s="35">
        <f t="shared" si="10"/>
        <v>2088</v>
      </c>
      <c r="K101" s="77">
        <f>$G991</f>
        <v>2.0338140533628302</v>
      </c>
      <c r="L101" s="74"/>
      <c r="M101" s="74"/>
      <c r="N101" s="74"/>
      <c r="O101" s="74"/>
      <c r="P101" s="74"/>
      <c r="Q101" s="74"/>
      <c r="R101" s="74"/>
      <c r="S101" s="74"/>
      <c r="T101" s="74"/>
      <c r="U101" s="74"/>
      <c r="V101" s="74"/>
      <c r="W101" s="74"/>
      <c r="X101" s="74"/>
      <c r="Y101" s="74"/>
      <c r="Z101" s="74"/>
    </row>
    <row r="102" spans="1:26" x14ac:dyDescent="0.3">
      <c r="A102" s="66">
        <f t="shared" si="14"/>
        <v>1999.4999999999914</v>
      </c>
      <c r="B102" s="67">
        <f>LOOKUP(A102+0.01,AmountsB!$A$4:$A$103,AmountsB!$B$4:$B$103)*0.1*$A$2</f>
        <v>0</v>
      </c>
      <c r="C102" s="68">
        <f t="shared" si="13"/>
        <v>0</v>
      </c>
      <c r="D102" s="67">
        <f t="array" ref="D102">SUM($B$7:$B97*$F$1009*EXP(-$F$1009*($A102-$A$7:$A97)))*$F$1010</f>
        <v>0</v>
      </c>
      <c r="E102" s="67">
        <f t="shared" si="11"/>
        <v>0</v>
      </c>
      <c r="F102" s="70">
        <f t="shared" si="15"/>
        <v>0</v>
      </c>
      <c r="G102" s="67">
        <f>E102/'Lookup Tables'!$C$48</f>
        <v>0</v>
      </c>
      <c r="H102" s="70" t="e">
        <f t="shared" si="12"/>
        <v>#DIV/0!</v>
      </c>
      <c r="I102" s="71">
        <f t="shared" si="16"/>
        <v>0</v>
      </c>
      <c r="J102" s="35">
        <f t="shared" si="10"/>
        <v>2089</v>
      </c>
      <c r="K102" s="77">
        <f>$G1001</f>
        <v>1.8963156541934889</v>
      </c>
      <c r="L102" s="74"/>
      <c r="M102" s="74"/>
      <c r="N102" s="74"/>
      <c r="O102" s="74"/>
      <c r="P102" s="74"/>
      <c r="Q102" s="74"/>
      <c r="R102" s="74"/>
      <c r="S102" s="74"/>
      <c r="T102" s="74"/>
      <c r="U102" s="74"/>
      <c r="V102" s="74"/>
      <c r="W102" s="74"/>
      <c r="X102" s="74"/>
      <c r="Y102" s="74"/>
      <c r="Z102" s="74"/>
    </row>
    <row r="103" spans="1:26" x14ac:dyDescent="0.3">
      <c r="A103" s="66">
        <f t="shared" si="14"/>
        <v>1999.5999999999913</v>
      </c>
      <c r="B103" s="67">
        <f>LOOKUP(A103+0.01,AmountsB!$A$4:$A$103,AmountsB!$B$4:$B$103)*0.1*$A$2</f>
        <v>0</v>
      </c>
      <c r="C103" s="68">
        <f t="shared" si="13"/>
        <v>0</v>
      </c>
      <c r="D103" s="67">
        <f t="array" ref="D103">SUM($B$7:$B98*$F$1009*EXP(-$F$1009*($A103-$A$7:$A98)))*$F$1010</f>
        <v>0</v>
      </c>
      <c r="E103" s="67">
        <f t="shared" si="11"/>
        <v>0</v>
      </c>
      <c r="F103" s="70">
        <f t="shared" si="15"/>
        <v>0</v>
      </c>
      <c r="G103" s="67">
        <f>E103/'Lookup Tables'!$C$48</f>
        <v>0</v>
      </c>
      <c r="H103" s="70" t="e">
        <f t="shared" si="12"/>
        <v>#DIV/0!</v>
      </c>
      <c r="I103" s="71">
        <f t="shared" si="16"/>
        <v>0</v>
      </c>
      <c r="K103" s="77"/>
      <c r="L103" s="74"/>
      <c r="M103" s="74"/>
      <c r="N103" s="74"/>
      <c r="O103" s="74"/>
      <c r="P103" s="74"/>
      <c r="Q103" s="74"/>
      <c r="R103" s="74"/>
      <c r="S103" s="74"/>
      <c r="T103" s="74"/>
      <c r="U103" s="74"/>
      <c r="V103" s="74"/>
      <c r="W103" s="74"/>
      <c r="X103" s="74"/>
      <c r="Y103" s="74"/>
      <c r="Z103" s="74"/>
    </row>
    <row r="104" spans="1:26" x14ac:dyDescent="0.3">
      <c r="A104" s="66">
        <f t="shared" si="14"/>
        <v>1999.6999999999912</v>
      </c>
      <c r="B104" s="67">
        <f>LOOKUP(A104+0.01,AmountsB!$A$4:$A$103,AmountsB!$B$4:$B$103)*0.1*$A$2</f>
        <v>0</v>
      </c>
      <c r="C104" s="68">
        <f t="shared" si="13"/>
        <v>0</v>
      </c>
      <c r="D104" s="67">
        <f t="array" ref="D104">SUM($B$7:$B99*$F$1009*EXP(-$F$1009*($A104-$A$7:$A99)))*$F$1010</f>
        <v>0</v>
      </c>
      <c r="E104" s="67">
        <f t="shared" si="11"/>
        <v>0</v>
      </c>
      <c r="F104" s="70">
        <f t="shared" si="15"/>
        <v>0</v>
      </c>
      <c r="G104" s="67">
        <f>E104/'Lookup Tables'!$C$48</f>
        <v>0</v>
      </c>
      <c r="H104" s="70" t="e">
        <f t="shared" si="12"/>
        <v>#DIV/0!</v>
      </c>
      <c r="I104" s="71">
        <f t="shared" si="16"/>
        <v>0</v>
      </c>
      <c r="K104" s="77"/>
      <c r="L104" s="74"/>
      <c r="M104" s="74"/>
      <c r="N104" s="74"/>
      <c r="O104" s="74"/>
      <c r="P104" s="74"/>
      <c r="Q104" s="74"/>
      <c r="R104" s="74"/>
      <c r="S104" s="74"/>
      <c r="T104" s="74"/>
      <c r="U104" s="74"/>
      <c r="V104" s="74"/>
      <c r="W104" s="74"/>
      <c r="X104" s="74"/>
      <c r="Y104" s="74"/>
      <c r="Z104" s="74"/>
    </row>
    <row r="105" spans="1:26" x14ac:dyDescent="0.3">
      <c r="A105" s="66">
        <f t="shared" si="14"/>
        <v>1999.7999999999911</v>
      </c>
      <c r="B105" s="67">
        <f>LOOKUP(A105+0.01,AmountsB!$A$4:$A$103,AmountsB!$B$4:$B$103)*0.1*$A$2</f>
        <v>0</v>
      </c>
      <c r="C105" s="68">
        <f t="shared" si="13"/>
        <v>0</v>
      </c>
      <c r="D105" s="67">
        <f t="array" ref="D105">SUM($B$7:$B100*$F$1009*EXP(-$F$1009*($A105-$A$7:$A100)))*$F$1010</f>
        <v>0</v>
      </c>
      <c r="E105" s="67">
        <f t="shared" si="11"/>
        <v>0</v>
      </c>
      <c r="F105" s="70">
        <f t="shared" si="15"/>
        <v>0</v>
      </c>
      <c r="G105" s="67">
        <f>E105/'Lookup Tables'!$C$48</f>
        <v>0</v>
      </c>
      <c r="H105" s="70" t="e">
        <f t="shared" si="12"/>
        <v>#DIV/0!</v>
      </c>
      <c r="I105" s="71">
        <f t="shared" si="16"/>
        <v>0</v>
      </c>
      <c r="K105" s="77"/>
      <c r="L105" s="74"/>
      <c r="M105" s="74"/>
      <c r="N105" s="74"/>
      <c r="O105" s="74"/>
      <c r="P105" s="74"/>
      <c r="Q105" s="74"/>
      <c r="R105" s="74"/>
      <c r="S105" s="74"/>
      <c r="T105" s="74"/>
      <c r="U105" s="74"/>
      <c r="V105" s="74"/>
      <c r="W105" s="74"/>
      <c r="X105" s="74"/>
      <c r="Y105" s="74"/>
      <c r="Z105" s="74"/>
    </row>
    <row r="106" spans="1:26" x14ac:dyDescent="0.3">
      <c r="A106" s="66">
        <f t="shared" si="14"/>
        <v>1999.899999999991</v>
      </c>
      <c r="B106" s="67">
        <f>LOOKUP(A106+0.01,AmountsB!$A$4:$A$103,AmountsB!$B$4:$B$103)*0.1*$A$2</f>
        <v>0</v>
      </c>
      <c r="C106" s="68">
        <f t="shared" si="13"/>
        <v>0</v>
      </c>
      <c r="D106" s="67">
        <f t="array" ref="D106">SUM($B$7:$B101*$F$1009*EXP(-$F$1009*($A106-$A$7:$A101)))*$F$1010</f>
        <v>0</v>
      </c>
      <c r="E106" s="67">
        <f t="shared" si="11"/>
        <v>0</v>
      </c>
      <c r="F106" s="70">
        <f t="shared" si="15"/>
        <v>0</v>
      </c>
      <c r="G106" s="67">
        <f>E106/'Lookup Tables'!$C$48</f>
        <v>0</v>
      </c>
      <c r="H106" s="70" t="e">
        <f t="shared" si="12"/>
        <v>#DIV/0!</v>
      </c>
      <c r="I106" s="71">
        <f t="shared" si="16"/>
        <v>0</v>
      </c>
      <c r="K106" s="77"/>
      <c r="L106" s="74"/>
      <c r="M106" s="74"/>
      <c r="N106" s="74"/>
      <c r="O106" s="74"/>
      <c r="P106" s="74"/>
      <c r="Q106" s="74"/>
      <c r="R106" s="74"/>
      <c r="S106" s="74"/>
      <c r="T106" s="74"/>
      <c r="U106" s="74"/>
      <c r="V106" s="74"/>
      <c r="W106" s="74"/>
      <c r="X106" s="74"/>
      <c r="Y106" s="74"/>
      <c r="Z106" s="74"/>
    </row>
    <row r="107" spans="1:26" x14ac:dyDescent="0.3">
      <c r="A107" s="66">
        <f t="shared" si="14"/>
        <v>1999.9999999999909</v>
      </c>
      <c r="B107" s="67">
        <f>LOOKUP(A107+0.01,AmountsB!$A$4:$A$103,AmountsB!$B$4:$B$103)*0.1*$A$2</f>
        <v>3083.01603574</v>
      </c>
      <c r="C107" s="68">
        <f t="shared" si="13"/>
        <v>3083.01603574</v>
      </c>
      <c r="D107" s="67">
        <f t="array" ref="D107">SUM($B$7:$B102*$F$1009*EXP(-$F$1009*($A107-$A$7:$A102)))*$F$1010</f>
        <v>0</v>
      </c>
      <c r="E107" s="67">
        <f t="shared" si="11"/>
        <v>0</v>
      </c>
      <c r="F107" s="70">
        <f t="shared" si="15"/>
        <v>0</v>
      </c>
      <c r="G107" s="67">
        <f>E107/'Lookup Tables'!$C$48</f>
        <v>0</v>
      </c>
      <c r="H107" s="70">
        <f t="shared" si="12"/>
        <v>0</v>
      </c>
      <c r="I107" s="71">
        <f t="shared" si="16"/>
        <v>0</v>
      </c>
      <c r="K107" s="77"/>
      <c r="L107" s="74"/>
      <c r="M107" s="74"/>
      <c r="N107" s="74"/>
      <c r="O107" s="74"/>
      <c r="P107" s="74"/>
      <c r="Q107" s="74"/>
      <c r="R107" s="74"/>
      <c r="S107" s="74"/>
      <c r="T107" s="74"/>
      <c r="U107" s="74"/>
      <c r="V107" s="74"/>
      <c r="W107" s="74"/>
      <c r="X107" s="74"/>
      <c r="Y107" s="74"/>
      <c r="Z107" s="74"/>
    </row>
    <row r="108" spans="1:26" x14ac:dyDescent="0.3">
      <c r="A108" s="66">
        <f t="shared" si="14"/>
        <v>2000.0999999999908</v>
      </c>
      <c r="B108" s="67">
        <f>LOOKUP(A108+0.01,AmountsB!$A$4:$A$103,AmountsB!$B$4:$B$103)*0.1*$A$2</f>
        <v>3083.01603574</v>
      </c>
      <c r="C108" s="68">
        <f t="shared" si="13"/>
        <v>6166.03207148</v>
      </c>
      <c r="D108" s="67">
        <f t="array" ref="D108">SUM($B$7:$B103*$F$1009*EXP(-$F$1009*($A108-$A$7:$A103)))*$F$1010</f>
        <v>0</v>
      </c>
      <c r="E108" s="67">
        <f t="shared" si="11"/>
        <v>0</v>
      </c>
      <c r="F108" s="70">
        <f t="shared" si="15"/>
        <v>0</v>
      </c>
      <c r="G108" s="67">
        <f>E108/'Lookup Tables'!$C$48</f>
        <v>0</v>
      </c>
      <c r="H108" s="70">
        <f t="shared" si="12"/>
        <v>0</v>
      </c>
      <c r="I108" s="71">
        <f t="shared" si="16"/>
        <v>0</v>
      </c>
      <c r="K108" s="77"/>
      <c r="L108" s="74"/>
      <c r="M108" s="74"/>
      <c r="N108" s="74"/>
      <c r="O108" s="74"/>
      <c r="P108" s="74"/>
      <c r="Q108" s="74"/>
      <c r="R108" s="74"/>
      <c r="S108" s="74"/>
      <c r="T108" s="74"/>
      <c r="U108" s="74"/>
      <c r="V108" s="74"/>
      <c r="W108" s="74"/>
      <c r="X108" s="74"/>
      <c r="Y108" s="74"/>
      <c r="Z108" s="74"/>
    </row>
    <row r="109" spans="1:26" x14ac:dyDescent="0.3">
      <c r="A109" s="66">
        <f t="shared" si="14"/>
        <v>2000.1999999999907</v>
      </c>
      <c r="B109" s="67">
        <f>LOOKUP(A109+0.01,AmountsB!$A$4:$A$103,AmountsB!$B$4:$B$103)*0.1*$A$2</f>
        <v>3083.01603574</v>
      </c>
      <c r="C109" s="68">
        <f t="shared" si="13"/>
        <v>9249.04810722</v>
      </c>
      <c r="D109" s="67">
        <f t="array" ref="D109">SUM($B$7:$B104*$F$1009*EXP(-$F$1009*($A109-$A$7:$A104)))*$F$1010</f>
        <v>0</v>
      </c>
      <c r="E109" s="67">
        <f t="shared" si="11"/>
        <v>0</v>
      </c>
      <c r="F109" s="70">
        <f t="shared" si="15"/>
        <v>0</v>
      </c>
      <c r="G109" s="67">
        <f>E109/'Lookup Tables'!$C$48</f>
        <v>0</v>
      </c>
      <c r="H109" s="70">
        <f t="shared" si="12"/>
        <v>0</v>
      </c>
      <c r="I109" s="71">
        <f t="shared" si="16"/>
        <v>0</v>
      </c>
      <c r="K109" s="77"/>
      <c r="L109" s="74"/>
      <c r="M109" s="74"/>
      <c r="N109" s="74"/>
      <c r="O109" s="74"/>
      <c r="P109" s="74"/>
      <c r="Q109" s="74"/>
      <c r="R109" s="74"/>
      <c r="S109" s="74"/>
      <c r="T109" s="74"/>
      <c r="U109" s="74"/>
      <c r="V109" s="74"/>
      <c r="W109" s="74"/>
      <c r="X109" s="74"/>
      <c r="Y109" s="74"/>
      <c r="Z109" s="74"/>
    </row>
    <row r="110" spans="1:26" x14ac:dyDescent="0.3">
      <c r="A110" s="66">
        <f t="shared" si="14"/>
        <v>2000.2999999999906</v>
      </c>
      <c r="B110" s="67">
        <f>LOOKUP(A110+0.01,AmountsB!$A$4:$A$103,AmountsB!$B$4:$B$103)*0.1*$A$2</f>
        <v>3083.01603574</v>
      </c>
      <c r="C110" s="68">
        <f t="shared" si="13"/>
        <v>12332.06414296</v>
      </c>
      <c r="D110" s="67">
        <f t="array" ref="D110">SUM($B$7:$B105*$F$1009*EXP(-$F$1009*($A110-$A$7:$A105)))*$F$1010</f>
        <v>0</v>
      </c>
      <c r="E110" s="67">
        <f t="shared" si="11"/>
        <v>0</v>
      </c>
      <c r="F110" s="70">
        <f t="shared" si="15"/>
        <v>0</v>
      </c>
      <c r="G110" s="67">
        <f>E110/'Lookup Tables'!$C$48</f>
        <v>0</v>
      </c>
      <c r="H110" s="70">
        <f t="shared" si="12"/>
        <v>0</v>
      </c>
      <c r="I110" s="71">
        <f t="shared" si="16"/>
        <v>0</v>
      </c>
      <c r="L110" s="74"/>
      <c r="M110" s="74"/>
      <c r="N110" s="74"/>
      <c r="O110" s="74"/>
      <c r="P110" s="74"/>
      <c r="Q110" s="74"/>
      <c r="R110" s="74"/>
      <c r="S110" s="74"/>
      <c r="T110" s="74"/>
      <c r="U110" s="74"/>
      <c r="V110" s="74"/>
      <c r="W110" s="74"/>
      <c r="X110" s="74"/>
      <c r="Y110" s="74"/>
      <c r="Z110" s="74"/>
    </row>
    <row r="111" spans="1:26" x14ac:dyDescent="0.3">
      <c r="A111" s="66">
        <f t="shared" si="14"/>
        <v>2000.3999999999905</v>
      </c>
      <c r="B111" s="67">
        <f>LOOKUP(A111+0.01,AmountsB!$A$4:$A$103,AmountsB!$B$4:$B$103)*0.1*$A$2</f>
        <v>3083.01603574</v>
      </c>
      <c r="C111" s="68">
        <f t="shared" si="13"/>
        <v>15415.0801787</v>
      </c>
      <c r="D111" s="67">
        <f t="array" ref="D111">SUM($B$7:$B106*$F$1009*EXP(-$F$1009*($A111-$A$7:$A106)))*$F$1010</f>
        <v>0</v>
      </c>
      <c r="E111" s="67">
        <f t="shared" si="11"/>
        <v>0</v>
      </c>
      <c r="F111" s="70">
        <f t="shared" si="15"/>
        <v>0</v>
      </c>
      <c r="G111" s="67">
        <f>E111/'Lookup Tables'!$C$48</f>
        <v>0</v>
      </c>
      <c r="H111" s="70">
        <f t="shared" si="12"/>
        <v>0</v>
      </c>
      <c r="I111" s="71">
        <f t="shared" si="16"/>
        <v>0</v>
      </c>
      <c r="L111" s="74"/>
      <c r="M111" s="74"/>
      <c r="N111" s="74"/>
      <c r="O111" s="74"/>
      <c r="P111" s="74"/>
      <c r="Q111" s="74"/>
      <c r="R111" s="74"/>
      <c r="S111" s="74"/>
      <c r="T111" s="74"/>
      <c r="U111" s="74"/>
      <c r="V111" s="74"/>
      <c r="W111" s="74"/>
      <c r="X111" s="74"/>
      <c r="Y111" s="74"/>
      <c r="Z111" s="74"/>
    </row>
    <row r="112" spans="1:26" x14ac:dyDescent="0.3">
      <c r="A112" s="66">
        <f t="shared" si="14"/>
        <v>2000.4999999999905</v>
      </c>
      <c r="B112" s="67">
        <f>LOOKUP(A112+0.01,AmountsB!$A$4:$A$103,AmountsB!$B$4:$B$103)*0.1*$A$2</f>
        <v>3083.01603574</v>
      </c>
      <c r="C112" s="68">
        <f t="shared" si="13"/>
        <v>18498.09621444</v>
      </c>
      <c r="D112" s="67">
        <f t="array" ref="D112">SUM($B$7:$B107*$F$1009*EXP(-$F$1009*($A112-$A$7:$A107)))*$F$1010</f>
        <v>620918.83652458678</v>
      </c>
      <c r="E112" s="67">
        <f t="shared" si="11"/>
        <v>1.1837269470814331</v>
      </c>
      <c r="F112" s="70">
        <f t="shared" si="15"/>
        <v>7.1875900226784625E-2</v>
      </c>
      <c r="G112" s="67">
        <f>E112/'Lookup Tables'!$C$48</f>
        <v>2.3674538941628662</v>
      </c>
      <c r="H112" s="70">
        <f t="shared" si="12"/>
        <v>3.3634103540899782E-2</v>
      </c>
      <c r="I112" s="71">
        <f t="shared" si="16"/>
        <v>3.4091336075945272E-3</v>
      </c>
      <c r="L112" s="74"/>
      <c r="M112" s="74"/>
      <c r="N112" s="74"/>
      <c r="O112" s="74"/>
      <c r="P112" s="74"/>
      <c r="Q112" s="74"/>
      <c r="R112" s="74"/>
      <c r="S112" s="74"/>
      <c r="T112" s="74"/>
      <c r="U112" s="74"/>
      <c r="V112" s="74"/>
      <c r="W112" s="74"/>
      <c r="X112" s="74"/>
      <c r="Y112" s="74"/>
      <c r="Z112" s="74"/>
    </row>
    <row r="113" spans="1:26" x14ac:dyDescent="0.3">
      <c r="A113" s="66">
        <f t="shared" si="14"/>
        <v>2000.5999999999904</v>
      </c>
      <c r="B113" s="67">
        <f>LOOKUP(A113+0.01,AmountsB!$A$4:$A$103,AmountsB!$B$4:$B$103)*0.1*$A$2</f>
        <v>3083.01603574</v>
      </c>
      <c r="C113" s="68">
        <f t="shared" si="13"/>
        <v>21581.112250179998</v>
      </c>
      <c r="D113" s="67">
        <f t="array" ref="D113">SUM($B$7:$B108*$F$1009*EXP(-$F$1009*($A113-$A$7:$A108)))*$F$1010</f>
        <v>1237506.4182711709</v>
      </c>
      <c r="E113" s="67">
        <f t="shared" si="11"/>
        <v>2.3591967392920394</v>
      </c>
      <c r="F113" s="70">
        <f t="shared" si="15"/>
        <v>0.14325042600981266</v>
      </c>
      <c r="G113" s="67">
        <f>E113/'Lookup Tables'!$C$48</f>
        <v>4.7183934785840789</v>
      </c>
      <c r="H113" s="70">
        <f t="shared" si="12"/>
        <v>5.7457363262709213E-2</v>
      </c>
      <c r="I113" s="71">
        <f t="shared" si="16"/>
        <v>6.7944866091610738E-3</v>
      </c>
      <c r="L113" s="74"/>
      <c r="M113" s="74"/>
      <c r="N113" s="74"/>
      <c r="O113" s="74"/>
      <c r="P113" s="74"/>
      <c r="Q113" s="74"/>
      <c r="R113" s="74"/>
      <c r="S113" s="74"/>
      <c r="T113" s="74"/>
      <c r="U113" s="74"/>
      <c r="V113" s="74"/>
      <c r="W113" s="74"/>
      <c r="X113" s="74"/>
      <c r="Y113" s="74"/>
      <c r="Z113" s="74"/>
    </row>
    <row r="114" spans="1:26" x14ac:dyDescent="0.3">
      <c r="A114" s="66">
        <f t="shared" si="14"/>
        <v>2000.6999999999903</v>
      </c>
      <c r="B114" s="67">
        <f>LOOKUP(A114+0.01,AmountsB!$A$4:$A$103,AmountsB!$B$4:$B$103)*0.1*$A$2</f>
        <v>3083.01603574</v>
      </c>
      <c r="C114" s="68">
        <f t="shared" si="13"/>
        <v>24664.12828592</v>
      </c>
      <c r="D114" s="67">
        <f t="array" ref="D114">SUM($B$7:$B109*$F$1009*EXP(-$F$1009*($A114-$A$7:$A109)))*$F$1010</f>
        <v>1849792.9581546271</v>
      </c>
      <c r="E114" s="67">
        <f t="shared" si="11"/>
        <v>3.5264669748868305</v>
      </c>
      <c r="F114" s="70">
        <f t="shared" si="15"/>
        <v>0.21412707471512835</v>
      </c>
      <c r="G114" s="67">
        <f>E114/'Lookup Tables'!$C$48</f>
        <v>7.0529339497736609</v>
      </c>
      <c r="H114" s="70">
        <f t="shared" si="12"/>
        <v>7.515007303374395E-2</v>
      </c>
      <c r="I114" s="71">
        <f t="shared" si="16"/>
        <v>1.0156224887674072E-2</v>
      </c>
      <c r="L114" s="74"/>
      <c r="M114" s="74"/>
      <c r="N114" s="74"/>
      <c r="O114" s="74"/>
      <c r="P114" s="74"/>
      <c r="Q114" s="74"/>
      <c r="R114" s="74"/>
      <c r="S114" s="74"/>
      <c r="T114" s="74"/>
      <c r="U114" s="74"/>
      <c r="V114" s="74"/>
      <c r="W114" s="74"/>
      <c r="X114" s="74"/>
      <c r="Y114" s="74"/>
      <c r="Z114" s="74"/>
    </row>
    <row r="115" spans="1:26" x14ac:dyDescent="0.3">
      <c r="A115" s="66">
        <f t="shared" si="14"/>
        <v>2000.7999999999902</v>
      </c>
      <c r="B115" s="67">
        <f>LOOKUP(A115+0.01,AmountsB!$A$4:$A$103,AmountsB!$B$4:$B$103)*0.1*$A$2</f>
        <v>3083.01603574</v>
      </c>
      <c r="C115" s="68">
        <f t="shared" si="13"/>
        <v>27747.144321660002</v>
      </c>
      <c r="D115" s="67">
        <f t="array" ref="D115">SUM($B$7:$B110*$F$1009*EXP(-$F$1009*($A115-$A$7:$A110)))*$F$1010</f>
        <v>2457808.4583379184</v>
      </c>
      <c r="E115" s="67">
        <f t="shared" si="11"/>
        <v>4.6855948503409008</v>
      </c>
      <c r="F115" s="70">
        <f t="shared" si="15"/>
        <v>0.28450931931269952</v>
      </c>
      <c r="G115" s="67">
        <f>E115/'Lookup Tables'!$C$48</f>
        <v>9.3711897006818017</v>
      </c>
      <c r="H115" s="70">
        <f t="shared" si="12"/>
        <v>8.875683294791184E-2</v>
      </c>
      <c r="I115" s="71">
        <f t="shared" si="16"/>
        <v>1.3494513168981793E-2</v>
      </c>
      <c r="L115" s="74"/>
      <c r="M115" s="74"/>
      <c r="N115" s="74"/>
      <c r="O115" s="74"/>
      <c r="P115" s="74"/>
      <c r="Q115" s="74"/>
      <c r="R115" s="74"/>
      <c r="S115" s="74"/>
      <c r="T115" s="74"/>
      <c r="U115" s="74"/>
      <c r="V115" s="74"/>
      <c r="W115" s="74"/>
      <c r="X115" s="74"/>
      <c r="Y115" s="74"/>
      <c r="Z115" s="74"/>
    </row>
    <row r="116" spans="1:26" x14ac:dyDescent="0.3">
      <c r="A116" s="66">
        <f t="shared" si="14"/>
        <v>2000.8999999999901</v>
      </c>
      <c r="B116" s="67">
        <f>LOOKUP(A116+0.01,AmountsB!$A$4:$A$103,AmountsB!$B$4:$B$103)*0.1*$A$2</f>
        <v>3083.01603574</v>
      </c>
      <c r="C116" s="68">
        <f t="shared" si="13"/>
        <v>30830.160357400004</v>
      </c>
      <c r="D116" s="67">
        <f t="array" ref="D116">SUM($B$7:$B111*$F$1009*EXP(-$F$1009*($A116-$A$7:$A111)))*$F$1010</f>
        <v>3061582.7117022076</v>
      </c>
      <c r="E116" s="67">
        <f t="shared" si="11"/>
        <v>5.8366371631520719</v>
      </c>
      <c r="F116" s="70">
        <f t="shared" si="15"/>
        <v>0.35440060854659383</v>
      </c>
      <c r="G116" s="67">
        <f>E116/'Lookup Tables'!$C$48</f>
        <v>11.673274326304144</v>
      </c>
      <c r="H116" s="70">
        <f t="shared" si="12"/>
        <v>9.9504396259696898E-2</v>
      </c>
      <c r="I116" s="71">
        <f t="shared" si="16"/>
        <v>1.6809515029877965E-2</v>
      </c>
      <c r="L116" s="74"/>
      <c r="M116" s="74"/>
      <c r="N116" s="74"/>
      <c r="O116" s="74"/>
      <c r="P116" s="74"/>
      <c r="Q116" s="74"/>
      <c r="R116" s="74"/>
      <c r="S116" s="74"/>
      <c r="T116" s="74"/>
      <c r="U116" s="74"/>
      <c r="V116" s="74"/>
      <c r="W116" s="74"/>
      <c r="X116" s="74"/>
      <c r="Y116" s="74"/>
      <c r="Z116" s="74"/>
    </row>
    <row r="117" spans="1:26" x14ac:dyDescent="0.3">
      <c r="A117" s="66">
        <f t="shared" si="14"/>
        <v>2000.99999999999</v>
      </c>
      <c r="B117" s="67">
        <f>LOOKUP(A117+0.01,AmountsB!$A$4:$A$103,AmountsB!$B$4:$B$103)*0.1*$A$2</f>
        <v>3144.71264858</v>
      </c>
      <c r="C117" s="68">
        <f t="shared" si="13"/>
        <v>33974.87300598</v>
      </c>
      <c r="D117" s="67">
        <f t="array" ref="D117">SUM($B$7:$B112*$F$1009*EXP(-$F$1009*($A117-$A$7:$A112)))*$F$1010</f>
        <v>3661145.3033067137</v>
      </c>
      <c r="E117" s="67">
        <f t="shared" si="11"/>
        <v>6.9796503146239735</v>
      </c>
      <c r="F117" s="70">
        <f t="shared" si="15"/>
        <v>0.42380436710396768</v>
      </c>
      <c r="G117" s="67">
        <f>E117/'Lookup Tables'!$C$48</f>
        <v>13.959300629247947</v>
      </c>
      <c r="H117" s="70">
        <f t="shared" si="12"/>
        <v>0.10797698065628261</v>
      </c>
      <c r="I117" s="71">
        <f t="shared" si="16"/>
        <v>2.0101392906117045E-2</v>
      </c>
      <c r="L117" s="74"/>
      <c r="M117" s="74"/>
      <c r="N117" s="74"/>
      <c r="O117" s="74"/>
      <c r="P117" s="74"/>
      <c r="Q117" s="74"/>
      <c r="R117" s="74"/>
      <c r="S117" s="74"/>
      <c r="T117" s="74"/>
      <c r="U117" s="74"/>
      <c r="V117" s="74"/>
      <c r="W117" s="74"/>
      <c r="X117" s="74"/>
      <c r="Y117" s="74"/>
      <c r="Z117" s="74"/>
    </row>
    <row r="118" spans="1:26" x14ac:dyDescent="0.3">
      <c r="A118" s="66">
        <f t="shared" si="14"/>
        <v>2001.0999999999899</v>
      </c>
      <c r="B118" s="67">
        <f>LOOKUP(A118+0.01,AmountsB!$A$4:$A$103,AmountsB!$B$4:$B$103)*0.1*$A$2</f>
        <v>3144.71264858</v>
      </c>
      <c r="C118" s="68">
        <f t="shared" si="13"/>
        <v>37119.585654559996</v>
      </c>
      <c r="D118" s="67">
        <f t="array" ref="D118">SUM($B$7:$B113*$F$1009*EXP(-$F$1009*($A118-$A$7:$A113)))*$F$1010</f>
        <v>4256525.6118383892</v>
      </c>
      <c r="E118" s="67">
        <f t="shared" si="11"/>
        <v>8.1146903126297278</v>
      </c>
      <c r="F118" s="70">
        <f t="shared" si="15"/>
        <v>0.49272399578287701</v>
      </c>
      <c r="G118" s="67">
        <f>E118/'Lookup Tables'!$C$48</f>
        <v>16.229380625259456</v>
      </c>
      <c r="H118" s="70">
        <f t="shared" si="12"/>
        <v>0.11490110013645143</v>
      </c>
      <c r="I118" s="71">
        <f t="shared" si="16"/>
        <v>2.3370308100373615E-2</v>
      </c>
      <c r="L118" s="74"/>
      <c r="M118" s="74"/>
      <c r="N118" s="74"/>
      <c r="O118" s="74"/>
      <c r="P118" s="74"/>
      <c r="Q118" s="74"/>
      <c r="R118" s="74"/>
      <c r="S118" s="74"/>
      <c r="T118" s="74"/>
      <c r="U118" s="74"/>
      <c r="V118" s="74"/>
      <c r="W118" s="74"/>
      <c r="X118" s="74"/>
      <c r="Y118" s="74"/>
      <c r="Z118" s="74"/>
    </row>
    <row r="119" spans="1:26" x14ac:dyDescent="0.3">
      <c r="A119" s="66">
        <f t="shared" si="14"/>
        <v>2001.1999999999898</v>
      </c>
      <c r="B119" s="67">
        <f>LOOKUP(A119+0.01,AmountsB!$A$4:$A$103,AmountsB!$B$4:$B$103)*0.1*$A$2</f>
        <v>3144.71264858</v>
      </c>
      <c r="C119" s="68">
        <f t="shared" si="13"/>
        <v>40264.298303139993</v>
      </c>
      <c r="D119" s="67">
        <f t="array" ref="D119">SUM($B$7:$B114*$F$1009*EXP(-$F$1009*($A119-$A$7:$A114)))*$F$1010</f>
        <v>4847752.8110514786</v>
      </c>
      <c r="E119" s="67">
        <f t="shared" si="11"/>
        <v>9.2418127743563385</v>
      </c>
      <c r="F119" s="70">
        <f t="shared" si="15"/>
        <v>0.56116287165891698</v>
      </c>
      <c r="G119" s="67">
        <f>E119/'Lookup Tables'!$C$48</f>
        <v>18.483625548712677</v>
      </c>
      <c r="H119" s="70">
        <f t="shared" si="12"/>
        <v>0.12064029422866863</v>
      </c>
      <c r="I119" s="71">
        <f t="shared" si="16"/>
        <v>2.6616420790146259E-2</v>
      </c>
      <c r="L119" s="74"/>
      <c r="M119" s="74"/>
      <c r="N119" s="74"/>
      <c r="O119" s="74"/>
      <c r="P119" s="74"/>
      <c r="Q119" s="74"/>
      <c r="R119" s="74"/>
      <c r="S119" s="74"/>
      <c r="T119" s="74"/>
      <c r="U119" s="74"/>
      <c r="V119" s="74"/>
      <c r="W119" s="74"/>
      <c r="X119" s="74"/>
      <c r="Y119" s="74"/>
      <c r="Z119" s="74"/>
    </row>
    <row r="120" spans="1:26" x14ac:dyDescent="0.3">
      <c r="A120" s="66">
        <f t="shared" si="14"/>
        <v>2001.2999999999897</v>
      </c>
      <c r="B120" s="67">
        <f>LOOKUP(A120+0.01,AmountsB!$A$4:$A$103,AmountsB!$B$4:$B$103)*0.1*$A$2</f>
        <v>3144.71264858</v>
      </c>
      <c r="C120" s="68">
        <f t="shared" si="13"/>
        <v>43409.010951719989</v>
      </c>
      <c r="D120" s="67">
        <f t="array" ref="D120">SUM($B$7:$B115*$F$1009*EXP(-$F$1009*($A120-$A$7:$A115)))*$F$1010</f>
        <v>5434855.8711970365</v>
      </c>
      <c r="E120" s="67">
        <f t="shared" si="11"/>
        <v>10.361072929029952</v>
      </c>
      <c r="F120" s="70">
        <f t="shared" si="15"/>
        <v>0.62912434825069863</v>
      </c>
      <c r="G120" s="67">
        <f>E120/'Lookup Tables'!$C$48</f>
        <v>20.722145858059903</v>
      </c>
      <c r="H120" s="70">
        <f t="shared" si="12"/>
        <v>0.12545275305984288</v>
      </c>
      <c r="I120" s="71">
        <f t="shared" si="16"/>
        <v>2.9839890035606262E-2</v>
      </c>
      <c r="L120" s="74"/>
      <c r="M120" s="74"/>
      <c r="N120" s="74"/>
      <c r="O120" s="74"/>
      <c r="P120" s="74"/>
      <c r="Q120" s="74"/>
      <c r="R120" s="74"/>
      <c r="S120" s="74"/>
      <c r="T120" s="74"/>
      <c r="U120" s="74"/>
      <c r="V120" s="74"/>
      <c r="W120" s="74"/>
      <c r="X120" s="74"/>
      <c r="Y120" s="74"/>
      <c r="Z120" s="74"/>
    </row>
    <row r="121" spans="1:26" x14ac:dyDescent="0.3">
      <c r="A121" s="66">
        <f t="shared" si="14"/>
        <v>2001.3999999999896</v>
      </c>
      <c r="B121" s="67">
        <f>LOOKUP(A121+0.01,AmountsB!$A$4:$A$103,AmountsB!$B$4:$B$103)*0.1*$A$2</f>
        <v>3144.71264858</v>
      </c>
      <c r="C121" s="68">
        <f t="shared" si="13"/>
        <v>46553.723600299985</v>
      </c>
      <c r="D121" s="67">
        <f t="array" ref="D121">SUM($B$7:$B116*$F$1009*EXP(-$F$1009*($A121-$A$7:$A116)))*$F$1010</f>
        <v>6017863.5604424812</v>
      </c>
      <c r="E121" s="67">
        <f t="shared" si="11"/>
        <v>11.472525620622092</v>
      </c>
      <c r="F121" s="70">
        <f t="shared" si="15"/>
        <v>0.69661175568417344</v>
      </c>
      <c r="G121" s="67">
        <f>E121/'Lookup Tables'!$C$48</f>
        <v>22.945051241244183</v>
      </c>
      <c r="H121" s="70">
        <f t="shared" si="12"/>
        <v>0.12952689924378286</v>
      </c>
      <c r="I121" s="71">
        <f t="shared" si="16"/>
        <v>3.3040873787391623E-2</v>
      </c>
      <c r="L121" s="74"/>
      <c r="M121" s="74"/>
      <c r="N121" s="74"/>
      <c r="O121" s="74"/>
      <c r="P121" s="74"/>
      <c r="Q121" s="74"/>
      <c r="R121" s="74"/>
      <c r="S121" s="74"/>
      <c r="T121" s="74"/>
      <c r="U121" s="74"/>
      <c r="V121" s="74"/>
      <c r="W121" s="74"/>
      <c r="X121" s="74"/>
      <c r="Y121" s="74"/>
      <c r="Z121" s="74"/>
    </row>
    <row r="122" spans="1:26" x14ac:dyDescent="0.3">
      <c r="A122" s="66">
        <f t="shared" si="14"/>
        <v>2001.4999999999895</v>
      </c>
      <c r="B122" s="67">
        <f>LOOKUP(A122+0.01,AmountsB!$A$4:$A$103,AmountsB!$B$4:$B$103)*0.1*$A$2</f>
        <v>3144.71264858</v>
      </c>
      <c r="C122" s="68">
        <f t="shared" si="13"/>
        <v>49698.436248879982</v>
      </c>
      <c r="D122" s="67">
        <f t="array" ref="D122">SUM($B$7:$B117*$F$1009*EXP(-$F$1009*($A122-$A$7:$A117)))*$F$1010</f>
        <v>6609230.1322387597</v>
      </c>
      <c r="E122" s="67">
        <f t="shared" si="11"/>
        <v>12.599913783874733</v>
      </c>
      <c r="F122" s="70">
        <f t="shared" si="15"/>
        <v>0.76506676495687376</v>
      </c>
      <c r="G122" s="67">
        <f>E122/'Lookup Tables'!$C$48</f>
        <v>25.199827567749466</v>
      </c>
      <c r="H122" s="70">
        <f t="shared" si="12"/>
        <v>0.13325398512823039</v>
      </c>
      <c r="I122" s="71">
        <f t="shared" si="16"/>
        <v>3.6287751697559233E-2</v>
      </c>
      <c r="L122" s="74"/>
      <c r="M122" s="74"/>
      <c r="N122" s="74"/>
      <c r="O122" s="74"/>
      <c r="P122" s="74"/>
      <c r="Q122" s="74"/>
      <c r="R122" s="74"/>
      <c r="S122" s="74"/>
      <c r="T122" s="74"/>
      <c r="U122" s="74"/>
      <c r="V122" s="74"/>
      <c r="W122" s="74"/>
      <c r="X122" s="74"/>
      <c r="Y122" s="74"/>
      <c r="Z122" s="74"/>
    </row>
    <row r="123" spans="1:26" x14ac:dyDescent="0.3">
      <c r="A123" s="66">
        <f t="shared" si="14"/>
        <v>2001.5999999999894</v>
      </c>
      <c r="B123" s="67">
        <f>LOOKUP(A123+0.01,AmountsB!$A$4:$A$103,AmountsB!$B$4:$B$103)*0.1*$A$2</f>
        <v>3144.71264858</v>
      </c>
      <c r="C123" s="68">
        <f t="shared" si="13"/>
        <v>52843.148897459978</v>
      </c>
      <c r="D123" s="67">
        <f t="array" ref="D123">SUM($B$7:$B118*$F$1009*EXP(-$F$1009*($A123-$A$7:$A118)))*$F$1010</f>
        <v>7196471.5927660996</v>
      </c>
      <c r="E123" s="67">
        <f t="shared" si="11"/>
        <v>13.719437786658219</v>
      </c>
      <c r="F123" s="70">
        <f t="shared" si="15"/>
        <v>0.83304426240588714</v>
      </c>
      <c r="G123" s="67">
        <f>E123/'Lookup Tables'!$C$48</f>
        <v>27.438875573316437</v>
      </c>
      <c r="H123" s="70">
        <f t="shared" si="12"/>
        <v>0.13645925065253198</v>
      </c>
      <c r="I123" s="71">
        <f t="shared" si="16"/>
        <v>3.9511980825575672E-2</v>
      </c>
      <c r="L123" s="74"/>
      <c r="M123" s="74"/>
      <c r="N123" s="74"/>
      <c r="O123" s="74"/>
      <c r="P123" s="74"/>
      <c r="Q123" s="74"/>
      <c r="R123" s="74"/>
      <c r="S123" s="74"/>
      <c r="T123" s="74"/>
      <c r="U123" s="74"/>
      <c r="V123" s="74"/>
      <c r="W123" s="74"/>
      <c r="X123" s="74"/>
      <c r="Y123" s="74"/>
      <c r="Z123" s="74"/>
    </row>
    <row r="124" spans="1:26" x14ac:dyDescent="0.3">
      <c r="A124" s="66">
        <f t="shared" si="14"/>
        <v>2001.6999999999894</v>
      </c>
      <c r="B124" s="67">
        <f>LOOKUP(A124+0.01,AmountsB!$A$4:$A$103,AmountsB!$B$4:$B$103)*0.1*$A$2</f>
        <v>3144.71264858</v>
      </c>
      <c r="C124" s="68">
        <f t="shared" si="13"/>
        <v>55987.861546039974</v>
      </c>
      <c r="D124" s="67">
        <f t="array" ref="D124">SUM($B$7:$B119*$F$1009*EXP(-$F$1009*($A124-$A$7:$A119)))*$F$1010</f>
        <v>7779616.7169735655</v>
      </c>
      <c r="E124" s="67">
        <f t="shared" si="11"/>
        <v>14.831152485872684</v>
      </c>
      <c r="F124" s="70">
        <f t="shared" si="15"/>
        <v>0.9005475789421894</v>
      </c>
      <c r="G124" s="67">
        <f>E124/'Lookup Tables'!$C$48</f>
        <v>29.662304971745368</v>
      </c>
      <c r="H124" s="70">
        <f t="shared" si="12"/>
        <v>0.13923113923835945</v>
      </c>
      <c r="I124" s="71">
        <f t="shared" si="16"/>
        <v>4.2713719159313331E-2</v>
      </c>
      <c r="L124" s="74"/>
      <c r="M124" s="74"/>
      <c r="N124" s="74"/>
      <c r="O124" s="74"/>
      <c r="P124" s="74"/>
      <c r="Q124" s="74"/>
      <c r="R124" s="74"/>
      <c r="S124" s="74"/>
      <c r="T124" s="74"/>
      <c r="U124" s="74"/>
      <c r="V124" s="74"/>
      <c r="W124" s="74"/>
      <c r="X124" s="74"/>
      <c r="Y124" s="74"/>
      <c r="Z124" s="74"/>
    </row>
    <row r="125" spans="1:26" x14ac:dyDescent="0.3">
      <c r="A125" s="66">
        <f t="shared" si="14"/>
        <v>2001.7999999999893</v>
      </c>
      <c r="B125" s="67">
        <f>LOOKUP(A125+0.01,AmountsB!$A$4:$A$103,AmountsB!$B$4:$B$103)*0.1*$A$2</f>
        <v>3144.71264858</v>
      </c>
      <c r="C125" s="68">
        <f t="shared" si="13"/>
        <v>59132.574194619971</v>
      </c>
      <c r="D125" s="67">
        <f t="array" ref="D125">SUM($B$7:$B120*$F$1009*EXP(-$F$1009*($A125-$A$7:$A120)))*$F$1010</f>
        <v>8358694.0790889198</v>
      </c>
      <c r="E125" s="67">
        <f t="shared" si="11"/>
        <v>15.935112355760824</v>
      </c>
      <c r="F125" s="70">
        <f t="shared" si="15"/>
        <v>0.96758002224179718</v>
      </c>
      <c r="G125" s="67">
        <f>E125/'Lookup Tables'!$C$48</f>
        <v>31.870224711521647</v>
      </c>
      <c r="H125" s="70">
        <f t="shared" si="12"/>
        <v>0.14163927696808967</v>
      </c>
      <c r="I125" s="71">
        <f t="shared" si="16"/>
        <v>4.5893123584591175E-2</v>
      </c>
      <c r="L125" s="74"/>
      <c r="M125" s="74"/>
      <c r="N125" s="74"/>
      <c r="O125" s="74"/>
      <c r="P125" s="74"/>
      <c r="Q125" s="74"/>
      <c r="R125" s="74"/>
      <c r="S125" s="74"/>
      <c r="T125" s="74"/>
      <c r="U125" s="74"/>
      <c r="V125" s="74"/>
      <c r="W125" s="74"/>
      <c r="X125" s="74"/>
      <c r="Y125" s="74"/>
      <c r="Z125" s="74"/>
    </row>
    <row r="126" spans="1:26" x14ac:dyDescent="0.3">
      <c r="A126" s="66">
        <f t="shared" si="14"/>
        <v>2001.8999999999892</v>
      </c>
      <c r="B126" s="67">
        <f>LOOKUP(A126+0.01,AmountsB!$A$4:$A$103,AmountsB!$B$4:$B$103)*0.1*$A$2</f>
        <v>3144.71264858</v>
      </c>
      <c r="C126" s="68">
        <f t="shared" si="13"/>
        <v>62277.286843199967</v>
      </c>
      <c r="D126" s="67">
        <f t="array" ref="D126">SUM($B$7:$B121*$F$1009*EXP(-$F$1009*($A126-$A$7:$A121)))*$F$1010</f>
        <v>8933732.0540187713</v>
      </c>
      <c r="E126" s="67">
        <f t="shared" si="11"/>
        <v>17.031371490577147</v>
      </c>
      <c r="F126" s="70">
        <f t="shared" si="15"/>
        <v>1.0341448769078443</v>
      </c>
      <c r="G126" s="67">
        <f>E126/'Lookup Tables'!$C$48</f>
        <v>34.062742981154294</v>
      </c>
      <c r="H126" s="70">
        <f t="shared" si="12"/>
        <v>0.14373922354687133</v>
      </c>
      <c r="I126" s="71">
        <f t="shared" si="16"/>
        <v>4.9050349892862187E-2</v>
      </c>
      <c r="L126" s="74"/>
      <c r="M126" s="74"/>
      <c r="N126" s="74"/>
      <c r="O126" s="74"/>
      <c r="P126" s="74"/>
      <c r="Q126" s="74"/>
      <c r="R126" s="74"/>
      <c r="S126" s="74"/>
      <c r="T126" s="74"/>
      <c r="U126" s="74"/>
      <c r="V126" s="74"/>
      <c r="W126" s="74"/>
      <c r="X126" s="74"/>
      <c r="Y126" s="74"/>
      <c r="Z126" s="74"/>
    </row>
    <row r="127" spans="1:26" x14ac:dyDescent="0.3">
      <c r="A127" s="66">
        <f t="shared" si="14"/>
        <v>2001.9999999999891</v>
      </c>
      <c r="B127" s="67">
        <f>LOOKUP(A127+0.01,AmountsB!$A$4:$A$103,AmountsB!$B$4:$B$103)*0.1*$A$2</f>
        <v>3207.5887554890001</v>
      </c>
      <c r="C127" s="68">
        <f t="shared" si="13"/>
        <v>65484.875598688966</v>
      </c>
      <c r="D127" s="67">
        <f t="array" ref="D127">SUM($B$7:$B122*$F$1009*EXP(-$F$1009*($A127-$A$7:$A122)))*$F$1010</f>
        <v>9504758.8187389467</v>
      </c>
      <c r="E127" s="67">
        <f t="shared" si="11"/>
        <v>18.119983607238609</v>
      </c>
      <c r="F127" s="70">
        <f t="shared" si="15"/>
        <v>1.1002454046315282</v>
      </c>
      <c r="G127" s="67">
        <f>E127/'Lookup Tables'!$C$48</f>
        <v>36.239967214477218</v>
      </c>
      <c r="H127" s="70">
        <f t="shared" si="12"/>
        <v>0.14543607660385147</v>
      </c>
      <c r="I127" s="71">
        <f t="shared" si="16"/>
        <v>5.2185552788847192E-2</v>
      </c>
      <c r="L127" s="74"/>
      <c r="M127" s="74"/>
      <c r="N127" s="74"/>
      <c r="O127" s="74"/>
      <c r="P127" s="74"/>
      <c r="Q127" s="74"/>
      <c r="R127" s="74"/>
      <c r="S127" s="74"/>
      <c r="T127" s="74"/>
      <c r="U127" s="74"/>
      <c r="V127" s="74"/>
      <c r="W127" s="74"/>
      <c r="X127" s="74"/>
      <c r="Y127" s="74"/>
      <c r="Z127" s="74"/>
    </row>
    <row r="128" spans="1:26" x14ac:dyDescent="0.3">
      <c r="A128" s="66">
        <f t="shared" si="14"/>
        <v>2002.099999999989</v>
      </c>
      <c r="B128" s="67">
        <f>LOOKUP(A128+0.01,AmountsB!$A$4:$A$103,AmountsB!$B$4:$B$103)*0.1*$A$2</f>
        <v>3207.5887554890001</v>
      </c>
      <c r="C128" s="68">
        <f t="shared" si="13"/>
        <v>68692.464354177966</v>
      </c>
      <c r="D128" s="67">
        <f t="array" ref="D128">SUM($B$7:$B123*$F$1009*EXP(-$F$1009*($A128-$A$7:$A123)))*$F$1010</f>
        <v>10071802.353675166</v>
      </c>
      <c r="E128" s="67">
        <f t="shared" si="11"/>
        <v>19.20100204795672</v>
      </c>
      <c r="F128" s="70">
        <f t="shared" si="15"/>
        <v>1.1658848443519321</v>
      </c>
      <c r="G128" s="67">
        <f>E128/'Lookup Tables'!$C$48</f>
        <v>38.402004095913441</v>
      </c>
      <c r="H128" s="70">
        <f t="shared" si="12"/>
        <v>0.14691635787546531</v>
      </c>
      <c r="I128" s="71">
        <f t="shared" si="16"/>
        <v>5.5298885898115359E-2</v>
      </c>
      <c r="L128" s="74"/>
      <c r="M128" s="74"/>
      <c r="N128" s="74"/>
      <c r="O128" s="74"/>
      <c r="P128" s="74"/>
      <c r="Q128" s="74"/>
      <c r="R128" s="74"/>
      <c r="S128" s="74"/>
      <c r="T128" s="74"/>
      <c r="U128" s="74"/>
      <c r="V128" s="74"/>
      <c r="W128" s="74"/>
      <c r="X128" s="74"/>
      <c r="Y128" s="74"/>
      <c r="Z128" s="74"/>
    </row>
    <row r="129" spans="1:26" x14ac:dyDescent="0.3">
      <c r="A129" s="66">
        <f t="shared" si="14"/>
        <v>2002.1999999999889</v>
      </c>
      <c r="B129" s="67">
        <f>LOOKUP(A129+0.01,AmountsB!$A$4:$A$103,AmountsB!$B$4:$B$103)*0.1*$A$2</f>
        <v>3207.5887554890001</v>
      </c>
      <c r="C129" s="68">
        <f t="shared" si="13"/>
        <v>71900.053109666973</v>
      </c>
      <c r="D129" s="67">
        <f t="array" ref="D129">SUM($B$7:$B124*$F$1009*EXP(-$F$1009*($A129-$A$7:$A124)))*$F$1010</f>
        <v>10634890.444074105</v>
      </c>
      <c r="E129" s="67">
        <f t="shared" si="11"/>
        <v>20.274479782851401</v>
      </c>
      <c r="F129" s="70">
        <f t="shared" si="15"/>
        <v>1.231066412414737</v>
      </c>
      <c r="G129" s="67">
        <f>E129/'Lookup Tables'!$C$48</f>
        <v>40.548959565702802</v>
      </c>
      <c r="H129" s="70">
        <f t="shared" si="12"/>
        <v>0.148209439534252</v>
      </c>
      <c r="I129" s="71">
        <f t="shared" si="16"/>
        <v>5.8390501774612032E-2</v>
      </c>
      <c r="L129" s="74"/>
      <c r="M129" s="74"/>
      <c r="N129" s="74"/>
      <c r="O129" s="74"/>
      <c r="P129" s="74"/>
      <c r="Q129" s="74"/>
      <c r="R129" s="74"/>
      <c r="S129" s="74"/>
      <c r="T129" s="74"/>
      <c r="U129" s="74"/>
      <c r="V129" s="74"/>
      <c r="W129" s="74"/>
      <c r="X129" s="74"/>
      <c r="Y129" s="74"/>
      <c r="Z129" s="74"/>
    </row>
    <row r="130" spans="1:26" x14ac:dyDescent="0.3">
      <c r="A130" s="66">
        <f t="shared" si="14"/>
        <v>2002.2999999999888</v>
      </c>
      <c r="B130" s="67">
        <f>LOOKUP(A130+0.01,AmountsB!$A$4:$A$103,AmountsB!$B$4:$B$103)*0.1*$A$2</f>
        <v>3207.5887554890001</v>
      </c>
      <c r="C130" s="68">
        <f t="shared" si="13"/>
        <v>75107.64186515598</v>
      </c>
      <c r="D130" s="67">
        <f t="array" ref="D130">SUM($B$7:$B125*$F$1009*EXP(-$F$1009*($A130-$A$7:$A125)))*$F$1010</f>
        <v>11194050.681364853</v>
      </c>
      <c r="E130" s="67">
        <f t="shared" si="11"/>
        <v>21.340469412546419</v>
      </c>
      <c r="F130" s="70">
        <f t="shared" si="15"/>
        <v>1.2957933027298185</v>
      </c>
      <c r="G130" s="67">
        <f>E130/'Lookup Tables'!$C$48</f>
        <v>42.680938825092838</v>
      </c>
      <c r="H130" s="70">
        <f t="shared" si="12"/>
        <v>0.14933967362964154</v>
      </c>
      <c r="I130" s="71">
        <f t="shared" si="16"/>
        <v>6.1460551908133682E-2</v>
      </c>
      <c r="L130" s="74"/>
      <c r="M130" s="74"/>
      <c r="N130" s="74"/>
      <c r="O130" s="74"/>
      <c r="P130" s="74"/>
      <c r="Q130" s="74"/>
      <c r="R130" s="74"/>
      <c r="S130" s="74"/>
      <c r="T130" s="74"/>
      <c r="U130" s="74"/>
      <c r="V130" s="74"/>
      <c r="W130" s="74"/>
      <c r="X130" s="74"/>
      <c r="Y130" s="74"/>
      <c r="Z130" s="74"/>
    </row>
    <row r="131" spans="1:26" x14ac:dyDescent="0.3">
      <c r="A131" s="66">
        <f t="shared" si="14"/>
        <v>2002.3999999999887</v>
      </c>
      <c r="B131" s="67">
        <f>LOOKUP(A131+0.01,AmountsB!$A$4:$A$103,AmountsB!$B$4:$B$103)*0.1*$A$2</f>
        <v>3207.5887554890001</v>
      </c>
      <c r="C131" s="68">
        <f t="shared" si="13"/>
        <v>78315.230620644987</v>
      </c>
      <c r="D131" s="67">
        <f t="array" ref="D131">SUM($B$7:$B126*$F$1009*EXP(-$F$1009*($A131-$A$7:$A126)))*$F$1010</f>
        <v>11749310.46451092</v>
      </c>
      <c r="E131" s="67">
        <f t="shared" si="11"/>
        <v>22.399023170746929</v>
      </c>
      <c r="F131" s="70">
        <f t="shared" si="15"/>
        <v>1.3600686869277534</v>
      </c>
      <c r="G131" s="67">
        <f>E131/'Lookup Tables'!$C$48</f>
        <v>44.798046341493858</v>
      </c>
      <c r="H131" s="70">
        <f t="shared" si="12"/>
        <v>0.15032742016137379</v>
      </c>
      <c r="I131" s="71">
        <f t="shared" si="16"/>
        <v>6.4509186731751156E-2</v>
      </c>
      <c r="L131" s="74"/>
      <c r="M131" s="74"/>
      <c r="N131" s="74"/>
      <c r="O131" s="74"/>
      <c r="P131" s="74"/>
      <c r="Q131" s="74"/>
      <c r="R131" s="74"/>
      <c r="S131" s="74"/>
      <c r="T131" s="74"/>
      <c r="U131" s="74"/>
      <c r="V131" s="74"/>
      <c r="W131" s="74"/>
      <c r="X131" s="74"/>
      <c r="Y131" s="74"/>
      <c r="Z131" s="74"/>
    </row>
    <row r="132" spans="1:26" x14ac:dyDescent="0.3">
      <c r="A132" s="66">
        <f t="shared" si="14"/>
        <v>2002.4999999999886</v>
      </c>
      <c r="B132" s="67">
        <f>LOOKUP(A132+0.01,AmountsB!$A$4:$A$103,AmountsB!$B$4:$B$103)*0.1*$A$2</f>
        <v>3207.5887554890001</v>
      </c>
      <c r="C132" s="68">
        <f t="shared" si="13"/>
        <v>81522.819376133994</v>
      </c>
      <c r="D132" s="67">
        <f t="array" ref="D132">SUM($B$7:$B127*$F$1009*EXP(-$F$1009*($A132-$A$7:$A127)))*$F$1010</f>
        <v>12313360.237188896</v>
      </c>
      <c r="E132" s="67">
        <f t="shared" si="11"/>
        <v>23.474334268009223</v>
      </c>
      <c r="F132" s="70">
        <f t="shared" si="15"/>
        <v>1.4253615767535199</v>
      </c>
      <c r="G132" s="67">
        <f>E132/'Lookup Tables'!$C$48</f>
        <v>46.948668536018445</v>
      </c>
      <c r="H132" s="70">
        <f t="shared" si="12"/>
        <v>0.15134547830515366</v>
      </c>
      <c r="I132" s="71">
        <f t="shared" si="16"/>
        <v>6.7606082691866562E-2</v>
      </c>
      <c r="L132" s="74"/>
      <c r="M132" s="74"/>
      <c r="N132" s="74"/>
      <c r="O132" s="74"/>
      <c r="P132" s="74"/>
      <c r="Q132" s="74"/>
      <c r="R132" s="74"/>
      <c r="S132" s="74"/>
      <c r="T132" s="74"/>
      <c r="U132" s="74"/>
      <c r="V132" s="74"/>
      <c r="W132" s="74"/>
      <c r="X132" s="74"/>
      <c r="Y132" s="74"/>
      <c r="Z132" s="74"/>
    </row>
    <row r="133" spans="1:26" x14ac:dyDescent="0.3">
      <c r="A133" s="66">
        <f t="shared" si="14"/>
        <v>2002.5999999999885</v>
      </c>
      <c r="B133" s="67">
        <f>LOOKUP(A133+0.01,AmountsB!$A$4:$A$103,AmountsB!$B$4:$B$103)*0.1*$A$2</f>
        <v>3207.5887554890001</v>
      </c>
      <c r="C133" s="68">
        <f t="shared" si="13"/>
        <v>84730.408131623</v>
      </c>
      <c r="D133" s="67">
        <f t="array" ref="D133">SUM($B$7:$B128*$F$1009*EXP(-$F$1009*($A133-$A$7:$A128)))*$F$1010</f>
        <v>12873475.448489068</v>
      </c>
      <c r="E133" s="67">
        <f t="shared" si="11"/>
        <v>24.542144471348042</v>
      </c>
      <c r="F133" s="70">
        <f t="shared" si="15"/>
        <v>1.4901990123002531</v>
      </c>
      <c r="G133" s="67">
        <f>E133/'Lookup Tables'!$C$48</f>
        <v>49.084288942696084</v>
      </c>
      <c r="H133" s="70">
        <f t="shared" si="12"/>
        <v>0.15223992682889306</v>
      </c>
      <c r="I133" s="71">
        <f t="shared" si="16"/>
        <v>7.0681376077482358E-2</v>
      </c>
      <c r="L133" s="74"/>
      <c r="M133" s="74"/>
      <c r="N133" s="74"/>
      <c r="O133" s="74"/>
      <c r="P133" s="74"/>
      <c r="Q133" s="74"/>
      <c r="R133" s="74"/>
      <c r="S133" s="74"/>
      <c r="T133" s="74"/>
      <c r="U133" s="74"/>
      <c r="V133" s="74"/>
      <c r="W133" s="74"/>
      <c r="X133" s="74"/>
      <c r="Y133" s="74"/>
      <c r="Z133" s="74"/>
    </row>
    <row r="134" spans="1:26" x14ac:dyDescent="0.3">
      <c r="A134" s="66">
        <f t="shared" si="14"/>
        <v>2002.6999999999884</v>
      </c>
      <c r="B134" s="67">
        <f>LOOKUP(A134+0.01,AmountsB!$A$4:$A$103,AmountsB!$B$4:$B$103)*0.1*$A$2</f>
        <v>3207.5887554890001</v>
      </c>
      <c r="C134" s="68">
        <f t="shared" si="13"/>
        <v>87937.996887112007</v>
      </c>
      <c r="D134" s="67">
        <f t="array" ref="D134">SUM($B$7:$B129*$F$1009*EXP(-$F$1009*($A134-$A$7:$A129)))*$F$1010</f>
        <v>13429683.544168854</v>
      </c>
      <c r="E134" s="67">
        <f t="shared" si="11"/>
        <v>25.602506103677005</v>
      </c>
      <c r="F134" s="70">
        <f t="shared" si="15"/>
        <v>1.5545841706152677</v>
      </c>
      <c r="G134" s="67">
        <f>E134/'Lookup Tables'!$C$48</f>
        <v>51.205012207354009</v>
      </c>
      <c r="H134" s="70">
        <f t="shared" si="12"/>
        <v>0.15302460465829434</v>
      </c>
      <c r="I134" s="71">
        <f t="shared" si="16"/>
        <v>7.3735217578589765E-2</v>
      </c>
      <c r="L134" s="74"/>
      <c r="M134" s="74"/>
      <c r="N134" s="74"/>
      <c r="O134" s="74"/>
      <c r="P134" s="74"/>
      <c r="Q134" s="74"/>
      <c r="R134" s="74"/>
      <c r="S134" s="74"/>
      <c r="T134" s="74"/>
      <c r="U134" s="74"/>
      <c r="V134" s="74"/>
      <c r="W134" s="74"/>
      <c r="X134" s="74"/>
      <c r="Y134" s="74"/>
      <c r="Z134" s="74"/>
    </row>
    <row r="135" spans="1:26" x14ac:dyDescent="0.3">
      <c r="A135" s="66">
        <f t="shared" si="14"/>
        <v>2002.7999999999884</v>
      </c>
      <c r="B135" s="67">
        <f>LOOKUP(A135+0.01,AmountsB!$A$4:$A$103,AmountsB!$B$4:$B$103)*0.1*$A$2</f>
        <v>3207.5887554890001</v>
      </c>
      <c r="C135" s="68">
        <f t="shared" si="13"/>
        <v>91145.585642601014</v>
      </c>
      <c r="D135" s="67">
        <f t="array" ref="D135">SUM($B$7:$B130*$F$1009*EXP(-$F$1009*($A135-$A$7:$A130)))*$F$1010</f>
        <v>13982011.77853623</v>
      </c>
      <c r="E135" s="67">
        <f t="shared" ref="E135:E198" si="17">D135/(365*24*60)*1.00201</f>
        <v>26.655471122928251</v>
      </c>
      <c r="F135" s="70">
        <f t="shared" si="15"/>
        <v>1.6185202065842035</v>
      </c>
      <c r="G135" s="67">
        <f>E135/'Lookup Tables'!$C$48</f>
        <v>53.310942245856502</v>
      </c>
      <c r="H135" s="70">
        <f t="shared" ref="H135:H198" si="18">G135*60*24*365/(C135*2000)</f>
        <v>0.1537114005405307</v>
      </c>
      <c r="I135" s="71">
        <f t="shared" si="16"/>
        <v>7.6767756834033363E-2</v>
      </c>
      <c r="L135" s="74"/>
      <c r="M135" s="74"/>
      <c r="N135" s="74"/>
      <c r="O135" s="74"/>
      <c r="P135" s="74"/>
      <c r="Q135" s="74"/>
      <c r="R135" s="74"/>
      <c r="S135" s="74"/>
      <c r="T135" s="74"/>
      <c r="U135" s="74"/>
      <c r="V135" s="74"/>
      <c r="W135" s="74"/>
      <c r="X135" s="74"/>
      <c r="Y135" s="74"/>
      <c r="Z135" s="74"/>
    </row>
    <row r="136" spans="1:26" x14ac:dyDescent="0.3">
      <c r="A136" s="66">
        <f t="shared" si="14"/>
        <v>2002.8999999999883</v>
      </c>
      <c r="B136" s="67">
        <f>LOOKUP(A136+0.01,AmountsB!$A$4:$A$103,AmountsB!$B$4:$B$103)*0.1*$A$2</f>
        <v>3207.5887554890001</v>
      </c>
      <c r="C136" s="68">
        <f t="shared" si="13"/>
        <v>94353.174398090021</v>
      </c>
      <c r="D136" s="67">
        <f t="array" ref="D136">SUM($B$7:$B131*$F$1009*EXP(-$F$1009*($A136-$A$7:$A131)))*$F$1010</f>
        <v>14530487.215785202</v>
      </c>
      <c r="E136" s="67">
        <f t="shared" si="17"/>
        <v>27.701091124598424</v>
      </c>
      <c r="F136" s="70">
        <f t="shared" si="15"/>
        <v>1.6820102530856162</v>
      </c>
      <c r="G136" s="67">
        <f>E136/'Lookup Tables'!$C$48</f>
        <v>55.402182249196848</v>
      </c>
      <c r="H136" s="70">
        <f t="shared" si="18"/>
        <v>0.15431058454545926</v>
      </c>
      <c r="I136" s="71">
        <f t="shared" si="16"/>
        <v>7.9779142438843473E-2</v>
      </c>
      <c r="L136" s="74"/>
      <c r="M136" s="74"/>
      <c r="N136" s="74"/>
      <c r="O136" s="74"/>
      <c r="P136" s="74"/>
      <c r="Q136" s="74"/>
      <c r="R136" s="74"/>
      <c r="S136" s="74"/>
      <c r="T136" s="74"/>
      <c r="U136" s="74"/>
      <c r="V136" s="74"/>
      <c r="W136" s="74"/>
      <c r="X136" s="74"/>
      <c r="Y136" s="74"/>
      <c r="Z136" s="74"/>
    </row>
    <row r="137" spans="1:26" x14ac:dyDescent="0.3">
      <c r="A137" s="66">
        <f t="shared" si="14"/>
        <v>2002.9999999999882</v>
      </c>
      <c r="B137" s="67">
        <f>LOOKUP(A137+0.01,AmountsB!$A$4:$A$103,AmountsB!$B$4:$B$103)*0.1*$A$2</f>
        <v>3271.7350867800001</v>
      </c>
      <c r="C137" s="68">
        <f t="shared" ref="C137:C200" si="19">C136+B137</f>
        <v>97624.909484870019</v>
      </c>
      <c r="D137" s="67">
        <f t="array" ref="D137">SUM($B$7:$B132*$F$1009*EXP(-$F$1009*($A137-$A$7:$A132)))*$F$1010</f>
        <v>15075136.73132192</v>
      </c>
      <c r="E137" s="67">
        <f t="shared" si="17"/>
        <v>28.739417344276781</v>
      </c>
      <c r="F137" s="70">
        <f t="shared" si="15"/>
        <v>1.7450574211444863</v>
      </c>
      <c r="G137" s="67">
        <f>E137/'Lookup Tables'!$C$48</f>
        <v>57.478834688553562</v>
      </c>
      <c r="H137" s="70">
        <f t="shared" si="18"/>
        <v>0.15472933942635747</v>
      </c>
      <c r="I137" s="71">
        <f t="shared" si="16"/>
        <v>8.2769521951517128E-2</v>
      </c>
      <c r="L137" s="74"/>
      <c r="M137" s="74"/>
      <c r="N137" s="74"/>
      <c r="O137" s="74"/>
      <c r="P137" s="74"/>
      <c r="Q137" s="74"/>
      <c r="R137" s="74"/>
      <c r="S137" s="74"/>
      <c r="T137" s="74"/>
      <c r="U137" s="74"/>
      <c r="V137" s="74"/>
      <c r="W137" s="74"/>
      <c r="X137" s="74"/>
      <c r="Y137" s="74"/>
      <c r="Z137" s="74"/>
    </row>
    <row r="138" spans="1:26" x14ac:dyDescent="0.3">
      <c r="A138" s="66">
        <f t="shared" si="14"/>
        <v>2003.0999999999881</v>
      </c>
      <c r="B138" s="67">
        <f>LOOKUP(A138+0.01,AmountsB!$A$4:$A$103,AmountsB!$B$4:$B$103)*0.1*$A$2</f>
        <v>3271.7350867800001</v>
      </c>
      <c r="C138" s="68">
        <f t="shared" si="19"/>
        <v>100896.64457165002</v>
      </c>
      <c r="D138" s="67">
        <f t="array" ref="D138">SUM($B$7:$B133*$F$1009*EXP(-$F$1009*($A138-$A$7:$A133)))*$F$1010</f>
        <v>15615987.013081634</v>
      </c>
      <c r="E138" s="67">
        <f t="shared" si="17"/>
        <v>29.770500660155875</v>
      </c>
      <c r="F138" s="70">
        <f t="shared" si="15"/>
        <v>1.8076648000846647</v>
      </c>
      <c r="G138" s="67">
        <f>E138/'Lookup Tables'!$C$48</f>
        <v>59.54100132031175</v>
      </c>
      <c r="H138" s="70">
        <f t="shared" si="18"/>
        <v>0.15508320631878114</v>
      </c>
      <c r="I138" s="71">
        <f t="shared" si="16"/>
        <v>8.5739041901248911E-2</v>
      </c>
      <c r="L138" s="74"/>
      <c r="M138" s="74"/>
      <c r="N138" s="74"/>
      <c r="O138" s="74"/>
      <c r="P138" s="74"/>
      <c r="Q138" s="74"/>
      <c r="R138" s="74"/>
      <c r="S138" s="74"/>
      <c r="T138" s="74"/>
      <c r="U138" s="74"/>
      <c r="V138" s="74"/>
      <c r="W138" s="74"/>
      <c r="X138" s="74"/>
      <c r="Y138" s="74"/>
      <c r="Z138" s="74"/>
    </row>
    <row r="139" spans="1:26" x14ac:dyDescent="0.3">
      <c r="A139" s="66">
        <f t="shared" si="14"/>
        <v>2003.199999999988</v>
      </c>
      <c r="B139" s="67">
        <f>LOOKUP(A139+0.01,AmountsB!$A$4:$A$103,AmountsB!$B$4:$B$103)*0.1*$A$2</f>
        <v>3271.7350867800001</v>
      </c>
      <c r="C139" s="68">
        <f t="shared" si="19"/>
        <v>104168.37965843001</v>
      </c>
      <c r="D139" s="67">
        <f t="array" ref="D139">SUM($B$7:$B134*$F$1009*EXP(-$F$1009*($A139-$A$7:$A134)))*$F$1010</f>
        <v>16153064.56283636</v>
      </c>
      <c r="E139" s="67">
        <f t="shared" si="17"/>
        <v>30.794391595524473</v>
      </c>
      <c r="F139" s="70">
        <f t="shared" si="15"/>
        <v>1.8698354576802461</v>
      </c>
      <c r="G139" s="67">
        <f>E139/'Lookup Tables'!$C$48</f>
        <v>61.588783191048947</v>
      </c>
      <c r="H139" s="70">
        <f t="shared" si="18"/>
        <v>0.15537855418007188</v>
      </c>
      <c r="I139" s="71">
        <f t="shared" si="16"/>
        <v>8.8687847795110492E-2</v>
      </c>
      <c r="L139" s="74"/>
      <c r="M139" s="74"/>
      <c r="N139" s="74"/>
      <c r="O139" s="74"/>
      <c r="P139" s="74"/>
      <c r="Q139" s="74"/>
      <c r="R139" s="74"/>
      <c r="S139" s="74"/>
      <c r="T139" s="74"/>
      <c r="U139" s="74"/>
      <c r="V139" s="74"/>
      <c r="W139" s="74"/>
      <c r="X139" s="74"/>
      <c r="Y139" s="74"/>
      <c r="Z139" s="74"/>
    </row>
    <row r="140" spans="1:26" x14ac:dyDescent="0.3">
      <c r="A140" s="66">
        <f t="shared" si="14"/>
        <v>2003.2999999999879</v>
      </c>
      <c r="B140" s="67">
        <f>LOOKUP(A140+0.01,AmountsB!$A$4:$A$103,AmountsB!$B$4:$B$103)*0.1*$A$2</f>
        <v>3271.7350867800001</v>
      </c>
      <c r="C140" s="68">
        <f t="shared" si="19"/>
        <v>107440.11474521001</v>
      </c>
      <c r="D140" s="67">
        <f t="array" ref="D140">SUM($B$7:$B135*$F$1009*EXP(-$F$1009*($A140-$A$7:$A135)))*$F$1010</f>
        <v>16686395.697493497</v>
      </c>
      <c r="E140" s="67">
        <f t="shared" si="17"/>
        <v>31.811140321243265</v>
      </c>
      <c r="F140" s="70">
        <f t="shared" si="15"/>
        <v>1.9315724403058909</v>
      </c>
      <c r="G140" s="67">
        <f>E140/'Lookup Tables'!$C$48</f>
        <v>63.62228064248653</v>
      </c>
      <c r="H140" s="70">
        <f t="shared" si="18"/>
        <v>0.15562097446094622</v>
      </c>
      <c r="I140" s="71">
        <f t="shared" si="16"/>
        <v>9.1616084125180602E-2</v>
      </c>
      <c r="L140" s="74"/>
      <c r="M140" s="74"/>
      <c r="N140" s="74"/>
      <c r="O140" s="74"/>
      <c r="P140" s="74"/>
      <c r="Q140" s="74"/>
      <c r="R140" s="74"/>
      <c r="S140" s="74"/>
      <c r="T140" s="74"/>
      <c r="U140" s="74"/>
      <c r="V140" s="74"/>
      <c r="W140" s="74"/>
      <c r="X140" s="74"/>
      <c r="Y140" s="74"/>
      <c r="Z140" s="74"/>
    </row>
    <row r="141" spans="1:26" x14ac:dyDescent="0.3">
      <c r="A141" s="66">
        <f t="shared" si="14"/>
        <v>2003.3999999999878</v>
      </c>
      <c r="B141" s="67">
        <f>LOOKUP(A141+0.01,AmountsB!$A$4:$A$103,AmountsB!$B$4:$B$103)*0.1*$A$2</f>
        <v>3271.7350867800001</v>
      </c>
      <c r="C141" s="68">
        <f t="shared" si="19"/>
        <v>110711.84983199001</v>
      </c>
      <c r="D141" s="67">
        <f t="array" ref="D141">SUM($B$7:$B136*$F$1009*EXP(-$F$1009*($A141-$A$7:$A136)))*$F$1010</f>
        <v>17216006.550385356</v>
      </c>
      <c r="E141" s="67">
        <f t="shared" si="17"/>
        <v>32.820796658203257</v>
      </c>
      <c r="F141" s="70">
        <f t="shared" si="15"/>
        <v>1.9928787730861017</v>
      </c>
      <c r="G141" s="67">
        <f>E141/'Lookup Tables'!$C$48</f>
        <v>65.641593316406514</v>
      </c>
      <c r="H141" s="70">
        <f t="shared" si="18"/>
        <v>0.15581539600079103</v>
      </c>
      <c r="I141" s="71">
        <f t="shared" si="16"/>
        <v>9.4523894375625375E-2</v>
      </c>
      <c r="L141" s="74"/>
      <c r="M141" s="74"/>
      <c r="N141" s="74"/>
      <c r="O141" s="74"/>
      <c r="P141" s="74"/>
      <c r="Q141" s="74"/>
      <c r="R141" s="74"/>
      <c r="S141" s="74"/>
      <c r="T141" s="74"/>
      <c r="U141" s="74"/>
      <c r="V141" s="74"/>
      <c r="W141" s="74"/>
      <c r="X141" s="74"/>
      <c r="Y141" s="74"/>
      <c r="Z141" s="74"/>
    </row>
    <row r="142" spans="1:26" x14ac:dyDescent="0.3">
      <c r="A142" s="66">
        <f t="shared" si="14"/>
        <v>2003.4999999999877</v>
      </c>
      <c r="B142" s="67">
        <f>LOOKUP(A142+0.01,AmountsB!$A$4:$A$103,AmountsB!$B$4:$B$103)*0.1*$A$2</f>
        <v>3271.7350867800001</v>
      </c>
      <c r="C142" s="68">
        <f t="shared" si="19"/>
        <v>113983.58491877001</v>
      </c>
      <c r="D142" s="67">
        <f t="array" ref="D142">SUM($B$7:$B137*$F$1009*EXP(-$F$1009*($A142-$A$7:$A137)))*$F$1010</f>
        <v>17754842.131331999</v>
      </c>
      <c r="E142" s="67">
        <f t="shared" si="17"/>
        <v>33.848039124840142</v>
      </c>
      <c r="F142" s="70">
        <f t="shared" si="15"/>
        <v>2.0552529356602935</v>
      </c>
      <c r="G142" s="67">
        <f>E142/'Lookup Tables'!$C$48</f>
        <v>67.696078249680284</v>
      </c>
      <c r="H142" s="70">
        <f t="shared" si="18"/>
        <v>0.15607974934894647</v>
      </c>
      <c r="I142" s="71">
        <f t="shared" si="16"/>
        <v>9.7482352679539599E-2</v>
      </c>
      <c r="L142" s="74"/>
      <c r="M142" s="74"/>
      <c r="N142" s="74"/>
      <c r="O142" s="74"/>
      <c r="P142" s="74"/>
      <c r="Q142" s="74"/>
      <c r="R142" s="74"/>
      <c r="S142" s="74"/>
      <c r="T142" s="74"/>
      <c r="U142" s="74"/>
      <c r="V142" s="74"/>
      <c r="W142" s="74"/>
      <c r="X142" s="74"/>
      <c r="Y142" s="74"/>
      <c r="Z142" s="74"/>
    </row>
    <row r="143" spans="1:26" x14ac:dyDescent="0.3">
      <c r="A143" s="66">
        <f t="shared" si="14"/>
        <v>2003.5999999999876</v>
      </c>
      <c r="B143" s="67">
        <f>LOOKUP(A143+0.01,AmountsB!$A$4:$A$103,AmountsB!$B$4:$B$103)*0.1*$A$2</f>
        <v>3271.7350867800001</v>
      </c>
      <c r="C143" s="68">
        <f t="shared" si="19"/>
        <v>117255.32000555001</v>
      </c>
      <c r="D143" s="67">
        <f t="array" ref="D143">SUM($B$7:$B138*$F$1009*EXP(-$F$1009*($A143-$A$7:$A138)))*$F$1010</f>
        <v>18289919.033934154</v>
      </c>
      <c r="E143" s="67">
        <f t="shared" si="17"/>
        <v>34.868116003029613</v>
      </c>
      <c r="F143" s="70">
        <f t="shared" si="15"/>
        <v>2.1171920037039578</v>
      </c>
      <c r="G143" s="67">
        <f>E143/'Lookup Tables'!$C$48</f>
        <v>69.736232006059225</v>
      </c>
      <c r="H143" s="70">
        <f t="shared" si="18"/>
        <v>0.15629723043973537</v>
      </c>
      <c r="I143" s="71">
        <f t="shared" si="16"/>
        <v>0.10042017408872528</v>
      </c>
      <c r="L143" s="74"/>
      <c r="M143" s="74"/>
      <c r="N143" s="74"/>
      <c r="O143" s="74"/>
      <c r="P143" s="74"/>
      <c r="Q143" s="74"/>
      <c r="R143" s="74"/>
      <c r="S143" s="74"/>
      <c r="T143" s="74"/>
      <c r="U143" s="74"/>
      <c r="V143" s="74"/>
      <c r="W143" s="74"/>
      <c r="X143" s="74"/>
      <c r="Y143" s="74"/>
      <c r="Z143" s="74"/>
    </row>
    <row r="144" spans="1:26" x14ac:dyDescent="0.3">
      <c r="A144" s="66">
        <f t="shared" si="14"/>
        <v>2003.6999999999875</v>
      </c>
      <c r="B144" s="67">
        <f>LOOKUP(A144+0.01,AmountsB!$A$4:$A$103,AmountsB!$B$4:$B$103)*0.1*$A$2</f>
        <v>3271.7350867800001</v>
      </c>
      <c r="C144" s="68">
        <f t="shared" si="19"/>
        <v>120527.05509233</v>
      </c>
      <c r="D144" s="67">
        <f t="array" ref="D144">SUM($B$7:$B139*$F$1009*EXP(-$F$1009*($A144-$A$7:$A139)))*$F$1010</f>
        <v>18821263.477067098</v>
      </c>
      <c r="E144" s="67">
        <f t="shared" si="17"/>
        <v>35.881077276742772</v>
      </c>
      <c r="F144" s="70">
        <f t="shared" si="15"/>
        <v>2.1786990122438215</v>
      </c>
      <c r="G144" s="67">
        <f>E144/'Lookup Tables'!$C$48</f>
        <v>71.762154553485544</v>
      </c>
      <c r="H144" s="70">
        <f t="shared" si="18"/>
        <v>0.15647187432074028</v>
      </c>
      <c r="I144" s="71">
        <f t="shared" si="16"/>
        <v>0.10333750255701918</v>
      </c>
      <c r="L144" s="74"/>
      <c r="M144" s="74"/>
      <c r="N144" s="74"/>
      <c r="O144" s="74"/>
      <c r="P144" s="74"/>
      <c r="Q144" s="74"/>
      <c r="R144" s="74"/>
      <c r="S144" s="74"/>
      <c r="T144" s="74"/>
      <c r="U144" s="74"/>
      <c r="V144" s="74"/>
      <c r="W144" s="74"/>
      <c r="X144" s="74"/>
      <c r="Y144" s="74"/>
      <c r="Z144" s="74"/>
    </row>
    <row r="145" spans="1:26" x14ac:dyDescent="0.3">
      <c r="A145" s="66">
        <f t="shared" si="14"/>
        <v>2003.7999999999874</v>
      </c>
      <c r="B145" s="67">
        <f>LOOKUP(A145+0.01,AmountsB!$A$4:$A$103,AmountsB!$B$4:$B$103)*0.1*$A$2</f>
        <v>3271.7350867800001</v>
      </c>
      <c r="C145" s="68">
        <f t="shared" si="19"/>
        <v>123798.79017911</v>
      </c>
      <c r="D145" s="67">
        <f t="array" ref="D145">SUM($B$7:$B140*$F$1009*EXP(-$F$1009*($A145-$A$7:$A140)))*$F$1010</f>
        <v>19348901.496714868</v>
      </c>
      <c r="E145" s="67">
        <f t="shared" si="17"/>
        <v>36.886972581284752</v>
      </c>
      <c r="F145" s="70">
        <f t="shared" si="15"/>
        <v>2.23977697513561</v>
      </c>
      <c r="G145" s="67">
        <f>E145/'Lookup Tables'!$C$48</f>
        <v>73.773945162569504</v>
      </c>
      <c r="H145" s="70">
        <f t="shared" si="18"/>
        <v>0.15660728800881923</v>
      </c>
      <c r="I145" s="71">
        <f t="shared" si="16"/>
        <v>0.10623448103410009</v>
      </c>
      <c r="L145" s="74"/>
      <c r="M145" s="74"/>
      <c r="N145" s="74"/>
      <c r="O145" s="74"/>
      <c r="P145" s="74"/>
      <c r="Q145" s="74"/>
      <c r="R145" s="74"/>
      <c r="S145" s="74"/>
      <c r="T145" s="74"/>
      <c r="U145" s="74"/>
      <c r="V145" s="74"/>
      <c r="W145" s="74"/>
      <c r="X145" s="74"/>
      <c r="Y145" s="74"/>
      <c r="Z145" s="74"/>
    </row>
    <row r="146" spans="1:26" x14ac:dyDescent="0.3">
      <c r="A146" s="66">
        <f t="shared" si="14"/>
        <v>2003.8999999999874</v>
      </c>
      <c r="B146" s="67">
        <f>LOOKUP(A146+0.01,AmountsB!$A$4:$A$103,AmountsB!$B$4:$B$103)*0.1*$A$2</f>
        <v>3271.7350867800001</v>
      </c>
      <c r="C146" s="68">
        <f t="shared" si="19"/>
        <v>127070.52526589</v>
      </c>
      <c r="D146" s="67">
        <f t="array" ref="D146">SUM($B$7:$B141*$F$1009*EXP(-$F$1009*($A146-$A$7:$A141)))*$F$1010</f>
        <v>19872858.947245989</v>
      </c>
      <c r="E146" s="67">
        <f t="shared" si="17"/>
        <v>37.885851205726709</v>
      </c>
      <c r="F146" s="70">
        <f t="shared" si="15"/>
        <v>2.3004288852117258</v>
      </c>
      <c r="G146" s="67">
        <f>E146/'Lookup Tables'!$C$48</f>
        <v>75.771702411453418</v>
      </c>
      <c r="H146" s="70">
        <f t="shared" si="18"/>
        <v>0.15670670560354744</v>
      </c>
      <c r="I146" s="71">
        <f t="shared" si="16"/>
        <v>0.10911125147249294</v>
      </c>
      <c r="L146" s="74"/>
      <c r="M146" s="74"/>
      <c r="N146" s="74"/>
      <c r="O146" s="74"/>
      <c r="P146" s="74"/>
      <c r="Q146" s="74"/>
      <c r="R146" s="74"/>
      <c r="S146" s="74"/>
      <c r="T146" s="74"/>
      <c r="U146" s="74"/>
      <c r="V146" s="74"/>
      <c r="W146" s="74"/>
      <c r="X146" s="74"/>
      <c r="Y146" s="74"/>
      <c r="Z146" s="74"/>
    </row>
    <row r="147" spans="1:26" x14ac:dyDescent="0.3">
      <c r="A147" s="66">
        <f t="shared" ref="A147:A210" si="20">A146+0.1</f>
        <v>2003.9999999999873</v>
      </c>
      <c r="B147" s="67">
        <f>LOOKUP(A147+0.01,AmountsB!$A$4:$A$103,AmountsB!$B$4:$B$103)*0.1*$A$2</f>
        <v>3337.1516424530005</v>
      </c>
      <c r="C147" s="68">
        <f t="shared" si="19"/>
        <v>130407.676908343</v>
      </c>
      <c r="D147" s="67">
        <f t="array" ref="D147">SUM($B$7:$B142*$F$1009*EXP(-$F$1009*($A147-$A$7:$A142)))*$F$1010</f>
        <v>20393161.502680376</v>
      </c>
      <c r="E147" s="67">
        <f t="shared" si="17"/>
        <v>38.877762095321089</v>
      </c>
      <c r="F147" s="70">
        <f t="shared" ref="F147:F210" si="21">E147*60*1012/1000000</f>
        <v>2.3606577144278966</v>
      </c>
      <c r="G147" s="67">
        <f>E147/'Lookup Tables'!$C$48</f>
        <v>77.755524190642177</v>
      </c>
      <c r="H147" s="70">
        <f t="shared" si="18"/>
        <v>0.15669439285896414</v>
      </c>
      <c r="I147" s="71">
        <f t="shared" ref="I147:I210" si="22">G147*60*24/1000000</f>
        <v>0.11196795483452475</v>
      </c>
      <c r="L147" s="74"/>
      <c r="M147" s="74"/>
      <c r="N147" s="74"/>
      <c r="O147" s="74"/>
      <c r="P147" s="74"/>
      <c r="Q147" s="74"/>
      <c r="R147" s="74"/>
      <c r="S147" s="74"/>
      <c r="T147" s="74"/>
      <c r="U147" s="74"/>
      <c r="V147" s="74"/>
      <c r="W147" s="74"/>
      <c r="X147" s="74"/>
      <c r="Y147" s="74"/>
      <c r="Z147" s="74"/>
    </row>
    <row r="148" spans="1:26" x14ac:dyDescent="0.3">
      <c r="A148" s="66">
        <f t="shared" si="20"/>
        <v>2004.0999999999872</v>
      </c>
      <c r="B148" s="67">
        <f>LOOKUP(A148+0.01,AmountsB!$A$4:$A$103,AmountsB!$B$4:$B$103)*0.1*$A$2</f>
        <v>3337.1516424530005</v>
      </c>
      <c r="C148" s="68">
        <f t="shared" si="19"/>
        <v>133744.828550796</v>
      </c>
      <c r="D148" s="67">
        <f t="array" ref="D148">SUM($B$7:$B143*$F$1009*EXP(-$F$1009*($A148-$A$7:$A143)))*$F$1010</f>
        <v>20909834.657947354</v>
      </c>
      <c r="E148" s="67">
        <f t="shared" si="17"/>
        <v>39.862753853899974</v>
      </c>
      <c r="F148" s="70">
        <f t="shared" si="21"/>
        <v>2.4204664140088066</v>
      </c>
      <c r="G148" s="67">
        <f>E148/'Lookup Tables'!$C$48</f>
        <v>79.725507707799949</v>
      </c>
      <c r="H148" s="70">
        <f t="shared" si="18"/>
        <v>0.15665550326420549</v>
      </c>
      <c r="I148" s="71">
        <f t="shared" si="22"/>
        <v>0.11480473109923192</v>
      </c>
      <c r="L148" s="74"/>
      <c r="M148" s="74"/>
      <c r="N148" s="74"/>
      <c r="O148" s="74"/>
      <c r="P148" s="74"/>
      <c r="Q148" s="74"/>
      <c r="R148" s="74"/>
      <c r="S148" s="74"/>
      <c r="T148" s="74"/>
      <c r="U148" s="74"/>
      <c r="V148" s="74"/>
      <c r="W148" s="74"/>
      <c r="X148" s="74"/>
      <c r="Y148" s="74"/>
      <c r="Z148" s="74"/>
    </row>
    <row r="149" spans="1:26" x14ac:dyDescent="0.3">
      <c r="A149" s="66">
        <f t="shared" si="20"/>
        <v>2004.1999999999871</v>
      </c>
      <c r="B149" s="67">
        <f>LOOKUP(A149+0.01,AmountsB!$A$4:$A$103,AmountsB!$B$4:$B$103)*0.1*$A$2</f>
        <v>3337.1516424530005</v>
      </c>
      <c r="C149" s="68">
        <f t="shared" si="19"/>
        <v>137081.98019324901</v>
      </c>
      <c r="D149" s="67">
        <f t="array" ref="D149">SUM($B$7:$B144*$F$1009*EXP(-$F$1009*($A149-$A$7:$A144)))*$F$1010</f>
        <v>21422903.730134901</v>
      </c>
      <c r="E149" s="67">
        <f t="shared" si="17"/>
        <v>40.840874746256603</v>
      </c>
      <c r="F149" s="70">
        <f t="shared" si="21"/>
        <v>2.4798579145927007</v>
      </c>
      <c r="G149" s="67">
        <f>E149/'Lookup Tables'!$C$48</f>
        <v>81.681749492513205</v>
      </c>
      <c r="H149" s="70">
        <f t="shared" si="18"/>
        <v>0.15659216285299632</v>
      </c>
      <c r="I149" s="71">
        <f t="shared" si="22"/>
        <v>0.11762171926921899</v>
      </c>
      <c r="L149" s="74"/>
      <c r="M149" s="74"/>
      <c r="N149" s="74"/>
      <c r="O149" s="74"/>
      <c r="P149" s="74"/>
      <c r="Q149" s="74"/>
      <c r="R149" s="74"/>
      <c r="S149" s="74"/>
      <c r="T149" s="74"/>
      <c r="U149" s="74"/>
      <c r="V149" s="74"/>
      <c r="W149" s="74"/>
      <c r="X149" s="74"/>
      <c r="Y149" s="74"/>
      <c r="Z149" s="74"/>
    </row>
    <row r="150" spans="1:26" x14ac:dyDescent="0.3">
      <c r="A150" s="66">
        <f t="shared" si="20"/>
        <v>2004.299999999987</v>
      </c>
      <c r="B150" s="67">
        <f>LOOKUP(A150+0.01,AmountsB!$A$4:$A$103,AmountsB!$B$4:$B$103)*0.1*$A$2</f>
        <v>3337.1516424530005</v>
      </c>
      <c r="C150" s="68">
        <f t="shared" si="19"/>
        <v>140419.13183570202</v>
      </c>
      <c r="D150" s="67">
        <f t="array" ref="D150">SUM($B$7:$B145*$F$1009*EXP(-$F$1009*($A150-$A$7:$A145)))*$F$1010</f>
        <v>21932393.859730218</v>
      </c>
      <c r="E150" s="67">
        <f t="shared" si="17"/>
        <v>41.812172700510423</v>
      </c>
      <c r="F150" s="70">
        <f t="shared" si="21"/>
        <v>2.5388351263749924</v>
      </c>
      <c r="G150" s="67">
        <f>E150/'Lookup Tables'!$C$48</f>
        <v>83.624345401020847</v>
      </c>
      <c r="H150" s="70">
        <f t="shared" si="18"/>
        <v>0.1565062942925893</v>
      </c>
      <c r="I150" s="71">
        <f t="shared" si="22"/>
        <v>0.12041905737747002</v>
      </c>
      <c r="L150" s="74"/>
      <c r="M150" s="74"/>
      <c r="N150" s="74"/>
      <c r="O150" s="74"/>
      <c r="P150" s="74"/>
      <c r="Q150" s="74"/>
      <c r="R150" s="74"/>
      <c r="S150" s="74"/>
      <c r="T150" s="74"/>
      <c r="U150" s="74"/>
      <c r="V150" s="74"/>
      <c r="W150" s="74"/>
      <c r="X150" s="74"/>
      <c r="Y150" s="74"/>
      <c r="Z150" s="74"/>
    </row>
    <row r="151" spans="1:26" x14ac:dyDescent="0.3">
      <c r="A151" s="66">
        <f t="shared" si="20"/>
        <v>2004.3999999999869</v>
      </c>
      <c r="B151" s="67">
        <f>LOOKUP(A151+0.01,AmountsB!$A$4:$A$103,AmountsB!$B$4:$B$103)*0.1*$A$2</f>
        <v>3337.1516424530005</v>
      </c>
      <c r="C151" s="68">
        <f t="shared" si="19"/>
        <v>143756.28347815503</v>
      </c>
      <c r="D151" s="67">
        <f t="array" ref="D151">SUM($B$7:$B146*$F$1009*EXP(-$F$1009*($A151-$A$7:$A146)))*$F$1010</f>
        <v>22438330.01185159</v>
      </c>
      <c r="E151" s="67">
        <f t="shared" si="17"/>
        <v>42.776695310455509</v>
      </c>
      <c r="F151" s="70">
        <f t="shared" si="21"/>
        <v>2.5974009392508584</v>
      </c>
      <c r="G151" s="67">
        <f>E151/'Lookup Tables'!$C$48</f>
        <v>85.553390620911017</v>
      </c>
      <c r="H151" s="70">
        <f t="shared" si="18"/>
        <v>0.15639964049704971</v>
      </c>
      <c r="I151" s="71">
        <f t="shared" si="22"/>
        <v>0.12319688249411187</v>
      </c>
      <c r="L151" s="74"/>
      <c r="M151" s="74"/>
      <c r="N151" s="74"/>
      <c r="O151" s="74"/>
      <c r="P151" s="74"/>
      <c r="Q151" s="74"/>
      <c r="R151" s="74"/>
      <c r="S151" s="74"/>
      <c r="T151" s="74"/>
      <c r="U151" s="74"/>
      <c r="V151" s="74"/>
      <c r="W151" s="74"/>
      <c r="X151" s="74"/>
      <c r="Y151" s="74"/>
      <c r="Z151" s="74"/>
    </row>
    <row r="152" spans="1:26" x14ac:dyDescent="0.3">
      <c r="A152" s="66">
        <f t="shared" si="20"/>
        <v>2004.4999999999868</v>
      </c>
      <c r="B152" s="67">
        <f>LOOKUP(A152+0.01,AmountsB!$A$4:$A$103,AmountsB!$B$4:$B$103)*0.1*$A$2</f>
        <v>3337.1516424530005</v>
      </c>
      <c r="C152" s="68">
        <f t="shared" si="19"/>
        <v>147093.43512060805</v>
      </c>
      <c r="D152" s="67">
        <f t="array" ref="D152">SUM($B$7:$B147*$F$1009*EXP(-$F$1009*($A152-$A$7:$A147)))*$F$1010</f>
        <v>22953911.859200194</v>
      </c>
      <c r="E152" s="67">
        <f t="shared" si="17"/>
        <v>43.759606586828745</v>
      </c>
      <c r="F152" s="70">
        <f t="shared" si="21"/>
        <v>2.657083311952241</v>
      </c>
      <c r="G152" s="67">
        <f>E152/'Lookup Tables'!$C$48</f>
        <v>87.519213173657491</v>
      </c>
      <c r="H152" s="70">
        <f t="shared" si="18"/>
        <v>0.15636353317317317</v>
      </c>
      <c r="I152" s="71">
        <f t="shared" si="22"/>
        <v>0.12602766697006679</v>
      </c>
      <c r="L152" s="74"/>
      <c r="M152" s="74"/>
      <c r="N152" s="74"/>
      <c r="O152" s="74"/>
      <c r="P152" s="74"/>
      <c r="Q152" s="74"/>
      <c r="R152" s="74"/>
      <c r="S152" s="74"/>
      <c r="T152" s="74"/>
      <c r="U152" s="74"/>
      <c r="V152" s="74"/>
      <c r="W152" s="74"/>
      <c r="X152" s="74"/>
      <c r="Y152" s="74"/>
      <c r="Z152" s="74"/>
    </row>
    <row r="153" spans="1:26" x14ac:dyDescent="0.3">
      <c r="A153" s="66">
        <f t="shared" si="20"/>
        <v>2004.5999999999867</v>
      </c>
      <c r="B153" s="67">
        <f>LOOKUP(A153+0.01,AmountsB!$A$4:$A$103,AmountsB!$B$4:$B$103)*0.1*$A$2</f>
        <v>3337.1516424530005</v>
      </c>
      <c r="C153" s="68">
        <f t="shared" si="19"/>
        <v>150430.58676306106</v>
      </c>
      <c r="D153" s="67">
        <f t="array" ref="D153">SUM($B$7:$B148*$F$1009*EXP(-$F$1009*($A153-$A$7:$A148)))*$F$1010</f>
        <v>23465897.235950042</v>
      </c>
      <c r="E153" s="67">
        <f t="shared" si="17"/>
        <v>44.735661509502094</v>
      </c>
      <c r="F153" s="70">
        <f t="shared" si="21"/>
        <v>2.7163493668569672</v>
      </c>
      <c r="G153" s="67">
        <f>E153/'Lookup Tables'!$C$48</f>
        <v>89.471323019004188</v>
      </c>
      <c r="H153" s="70">
        <f t="shared" si="18"/>
        <v>0.15630507196271901</v>
      </c>
      <c r="I153" s="71">
        <f t="shared" si="22"/>
        <v>0.12883870514736603</v>
      </c>
      <c r="L153" s="74"/>
      <c r="M153" s="74"/>
      <c r="N153" s="74"/>
      <c r="O153" s="74"/>
      <c r="P153" s="74"/>
      <c r="Q153" s="74"/>
      <c r="R153" s="74"/>
      <c r="S153" s="74"/>
      <c r="T153" s="74"/>
      <c r="U153" s="74"/>
      <c r="V153" s="74"/>
      <c r="W153" s="74"/>
      <c r="X153" s="74"/>
      <c r="Y153" s="74"/>
      <c r="Z153" s="74"/>
    </row>
    <row r="154" spans="1:26" x14ac:dyDescent="0.3">
      <c r="A154" s="66">
        <f t="shared" si="20"/>
        <v>2004.6999999999866</v>
      </c>
      <c r="B154" s="67">
        <f>LOOKUP(A154+0.01,AmountsB!$A$4:$A$103,AmountsB!$B$4:$B$103)*0.1*$A$2</f>
        <v>3337.1516424530005</v>
      </c>
      <c r="C154" s="68">
        <f t="shared" si="19"/>
        <v>153767.73840551407</v>
      </c>
      <c r="D154" s="67">
        <f t="array" ref="D154">SUM($B$7:$B149*$F$1009*EXP(-$F$1009*($A154-$A$7:$A149)))*$F$1010</f>
        <v>23974311.229487021</v>
      </c>
      <c r="E154" s="67">
        <f t="shared" si="17"/>
        <v>45.704907905362049</v>
      </c>
      <c r="F154" s="70">
        <f t="shared" si="21"/>
        <v>2.7752020080135837</v>
      </c>
      <c r="G154" s="67">
        <f>E154/'Lookup Tables'!$C$48</f>
        <v>91.409815810724098</v>
      </c>
      <c r="H154" s="70">
        <f t="shared" si="18"/>
        <v>0.15622587575364155</v>
      </c>
      <c r="I154" s="71">
        <f t="shared" si="22"/>
        <v>0.1316301347674427</v>
      </c>
      <c r="L154" s="74"/>
      <c r="M154" s="74"/>
      <c r="N154" s="74"/>
      <c r="O154" s="74"/>
      <c r="P154" s="74"/>
      <c r="Q154" s="74"/>
      <c r="R154" s="74"/>
      <c r="S154" s="74"/>
      <c r="T154" s="74"/>
      <c r="U154" s="74"/>
      <c r="V154" s="74"/>
      <c r="W154" s="74"/>
      <c r="X154" s="74"/>
      <c r="Y154" s="74"/>
      <c r="Z154" s="74"/>
    </row>
    <row r="155" spans="1:26" x14ac:dyDescent="0.3">
      <c r="A155" s="66">
        <f t="shared" si="20"/>
        <v>2004.7999999999865</v>
      </c>
      <c r="B155" s="67">
        <f>LOOKUP(A155+0.01,AmountsB!$A$4:$A$103,AmountsB!$B$4:$B$103)*0.1*$A$2</f>
        <v>3337.1516424530005</v>
      </c>
      <c r="C155" s="68">
        <f t="shared" si="19"/>
        <v>157104.89004796708</v>
      </c>
      <c r="D155" s="67">
        <f t="array" ref="D155">SUM($B$7:$B150*$F$1009*EXP(-$F$1009*($A155-$A$7:$A150)))*$F$1010</f>
        <v>24479178.752198547</v>
      </c>
      <c r="E155" s="67">
        <f t="shared" si="17"/>
        <v>46.667393267675926</v>
      </c>
      <c r="F155" s="70">
        <f t="shared" si="21"/>
        <v>2.833644119213282</v>
      </c>
      <c r="G155" s="67">
        <f>E155/'Lookup Tables'!$C$48</f>
        <v>93.334786535351853</v>
      </c>
      <c r="H155" s="70">
        <f t="shared" si="18"/>
        <v>0.1561274247669916</v>
      </c>
      <c r="I155" s="71">
        <f t="shared" si="22"/>
        <v>0.13440209261090666</v>
      </c>
      <c r="L155" s="74"/>
      <c r="M155" s="74"/>
      <c r="N155" s="74"/>
      <c r="O155" s="74"/>
      <c r="P155" s="74"/>
      <c r="Q155" s="74"/>
      <c r="R155" s="74"/>
      <c r="S155" s="74"/>
      <c r="T155" s="74"/>
      <c r="U155" s="74"/>
      <c r="V155" s="74"/>
      <c r="W155" s="74"/>
      <c r="X155" s="74"/>
      <c r="Y155" s="74"/>
      <c r="Z155" s="74"/>
    </row>
    <row r="156" spans="1:26" x14ac:dyDescent="0.3">
      <c r="A156" s="66">
        <f t="shared" si="20"/>
        <v>2004.8999999999864</v>
      </c>
      <c r="B156" s="67">
        <f>LOOKUP(A156+0.01,AmountsB!$A$4:$A$103,AmountsB!$B$4:$B$103)*0.1*$A$2</f>
        <v>3337.1516424530005</v>
      </c>
      <c r="C156" s="68">
        <f t="shared" si="19"/>
        <v>160442.0416904201</v>
      </c>
      <c r="D156" s="67">
        <f t="array" ref="D156">SUM($B$7:$B151*$F$1009*EXP(-$F$1009*($A156-$A$7:$A151)))*$F$1010</f>
        <v>24980524.542694241</v>
      </c>
      <c r="E156" s="67">
        <f t="shared" si="17"/>
        <v>47.623164758419058</v>
      </c>
      <c r="F156" s="70">
        <f t="shared" si="21"/>
        <v>2.8916785641312051</v>
      </c>
      <c r="G156" s="67">
        <f>E156/'Lookup Tables'!$C$48</f>
        <v>95.246329516838117</v>
      </c>
      <c r="H156" s="70">
        <f t="shared" si="18"/>
        <v>0.15601107498571323</v>
      </c>
      <c r="I156" s="71">
        <f t="shared" si="22"/>
        <v>0.13715471450424688</v>
      </c>
      <c r="L156" s="74"/>
      <c r="M156" s="74"/>
      <c r="N156" s="74"/>
      <c r="O156" s="74"/>
      <c r="P156" s="74"/>
      <c r="Q156" s="74"/>
      <c r="R156" s="74"/>
      <c r="S156" s="74"/>
      <c r="T156" s="74"/>
      <c r="U156" s="74"/>
      <c r="V156" s="74"/>
      <c r="W156" s="74"/>
      <c r="X156" s="74"/>
      <c r="Y156" s="74"/>
      <c r="Z156" s="74"/>
    </row>
    <row r="157" spans="1:26" x14ac:dyDescent="0.3">
      <c r="A157" s="66">
        <f t="shared" si="20"/>
        <v>2004.9999999999864</v>
      </c>
      <c r="B157" s="67">
        <f>LOOKUP(A157+0.01,AmountsB!$A$4:$A$103,AmountsB!$B$4:$B$103)*0.1*$A$2</f>
        <v>3403.9291528210001</v>
      </c>
      <c r="C157" s="68">
        <f t="shared" si="19"/>
        <v>163845.97084324108</v>
      </c>
      <c r="D157" s="67">
        <f t="array" ref="D157">SUM($B$7:$B152*$F$1009*EXP(-$F$1009*($A157-$A$7:$A152)))*$F$1010</f>
        <v>25478373.167018156</v>
      </c>
      <c r="E157" s="67">
        <f t="shared" si="17"/>
        <v>48.572269210585738</v>
      </c>
      <c r="F157" s="70">
        <f t="shared" si="21"/>
        <v>2.9493081864667658</v>
      </c>
      <c r="G157" s="67">
        <f>E157/'Lookup Tables'!$C$48</f>
        <v>97.144538421171475</v>
      </c>
      <c r="H157" s="70">
        <f t="shared" si="18"/>
        <v>0.15581454072806697</v>
      </c>
      <c r="I157" s="71">
        <f t="shared" si="22"/>
        <v>0.13988813532648692</v>
      </c>
      <c r="L157" s="74"/>
      <c r="M157" s="74"/>
      <c r="N157" s="74"/>
      <c r="O157" s="74"/>
      <c r="P157" s="74"/>
      <c r="Q157" s="74"/>
      <c r="R157" s="74"/>
      <c r="S157" s="74"/>
      <c r="T157" s="74"/>
      <c r="U157" s="74"/>
      <c r="V157" s="74"/>
      <c r="W157" s="74"/>
      <c r="X157" s="74"/>
      <c r="Y157" s="74"/>
      <c r="Z157" s="74"/>
    </row>
    <row r="158" spans="1:26" x14ac:dyDescent="0.3">
      <c r="A158" s="66">
        <f t="shared" si="20"/>
        <v>2005.0999999999863</v>
      </c>
      <c r="B158" s="67">
        <f>LOOKUP(A158+0.01,AmountsB!$A$4:$A$103,AmountsB!$B$4:$B$103)*0.1*$A$2</f>
        <v>3403.9291528210001</v>
      </c>
      <c r="C158" s="68">
        <f t="shared" si="19"/>
        <v>167249.89999606207</v>
      </c>
      <c r="D158" s="67">
        <f t="array" ref="D158">SUM($B$7:$B153*$F$1009*EXP(-$F$1009*($A158-$A$7:$A153)))*$F$1010</f>
        <v>25972749.0198525</v>
      </c>
      <c r="E158" s="67">
        <f t="shared" si="17"/>
        <v>49.514753130484024</v>
      </c>
      <c r="F158" s="70">
        <f t="shared" si="21"/>
        <v>3.0065358100829904</v>
      </c>
      <c r="G158" s="67">
        <f>E158/'Lookup Tables'!$C$48</f>
        <v>99.029506260968049</v>
      </c>
      <c r="H158" s="70">
        <f t="shared" si="18"/>
        <v>0.15560520063686237</v>
      </c>
      <c r="I158" s="71">
        <f t="shared" si="22"/>
        <v>0.142602489015794</v>
      </c>
      <c r="L158" s="74"/>
      <c r="M158" s="74"/>
      <c r="N158" s="74"/>
      <c r="O158" s="74"/>
      <c r="P158" s="74"/>
      <c r="Q158" s="74"/>
      <c r="R158" s="74"/>
      <c r="S158" s="74"/>
      <c r="T158" s="74"/>
      <c r="U158" s="74"/>
      <c r="V158" s="74"/>
      <c r="W158" s="74"/>
      <c r="X158" s="74"/>
      <c r="Y158" s="74"/>
      <c r="Z158" s="74"/>
    </row>
    <row r="159" spans="1:26" x14ac:dyDescent="0.3">
      <c r="A159" s="66">
        <f t="shared" si="20"/>
        <v>2005.1999999999862</v>
      </c>
      <c r="B159" s="67">
        <f>LOOKUP(A159+0.01,AmountsB!$A$4:$A$103,AmountsB!$B$4:$B$103)*0.1*$A$2</f>
        <v>3403.9291528210001</v>
      </c>
      <c r="C159" s="68">
        <f t="shared" si="19"/>
        <v>170653.82914888306</v>
      </c>
      <c r="D159" s="67">
        <f t="array" ref="D159">SUM($B$7:$B154*$F$1009*EXP(-$F$1009*($A159-$A$7:$A154)))*$F$1010</f>
        <v>26463676.32571296</v>
      </c>
      <c r="E159" s="67">
        <f t="shared" si="17"/>
        <v>50.450662700014547</v>
      </c>
      <c r="F159" s="70">
        <f t="shared" si="21"/>
        <v>3.0633642391448834</v>
      </c>
      <c r="G159" s="67">
        <f>E159/'Lookup Tables'!$C$48</f>
        <v>100.90132540002909</v>
      </c>
      <c r="H159" s="70">
        <f t="shared" si="18"/>
        <v>0.15538396323936926</v>
      </c>
      <c r="I159" s="71">
        <f t="shared" si="22"/>
        <v>0.14529790857604188</v>
      </c>
      <c r="L159" s="74"/>
      <c r="M159" s="74"/>
      <c r="N159" s="74"/>
      <c r="O159" s="74"/>
      <c r="P159" s="74"/>
      <c r="Q159" s="74"/>
      <c r="R159" s="74"/>
      <c r="S159" s="74"/>
      <c r="T159" s="74"/>
      <c r="U159" s="74"/>
      <c r="V159" s="74"/>
      <c r="W159" s="74"/>
      <c r="X159" s="74"/>
      <c r="Y159" s="74"/>
      <c r="Z159" s="74"/>
    </row>
    <row r="160" spans="1:26" x14ac:dyDescent="0.3">
      <c r="A160" s="66">
        <f t="shared" si="20"/>
        <v>2005.2999999999861</v>
      </c>
      <c r="B160" s="67">
        <f>LOOKUP(A160+0.01,AmountsB!$A$4:$A$103,AmountsB!$B$4:$B$103)*0.1*$A$2</f>
        <v>3403.9291528210001</v>
      </c>
      <c r="C160" s="68">
        <f t="shared" si="19"/>
        <v>174057.75830170405</v>
      </c>
      <c r="D160" s="67">
        <f t="array" ref="D160">SUM($B$7:$B155*$F$1009*EXP(-$F$1009*($A160-$A$7:$A155)))*$F$1010</f>
        <v>26951179.140135765</v>
      </c>
      <c r="E160" s="67">
        <f t="shared" si="17"/>
        <v>51.380043778933484</v>
      </c>
      <c r="F160" s="70">
        <f t="shared" si="21"/>
        <v>3.1197962582568413</v>
      </c>
      <c r="G160" s="67">
        <f>E160/'Lookup Tables'!$C$48</f>
        <v>102.76008755786697</v>
      </c>
      <c r="H160" s="70">
        <f t="shared" si="18"/>
        <v>0.15515166502028341</v>
      </c>
      <c r="I160" s="71">
        <f t="shared" si="22"/>
        <v>0.14797452608332845</v>
      </c>
      <c r="L160" s="74"/>
      <c r="M160" s="74"/>
      <c r="N160" s="74"/>
      <c r="O160" s="74"/>
      <c r="P160" s="74"/>
      <c r="Q160" s="74"/>
      <c r="R160" s="74"/>
      <c r="S160" s="74"/>
      <c r="T160" s="74"/>
      <c r="U160" s="74"/>
      <c r="V160" s="74"/>
      <c r="W160" s="74"/>
      <c r="X160" s="74"/>
      <c r="Y160" s="74"/>
      <c r="Z160" s="74"/>
    </row>
    <row r="161" spans="1:26" x14ac:dyDescent="0.3">
      <c r="A161" s="66">
        <f t="shared" si="20"/>
        <v>2005.399999999986</v>
      </c>
      <c r="B161" s="67">
        <f>LOOKUP(A161+0.01,AmountsB!$A$4:$A$103,AmountsB!$B$4:$B$103)*0.1*$A$2</f>
        <v>3403.9291528210001</v>
      </c>
      <c r="C161" s="68">
        <f t="shared" si="19"/>
        <v>177461.68745452503</v>
      </c>
      <c r="D161" s="67">
        <f t="array" ref="D161">SUM($B$7:$B156*$F$1009*EXP(-$F$1009*($A161-$A$7:$A156)))*$F$1010</f>
        <v>27435281.35085636</v>
      </c>
      <c r="E161" s="67">
        <f t="shared" si="17"/>
        <v>52.302941907099665</v>
      </c>
      <c r="F161" s="70">
        <f t="shared" si="21"/>
        <v>3.1758346325990918</v>
      </c>
      <c r="G161" s="67">
        <f>E161/'Lookup Tables'!$C$48</f>
        <v>104.60588381419933</v>
      </c>
      <c r="H161" s="70">
        <f t="shared" si="18"/>
        <v>0.15490907733769899</v>
      </c>
      <c r="I161" s="71">
        <f t="shared" si="22"/>
        <v>0.15063247269244701</v>
      </c>
      <c r="L161" s="74"/>
      <c r="M161" s="74"/>
      <c r="N161" s="74"/>
      <c r="O161" s="74"/>
      <c r="P161" s="74"/>
      <c r="Q161" s="74"/>
      <c r="R161" s="74"/>
      <c r="S161" s="74"/>
      <c r="T161" s="74"/>
      <c r="U161" s="74"/>
      <c r="V161" s="74"/>
      <c r="W161" s="74"/>
      <c r="X161" s="74"/>
      <c r="Y161" s="74"/>
      <c r="Z161" s="74"/>
    </row>
    <row r="162" spans="1:26" x14ac:dyDescent="0.3">
      <c r="A162" s="66">
        <f t="shared" si="20"/>
        <v>2005.4999999999859</v>
      </c>
      <c r="B162" s="67">
        <f>LOOKUP(A162+0.01,AmountsB!$A$4:$A$103,AmountsB!$B$4:$B$103)*0.1*$A$2</f>
        <v>3403.9291528210001</v>
      </c>
      <c r="C162" s="68">
        <f t="shared" si="19"/>
        <v>180865.61660734602</v>
      </c>
      <c r="D162" s="67">
        <f t="array" ref="D162">SUM($B$7:$B157*$F$1009*EXP(-$F$1009*($A162-$A$7:$A157)))*$F$1010</f>
        <v>27929455.656722192</v>
      </c>
      <c r="E162" s="67">
        <f t="shared" si="17"/>
        <v>53.24504159549506</v>
      </c>
      <c r="F162" s="70">
        <f t="shared" si="21"/>
        <v>3.2330389256784597</v>
      </c>
      <c r="G162" s="67">
        <f>E162/'Lookup Tables'!$C$48</f>
        <v>106.49008319099012</v>
      </c>
      <c r="H162" s="70">
        <f t="shared" si="18"/>
        <v>0.15473142097178211</v>
      </c>
      <c r="I162" s="71">
        <f t="shared" si="22"/>
        <v>0.15334571979502576</v>
      </c>
      <c r="L162" s="74"/>
      <c r="M162" s="74"/>
      <c r="N162" s="74"/>
      <c r="O162" s="74"/>
      <c r="P162" s="74"/>
      <c r="Q162" s="74"/>
      <c r="R162" s="74"/>
      <c r="S162" s="74"/>
      <c r="T162" s="74"/>
      <c r="U162" s="74"/>
      <c r="V162" s="74"/>
      <c r="W162" s="74"/>
      <c r="X162" s="74"/>
      <c r="Y162" s="74"/>
      <c r="Z162" s="74"/>
    </row>
    <row r="163" spans="1:26" x14ac:dyDescent="0.3">
      <c r="A163" s="66">
        <f t="shared" si="20"/>
        <v>2005.5999999999858</v>
      </c>
      <c r="B163" s="67">
        <f>LOOKUP(A163+0.01,AmountsB!$A$4:$A$103,AmountsB!$B$4:$B$103)*0.1*$A$2</f>
        <v>3403.9291528210001</v>
      </c>
      <c r="C163" s="68">
        <f t="shared" si="19"/>
        <v>184269.54576016701</v>
      </c>
      <c r="D163" s="67">
        <f t="array" ref="D163">SUM($B$7:$B158*$F$1009*EXP(-$F$1009*($A163-$A$7:$A158)))*$F$1010</f>
        <v>28420182.821516529</v>
      </c>
      <c r="E163" s="67">
        <f t="shared" si="17"/>
        <v>54.180569613751487</v>
      </c>
      <c r="F163" s="70">
        <f t="shared" si="21"/>
        <v>3.2898441869469903</v>
      </c>
      <c r="G163" s="67">
        <f>E163/'Lookup Tables'!$C$48</f>
        <v>108.36113922750297</v>
      </c>
      <c r="H163" s="70">
        <f t="shared" si="18"/>
        <v>0.15454158348038666</v>
      </c>
      <c r="I163" s="71">
        <f t="shared" si="22"/>
        <v>0.15604004048760428</v>
      </c>
      <c r="L163" s="74"/>
      <c r="M163" s="74"/>
      <c r="N163" s="74"/>
      <c r="O163" s="74"/>
      <c r="P163" s="74"/>
      <c r="Q163" s="74"/>
      <c r="R163" s="74"/>
      <c r="S163" s="74"/>
      <c r="T163" s="74"/>
      <c r="U163" s="74"/>
      <c r="V163" s="74"/>
      <c r="W163" s="74"/>
      <c r="X163" s="74"/>
      <c r="Y163" s="74"/>
      <c r="Z163" s="74"/>
    </row>
    <row r="164" spans="1:26" x14ac:dyDescent="0.3">
      <c r="A164" s="66">
        <f t="shared" si="20"/>
        <v>2005.6999999999857</v>
      </c>
      <c r="B164" s="67">
        <f>LOOKUP(A164+0.01,AmountsB!$A$4:$A$103,AmountsB!$B$4:$B$103)*0.1*$A$2</f>
        <v>3403.9291528210001</v>
      </c>
      <c r="C164" s="68">
        <f t="shared" si="19"/>
        <v>187673.47491298799</v>
      </c>
      <c r="D164" s="67">
        <f t="array" ref="D164">SUM($B$7:$B159*$F$1009*EXP(-$F$1009*($A164-$A$7:$A159)))*$F$1010</f>
        <v>28907486.890968628</v>
      </c>
      <c r="E164" s="67">
        <f t="shared" si="17"/>
        <v>55.10957180292899</v>
      </c>
      <c r="F164" s="70">
        <f t="shared" si="21"/>
        <v>3.3462531998738485</v>
      </c>
      <c r="G164" s="67">
        <f>E164/'Lookup Tables'!$C$48</f>
        <v>110.21914360585798</v>
      </c>
      <c r="H164" s="70">
        <f t="shared" si="18"/>
        <v>0.15434035605217489</v>
      </c>
      <c r="I164" s="71">
        <f t="shared" si="22"/>
        <v>0.15871556679243551</v>
      </c>
      <c r="L164" s="74"/>
      <c r="M164" s="74"/>
      <c r="N164" s="74"/>
      <c r="O164" s="74"/>
      <c r="P164" s="74"/>
      <c r="Q164" s="74"/>
      <c r="R164" s="74"/>
      <c r="S164" s="74"/>
      <c r="T164" s="74"/>
      <c r="U164" s="74"/>
      <c r="V164" s="74"/>
      <c r="W164" s="74"/>
      <c r="X164" s="74"/>
      <c r="Y164" s="74"/>
      <c r="Z164" s="74"/>
    </row>
    <row r="165" spans="1:26" x14ac:dyDescent="0.3">
      <c r="A165" s="66">
        <f t="shared" si="20"/>
        <v>2005.7999999999856</v>
      </c>
      <c r="B165" s="67">
        <f>LOOKUP(A165+0.01,AmountsB!$A$4:$A$103,AmountsB!$B$4:$B$103)*0.1*$A$2</f>
        <v>3403.9291528210001</v>
      </c>
      <c r="C165" s="68">
        <f t="shared" si="19"/>
        <v>191077.40406580898</v>
      </c>
      <c r="D165" s="67">
        <f t="array" ref="D165">SUM($B$7:$B160*$F$1009*EXP(-$F$1009*($A165-$A$7:$A160)))*$F$1010</f>
        <v>29391391.743075401</v>
      </c>
      <c r="E165" s="67">
        <f t="shared" si="17"/>
        <v>56.032093684320749</v>
      </c>
      <c r="F165" s="70">
        <f t="shared" si="21"/>
        <v>3.4022687285119555</v>
      </c>
      <c r="G165" s="67">
        <f>E165/'Lookup Tables'!$C$48</f>
        <v>112.0641873686415</v>
      </c>
      <c r="H165" s="70">
        <f t="shared" si="18"/>
        <v>0.1541284726180179</v>
      </c>
      <c r="I165" s="71">
        <f t="shared" si="22"/>
        <v>0.16137242981084374</v>
      </c>
      <c r="L165" s="74"/>
      <c r="M165" s="74"/>
      <c r="N165" s="74"/>
      <c r="O165" s="74"/>
      <c r="P165" s="74"/>
      <c r="Q165" s="74"/>
      <c r="R165" s="74"/>
      <c r="S165" s="74"/>
      <c r="T165" s="74"/>
      <c r="U165" s="74"/>
      <c r="V165" s="74"/>
      <c r="W165" s="74"/>
      <c r="X165" s="74"/>
      <c r="Y165" s="74"/>
      <c r="Z165" s="74"/>
    </row>
    <row r="166" spans="1:26" x14ac:dyDescent="0.3">
      <c r="A166" s="66">
        <f t="shared" si="20"/>
        <v>2005.8999999999855</v>
      </c>
      <c r="B166" s="67">
        <f>LOOKUP(A166+0.01,AmountsB!$A$4:$A$103,AmountsB!$B$4:$B$103)*0.1*$A$2</f>
        <v>3403.9291528210001</v>
      </c>
      <c r="C166" s="68">
        <f t="shared" si="19"/>
        <v>194481.33321862997</v>
      </c>
      <c r="D166" s="67">
        <f t="array" ref="D166">SUM($B$7:$B161*$F$1009*EXP(-$F$1009*($A166-$A$7:$A161)))*$F$1010</f>
        <v>29871921.089271419</v>
      </c>
      <c r="E166" s="67">
        <f t="shared" si="17"/>
        <v>56.948180461683521</v>
      </c>
      <c r="F166" s="70">
        <f t="shared" si="21"/>
        <v>3.4578935176334236</v>
      </c>
      <c r="G166" s="67">
        <f>E166/'Lookup Tables'!$C$48</f>
        <v>113.89636092336704</v>
      </c>
      <c r="H166" s="70">
        <f t="shared" si="18"/>
        <v>0.1539066148678252</v>
      </c>
      <c r="I166" s="71">
        <f t="shared" si="22"/>
        <v>0.16401075972964854</v>
      </c>
      <c r="L166" s="74"/>
      <c r="M166" s="74"/>
      <c r="N166" s="74"/>
      <c r="O166" s="74"/>
      <c r="P166" s="74"/>
      <c r="Q166" s="74"/>
      <c r="R166" s="74"/>
      <c r="S166" s="74"/>
      <c r="T166" s="74"/>
      <c r="U166" s="74"/>
      <c r="V166" s="74"/>
      <c r="W166" s="74"/>
      <c r="X166" s="74"/>
      <c r="Y166" s="74"/>
      <c r="Z166" s="74"/>
    </row>
    <row r="167" spans="1:26" x14ac:dyDescent="0.3">
      <c r="A167" s="66">
        <f t="shared" si="20"/>
        <v>2005.9999999999854</v>
      </c>
      <c r="B167" s="67">
        <f>LOOKUP(A167+0.01,AmountsB!$A$4:$A$103,AmountsB!$B$4:$B$103)*0.1*$A$2</f>
        <v>3471.9768875710001</v>
      </c>
      <c r="C167" s="68">
        <f t="shared" si="19"/>
        <v>197953.31010620098</v>
      </c>
      <c r="D167" s="67">
        <f t="array" ref="D167">SUM($B$7:$B162*$F$1009*EXP(-$F$1009*($A167-$A$7:$A162)))*$F$1010</f>
        <v>30349098.475590806</v>
      </c>
      <c r="E167" s="67">
        <f t="shared" si="17"/>
        <v>57.857877023452716</v>
      </c>
      <c r="F167" s="70">
        <f t="shared" si="21"/>
        <v>3.5131302928640489</v>
      </c>
      <c r="G167" s="67">
        <f>E167/'Lookup Tables'!$C$48</f>
        <v>115.71575404690543</v>
      </c>
      <c r="H167" s="70">
        <f t="shared" si="18"/>
        <v>0.15362258982793406</v>
      </c>
      <c r="I167" s="71">
        <f t="shared" si="22"/>
        <v>0.16663068582754381</v>
      </c>
      <c r="L167" s="74"/>
      <c r="M167" s="74"/>
      <c r="N167" s="74"/>
      <c r="O167" s="74"/>
      <c r="P167" s="74"/>
      <c r="Q167" s="74"/>
      <c r="R167" s="74"/>
      <c r="S167" s="74"/>
      <c r="T167" s="74"/>
      <c r="U167" s="74"/>
      <c r="V167" s="74"/>
      <c r="W167" s="74"/>
      <c r="X167" s="74"/>
      <c r="Y167" s="74"/>
      <c r="Z167" s="74"/>
    </row>
    <row r="168" spans="1:26" x14ac:dyDescent="0.3">
      <c r="A168" s="66">
        <f t="shared" si="20"/>
        <v>2006.0999999999854</v>
      </c>
      <c r="B168" s="67">
        <f>LOOKUP(A168+0.01,AmountsB!$A$4:$A$103,AmountsB!$B$4:$B$103)*0.1*$A$2</f>
        <v>3471.9768875710001</v>
      </c>
      <c r="C168" s="68">
        <f t="shared" si="19"/>
        <v>201425.286993772</v>
      </c>
      <c r="D168" s="67">
        <f t="array" ref="D168">SUM($B$7:$B163*$F$1009*EXP(-$F$1009*($A168-$A$7:$A163)))*$F$1010</f>
        <v>30822947.283820949</v>
      </c>
      <c r="E168" s="67">
        <f t="shared" si="17"/>
        <v>58.761227944941844</v>
      </c>
      <c r="F168" s="70">
        <f t="shared" si="21"/>
        <v>3.5679817608168682</v>
      </c>
      <c r="G168" s="67">
        <f>E168/'Lookup Tables'!$C$48</f>
        <v>117.52245588988369</v>
      </c>
      <c r="H168" s="70">
        <f t="shared" si="18"/>
        <v>0.15333179795253998</v>
      </c>
      <c r="I168" s="71">
        <f t="shared" si="22"/>
        <v>0.16923233648143249</v>
      </c>
      <c r="L168" s="74"/>
      <c r="M168" s="74"/>
      <c r="N168" s="74"/>
      <c r="O168" s="74"/>
      <c r="P168" s="74"/>
      <c r="Q168" s="74"/>
      <c r="R168" s="74"/>
      <c r="S168" s="74"/>
      <c r="T168" s="74"/>
      <c r="U168" s="74"/>
      <c r="V168" s="74"/>
      <c r="W168" s="74"/>
      <c r="X168" s="74"/>
      <c r="Y168" s="74"/>
      <c r="Z168" s="74"/>
    </row>
    <row r="169" spans="1:26" x14ac:dyDescent="0.3">
      <c r="A169" s="66">
        <f t="shared" si="20"/>
        <v>2006.1999999999853</v>
      </c>
      <c r="B169" s="67">
        <f>LOOKUP(A169+0.01,AmountsB!$A$4:$A$103,AmountsB!$B$4:$B$103)*0.1*$A$2</f>
        <v>3471.9768875710001</v>
      </c>
      <c r="C169" s="68">
        <f t="shared" si="19"/>
        <v>204897.26388134301</v>
      </c>
      <c r="D169" s="67">
        <f t="array" ref="D169">SUM($B$7:$B164*$F$1009*EXP(-$F$1009*($A169-$A$7:$A164)))*$F$1010</f>
        <v>31293490.73264828</v>
      </c>
      <c r="E169" s="67">
        <f t="shared" si="17"/>
        <v>59.658277490526835</v>
      </c>
      <c r="F169" s="70">
        <f t="shared" si="21"/>
        <v>3.6224506092247895</v>
      </c>
      <c r="G169" s="67">
        <f>E169/'Lookup Tables'!$C$48</f>
        <v>119.31655498105367</v>
      </c>
      <c r="H169" s="70">
        <f t="shared" si="18"/>
        <v>0.15303469677945306</v>
      </c>
      <c r="I169" s="71">
        <f t="shared" si="22"/>
        <v>0.17181583917271728</v>
      </c>
      <c r="L169" s="74"/>
      <c r="M169" s="74"/>
      <c r="N169" s="74"/>
      <c r="O169" s="74"/>
      <c r="P169" s="74"/>
      <c r="Q169" s="74"/>
      <c r="R169" s="74"/>
      <c r="S169" s="74"/>
      <c r="T169" s="74"/>
      <c r="U169" s="74"/>
      <c r="V169" s="74"/>
      <c r="W169" s="74"/>
      <c r="X169" s="74"/>
      <c r="Y169" s="74"/>
      <c r="Z169" s="74"/>
    </row>
    <row r="170" spans="1:26" x14ac:dyDescent="0.3">
      <c r="A170" s="66">
        <f t="shared" si="20"/>
        <v>2006.2999999999852</v>
      </c>
      <c r="B170" s="67">
        <f>LOOKUP(A170+0.01,AmountsB!$A$4:$A$103,AmountsB!$B$4:$B$103)*0.1*$A$2</f>
        <v>3471.9768875710001</v>
      </c>
      <c r="C170" s="68">
        <f t="shared" si="19"/>
        <v>208369.24076891402</v>
      </c>
      <c r="D170" s="67">
        <f t="array" ref="D170">SUM($B$7:$B165*$F$1009*EXP(-$F$1009*($A170-$A$7:$A165)))*$F$1010</f>
        <v>31760751.878795907</v>
      </c>
      <c r="E170" s="67">
        <f t="shared" si="17"/>
        <v>60.549069615814858</v>
      </c>
      <c r="F170" s="70">
        <f t="shared" si="21"/>
        <v>3.6765395070722779</v>
      </c>
      <c r="G170" s="67">
        <f>E170/'Lookup Tables'!$C$48</f>
        <v>121.09813923162972</v>
      </c>
      <c r="H170" s="70">
        <f t="shared" si="18"/>
        <v>0.15273171257252141</v>
      </c>
      <c r="I170" s="71">
        <f t="shared" si="22"/>
        <v>0.17438132049354679</v>
      </c>
      <c r="L170" s="74"/>
      <c r="M170" s="74"/>
      <c r="N170" s="74"/>
      <c r="O170" s="74"/>
      <c r="P170" s="74"/>
      <c r="Q170" s="74"/>
      <c r="R170" s="74"/>
      <c r="S170" s="74"/>
      <c r="T170" s="74"/>
      <c r="U170" s="74"/>
      <c r="V170" s="74"/>
      <c r="W170" s="74"/>
      <c r="X170" s="74"/>
      <c r="Y170" s="74"/>
      <c r="Z170" s="74"/>
    </row>
    <row r="171" spans="1:26" x14ac:dyDescent="0.3">
      <c r="A171" s="66">
        <f t="shared" si="20"/>
        <v>2006.3999999999851</v>
      </c>
      <c r="B171" s="67">
        <f>LOOKUP(A171+0.01,AmountsB!$A$4:$A$103,AmountsB!$B$4:$B$103)*0.1*$A$2</f>
        <v>3471.9768875710001</v>
      </c>
      <c r="C171" s="68">
        <f t="shared" si="19"/>
        <v>211841.21765648504</v>
      </c>
      <c r="D171" s="67">
        <f t="array" ref="D171">SUM($B$7:$B166*$F$1009*EXP(-$F$1009*($A171-$A$7:$A166)))*$F$1010</f>
        <v>32224753.618153509</v>
      </c>
      <c r="E171" s="67">
        <f t="shared" si="17"/>
        <v>61.433647969798329</v>
      </c>
      <c r="F171" s="70">
        <f t="shared" si="21"/>
        <v>3.7302511047261544</v>
      </c>
      <c r="G171" s="67">
        <f>E171/'Lookup Tables'!$C$48</f>
        <v>122.86729593959666</v>
      </c>
      <c r="H171" s="70">
        <f t="shared" si="18"/>
        <v>0.15242324288980277</v>
      </c>
      <c r="I171" s="71">
        <f t="shared" si="22"/>
        <v>0.17692890615301918</v>
      </c>
      <c r="L171" s="74"/>
      <c r="M171" s="74"/>
      <c r="N171" s="74"/>
      <c r="O171" s="74"/>
      <c r="P171" s="74"/>
      <c r="Q171" s="74"/>
      <c r="R171" s="74"/>
      <c r="S171" s="74"/>
      <c r="T171" s="74"/>
      <c r="U171" s="74"/>
      <c r="V171" s="74"/>
      <c r="W171" s="74"/>
      <c r="X171" s="74"/>
      <c r="Y171" s="74"/>
      <c r="Z171" s="74"/>
    </row>
    <row r="172" spans="1:26" x14ac:dyDescent="0.3">
      <c r="A172" s="66">
        <f t="shared" si="20"/>
        <v>2006.499999999985</v>
      </c>
      <c r="B172" s="67">
        <f>LOOKUP(A172+0.01,AmountsB!$A$4:$A$103,AmountsB!$B$4:$B$103)*0.1*$A$2</f>
        <v>3471.9768875710001</v>
      </c>
      <c r="C172" s="68">
        <f t="shared" si="19"/>
        <v>215313.19454405605</v>
      </c>
      <c r="D172" s="67">
        <f t="array" ref="D172">SUM($B$7:$B167*$F$1009*EXP(-$F$1009*($A172-$A$7:$A167)))*$F$1010</f>
        <v>32699223.487587586</v>
      </c>
      <c r="E172" s="67">
        <f t="shared" si="17"/>
        <v>62.338182889645431</v>
      </c>
      <c r="F172" s="70">
        <f t="shared" si="21"/>
        <v>3.7851744650592707</v>
      </c>
      <c r="G172" s="67">
        <f>E172/'Lookup Tables'!$C$48</f>
        <v>124.67636577929086</v>
      </c>
      <c r="H172" s="70">
        <f t="shared" si="18"/>
        <v>0.1521734373788852</v>
      </c>
      <c r="I172" s="71">
        <f t="shared" si="22"/>
        <v>0.17953396672217886</v>
      </c>
      <c r="L172" s="74"/>
      <c r="M172" s="74"/>
      <c r="N172" s="74"/>
      <c r="O172" s="74"/>
      <c r="P172" s="74"/>
      <c r="Q172" s="74"/>
      <c r="R172" s="74"/>
      <c r="S172" s="74"/>
      <c r="T172" s="74"/>
      <c r="U172" s="74"/>
      <c r="V172" s="74"/>
      <c r="W172" s="74"/>
      <c r="X172" s="74"/>
      <c r="Y172" s="74"/>
      <c r="Z172" s="74"/>
    </row>
    <row r="173" spans="1:26" x14ac:dyDescent="0.3">
      <c r="A173" s="66">
        <f t="shared" si="20"/>
        <v>2006.5999999999849</v>
      </c>
      <c r="B173" s="67">
        <f>LOOKUP(A173+0.01,AmountsB!$A$4:$A$103,AmountsB!$B$4:$B$103)*0.1*$A$2</f>
        <v>3471.9768875710001</v>
      </c>
      <c r="C173" s="68">
        <f t="shared" si="19"/>
        <v>218785.17143162707</v>
      </c>
      <c r="D173" s="67">
        <f t="array" ref="D173">SUM($B$7:$B168*$F$1009*EXP(-$F$1009*($A173-$A$7:$A168)))*$F$1010</f>
        <v>33170383.665370986</v>
      </c>
      <c r="E173" s="67">
        <f t="shared" si="17"/>
        <v>63.236408174540308</v>
      </c>
      <c r="F173" s="70">
        <f t="shared" si="21"/>
        <v>3.8397147043580873</v>
      </c>
      <c r="G173" s="67">
        <f>E173/'Lookup Tables'!$C$48</f>
        <v>126.47281634908062</v>
      </c>
      <c r="H173" s="70">
        <f t="shared" si="18"/>
        <v>0.15191640237339099</v>
      </c>
      <c r="I173" s="71">
        <f t="shared" si="22"/>
        <v>0.1821208555426761</v>
      </c>
      <c r="L173" s="74"/>
      <c r="M173" s="74"/>
      <c r="N173" s="74"/>
      <c r="O173" s="74"/>
      <c r="P173" s="74"/>
      <c r="Q173" s="74"/>
      <c r="R173" s="74"/>
      <c r="S173" s="74"/>
      <c r="T173" s="74"/>
      <c r="U173" s="74"/>
      <c r="V173" s="74"/>
      <c r="W173" s="74"/>
      <c r="X173" s="74"/>
      <c r="Y173" s="74"/>
      <c r="Z173" s="74"/>
    </row>
    <row r="174" spans="1:26" x14ac:dyDescent="0.3">
      <c r="A174" s="66">
        <f t="shared" si="20"/>
        <v>2006.6999999999848</v>
      </c>
      <c r="B174" s="67">
        <f>LOOKUP(A174+0.01,AmountsB!$A$4:$A$103,AmountsB!$B$4:$B$103)*0.1*$A$2</f>
        <v>3471.9768875710001</v>
      </c>
      <c r="C174" s="68">
        <f t="shared" si="19"/>
        <v>222257.14831919808</v>
      </c>
      <c r="D174" s="67">
        <f t="array" ref="D174">SUM($B$7:$B169*$F$1009*EXP(-$F$1009*($A174-$A$7:$A169)))*$F$1010</f>
        <v>33638257.23844666</v>
      </c>
      <c r="E174" s="67">
        <f t="shared" si="17"/>
        <v>64.12836783770156</v>
      </c>
      <c r="F174" s="70">
        <f t="shared" si="21"/>
        <v>3.8938744951052384</v>
      </c>
      <c r="G174" s="67">
        <f>E174/'Lookup Tables'!$C$48</f>
        <v>128.25673567540312</v>
      </c>
      <c r="H174" s="70">
        <f t="shared" si="18"/>
        <v>0.15165258076239116</v>
      </c>
      <c r="I174" s="71">
        <f t="shared" si="22"/>
        <v>0.18468969937258048</v>
      </c>
      <c r="L174" s="74"/>
      <c r="M174" s="74"/>
      <c r="N174" s="74"/>
      <c r="O174" s="74"/>
      <c r="P174" s="74"/>
      <c r="Q174" s="74"/>
      <c r="R174" s="74"/>
      <c r="S174" s="74"/>
      <c r="T174" s="74"/>
      <c r="U174" s="74"/>
      <c r="V174" s="74"/>
      <c r="W174" s="74"/>
      <c r="X174" s="74"/>
      <c r="Y174" s="74"/>
      <c r="Z174" s="74"/>
    </row>
    <row r="175" spans="1:26" x14ac:dyDescent="0.3">
      <c r="A175" s="66">
        <f t="shared" si="20"/>
        <v>2006.7999999999847</v>
      </c>
      <c r="B175" s="67">
        <f>LOOKUP(A175+0.01,AmountsB!$A$4:$A$103,AmountsB!$B$4:$B$103)*0.1*$A$2</f>
        <v>3471.9768875710001</v>
      </c>
      <c r="C175" s="68">
        <f t="shared" si="19"/>
        <v>225729.12520676909</v>
      </c>
      <c r="D175" s="67">
        <f t="array" ref="D175">SUM($B$7:$B170*$F$1009*EXP(-$F$1009*($A175-$A$7:$A170)))*$F$1010</f>
        <v>34102867.132713333</v>
      </c>
      <c r="E175" s="67">
        <f t="shared" si="17"/>
        <v>65.014105585331222</v>
      </c>
      <c r="F175" s="70">
        <f t="shared" si="21"/>
        <v>3.9476564911413119</v>
      </c>
      <c r="G175" s="67">
        <f>E175/'Lookup Tables'!$C$48</f>
        <v>130.02821117066244</v>
      </c>
      <c r="H175" s="70">
        <f t="shared" si="18"/>
        <v>0.1513823874714833</v>
      </c>
      <c r="I175" s="71">
        <f t="shared" si="22"/>
        <v>0.18724062408575393</v>
      </c>
      <c r="L175" s="74"/>
      <c r="M175" s="74"/>
      <c r="N175" s="74"/>
      <c r="O175" s="74"/>
      <c r="P175" s="74"/>
      <c r="Q175" s="74"/>
      <c r="R175" s="74"/>
      <c r="S175" s="74"/>
      <c r="T175" s="74"/>
      <c r="U175" s="74"/>
      <c r="V175" s="74"/>
      <c r="W175" s="74"/>
      <c r="X175" s="74"/>
      <c r="Y175" s="74"/>
      <c r="Z175" s="74"/>
    </row>
    <row r="176" spans="1:26" x14ac:dyDescent="0.3">
      <c r="A176" s="66">
        <f t="shared" si="20"/>
        <v>2006.8999999999846</v>
      </c>
      <c r="B176" s="67">
        <f>LOOKUP(A176+0.01,AmountsB!$A$4:$A$103,AmountsB!$B$4:$B$103)*0.1*$A$2</f>
        <v>3471.9768875710001</v>
      </c>
      <c r="C176" s="68">
        <f t="shared" si="19"/>
        <v>229201.10209434011</v>
      </c>
      <c r="D176" s="67">
        <f t="array" ref="D176">SUM($B$7:$B171*$F$1009*EXP(-$F$1009*($A176-$A$7:$A171)))*$F$1010</f>
        <v>34564236.114148751</v>
      </c>
      <c r="E176" s="67">
        <f t="shared" si="17"/>
        <v>65.893664818756065</v>
      </c>
      <c r="F176" s="70">
        <f t="shared" si="21"/>
        <v>4.001063327794868</v>
      </c>
      <c r="G176" s="67">
        <f>E176/'Lookup Tables'!$C$48</f>
        <v>131.78732963751213</v>
      </c>
      <c r="H176" s="70">
        <f t="shared" si="18"/>
        <v>0.15110621158567908</v>
      </c>
      <c r="I176" s="71">
        <f t="shared" si="22"/>
        <v>0.18977375467801746</v>
      </c>
      <c r="L176" s="74"/>
      <c r="M176" s="74"/>
      <c r="N176" s="74"/>
      <c r="O176" s="74"/>
      <c r="P176" s="74"/>
      <c r="Q176" s="74"/>
      <c r="R176" s="74"/>
      <c r="S176" s="74"/>
      <c r="T176" s="74"/>
      <c r="U176" s="74"/>
      <c r="V176" s="74"/>
      <c r="W176" s="74"/>
      <c r="X176" s="74"/>
      <c r="Y176" s="74"/>
      <c r="Z176" s="74"/>
    </row>
    <row r="177" spans="1:26" x14ac:dyDescent="0.3">
      <c r="A177" s="66">
        <f t="shared" si="20"/>
        <v>2006.9999999999845</v>
      </c>
      <c r="B177" s="67">
        <f>LOOKUP(A177+0.01,AmountsB!$A$4:$A$103,AmountsB!$B$4:$B$103)*0.1*$A$2</f>
        <v>3541.3855770160003</v>
      </c>
      <c r="C177" s="68">
        <f t="shared" si="19"/>
        <v>232742.4876713561</v>
      </c>
      <c r="D177" s="67">
        <f t="array" ref="D177">SUM($B$7:$B172*$F$1009*EXP(-$F$1009*($A177-$A$7:$A172)))*$F$1010</f>
        <v>35022386.789925337</v>
      </c>
      <c r="E177" s="67">
        <f t="shared" si="17"/>
        <v>66.767088636554575</v>
      </c>
      <c r="F177" s="70">
        <f t="shared" si="21"/>
        <v>4.0540976220115938</v>
      </c>
      <c r="G177" s="67">
        <f>E177/'Lookup Tables'!$C$48</f>
        <v>133.53417727310915</v>
      </c>
      <c r="H177" s="70">
        <f t="shared" si="18"/>
        <v>0.15077943927851209</v>
      </c>
      <c r="I177" s="71">
        <f t="shared" si="22"/>
        <v>0.19228921527327716</v>
      </c>
      <c r="L177" s="74"/>
      <c r="M177" s="74"/>
      <c r="N177" s="74"/>
      <c r="O177" s="74"/>
      <c r="P177" s="74"/>
      <c r="Q177" s="74"/>
      <c r="R177" s="74"/>
      <c r="S177" s="74"/>
      <c r="T177" s="74"/>
      <c r="U177" s="74"/>
      <c r="V177" s="74"/>
      <c r="W177" s="74"/>
      <c r="X177" s="74"/>
      <c r="Y177" s="74"/>
      <c r="Z177" s="74"/>
    </row>
    <row r="178" spans="1:26" x14ac:dyDescent="0.3">
      <c r="A178" s="66">
        <f t="shared" si="20"/>
        <v>2007.0999999999844</v>
      </c>
      <c r="B178" s="67">
        <f>LOOKUP(A178+0.01,AmountsB!$A$4:$A$103,AmountsB!$B$4:$B$103)*0.1*$A$2</f>
        <v>3541.3855770160003</v>
      </c>
      <c r="C178" s="68">
        <f t="shared" si="19"/>
        <v>236283.87324837208</v>
      </c>
      <c r="D178" s="67">
        <f t="array" ref="D178">SUM($B$7:$B173*$F$1009*EXP(-$F$1009*($A178-$A$7:$A173)))*$F$1010</f>
        <v>35477341.609517872</v>
      </c>
      <c r="E178" s="67">
        <f t="shared" si="17"/>
        <v>67.634419836668584</v>
      </c>
      <c r="F178" s="70">
        <f t="shared" si="21"/>
        <v>4.1067619724825164</v>
      </c>
      <c r="G178" s="67">
        <f>E178/'Lookup Tables'!$C$48</f>
        <v>135.26883967333717</v>
      </c>
      <c r="H178" s="70">
        <f t="shared" si="18"/>
        <v>0.15044890951480933</v>
      </c>
      <c r="I178" s="71">
        <f t="shared" si="22"/>
        <v>0.19478712912960552</v>
      </c>
      <c r="L178" s="74"/>
      <c r="M178" s="74"/>
      <c r="N178" s="74"/>
      <c r="O178" s="74"/>
      <c r="P178" s="74"/>
      <c r="Q178" s="74"/>
      <c r="R178" s="74"/>
      <c r="S178" s="74"/>
      <c r="T178" s="74"/>
      <c r="U178" s="74"/>
      <c r="V178" s="74"/>
      <c r="W178" s="74"/>
      <c r="X178" s="74"/>
      <c r="Y178" s="74"/>
      <c r="Z178" s="74"/>
    </row>
    <row r="179" spans="1:26" x14ac:dyDescent="0.3">
      <c r="A179" s="66">
        <f t="shared" si="20"/>
        <v>2007.1999999999844</v>
      </c>
      <c r="B179" s="67">
        <f>LOOKUP(A179+0.01,AmountsB!$A$4:$A$103,AmountsB!$B$4:$B$103)*0.1*$A$2</f>
        <v>3541.3855770160003</v>
      </c>
      <c r="C179" s="68">
        <f t="shared" si="19"/>
        <v>239825.25882538807</v>
      </c>
      <c r="D179" s="67">
        <f t="array" ref="D179">SUM($B$7:$B174*$F$1009*EXP(-$F$1009*($A179-$A$7:$A174)))*$F$1010</f>
        <v>35929122.865803547</v>
      </c>
      <c r="E179" s="67">
        <f t="shared" si="17"/>
        <v>68.495700918500404</v>
      </c>
      <c r="F179" s="70">
        <f t="shared" si="21"/>
        <v>4.1590589597713441</v>
      </c>
      <c r="G179" s="67">
        <f>E179/'Lookup Tables'!$C$48</f>
        <v>136.99140183700081</v>
      </c>
      <c r="H179" s="70">
        <f t="shared" si="18"/>
        <v>0.15011488188979988</v>
      </c>
      <c r="I179" s="71">
        <f t="shared" si="22"/>
        <v>0.19726761864528114</v>
      </c>
      <c r="L179" s="74"/>
      <c r="M179" s="74"/>
      <c r="N179" s="74"/>
      <c r="O179" s="74"/>
      <c r="P179" s="74"/>
      <c r="Q179" s="74"/>
      <c r="R179" s="74"/>
      <c r="S179" s="74"/>
      <c r="T179" s="74"/>
      <c r="U179" s="74"/>
      <c r="V179" s="74"/>
      <c r="W179" s="74"/>
      <c r="X179" s="74"/>
      <c r="Y179" s="74"/>
      <c r="Z179" s="74"/>
    </row>
    <row r="180" spans="1:26" x14ac:dyDescent="0.3">
      <c r="A180" s="66">
        <f t="shared" si="20"/>
        <v>2007.2999999999843</v>
      </c>
      <c r="B180" s="67">
        <f>LOOKUP(A180+0.01,AmountsB!$A$4:$A$103,AmountsB!$B$4:$B$103)*0.1*$A$2</f>
        <v>3541.3855770160003</v>
      </c>
      <c r="C180" s="68">
        <f t="shared" si="19"/>
        <v>243366.64440240405</v>
      </c>
      <c r="D180" s="67">
        <f t="array" ref="D180">SUM($B$7:$B175*$F$1009*EXP(-$F$1009*($A180-$A$7:$A175)))*$F$1010</f>
        <v>36377752.696154319</v>
      </c>
      <c r="E180" s="67">
        <f t="shared" si="17"/>
        <v>69.350974084995428</v>
      </c>
      <c r="F180" s="70">
        <f t="shared" si="21"/>
        <v>4.2109911464409224</v>
      </c>
      <c r="G180" s="67">
        <f>E180/'Lookup Tables'!$C$48</f>
        <v>138.70194816999086</v>
      </c>
      <c r="H180" s="70">
        <f t="shared" si="18"/>
        <v>0.14977760024830059</v>
      </c>
      <c r="I180" s="71">
        <f t="shared" si="22"/>
        <v>0.19973080536478682</v>
      </c>
      <c r="L180" s="74"/>
      <c r="M180" s="74"/>
      <c r="N180" s="74"/>
      <c r="O180" s="74"/>
      <c r="P180" s="74"/>
      <c r="Q180" s="74"/>
      <c r="R180" s="74"/>
      <c r="S180" s="74"/>
      <c r="T180" s="74"/>
      <c r="U180" s="74"/>
      <c r="V180" s="74"/>
      <c r="W180" s="74"/>
      <c r="X180" s="74"/>
      <c r="Y180" s="74"/>
      <c r="Z180" s="74"/>
    </row>
    <row r="181" spans="1:26" x14ac:dyDescent="0.3">
      <c r="A181" s="66">
        <f t="shared" si="20"/>
        <v>2007.3999999999842</v>
      </c>
      <c r="B181" s="67">
        <f>LOOKUP(A181+0.01,AmountsB!$A$4:$A$103,AmountsB!$B$4:$B$103)*0.1*$A$2</f>
        <v>3541.3855770160003</v>
      </c>
      <c r="C181" s="68">
        <f t="shared" si="19"/>
        <v>246908.02997942004</v>
      </c>
      <c r="D181" s="67">
        <f t="array" ref="D181">SUM($B$7:$B176*$F$1009*EXP(-$F$1009*($A181-$A$7:$A176)))*$F$1010</f>
        <v>36823253.083521605</v>
      </c>
      <c r="E181" s="67">
        <f t="shared" si="17"/>
        <v>70.200281244709828</v>
      </c>
      <c r="F181" s="70">
        <f t="shared" si="21"/>
        <v>4.2625610771787796</v>
      </c>
      <c r="G181" s="67">
        <f>E181/'Lookup Tables'!$C$48</f>
        <v>140.40056248941966</v>
      </c>
      <c r="H181" s="70">
        <f t="shared" si="18"/>
        <v>0.14943729381865345</v>
      </c>
      <c r="I181" s="71">
        <f t="shared" si="22"/>
        <v>0.20217680998476428</v>
      </c>
      <c r="L181" s="74"/>
      <c r="M181" s="74"/>
      <c r="N181" s="74"/>
      <c r="O181" s="74"/>
      <c r="P181" s="74"/>
      <c r="Q181" s="74"/>
      <c r="R181" s="74"/>
      <c r="S181" s="74"/>
      <c r="T181" s="74"/>
      <c r="U181" s="74"/>
      <c r="V181" s="74"/>
      <c r="W181" s="74"/>
      <c r="X181" s="74"/>
      <c r="Y181" s="74"/>
      <c r="Z181" s="74"/>
    </row>
    <row r="182" spans="1:26" x14ac:dyDescent="0.3">
      <c r="A182" s="66">
        <f t="shared" si="20"/>
        <v>2007.4999999999841</v>
      </c>
      <c r="B182" s="67">
        <f>LOOKUP(A182+0.01,AmountsB!$A$4:$A$103,AmountsB!$B$4:$B$103)*0.1*$A$2</f>
        <v>3541.3855770160003</v>
      </c>
      <c r="C182" s="68">
        <f t="shared" si="19"/>
        <v>250449.41555643603</v>
      </c>
      <c r="D182" s="67">
        <f t="array" ref="D182">SUM($B$7:$B177*$F$1009*EXP(-$F$1009*($A182-$A$7:$A177)))*$F$1010</f>
        <v>37279624.754215784</v>
      </c>
      <c r="E182" s="67">
        <f t="shared" si="17"/>
        <v>71.070313546369405</v>
      </c>
      <c r="F182" s="70">
        <f t="shared" si="21"/>
        <v>4.3153894385355507</v>
      </c>
      <c r="G182" s="67">
        <f>E182/'Lookup Tables'!$C$48</f>
        <v>142.14062709273881</v>
      </c>
      <c r="H182" s="70">
        <f t="shared" si="18"/>
        <v>0.14915010568892431</v>
      </c>
      <c r="I182" s="71">
        <f t="shared" si="22"/>
        <v>0.2046825030135439</v>
      </c>
      <c r="L182" s="74"/>
      <c r="M182" s="74"/>
      <c r="N182" s="74"/>
      <c r="O182" s="74"/>
      <c r="P182" s="74"/>
      <c r="Q182" s="74"/>
      <c r="R182" s="74"/>
      <c r="S182" s="74"/>
      <c r="T182" s="74"/>
      <c r="U182" s="74"/>
      <c r="V182" s="74"/>
      <c r="W182" s="74"/>
      <c r="X182" s="74"/>
      <c r="Y182" s="74"/>
      <c r="Z182" s="74"/>
    </row>
    <row r="183" spans="1:26" x14ac:dyDescent="0.3">
      <c r="A183" s="66">
        <f t="shared" si="20"/>
        <v>2007.599999999984</v>
      </c>
      <c r="B183" s="67">
        <f>LOOKUP(A183+0.01,AmountsB!$A$4:$A$103,AmountsB!$B$4:$B$103)*0.1*$A$2</f>
        <v>3541.3855770160003</v>
      </c>
      <c r="C183" s="68">
        <f t="shared" si="19"/>
        <v>253990.80113345201</v>
      </c>
      <c r="D183" s="67">
        <f t="array" ref="D183">SUM($B$7:$B178*$F$1009*EXP(-$F$1009*($A183-$A$7:$A178)))*$F$1010</f>
        <v>37732812.978277363</v>
      </c>
      <c r="E183" s="67">
        <f t="shared" si="17"/>
        <v>71.93427688805879</v>
      </c>
      <c r="F183" s="70">
        <f t="shared" si="21"/>
        <v>4.36784929264293</v>
      </c>
      <c r="G183" s="67">
        <f>E183/'Lookup Tables'!$C$48</f>
        <v>143.86855377611758</v>
      </c>
      <c r="H183" s="70">
        <f t="shared" si="18"/>
        <v>0.14885836716778675</v>
      </c>
      <c r="I183" s="71">
        <f t="shared" si="22"/>
        <v>0.20717071743760934</v>
      </c>
      <c r="L183" s="74"/>
      <c r="M183" s="74"/>
      <c r="N183" s="74"/>
      <c r="O183" s="74"/>
      <c r="P183" s="74"/>
      <c r="Q183" s="74"/>
      <c r="R183" s="74"/>
      <c r="S183" s="74"/>
      <c r="T183" s="74"/>
      <c r="U183" s="74"/>
      <c r="V183" s="74"/>
      <c r="W183" s="74"/>
      <c r="X183" s="74"/>
      <c r="Y183" s="74"/>
      <c r="Z183" s="74"/>
    </row>
    <row r="184" spans="1:26" x14ac:dyDescent="0.3">
      <c r="A184" s="66">
        <f t="shared" si="20"/>
        <v>2007.6999999999839</v>
      </c>
      <c r="B184" s="67">
        <f>LOOKUP(A184+0.01,AmountsB!$A$4:$A$103,AmountsB!$B$4:$B$103)*0.1*$A$2</f>
        <v>3541.3855770160003</v>
      </c>
      <c r="C184" s="68">
        <f t="shared" si="19"/>
        <v>257532.186710468</v>
      </c>
      <c r="D184" s="67">
        <f t="array" ref="D184">SUM($B$7:$B179*$F$1009*EXP(-$F$1009*($A184-$A$7:$A179)))*$F$1010</f>
        <v>38182839.962020032</v>
      </c>
      <c r="E184" s="67">
        <f t="shared" si="17"/>
        <v>72.792213604154668</v>
      </c>
      <c r="F184" s="70">
        <f t="shared" si="21"/>
        <v>4.4199432100442717</v>
      </c>
      <c r="G184" s="67">
        <f>E184/'Lookup Tables'!$C$48</f>
        <v>145.58442720830934</v>
      </c>
      <c r="H184" s="70">
        <f t="shared" si="18"/>
        <v>0.14856235237639343</v>
      </c>
      <c r="I184" s="71">
        <f t="shared" si="22"/>
        <v>0.2096415751799654</v>
      </c>
      <c r="L184" s="74"/>
      <c r="M184" s="74"/>
      <c r="N184" s="74"/>
      <c r="O184" s="74"/>
      <c r="P184" s="74"/>
      <c r="Q184" s="74"/>
      <c r="R184" s="74"/>
      <c r="S184" s="74"/>
      <c r="T184" s="74"/>
      <c r="U184" s="74"/>
      <c r="V184" s="74"/>
      <c r="W184" s="74"/>
      <c r="X184" s="74"/>
      <c r="Y184" s="74"/>
      <c r="Z184" s="74"/>
    </row>
    <row r="185" spans="1:26" x14ac:dyDescent="0.3">
      <c r="A185" s="66">
        <f t="shared" si="20"/>
        <v>2007.7999999999838</v>
      </c>
      <c r="B185" s="67">
        <f>LOOKUP(A185+0.01,AmountsB!$A$4:$A$103,AmountsB!$B$4:$B$103)*0.1*$A$2</f>
        <v>3541.3855770160003</v>
      </c>
      <c r="C185" s="68">
        <f t="shared" si="19"/>
        <v>261073.57228748398</v>
      </c>
      <c r="D185" s="67">
        <f t="array" ref="D185">SUM($B$7:$B180*$F$1009*EXP(-$F$1009*($A185-$A$7:$A180)))*$F$1010</f>
        <v>38629727.756856032</v>
      </c>
      <c r="E185" s="67">
        <f t="shared" si="17"/>
        <v>73.644165733727775</v>
      </c>
      <c r="F185" s="70">
        <f t="shared" si="21"/>
        <v>4.4716737433519507</v>
      </c>
      <c r="G185" s="67">
        <f>E185/'Lookup Tables'!$C$48</f>
        <v>147.28833146745555</v>
      </c>
      <c r="H185" s="70">
        <f t="shared" si="18"/>
        <v>0.14826231996789122</v>
      </c>
      <c r="I185" s="71">
        <f t="shared" si="22"/>
        <v>0.212095197313136</v>
      </c>
      <c r="L185" s="74"/>
      <c r="M185" s="74"/>
      <c r="N185" s="74"/>
      <c r="O185" s="74"/>
      <c r="P185" s="74"/>
      <c r="Q185" s="74"/>
      <c r="R185" s="74"/>
      <c r="S185" s="74"/>
      <c r="T185" s="74"/>
      <c r="U185" s="74"/>
      <c r="V185" s="74"/>
      <c r="W185" s="74"/>
      <c r="X185" s="74"/>
      <c r="Y185" s="74"/>
      <c r="Z185" s="74"/>
    </row>
    <row r="186" spans="1:26" x14ac:dyDescent="0.3">
      <c r="A186" s="66">
        <f t="shared" si="20"/>
        <v>2007.8999999999837</v>
      </c>
      <c r="B186" s="67">
        <f>LOOKUP(A186+0.01,AmountsB!$A$4:$A$103,AmountsB!$B$4:$B$103)*0.1*$A$2</f>
        <v>3541.3855770160003</v>
      </c>
      <c r="C186" s="68">
        <f t="shared" si="19"/>
        <v>264614.9578645</v>
      </c>
      <c r="D186" s="67">
        <f t="array" ref="D186">SUM($B$7:$B181*$F$1009*EXP(-$F$1009*($A186-$A$7:$A181)))*$F$1010</f>
        <v>39073498.260376699</v>
      </c>
      <c r="E186" s="67">
        <f t="shared" si="17"/>
        <v>74.490175022602855</v>
      </c>
      <c r="F186" s="70">
        <f t="shared" si="21"/>
        <v>4.5230434273724454</v>
      </c>
      <c r="G186" s="67">
        <f>E186/'Lookup Tables'!$C$48</f>
        <v>148.98035004520571</v>
      </c>
      <c r="H186" s="70">
        <f t="shared" si="18"/>
        <v>0.14795851416656666</v>
      </c>
      <c r="I186" s="71">
        <f t="shared" si="22"/>
        <v>0.21453170406509622</v>
      </c>
      <c r="L186" s="74"/>
      <c r="M186" s="74"/>
      <c r="N186" s="74"/>
      <c r="O186" s="74"/>
      <c r="P186" s="74"/>
      <c r="Q186" s="74"/>
      <c r="R186" s="74"/>
      <c r="S186" s="74"/>
      <c r="T186" s="74"/>
      <c r="U186" s="74"/>
      <c r="V186" s="74"/>
      <c r="W186" s="74"/>
      <c r="X186" s="74"/>
      <c r="Y186" s="74"/>
      <c r="Z186" s="74"/>
    </row>
    <row r="187" spans="1:26" x14ac:dyDescent="0.3">
      <c r="A187" s="66">
        <f t="shared" si="20"/>
        <v>2007.9999999999836</v>
      </c>
      <c r="B187" s="67">
        <f>LOOKUP(A187+0.01,AmountsB!$A$4:$A$103,AmountsB!$B$4:$B$103)*0.1*$A$2</f>
        <v>3612.2459514690004</v>
      </c>
      <c r="C187" s="68">
        <f t="shared" si="19"/>
        <v>268227.203815969</v>
      </c>
      <c r="D187" s="67">
        <f t="array" ref="D187">SUM($B$7:$B182*$F$1009*EXP(-$F$1009*($A187-$A$7:$A182)))*$F$1010</f>
        <v>39514173.217425518</v>
      </c>
      <c r="E187" s="67">
        <f t="shared" si="17"/>
        <v>75.33028292540439</v>
      </c>
      <c r="F187" s="70">
        <f t="shared" si="21"/>
        <v>4.5740547792305541</v>
      </c>
      <c r="G187" s="67">
        <f>E187/'Lookup Tables'!$C$48</f>
        <v>150.66056585080878</v>
      </c>
      <c r="H187" s="70">
        <f t="shared" si="18"/>
        <v>0.14761215917814871</v>
      </c>
      <c r="I187" s="71">
        <f t="shared" si="22"/>
        <v>0.21695121482516463</v>
      </c>
      <c r="L187" s="74"/>
      <c r="M187" s="74"/>
      <c r="N187" s="74"/>
      <c r="O187" s="74"/>
      <c r="P187" s="74"/>
      <c r="Q187" s="74"/>
      <c r="R187" s="74"/>
      <c r="S187" s="74"/>
      <c r="T187" s="74"/>
      <c r="U187" s="74"/>
      <c r="V187" s="74"/>
      <c r="W187" s="74"/>
      <c r="X187" s="74"/>
      <c r="Y187" s="74"/>
      <c r="Z187" s="74"/>
    </row>
    <row r="188" spans="1:26" x14ac:dyDescent="0.3">
      <c r="A188" s="66">
        <f t="shared" si="20"/>
        <v>2008.0999999999835</v>
      </c>
      <c r="B188" s="67">
        <f>LOOKUP(A188+0.01,AmountsB!$A$4:$A$103,AmountsB!$B$4:$B$103)*0.1*$A$2</f>
        <v>3612.2459514690004</v>
      </c>
      <c r="C188" s="68">
        <f t="shared" si="19"/>
        <v>271839.449767438</v>
      </c>
      <c r="D188" s="67">
        <f t="array" ref="D188">SUM($B$7:$B183*$F$1009*EXP(-$F$1009*($A188-$A$7:$A183)))*$F$1010</f>
        <v>39951774.221163549</v>
      </c>
      <c r="E188" s="67">
        <f t="shared" si="17"/>
        <v>76.164530607587679</v>
      </c>
      <c r="F188" s="70">
        <f t="shared" si="21"/>
        <v>4.6247102984927242</v>
      </c>
      <c r="G188" s="67">
        <f>E188/'Lookup Tables'!$C$48</f>
        <v>152.32906121517536</v>
      </c>
      <c r="H188" s="70">
        <f t="shared" si="18"/>
        <v>0.14726367832776302</v>
      </c>
      <c r="I188" s="71">
        <f t="shared" si="22"/>
        <v>0.21935384814985251</v>
      </c>
      <c r="L188" s="74"/>
      <c r="M188" s="74"/>
      <c r="N188" s="74"/>
      <c r="O188" s="74"/>
      <c r="P188" s="74"/>
      <c r="Q188" s="74"/>
      <c r="R188" s="74"/>
      <c r="S188" s="74"/>
      <c r="T188" s="74"/>
      <c r="U188" s="74"/>
      <c r="V188" s="74"/>
      <c r="W188" s="74"/>
      <c r="X188" s="74"/>
      <c r="Y188" s="74"/>
      <c r="Z188" s="74"/>
    </row>
    <row r="189" spans="1:26" x14ac:dyDescent="0.3">
      <c r="A189" s="66">
        <f t="shared" si="20"/>
        <v>2008.1999999999834</v>
      </c>
      <c r="B189" s="67">
        <f>LOOKUP(A189+0.01,AmountsB!$A$4:$A$103,AmountsB!$B$4:$B$103)*0.1*$A$2</f>
        <v>3612.2459514690004</v>
      </c>
      <c r="C189" s="68">
        <f t="shared" si="19"/>
        <v>275451.69571890699</v>
      </c>
      <c r="D189" s="67">
        <f t="array" ref="D189">SUM($B$7:$B184*$F$1009*EXP(-$F$1009*($A189-$A$7:$A184)))*$F$1010</f>
        <v>40386322.714127533</v>
      </c>
      <c r="E189" s="67">
        <f t="shared" si="17"/>
        <v>76.992958947456117</v>
      </c>
      <c r="F189" s="70">
        <f t="shared" si="21"/>
        <v>4.6750124672895357</v>
      </c>
      <c r="G189" s="67">
        <f>E189/'Lookup Tables'!$C$48</f>
        <v>153.98591789491223</v>
      </c>
      <c r="H189" s="70">
        <f t="shared" si="18"/>
        <v>0.14691323325189917</v>
      </c>
      <c r="I189" s="71">
        <f t="shared" si="22"/>
        <v>0.22173972176867363</v>
      </c>
      <c r="L189" s="74"/>
      <c r="M189" s="74"/>
      <c r="N189" s="74"/>
      <c r="O189" s="74"/>
      <c r="P189" s="74"/>
      <c r="Q189" s="74"/>
      <c r="R189" s="74"/>
      <c r="S189" s="74"/>
      <c r="T189" s="74"/>
      <c r="U189" s="74"/>
      <c r="V189" s="74"/>
      <c r="W189" s="74"/>
      <c r="X189" s="74"/>
      <c r="Y189" s="74"/>
      <c r="Z189" s="74"/>
    </row>
    <row r="190" spans="1:26" x14ac:dyDescent="0.3">
      <c r="A190" s="66">
        <f t="shared" si="20"/>
        <v>2008.2999999999834</v>
      </c>
      <c r="B190" s="67">
        <f>LOOKUP(A190+0.01,AmountsB!$A$4:$A$103,AmountsB!$B$4:$B$103)*0.1*$A$2</f>
        <v>3612.2459514690004</v>
      </c>
      <c r="C190" s="68">
        <f t="shared" si="19"/>
        <v>279063.94167037599</v>
      </c>
      <c r="D190" s="67">
        <f t="array" ref="D190">SUM($B$7:$B185*$F$1009*EXP(-$F$1009*($A190-$A$7:$A185)))*$F$1010</f>
        <v>40817839.989280581</v>
      </c>
      <c r="E190" s="67">
        <f t="shared" si="17"/>
        <v>77.815608538164085</v>
      </c>
      <c r="F190" s="70">
        <f t="shared" si="21"/>
        <v>4.7249637504373228</v>
      </c>
      <c r="G190" s="67">
        <f>E190/'Lookup Tables'!$C$48</f>
        <v>155.63121707632817</v>
      </c>
      <c r="H190" s="70">
        <f t="shared" si="18"/>
        <v>0.14656097668099685</v>
      </c>
      <c r="I190" s="71">
        <f t="shared" si="22"/>
        <v>0.22410895258991256</v>
      </c>
      <c r="L190" s="74"/>
      <c r="M190" s="74"/>
      <c r="N190" s="74"/>
      <c r="O190" s="74"/>
      <c r="P190" s="74"/>
      <c r="Q190" s="74"/>
      <c r="R190" s="74"/>
      <c r="S190" s="74"/>
      <c r="T190" s="74"/>
      <c r="U190" s="74"/>
      <c r="V190" s="74"/>
      <c r="W190" s="74"/>
      <c r="X190" s="74"/>
      <c r="Y190" s="74"/>
      <c r="Z190" s="74"/>
    </row>
    <row r="191" spans="1:26" x14ac:dyDescent="0.3">
      <c r="A191" s="66">
        <f t="shared" si="20"/>
        <v>2008.3999999999833</v>
      </c>
      <c r="B191" s="67">
        <f>LOOKUP(A191+0.01,AmountsB!$A$4:$A$103,AmountsB!$B$4:$B$103)*0.1*$A$2</f>
        <v>3612.2459514690004</v>
      </c>
      <c r="C191" s="68">
        <f t="shared" si="19"/>
        <v>282676.18762184499</v>
      </c>
      <c r="D191" s="67">
        <f t="array" ref="D191">SUM($B$7:$B186*$F$1009*EXP(-$F$1009*($A191-$A$7:$A186)))*$F$1010</f>
        <v>41246347.191055499</v>
      </c>
      <c r="E191" s="67">
        <f t="shared" si="17"/>
        <v>78.632519689706101</v>
      </c>
      <c r="F191" s="70">
        <f t="shared" si="21"/>
        <v>4.7745665955589551</v>
      </c>
      <c r="G191" s="67">
        <f>E191/'Lookup Tables'!$C$48</f>
        <v>157.2650393794122</v>
      </c>
      <c r="H191" s="70">
        <f t="shared" si="18"/>
        <v>0.14620705301218528</v>
      </c>
      <c r="I191" s="71">
        <f t="shared" si="22"/>
        <v>0.2264616567063536</v>
      </c>
      <c r="L191" s="74"/>
      <c r="M191" s="74"/>
      <c r="N191" s="74"/>
      <c r="O191" s="74"/>
      <c r="P191" s="74"/>
      <c r="Q191" s="74"/>
      <c r="R191" s="74"/>
      <c r="S191" s="74"/>
      <c r="T191" s="74"/>
      <c r="U191" s="74"/>
      <c r="V191" s="74"/>
      <c r="W191" s="74"/>
      <c r="X191" s="74"/>
      <c r="Y191" s="74"/>
      <c r="Z191" s="74"/>
    </row>
    <row r="192" spans="1:26" x14ac:dyDescent="0.3">
      <c r="A192" s="66">
        <f t="shared" si="20"/>
        <v>2008.4999999999832</v>
      </c>
      <c r="B192" s="67">
        <f>LOOKUP(A192+0.01,AmountsB!$A$4:$A$103,AmountsB!$B$4:$B$103)*0.1*$A$2</f>
        <v>3612.2459514690004</v>
      </c>
      <c r="C192" s="68">
        <f t="shared" si="19"/>
        <v>286288.43357331399</v>
      </c>
      <c r="D192" s="67">
        <f t="array" ref="D192">SUM($B$7:$B187*$F$1009*EXP(-$F$1009*($A192-$A$7:$A187)))*$F$1010</f>
        <v>41686136.582174495</v>
      </c>
      <c r="E192" s="67">
        <f t="shared" si="17"/>
        <v>79.470939339240232</v>
      </c>
      <c r="F192" s="70">
        <f t="shared" si="21"/>
        <v>4.8254754366786665</v>
      </c>
      <c r="G192" s="67">
        <f>E192/'Lookup Tables'!$C$48</f>
        <v>158.94187867848046</v>
      </c>
      <c r="H192" s="70">
        <f t="shared" si="18"/>
        <v>0.14590154829293178</v>
      </c>
      <c r="I192" s="71">
        <f t="shared" si="22"/>
        <v>0.22887630529701186</v>
      </c>
      <c r="L192" s="74"/>
      <c r="M192" s="74"/>
      <c r="N192" s="74"/>
      <c r="O192" s="74"/>
      <c r="P192" s="74"/>
      <c r="Q192" s="74"/>
      <c r="R192" s="74"/>
      <c r="S192" s="74"/>
      <c r="T192" s="74"/>
      <c r="U192" s="74"/>
      <c r="V192" s="74"/>
      <c r="W192" s="74"/>
      <c r="X192" s="74"/>
      <c r="Y192" s="74"/>
      <c r="Z192" s="74"/>
    </row>
    <row r="193" spans="1:26" x14ac:dyDescent="0.3">
      <c r="A193" s="66">
        <f t="shared" si="20"/>
        <v>2008.5999999999831</v>
      </c>
      <c r="B193" s="67">
        <f>LOOKUP(A193+0.01,AmountsB!$A$4:$A$103,AmountsB!$B$4:$B$103)*0.1*$A$2</f>
        <v>3612.2459514690004</v>
      </c>
      <c r="C193" s="68">
        <f t="shared" si="19"/>
        <v>289900.67952478299</v>
      </c>
      <c r="D193" s="67">
        <f t="array" ref="D193">SUM($B$7:$B188*$F$1009*EXP(-$F$1009*($A193-$A$7:$A188)))*$F$1010</f>
        <v>42122858.1972984</v>
      </c>
      <c r="E193" s="67">
        <f t="shared" si="17"/>
        <v>80.303510544663183</v>
      </c>
      <c r="F193" s="70">
        <f t="shared" si="21"/>
        <v>4.8760291602719485</v>
      </c>
      <c r="G193" s="67">
        <f>E193/'Lookup Tables'!$C$48</f>
        <v>160.60702108932637</v>
      </c>
      <c r="H193" s="70">
        <f t="shared" si="18"/>
        <v>0.14559305349495302</v>
      </c>
      <c r="I193" s="71">
        <f t="shared" si="22"/>
        <v>0.23127411036862996</v>
      </c>
      <c r="L193" s="74"/>
      <c r="M193" s="74"/>
      <c r="N193" s="74"/>
      <c r="O193" s="74"/>
      <c r="P193" s="74"/>
      <c r="Q193" s="74"/>
      <c r="R193" s="74"/>
      <c r="S193" s="74"/>
      <c r="T193" s="74"/>
      <c r="U193" s="74"/>
      <c r="V193" s="74"/>
      <c r="W193" s="74"/>
      <c r="X193" s="74"/>
      <c r="Y193" s="74"/>
      <c r="Z193" s="74"/>
    </row>
    <row r="194" spans="1:26" x14ac:dyDescent="0.3">
      <c r="A194" s="66">
        <f t="shared" si="20"/>
        <v>2008.699999999983</v>
      </c>
      <c r="B194" s="67">
        <f>LOOKUP(A194+0.01,AmountsB!$A$4:$A$103,AmountsB!$B$4:$B$103)*0.1*$A$2</f>
        <v>3612.2459514690004</v>
      </c>
      <c r="C194" s="68">
        <f t="shared" si="19"/>
        <v>293512.92547625198</v>
      </c>
      <c r="D194" s="67">
        <f t="array" ref="D194">SUM($B$7:$B189*$F$1009*EXP(-$F$1009*($A194-$A$7:$A189)))*$F$1010</f>
        <v>42556533.435873695</v>
      </c>
      <c r="E194" s="67">
        <f t="shared" si="17"/>
        <v>81.130274102130528</v>
      </c>
      <c r="F194" s="70">
        <f t="shared" si="21"/>
        <v>4.9262302434813661</v>
      </c>
      <c r="G194" s="67">
        <f>E194/'Lookup Tables'!$C$48</f>
        <v>162.26054820426106</v>
      </c>
      <c r="H194" s="70">
        <f t="shared" si="18"/>
        <v>0.14528175206897306</v>
      </c>
      <c r="I194" s="71">
        <f t="shared" si="22"/>
        <v>0.23365518941413593</v>
      </c>
      <c r="L194" s="74"/>
      <c r="M194" s="74"/>
      <c r="N194" s="74"/>
      <c r="O194" s="74"/>
      <c r="P194" s="74"/>
      <c r="Q194" s="74"/>
      <c r="R194" s="74"/>
      <c r="S194" s="74"/>
      <c r="T194" s="74"/>
      <c r="U194" s="74"/>
      <c r="V194" s="74"/>
      <c r="W194" s="74"/>
      <c r="X194" s="74"/>
      <c r="Y194" s="74"/>
      <c r="Z194" s="74"/>
    </row>
    <row r="195" spans="1:26" x14ac:dyDescent="0.3">
      <c r="A195" s="66">
        <f t="shared" si="20"/>
        <v>2008.7999999999829</v>
      </c>
      <c r="B195" s="67">
        <f>LOOKUP(A195+0.01,AmountsB!$A$4:$A$103,AmountsB!$B$4:$B$103)*0.1*$A$2</f>
        <v>3612.2459514690004</v>
      </c>
      <c r="C195" s="68">
        <f t="shared" si="19"/>
        <v>297125.17142772098</v>
      </c>
      <c r="D195" s="67">
        <f t="array" ref="D195">SUM($B$7:$B190*$F$1009*EXP(-$F$1009*($A195-$A$7:$A190)))*$F$1010</f>
        <v>42987183.548073873</v>
      </c>
      <c r="E195" s="67">
        <f t="shared" si="17"/>
        <v>81.95127052322205</v>
      </c>
      <c r="F195" s="70">
        <f t="shared" si="21"/>
        <v>4.976081146170042</v>
      </c>
      <c r="G195" s="67">
        <f>E195/'Lookup Tables'!$C$48</f>
        <v>163.9025410464441</v>
      </c>
      <c r="H195" s="70">
        <f t="shared" si="18"/>
        <v>0.14496781804123801</v>
      </c>
      <c r="I195" s="71">
        <f t="shared" si="22"/>
        <v>0.2360196591068795</v>
      </c>
      <c r="L195" s="74"/>
      <c r="M195" s="74"/>
      <c r="N195" s="74"/>
      <c r="O195" s="74"/>
      <c r="P195" s="74"/>
      <c r="Q195" s="74"/>
      <c r="R195" s="74"/>
      <c r="S195" s="74"/>
      <c r="T195" s="74"/>
      <c r="U195" s="74"/>
      <c r="V195" s="74"/>
      <c r="W195" s="74"/>
      <c r="X195" s="74"/>
      <c r="Y195" s="74"/>
      <c r="Z195" s="74"/>
    </row>
    <row r="196" spans="1:26" x14ac:dyDescent="0.3">
      <c r="A196" s="66">
        <f t="shared" si="20"/>
        <v>2008.8999999999828</v>
      </c>
      <c r="B196" s="67">
        <f>LOOKUP(A196+0.01,AmountsB!$A$4:$A$103,AmountsB!$B$4:$B$103)*0.1*$A$2</f>
        <v>3612.2459514690004</v>
      </c>
      <c r="C196" s="68">
        <f t="shared" si="19"/>
        <v>300737.41737918998</v>
      </c>
      <c r="D196" s="67">
        <f t="array" ref="D196">SUM($B$7:$B191*$F$1009*EXP(-$F$1009*($A196-$A$7:$A191)))*$F$1010</f>
        <v>43414829.635840595</v>
      </c>
      <c r="E196" s="67">
        <f t="shared" si="17"/>
        <v>82.766540036926642</v>
      </c>
      <c r="F196" s="70">
        <f t="shared" si="21"/>
        <v>5.0255843110421861</v>
      </c>
      <c r="G196" s="67">
        <f>E196/'Lookup Tables'!$C$48</f>
        <v>165.53308007385328</v>
      </c>
      <c r="H196" s="70">
        <f t="shared" si="18"/>
        <v>0.14465141658298636</v>
      </c>
      <c r="I196" s="71">
        <f t="shared" si="22"/>
        <v>0.23836763530634875</v>
      </c>
      <c r="L196" s="74"/>
      <c r="M196" s="74"/>
      <c r="N196" s="74"/>
      <c r="O196" s="74"/>
      <c r="P196" s="74"/>
      <c r="Q196" s="74"/>
      <c r="R196" s="74"/>
      <c r="S196" s="74"/>
      <c r="T196" s="74"/>
      <c r="U196" s="74"/>
      <c r="V196" s="74"/>
      <c r="W196" s="74"/>
      <c r="X196" s="74"/>
      <c r="Y196" s="74"/>
      <c r="Z196" s="74"/>
    </row>
    <row r="197" spans="1:26" x14ac:dyDescent="0.3">
      <c r="A197" s="66">
        <f t="shared" si="20"/>
        <v>2008.9999999999827</v>
      </c>
      <c r="B197" s="67">
        <f>LOOKUP(A197+0.01,AmountsB!$A$4:$A$103,AmountsB!$B$4:$B$103)*0.1*$A$2</f>
        <v>3684.4672806170001</v>
      </c>
      <c r="C197" s="68">
        <f t="shared" si="19"/>
        <v>304421.88465980696</v>
      </c>
      <c r="D197" s="67">
        <f t="array" ref="D197">SUM($B$7:$B192*$F$1009*EXP(-$F$1009*($A197-$A$7:$A192)))*$F$1010</f>
        <v>43839492.653917737</v>
      </c>
      <c r="E197" s="67">
        <f t="shared" si="17"/>
        <v>83.576122591613611</v>
      </c>
      <c r="F197" s="70">
        <f t="shared" si="21"/>
        <v>5.074742163762779</v>
      </c>
      <c r="G197" s="67">
        <f>E197/'Lookup Tables'!$C$48</f>
        <v>167.15224518322722</v>
      </c>
      <c r="H197" s="70">
        <f t="shared" si="18"/>
        <v>0.14429846291517923</v>
      </c>
      <c r="I197" s="71">
        <f t="shared" si="22"/>
        <v>0.24069923306384725</v>
      </c>
      <c r="L197" s="74"/>
      <c r="M197" s="74"/>
      <c r="N197" s="74"/>
      <c r="O197" s="74"/>
      <c r="P197" s="74"/>
      <c r="Q197" s="74"/>
      <c r="R197" s="74"/>
      <c r="S197" s="74"/>
      <c r="T197" s="74"/>
      <c r="U197" s="74"/>
      <c r="V197" s="74"/>
      <c r="W197" s="74"/>
      <c r="X197" s="74"/>
      <c r="Y197" s="74"/>
      <c r="Z197" s="74"/>
    </row>
    <row r="198" spans="1:26" x14ac:dyDescent="0.3">
      <c r="A198" s="66">
        <f t="shared" si="20"/>
        <v>2009.0999999999826</v>
      </c>
      <c r="B198" s="67">
        <f>LOOKUP(A198+0.01,AmountsB!$A$4:$A$103,AmountsB!$B$4:$B$103)*0.1*$A$2</f>
        <v>3684.4672806170001</v>
      </c>
      <c r="C198" s="68">
        <f t="shared" si="19"/>
        <v>308106.35194042395</v>
      </c>
      <c r="D198" s="67">
        <f t="array" ref="D198">SUM($B$7:$B193*$F$1009*EXP(-$F$1009*($A198-$A$7:$A193)))*$F$1010</f>
        <v>44261193.410878114</v>
      </c>
      <c r="E198" s="67">
        <f t="shared" si="17"/>
        <v>84.380057856990078</v>
      </c>
      <c r="F198" s="70">
        <f t="shared" si="21"/>
        <v>5.123557113076437</v>
      </c>
      <c r="G198" s="67">
        <f>E198/'Lookup Tables'!$C$48</f>
        <v>168.76011571398016</v>
      </c>
      <c r="H198" s="70">
        <f t="shared" si="18"/>
        <v>0.14394431705260533</v>
      </c>
      <c r="I198" s="71">
        <f t="shared" si="22"/>
        <v>0.24301456662813142</v>
      </c>
      <c r="L198" s="74"/>
      <c r="M198" s="74"/>
      <c r="N198" s="74"/>
      <c r="O198" s="74"/>
      <c r="P198" s="74"/>
      <c r="Q198" s="74"/>
      <c r="R198" s="74"/>
      <c r="S198" s="74"/>
      <c r="T198" s="74"/>
      <c r="U198" s="74"/>
      <c r="V198" s="74"/>
      <c r="W198" s="74"/>
      <c r="X198" s="74"/>
      <c r="Y198" s="74"/>
      <c r="Z198" s="74"/>
    </row>
    <row r="199" spans="1:26" x14ac:dyDescent="0.3">
      <c r="A199" s="66">
        <f t="shared" si="20"/>
        <v>2009.1999999999825</v>
      </c>
      <c r="B199" s="67">
        <f>LOOKUP(A199+0.01,AmountsB!$A$4:$A$103,AmountsB!$B$4:$B$103)*0.1*$A$2</f>
        <v>3684.4672806170001</v>
      </c>
      <c r="C199" s="68">
        <f t="shared" si="19"/>
        <v>311790.81922104093</v>
      </c>
      <c r="D199" s="67">
        <f t="array" ref="D199">SUM($B$7:$B194*$F$1009*EXP(-$F$1009*($A199-$A$7:$A194)))*$F$1010</f>
        <v>44679952.57014323</v>
      </c>
      <c r="E199" s="67">
        <f t="shared" ref="E199:E262" si="23">D199/(365*24*60)*1.00201</f>
        <v>85.178385226044938</v>
      </c>
      <c r="F199" s="70">
        <f t="shared" si="21"/>
        <v>5.1720315509254497</v>
      </c>
      <c r="G199" s="67">
        <f>E199/'Lookup Tables'!$C$48</f>
        <v>170.35677045208988</v>
      </c>
      <c r="H199" s="70">
        <f t="shared" ref="H199:H262" si="24">G199*60*24*365/(C199*2000)</f>
        <v>0.14358908766672238</v>
      </c>
      <c r="I199" s="71">
        <f t="shared" si="22"/>
        <v>0.24531374945100945</v>
      </c>
      <c r="L199" s="74"/>
      <c r="M199" s="74"/>
      <c r="N199" s="74"/>
      <c r="O199" s="74"/>
      <c r="P199" s="74"/>
      <c r="Q199" s="74"/>
      <c r="R199" s="74"/>
      <c r="S199" s="74"/>
      <c r="T199" s="74"/>
      <c r="U199" s="74"/>
      <c r="V199" s="74"/>
      <c r="W199" s="74"/>
      <c r="X199" s="74"/>
      <c r="Y199" s="74"/>
      <c r="Z199" s="74"/>
    </row>
    <row r="200" spans="1:26" x14ac:dyDescent="0.3">
      <c r="A200" s="66">
        <f t="shared" si="20"/>
        <v>2009.2999999999824</v>
      </c>
      <c r="B200" s="67">
        <f>LOOKUP(A200+0.01,AmountsB!$A$4:$A$103,AmountsB!$B$4:$B$103)*0.1*$A$2</f>
        <v>3684.4672806170001</v>
      </c>
      <c r="C200" s="68">
        <f t="shared" si="19"/>
        <v>315475.28650165792</v>
      </c>
      <c r="D200" s="67">
        <f t="array" ref="D200">SUM($B$7:$B195*$F$1009*EXP(-$F$1009*($A200-$A$7:$A195)))*$F$1010</f>
        <v>45095790.650995664</v>
      </c>
      <c r="E200" s="67">
        <f t="shared" si="23"/>
        <v>85.971143816979009</v>
      </c>
      <c r="F200" s="70">
        <f t="shared" si="21"/>
        <v>5.2201678525669646</v>
      </c>
      <c r="G200" s="67">
        <f>E200/'Lookup Tables'!$C$48</f>
        <v>171.94228763395802</v>
      </c>
      <c r="H200" s="70">
        <f t="shared" si="24"/>
        <v>0.14323287789443595</v>
      </c>
      <c r="I200" s="71">
        <f t="shared" si="22"/>
        <v>0.24759689419289951</v>
      </c>
      <c r="L200" s="74"/>
      <c r="M200" s="74"/>
      <c r="N200" s="74"/>
      <c r="O200" s="74"/>
      <c r="P200" s="74"/>
      <c r="Q200" s="74"/>
      <c r="R200" s="74"/>
      <c r="S200" s="74"/>
      <c r="T200" s="74"/>
      <c r="U200" s="74"/>
      <c r="V200" s="74"/>
      <c r="W200" s="74"/>
      <c r="X200" s="74"/>
      <c r="Y200" s="74"/>
      <c r="Z200" s="74"/>
    </row>
    <row r="201" spans="1:26" x14ac:dyDescent="0.3">
      <c r="A201" s="66">
        <f t="shared" si="20"/>
        <v>2009.3999999999824</v>
      </c>
      <c r="B201" s="67">
        <f>LOOKUP(A201+0.01,AmountsB!$A$4:$A$103,AmountsB!$B$4:$B$103)*0.1*$A$2</f>
        <v>3684.4672806170001</v>
      </c>
      <c r="C201" s="68">
        <f t="shared" ref="C201:C264" si="25">C200+B201</f>
        <v>319159.7537822749</v>
      </c>
      <c r="D201" s="67">
        <f t="array" ref="D201">SUM($B$7:$B196*$F$1009*EXP(-$F$1009*($A201-$A$7:$A196)))*$F$1010</f>
        <v>45508728.029584594</v>
      </c>
      <c r="E201" s="67">
        <f t="shared" si="23"/>
        <v>86.758372475121888</v>
      </c>
      <c r="F201" s="70">
        <f t="shared" si="21"/>
        <v>5.2679683766894012</v>
      </c>
      <c r="G201" s="67">
        <f>E201/'Lookup Tables'!$C$48</f>
        <v>173.51674495024378</v>
      </c>
      <c r="H201" s="70">
        <f t="shared" si="24"/>
        <v>0.14287578566071871</v>
      </c>
      <c r="I201" s="71">
        <f t="shared" si="22"/>
        <v>0.24986411272835102</v>
      </c>
      <c r="L201" s="74"/>
      <c r="M201" s="74"/>
      <c r="N201" s="74"/>
      <c r="O201" s="74"/>
      <c r="P201" s="74"/>
      <c r="Q201" s="74"/>
      <c r="R201" s="74"/>
      <c r="S201" s="74"/>
      <c r="T201" s="74"/>
      <c r="U201" s="74"/>
      <c r="V201" s="74"/>
      <c r="W201" s="74"/>
      <c r="X201" s="74"/>
      <c r="Y201" s="74"/>
      <c r="Z201" s="74"/>
    </row>
    <row r="202" spans="1:26" x14ac:dyDescent="0.3">
      <c r="A202" s="66">
        <f t="shared" si="20"/>
        <v>2009.4999999999823</v>
      </c>
      <c r="B202" s="67">
        <f>LOOKUP(A202+0.01,AmountsB!$A$4:$A$103,AmountsB!$B$4:$B$103)*0.1*$A$2</f>
        <v>3684.4672806170001</v>
      </c>
      <c r="C202" s="68">
        <f t="shared" si="25"/>
        <v>322844.22106289188</v>
      </c>
      <c r="D202" s="67">
        <f t="array" ref="D202">SUM($B$7:$B197*$F$1009*EXP(-$F$1009*($A202-$A$7:$A197)))*$F$1010</f>
        <v>45933330.301721506</v>
      </c>
      <c r="E202" s="67">
        <f t="shared" si="23"/>
        <v>87.567839223036472</v>
      </c>
      <c r="F202" s="70">
        <f t="shared" si="21"/>
        <v>5.3171191976227741</v>
      </c>
      <c r="G202" s="67">
        <f>E202/'Lookup Tables'!$C$48</f>
        <v>175.13567844607294</v>
      </c>
      <c r="H202" s="70">
        <f t="shared" si="24"/>
        <v>0.14256304834603778</v>
      </c>
      <c r="I202" s="71">
        <f t="shared" si="22"/>
        <v>0.25219537696234501</v>
      </c>
      <c r="L202" s="74"/>
      <c r="M202" s="74"/>
      <c r="N202" s="74"/>
      <c r="O202" s="74"/>
      <c r="P202" s="74"/>
      <c r="Q202" s="74"/>
      <c r="R202" s="74"/>
      <c r="S202" s="74"/>
      <c r="T202" s="74"/>
      <c r="U202" s="74"/>
      <c r="V202" s="74"/>
      <c r="W202" s="74"/>
      <c r="X202" s="74"/>
      <c r="Y202" s="74"/>
      <c r="Z202" s="74"/>
    </row>
    <row r="203" spans="1:26" x14ac:dyDescent="0.3">
      <c r="A203" s="66">
        <f t="shared" si="20"/>
        <v>2009.5999999999822</v>
      </c>
      <c r="B203" s="67">
        <f>LOOKUP(A203+0.01,AmountsB!$A$4:$A$103,AmountsB!$B$4:$B$103)*0.1*$A$2</f>
        <v>3684.4672806170001</v>
      </c>
      <c r="C203" s="68">
        <f t="shared" si="25"/>
        <v>326528.68834350887</v>
      </c>
      <c r="D203" s="67">
        <f t="array" ref="D203">SUM($B$7:$B198*$F$1009*EXP(-$F$1009*($A203-$A$7:$A198)))*$F$1010</f>
        <v>46354970.736478448</v>
      </c>
      <c r="E203" s="67">
        <f t="shared" si="23"/>
        <v>88.371659489457329</v>
      </c>
      <c r="F203" s="70">
        <f t="shared" si="21"/>
        <v>5.3659271641998494</v>
      </c>
      <c r="G203" s="67">
        <f>E203/'Lookup Tables'!$C$48</f>
        <v>176.74331897891466</v>
      </c>
      <c r="H203" s="70">
        <f t="shared" si="24"/>
        <v>0.14224827981667337</v>
      </c>
      <c r="I203" s="71">
        <f t="shared" si="22"/>
        <v>0.2545103793296371</v>
      </c>
      <c r="L203" s="74"/>
      <c r="M203" s="74"/>
      <c r="N203" s="74"/>
      <c r="O203" s="74"/>
      <c r="P203" s="74"/>
      <c r="Q203" s="74"/>
      <c r="R203" s="74"/>
      <c r="S203" s="74"/>
      <c r="T203" s="74"/>
      <c r="U203" s="74"/>
      <c r="V203" s="74"/>
      <c r="W203" s="74"/>
      <c r="X203" s="74"/>
      <c r="Y203" s="74"/>
      <c r="Z203" s="74"/>
    </row>
    <row r="204" spans="1:26" x14ac:dyDescent="0.3">
      <c r="A204" s="66">
        <f t="shared" si="20"/>
        <v>2009.6999999999821</v>
      </c>
      <c r="B204" s="67">
        <f>LOOKUP(A204+0.01,AmountsB!$A$4:$A$103,AmountsB!$B$4:$B$103)*0.1*$A$2</f>
        <v>3684.4672806170001</v>
      </c>
      <c r="C204" s="68">
        <f t="shared" si="25"/>
        <v>330213.15562412585</v>
      </c>
      <c r="D204" s="67">
        <f t="array" ref="D204">SUM($B$7:$B199*$F$1009*EXP(-$F$1009*($A204-$A$7:$A199)))*$F$1010</f>
        <v>46773669.9943211</v>
      </c>
      <c r="E204" s="67">
        <f t="shared" si="23"/>
        <v>89.169872661738367</v>
      </c>
      <c r="F204" s="70">
        <f t="shared" si="21"/>
        <v>5.414394668020754</v>
      </c>
      <c r="G204" s="67">
        <f>E204/'Lookup Tables'!$C$48</f>
        <v>178.33974532347673</v>
      </c>
      <c r="H204" s="70">
        <f t="shared" si="24"/>
        <v>0.14193161075738034</v>
      </c>
      <c r="I204" s="71">
        <f t="shared" si="22"/>
        <v>0.25680923326580651</v>
      </c>
      <c r="L204" s="74"/>
      <c r="M204" s="74"/>
      <c r="N204" s="74"/>
      <c r="O204" s="74"/>
      <c r="P204" s="74"/>
      <c r="Q204" s="74"/>
      <c r="R204" s="74"/>
      <c r="S204" s="74"/>
      <c r="T204" s="74"/>
      <c r="U204" s="74"/>
      <c r="V204" s="74"/>
      <c r="W204" s="74"/>
      <c r="X204" s="74"/>
      <c r="Y204" s="74"/>
      <c r="Z204" s="74"/>
    </row>
    <row r="205" spans="1:26" x14ac:dyDescent="0.3">
      <c r="A205" s="66">
        <f t="shared" si="20"/>
        <v>2009.799999999982</v>
      </c>
      <c r="B205" s="67">
        <f>LOOKUP(A205+0.01,AmountsB!$A$4:$A$103,AmountsB!$B$4:$B$103)*0.1*$A$2</f>
        <v>3684.4672806170001</v>
      </c>
      <c r="C205" s="68">
        <f t="shared" si="25"/>
        <v>333897.62290474284</v>
      </c>
      <c r="D205" s="67">
        <f t="array" ref="D205">SUM($B$7:$B200*$F$1009*EXP(-$F$1009*($A205-$A$7:$A200)))*$F$1010</f>
        <v>47189448.591596849</v>
      </c>
      <c r="E205" s="67">
        <f t="shared" si="23"/>
        <v>89.962517852484709</v>
      </c>
      <c r="F205" s="70">
        <f t="shared" si="21"/>
        <v>5.4625240840028715</v>
      </c>
      <c r="G205" s="67">
        <f>E205/'Lookup Tables'!$C$48</f>
        <v>179.92503570496942</v>
      </c>
      <c r="H205" s="70">
        <f t="shared" si="24"/>
        <v>0.14161316565214249</v>
      </c>
      <c r="I205" s="71">
        <f t="shared" si="22"/>
        <v>0.25909205141515596</v>
      </c>
      <c r="L205" s="74"/>
      <c r="M205" s="74"/>
      <c r="N205" s="74"/>
      <c r="O205" s="74"/>
      <c r="P205" s="74"/>
      <c r="Q205" s="74"/>
      <c r="R205" s="74"/>
      <c r="S205" s="74"/>
      <c r="T205" s="74"/>
      <c r="U205" s="74"/>
      <c r="V205" s="74"/>
      <c r="W205" s="74"/>
      <c r="X205" s="74"/>
      <c r="Y205" s="74"/>
      <c r="Z205" s="74"/>
    </row>
    <row r="206" spans="1:26" x14ac:dyDescent="0.3">
      <c r="A206" s="66">
        <f t="shared" si="20"/>
        <v>2009.8999999999819</v>
      </c>
      <c r="B206" s="67">
        <f>LOOKUP(A206+0.01,AmountsB!$A$4:$A$103,AmountsB!$B$4:$B$103)*0.1*$A$2</f>
        <v>3684.4672806170001</v>
      </c>
      <c r="C206" s="68">
        <f t="shared" si="25"/>
        <v>337582.09018535982</v>
      </c>
      <c r="D206" s="67">
        <f t="array" ref="D206">SUM($B$7:$B201*$F$1009*EXP(-$F$1009*($A206-$A$7:$A201)))*$F$1010</f>
        <v>47602326.901540175</v>
      </c>
      <c r="E206" s="67">
        <f t="shared" si="23"/>
        <v>90.749633901469309</v>
      </c>
      <c r="F206" s="70">
        <f t="shared" si="21"/>
        <v>5.5103177704972168</v>
      </c>
      <c r="G206" s="67">
        <f>E206/'Lookup Tables'!$C$48</f>
        <v>181.49926780293862</v>
      </c>
      <c r="H206" s="70">
        <f t="shared" si="24"/>
        <v>0.14129306312554146</v>
      </c>
      <c r="I206" s="71">
        <f t="shared" si="22"/>
        <v>0.26135894563623163</v>
      </c>
      <c r="L206" s="74"/>
      <c r="M206" s="74"/>
      <c r="N206" s="74"/>
      <c r="O206" s="74"/>
      <c r="P206" s="74"/>
      <c r="Q206" s="74"/>
      <c r="R206" s="74"/>
      <c r="S206" s="74"/>
      <c r="T206" s="74"/>
      <c r="U206" s="74"/>
      <c r="V206" s="74"/>
      <c r="W206" s="74"/>
      <c r="X206" s="74"/>
      <c r="Y206" s="74"/>
      <c r="Z206" s="74"/>
    </row>
    <row r="207" spans="1:26" x14ac:dyDescent="0.3">
      <c r="A207" s="66">
        <f t="shared" si="20"/>
        <v>2009.9999999999818</v>
      </c>
      <c r="B207" s="67">
        <f>LOOKUP(A207+0.01,AmountsB!$A$4:$A$103,AmountsB!$B$4:$B$103)*0.1*$A$2</f>
        <v>3758.1402947729998</v>
      </c>
      <c r="C207" s="68">
        <f t="shared" si="25"/>
        <v>341340.2304801328</v>
      </c>
      <c r="D207" s="67">
        <f t="array" ref="D207">SUM($B$7:$B202*$F$1009*EXP(-$F$1009*($A207-$A$7:$A202)))*$F$1010</f>
        <v>48012325.155270852</v>
      </c>
      <c r="E207" s="67">
        <f t="shared" si="23"/>
        <v>91.53125937753606</v>
      </c>
      <c r="F207" s="70">
        <f t="shared" si="21"/>
        <v>5.5577780694039891</v>
      </c>
      <c r="G207" s="67">
        <f>E207/'Lookup Tables'!$C$48</f>
        <v>183.06251875507212</v>
      </c>
      <c r="H207" s="70">
        <f t="shared" si="24"/>
        <v>0.14094098976016556</v>
      </c>
      <c r="I207" s="71">
        <f t="shared" si="22"/>
        <v>0.26361002700730385</v>
      </c>
      <c r="L207" s="74"/>
      <c r="M207" s="74"/>
      <c r="N207" s="74"/>
      <c r="O207" s="74"/>
      <c r="P207" s="74"/>
      <c r="Q207" s="74"/>
      <c r="R207" s="74"/>
      <c r="S207" s="74"/>
      <c r="T207" s="74"/>
      <c r="U207" s="74"/>
      <c r="V207" s="74"/>
      <c r="W207" s="74"/>
      <c r="X207" s="74"/>
      <c r="Y207" s="74"/>
      <c r="Z207" s="74"/>
    </row>
    <row r="208" spans="1:26" x14ac:dyDescent="0.3">
      <c r="A208" s="66">
        <f t="shared" si="20"/>
        <v>2010.0999999999817</v>
      </c>
      <c r="B208" s="67">
        <f>LOOKUP(A208+0.01,AmountsB!$A$4:$A$103,AmountsB!$B$4:$B$103)*0.1*$A$2</f>
        <v>3758.1402947729998</v>
      </c>
      <c r="C208" s="68">
        <f t="shared" si="25"/>
        <v>345098.37077490578</v>
      </c>
      <c r="D208" s="67">
        <f t="array" ref="D208">SUM($B$7:$B203*$F$1009*EXP(-$F$1009*($A208-$A$7:$A203)))*$F$1010</f>
        <v>48419463.442785382</v>
      </c>
      <c r="E208" s="67">
        <f t="shared" si="23"/>
        <v>92.307432580489689</v>
      </c>
      <c r="F208" s="70">
        <f t="shared" si="21"/>
        <v>5.604907306287334</v>
      </c>
      <c r="G208" s="67">
        <f>E208/'Lookup Tables'!$C$48</f>
        <v>184.61486516097938</v>
      </c>
      <c r="H208" s="70">
        <f t="shared" si="24"/>
        <v>0.14058828053972758</v>
      </c>
      <c r="I208" s="71">
        <f t="shared" si="22"/>
        <v>0.26584540583181032</v>
      </c>
      <c r="L208" s="74"/>
      <c r="M208" s="74"/>
      <c r="N208" s="74"/>
      <c r="O208" s="74"/>
      <c r="P208" s="74"/>
      <c r="Q208" s="74"/>
      <c r="R208" s="74"/>
      <c r="S208" s="74"/>
      <c r="T208" s="74"/>
      <c r="U208" s="74"/>
      <c r="V208" s="74"/>
      <c r="W208" s="74"/>
      <c r="X208" s="74"/>
      <c r="Y208" s="74"/>
      <c r="Z208" s="74"/>
    </row>
    <row r="209" spans="1:26" x14ac:dyDescent="0.3">
      <c r="A209" s="66">
        <f t="shared" si="20"/>
        <v>2010.1999999999816</v>
      </c>
      <c r="B209" s="67">
        <f>LOOKUP(A209+0.01,AmountsB!$A$4:$A$103,AmountsB!$B$4:$B$103)*0.1*$A$2</f>
        <v>3758.1402947729998</v>
      </c>
      <c r="C209" s="68">
        <f t="shared" si="25"/>
        <v>348856.51106967876</v>
      </c>
      <c r="D209" s="67">
        <f t="array" ref="D209">SUM($B$7:$B204*$F$1009*EXP(-$F$1009*($A209-$A$7:$A204)))*$F$1010</f>
        <v>48823761.713941276</v>
      </c>
      <c r="E209" s="67">
        <f t="shared" si="23"/>
        <v>93.078191542972419</v>
      </c>
      <c r="F209" s="70">
        <f t="shared" si="21"/>
        <v>5.6517077904892856</v>
      </c>
      <c r="G209" s="67">
        <f>E209/'Lookup Tables'!$C$48</f>
        <v>186.15638308594484</v>
      </c>
      <c r="H209" s="70">
        <f t="shared" si="24"/>
        <v>0.14023501331530228</v>
      </c>
      <c r="I209" s="71">
        <f t="shared" si="22"/>
        <v>0.26806519164376053</v>
      </c>
      <c r="L209" s="74"/>
      <c r="M209" s="74"/>
      <c r="N209" s="74"/>
      <c r="O209" s="74"/>
      <c r="P209" s="74"/>
      <c r="Q209" s="74"/>
      <c r="R209" s="74"/>
      <c r="S209" s="74"/>
      <c r="T209" s="74"/>
      <c r="U209" s="74"/>
      <c r="V209" s="74"/>
      <c r="W209" s="74"/>
      <c r="X209" s="74"/>
      <c r="Y209" s="74"/>
      <c r="Z209" s="74"/>
    </row>
    <row r="210" spans="1:26" x14ac:dyDescent="0.3">
      <c r="A210" s="66">
        <f t="shared" si="20"/>
        <v>2010.2999999999815</v>
      </c>
      <c r="B210" s="67">
        <f>LOOKUP(A210+0.01,AmountsB!$A$4:$A$103,AmountsB!$B$4:$B$103)*0.1*$A$2</f>
        <v>3758.1402947729998</v>
      </c>
      <c r="C210" s="68">
        <f t="shared" si="25"/>
        <v>352614.65136445174</v>
      </c>
      <c r="D210" s="67">
        <f t="array" ref="D210">SUM($B$7:$B205*$F$1009*EXP(-$F$1009*($A210-$A$7:$A205)))*$F$1010</f>
        <v>49225239.779434718</v>
      </c>
      <c r="E210" s="67">
        <f t="shared" si="23"/>
        <v>93.843574032327595</v>
      </c>
      <c r="F210" s="70">
        <f t="shared" si="21"/>
        <v>5.6981818152429318</v>
      </c>
      <c r="G210" s="67">
        <f>E210/'Lookup Tables'!$C$48</f>
        <v>187.68714806465519</v>
      </c>
      <c r="H210" s="70">
        <f t="shared" si="24"/>
        <v>0.1398812622235921</v>
      </c>
      <c r="I210" s="71">
        <f t="shared" si="22"/>
        <v>0.27026949321310351</v>
      </c>
      <c r="L210" s="74"/>
      <c r="M210" s="74"/>
      <c r="N210" s="74"/>
      <c r="O210" s="74"/>
      <c r="P210" s="74"/>
      <c r="Q210" s="74"/>
      <c r="R210" s="74"/>
      <c r="S210" s="74"/>
      <c r="T210" s="74"/>
      <c r="U210" s="74"/>
      <c r="V210" s="74"/>
      <c r="W210" s="74"/>
      <c r="X210" s="74"/>
      <c r="Y210" s="74"/>
      <c r="Z210" s="74"/>
    </row>
    <row r="211" spans="1:26" x14ac:dyDescent="0.3">
      <c r="A211" s="66">
        <f t="shared" ref="A211:A274" si="26">A210+0.1</f>
        <v>2010.3999999999814</v>
      </c>
      <c r="B211" s="67">
        <f>LOOKUP(A211+0.01,AmountsB!$A$4:$A$103,AmountsB!$B$4:$B$103)*0.1*$A$2</f>
        <v>3758.1402947729998</v>
      </c>
      <c r="C211" s="68">
        <f t="shared" si="25"/>
        <v>356372.79165922472</v>
      </c>
      <c r="D211" s="67">
        <f t="array" ref="D211">SUM($B$7:$B206*$F$1009*EXP(-$F$1009*($A211-$A$7:$A206)))*$F$1010</f>
        <v>49623917.311771281</v>
      </c>
      <c r="E211" s="67">
        <f t="shared" si="23"/>
        <v>94.60361755245043</v>
      </c>
      <c r="F211" s="70">
        <f t="shared" ref="F211:F274" si="27">E211*60*1012/1000000</f>
        <v>5.74433165778479</v>
      </c>
      <c r="G211" s="67">
        <f>E211/'Lookup Tables'!$C$48</f>
        <v>189.20723510490086</v>
      </c>
      <c r="H211" s="70">
        <f t="shared" si="24"/>
        <v>0.13952709788550671</v>
      </c>
      <c r="I211" s="71">
        <f t="shared" ref="I211:I274" si="28">G211*60*24/1000000</f>
        <v>0.27245841855105724</v>
      </c>
      <c r="L211" s="74"/>
      <c r="M211" s="74"/>
      <c r="N211" s="74"/>
      <c r="O211" s="74"/>
      <c r="P211" s="74"/>
      <c r="Q211" s="74"/>
      <c r="R211" s="74"/>
      <c r="S211" s="74"/>
      <c r="T211" s="74"/>
      <c r="U211" s="74"/>
      <c r="V211" s="74"/>
      <c r="W211" s="74"/>
      <c r="X211" s="74"/>
      <c r="Y211" s="74"/>
      <c r="Z211" s="74"/>
    </row>
    <row r="212" spans="1:26" x14ac:dyDescent="0.3">
      <c r="A212" s="66">
        <f t="shared" si="26"/>
        <v>2010.4999999999814</v>
      </c>
      <c r="B212" s="67">
        <f>LOOKUP(A212+0.01,AmountsB!$A$4:$A$103,AmountsB!$B$4:$B$103)*0.1*$A$2</f>
        <v>3758.1402947729998</v>
      </c>
      <c r="C212" s="68">
        <f t="shared" si="25"/>
        <v>360130.9319539977</v>
      </c>
      <c r="D212" s="67">
        <f t="array" ref="D212">SUM($B$7:$B207*$F$1009*EXP(-$F$1009*($A212-$A$7:$A207)))*$F$1010</f>
        <v>50034651.577108473</v>
      </c>
      <c r="E212" s="67">
        <f t="shared" si="23"/>
        <v>95.386646169669831</v>
      </c>
      <c r="F212" s="70">
        <f t="shared" si="27"/>
        <v>5.7918771554223518</v>
      </c>
      <c r="G212" s="67">
        <f>E212/'Lookup Tables'!$C$48</f>
        <v>190.77329233933966</v>
      </c>
      <c r="H212" s="70">
        <f t="shared" si="24"/>
        <v>0.13921387134050076</v>
      </c>
      <c r="I212" s="71">
        <f t="shared" si="28"/>
        <v>0.27471354096864908</v>
      </c>
      <c r="L212" s="74"/>
      <c r="M212" s="74"/>
      <c r="N212" s="74"/>
      <c r="O212" s="74"/>
      <c r="P212" s="74"/>
      <c r="Q212" s="74"/>
      <c r="R212" s="74"/>
      <c r="S212" s="74"/>
      <c r="T212" s="74"/>
      <c r="U212" s="74"/>
      <c r="V212" s="74"/>
      <c r="W212" s="74"/>
      <c r="X212" s="74"/>
      <c r="Y212" s="74"/>
      <c r="Z212" s="74"/>
    </row>
    <row r="213" spans="1:26" x14ac:dyDescent="0.3">
      <c r="A213" s="66">
        <f t="shared" si="26"/>
        <v>2010.5999999999813</v>
      </c>
      <c r="B213" s="67">
        <f>LOOKUP(A213+0.01,AmountsB!$A$4:$A$103,AmountsB!$B$4:$B$103)*0.1*$A$2</f>
        <v>3758.1402947729998</v>
      </c>
      <c r="C213" s="68">
        <f t="shared" si="25"/>
        <v>363889.07224877068</v>
      </c>
      <c r="D213" s="67">
        <f t="array" ref="D213">SUM($B$7:$B208*$F$1009*EXP(-$F$1009*($A213-$A$7:$A208)))*$F$1010</f>
        <v>50442520.742138542</v>
      </c>
      <c r="E213" s="67">
        <f t="shared" si="23"/>
        <v>96.164212726084941</v>
      </c>
      <c r="F213" s="70">
        <f t="shared" si="27"/>
        <v>5.8390909967278777</v>
      </c>
      <c r="G213" s="67">
        <f>E213/'Lookup Tables'!$C$48</f>
        <v>192.32842545216988</v>
      </c>
      <c r="H213" s="70">
        <f t="shared" si="24"/>
        <v>0.1388992252404771</v>
      </c>
      <c r="I213" s="71">
        <f t="shared" si="28"/>
        <v>0.27695293265112458</v>
      </c>
      <c r="L213" s="74"/>
      <c r="M213" s="74"/>
      <c r="N213" s="74"/>
      <c r="O213" s="74"/>
      <c r="P213" s="74"/>
      <c r="Q213" s="74"/>
      <c r="R213" s="74"/>
      <c r="S213" s="74"/>
      <c r="T213" s="74"/>
      <c r="U213" s="74"/>
      <c r="V213" s="74"/>
      <c r="W213" s="74"/>
      <c r="X213" s="74"/>
      <c r="Y213" s="74"/>
      <c r="Z213" s="74"/>
    </row>
    <row r="214" spans="1:26" x14ac:dyDescent="0.3">
      <c r="A214" s="66">
        <f t="shared" si="26"/>
        <v>2010.6999999999812</v>
      </c>
      <c r="B214" s="67">
        <f>LOOKUP(A214+0.01,AmountsB!$A$4:$A$103,AmountsB!$B$4:$B$103)*0.1*$A$2</f>
        <v>3758.1402947729998</v>
      </c>
      <c r="C214" s="68">
        <f t="shared" si="25"/>
        <v>367647.21254354366</v>
      </c>
      <c r="D214" s="67">
        <f t="array" ref="D214">SUM($B$7:$B209*$F$1009*EXP(-$F$1009*($A214-$A$7:$A209)))*$F$1010</f>
        <v>50847544.792532161</v>
      </c>
      <c r="E214" s="67">
        <f t="shared" si="23"/>
        <v>96.936355322612542</v>
      </c>
      <c r="F214" s="70">
        <f t="shared" si="27"/>
        <v>5.8859754951890331</v>
      </c>
      <c r="G214" s="67">
        <f>E214/'Lookup Tables'!$C$48</f>
        <v>193.87271064522508</v>
      </c>
      <c r="H214" s="70">
        <f t="shared" si="24"/>
        <v>0.13858325758836193</v>
      </c>
      <c r="I214" s="71">
        <f t="shared" si="28"/>
        <v>0.27917670332912414</v>
      </c>
      <c r="L214" s="74"/>
      <c r="M214" s="74"/>
      <c r="N214" s="74"/>
      <c r="O214" s="74"/>
      <c r="P214" s="74"/>
      <c r="Q214" s="74"/>
      <c r="R214" s="74"/>
      <c r="S214" s="74"/>
      <c r="T214" s="74"/>
      <c r="U214" s="74"/>
      <c r="V214" s="74"/>
      <c r="W214" s="74"/>
      <c r="X214" s="74"/>
      <c r="Y214" s="74"/>
      <c r="Z214" s="74"/>
    </row>
    <row r="215" spans="1:26" x14ac:dyDescent="0.3">
      <c r="A215" s="66">
        <f t="shared" si="26"/>
        <v>2010.7999999999811</v>
      </c>
      <c r="B215" s="67">
        <f>LOOKUP(A215+0.01,AmountsB!$A$4:$A$103,AmountsB!$B$4:$B$103)*0.1*$A$2</f>
        <v>3758.1402947729998</v>
      </c>
      <c r="C215" s="68">
        <f t="shared" si="25"/>
        <v>371405.35283831664</v>
      </c>
      <c r="D215" s="67">
        <f t="array" ref="D215">SUM($B$7:$B210*$F$1009*EXP(-$F$1009*($A215-$A$7:$A210)))*$F$1010</f>
        <v>51249743.57454887</v>
      </c>
      <c r="E215" s="67">
        <f t="shared" si="23"/>
        <v>97.703111794394431</v>
      </c>
      <c r="F215" s="70">
        <f t="shared" si="27"/>
        <v>5.9325329481556306</v>
      </c>
      <c r="G215" s="67">
        <f>E215/'Lookup Tables'!$C$48</f>
        <v>195.40622358878886</v>
      </c>
      <c r="H215" s="70">
        <f t="shared" si="24"/>
        <v>0.13826606204431588</v>
      </c>
      <c r="I215" s="71">
        <f t="shared" si="28"/>
        <v>0.28138496196785601</v>
      </c>
      <c r="L215" s="74"/>
      <c r="M215" s="74"/>
      <c r="N215" s="74"/>
      <c r="O215" s="74"/>
      <c r="P215" s="74"/>
      <c r="Q215" s="74"/>
      <c r="R215" s="74"/>
      <c r="S215" s="74"/>
      <c r="T215" s="74"/>
      <c r="U215" s="74"/>
      <c r="V215" s="74"/>
      <c r="W215" s="74"/>
      <c r="X215" s="74"/>
      <c r="Y215" s="74"/>
      <c r="Z215" s="74"/>
    </row>
    <row r="216" spans="1:26" x14ac:dyDescent="0.3">
      <c r="A216" s="66">
        <f t="shared" si="26"/>
        <v>2010.899999999981</v>
      </c>
      <c r="B216" s="67">
        <f>LOOKUP(A216+0.01,AmountsB!$A$4:$A$103,AmountsB!$B$4:$B$103)*0.1*$A$2</f>
        <v>3758.1402947729998</v>
      </c>
      <c r="C216" s="68">
        <f t="shared" si="25"/>
        <v>375163.49313308962</v>
      </c>
      <c r="D216" s="67">
        <f t="array" ref="D216">SUM($B$7:$B211*$F$1009*EXP(-$F$1009*($A216-$A$7:$A211)))*$F$1010</f>
        <v>51649136.796009429</v>
      </c>
      <c r="E216" s="67">
        <f t="shared" si="23"/>
        <v>98.464519712651082</v>
      </c>
      <c r="F216" s="70">
        <f t="shared" si="27"/>
        <v>5.9787656369521738</v>
      </c>
      <c r="G216" s="67">
        <f>E216/'Lookup Tables'!$C$48</f>
        <v>196.92903942530216</v>
      </c>
      <c r="H216" s="70">
        <f t="shared" si="24"/>
        <v>0.13794772814584599</v>
      </c>
      <c r="I216" s="71">
        <f t="shared" si="28"/>
        <v>0.2835778167724351</v>
      </c>
      <c r="L216" s="74"/>
      <c r="M216" s="74"/>
      <c r="N216" s="74"/>
      <c r="O216" s="74"/>
      <c r="P216" s="74"/>
      <c r="Q216" s="74"/>
      <c r="R216" s="74"/>
      <c r="S216" s="74"/>
      <c r="T216" s="74"/>
      <c r="U216" s="74"/>
      <c r="V216" s="74"/>
      <c r="W216" s="74"/>
      <c r="X216" s="74"/>
      <c r="Y216" s="74"/>
      <c r="Z216" s="74"/>
    </row>
    <row r="217" spans="1:26" x14ac:dyDescent="0.3">
      <c r="A217" s="66">
        <f t="shared" si="26"/>
        <v>2010.9999999999809</v>
      </c>
      <c r="B217" s="67">
        <f>LOOKUP(A217+0.01,AmountsB!$A$4:$A$103,AmountsB!$B$4:$B$103)*0.1*$A$2</f>
        <v>3833.2649939369999</v>
      </c>
      <c r="C217" s="68">
        <f t="shared" si="25"/>
        <v>378996.75812702661</v>
      </c>
      <c r="D217" s="67">
        <f t="array" ref="D217">SUM($B$7:$B212*$F$1009*EXP(-$F$1009*($A217-$A$7:$A212)))*$F$1010</f>
        <v>52045744.027261607</v>
      </c>
      <c r="E217" s="67">
        <f t="shared" si="23"/>
        <v>99.220616386522835</v>
      </c>
      <c r="F217" s="70">
        <f t="shared" si="27"/>
        <v>6.0246758269896663</v>
      </c>
      <c r="G217" s="67">
        <f>E217/'Lookup Tables'!$C$48</f>
        <v>198.44123277304567</v>
      </c>
      <c r="H217" s="70">
        <f t="shared" si="24"/>
        <v>0.1376010608388302</v>
      </c>
      <c r="I217" s="71">
        <f t="shared" si="28"/>
        <v>0.28575537519318578</v>
      </c>
      <c r="L217" s="74"/>
      <c r="M217" s="74"/>
      <c r="N217" s="74"/>
      <c r="O217" s="74"/>
      <c r="P217" s="74"/>
      <c r="Q217" s="74"/>
      <c r="R217" s="74"/>
      <c r="S217" s="74"/>
      <c r="T217" s="74"/>
      <c r="U217" s="74"/>
      <c r="V217" s="74"/>
      <c r="W217" s="74"/>
      <c r="X217" s="74"/>
      <c r="Y217" s="74"/>
      <c r="Z217" s="74"/>
    </row>
    <row r="218" spans="1:26" x14ac:dyDescent="0.3">
      <c r="A218" s="66">
        <f t="shared" si="26"/>
        <v>2011.0999999999808</v>
      </c>
      <c r="B218" s="67">
        <f>LOOKUP(A218+0.01,AmountsB!$A$4:$A$103,AmountsB!$B$4:$B$103)*0.1*$A$2</f>
        <v>3833.2649939369999</v>
      </c>
      <c r="C218" s="68">
        <f t="shared" si="25"/>
        <v>382830.0231209636</v>
      </c>
      <c r="D218" s="67">
        <f t="array" ref="D218">SUM($B$7:$B213*$F$1009*EXP(-$F$1009*($A218-$A$7:$A213)))*$F$1010</f>
        <v>52439584.702139109</v>
      </c>
      <c r="E218" s="67">
        <f t="shared" si="23"/>
        <v>99.971438864898047</v>
      </c>
      <c r="F218" s="70">
        <f t="shared" si="27"/>
        <v>6.0702657678766094</v>
      </c>
      <c r="G218" s="67">
        <f>E218/'Lookup Tables'!$C$48</f>
        <v>199.94287772979609</v>
      </c>
      <c r="H218" s="70">
        <f t="shared" si="24"/>
        <v>0.13725409475209227</v>
      </c>
      <c r="I218" s="71">
        <f t="shared" si="28"/>
        <v>0.28791774393090636</v>
      </c>
      <c r="L218" s="74"/>
      <c r="M218" s="74"/>
      <c r="N218" s="74"/>
      <c r="O218" s="74"/>
      <c r="P218" s="74"/>
      <c r="Q218" s="74"/>
      <c r="R218" s="74"/>
      <c r="S218" s="74"/>
      <c r="T218" s="74"/>
      <c r="U218" s="74"/>
      <c r="V218" s="74"/>
      <c r="W218" s="74"/>
      <c r="X218" s="74"/>
      <c r="Y218" s="74"/>
      <c r="Z218" s="74"/>
    </row>
    <row r="219" spans="1:26" x14ac:dyDescent="0.3">
      <c r="A219" s="66">
        <f t="shared" si="26"/>
        <v>2011.1999999999807</v>
      </c>
      <c r="B219" s="67">
        <f>LOOKUP(A219+0.01,AmountsB!$A$4:$A$103,AmountsB!$B$4:$B$103)*0.1*$A$2</f>
        <v>3833.2649939369999</v>
      </c>
      <c r="C219" s="68">
        <f t="shared" si="25"/>
        <v>386663.28811490058</v>
      </c>
      <c r="D219" s="67">
        <f t="array" ref="D219">SUM($B$7:$B214*$F$1009*EXP(-$F$1009*($A219-$A$7:$A214)))*$F$1010</f>
        <v>52830678.118913785</v>
      </c>
      <c r="E219" s="67">
        <f t="shared" si="23"/>
        <v>100.71702393822831</v>
      </c>
      <c r="F219" s="70">
        <f t="shared" si="27"/>
        <v>6.1155376935292232</v>
      </c>
      <c r="G219" s="67">
        <f>E219/'Lookup Tables'!$C$48</f>
        <v>201.43404787645662</v>
      </c>
      <c r="H219" s="70">
        <f t="shared" si="24"/>
        <v>0.13690688878175092</v>
      </c>
      <c r="I219" s="71">
        <f t="shared" si="28"/>
        <v>0.29006502894209757</v>
      </c>
      <c r="L219" s="74"/>
      <c r="M219" s="74"/>
      <c r="N219" s="74"/>
      <c r="O219" s="74"/>
      <c r="P219" s="74"/>
      <c r="Q219" s="74"/>
      <c r="R219" s="74"/>
      <c r="S219" s="74"/>
      <c r="T219" s="74"/>
      <c r="U219" s="74"/>
      <c r="V219" s="74"/>
      <c r="W219" s="74"/>
      <c r="X219" s="74"/>
      <c r="Y219" s="74"/>
      <c r="Z219" s="74"/>
    </row>
    <row r="220" spans="1:26" x14ac:dyDescent="0.3">
      <c r="A220" s="66">
        <f t="shared" si="26"/>
        <v>2011.2999999999806</v>
      </c>
      <c r="B220" s="67">
        <f>LOOKUP(A220+0.01,AmountsB!$A$4:$A$103,AmountsB!$B$4:$B$103)*0.1*$A$2</f>
        <v>3833.2649939369999</v>
      </c>
      <c r="C220" s="68">
        <f t="shared" si="25"/>
        <v>390496.55310883757</v>
      </c>
      <c r="D220" s="67">
        <f t="array" ref="D220">SUM($B$7:$B215*$F$1009*EXP(-$F$1009*($A220-$A$7:$A215)))*$F$1010</f>
        <v>53219043.441241316</v>
      </c>
      <c r="E220" s="67">
        <f t="shared" si="23"/>
        <v>101.45740814033147</v>
      </c>
      <c r="F220" s="70">
        <f t="shared" si="27"/>
        <v>6.1604938222809267</v>
      </c>
      <c r="G220" s="67">
        <f>E220/'Lookup Tables'!$C$48</f>
        <v>202.91481628066293</v>
      </c>
      <c r="H220" s="70">
        <f t="shared" si="24"/>
        <v>0.13655949916591306</v>
      </c>
      <c r="I220" s="71">
        <f t="shared" si="28"/>
        <v>0.2921973354441546</v>
      </c>
      <c r="L220" s="74"/>
      <c r="M220" s="74"/>
      <c r="N220" s="74"/>
      <c r="O220" s="74"/>
      <c r="P220" s="74"/>
      <c r="Q220" s="74"/>
      <c r="R220" s="74"/>
      <c r="S220" s="74"/>
      <c r="T220" s="74"/>
      <c r="U220" s="74"/>
      <c r="V220" s="74"/>
      <c r="W220" s="74"/>
      <c r="X220" s="74"/>
      <c r="Y220" s="74"/>
      <c r="Z220" s="74"/>
    </row>
    <row r="221" spans="1:26" x14ac:dyDescent="0.3">
      <c r="A221" s="66">
        <f t="shared" si="26"/>
        <v>2011.3999999999805</v>
      </c>
      <c r="B221" s="67">
        <f>LOOKUP(A221+0.01,AmountsB!$A$4:$A$103,AmountsB!$B$4:$B$103)*0.1*$A$2</f>
        <v>3833.2649939369999</v>
      </c>
      <c r="C221" s="68">
        <f t="shared" si="25"/>
        <v>394329.81810277456</v>
      </c>
      <c r="D221" s="67">
        <f t="array" ref="D221">SUM($B$7:$B216*$F$1009*EXP(-$F$1009*($A221-$A$7:$A216)))*$F$1010</f>
        <v>53604699.699100219</v>
      </c>
      <c r="E221" s="67">
        <f t="shared" si="23"/>
        <v>102.19262775018153</v>
      </c>
      <c r="F221" s="70">
        <f t="shared" si="27"/>
        <v>6.2051363569910221</v>
      </c>
      <c r="G221" s="67">
        <f>E221/'Lookup Tables'!$C$48</f>
        <v>204.38525550036306</v>
      </c>
      <c r="H221" s="70">
        <f t="shared" si="24"/>
        <v>0.13621197961625181</v>
      </c>
      <c r="I221" s="71">
        <f t="shared" si="28"/>
        <v>0.2943147679205228</v>
      </c>
      <c r="L221" s="74"/>
      <c r="M221" s="74"/>
      <c r="N221" s="74"/>
      <c r="O221" s="74"/>
      <c r="P221" s="74"/>
      <c r="Q221" s="74"/>
      <c r="R221" s="74"/>
      <c r="S221" s="74"/>
      <c r="T221" s="74"/>
      <c r="U221" s="74"/>
      <c r="V221" s="74"/>
      <c r="W221" s="74"/>
      <c r="X221" s="74"/>
      <c r="Y221" s="74"/>
      <c r="Z221" s="74"/>
    </row>
    <row r="222" spans="1:26" x14ac:dyDescent="0.3">
      <c r="A222" s="66">
        <f t="shared" si="26"/>
        <v>2011.4999999999804</v>
      </c>
      <c r="B222" s="67">
        <f>LOOKUP(A222+0.01,AmountsB!$A$4:$A$103,AmountsB!$B$4:$B$103)*0.1*$A$2</f>
        <v>3833.2649939369999</v>
      </c>
      <c r="C222" s="68">
        <f t="shared" si="25"/>
        <v>398163.08309671155</v>
      </c>
      <c r="D222" s="67">
        <f t="array" ref="D222">SUM($B$7:$B217*$F$1009*EXP(-$F$1009*($A222-$A$7:$A217)))*$F$1010</f>
        <v>54002795.889684305</v>
      </c>
      <c r="E222" s="67">
        <f t="shared" si="23"/>
        <v>102.95156299357416</v>
      </c>
      <c r="F222" s="70">
        <f t="shared" si="27"/>
        <v>6.2512189049698232</v>
      </c>
      <c r="G222" s="67">
        <f>E222/'Lookup Tables'!$C$48</f>
        <v>205.90312598714831</v>
      </c>
      <c r="H222" s="70">
        <f t="shared" si="24"/>
        <v>0.13590245757736219</v>
      </c>
      <c r="I222" s="71">
        <f t="shared" si="28"/>
        <v>0.29650050142149359</v>
      </c>
      <c r="L222" s="74"/>
      <c r="M222" s="74"/>
      <c r="N222" s="74"/>
      <c r="O222" s="74"/>
      <c r="P222" s="74"/>
      <c r="Q222" s="74"/>
      <c r="R222" s="74"/>
      <c r="S222" s="74"/>
      <c r="T222" s="74"/>
      <c r="U222" s="74"/>
      <c r="V222" s="74"/>
      <c r="W222" s="74"/>
      <c r="X222" s="74"/>
      <c r="Y222" s="74"/>
      <c r="Z222" s="74"/>
    </row>
    <row r="223" spans="1:26" x14ac:dyDescent="0.3">
      <c r="A223" s="66">
        <f t="shared" si="26"/>
        <v>2011.5999999999804</v>
      </c>
      <c r="B223" s="67">
        <f>LOOKUP(A223+0.01,AmountsB!$A$4:$A$103,AmountsB!$B$4:$B$103)*0.1*$A$2</f>
        <v>3833.2649939369999</v>
      </c>
      <c r="C223" s="68">
        <f t="shared" si="25"/>
        <v>401996.34809064853</v>
      </c>
      <c r="D223" s="67">
        <f t="array" ref="D223">SUM($B$7:$B218*$F$1009*EXP(-$F$1009*($A223-$A$7:$A218)))*$F$1010</f>
        <v>54398115.137572914</v>
      </c>
      <c r="E223" s="67">
        <f t="shared" si="23"/>
        <v>103.70520424086652</v>
      </c>
      <c r="F223" s="70">
        <f t="shared" si="27"/>
        <v>6.2969800015054149</v>
      </c>
      <c r="G223" s="67">
        <f>E223/'Lookup Tables'!$C$48</f>
        <v>207.41040848173304</v>
      </c>
      <c r="H223" s="70">
        <f t="shared" si="24"/>
        <v>0.13559191671240811</v>
      </c>
      <c r="I223" s="71">
        <f t="shared" si="28"/>
        <v>0.29867098821369559</v>
      </c>
      <c r="L223" s="74"/>
      <c r="M223" s="74"/>
      <c r="N223" s="74"/>
      <c r="O223" s="74"/>
      <c r="P223" s="74"/>
      <c r="Q223" s="74"/>
      <c r="R223" s="74"/>
      <c r="S223" s="74"/>
      <c r="T223" s="74"/>
      <c r="U223" s="74"/>
      <c r="V223" s="74"/>
      <c r="W223" s="74"/>
      <c r="X223" s="74"/>
      <c r="Y223" s="74"/>
      <c r="Z223" s="74"/>
    </row>
    <row r="224" spans="1:26" x14ac:dyDescent="0.3">
      <c r="A224" s="66">
        <f t="shared" si="26"/>
        <v>2011.6999999999803</v>
      </c>
      <c r="B224" s="67">
        <f>LOOKUP(A224+0.01,AmountsB!$A$4:$A$103,AmountsB!$B$4:$B$103)*0.1*$A$2</f>
        <v>3833.2649939369999</v>
      </c>
      <c r="C224" s="68">
        <f t="shared" si="25"/>
        <v>405829.61308458552</v>
      </c>
      <c r="D224" s="67">
        <f t="array" ref="D224">SUM($B$7:$B219*$F$1009*EXP(-$F$1009*($A224-$A$7:$A219)))*$F$1010</f>
        <v>54790676.813488305</v>
      </c>
      <c r="E224" s="67">
        <f t="shared" si="23"/>
        <v>104.45358842063055</v>
      </c>
      <c r="F224" s="70">
        <f t="shared" si="27"/>
        <v>6.342421888900688</v>
      </c>
      <c r="G224" s="67">
        <f>E224/'Lookup Tables'!$C$48</f>
        <v>208.9071768412611</v>
      </c>
      <c r="H224" s="70">
        <f t="shared" si="24"/>
        <v>0.13528043371847448</v>
      </c>
      <c r="I224" s="71">
        <f t="shared" si="28"/>
        <v>0.30082633465141601</v>
      </c>
      <c r="L224" s="74"/>
      <c r="M224" s="74"/>
      <c r="N224" s="74"/>
      <c r="O224" s="74"/>
      <c r="P224" s="74"/>
      <c r="Q224" s="74"/>
      <c r="R224" s="74"/>
      <c r="S224" s="74"/>
      <c r="T224" s="74"/>
      <c r="U224" s="74"/>
      <c r="V224" s="74"/>
      <c r="W224" s="74"/>
      <c r="X224" s="74"/>
      <c r="Y224" s="74"/>
      <c r="Z224" s="74"/>
    </row>
    <row r="225" spans="1:26" x14ac:dyDescent="0.3">
      <c r="A225" s="66">
        <f t="shared" si="26"/>
        <v>2011.7999999999802</v>
      </c>
      <c r="B225" s="67">
        <f>LOOKUP(A225+0.01,AmountsB!$A$4:$A$103,AmountsB!$B$4:$B$103)*0.1*$A$2</f>
        <v>3833.2649939369999</v>
      </c>
      <c r="C225" s="68">
        <f t="shared" si="25"/>
        <v>409662.87807852251</v>
      </c>
      <c r="D225" s="67">
        <f t="array" ref="D225">SUM($B$7:$B220*$F$1009*EXP(-$F$1009*($A225-$A$7:$A220)))*$F$1010</f>
        <v>55180500.153031118</v>
      </c>
      <c r="E225" s="67">
        <f t="shared" si="23"/>
        <v>105.19675220384079</v>
      </c>
      <c r="F225" s="70">
        <f t="shared" si="27"/>
        <v>6.3875467938172132</v>
      </c>
      <c r="G225" s="67">
        <f>E225/'Lookup Tables'!$C$48</f>
        <v>210.39350440768158</v>
      </c>
      <c r="H225" s="70">
        <f t="shared" si="24"/>
        <v>0.13496808209149155</v>
      </c>
      <c r="I225" s="71">
        <f t="shared" si="28"/>
        <v>0.3029666463470615</v>
      </c>
      <c r="L225" s="74"/>
      <c r="M225" s="74"/>
      <c r="N225" s="74"/>
      <c r="O225" s="74"/>
      <c r="P225" s="74"/>
      <c r="Q225" s="74"/>
      <c r="R225" s="74"/>
      <c r="S225" s="74"/>
      <c r="T225" s="74"/>
      <c r="U225" s="74"/>
      <c r="V225" s="74"/>
      <c r="W225" s="74"/>
      <c r="X225" s="74"/>
      <c r="Y225" s="74"/>
      <c r="Z225" s="74"/>
    </row>
    <row r="226" spans="1:26" x14ac:dyDescent="0.3">
      <c r="A226" s="66">
        <f t="shared" si="26"/>
        <v>2011.8999999999801</v>
      </c>
      <c r="B226" s="67">
        <f>LOOKUP(A226+0.01,AmountsB!$A$4:$A$103,AmountsB!$B$4:$B$103)*0.1*$A$2</f>
        <v>3833.2649939369999</v>
      </c>
      <c r="C226" s="68">
        <f t="shared" si="25"/>
        <v>413496.1430724595</v>
      </c>
      <c r="D226" s="67">
        <f t="array" ref="D226">SUM($B$7:$B221*$F$1009*EXP(-$F$1009*($A226-$A$7:$A221)))*$F$1010</f>
        <v>55567604.257622987</v>
      </c>
      <c r="E226" s="67">
        <f t="shared" si="23"/>
        <v>105.93473200567126</v>
      </c>
      <c r="F226" s="70">
        <f t="shared" si="27"/>
        <v>6.432356927384359</v>
      </c>
      <c r="G226" s="67">
        <f>E226/'Lookup Tables'!$C$48</f>
        <v>211.86946401134253</v>
      </c>
      <c r="H226" s="70">
        <f t="shared" si="24"/>
        <v>0.13465493227689862</v>
      </c>
      <c r="I226" s="71">
        <f t="shared" si="28"/>
        <v>0.30509202817633324</v>
      </c>
      <c r="L226" s="74"/>
      <c r="M226" s="74"/>
      <c r="N226" s="74"/>
      <c r="O226" s="74"/>
      <c r="P226" s="74"/>
      <c r="Q226" s="74"/>
      <c r="R226" s="74"/>
      <c r="S226" s="74"/>
      <c r="T226" s="74"/>
      <c r="U226" s="74"/>
      <c r="V226" s="74"/>
      <c r="W226" s="74"/>
      <c r="X226" s="74"/>
      <c r="Y226" s="74"/>
      <c r="Z226" s="74"/>
    </row>
    <row r="227" spans="1:26" x14ac:dyDescent="0.3">
      <c r="A227" s="66">
        <f t="shared" si="26"/>
        <v>2011.99999999998</v>
      </c>
      <c r="B227" s="67">
        <f>LOOKUP(A227+0.01,AmountsB!$A$4:$A$103,AmountsB!$B$4:$B$103)*0.1*$A$2</f>
        <v>4082.8640849999997</v>
      </c>
      <c r="C227" s="68">
        <f t="shared" si="25"/>
        <v>417579.00715745951</v>
      </c>
      <c r="D227" s="67">
        <f t="array" ref="D227">SUM($B$7:$B222*$F$1009*EXP(-$F$1009*($A227-$A$7:$A222)))*$F$1010</f>
        <v>55952008.095442496</v>
      </c>
      <c r="E227" s="67">
        <f t="shared" si="23"/>
        <v>106.66756398727995</v>
      </c>
      <c r="F227" s="70">
        <f t="shared" si="27"/>
        <v>6.4768544853076389</v>
      </c>
      <c r="G227" s="67">
        <f>E227/'Lookup Tables'!$C$48</f>
        <v>213.3351279745599</v>
      </c>
      <c r="H227" s="70">
        <f t="shared" si="24"/>
        <v>0.13426075226663325</v>
      </c>
      <c r="I227" s="71">
        <f t="shared" si="28"/>
        <v>0.30720258428336628</v>
      </c>
      <c r="L227" s="74"/>
      <c r="M227" s="74"/>
      <c r="N227" s="74"/>
      <c r="O227" s="74"/>
      <c r="P227" s="74"/>
      <c r="Q227" s="74"/>
      <c r="R227" s="74"/>
      <c r="S227" s="74"/>
      <c r="T227" s="74"/>
      <c r="U227" s="74"/>
      <c r="V227" s="74"/>
      <c r="W227" s="74"/>
      <c r="X227" s="74"/>
      <c r="Y227" s="74"/>
      <c r="Z227" s="74"/>
    </row>
    <row r="228" spans="1:26" x14ac:dyDescent="0.3">
      <c r="A228" s="66">
        <f t="shared" si="26"/>
        <v>2012.0999999999799</v>
      </c>
      <c r="B228" s="67">
        <f>LOOKUP(A228+0.01,AmountsB!$A$4:$A$103,AmountsB!$B$4:$B$103)*0.1*$A$2</f>
        <v>4082.8640849999997</v>
      </c>
      <c r="C228" s="68">
        <f t="shared" si="25"/>
        <v>421661.87124245951</v>
      </c>
      <c r="D228" s="67">
        <f t="array" ref="D228">SUM($B$7:$B223*$F$1009*EXP(-$F$1009*($A228-$A$7:$A223)))*$F$1010</f>
        <v>56333730.502354614</v>
      </c>
      <c r="E228" s="67">
        <f t="shared" si="23"/>
        <v>107.39528405758057</v>
      </c>
      <c r="F228" s="70">
        <f t="shared" si="27"/>
        <v>6.5210416479762925</v>
      </c>
      <c r="G228" s="67">
        <f>E228/'Lookup Tables'!$C$48</f>
        <v>214.79056811516114</v>
      </c>
      <c r="H228" s="70">
        <f t="shared" si="24"/>
        <v>0.13386783380327696</v>
      </c>
      <c r="I228" s="71">
        <f t="shared" si="28"/>
        <v>0.30929841808583203</v>
      </c>
      <c r="L228" s="74"/>
      <c r="M228" s="74"/>
      <c r="N228" s="74"/>
      <c r="O228" s="74"/>
      <c r="P228" s="74"/>
      <c r="Q228" s="74"/>
      <c r="R228" s="74"/>
      <c r="S228" s="74"/>
      <c r="T228" s="74"/>
      <c r="U228" s="74"/>
      <c r="V228" s="74"/>
      <c r="W228" s="74"/>
      <c r="X228" s="74"/>
      <c r="Y228" s="74"/>
      <c r="Z228" s="74"/>
    </row>
    <row r="229" spans="1:26" x14ac:dyDescent="0.3">
      <c r="A229" s="66">
        <f t="shared" si="26"/>
        <v>2012.1999999999798</v>
      </c>
      <c r="B229" s="67">
        <f>LOOKUP(A229+0.01,AmountsB!$A$4:$A$103,AmountsB!$B$4:$B$103)*0.1*$A$2</f>
        <v>4082.8640849999997</v>
      </c>
      <c r="C229" s="68">
        <f t="shared" si="25"/>
        <v>425744.73532745952</v>
      </c>
      <c r="D229" s="67">
        <f t="array" ref="D229">SUM($B$7:$B224*$F$1009*EXP(-$F$1009*($A229-$A$7:$A224)))*$F$1010</f>
        <v>56712790.182833627</v>
      </c>
      <c r="E229" s="67">
        <f t="shared" si="23"/>
        <v>108.11792787500214</v>
      </c>
      <c r="F229" s="70">
        <f t="shared" si="27"/>
        <v>6.5649205805701296</v>
      </c>
      <c r="G229" s="67">
        <f>E229/'Lookup Tables'!$C$48</f>
        <v>216.23585575000428</v>
      </c>
      <c r="H229" s="70">
        <f t="shared" si="24"/>
        <v>0.13347618461422214</v>
      </c>
      <c r="I229" s="71">
        <f t="shared" si="28"/>
        <v>0.3113796322800062</v>
      </c>
      <c r="L229" s="74"/>
      <c r="M229" s="74"/>
      <c r="N229" s="74"/>
      <c r="O229" s="74"/>
      <c r="P229" s="74"/>
      <c r="Q229" s="74"/>
      <c r="R229" s="74"/>
      <c r="S229" s="74"/>
      <c r="T229" s="74"/>
      <c r="U229" s="74"/>
      <c r="V229" s="74"/>
      <c r="W229" s="74"/>
      <c r="X229" s="74"/>
      <c r="Y229" s="74"/>
      <c r="Z229" s="74"/>
    </row>
    <row r="230" spans="1:26" x14ac:dyDescent="0.3">
      <c r="A230" s="66">
        <f t="shared" si="26"/>
        <v>2012.2999999999797</v>
      </c>
      <c r="B230" s="67">
        <f>LOOKUP(A230+0.01,AmountsB!$A$4:$A$103,AmountsB!$B$4:$B$103)*0.1*$A$2</f>
        <v>4082.8640849999997</v>
      </c>
      <c r="C230" s="68">
        <f t="shared" si="25"/>
        <v>429827.59941245953</v>
      </c>
      <c r="D230" s="67">
        <f t="array" ref="D230">SUM($B$7:$B225*$F$1009*EXP(-$F$1009*($A230-$A$7:$A225)))*$F$1010</f>
        <v>57089205.710879788</v>
      </c>
      <c r="E230" s="67">
        <f t="shared" si="23"/>
        <v>108.83553084923641</v>
      </c>
      <c r="F230" s="70">
        <f t="shared" si="27"/>
        <v>6.6084934331656342</v>
      </c>
      <c r="G230" s="67">
        <f>E230/'Lookup Tables'!$C$48</f>
        <v>217.67106169847281</v>
      </c>
      <c r="H230" s="70">
        <f t="shared" si="24"/>
        <v>0.13308581182909601</v>
      </c>
      <c r="I230" s="71">
        <f t="shared" si="28"/>
        <v>0.31344632884580081</v>
      </c>
      <c r="L230" s="74"/>
      <c r="M230" s="74"/>
      <c r="N230" s="74"/>
      <c r="O230" s="74"/>
      <c r="P230" s="74"/>
      <c r="Q230" s="74"/>
      <c r="R230" s="74"/>
      <c r="S230" s="74"/>
      <c r="T230" s="74"/>
      <c r="U230" s="74"/>
      <c r="V230" s="74"/>
      <c r="W230" s="74"/>
      <c r="X230" s="74"/>
      <c r="Y230" s="74"/>
      <c r="Z230" s="74"/>
    </row>
    <row r="231" spans="1:26" x14ac:dyDescent="0.3">
      <c r="A231" s="66">
        <f t="shared" si="26"/>
        <v>2012.3999999999796</v>
      </c>
      <c r="B231" s="67">
        <f>LOOKUP(A231+0.01,AmountsB!$A$4:$A$103,AmountsB!$B$4:$B$103)*0.1*$A$2</f>
        <v>4082.8640849999997</v>
      </c>
      <c r="C231" s="68">
        <f t="shared" si="25"/>
        <v>433910.46349745954</v>
      </c>
      <c r="D231" s="67">
        <f t="array" ref="D231">SUM($B$7:$B226*$F$1009*EXP(-$F$1009*($A231-$A$7:$A226)))*$F$1010</f>
        <v>57462995.53092923</v>
      </c>
      <c r="E231" s="67">
        <f t="shared" si="23"/>
        <v>109.5481281429726</v>
      </c>
      <c r="F231" s="70">
        <f t="shared" si="27"/>
        <v>6.6517623408412963</v>
      </c>
      <c r="G231" s="67">
        <f>E231/'Lookup Tables'!$C$48</f>
        <v>219.0962562859452</v>
      </c>
      <c r="H231" s="70">
        <f t="shared" si="24"/>
        <v>0.13269672200998564</v>
      </c>
      <c r="I231" s="71">
        <f t="shared" si="28"/>
        <v>0.31549860905176108</v>
      </c>
      <c r="L231" s="74"/>
      <c r="M231" s="74"/>
      <c r="N231" s="74"/>
      <c r="O231" s="74"/>
      <c r="P231" s="74"/>
      <c r="Q231" s="74"/>
      <c r="R231" s="74"/>
      <c r="S231" s="74"/>
      <c r="T231" s="74"/>
      <c r="U231" s="74"/>
      <c r="V231" s="74"/>
      <c r="W231" s="74"/>
      <c r="X231" s="74"/>
      <c r="Y231" s="74"/>
      <c r="Z231" s="74"/>
    </row>
    <row r="232" spans="1:26" x14ac:dyDescent="0.3">
      <c r="A232" s="66">
        <f t="shared" si="26"/>
        <v>2012.4999999999795</v>
      </c>
      <c r="B232" s="67">
        <f>LOOKUP(A232+0.01,AmountsB!$A$4:$A$103,AmountsB!$B$4:$B$103)*0.1*$A$2</f>
        <v>4082.8640849999997</v>
      </c>
      <c r="C232" s="68">
        <f t="shared" si="25"/>
        <v>437993.32758245955</v>
      </c>
      <c r="D232" s="67">
        <f t="array" ref="D232">SUM($B$7:$B227*$F$1009*EXP(-$F$1009*($A232-$A$7:$A227)))*$F$1010</f>
        <v>57884447.167683192</v>
      </c>
      <c r="E232" s="67">
        <f t="shared" si="23"/>
        <v>110.35158848266789</v>
      </c>
      <c r="F232" s="70">
        <f t="shared" si="27"/>
        <v>6.7005484526675936</v>
      </c>
      <c r="G232" s="67">
        <f>E232/'Lookup Tables'!$C$48</f>
        <v>220.70317696533579</v>
      </c>
      <c r="H232" s="70">
        <f t="shared" si="24"/>
        <v>0.13242392350274018</v>
      </c>
      <c r="I232" s="71">
        <f t="shared" si="28"/>
        <v>0.31781257483008352</v>
      </c>
      <c r="L232" s="74"/>
      <c r="M232" s="74"/>
      <c r="N232" s="74"/>
      <c r="O232" s="74"/>
      <c r="P232" s="74"/>
      <c r="Q232" s="74"/>
      <c r="R232" s="74"/>
      <c r="S232" s="74"/>
      <c r="T232" s="74"/>
      <c r="U232" s="74"/>
      <c r="V232" s="74"/>
      <c r="W232" s="74"/>
      <c r="X232" s="74"/>
      <c r="Y232" s="74"/>
      <c r="Z232" s="74"/>
    </row>
    <row r="233" spans="1:26" x14ac:dyDescent="0.3">
      <c r="A233" s="66">
        <f t="shared" si="26"/>
        <v>2012.5999999999794</v>
      </c>
      <c r="B233" s="67">
        <f>LOOKUP(A233+0.01,AmountsB!$A$4:$A$103,AmountsB!$B$4:$B$103)*0.1*$A$2</f>
        <v>4082.8640849999997</v>
      </c>
      <c r="C233" s="68">
        <f t="shared" si="25"/>
        <v>442076.19166745956</v>
      </c>
      <c r="D233" s="67">
        <f t="array" ref="D233">SUM($B$7:$B228*$F$1009*EXP(-$F$1009*($A233-$A$7:$A228)))*$F$1010</f>
        <v>58302958.944494076</v>
      </c>
      <c r="E233" s="67">
        <f t="shared" si="23"/>
        <v>111.14944423891271</v>
      </c>
      <c r="F233" s="70">
        <f t="shared" si="27"/>
        <v>6.7489942541867789</v>
      </c>
      <c r="G233" s="67">
        <f>E233/'Lookup Tables'!$C$48</f>
        <v>222.29888847782541</v>
      </c>
      <c r="H233" s="70">
        <f t="shared" si="24"/>
        <v>0.13214950045515586</v>
      </c>
      <c r="I233" s="71">
        <f t="shared" si="28"/>
        <v>0.32011039940806857</v>
      </c>
      <c r="L233" s="74"/>
      <c r="M233" s="74"/>
      <c r="N233" s="74"/>
      <c r="O233" s="74"/>
      <c r="P233" s="74"/>
      <c r="Q233" s="74"/>
      <c r="R233" s="74"/>
      <c r="S233" s="74"/>
      <c r="T233" s="74"/>
      <c r="U233" s="74"/>
      <c r="V233" s="74"/>
      <c r="W233" s="74"/>
      <c r="X233" s="74"/>
      <c r="Y233" s="74"/>
      <c r="Z233" s="74"/>
    </row>
    <row r="234" spans="1:26" x14ac:dyDescent="0.3">
      <c r="A234" s="66">
        <f t="shared" si="26"/>
        <v>2012.6999999999794</v>
      </c>
      <c r="B234" s="67">
        <f>LOOKUP(A234+0.01,AmountsB!$A$4:$A$103,AmountsB!$B$4:$B$103)*0.1*$A$2</f>
        <v>4082.8640849999997</v>
      </c>
      <c r="C234" s="68">
        <f t="shared" si="25"/>
        <v>446159.05575245956</v>
      </c>
      <c r="D234" s="67">
        <f t="array" ref="D234">SUM($B$7:$B229*$F$1009*EXP(-$F$1009*($A234-$A$7:$A229)))*$F$1010</f>
        <v>58718551.368522719</v>
      </c>
      <c r="E234" s="67">
        <f t="shared" si="23"/>
        <v>111.94173450679881</v>
      </c>
      <c r="F234" s="70">
        <f t="shared" si="27"/>
        <v>6.7971021192528234</v>
      </c>
      <c r="G234" s="67">
        <f>E234/'Lookup Tables'!$C$48</f>
        <v>223.88346901359762</v>
      </c>
      <c r="H234" s="70">
        <f t="shared" si="24"/>
        <v>0.13187354352259853</v>
      </c>
      <c r="I234" s="71">
        <f t="shared" si="28"/>
        <v>0.32239219537958053</v>
      </c>
      <c r="L234" s="74"/>
      <c r="M234" s="74"/>
      <c r="N234" s="74"/>
      <c r="O234" s="74"/>
      <c r="P234" s="74"/>
      <c r="Q234" s="74"/>
      <c r="R234" s="74"/>
      <c r="S234" s="74"/>
      <c r="T234" s="74"/>
      <c r="U234" s="74"/>
      <c r="V234" s="74"/>
      <c r="W234" s="74"/>
      <c r="X234" s="74"/>
      <c r="Y234" s="74"/>
      <c r="Z234" s="74"/>
    </row>
    <row r="235" spans="1:26" x14ac:dyDescent="0.3">
      <c r="A235" s="66">
        <f t="shared" si="26"/>
        <v>2012.7999999999793</v>
      </c>
      <c r="B235" s="67">
        <f>LOOKUP(A235+0.01,AmountsB!$A$4:$A$103,AmountsB!$B$4:$B$103)*0.1*$A$2</f>
        <v>4082.8640849999997</v>
      </c>
      <c r="C235" s="68">
        <f t="shared" si="25"/>
        <v>450241.91983745957</v>
      </c>
      <c r="D235" s="67">
        <f t="array" ref="D235">SUM($B$7:$B230*$F$1009*EXP(-$F$1009*($A235-$A$7:$A230)))*$F$1010</f>
        <v>59131244.803881027</v>
      </c>
      <c r="E235" s="67">
        <f t="shared" si="23"/>
        <v>112.72849810870783</v>
      </c>
      <c r="F235" s="70">
        <f t="shared" si="27"/>
        <v>6.8448744051607395</v>
      </c>
      <c r="G235" s="67">
        <f>E235/'Lookup Tables'!$C$48</f>
        <v>225.45699621741565</v>
      </c>
      <c r="H235" s="70">
        <f t="shared" si="24"/>
        <v>0.13159613975377177</v>
      </c>
      <c r="I235" s="71">
        <f t="shared" si="28"/>
        <v>0.32465807455307855</v>
      </c>
      <c r="L235" s="74"/>
      <c r="M235" s="74"/>
      <c r="N235" s="74"/>
      <c r="O235" s="74"/>
      <c r="P235" s="74"/>
      <c r="Q235" s="74"/>
      <c r="R235" s="74"/>
      <c r="S235" s="74"/>
      <c r="T235" s="74"/>
      <c r="U235" s="74"/>
      <c r="V235" s="74"/>
      <c r="W235" s="74"/>
      <c r="X235" s="74"/>
      <c r="Y235" s="74"/>
      <c r="Z235" s="74"/>
    </row>
    <row r="236" spans="1:26" x14ac:dyDescent="0.3">
      <c r="A236" s="66">
        <f t="shared" si="26"/>
        <v>2012.8999999999792</v>
      </c>
      <c r="B236" s="67">
        <f>LOOKUP(A236+0.01,AmountsB!$A$4:$A$103,AmountsB!$B$4:$B$103)*0.1*$A$2</f>
        <v>4082.8640849999997</v>
      </c>
      <c r="C236" s="68">
        <f t="shared" si="25"/>
        <v>454324.78392245958</v>
      </c>
      <c r="D236" s="67">
        <f t="array" ref="D236">SUM($B$7:$B231*$F$1009*EXP(-$F$1009*($A236-$A$7:$A231)))*$F$1010</f>
        <v>59541059.47262992</v>
      </c>
      <c r="E236" s="67">
        <f t="shared" si="23"/>
        <v>113.50977359621369</v>
      </c>
      <c r="F236" s="70">
        <f t="shared" si="27"/>
        <v>6.8923134527620951</v>
      </c>
      <c r="G236" s="67">
        <f>E236/'Lookup Tables'!$C$48</f>
        <v>227.01954719242738</v>
      </c>
      <c r="H236" s="70">
        <f t="shared" si="24"/>
        <v>0.13131737275497679</v>
      </c>
      <c r="I236" s="71">
        <f t="shared" si="28"/>
        <v>0.32690814795709539</v>
      </c>
      <c r="L236" s="74"/>
      <c r="M236" s="74"/>
      <c r="N236" s="74"/>
      <c r="O236" s="74"/>
      <c r="P236" s="74"/>
      <c r="Q236" s="74"/>
      <c r="R236" s="74"/>
      <c r="S236" s="74"/>
      <c r="T236" s="74"/>
      <c r="U236" s="74"/>
      <c r="V236" s="74"/>
      <c r="W236" s="74"/>
      <c r="X236" s="74"/>
      <c r="Y236" s="74"/>
      <c r="Z236" s="74"/>
    </row>
    <row r="237" spans="1:26" x14ac:dyDescent="0.3">
      <c r="A237" s="66">
        <f t="shared" si="26"/>
        <v>2012.9999999999791</v>
      </c>
      <c r="B237" s="67">
        <f>LOOKUP(A237+0.01,AmountsB!$A$4:$A$103,AmountsB!$B$4:$B$103)*0.1*$A$2</f>
        <v>4164.5213667000007</v>
      </c>
      <c r="C237" s="68">
        <f t="shared" si="25"/>
        <v>458489.30528915959</v>
      </c>
      <c r="D237" s="67">
        <f t="array" ref="D237">SUM($B$7:$B232*$F$1009*EXP(-$F$1009*($A237-$A$7:$A232)))*$F$1010</f>
        <v>59948015.45577015</v>
      </c>
      <c r="E237" s="67">
        <f t="shared" si="23"/>
        <v>114.28559925197156</v>
      </c>
      <c r="F237" s="70">
        <f t="shared" si="27"/>
        <v>6.939421586579714</v>
      </c>
      <c r="G237" s="67">
        <f>E237/'Lookup Tables'!$C$48</f>
        <v>228.57119850394312</v>
      </c>
      <c r="H237" s="70">
        <f t="shared" si="24"/>
        <v>0.1310139850022288</v>
      </c>
      <c r="I237" s="71">
        <f t="shared" si="28"/>
        <v>0.3291425258456781</v>
      </c>
      <c r="L237" s="74"/>
      <c r="M237" s="74"/>
      <c r="N237" s="74"/>
      <c r="O237" s="74"/>
      <c r="P237" s="74"/>
      <c r="Q237" s="74"/>
      <c r="R237" s="74"/>
      <c r="S237" s="74"/>
      <c r="T237" s="74"/>
      <c r="U237" s="74"/>
      <c r="V237" s="74"/>
      <c r="W237" s="74"/>
      <c r="X237" s="74"/>
      <c r="Y237" s="74"/>
      <c r="Z237" s="74"/>
    </row>
    <row r="238" spans="1:26" x14ac:dyDescent="0.3">
      <c r="A238" s="66">
        <f t="shared" si="26"/>
        <v>2013.099999999979</v>
      </c>
      <c r="B238" s="67">
        <f>LOOKUP(A238+0.01,AmountsB!$A$4:$A$103,AmountsB!$B$4:$B$103)*0.1*$A$2</f>
        <v>4164.5213667000007</v>
      </c>
      <c r="C238" s="68">
        <f t="shared" si="25"/>
        <v>462653.82665585959</v>
      </c>
      <c r="D238" s="67">
        <f t="array" ref="D238">SUM($B$7:$B233*$F$1009*EXP(-$F$1009*($A238-$A$7:$A233)))*$F$1010</f>
        <v>60352132.694226339</v>
      </c>
      <c r="E238" s="67">
        <f t="shared" si="23"/>
        <v>115.05601309159387</v>
      </c>
      <c r="F238" s="70">
        <f t="shared" si="27"/>
        <v>6.9862011149215792</v>
      </c>
      <c r="G238" s="67">
        <f>E238/'Lookup Tables'!$C$48</f>
        <v>230.11202618318774</v>
      </c>
      <c r="H238" s="70">
        <f t="shared" si="24"/>
        <v>0.13070991094584483</v>
      </c>
      <c r="I238" s="71">
        <f t="shared" si="28"/>
        <v>0.33136131770379035</v>
      </c>
      <c r="L238" s="74"/>
      <c r="M238" s="74"/>
      <c r="N238" s="74"/>
      <c r="O238" s="74"/>
      <c r="P238" s="74"/>
      <c r="Q238" s="74"/>
      <c r="R238" s="74"/>
      <c r="S238" s="74"/>
      <c r="T238" s="74"/>
      <c r="U238" s="74"/>
      <c r="V238" s="74"/>
      <c r="W238" s="74"/>
      <c r="X238" s="74"/>
      <c r="Y238" s="74"/>
      <c r="Z238" s="74"/>
    </row>
    <row r="239" spans="1:26" x14ac:dyDescent="0.3">
      <c r="A239" s="66">
        <f t="shared" si="26"/>
        <v>2013.1999999999789</v>
      </c>
      <c r="B239" s="67">
        <f>LOOKUP(A239+0.01,AmountsB!$A$4:$A$103,AmountsB!$B$4:$B$103)*0.1*$A$2</f>
        <v>4164.5213667000007</v>
      </c>
      <c r="C239" s="68">
        <f t="shared" si="25"/>
        <v>466818.3480225596</v>
      </c>
      <c r="D239" s="67">
        <f t="array" ref="D239">SUM($B$7:$B234*$F$1009*EXP(-$F$1009*($A239-$A$7:$A234)))*$F$1010</f>
        <v>60753430.989824027</v>
      </c>
      <c r="E239" s="67">
        <f t="shared" si="23"/>
        <v>115.8210528655129</v>
      </c>
      <c r="F239" s="70">
        <f t="shared" si="27"/>
        <v>7.0326543299939424</v>
      </c>
      <c r="G239" s="67">
        <f>E239/'Lookup Tables'!$C$48</f>
        <v>231.64210573102579</v>
      </c>
      <c r="H239" s="70">
        <f t="shared" si="24"/>
        <v>0.13040521145748041</v>
      </c>
      <c r="I239" s="71">
        <f t="shared" si="28"/>
        <v>0.33356463225267713</v>
      </c>
      <c r="L239" s="74"/>
      <c r="M239" s="74"/>
      <c r="N239" s="74"/>
      <c r="O239" s="74"/>
      <c r="P239" s="74"/>
      <c r="Q239" s="74"/>
      <c r="R239" s="74"/>
      <c r="S239" s="74"/>
      <c r="T239" s="74"/>
      <c r="U239" s="74"/>
      <c r="V239" s="74"/>
      <c r="W239" s="74"/>
      <c r="X239" s="74"/>
      <c r="Y239" s="74"/>
      <c r="Z239" s="74"/>
    </row>
    <row r="240" spans="1:26" x14ac:dyDescent="0.3">
      <c r="A240" s="66">
        <f t="shared" si="26"/>
        <v>2013.2999999999788</v>
      </c>
      <c r="B240" s="67">
        <f>LOOKUP(A240+0.01,AmountsB!$A$4:$A$103,AmountsB!$B$4:$B$103)*0.1*$A$2</f>
        <v>4164.5213667000007</v>
      </c>
      <c r="C240" s="68">
        <f t="shared" si="25"/>
        <v>470982.86938925961</v>
      </c>
      <c r="D240" s="67">
        <f t="array" ref="D240">SUM($B$7:$B235*$F$1009*EXP(-$F$1009*($A240-$A$7:$A235)))*$F$1010</f>
        <v>61151930.006259978</v>
      </c>
      <c r="E240" s="67">
        <f t="shared" si="23"/>
        <v>116.58075606083061</v>
      </c>
      <c r="F240" s="70">
        <f t="shared" si="27"/>
        <v>7.0787835080136343</v>
      </c>
      <c r="G240" s="67">
        <f>E240/'Lookup Tables'!$C$48</f>
        <v>233.16151212166122</v>
      </c>
      <c r="H240" s="70">
        <f t="shared" si="24"/>
        <v>0.13009994496196828</v>
      </c>
      <c r="I240" s="71">
        <f t="shared" si="28"/>
        <v>0.3357525774551921</v>
      </c>
      <c r="L240" s="74"/>
      <c r="M240" s="74"/>
      <c r="N240" s="74"/>
      <c r="O240" s="74"/>
      <c r="P240" s="74"/>
      <c r="Q240" s="74"/>
      <c r="R240" s="74"/>
      <c r="S240" s="74"/>
      <c r="T240" s="74"/>
      <c r="U240" s="74"/>
      <c r="V240" s="74"/>
      <c r="W240" s="74"/>
      <c r="X240" s="74"/>
      <c r="Y240" s="74"/>
      <c r="Z240" s="74"/>
    </row>
    <row r="241" spans="1:26" x14ac:dyDescent="0.3">
      <c r="A241" s="66">
        <f t="shared" si="26"/>
        <v>2013.3999999999787</v>
      </c>
      <c r="B241" s="67">
        <f>LOOKUP(A241+0.01,AmountsB!$A$4:$A$103,AmountsB!$B$4:$B$103)*0.1*$A$2</f>
        <v>4164.5213667000007</v>
      </c>
      <c r="C241" s="68">
        <f t="shared" si="25"/>
        <v>475147.39075595961</v>
      </c>
      <c r="D241" s="67">
        <f t="array" ref="D241">SUM($B$7:$B236*$F$1009*EXP(-$F$1009*($A241-$A$7:$A236)))*$F$1010</f>
        <v>61547649.270065732</v>
      </c>
      <c r="E241" s="67">
        <f t="shared" si="23"/>
        <v>117.33515990315557</v>
      </c>
      <c r="F241" s="70">
        <f t="shared" si="27"/>
        <v>7.1245909093196067</v>
      </c>
      <c r="G241" s="67">
        <f>E241/'Lookup Tables'!$C$48</f>
        <v>234.67031980631114</v>
      </c>
      <c r="H241" s="70">
        <f t="shared" si="24"/>
        <v>0.12979416754657835</v>
      </c>
      <c r="I241" s="71">
        <f t="shared" si="28"/>
        <v>0.33792526052108801</v>
      </c>
      <c r="L241" s="74"/>
      <c r="M241" s="74"/>
      <c r="N241" s="74"/>
      <c r="O241" s="74"/>
      <c r="P241" s="74"/>
      <c r="Q241" s="74"/>
      <c r="R241" s="74"/>
      <c r="S241" s="74"/>
      <c r="T241" s="74"/>
      <c r="U241" s="74"/>
      <c r="V241" s="74"/>
      <c r="W241" s="74"/>
      <c r="X241" s="74"/>
      <c r="Y241" s="74"/>
      <c r="Z241" s="74"/>
    </row>
    <row r="242" spans="1:26" x14ac:dyDescent="0.3">
      <c r="A242" s="66">
        <f t="shared" si="26"/>
        <v>2013.4999999999786</v>
      </c>
      <c r="B242" s="67">
        <f>LOOKUP(A242+0.01,AmountsB!$A$4:$A$103,AmountsB!$B$4:$B$103)*0.1*$A$2</f>
        <v>4164.5213667000007</v>
      </c>
      <c r="C242" s="68">
        <f t="shared" si="25"/>
        <v>479311.91212265962</v>
      </c>
      <c r="D242" s="67">
        <f t="array" ref="D242">SUM($B$7:$B237*$F$1009*EXP(-$F$1009*($A242-$A$7:$A237)))*$F$1010</f>
        <v>61957053.932390511</v>
      </c>
      <c r="E242" s="67">
        <f t="shared" si="23"/>
        <v>118.11565374960925</v>
      </c>
      <c r="F242" s="70">
        <f t="shared" si="27"/>
        <v>7.1719824956762732</v>
      </c>
      <c r="G242" s="67">
        <f>E242/'Lookup Tables'!$C$48</f>
        <v>236.2313074992185</v>
      </c>
      <c r="H242" s="70">
        <f t="shared" si="24"/>
        <v>0.1295223132174263</v>
      </c>
      <c r="I242" s="71">
        <f t="shared" si="28"/>
        <v>0.34017308279887465</v>
      </c>
      <c r="L242" s="74"/>
      <c r="M242" s="74"/>
      <c r="N242" s="74"/>
      <c r="O242" s="74"/>
      <c r="P242" s="74"/>
      <c r="Q242" s="74"/>
      <c r="R242" s="74"/>
      <c r="S242" s="74"/>
      <c r="T242" s="74"/>
      <c r="U242" s="74"/>
      <c r="V242" s="74"/>
      <c r="W242" s="74"/>
      <c r="X242" s="74"/>
      <c r="Y242" s="74"/>
      <c r="Z242" s="74"/>
    </row>
    <row r="243" spans="1:26" x14ac:dyDescent="0.3">
      <c r="A243" s="66">
        <f t="shared" si="26"/>
        <v>2013.5999999999785</v>
      </c>
      <c r="B243" s="67">
        <f>LOOKUP(A243+0.01,AmountsB!$A$4:$A$103,AmountsB!$B$4:$B$103)*0.1*$A$2</f>
        <v>4164.5213667000007</v>
      </c>
      <c r="C243" s="68">
        <f t="shared" si="25"/>
        <v>483476.43348935962</v>
      </c>
      <c r="D243" s="67">
        <f t="array" ref="D243">SUM($B$7:$B238*$F$1009*EXP(-$F$1009*($A243-$A$7:$A238)))*$F$1010</f>
        <v>62363602.769129865</v>
      </c>
      <c r="E243" s="67">
        <f t="shared" si="23"/>
        <v>118.89070321669676</v>
      </c>
      <c r="F243" s="70">
        <f t="shared" si="27"/>
        <v>7.2190434993178281</v>
      </c>
      <c r="G243" s="67">
        <f>E243/'Lookup Tables'!$C$48</f>
        <v>237.78140643339353</v>
      </c>
      <c r="H243" s="70">
        <f t="shared" si="24"/>
        <v>0.12924922350340592</v>
      </c>
      <c r="I243" s="71">
        <f t="shared" si="28"/>
        <v>0.34240522526408668</v>
      </c>
      <c r="L243" s="74"/>
      <c r="M243" s="74"/>
      <c r="N243" s="74"/>
      <c r="O243" s="74"/>
      <c r="P243" s="74"/>
      <c r="Q243" s="74"/>
      <c r="R243" s="74"/>
      <c r="S243" s="74"/>
      <c r="T243" s="74"/>
      <c r="U243" s="74"/>
      <c r="V243" s="74"/>
      <c r="W243" s="74"/>
      <c r="X243" s="74"/>
      <c r="Y243" s="74"/>
      <c r="Z243" s="74"/>
    </row>
    <row r="244" spans="1:26" x14ac:dyDescent="0.3">
      <c r="A244" s="66">
        <f t="shared" si="26"/>
        <v>2013.6999999999784</v>
      </c>
      <c r="B244" s="67">
        <f>LOOKUP(A244+0.01,AmountsB!$A$4:$A$103,AmountsB!$B$4:$B$103)*0.1*$A$2</f>
        <v>4164.5213667000007</v>
      </c>
      <c r="C244" s="68">
        <f t="shared" si="25"/>
        <v>487640.95485605963</v>
      </c>
      <c r="D244" s="67">
        <f t="array" ref="D244">SUM($B$7:$B239*$F$1009*EXP(-$F$1009*($A244-$A$7:$A239)))*$F$1010</f>
        <v>62767315.701258101</v>
      </c>
      <c r="E244" s="67">
        <f t="shared" si="23"/>
        <v>119.66034628199701</v>
      </c>
      <c r="F244" s="70">
        <f t="shared" si="27"/>
        <v>7.2657762262428589</v>
      </c>
      <c r="G244" s="67">
        <f>E244/'Lookup Tables'!$C$48</f>
        <v>239.32069256399402</v>
      </c>
      <c r="H244" s="70">
        <f t="shared" si="24"/>
        <v>0.12897497098942876</v>
      </c>
      <c r="I244" s="71">
        <f t="shared" si="28"/>
        <v>0.34462179729215137</v>
      </c>
      <c r="L244" s="74"/>
      <c r="M244" s="74"/>
      <c r="N244" s="74"/>
      <c r="O244" s="74"/>
      <c r="P244" s="74"/>
      <c r="Q244" s="74"/>
      <c r="R244" s="74"/>
      <c r="S244" s="74"/>
      <c r="T244" s="74"/>
      <c r="U244" s="74"/>
      <c r="V244" s="74"/>
      <c r="W244" s="74"/>
      <c r="X244" s="74"/>
      <c r="Y244" s="74"/>
      <c r="Z244" s="74"/>
    </row>
    <row r="245" spans="1:26" x14ac:dyDescent="0.3">
      <c r="A245" s="66">
        <f t="shared" si="26"/>
        <v>2013.7999999999784</v>
      </c>
      <c r="B245" s="67">
        <f>LOOKUP(A245+0.01,AmountsB!$A$4:$A$103,AmountsB!$B$4:$B$103)*0.1*$A$2</f>
        <v>4164.5213667000007</v>
      </c>
      <c r="C245" s="68">
        <f t="shared" si="25"/>
        <v>491805.47622275964</v>
      </c>
      <c r="D245" s="67">
        <f t="array" ref="D245">SUM($B$7:$B240*$F$1009*EXP(-$F$1009*($A245-$A$7:$A240)))*$F$1010</f>
        <v>63168212.5107897</v>
      </c>
      <c r="E245" s="67">
        <f t="shared" si="23"/>
        <v>120.42462065817426</v>
      </c>
      <c r="F245" s="70">
        <f t="shared" si="27"/>
        <v>7.3121829663643405</v>
      </c>
      <c r="G245" s="67">
        <f>E245/'Lookup Tables'!$C$48</f>
        <v>240.84924131634853</v>
      </c>
      <c r="H245" s="70">
        <f t="shared" si="24"/>
        <v>0.12869962551874331</v>
      </c>
      <c r="I245" s="71">
        <f t="shared" si="28"/>
        <v>0.34682290749554184</v>
      </c>
      <c r="L245" s="74"/>
      <c r="M245" s="74"/>
      <c r="N245" s="74"/>
      <c r="O245" s="74"/>
      <c r="P245" s="74"/>
      <c r="Q245" s="74"/>
      <c r="R245" s="74"/>
      <c r="S245" s="74"/>
      <c r="T245" s="74"/>
      <c r="U245" s="74"/>
      <c r="V245" s="74"/>
      <c r="W245" s="74"/>
      <c r="X245" s="74"/>
      <c r="Y245" s="74"/>
      <c r="Z245" s="74"/>
    </row>
    <row r="246" spans="1:26" x14ac:dyDescent="0.3">
      <c r="A246" s="66">
        <f t="shared" si="26"/>
        <v>2013.8999999999783</v>
      </c>
      <c r="B246" s="67">
        <f>LOOKUP(A246+0.01,AmountsB!$A$4:$A$103,AmountsB!$B$4:$B$103)*0.1*$A$2</f>
        <v>4164.5213667000007</v>
      </c>
      <c r="C246" s="68">
        <f t="shared" si="25"/>
        <v>495969.99758945964</v>
      </c>
      <c r="D246" s="67">
        <f t="array" ref="D246">SUM($B$7:$B241*$F$1009*EXP(-$F$1009*($A246-$A$7:$A241)))*$F$1010</f>
        <v>63566312.841748536</v>
      </c>
      <c r="E246" s="67">
        <f t="shared" si="23"/>
        <v>121.18356379482583</v>
      </c>
      <c r="F246" s="70">
        <f t="shared" si="27"/>
        <v>7.3582659936218242</v>
      </c>
      <c r="G246" s="67">
        <f>E246/'Lookup Tables'!$C$48</f>
        <v>242.36712758965166</v>
      </c>
      <c r="H246" s="70">
        <f t="shared" si="24"/>
        <v>0.12842325430999837</v>
      </c>
      <c r="I246" s="71">
        <f t="shared" si="28"/>
        <v>0.34900866372909839</v>
      </c>
      <c r="L246" s="74"/>
      <c r="M246" s="74"/>
      <c r="N246" s="74"/>
      <c r="O246" s="74"/>
      <c r="P246" s="74"/>
      <c r="Q246" s="74"/>
      <c r="R246" s="74"/>
      <c r="S246" s="74"/>
      <c r="T246" s="74"/>
      <c r="U246" s="74"/>
      <c r="V246" s="74"/>
      <c r="W246" s="74"/>
      <c r="X246" s="74"/>
      <c r="Y246" s="74"/>
      <c r="Z246" s="74"/>
    </row>
    <row r="247" spans="1:26" x14ac:dyDescent="0.3">
      <c r="A247" s="66">
        <f t="shared" si="26"/>
        <v>2013.9999999999782</v>
      </c>
      <c r="B247" s="67">
        <f>LOOKUP(A247+0.01,AmountsB!$A$4:$A$103,AmountsB!$B$4:$B$103)*0.1*$A$2</f>
        <v>4247.8117940339998</v>
      </c>
      <c r="C247" s="68">
        <f t="shared" si="25"/>
        <v>500217.80938349362</v>
      </c>
      <c r="D247" s="67">
        <f t="array" ref="D247">SUM($B$7:$B242*$F$1009*EXP(-$F$1009*($A247-$A$7:$A242)))*$F$1010</f>
        <v>63961636.201130465</v>
      </c>
      <c r="E247" s="67">
        <f t="shared" si="23"/>
        <v>121.93721288031723</v>
      </c>
      <c r="F247" s="70">
        <f t="shared" si="27"/>
        <v>7.4040275660928625</v>
      </c>
      <c r="G247" s="67">
        <f>E247/'Lookup Tables'!$C$48</f>
        <v>243.87442576063447</v>
      </c>
      <c r="H247" s="70">
        <f t="shared" si="24"/>
        <v>0.12812458470617902</v>
      </c>
      <c r="I247" s="71">
        <f t="shared" si="28"/>
        <v>0.3511791730953136</v>
      </c>
      <c r="L247" s="74"/>
      <c r="M247" s="74"/>
      <c r="N247" s="74"/>
      <c r="O247" s="74"/>
      <c r="P247" s="74"/>
      <c r="Q247" s="74"/>
      <c r="R247" s="74"/>
      <c r="S247" s="74"/>
      <c r="T247" s="74"/>
      <c r="U247" s="74"/>
      <c r="V247" s="74"/>
      <c r="W247" s="74"/>
      <c r="X247" s="74"/>
      <c r="Y247" s="74"/>
      <c r="Z247" s="74"/>
    </row>
    <row r="248" spans="1:26" x14ac:dyDescent="0.3">
      <c r="A248" s="66">
        <f t="shared" si="26"/>
        <v>2014.0999999999781</v>
      </c>
      <c r="B248" s="67">
        <f>LOOKUP(A248+0.01,AmountsB!$A$4:$A$103,AmountsB!$B$4:$B$103)*0.1*$A$2</f>
        <v>4247.8117940339998</v>
      </c>
      <c r="C248" s="68">
        <f t="shared" si="25"/>
        <v>504465.62117752759</v>
      </c>
      <c r="D248" s="67">
        <f t="array" ref="D248">SUM($B$7:$B243*$F$1009*EXP(-$F$1009*($A248-$A$7:$A243)))*$F$1010</f>
        <v>64354201.959859207</v>
      </c>
      <c r="E248" s="67">
        <f t="shared" si="23"/>
        <v>122.68560484360449</v>
      </c>
      <c r="F248" s="70">
        <f t="shared" si="27"/>
        <v>7.4494699261036645</v>
      </c>
      <c r="G248" s="67">
        <f>E248/'Lookup Tables'!$C$48</f>
        <v>245.37120968720899</v>
      </c>
      <c r="H248" s="70">
        <f t="shared" si="24"/>
        <v>0.12782546758147861</v>
      </c>
      <c r="I248" s="71">
        <f t="shared" si="28"/>
        <v>0.35333454194958097</v>
      </c>
      <c r="L248" s="74"/>
      <c r="M248" s="74"/>
      <c r="N248" s="74"/>
      <c r="O248" s="74"/>
      <c r="P248" s="74"/>
      <c r="Q248" s="74"/>
      <c r="R248" s="74"/>
      <c r="S248" s="74"/>
      <c r="T248" s="74"/>
      <c r="U248" s="74"/>
      <c r="V248" s="74"/>
      <c r="W248" s="74"/>
      <c r="X248" s="74"/>
      <c r="Y248" s="74"/>
      <c r="Z248" s="74"/>
    </row>
    <row r="249" spans="1:26" x14ac:dyDescent="0.3">
      <c r="A249" s="66">
        <f t="shared" si="26"/>
        <v>2014.199999999978</v>
      </c>
      <c r="B249" s="67">
        <f>LOOKUP(A249+0.01,AmountsB!$A$4:$A$103,AmountsB!$B$4:$B$103)*0.1*$A$2</f>
        <v>4247.8117940339998</v>
      </c>
      <c r="C249" s="68">
        <f t="shared" si="25"/>
        <v>508713.43297156156</v>
      </c>
      <c r="D249" s="67">
        <f t="array" ref="D249">SUM($B$7:$B244*$F$1009*EXP(-$F$1009*($A249-$A$7:$A244)))*$F$1010</f>
        <v>64744029.353735469</v>
      </c>
      <c r="E249" s="67">
        <f t="shared" si="23"/>
        <v>123.42877635604354</v>
      </c>
      <c r="F249" s="70">
        <f t="shared" si="27"/>
        <v>7.4945953003389638</v>
      </c>
      <c r="G249" s="67">
        <f>E249/'Lookup Tables'!$C$48</f>
        <v>246.85755271208708</v>
      </c>
      <c r="H249" s="70">
        <f t="shared" si="24"/>
        <v>0.12752595203508832</v>
      </c>
      <c r="I249" s="71">
        <f t="shared" si="28"/>
        <v>0.35547487590540539</v>
      </c>
      <c r="L249" s="74"/>
      <c r="M249" s="74"/>
      <c r="N249" s="74"/>
      <c r="O249" s="74"/>
      <c r="P249" s="74"/>
      <c r="Q249" s="74"/>
      <c r="R249" s="74"/>
      <c r="S249" s="74"/>
      <c r="T249" s="74"/>
      <c r="U249" s="74"/>
      <c r="V249" s="74"/>
      <c r="W249" s="74"/>
      <c r="X249" s="74"/>
      <c r="Y249" s="74"/>
      <c r="Z249" s="74"/>
    </row>
    <row r="250" spans="1:26" x14ac:dyDescent="0.3">
      <c r="A250" s="66">
        <f t="shared" si="26"/>
        <v>2014.2999999999779</v>
      </c>
      <c r="B250" s="67">
        <f>LOOKUP(A250+0.01,AmountsB!$A$4:$A$103,AmountsB!$B$4:$B$103)*0.1*$A$2</f>
        <v>4247.8117940339998</v>
      </c>
      <c r="C250" s="68">
        <f t="shared" si="25"/>
        <v>512961.24476559553</v>
      </c>
      <c r="D250" s="67">
        <f t="array" ref="D250">SUM($B$7:$B245*$F$1009*EXP(-$F$1009*($A250-$A$7:$A245)))*$F$1010</f>
        <v>65131137.484379582</v>
      </c>
      <c r="E250" s="67">
        <f t="shared" si="23"/>
        <v>124.16676383318719</v>
      </c>
      <c r="F250" s="70">
        <f t="shared" si="27"/>
        <v>7.5394058999511264</v>
      </c>
      <c r="G250" s="67">
        <f>E250/'Lookup Tables'!$C$48</f>
        <v>248.33352766637438</v>
      </c>
      <c r="H250" s="70">
        <f t="shared" si="24"/>
        <v>0.12722608527773974</v>
      </c>
      <c r="I250" s="71">
        <f t="shared" si="28"/>
        <v>0.35760027983957915</v>
      </c>
      <c r="L250" s="74"/>
      <c r="M250" s="74"/>
      <c r="N250" s="74"/>
      <c r="O250" s="74"/>
      <c r="P250" s="74"/>
      <c r="Q250" s="74"/>
      <c r="R250" s="74"/>
      <c r="S250" s="74"/>
      <c r="T250" s="74"/>
      <c r="U250" s="74"/>
      <c r="V250" s="74"/>
      <c r="W250" s="74"/>
      <c r="X250" s="74"/>
      <c r="Y250" s="74"/>
      <c r="Z250" s="74"/>
    </row>
    <row r="251" spans="1:26" x14ac:dyDescent="0.3">
      <c r="A251" s="66">
        <f t="shared" si="26"/>
        <v>2014.3999999999778</v>
      </c>
      <c r="B251" s="67">
        <f>LOOKUP(A251+0.01,AmountsB!$A$4:$A$103,AmountsB!$B$4:$B$103)*0.1*$A$2</f>
        <v>4247.8117940339998</v>
      </c>
      <c r="C251" s="68">
        <f t="shared" si="25"/>
        <v>517209.05655962951</v>
      </c>
      <c r="D251" s="67">
        <f t="array" ref="D251">SUM($B$7:$B246*$F$1009*EXP(-$F$1009*($A251-$A$7:$A246)))*$F$1010</f>
        <v>65515545.320167378</v>
      </c>
      <c r="E251" s="67">
        <f t="shared" si="23"/>
        <v>124.89960343656948</v>
      </c>
      <c r="F251" s="70">
        <f t="shared" si="27"/>
        <v>7.5839039206684991</v>
      </c>
      <c r="G251" s="67">
        <f>E251/'Lookup Tables'!$C$48</f>
        <v>249.79920687313896</v>
      </c>
      <c r="H251" s="70">
        <f t="shared" si="24"/>
        <v>0.12692591271106712</v>
      </c>
      <c r="I251" s="71">
        <f t="shared" si="28"/>
        <v>0.35971085789732005</v>
      </c>
      <c r="L251" s="74"/>
      <c r="M251" s="74"/>
      <c r="N251" s="74"/>
      <c r="O251" s="74"/>
      <c r="P251" s="74"/>
      <c r="Q251" s="74"/>
      <c r="R251" s="74"/>
      <c r="S251" s="74"/>
      <c r="T251" s="74"/>
      <c r="U251" s="74"/>
      <c r="V251" s="74"/>
      <c r="W251" s="74"/>
      <c r="X251" s="74"/>
      <c r="Y251" s="74"/>
      <c r="Z251" s="74"/>
    </row>
    <row r="252" spans="1:26" x14ac:dyDescent="0.3">
      <c r="A252" s="66">
        <f t="shared" si="26"/>
        <v>2014.4999999999777</v>
      </c>
      <c r="B252" s="67">
        <f>LOOKUP(A252+0.01,AmountsB!$A$4:$A$103,AmountsB!$B$4:$B$103)*0.1*$A$2</f>
        <v>4247.8117940339998</v>
      </c>
      <c r="C252" s="68">
        <f t="shared" si="25"/>
        <v>521456.86835366348</v>
      </c>
      <c r="D252" s="67">
        <f t="array" ref="D252">SUM($B$7:$B247*$F$1009*EXP(-$F$1009*($A252-$A$7:$A247)))*$F$1010</f>
        <v>65914046.373202369</v>
      </c>
      <c r="E252" s="67">
        <f t="shared" si="23"/>
        <v>125.65931051448347</v>
      </c>
      <c r="F252" s="70">
        <f t="shared" si="27"/>
        <v>7.6300333344394362</v>
      </c>
      <c r="G252" s="67">
        <f>E252/'Lookup Tables'!$C$48</f>
        <v>251.31862102896693</v>
      </c>
      <c r="H252" s="70">
        <f t="shared" si="24"/>
        <v>0.12665771152834504</v>
      </c>
      <c r="I252" s="71">
        <f t="shared" si="28"/>
        <v>0.36189881428171239</v>
      </c>
      <c r="L252" s="74"/>
      <c r="M252" s="74"/>
      <c r="N252" s="74"/>
      <c r="O252" s="74"/>
      <c r="P252" s="74"/>
      <c r="Q252" s="74"/>
      <c r="R252" s="74"/>
      <c r="S252" s="74"/>
      <c r="T252" s="74"/>
      <c r="U252" s="74"/>
      <c r="V252" s="74"/>
      <c r="W252" s="74"/>
      <c r="X252" s="74"/>
      <c r="Y252" s="74"/>
      <c r="Z252" s="74"/>
    </row>
    <row r="253" spans="1:26" x14ac:dyDescent="0.3">
      <c r="A253" s="66">
        <f t="shared" si="26"/>
        <v>2014.5999999999776</v>
      </c>
      <c r="B253" s="67">
        <f>LOOKUP(A253+0.01,AmountsB!$A$4:$A$103,AmountsB!$B$4:$B$103)*0.1*$A$2</f>
        <v>4247.8117940339998</v>
      </c>
      <c r="C253" s="68">
        <f t="shared" si="25"/>
        <v>525704.68014769745</v>
      </c>
      <c r="D253" s="67">
        <f t="array" ref="D253">SUM($B$7:$B248*$F$1009*EXP(-$F$1009*($A253-$A$7:$A248)))*$F$1010</f>
        <v>66309767.659400761</v>
      </c>
      <c r="E253" s="67">
        <f t="shared" si="23"/>
        <v>126.41371821232146</v>
      </c>
      <c r="F253" s="70">
        <f t="shared" si="27"/>
        <v>7.6758409698521586</v>
      </c>
      <c r="G253" s="67">
        <f>E253/'Lookup Tables'!$C$48</f>
        <v>252.82743642464291</v>
      </c>
      <c r="H253" s="70">
        <f t="shared" si="24"/>
        <v>0.12638854627226997</v>
      </c>
      <c r="I253" s="71">
        <f t="shared" si="28"/>
        <v>0.36407150845148578</v>
      </c>
      <c r="L253" s="74"/>
      <c r="M253" s="74"/>
      <c r="N253" s="74"/>
      <c r="O253" s="74"/>
      <c r="P253" s="74"/>
      <c r="Q253" s="74"/>
      <c r="R253" s="74"/>
      <c r="S253" s="74"/>
      <c r="T253" s="74"/>
      <c r="U253" s="74"/>
      <c r="V253" s="74"/>
      <c r="W253" s="74"/>
      <c r="X253" s="74"/>
      <c r="Y253" s="74"/>
      <c r="Z253" s="74"/>
    </row>
    <row r="254" spans="1:26" x14ac:dyDescent="0.3">
      <c r="A254" s="66">
        <f t="shared" si="26"/>
        <v>2014.6999999999775</v>
      </c>
      <c r="B254" s="67">
        <f>LOOKUP(A254+0.01,AmountsB!$A$4:$A$103,AmountsB!$B$4:$B$103)*0.1*$A$2</f>
        <v>4247.8117940339998</v>
      </c>
      <c r="C254" s="68">
        <f t="shared" si="25"/>
        <v>529952.49194173142</v>
      </c>
      <c r="D254" s="67">
        <f t="array" ref="D254">SUM($B$7:$B249*$F$1009*EXP(-$F$1009*($A254-$A$7:$A249)))*$F$1010</f>
        <v>66702728.56918475</v>
      </c>
      <c r="E254" s="67">
        <f t="shared" si="23"/>
        <v>127.1628634962116</v>
      </c>
      <c r="F254" s="70">
        <f t="shared" si="27"/>
        <v>7.7213290714899685</v>
      </c>
      <c r="G254" s="67">
        <f>E254/'Lookup Tables'!$C$48</f>
        <v>254.3257269924232</v>
      </c>
      <c r="H254" s="70">
        <f t="shared" si="24"/>
        <v>0.12611847678783544</v>
      </c>
      <c r="I254" s="71">
        <f t="shared" si="28"/>
        <v>0.36622904686908936</v>
      </c>
      <c r="L254" s="74"/>
      <c r="M254" s="74"/>
      <c r="N254" s="74"/>
      <c r="O254" s="74"/>
      <c r="P254" s="74"/>
      <c r="Q254" s="74"/>
      <c r="R254" s="74"/>
      <c r="S254" s="74"/>
      <c r="T254" s="74"/>
      <c r="U254" s="74"/>
      <c r="V254" s="74"/>
      <c r="W254" s="74"/>
      <c r="X254" s="74"/>
      <c r="Y254" s="74"/>
      <c r="Z254" s="74"/>
    </row>
    <row r="255" spans="1:26" x14ac:dyDescent="0.3">
      <c r="A255" s="66">
        <f t="shared" si="26"/>
        <v>2014.7999999999774</v>
      </c>
      <c r="B255" s="67">
        <f>LOOKUP(A255+0.01,AmountsB!$A$4:$A$103,AmountsB!$B$4:$B$103)*0.1*$A$2</f>
        <v>4247.8117940339998</v>
      </c>
      <c r="C255" s="68">
        <f t="shared" si="25"/>
        <v>534200.3037357654</v>
      </c>
      <c r="D255" s="67">
        <f t="array" ref="D255">SUM($B$7:$B250*$F$1009*EXP(-$F$1009*($A255-$A$7:$A250)))*$F$1010</f>
        <v>67092948.357717529</v>
      </c>
      <c r="E255" s="67">
        <f t="shared" si="23"/>
        <v>127.90678307442266</v>
      </c>
      <c r="F255" s="70">
        <f t="shared" si="27"/>
        <v>7.7664998682789443</v>
      </c>
      <c r="G255" s="67">
        <f>E255/'Lookup Tables'!$C$48</f>
        <v>255.81356614884533</v>
      </c>
      <c r="H255" s="70">
        <f t="shared" si="24"/>
        <v>0.12584756076284417</v>
      </c>
      <c r="I255" s="71">
        <f t="shared" si="28"/>
        <v>0.36837153525433725</v>
      </c>
      <c r="L255" s="74"/>
      <c r="M255" s="74"/>
      <c r="N255" s="74"/>
      <c r="O255" s="74"/>
      <c r="P255" s="74"/>
      <c r="Q255" s="74"/>
      <c r="R255" s="74"/>
      <c r="S255" s="74"/>
      <c r="T255" s="74"/>
      <c r="U255" s="74"/>
      <c r="V255" s="74"/>
      <c r="W255" s="74"/>
      <c r="X255" s="74"/>
      <c r="Y255" s="74"/>
      <c r="Z255" s="74"/>
    </row>
    <row r="256" spans="1:26" x14ac:dyDescent="0.3">
      <c r="A256" s="66">
        <f t="shared" si="26"/>
        <v>2014.8999999999774</v>
      </c>
      <c r="B256" s="67">
        <f>LOOKUP(A256+0.01,AmountsB!$A$4:$A$103,AmountsB!$B$4:$B$103)*0.1*$A$2</f>
        <v>4247.8117940339998</v>
      </c>
      <c r="C256" s="68">
        <f t="shared" si="25"/>
        <v>538448.11552979937</v>
      </c>
      <c r="D256" s="67">
        <f t="array" ref="D256">SUM($B$7:$B251*$F$1009*EXP(-$F$1009*($A256-$A$7:$A251)))*$F$1010</f>
        <v>67480446.145846814</v>
      </c>
      <c r="E256" s="67">
        <f t="shared" si="23"/>
        <v>128.64551339916281</v>
      </c>
      <c r="F256" s="70">
        <f t="shared" si="27"/>
        <v>7.811355573597166</v>
      </c>
      <c r="G256" s="67">
        <f>E256/'Lookup Tables'!$C$48</f>
        <v>257.29102679832562</v>
      </c>
      <c r="H256" s="70">
        <f t="shared" si="24"/>
        <v>0.12557585381475422</v>
      </c>
      <c r="I256" s="71">
        <f t="shared" si="28"/>
        <v>0.37049907858958886</v>
      </c>
      <c r="L256" s="74"/>
      <c r="M256" s="74"/>
      <c r="N256" s="74"/>
      <c r="O256" s="74"/>
      <c r="P256" s="74"/>
      <c r="Q256" s="74"/>
      <c r="R256" s="74"/>
      <c r="S256" s="74"/>
      <c r="T256" s="74"/>
      <c r="U256" s="74"/>
      <c r="V256" s="74"/>
      <c r="W256" s="74"/>
      <c r="X256" s="74"/>
      <c r="Y256" s="74"/>
      <c r="Z256" s="74"/>
    </row>
    <row r="257" spans="1:26" x14ac:dyDescent="0.3">
      <c r="A257" s="66">
        <f t="shared" si="26"/>
        <v>2014.9999999999773</v>
      </c>
      <c r="B257" s="67">
        <f>LOOKUP(A257+0.01,AmountsB!$A$4:$A$103,AmountsB!$B$4:$B$103)*0.1*$A$2</f>
        <v>4332.7353670020002</v>
      </c>
      <c r="C257" s="68">
        <f t="shared" si="25"/>
        <v>542780.85089680133</v>
      </c>
      <c r="D257" s="67">
        <f t="array" ref="D257">SUM($B$7:$B252*$F$1009*EXP(-$F$1009*($A257-$A$7:$A252)))*$F$1010</f>
        <v>67865240.921041772</v>
      </c>
      <c r="E257" s="67">
        <f t="shared" si="23"/>
        <v>129.37909066836579</v>
      </c>
      <c r="F257" s="70">
        <f t="shared" si="27"/>
        <v>7.8558983853831714</v>
      </c>
      <c r="G257" s="67">
        <f>E257/'Lookup Tables'!$C$48</f>
        <v>258.75818133673158</v>
      </c>
      <c r="H257" s="70">
        <f t="shared" si="24"/>
        <v>0.1252838045832648</v>
      </c>
      <c r="I257" s="71">
        <f t="shared" si="28"/>
        <v>0.37261178112489346</v>
      </c>
      <c r="L257" s="74"/>
      <c r="M257" s="74"/>
      <c r="N257" s="74"/>
      <c r="O257" s="74"/>
      <c r="P257" s="74"/>
      <c r="Q257" s="74"/>
      <c r="R257" s="74"/>
      <c r="S257" s="74"/>
      <c r="T257" s="74"/>
      <c r="U257" s="74"/>
      <c r="V257" s="74"/>
      <c r="W257" s="74"/>
      <c r="X257" s="74"/>
      <c r="Y257" s="74"/>
      <c r="Z257" s="74"/>
    </row>
    <row r="258" spans="1:26" x14ac:dyDescent="0.3">
      <c r="A258" s="66">
        <f t="shared" si="26"/>
        <v>2015.0999999999772</v>
      </c>
      <c r="B258" s="67">
        <f>LOOKUP(A258+0.01,AmountsB!$A$4:$A$103,AmountsB!$B$4:$B$103)*0.1*$A$2</f>
        <v>4332.7353670020002</v>
      </c>
      <c r="C258" s="68">
        <f t="shared" si="25"/>
        <v>547113.5862638033</v>
      </c>
      <c r="D258" s="67">
        <f t="array" ref="D258">SUM($B$7:$B253*$F$1009*EXP(-$F$1009*($A258-$A$7:$A253)))*$F$1010</f>
        <v>68247351.538323343</v>
      </c>
      <c r="E258" s="67">
        <f t="shared" si="23"/>
        <v>130.10755082746456</v>
      </c>
      <c r="F258" s="70">
        <f t="shared" si="27"/>
        <v>7.9001304862436488</v>
      </c>
      <c r="G258" s="67">
        <f>E258/'Lookup Tables'!$C$48</f>
        <v>260.21510165492913</v>
      </c>
      <c r="H258" s="70">
        <f t="shared" si="24"/>
        <v>0.12499146508480641</v>
      </c>
      <c r="I258" s="71">
        <f t="shared" si="28"/>
        <v>0.37470974638309795</v>
      </c>
      <c r="L258" s="74"/>
      <c r="M258" s="74"/>
      <c r="N258" s="74"/>
      <c r="O258" s="74"/>
      <c r="P258" s="74"/>
      <c r="Q258" s="74"/>
      <c r="R258" s="74"/>
      <c r="S258" s="74"/>
      <c r="T258" s="74"/>
      <c r="U258" s="74"/>
      <c r="V258" s="74"/>
      <c r="W258" s="74"/>
      <c r="X258" s="74"/>
      <c r="Y258" s="74"/>
      <c r="Z258" s="74"/>
    </row>
    <row r="259" spans="1:26" x14ac:dyDescent="0.3">
      <c r="A259" s="66">
        <f t="shared" si="26"/>
        <v>2015.1999999999771</v>
      </c>
      <c r="B259" s="67">
        <f>LOOKUP(A259+0.01,AmountsB!$A$4:$A$103,AmountsB!$B$4:$B$103)*0.1*$A$2</f>
        <v>4332.7353670020002</v>
      </c>
      <c r="C259" s="68">
        <f t="shared" si="25"/>
        <v>551446.32163080527</v>
      </c>
      <c r="D259" s="67">
        <f t="array" ref="D259">SUM($B$7:$B254*$F$1009*EXP(-$F$1009*($A259-$A$7:$A254)))*$F$1010</f>
        <v>68626796.721188292</v>
      </c>
      <c r="E259" s="67">
        <f t="shared" si="23"/>
        <v>130.83092957115275</v>
      </c>
      <c r="F259" s="70">
        <f t="shared" si="27"/>
        <v>7.9440540435603948</v>
      </c>
      <c r="G259" s="67">
        <f>E259/'Lookup Tables'!$C$48</f>
        <v>261.6618591423055</v>
      </c>
      <c r="H259" s="70">
        <f t="shared" si="24"/>
        <v>0.12469887618297698</v>
      </c>
      <c r="I259" s="71">
        <f t="shared" si="28"/>
        <v>0.37679307716491994</v>
      </c>
      <c r="L259" s="74"/>
      <c r="M259" s="74"/>
      <c r="N259" s="74"/>
      <c r="O259" s="74"/>
      <c r="P259" s="74"/>
      <c r="Q259" s="74"/>
      <c r="R259" s="74"/>
      <c r="S259" s="74"/>
      <c r="T259" s="74"/>
      <c r="U259" s="74"/>
      <c r="V259" s="74"/>
      <c r="W259" s="74"/>
      <c r="X259" s="74"/>
      <c r="Y259" s="74"/>
      <c r="Z259" s="74"/>
    </row>
    <row r="260" spans="1:26" x14ac:dyDescent="0.3">
      <c r="A260" s="66">
        <f t="shared" si="26"/>
        <v>2015.299999999977</v>
      </c>
      <c r="B260" s="67">
        <f>LOOKUP(A260+0.01,AmountsB!$A$4:$A$103,AmountsB!$B$4:$B$103)*0.1*$A$2</f>
        <v>4332.7353670020002</v>
      </c>
      <c r="C260" s="68">
        <f t="shared" si="25"/>
        <v>555779.05699780723</v>
      </c>
      <c r="D260" s="67">
        <f t="array" ref="D260">SUM($B$7:$B255*$F$1009*EXP(-$F$1009*($A260-$A$7:$A255)))*$F$1010</f>
        <v>69003595.062526435</v>
      </c>
      <c r="E260" s="67">
        <f t="shared" si="23"/>
        <v>131.5492623451334</v>
      </c>
      <c r="F260" s="70">
        <f t="shared" si="27"/>
        <v>7.9876712095964999</v>
      </c>
      <c r="G260" s="67">
        <f>E260/'Lookup Tables'!$C$48</f>
        <v>263.0985246902668</v>
      </c>
      <c r="H260" s="70">
        <f t="shared" si="24"/>
        <v>0.12440607723164873</v>
      </c>
      <c r="I260" s="71">
        <f t="shared" si="28"/>
        <v>0.37886187555398421</v>
      </c>
      <c r="L260" s="74"/>
      <c r="M260" s="74"/>
      <c r="N260" s="74"/>
      <c r="O260" s="74"/>
      <c r="P260" s="74"/>
      <c r="Q260" s="74"/>
      <c r="R260" s="74"/>
      <c r="S260" s="74"/>
      <c r="T260" s="74"/>
      <c r="U260" s="74"/>
      <c r="V260" s="74"/>
      <c r="W260" s="74"/>
      <c r="X260" s="74"/>
      <c r="Y260" s="74"/>
      <c r="Z260" s="74"/>
    </row>
    <row r="261" spans="1:26" x14ac:dyDescent="0.3">
      <c r="A261" s="66">
        <f t="shared" si="26"/>
        <v>2015.3999999999769</v>
      </c>
      <c r="B261" s="67">
        <f>LOOKUP(A261+0.01,AmountsB!$A$4:$A$103,AmountsB!$B$4:$B$103)*0.1*$A$2</f>
        <v>4332.7353670020002</v>
      </c>
      <c r="C261" s="68">
        <f t="shared" si="25"/>
        <v>560111.7923648092</v>
      </c>
      <c r="D261" s="67">
        <f t="array" ref="D261">SUM($B$7:$B256*$F$1009*EXP(-$F$1009*($A261-$A$7:$A256)))*$F$1010</f>
        <v>69377765.025531918</v>
      </c>
      <c r="E261" s="67">
        <f t="shared" si="23"/>
        <v>132.26258434785626</v>
      </c>
      <c r="F261" s="70">
        <f t="shared" si="27"/>
        <v>8.0309841216018327</v>
      </c>
      <c r="G261" s="67">
        <f>E261/'Lookup Tables'!$C$48</f>
        <v>264.52516869571252</v>
      </c>
      <c r="H261" s="70">
        <f t="shared" si="24"/>
        <v>0.12411310613499038</v>
      </c>
      <c r="I261" s="71">
        <f t="shared" si="28"/>
        <v>0.38091624292182602</v>
      </c>
      <c r="L261" s="74"/>
      <c r="M261" s="74"/>
      <c r="N261" s="74"/>
      <c r="O261" s="74"/>
      <c r="P261" s="74"/>
      <c r="Q261" s="74"/>
      <c r="R261" s="74"/>
      <c r="S261" s="74"/>
      <c r="T261" s="74"/>
      <c r="U261" s="74"/>
      <c r="V261" s="74"/>
      <c r="W261" s="74"/>
      <c r="X261" s="74"/>
      <c r="Y261" s="74"/>
      <c r="Z261" s="74"/>
    </row>
    <row r="262" spans="1:26" x14ac:dyDescent="0.3">
      <c r="A262" s="66">
        <f t="shared" si="26"/>
        <v>2015.4999999999768</v>
      </c>
      <c r="B262" s="67">
        <f>LOOKUP(A262+0.01,AmountsB!$A$4:$A$103,AmountsB!$B$4:$B$103)*0.1*$A$2</f>
        <v>4332.7353670020002</v>
      </c>
      <c r="C262" s="68">
        <f t="shared" si="25"/>
        <v>564444.52773181116</v>
      </c>
      <c r="D262" s="67">
        <f t="array" ref="D262">SUM($B$7:$B257*$F$1009*EXP(-$F$1009*($A262-$A$7:$A257)))*$F$1010</f>
        <v>69766428.535866976</v>
      </c>
      <c r="E262" s="67">
        <f t="shared" si="23"/>
        <v>133.00353701907167</v>
      </c>
      <c r="F262" s="70">
        <f t="shared" si="27"/>
        <v>8.0759747677980318</v>
      </c>
      <c r="G262" s="67">
        <f>E262/'Lookup Tables'!$C$48</f>
        <v>266.00707403814334</v>
      </c>
      <c r="H262" s="70">
        <f t="shared" si="24"/>
        <v>0.12385036194458308</v>
      </c>
      <c r="I262" s="71">
        <f t="shared" si="28"/>
        <v>0.38305018661492646</v>
      </c>
      <c r="L262" s="74"/>
      <c r="M262" s="74"/>
      <c r="N262" s="74"/>
      <c r="O262" s="74"/>
      <c r="P262" s="74"/>
      <c r="Q262" s="74"/>
      <c r="R262" s="74"/>
      <c r="S262" s="74"/>
      <c r="T262" s="74"/>
      <c r="U262" s="74"/>
      <c r="V262" s="74"/>
      <c r="W262" s="74"/>
      <c r="X262" s="74"/>
      <c r="Y262" s="74"/>
      <c r="Z262" s="74"/>
    </row>
    <row r="263" spans="1:26" x14ac:dyDescent="0.3">
      <c r="A263" s="66">
        <f t="shared" si="26"/>
        <v>2015.5999999999767</v>
      </c>
      <c r="B263" s="67">
        <f>LOOKUP(A263+0.01,AmountsB!$A$4:$A$103,AmountsB!$B$4:$B$103)*0.1*$A$2</f>
        <v>4332.7353670020002</v>
      </c>
      <c r="C263" s="68">
        <f t="shared" si="25"/>
        <v>568777.26309881313</v>
      </c>
      <c r="D263" s="67">
        <f t="array" ref="D263">SUM($B$7:$B258*$F$1009*EXP(-$F$1009*($A263-$A$7:$A258)))*$F$1010</f>
        <v>70152380.901705921</v>
      </c>
      <c r="E263" s="67">
        <f t="shared" ref="E263:E326" si="29">D263/(365*24*60)*1.00201</f>
        <v>133.73932113264527</v>
      </c>
      <c r="F263" s="70">
        <f t="shared" si="27"/>
        <v>8.1206515791742202</v>
      </c>
      <c r="G263" s="67">
        <f>E263/'Lookup Tables'!$C$48</f>
        <v>267.47864226529055</v>
      </c>
      <c r="H263" s="70">
        <f t="shared" ref="H263:H326" si="30">G263*60*24*365/(C263*2000)</f>
        <v>0.12358684453092554</v>
      </c>
      <c r="I263" s="71">
        <f t="shared" si="28"/>
        <v>0.38516924486201837</v>
      </c>
      <c r="L263" s="74"/>
      <c r="M263" s="74"/>
      <c r="N263" s="74"/>
      <c r="O263" s="74"/>
      <c r="P263" s="74"/>
      <c r="Q263" s="74"/>
      <c r="R263" s="74"/>
      <c r="S263" s="74"/>
      <c r="T263" s="74"/>
      <c r="U263" s="74"/>
      <c r="V263" s="74"/>
      <c r="W263" s="74"/>
      <c r="X263" s="74"/>
      <c r="Y263" s="74"/>
      <c r="Z263" s="74"/>
    </row>
    <row r="264" spans="1:26" x14ac:dyDescent="0.3">
      <c r="A264" s="66">
        <f t="shared" si="26"/>
        <v>2015.6999999999766</v>
      </c>
      <c r="B264" s="67">
        <f>LOOKUP(A264+0.01,AmountsB!$A$4:$A$103,AmountsB!$B$4:$B$103)*0.1*$A$2</f>
        <v>4332.7353670020002</v>
      </c>
      <c r="C264" s="68">
        <f t="shared" si="25"/>
        <v>573109.99846581509</v>
      </c>
      <c r="D264" s="67">
        <f t="array" ref="D264">SUM($B$7:$B259*$F$1009*EXP(-$F$1009*($A264-$A$7:$A259)))*$F$1010</f>
        <v>70535641.034791917</v>
      </c>
      <c r="E264" s="67">
        <f t="shared" si="29"/>
        <v>134.46997274214581</v>
      </c>
      <c r="F264" s="70">
        <f t="shared" si="27"/>
        <v>8.1650167449030935</v>
      </c>
      <c r="G264" s="67">
        <f>E264/'Lookup Tables'!$C$48</f>
        <v>268.93994548429163</v>
      </c>
      <c r="H264" s="70">
        <f t="shared" si="30"/>
        <v>0.12332260449559689</v>
      </c>
      <c r="I264" s="71">
        <f t="shared" si="28"/>
        <v>0.38727352149737998</v>
      </c>
      <c r="L264" s="74"/>
      <c r="M264" s="74"/>
      <c r="N264" s="74"/>
      <c r="O264" s="74"/>
      <c r="P264" s="74"/>
      <c r="Q264" s="74"/>
      <c r="R264" s="74"/>
      <c r="S264" s="74"/>
      <c r="T264" s="74"/>
      <c r="U264" s="74"/>
      <c r="V264" s="74"/>
      <c r="W264" s="74"/>
      <c r="X264" s="74"/>
      <c r="Y264" s="74"/>
      <c r="Z264" s="74"/>
    </row>
    <row r="265" spans="1:26" x14ac:dyDescent="0.3">
      <c r="A265" s="66">
        <f t="shared" si="26"/>
        <v>2015.7999999999765</v>
      </c>
      <c r="B265" s="67">
        <f>LOOKUP(A265+0.01,AmountsB!$A$4:$A$103,AmountsB!$B$4:$B$103)*0.1*$A$2</f>
        <v>4332.7353670020002</v>
      </c>
      <c r="C265" s="68">
        <f t="shared" ref="C265:C328" si="31">C264+B265</f>
        <v>577442.73383281706</v>
      </c>
      <c r="D265" s="67">
        <f t="array" ref="D265">SUM($B$7:$B260*$F$1009*EXP(-$F$1009*($A265-$A$7:$A260)))*$F$1010</f>
        <v>70916227.714948148</v>
      </c>
      <c r="E265" s="67">
        <f t="shared" si="29"/>
        <v>135.1955276496484</v>
      </c>
      <c r="F265" s="70">
        <f t="shared" si="27"/>
        <v>8.2090724388866505</v>
      </c>
      <c r="G265" s="67">
        <f>E265/'Lookup Tables'!$C$48</f>
        <v>270.3910552992968</v>
      </c>
      <c r="H265" s="70">
        <f t="shared" si="30"/>
        <v>0.12305769069254294</v>
      </c>
      <c r="I265" s="71">
        <f t="shared" si="28"/>
        <v>0.38936311963098741</v>
      </c>
      <c r="L265" s="74"/>
      <c r="M265" s="74"/>
      <c r="N265" s="74"/>
      <c r="O265" s="74"/>
      <c r="P265" s="74"/>
      <c r="Q265" s="74"/>
      <c r="R265" s="74"/>
      <c r="S265" s="74"/>
      <c r="T265" s="74"/>
      <c r="U265" s="74"/>
      <c r="V265" s="74"/>
      <c r="W265" s="74"/>
      <c r="X265" s="74"/>
      <c r="Y265" s="74"/>
      <c r="Z265" s="74"/>
    </row>
    <row r="266" spans="1:26" x14ac:dyDescent="0.3">
      <c r="A266" s="66">
        <f t="shared" si="26"/>
        <v>2015.8999999999764</v>
      </c>
      <c r="B266" s="67">
        <f>LOOKUP(A266+0.01,AmountsB!$A$4:$A$103,AmountsB!$B$4:$B$103)*0.1*$A$2</f>
        <v>4332.7353670020002</v>
      </c>
      <c r="C266" s="68">
        <f t="shared" si="31"/>
        <v>581775.46919981902</v>
      </c>
      <c r="D266" s="67">
        <f t="array" ref="D266">SUM($B$7:$B261*$F$1009*EXP(-$F$1009*($A266-$A$7:$A261)))*$F$1010</f>
        <v>71294159.590998098</v>
      </c>
      <c r="E266" s="67">
        <f t="shared" si="29"/>
        <v>135.91602140748859</v>
      </c>
      <c r="F266" s="70">
        <f t="shared" si="27"/>
        <v>8.2528208198627073</v>
      </c>
      <c r="G266" s="67">
        <f>E266/'Lookup Tables'!$C$48</f>
        <v>271.83204281497717</v>
      </c>
      <c r="H266" s="70">
        <f t="shared" si="30"/>
        <v>0.12279215029473817</v>
      </c>
      <c r="I266" s="71">
        <f t="shared" si="28"/>
        <v>0.39143814165356711</v>
      </c>
      <c r="L266" s="74"/>
      <c r="M266" s="74"/>
      <c r="N266" s="74"/>
      <c r="O266" s="74"/>
      <c r="P266" s="74"/>
      <c r="Q266" s="74"/>
      <c r="R266" s="74"/>
      <c r="S266" s="74"/>
      <c r="T266" s="74"/>
      <c r="U266" s="74"/>
      <c r="V266" s="74"/>
      <c r="W266" s="74"/>
      <c r="X266" s="74"/>
      <c r="Y266" s="74"/>
      <c r="Z266" s="74"/>
    </row>
    <row r="267" spans="1:26" x14ac:dyDescent="0.3">
      <c r="A267" s="66">
        <f t="shared" si="26"/>
        <v>2015.9999999999764</v>
      </c>
      <c r="B267" s="67">
        <f>LOOKUP(A267+0.01,AmountsB!$A$4:$A$103,AmountsB!$B$4:$B$103)*0.1*$A$2</f>
        <v>4419.3828159169998</v>
      </c>
      <c r="C267" s="68">
        <f t="shared" si="31"/>
        <v>586194.85201573605</v>
      </c>
      <c r="D267" s="67">
        <f t="array" ref="D267">SUM($B$7:$B262*$F$1009*EXP(-$F$1009*($A267-$A$7:$A262)))*$F$1010</f>
        <v>71669455.181679308</v>
      </c>
      <c r="E267" s="67">
        <f t="shared" si="29"/>
        <v>136.63148932000473</v>
      </c>
      <c r="F267" s="70">
        <f t="shared" si="27"/>
        <v>8.2962640315106881</v>
      </c>
      <c r="G267" s="67">
        <f>E267/'Lookup Tables'!$C$48</f>
        <v>273.26297864000946</v>
      </c>
      <c r="H267" s="70">
        <f t="shared" si="30"/>
        <v>0.1225079178700578</v>
      </c>
      <c r="I267" s="71">
        <f t="shared" si="28"/>
        <v>0.39349868924161363</v>
      </c>
      <c r="L267" s="74"/>
      <c r="M267" s="74"/>
      <c r="N267" s="74"/>
      <c r="O267" s="74"/>
      <c r="P267" s="74"/>
      <c r="Q267" s="74"/>
      <c r="R267" s="74"/>
      <c r="S267" s="74"/>
      <c r="T267" s="74"/>
      <c r="U267" s="74"/>
      <c r="V267" s="74"/>
      <c r="W267" s="74"/>
      <c r="X267" s="74"/>
      <c r="Y267" s="74"/>
      <c r="Z267" s="74"/>
    </row>
    <row r="268" spans="1:26" x14ac:dyDescent="0.3">
      <c r="A268" s="66">
        <f t="shared" si="26"/>
        <v>2016.0999999999763</v>
      </c>
      <c r="B268" s="67">
        <f>LOOKUP(A268+0.01,AmountsB!$A$4:$A$103,AmountsB!$B$4:$B$103)*0.1*$A$2</f>
        <v>4419.3828159169998</v>
      </c>
      <c r="C268" s="68">
        <f t="shared" si="31"/>
        <v>590614.23483165307</v>
      </c>
      <c r="D268" s="67">
        <f t="array" ref="D268">SUM($B$7:$B263*$F$1009*EXP(-$F$1009*($A268-$A$7:$A263)))*$F$1010</f>
        <v>72042132.876550823</v>
      </c>
      <c r="E268" s="67">
        <f t="shared" si="29"/>
        <v>137.34196644526767</v>
      </c>
      <c r="F268" s="70">
        <f t="shared" si="27"/>
        <v>8.3394042025566524</v>
      </c>
      <c r="G268" s="67">
        <f>E268/'Lookup Tables'!$C$48</f>
        <v>274.68393289053535</v>
      </c>
      <c r="H268" s="70">
        <f t="shared" si="30"/>
        <v>0.12222349768492903</v>
      </c>
      <c r="I268" s="71">
        <f t="shared" si="28"/>
        <v>0.39554486336237088</v>
      </c>
      <c r="L268" s="74"/>
      <c r="M268" s="74"/>
      <c r="N268" s="74"/>
      <c r="O268" s="74"/>
      <c r="P268" s="74"/>
      <c r="Q268" s="74"/>
      <c r="R268" s="74"/>
      <c r="S268" s="74"/>
      <c r="T268" s="74"/>
      <c r="U268" s="74"/>
      <c r="V268" s="74"/>
      <c r="W268" s="74"/>
      <c r="X268" s="74"/>
      <c r="Y268" s="74"/>
      <c r="Z268" s="74"/>
    </row>
    <row r="269" spans="1:26" x14ac:dyDescent="0.3">
      <c r="A269" s="66">
        <f t="shared" si="26"/>
        <v>2016.1999999999762</v>
      </c>
      <c r="B269" s="67">
        <f>LOOKUP(A269+0.01,AmountsB!$A$4:$A$103,AmountsB!$B$4:$B$103)*0.1*$A$2</f>
        <v>4419.3828159169998</v>
      </c>
      <c r="C269" s="68">
        <f t="shared" si="31"/>
        <v>595033.61764757009</v>
      </c>
      <c r="D269" s="67">
        <f t="array" ref="D269">SUM($B$7:$B264*$F$1009*EXP(-$F$1009*($A269-$A$7:$A264)))*$F$1010</f>
        <v>72412210.936894253</v>
      </c>
      <c r="E269" s="67">
        <f t="shared" si="29"/>
        <v>138.04748759679873</v>
      </c>
      <c r="F269" s="70">
        <f t="shared" si="27"/>
        <v>8.3822434468776184</v>
      </c>
      <c r="G269" s="67">
        <f>E269/'Lookup Tables'!$C$48</f>
        <v>276.09497519359746</v>
      </c>
      <c r="H269" s="70">
        <f t="shared" si="30"/>
        <v>0.12193892467408847</v>
      </c>
      <c r="I269" s="71">
        <f t="shared" si="28"/>
        <v>0.3975767642787803</v>
      </c>
      <c r="L269" s="74"/>
      <c r="M269" s="74"/>
      <c r="N269" s="74"/>
      <c r="O269" s="74"/>
      <c r="P269" s="74"/>
      <c r="Q269" s="74"/>
      <c r="R269" s="74"/>
      <c r="S269" s="74"/>
      <c r="T269" s="74"/>
      <c r="U269" s="74"/>
      <c r="V269" s="74"/>
      <c r="W269" s="74"/>
      <c r="X269" s="74"/>
      <c r="Y269" s="74"/>
      <c r="Z269" s="74"/>
    </row>
    <row r="270" spans="1:26" x14ac:dyDescent="0.3">
      <c r="A270" s="66">
        <f t="shared" si="26"/>
        <v>2016.2999999999761</v>
      </c>
      <c r="B270" s="67">
        <f>LOOKUP(A270+0.01,AmountsB!$A$4:$A$103,AmountsB!$B$4:$B$103)*0.1*$A$2</f>
        <v>4419.3828159169998</v>
      </c>
      <c r="C270" s="68">
        <f t="shared" si="31"/>
        <v>599453.00046348711</v>
      </c>
      <c r="D270" s="67">
        <f t="array" ref="D270">SUM($B$7:$B265*$F$1009*EXP(-$F$1009*($A270-$A$7:$A265)))*$F$1010</f>
        <v>72779707.496608615</v>
      </c>
      <c r="E270" s="67">
        <f t="shared" si="29"/>
        <v>138.74808734527551</v>
      </c>
      <c r="F270" s="70">
        <f t="shared" si="27"/>
        <v>8.4247838636051284</v>
      </c>
      <c r="G270" s="67">
        <f>E270/'Lookup Tables'!$C$48</f>
        <v>277.49617469055102</v>
      </c>
      <c r="H270" s="70">
        <f t="shared" si="30"/>
        <v>0.12165423252914177</v>
      </c>
      <c r="I270" s="71">
        <f t="shared" si="28"/>
        <v>0.39959449155439342</v>
      </c>
      <c r="L270" s="74"/>
      <c r="M270" s="74"/>
      <c r="N270" s="74"/>
      <c r="O270" s="74"/>
      <c r="P270" s="74"/>
      <c r="Q270" s="74"/>
      <c r="R270" s="74"/>
      <c r="S270" s="74"/>
      <c r="T270" s="74"/>
      <c r="U270" s="74"/>
      <c r="V270" s="74"/>
      <c r="W270" s="74"/>
      <c r="X270" s="74"/>
      <c r="Y270" s="74"/>
      <c r="Z270" s="74"/>
    </row>
    <row r="271" spans="1:26" x14ac:dyDescent="0.3">
      <c r="A271" s="66">
        <f t="shared" si="26"/>
        <v>2016.399999999976</v>
      </c>
      <c r="B271" s="67">
        <f>LOOKUP(A271+0.01,AmountsB!$A$4:$A$103,AmountsB!$B$4:$B$103)*0.1*$A$2</f>
        <v>4419.3828159169998</v>
      </c>
      <c r="C271" s="68">
        <f t="shared" si="31"/>
        <v>603872.38327940414</v>
      </c>
      <c r="D271" s="67">
        <f t="array" ref="D271">SUM($B$7:$B266*$F$1009*EXP(-$F$1009*($A271-$A$7:$A266)))*$F$1010</f>
        <v>73144640.563098848</v>
      </c>
      <c r="E271" s="67">
        <f t="shared" si="29"/>
        <v>139.44380002022578</v>
      </c>
      <c r="F271" s="70">
        <f t="shared" si="27"/>
        <v>8.467027537228109</v>
      </c>
      <c r="G271" s="67">
        <f>E271/'Lookup Tables'!$C$48</f>
        <v>278.88760004045156</v>
      </c>
      <c r="H271" s="70">
        <f t="shared" si="30"/>
        <v>0.1213694537455268</v>
      </c>
      <c r="I271" s="71">
        <f t="shared" si="28"/>
        <v>0.40159814405825023</v>
      </c>
      <c r="L271" s="74"/>
      <c r="M271" s="74"/>
      <c r="N271" s="74"/>
      <c r="O271" s="74"/>
      <c r="P271" s="74"/>
      <c r="Q271" s="74"/>
      <c r="R271" s="74"/>
      <c r="S271" s="74"/>
      <c r="T271" s="74"/>
      <c r="U271" s="74"/>
      <c r="V271" s="74"/>
      <c r="W271" s="74"/>
      <c r="X271" s="74"/>
      <c r="Y271" s="74"/>
      <c r="Z271" s="74"/>
    </row>
    <row r="272" spans="1:26" x14ac:dyDescent="0.3">
      <c r="A272" s="66">
        <f t="shared" si="26"/>
        <v>2016.4999999999759</v>
      </c>
      <c r="B272" s="67">
        <f>LOOKUP(A272+0.01,AmountsB!$A$4:$A$103,AmountsB!$B$4:$B$103)*0.1*$A$2</f>
        <v>4419.3828159169998</v>
      </c>
      <c r="C272" s="68">
        <f t="shared" si="31"/>
        <v>608291.76609532116</v>
      </c>
      <c r="D272" s="67">
        <f t="array" ref="D272">SUM($B$7:$B267*$F$1009*EXP(-$F$1009*($A272-$A$7:$A267)))*$F$1010</f>
        <v>73524478.797701508</v>
      </c>
      <c r="E272" s="67">
        <f t="shared" si="29"/>
        <v>140.16792808235328</v>
      </c>
      <c r="F272" s="70">
        <f t="shared" si="27"/>
        <v>8.5109965931604918</v>
      </c>
      <c r="G272" s="67">
        <f>E272/'Lookup Tables'!$C$48</f>
        <v>280.33585616470657</v>
      </c>
      <c r="H272" s="70">
        <f t="shared" si="30"/>
        <v>0.12111336550384968</v>
      </c>
      <c r="I272" s="71">
        <f t="shared" si="28"/>
        <v>0.40368363287717746</v>
      </c>
      <c r="L272" s="74"/>
      <c r="M272" s="74"/>
      <c r="N272" s="74"/>
      <c r="O272" s="74"/>
      <c r="P272" s="74"/>
      <c r="Q272" s="74"/>
      <c r="R272" s="74"/>
      <c r="S272" s="74"/>
      <c r="T272" s="74"/>
      <c r="U272" s="74"/>
      <c r="V272" s="74"/>
      <c r="W272" s="74"/>
      <c r="X272" s="74"/>
      <c r="Y272" s="74"/>
      <c r="Z272" s="74"/>
    </row>
    <row r="273" spans="1:26" x14ac:dyDescent="0.3">
      <c r="A273" s="66">
        <f t="shared" si="26"/>
        <v>2016.5999999999758</v>
      </c>
      <c r="B273" s="67">
        <f>LOOKUP(A273+0.01,AmountsB!$A$4:$A$103,AmountsB!$B$4:$B$103)*0.1*$A$2</f>
        <v>4419.3828159169998</v>
      </c>
      <c r="C273" s="68">
        <f t="shared" si="31"/>
        <v>612711.14891123818</v>
      </c>
      <c r="D273" s="67">
        <f t="array" ref="D273">SUM($B$7:$B268*$F$1009*EXP(-$F$1009*($A273-$A$7:$A268)))*$F$1010</f>
        <v>73901667.449022561</v>
      </c>
      <c r="E273" s="67">
        <f t="shared" si="29"/>
        <v>140.88700494785979</v>
      </c>
      <c r="F273" s="70">
        <f t="shared" si="27"/>
        <v>8.5546589404340487</v>
      </c>
      <c r="G273" s="67">
        <f>E273/'Lookup Tables'!$C$48</f>
        <v>281.77400989571959</v>
      </c>
      <c r="H273" s="70">
        <f t="shared" si="30"/>
        <v>0.12085663845382806</v>
      </c>
      <c r="I273" s="71">
        <f t="shared" si="28"/>
        <v>0.40575457424983624</v>
      </c>
      <c r="L273" s="74"/>
      <c r="M273" s="74"/>
      <c r="N273" s="74"/>
      <c r="O273" s="74"/>
      <c r="P273" s="74"/>
      <c r="Q273" s="74"/>
      <c r="R273" s="74"/>
      <c r="S273" s="74"/>
      <c r="T273" s="74"/>
      <c r="U273" s="74"/>
      <c r="V273" s="74"/>
      <c r="W273" s="74"/>
      <c r="X273" s="74"/>
      <c r="Y273" s="74"/>
      <c r="Z273" s="74"/>
    </row>
    <row r="274" spans="1:26" x14ac:dyDescent="0.3">
      <c r="A274" s="66">
        <f t="shared" si="26"/>
        <v>2016.6999999999757</v>
      </c>
      <c r="B274" s="67">
        <f>LOOKUP(A274+0.01,AmountsB!$A$4:$A$103,AmountsB!$B$4:$B$103)*0.1*$A$2</f>
        <v>4419.3828159169998</v>
      </c>
      <c r="C274" s="68">
        <f t="shared" si="31"/>
        <v>617130.5317271552</v>
      </c>
      <c r="D274" s="67">
        <f t="array" ref="D274">SUM($B$7:$B269*$F$1009*EXP(-$F$1009*($A274-$A$7:$A269)))*$F$1010</f>
        <v>74276224.999381393</v>
      </c>
      <c r="E274" s="67">
        <f t="shared" si="29"/>
        <v>141.60106585165553</v>
      </c>
      <c r="F274" s="70">
        <f t="shared" si="27"/>
        <v>8.5980167185125236</v>
      </c>
      <c r="G274" s="67">
        <f>E274/'Lookup Tables'!$C$48</f>
        <v>283.20213170331107</v>
      </c>
      <c r="H274" s="70">
        <f t="shared" si="30"/>
        <v>0.12059931632832427</v>
      </c>
      <c r="I274" s="71">
        <f t="shared" si="28"/>
        <v>0.40781106965276792</v>
      </c>
      <c r="L274" s="74"/>
      <c r="M274" s="74"/>
      <c r="N274" s="74"/>
      <c r="O274" s="74"/>
      <c r="P274" s="74"/>
      <c r="Q274" s="74"/>
      <c r="R274" s="74"/>
      <c r="S274" s="74"/>
      <c r="T274" s="74"/>
      <c r="U274" s="74"/>
      <c r="V274" s="74"/>
      <c r="W274" s="74"/>
      <c r="X274" s="74"/>
      <c r="Y274" s="74"/>
      <c r="Z274" s="74"/>
    </row>
    <row r="275" spans="1:26" x14ac:dyDescent="0.3">
      <c r="A275" s="66">
        <f t="shared" ref="A275:A338" si="32">A274+0.1</f>
        <v>2016.7999999999756</v>
      </c>
      <c r="B275" s="67">
        <f>LOOKUP(A275+0.01,AmountsB!$A$4:$A$103,AmountsB!$B$4:$B$103)*0.1*$A$2</f>
        <v>4419.3828159169998</v>
      </c>
      <c r="C275" s="68">
        <f t="shared" si="31"/>
        <v>621549.91454307223</v>
      </c>
      <c r="D275" s="67">
        <f t="array" ref="D275">SUM($B$7:$B270*$F$1009*EXP(-$F$1009*($A275-$A$7:$A270)))*$F$1010</f>
        <v>74648169.802172914</v>
      </c>
      <c r="E275" s="67">
        <f t="shared" si="29"/>
        <v>142.31014578286775</v>
      </c>
      <c r="F275" s="70">
        <f t="shared" ref="F275:F338" si="33">E275*60*1012/1000000</f>
        <v>8.641072051935728</v>
      </c>
      <c r="G275" s="67">
        <f>E275/'Lookup Tables'!$C$48</f>
        <v>284.6202915657355</v>
      </c>
      <c r="H275" s="70">
        <f t="shared" si="30"/>
        <v>0.12034144140855145</v>
      </c>
      <c r="I275" s="71">
        <f t="shared" ref="I275:I338" si="34">G275*60*24/1000000</f>
        <v>0.40985321985465906</v>
      </c>
      <c r="L275" s="74"/>
      <c r="M275" s="74"/>
      <c r="N275" s="74"/>
      <c r="O275" s="74"/>
      <c r="P275" s="74"/>
      <c r="Q275" s="74"/>
      <c r="R275" s="74"/>
      <c r="S275" s="74"/>
      <c r="T275" s="74"/>
      <c r="U275" s="74"/>
      <c r="V275" s="74"/>
      <c r="W275" s="74"/>
      <c r="X275" s="74"/>
      <c r="Y275" s="74"/>
      <c r="Z275" s="74"/>
    </row>
    <row r="276" spans="1:26" x14ac:dyDescent="0.3">
      <c r="A276" s="66">
        <f t="shared" si="32"/>
        <v>2016.8999999999755</v>
      </c>
      <c r="B276" s="67">
        <f>LOOKUP(A276+0.01,AmountsB!$A$4:$A$103,AmountsB!$B$4:$B$103)*0.1*$A$2</f>
        <v>4419.3828159169998</v>
      </c>
      <c r="C276" s="68">
        <f t="shared" si="31"/>
        <v>625969.29735898925</v>
      </c>
      <c r="D276" s="67">
        <f t="array" ref="D276">SUM($B$7:$B271*$F$1009*EXP(-$F$1009*($A276-$A$7:$A271)))*$F$1010</f>
        <v>75017520.082766891</v>
      </c>
      <c r="E276" s="67">
        <f t="shared" si="29"/>
        <v>143.01427948655493</v>
      </c>
      <c r="F276" s="70">
        <f t="shared" si="33"/>
        <v>8.6838270504236146</v>
      </c>
      <c r="G276" s="67">
        <f>E276/'Lookup Tables'!$C$48</f>
        <v>286.02855897310985</v>
      </c>
      <c r="H276" s="70">
        <f t="shared" si="30"/>
        <v>0.12008305457675625</v>
      </c>
      <c r="I276" s="71">
        <f t="shared" si="34"/>
        <v>0.41188112492127815</v>
      </c>
      <c r="L276" s="74"/>
      <c r="M276" s="74"/>
      <c r="N276" s="74"/>
      <c r="O276" s="74"/>
      <c r="P276" s="74"/>
      <c r="Q276" s="74"/>
      <c r="R276" s="74"/>
      <c r="S276" s="74"/>
      <c r="T276" s="74"/>
      <c r="U276" s="74"/>
      <c r="V276" s="74"/>
      <c r="W276" s="74"/>
      <c r="X276" s="74"/>
      <c r="Y276" s="74"/>
      <c r="Z276" s="74"/>
    </row>
    <row r="277" spans="1:26" x14ac:dyDescent="0.3">
      <c r="A277" s="66">
        <f t="shared" si="32"/>
        <v>2016.9999999999754</v>
      </c>
      <c r="B277" s="67">
        <f>LOOKUP(A277+0.01,AmountsB!$A$4:$A$103,AmountsB!$B$4:$B$103)*0.1*$A$2</f>
        <v>0</v>
      </c>
      <c r="C277" s="68">
        <f t="shared" si="31"/>
        <v>625969.29735898925</v>
      </c>
      <c r="D277" s="67">
        <f t="array" ref="D277">SUM($B$7:$B272*$F$1009*EXP(-$F$1009*($A277-$A$7:$A272)))*$F$1010</f>
        <v>75384293.939400941</v>
      </c>
      <c r="E277" s="67">
        <f t="shared" si="29"/>
        <v>143.71350146540934</v>
      </c>
      <c r="F277" s="70">
        <f t="shared" si="33"/>
        <v>8.7262838089796553</v>
      </c>
      <c r="G277" s="67">
        <f>E277/'Lookup Tables'!$C$48</f>
        <v>287.42700293081867</v>
      </c>
      <c r="H277" s="70">
        <f t="shared" si="30"/>
        <v>0.12067016176178343</v>
      </c>
      <c r="I277" s="71">
        <f t="shared" si="34"/>
        <v>0.41389488422037884</v>
      </c>
      <c r="L277" s="74"/>
      <c r="M277" s="74"/>
      <c r="N277" s="74"/>
      <c r="O277" s="74"/>
      <c r="P277" s="74"/>
      <c r="Q277" s="74"/>
      <c r="R277" s="74"/>
      <c r="S277" s="74"/>
      <c r="T277" s="74"/>
      <c r="U277" s="74"/>
      <c r="V277" s="74"/>
      <c r="W277" s="74"/>
      <c r="X277" s="74"/>
      <c r="Y277" s="74"/>
      <c r="Z277" s="74"/>
    </row>
    <row r="278" spans="1:26" x14ac:dyDescent="0.3">
      <c r="A278" s="66">
        <f t="shared" si="32"/>
        <v>2017.0999999999754</v>
      </c>
      <c r="B278" s="67">
        <f>LOOKUP(A278+0.01,AmountsB!$A$4:$A$103,AmountsB!$B$4:$B$103)*0.1*$A$2</f>
        <v>0</v>
      </c>
      <c r="C278" s="68">
        <f t="shared" si="31"/>
        <v>625969.29735898925</v>
      </c>
      <c r="D278" s="67">
        <f t="array" ref="D278">SUM($B$7:$B273*$F$1009*EXP(-$F$1009*($A278-$A$7:$A273)))*$F$1010</f>
        <v>75748509.344067454</v>
      </c>
      <c r="E278" s="67">
        <f t="shared" si="29"/>
        <v>144.40784598144793</v>
      </c>
      <c r="F278" s="70">
        <f t="shared" si="33"/>
        <v>8.7684444079935204</v>
      </c>
      <c r="G278" s="67">
        <f>E278/'Lookup Tables'!$C$48</f>
        <v>288.81569196289587</v>
      </c>
      <c r="H278" s="70">
        <f t="shared" si="30"/>
        <v>0.12125317354713717</v>
      </c>
      <c r="I278" s="71">
        <f t="shared" si="34"/>
        <v>0.41589459642657006</v>
      </c>
      <c r="L278" s="74"/>
      <c r="M278" s="74"/>
      <c r="N278" s="74"/>
      <c r="O278" s="74"/>
      <c r="P278" s="74"/>
      <c r="Q278" s="74"/>
      <c r="R278" s="74"/>
      <c r="S278" s="74"/>
      <c r="T278" s="74"/>
      <c r="U278" s="74"/>
      <c r="V278" s="74"/>
      <c r="W278" s="74"/>
      <c r="X278" s="74"/>
      <c r="Y278" s="74"/>
      <c r="Z278" s="74"/>
    </row>
    <row r="279" spans="1:26" x14ac:dyDescent="0.3">
      <c r="A279" s="66">
        <f t="shared" si="32"/>
        <v>2017.1999999999753</v>
      </c>
      <c r="B279" s="67">
        <f>LOOKUP(A279+0.01,AmountsB!$A$4:$A$103,AmountsB!$B$4:$B$103)*0.1*$A$2</f>
        <v>0</v>
      </c>
      <c r="C279" s="68">
        <f t="shared" si="31"/>
        <v>625969.29735898925</v>
      </c>
      <c r="D279" s="67">
        <f t="array" ref="D279">SUM($B$7:$B274*$F$1009*EXP(-$F$1009*($A279-$A$7:$A274)))*$F$1010</f>
        <v>76110184.143394113</v>
      </c>
      <c r="E279" s="67">
        <f t="shared" si="29"/>
        <v>145.09734705769091</v>
      </c>
      <c r="F279" s="70">
        <f t="shared" si="33"/>
        <v>8.8103109133429918</v>
      </c>
      <c r="G279" s="67">
        <f>E279/'Lookup Tables'!$C$48</f>
        <v>290.19469411538182</v>
      </c>
      <c r="H279" s="70">
        <f t="shared" si="30"/>
        <v>0.12183211850051157</v>
      </c>
      <c r="I279" s="71">
        <f t="shared" si="34"/>
        <v>0.41788035952614982</v>
      </c>
      <c r="L279" s="74"/>
      <c r="M279" s="74"/>
      <c r="N279" s="74"/>
      <c r="O279" s="74"/>
      <c r="P279" s="74"/>
      <c r="Q279" s="74"/>
      <c r="R279" s="74"/>
      <c r="S279" s="74"/>
      <c r="T279" s="74"/>
      <c r="U279" s="74"/>
      <c r="V279" s="74"/>
      <c r="W279" s="74"/>
      <c r="X279" s="74"/>
      <c r="Y279" s="74"/>
      <c r="Z279" s="74"/>
    </row>
    <row r="280" spans="1:26" x14ac:dyDescent="0.3">
      <c r="A280" s="66">
        <f t="shared" si="32"/>
        <v>2017.2999999999752</v>
      </c>
      <c r="B280" s="67">
        <f>LOOKUP(A280+0.01,AmountsB!$A$4:$A$103,AmountsB!$B$4:$B$103)*0.1*$A$2</f>
        <v>0</v>
      </c>
      <c r="C280" s="68">
        <f t="shared" si="31"/>
        <v>625969.29735898925</v>
      </c>
      <c r="D280" s="67">
        <f t="array" ref="D280">SUM($B$7:$B275*$F$1009*EXP(-$F$1009*($A280-$A$7:$A275)))*$F$1010</f>
        <v>76469336.059518471</v>
      </c>
      <c r="E280" s="67">
        <f t="shared" si="29"/>
        <v>145.782038479829</v>
      </c>
      <c r="F280" s="70">
        <f t="shared" si="33"/>
        <v>8.8518853764952183</v>
      </c>
      <c r="G280" s="67">
        <f>E280/'Lookup Tables'!$C$48</f>
        <v>291.564076959658</v>
      </c>
      <c r="H280" s="70">
        <f t="shared" si="30"/>
        <v>0.12240702499032526</v>
      </c>
      <c r="I280" s="71">
        <f t="shared" si="34"/>
        <v>0.41985227082190757</v>
      </c>
      <c r="L280" s="74"/>
      <c r="M280" s="74"/>
      <c r="N280" s="74"/>
      <c r="O280" s="74"/>
      <c r="P280" s="74"/>
      <c r="Q280" s="74"/>
      <c r="R280" s="74"/>
      <c r="S280" s="74"/>
      <c r="T280" s="74"/>
      <c r="U280" s="74"/>
      <c r="V280" s="74"/>
      <c r="W280" s="74"/>
      <c r="X280" s="74"/>
      <c r="Y280" s="74"/>
      <c r="Z280" s="74"/>
    </row>
    <row r="281" spans="1:26" x14ac:dyDescent="0.3">
      <c r="A281" s="66">
        <f t="shared" si="32"/>
        <v>2017.3999999999751</v>
      </c>
      <c r="B281" s="67">
        <f>LOOKUP(A281+0.01,AmountsB!$A$4:$A$103,AmountsB!$B$4:$B$103)*0.1*$A$2</f>
        <v>0</v>
      </c>
      <c r="C281" s="68">
        <f t="shared" si="31"/>
        <v>625969.29735898925</v>
      </c>
      <c r="D281" s="67">
        <f t="array" ref="D281">SUM($B$7:$B276*$F$1009*EXP(-$F$1009*($A281-$A$7:$A276)))*$F$1010</f>
        <v>76825982.690956309</v>
      </c>
      <c r="E281" s="67">
        <f t="shared" si="29"/>
        <v>146.46195379787889</v>
      </c>
      <c r="F281" s="70">
        <f t="shared" si="33"/>
        <v>8.8931698346072068</v>
      </c>
      <c r="G281" s="67">
        <f>E281/'Lookup Tables'!$C$48</f>
        <v>292.92390759575778</v>
      </c>
      <c r="H281" s="70">
        <f t="shared" si="30"/>
        <v>0.12297792118711118</v>
      </c>
      <c r="I281" s="71">
        <f t="shared" si="34"/>
        <v>0.42181042693789123</v>
      </c>
      <c r="L281" s="74"/>
      <c r="M281" s="74"/>
      <c r="N281" s="74"/>
      <c r="O281" s="74"/>
      <c r="P281" s="74"/>
      <c r="Q281" s="74"/>
      <c r="R281" s="74"/>
      <c r="S281" s="74"/>
      <c r="T281" s="74"/>
      <c r="U281" s="74"/>
      <c r="V281" s="74"/>
      <c r="W281" s="74"/>
      <c r="X281" s="74"/>
      <c r="Y281" s="74"/>
      <c r="Z281" s="74"/>
    </row>
    <row r="282" spans="1:26" x14ac:dyDescent="0.3">
      <c r="A282" s="66">
        <f t="shared" si="32"/>
        <v>2017.499999999975</v>
      </c>
      <c r="B282" s="67">
        <f>LOOKUP(A282+0.01,AmountsB!$A$4:$A$103,AmountsB!$B$4:$B$103)*0.1*$A$2</f>
        <v>0</v>
      </c>
      <c r="C282" s="68">
        <f t="shared" si="31"/>
        <v>625969.29735898925</v>
      </c>
      <c r="D282" s="67">
        <f t="array" ref="D282">SUM($B$7:$B277*$F$1009*EXP(-$F$1009*($A282-$A$7:$A277)))*$F$1010</f>
        <v>76290078.664485723</v>
      </c>
      <c r="E282" s="67">
        <f t="shared" si="29"/>
        <v>145.44030008105278</v>
      </c>
      <c r="F282" s="70">
        <f t="shared" si="33"/>
        <v>8.8311350209215274</v>
      </c>
      <c r="G282" s="67">
        <f>E282/'Lookup Tables'!$C$48</f>
        <v>290.88060016210557</v>
      </c>
      <c r="H282" s="70">
        <f t="shared" si="30"/>
        <v>0.12212008167991914</v>
      </c>
      <c r="I282" s="71">
        <f t="shared" si="34"/>
        <v>0.41886806423343204</v>
      </c>
      <c r="L282" s="74"/>
      <c r="M282" s="74"/>
      <c r="N282" s="74"/>
      <c r="O282" s="74"/>
      <c r="P282" s="74"/>
      <c r="Q282" s="74"/>
      <c r="R282" s="74"/>
      <c r="S282" s="74"/>
      <c r="T282" s="74"/>
      <c r="U282" s="74"/>
      <c r="V282" s="74"/>
      <c r="W282" s="74"/>
      <c r="X282" s="74"/>
      <c r="Y282" s="74"/>
      <c r="Z282" s="74"/>
    </row>
    <row r="283" spans="1:26" x14ac:dyDescent="0.3">
      <c r="A283" s="66">
        <f t="shared" si="32"/>
        <v>2017.5999999999749</v>
      </c>
      <c r="B283" s="67">
        <f>LOOKUP(A283+0.01,AmountsB!$A$4:$A$103,AmountsB!$B$4:$B$103)*0.1*$A$2</f>
        <v>0</v>
      </c>
      <c r="C283" s="68">
        <f t="shared" si="31"/>
        <v>625969.29735898925</v>
      </c>
      <c r="D283" s="67">
        <f t="array" ref="D283">SUM($B$7:$B278*$F$1009*EXP(-$F$1009*($A283-$A$7:$A278)))*$F$1010</f>
        <v>75757912.867134094</v>
      </c>
      <c r="E283" s="67">
        <f t="shared" si="29"/>
        <v>144.42577296803091</v>
      </c>
      <c r="F283" s="70">
        <f t="shared" si="33"/>
        <v>8.7695329346188373</v>
      </c>
      <c r="G283" s="67">
        <f>E283/'Lookup Tables'!$C$48</f>
        <v>288.85154593606183</v>
      </c>
      <c r="H283" s="70">
        <f t="shared" si="30"/>
        <v>0.12126822608116365</v>
      </c>
      <c r="I283" s="71">
        <f t="shared" si="34"/>
        <v>0.41594622614792909</v>
      </c>
      <c r="L283" s="74"/>
      <c r="M283" s="74"/>
      <c r="N283" s="74"/>
      <c r="O283" s="74"/>
      <c r="P283" s="74"/>
      <c r="Q283" s="74"/>
      <c r="R283" s="74"/>
      <c r="S283" s="74"/>
      <c r="T283" s="74"/>
      <c r="U283" s="74"/>
      <c r="V283" s="74"/>
      <c r="W283" s="74"/>
      <c r="X283" s="74"/>
      <c r="Y283" s="74"/>
      <c r="Z283" s="74"/>
    </row>
    <row r="284" spans="1:26" x14ac:dyDescent="0.3">
      <c r="A284" s="66">
        <f t="shared" si="32"/>
        <v>2017.6999999999748</v>
      </c>
      <c r="B284" s="67">
        <f>LOOKUP(A284+0.01,AmountsB!$A$4:$A$103,AmountsB!$B$4:$B$103)*0.1*$A$2</f>
        <v>0</v>
      </c>
      <c r="C284" s="68">
        <f t="shared" si="31"/>
        <v>625969.29735898925</v>
      </c>
      <c r="D284" s="67">
        <f t="array" ref="D284">SUM($B$7:$B279*$F$1009*EXP(-$F$1009*($A284-$A$7:$A279)))*$F$1010</f>
        <v>75229459.222670883</v>
      </c>
      <c r="E284" s="67">
        <f t="shared" si="29"/>
        <v>143.41832274678171</v>
      </c>
      <c r="F284" s="70">
        <f t="shared" si="33"/>
        <v>8.7083605571845855</v>
      </c>
      <c r="G284" s="67">
        <f>E284/'Lookup Tables'!$C$48</f>
        <v>286.83664549356342</v>
      </c>
      <c r="H284" s="70">
        <f t="shared" si="30"/>
        <v>0.1204223126497499</v>
      </c>
      <c r="I284" s="71">
        <f t="shared" si="34"/>
        <v>0.41304476951073132</v>
      </c>
      <c r="L284" s="74"/>
      <c r="M284" s="74"/>
      <c r="N284" s="74"/>
      <c r="O284" s="74"/>
      <c r="P284" s="74"/>
      <c r="Q284" s="74"/>
      <c r="R284" s="74"/>
      <c r="S284" s="74"/>
      <c r="T284" s="74"/>
      <c r="U284" s="74"/>
      <c r="V284" s="74"/>
      <c r="W284" s="74"/>
      <c r="X284" s="74"/>
      <c r="Y284" s="74"/>
      <c r="Z284" s="74"/>
    </row>
    <row r="285" spans="1:26" x14ac:dyDescent="0.3">
      <c r="A285" s="66">
        <f t="shared" si="32"/>
        <v>2017.7999999999747</v>
      </c>
      <c r="B285" s="67">
        <f>LOOKUP(A285+0.01,AmountsB!$A$4:$A$103,AmountsB!$B$4:$B$103)*0.1*$A$2</f>
        <v>0</v>
      </c>
      <c r="C285" s="68">
        <f t="shared" si="31"/>
        <v>625969.29735898925</v>
      </c>
      <c r="D285" s="67">
        <f t="array" ref="D285">SUM($B$7:$B280*$F$1009*EXP(-$F$1009*($A285-$A$7:$A280)))*$F$1010</f>
        <v>74704691.836761758</v>
      </c>
      <c r="E285" s="67">
        <f t="shared" si="29"/>
        <v>142.41790005204271</v>
      </c>
      <c r="F285" s="70">
        <f t="shared" si="33"/>
        <v>8.6476148911600337</v>
      </c>
      <c r="G285" s="67">
        <f>E285/'Lookup Tables'!$C$48</f>
        <v>284.83580010408542</v>
      </c>
      <c r="H285" s="70">
        <f t="shared" si="30"/>
        <v>0.11958229993575052</v>
      </c>
      <c r="I285" s="71">
        <f t="shared" si="34"/>
        <v>0.41016355214988298</v>
      </c>
      <c r="L285" s="74"/>
      <c r="M285" s="74"/>
      <c r="N285" s="74"/>
      <c r="O285" s="74"/>
      <c r="P285" s="74"/>
      <c r="Q285" s="74"/>
      <c r="R285" s="74"/>
      <c r="S285" s="74"/>
      <c r="T285" s="74"/>
      <c r="U285" s="74"/>
      <c r="V285" s="74"/>
      <c r="W285" s="74"/>
      <c r="X285" s="74"/>
      <c r="Y285" s="74"/>
      <c r="Z285" s="74"/>
    </row>
    <row r="286" spans="1:26" x14ac:dyDescent="0.3">
      <c r="A286" s="66">
        <f t="shared" si="32"/>
        <v>2017.8999999999746</v>
      </c>
      <c r="B286" s="67">
        <f>LOOKUP(A286+0.01,AmountsB!$A$4:$A$103,AmountsB!$B$4:$B$103)*0.1*$A$2</f>
        <v>0</v>
      </c>
      <c r="C286" s="68">
        <f t="shared" si="31"/>
        <v>625969.29735898925</v>
      </c>
      <c r="D286" s="67">
        <f t="array" ref="D286">SUM($B$7:$B281*$F$1009*EXP(-$F$1009*($A286-$A$7:$A281)))*$F$1010</f>
        <v>74183584.995699808</v>
      </c>
      <c r="E286" s="67">
        <f t="shared" si="29"/>
        <v>141.42445586290177</v>
      </c>
      <c r="F286" s="70">
        <f t="shared" si="33"/>
        <v>8.5872929599953967</v>
      </c>
      <c r="G286" s="67">
        <f>E286/'Lookup Tables'!$C$48</f>
        <v>282.84891172580353</v>
      </c>
      <c r="H286" s="70">
        <f t="shared" si="30"/>
        <v>0.11874814677837443</v>
      </c>
      <c r="I286" s="71">
        <f t="shared" si="34"/>
        <v>0.40730243288515711</v>
      </c>
      <c r="L286" s="74"/>
      <c r="M286" s="74"/>
      <c r="N286" s="74"/>
      <c r="O286" s="74"/>
      <c r="P286" s="74"/>
      <c r="Q286" s="74"/>
      <c r="R286" s="74"/>
      <c r="S286" s="74"/>
      <c r="T286" s="74"/>
      <c r="U286" s="74"/>
      <c r="V286" s="74"/>
      <c r="W286" s="74"/>
      <c r="X286" s="74"/>
      <c r="Y286" s="74"/>
      <c r="Z286" s="74"/>
    </row>
    <row r="287" spans="1:26" x14ac:dyDescent="0.3">
      <c r="A287" s="66">
        <f t="shared" si="32"/>
        <v>2017.9999999999745</v>
      </c>
      <c r="B287" s="67">
        <f>LOOKUP(A287+0.01,AmountsB!$A$4:$A$103,AmountsB!$B$4:$B$103)*0.1*$A$2</f>
        <v>0</v>
      </c>
      <c r="C287" s="68">
        <f t="shared" si="31"/>
        <v>625969.29735898925</v>
      </c>
      <c r="D287" s="67">
        <f t="array" ref="D287">SUM($B$7:$B282*$F$1009*EXP(-$F$1009*($A287-$A$7:$A282)))*$F$1010</f>
        <v>73666113.165145561</v>
      </c>
      <c r="E287" s="67">
        <f t="shared" si="29"/>
        <v>140.4379415003948</v>
      </c>
      <c r="F287" s="70">
        <f t="shared" si="33"/>
        <v>8.527391807903971</v>
      </c>
      <c r="G287" s="67">
        <f>E287/'Lookup Tables'!$C$48</f>
        <v>280.8758830007896</v>
      </c>
      <c r="H287" s="70">
        <f t="shared" si="30"/>
        <v>0.11791981230395003</v>
      </c>
      <c r="I287" s="71">
        <f t="shared" si="34"/>
        <v>0.40446127152113698</v>
      </c>
      <c r="L287" s="74"/>
      <c r="M287" s="74"/>
      <c r="N287" s="74"/>
      <c r="O287" s="74"/>
      <c r="P287" s="74"/>
      <c r="Q287" s="74"/>
      <c r="R287" s="74"/>
      <c r="S287" s="74"/>
      <c r="T287" s="74"/>
      <c r="U287" s="74"/>
      <c r="V287" s="74"/>
      <c r="W287" s="74"/>
      <c r="X287" s="74"/>
      <c r="Y287" s="74"/>
      <c r="Z287" s="74"/>
    </row>
    <row r="288" spans="1:26" x14ac:dyDescent="0.3">
      <c r="A288" s="66">
        <f t="shared" si="32"/>
        <v>2018.0999999999744</v>
      </c>
      <c r="B288" s="67">
        <f>LOOKUP(A288+0.01,AmountsB!$A$4:$A$103,AmountsB!$B$4:$B$103)*0.1*$A$2</f>
        <v>0</v>
      </c>
      <c r="C288" s="68">
        <f t="shared" si="31"/>
        <v>625969.29735898925</v>
      </c>
      <c r="D288" s="67">
        <f t="array" ref="D288">SUM($B$7:$B283*$F$1009*EXP(-$F$1009*($A288-$A$7:$A283)))*$F$1010</f>
        <v>73152250.988875806</v>
      </c>
      <c r="E288" s="67">
        <f t="shared" si="29"/>
        <v>139.45830862512071</v>
      </c>
      <c r="F288" s="70">
        <f t="shared" si="33"/>
        <v>8.4679084997173302</v>
      </c>
      <c r="G288" s="67">
        <f>E288/'Lookup Tables'!$C$48</f>
        <v>278.91661725024142</v>
      </c>
      <c r="H288" s="70">
        <f t="shared" si="30"/>
        <v>0.11709725592392241</v>
      </c>
      <c r="I288" s="71">
        <f t="shared" si="34"/>
        <v>0.40163992884034766</v>
      </c>
      <c r="L288" s="74"/>
      <c r="M288" s="74"/>
      <c r="N288" s="74"/>
      <c r="O288" s="74"/>
      <c r="P288" s="74"/>
      <c r="Q288" s="74"/>
      <c r="R288" s="74"/>
      <c r="S288" s="74"/>
      <c r="T288" s="74"/>
      <c r="U288" s="74"/>
      <c r="V288" s="74"/>
      <c r="W288" s="74"/>
      <c r="X288" s="74"/>
      <c r="Y288" s="74"/>
      <c r="Z288" s="74"/>
    </row>
    <row r="289" spans="1:26" x14ac:dyDescent="0.3">
      <c r="A289" s="66">
        <f t="shared" si="32"/>
        <v>2018.1999999999744</v>
      </c>
      <c r="B289" s="67">
        <f>LOOKUP(A289+0.01,AmountsB!$A$4:$A$103,AmountsB!$B$4:$B$103)*0.1*$A$2</f>
        <v>0</v>
      </c>
      <c r="C289" s="68">
        <f t="shared" si="31"/>
        <v>625969.29735898925</v>
      </c>
      <c r="D289" s="67">
        <f t="array" ref="D289">SUM($B$7:$B284*$F$1009*EXP(-$F$1009*($A289-$A$7:$A284)))*$F$1010</f>
        <v>72641973.287541032</v>
      </c>
      <c r="E289" s="67">
        <f t="shared" si="29"/>
        <v>138.48550923487252</v>
      </c>
      <c r="F289" s="70">
        <f t="shared" si="33"/>
        <v>8.4088401207414591</v>
      </c>
      <c r="G289" s="67">
        <f>E289/'Lookup Tables'!$C$48</f>
        <v>276.97101846974505</v>
      </c>
      <c r="H289" s="70">
        <f t="shared" si="30"/>
        <v>0.11628043733286424</v>
      </c>
      <c r="I289" s="71">
        <f t="shared" si="34"/>
        <v>0.3988382665964329</v>
      </c>
      <c r="L289" s="74"/>
      <c r="M289" s="74"/>
      <c r="N289" s="74"/>
      <c r="O289" s="74"/>
      <c r="P289" s="74"/>
      <c r="Q289" s="74"/>
      <c r="R289" s="74"/>
      <c r="S289" s="74"/>
      <c r="T289" s="74"/>
      <c r="U289" s="74"/>
      <c r="V289" s="74"/>
      <c r="W289" s="74"/>
      <c r="X289" s="74"/>
      <c r="Y289" s="74"/>
      <c r="Z289" s="74"/>
    </row>
    <row r="290" spans="1:26" x14ac:dyDescent="0.3">
      <c r="A290" s="66">
        <f t="shared" si="32"/>
        <v>2018.2999999999743</v>
      </c>
      <c r="B290" s="67">
        <f>LOOKUP(A290+0.01,AmountsB!$A$4:$A$103,AmountsB!$B$4:$B$103)*0.1*$A$2</f>
        <v>0</v>
      </c>
      <c r="C290" s="68">
        <f t="shared" si="31"/>
        <v>625969.29735898925</v>
      </c>
      <c r="D290" s="67">
        <f t="array" ref="D290">SUM($B$7:$B285*$F$1009*EXP(-$F$1009*($A290-$A$7:$A285)))*$F$1010</f>
        <v>72135255.057431847</v>
      </c>
      <c r="E290" s="67">
        <f t="shared" si="29"/>
        <v>137.51949566228555</v>
      </c>
      <c r="F290" s="70">
        <f t="shared" si="33"/>
        <v>8.3501837766139797</v>
      </c>
      <c r="G290" s="67">
        <f>E290/'Lookup Tables'!$C$48</f>
        <v>275.0389913245711</v>
      </c>
      <c r="H290" s="70">
        <f t="shared" si="30"/>
        <v>0.11546931650650119</v>
      </c>
      <c r="I290" s="71">
        <f t="shared" si="34"/>
        <v>0.39605614750738244</v>
      </c>
      <c r="L290" s="74"/>
      <c r="M290" s="74"/>
      <c r="N290" s="74"/>
      <c r="O290" s="74"/>
      <c r="P290" s="74"/>
      <c r="Q290" s="74"/>
      <c r="R290" s="74"/>
      <c r="S290" s="74"/>
      <c r="T290" s="74"/>
      <c r="U290" s="74"/>
      <c r="V290" s="74"/>
      <c r="W290" s="74"/>
      <c r="X290" s="74"/>
      <c r="Y290" s="74"/>
      <c r="Z290" s="74"/>
    </row>
    <row r="291" spans="1:26" x14ac:dyDescent="0.3">
      <c r="A291" s="66">
        <f t="shared" si="32"/>
        <v>2018.3999999999742</v>
      </c>
      <c r="B291" s="67">
        <f>LOOKUP(A291+0.01,AmountsB!$A$4:$A$103,AmountsB!$B$4:$B$103)*0.1*$A$2</f>
        <v>0</v>
      </c>
      <c r="C291" s="68">
        <f t="shared" si="31"/>
        <v>625969.29735898925</v>
      </c>
      <c r="D291" s="67">
        <f t="array" ref="D291">SUM($B$7:$B286*$F$1009*EXP(-$F$1009*($A291-$A$7:$A286)))*$F$1010</f>
        <v>71632071.469253525</v>
      </c>
      <c r="E291" s="67">
        <f t="shared" si="29"/>
        <v>136.56022057250138</v>
      </c>
      <c r="F291" s="70">
        <f t="shared" si="33"/>
        <v>8.2919365931622835</v>
      </c>
      <c r="G291" s="67">
        <f>E291/'Lookup Tables'!$C$48</f>
        <v>273.12044114500276</v>
      </c>
      <c r="H291" s="70">
        <f t="shared" si="30"/>
        <v>0.11466385369975046</v>
      </c>
      <c r="I291" s="71">
        <f t="shared" si="34"/>
        <v>0.393293435248804</v>
      </c>
      <c r="L291" s="74"/>
      <c r="M291" s="74"/>
      <c r="N291" s="74"/>
      <c r="O291" s="74"/>
      <c r="P291" s="74"/>
      <c r="Q291" s="74"/>
      <c r="R291" s="74"/>
      <c r="S291" s="74"/>
      <c r="T291" s="74"/>
      <c r="U291" s="74"/>
      <c r="V291" s="74"/>
      <c r="W291" s="74"/>
      <c r="X291" s="74"/>
      <c r="Y291" s="74"/>
      <c r="Z291" s="74"/>
    </row>
    <row r="292" spans="1:26" x14ac:dyDescent="0.3">
      <c r="A292" s="66">
        <f t="shared" si="32"/>
        <v>2018.4999999999741</v>
      </c>
      <c r="B292" s="67">
        <f>LOOKUP(A292+0.01,AmountsB!$A$4:$A$103,AmountsB!$B$4:$B$103)*0.1*$A$2</f>
        <v>0</v>
      </c>
      <c r="C292" s="68">
        <f t="shared" si="31"/>
        <v>625969.29735898925</v>
      </c>
      <c r="D292" s="67">
        <f t="array" ref="D292">SUM($B$7:$B287*$F$1009*EXP(-$F$1009*($A292-$A$7:$A287)))*$F$1010</f>
        <v>71132397.866909638</v>
      </c>
      <c r="E292" s="67">
        <f t="shared" si="29"/>
        <v>135.60763696084879</v>
      </c>
      <c r="F292" s="70">
        <f t="shared" si="33"/>
        <v>8.234095716262738</v>
      </c>
      <c r="G292" s="67">
        <f>E292/'Lookup Tables'!$C$48</f>
        <v>271.21527392169759</v>
      </c>
      <c r="H292" s="70">
        <f t="shared" si="30"/>
        <v>0.11386400944477341</v>
      </c>
      <c r="I292" s="71">
        <f t="shared" si="34"/>
        <v>0.39054999444724453</v>
      </c>
      <c r="L292" s="74"/>
      <c r="M292" s="74"/>
      <c r="N292" s="74"/>
      <c r="O292" s="74"/>
      <c r="P292" s="74"/>
      <c r="Q292" s="74"/>
      <c r="R292" s="74"/>
      <c r="S292" s="74"/>
      <c r="T292" s="74"/>
      <c r="U292" s="74"/>
      <c r="V292" s="74"/>
      <c r="W292" s="74"/>
      <c r="X292" s="74"/>
      <c r="Y292" s="74"/>
      <c r="Z292" s="74"/>
    </row>
    <row r="293" spans="1:26" x14ac:dyDescent="0.3">
      <c r="A293" s="66">
        <f t="shared" si="32"/>
        <v>2018.599999999974</v>
      </c>
      <c r="B293" s="67">
        <f>LOOKUP(A293+0.01,AmountsB!$A$4:$A$103,AmountsB!$B$4:$B$103)*0.1*$A$2</f>
        <v>0</v>
      </c>
      <c r="C293" s="68">
        <f t="shared" si="31"/>
        <v>625969.29735898925</v>
      </c>
      <c r="D293" s="67">
        <f t="array" ref="D293">SUM($B$7:$B288*$F$1009*EXP(-$F$1009*($A293-$A$7:$A288)))*$F$1010</f>
        <v>70636209.766293615</v>
      </c>
      <c r="E293" s="67">
        <f t="shared" si="29"/>
        <v>134.66169815054008</v>
      </c>
      <c r="F293" s="70">
        <f t="shared" si="33"/>
        <v>8.1766583117007929</v>
      </c>
      <c r="G293" s="67">
        <f>E293/'Lookup Tables'!$C$48</f>
        <v>269.32339630108015</v>
      </c>
      <c r="H293" s="70">
        <f t="shared" si="30"/>
        <v>0.11306974454904142</v>
      </c>
      <c r="I293" s="71">
        <f t="shared" si="34"/>
        <v>0.38782569067355543</v>
      </c>
      <c r="L293" s="74"/>
      <c r="M293" s="74"/>
      <c r="N293" s="74"/>
      <c r="O293" s="74"/>
      <c r="P293" s="74"/>
      <c r="Q293" s="74"/>
      <c r="R293" s="74"/>
      <c r="S293" s="74"/>
      <c r="T293" s="74"/>
      <c r="U293" s="74"/>
      <c r="V293" s="74"/>
      <c r="W293" s="74"/>
      <c r="X293" s="74"/>
      <c r="Y293" s="74"/>
      <c r="Z293" s="74"/>
    </row>
    <row r="294" spans="1:26" x14ac:dyDescent="0.3">
      <c r="A294" s="66">
        <f t="shared" si="32"/>
        <v>2018.6999999999739</v>
      </c>
      <c r="B294" s="67">
        <f>LOOKUP(A294+0.01,AmountsB!$A$4:$A$103,AmountsB!$B$4:$B$103)*0.1*$A$2</f>
        <v>0</v>
      </c>
      <c r="C294" s="68">
        <f t="shared" si="31"/>
        <v>625969.29735898925</v>
      </c>
      <c r="D294" s="67">
        <f t="array" ref="D294">SUM($B$7:$B289*$F$1009*EXP(-$F$1009*($A294-$A$7:$A289)))*$F$1010</f>
        <v>70143482.85408932</v>
      </c>
      <c r="E294" s="67">
        <f t="shared" si="29"/>
        <v>133.72235779038442</v>
      </c>
      <c r="F294" s="70">
        <f t="shared" si="33"/>
        <v>8.1196215650321424</v>
      </c>
      <c r="G294" s="67">
        <f>E294/'Lookup Tables'!$C$48</f>
        <v>267.44471558076884</v>
      </c>
      <c r="H294" s="70">
        <f t="shared" si="30"/>
        <v>0.11228102009341581</v>
      </c>
      <c r="I294" s="71">
        <f t="shared" si="34"/>
        <v>0.38512039043630714</v>
      </c>
      <c r="L294" s="74"/>
      <c r="M294" s="74"/>
      <c r="N294" s="74"/>
      <c r="O294" s="74"/>
      <c r="P294" s="74"/>
      <c r="Q294" s="74"/>
      <c r="R294" s="74"/>
      <c r="S294" s="74"/>
      <c r="T294" s="74"/>
      <c r="U294" s="74"/>
      <c r="V294" s="74"/>
      <c r="W294" s="74"/>
      <c r="X294" s="74"/>
      <c r="Y294" s="74"/>
      <c r="Z294" s="74"/>
    </row>
    <row r="295" spans="1:26" x14ac:dyDescent="0.3">
      <c r="A295" s="66">
        <f t="shared" si="32"/>
        <v>2018.7999999999738</v>
      </c>
      <c r="B295" s="67">
        <f>LOOKUP(A295+0.01,AmountsB!$A$4:$A$103,AmountsB!$B$4:$B$103)*0.1*$A$2</f>
        <v>0</v>
      </c>
      <c r="C295" s="68">
        <f t="shared" si="31"/>
        <v>625969.29735898925</v>
      </c>
      <c r="D295" s="67">
        <f t="array" ref="D295">SUM($B$7:$B290*$F$1009*EXP(-$F$1009*($A295-$A$7:$A290)))*$F$1010</f>
        <v>69654192.986579418</v>
      </c>
      <c r="E295" s="67">
        <f t="shared" si="29"/>
        <v>132.78956985251608</v>
      </c>
      <c r="F295" s="70">
        <f t="shared" si="33"/>
        <v>8.062982681444776</v>
      </c>
      <c r="G295" s="67">
        <f>E295/'Lookup Tables'!$C$48</f>
        <v>265.57913970503216</v>
      </c>
      <c r="H295" s="70">
        <f t="shared" si="30"/>
        <v>0.11149779743024034</v>
      </c>
      <c r="I295" s="71">
        <f t="shared" si="34"/>
        <v>0.38243396117524636</v>
      </c>
      <c r="L295" s="74"/>
      <c r="M295" s="74"/>
      <c r="N295" s="74"/>
      <c r="O295" s="74"/>
      <c r="P295" s="74"/>
      <c r="Q295" s="74"/>
      <c r="R295" s="74"/>
      <c r="S295" s="74"/>
      <c r="T295" s="74"/>
      <c r="U295" s="74"/>
      <c r="V295" s="74"/>
      <c r="W295" s="74"/>
      <c r="X295" s="74"/>
      <c r="Y295" s="74"/>
      <c r="Z295" s="74"/>
    </row>
    <row r="296" spans="1:26" x14ac:dyDescent="0.3">
      <c r="A296" s="66">
        <f t="shared" si="32"/>
        <v>2018.8999999999737</v>
      </c>
      <c r="B296" s="67">
        <f>LOOKUP(A296+0.01,AmountsB!$A$4:$A$103,AmountsB!$B$4:$B$103)*0.1*$A$2</f>
        <v>0</v>
      </c>
      <c r="C296" s="68">
        <f t="shared" si="31"/>
        <v>625969.29735898925</v>
      </c>
      <c r="D296" s="67">
        <f t="array" ref="D296">SUM($B$7:$B291*$F$1009*EXP(-$F$1009*($A296-$A$7:$A291)))*$F$1010</f>
        <v>69168316.188462511</v>
      </c>
      <c r="E296" s="67">
        <f t="shared" si="29"/>
        <v>131.86328863013949</v>
      </c>
      <c r="F296" s="70">
        <f t="shared" si="33"/>
        <v>8.0067388856220703</v>
      </c>
      <c r="G296" s="67">
        <f>E296/'Lookup Tables'!$C$48</f>
        <v>263.72657726027899</v>
      </c>
      <c r="H296" s="70">
        <f t="shared" si="30"/>
        <v>0.11072003818144777</v>
      </c>
      <c r="I296" s="71">
        <f t="shared" si="34"/>
        <v>0.37976627125480172</v>
      </c>
      <c r="L296" s="74"/>
      <c r="M296" s="74"/>
      <c r="N296" s="74"/>
      <c r="O296" s="74"/>
      <c r="P296" s="74"/>
      <c r="Q296" s="74"/>
      <c r="R296" s="74"/>
      <c r="S296" s="74"/>
      <c r="T296" s="74"/>
      <c r="U296" s="74"/>
      <c r="V296" s="74"/>
      <c r="W296" s="74"/>
      <c r="X296" s="74"/>
      <c r="Y296" s="74"/>
      <c r="Z296" s="74"/>
    </row>
    <row r="297" spans="1:26" x14ac:dyDescent="0.3">
      <c r="A297" s="66">
        <f t="shared" si="32"/>
        <v>2018.9999999999736</v>
      </c>
      <c r="B297" s="67">
        <f>LOOKUP(A297+0.01,AmountsB!$A$4:$A$103,AmountsB!$B$4:$B$103)*0.1*$A$2</f>
        <v>0</v>
      </c>
      <c r="C297" s="68">
        <f t="shared" si="31"/>
        <v>625969.29735898925</v>
      </c>
      <c r="D297" s="67">
        <f t="array" ref="D297">SUM($B$7:$B292*$F$1009*EXP(-$F$1009*($A297-$A$7:$A292)))*$F$1010</f>
        <v>68685828.651678294</v>
      </c>
      <c r="E297" s="67">
        <f t="shared" si="29"/>
        <v>130.94346873528951</v>
      </c>
      <c r="F297" s="70">
        <f t="shared" si="33"/>
        <v>7.9508874216067795</v>
      </c>
      <c r="G297" s="67">
        <f>E297/'Lookup Tables'!$C$48</f>
        <v>261.88693747057903</v>
      </c>
      <c r="H297" s="70">
        <f t="shared" si="30"/>
        <v>0.10994770423667941</v>
      </c>
      <c r="I297" s="71">
        <f t="shared" si="34"/>
        <v>0.37711718995763377</v>
      </c>
      <c r="L297" s="74"/>
      <c r="M297" s="74"/>
      <c r="N297" s="74"/>
      <c r="O297" s="74"/>
      <c r="P297" s="74"/>
      <c r="Q297" s="74"/>
      <c r="R297" s="74"/>
      <c r="S297" s="74"/>
      <c r="T297" s="74"/>
      <c r="U297" s="74"/>
      <c r="V297" s="74"/>
      <c r="W297" s="74"/>
      <c r="X297" s="74"/>
      <c r="Y297" s="74"/>
      <c r="Z297" s="74"/>
    </row>
    <row r="298" spans="1:26" x14ac:dyDescent="0.3">
      <c r="A298" s="66">
        <f t="shared" si="32"/>
        <v>2019.0999999999735</v>
      </c>
      <c r="B298" s="67">
        <f>LOOKUP(A298+0.01,AmountsB!$A$4:$A$103,AmountsB!$B$4:$B$103)*0.1*$A$2</f>
        <v>0</v>
      </c>
      <c r="C298" s="68">
        <f t="shared" si="31"/>
        <v>625969.29735898925</v>
      </c>
      <c r="D298" s="67">
        <f t="array" ref="D298">SUM($B$7:$B293*$F$1009*EXP(-$F$1009*($A298-$A$7:$A293)))*$F$1010</f>
        <v>68206706.73424089</v>
      </c>
      <c r="E298" s="67">
        <f t="shared" si="29"/>
        <v>130.03006509660713</v>
      </c>
      <c r="F298" s="70">
        <f t="shared" si="33"/>
        <v>7.8954255526659853</v>
      </c>
      <c r="G298" s="67">
        <f>E298/'Lookup Tables'!$C$48</f>
        <v>260.06013019321426</v>
      </c>
      <c r="H298" s="70">
        <f t="shared" si="30"/>
        <v>0.10918075775141731</v>
      </c>
      <c r="I298" s="71">
        <f t="shared" si="34"/>
        <v>0.37448658747822855</v>
      </c>
      <c r="L298" s="74"/>
      <c r="M298" s="74"/>
      <c r="N298" s="74"/>
      <c r="O298" s="74"/>
      <c r="P298" s="74"/>
      <c r="Q298" s="74"/>
      <c r="R298" s="74"/>
      <c r="S298" s="74"/>
      <c r="T298" s="74"/>
      <c r="U298" s="74"/>
      <c r="V298" s="74"/>
      <c r="W298" s="74"/>
      <c r="X298" s="74"/>
      <c r="Y298" s="74"/>
      <c r="Z298" s="74"/>
    </row>
    <row r="299" spans="1:26" x14ac:dyDescent="0.3">
      <c r="A299" s="66">
        <f t="shared" si="32"/>
        <v>2019.1999999999734</v>
      </c>
      <c r="B299" s="67">
        <f>LOOKUP(A299+0.01,AmountsB!$A$4:$A$103,AmountsB!$B$4:$B$103)*0.1*$A$2</f>
        <v>0</v>
      </c>
      <c r="C299" s="68">
        <f t="shared" si="31"/>
        <v>625969.29735898925</v>
      </c>
      <c r="D299" s="67">
        <f t="array" ref="D299">SUM($B$7:$B294*$F$1009*EXP(-$F$1009*($A299-$A$7:$A294)))*$F$1010</f>
        <v>67730926.959080532</v>
      </c>
      <c r="E299" s="67">
        <f t="shared" si="29"/>
        <v>129.12303295713144</v>
      </c>
      <c r="F299" s="70">
        <f t="shared" si="33"/>
        <v>7.8403505611570203</v>
      </c>
      <c r="G299" s="67">
        <f>E299/'Lookup Tables'!$C$48</f>
        <v>258.24606591426289</v>
      </c>
      <c r="H299" s="70">
        <f t="shared" si="30"/>
        <v>0.10841916114513038</v>
      </c>
      <c r="I299" s="71">
        <f t="shared" si="34"/>
        <v>0.37187433491653854</v>
      </c>
      <c r="L299" s="74"/>
      <c r="M299" s="74"/>
      <c r="N299" s="74"/>
      <c r="O299" s="74"/>
      <c r="P299" s="74"/>
      <c r="Q299" s="74"/>
      <c r="R299" s="74"/>
      <c r="S299" s="74"/>
      <c r="T299" s="74"/>
      <c r="U299" s="74"/>
      <c r="V299" s="74"/>
      <c r="W299" s="74"/>
      <c r="X299" s="74"/>
      <c r="Y299" s="74"/>
      <c r="Z299" s="74"/>
    </row>
    <row r="300" spans="1:26" x14ac:dyDescent="0.3">
      <c r="A300" s="66">
        <f t="shared" si="32"/>
        <v>2019.2999999999734</v>
      </c>
      <c r="B300" s="67">
        <f>LOOKUP(A300+0.01,AmountsB!$A$4:$A$103,AmountsB!$B$4:$B$103)*0.1*$A$2</f>
        <v>0</v>
      </c>
      <c r="C300" s="68">
        <f t="shared" si="31"/>
        <v>625969.29735898925</v>
      </c>
      <c r="D300" s="67">
        <f t="array" ref="D300">SUM($B$7:$B295*$F$1009*EXP(-$F$1009*($A300-$A$7:$A295)))*$F$1010</f>
        <v>67258466.012893021</v>
      </c>
      <c r="E300" s="67">
        <f t="shared" si="29"/>
        <v>128.22232787210606</v>
      </c>
      <c r="F300" s="70">
        <f t="shared" si="33"/>
        <v>7.7856597483942807</v>
      </c>
      <c r="G300" s="67">
        <f>E300/'Lookup Tables'!$C$48</f>
        <v>256.44465574421213</v>
      </c>
      <c r="H300" s="70">
        <f t="shared" si="30"/>
        <v>0.10766287709943244</v>
      </c>
      <c r="I300" s="71">
        <f t="shared" si="34"/>
        <v>0.36928030427166547</v>
      </c>
      <c r="L300" s="74"/>
      <c r="M300" s="74"/>
      <c r="N300" s="74"/>
      <c r="O300" s="74"/>
      <c r="P300" s="74"/>
      <c r="Q300" s="74"/>
      <c r="R300" s="74"/>
      <c r="S300" s="74"/>
      <c r="T300" s="74"/>
      <c r="U300" s="74"/>
      <c r="V300" s="74"/>
      <c r="W300" s="74"/>
      <c r="X300" s="74"/>
      <c r="Y300" s="74"/>
      <c r="Z300" s="74"/>
    </row>
    <row r="301" spans="1:26" x14ac:dyDescent="0.3">
      <c r="A301" s="66">
        <f t="shared" si="32"/>
        <v>2019.3999999999733</v>
      </c>
      <c r="B301" s="67">
        <f>LOOKUP(A301+0.01,AmountsB!$A$4:$A$103,AmountsB!$B$4:$B$103)*0.1*$A$2</f>
        <v>0</v>
      </c>
      <c r="C301" s="68">
        <f t="shared" si="31"/>
        <v>625969.29735898925</v>
      </c>
      <c r="D301" s="67">
        <f t="array" ref="D301">SUM($B$7:$B296*$F$1009*EXP(-$F$1009*($A301-$A$7:$A296)))*$F$1010</f>
        <v>66789300.744997442</v>
      </c>
      <c r="E301" s="67">
        <f t="shared" si="29"/>
        <v>127.32790570680154</v>
      </c>
      <c r="F301" s="70">
        <f t="shared" si="33"/>
        <v>7.7313504345169894</v>
      </c>
      <c r="G301" s="67">
        <f>E301/'Lookup Tables'!$C$48</f>
        <v>254.65581141360309</v>
      </c>
      <c r="H301" s="70">
        <f t="shared" si="30"/>
        <v>0.10691186855625394</v>
      </c>
      <c r="I301" s="71">
        <f t="shared" si="34"/>
        <v>0.36670436843558846</v>
      </c>
      <c r="L301" s="74"/>
      <c r="M301" s="74"/>
      <c r="N301" s="74"/>
      <c r="O301" s="74"/>
      <c r="P301" s="74"/>
      <c r="Q301" s="74"/>
      <c r="R301" s="74"/>
      <c r="S301" s="74"/>
      <c r="T301" s="74"/>
      <c r="U301" s="74"/>
      <c r="V301" s="74"/>
      <c r="W301" s="74"/>
      <c r="X301" s="74"/>
      <c r="Y301" s="74"/>
      <c r="Z301" s="74"/>
    </row>
    <row r="302" spans="1:26" x14ac:dyDescent="0.3">
      <c r="A302" s="66">
        <f t="shared" si="32"/>
        <v>2019.4999999999732</v>
      </c>
      <c r="B302" s="67">
        <f>LOOKUP(A302+0.01,AmountsB!$A$4:$A$103,AmountsB!$B$4:$B$103)*0.1*$A$2</f>
        <v>0</v>
      </c>
      <c r="C302" s="68">
        <f t="shared" si="31"/>
        <v>625969.29735898925</v>
      </c>
      <c r="D302" s="67">
        <f t="array" ref="D302">SUM($B$7:$B297*$F$1009*EXP(-$F$1009*($A302-$A$7:$A297)))*$F$1010</f>
        <v>66323408.166201815</v>
      </c>
      <c r="E302" s="67">
        <f t="shared" si="29"/>
        <v>126.4397226343529</v>
      </c>
      <c r="F302" s="70">
        <f t="shared" si="33"/>
        <v>7.677419958357909</v>
      </c>
      <c r="G302" s="67">
        <f>E302/'Lookup Tables'!$C$48</f>
        <v>252.87944526870581</v>
      </c>
      <c r="H302" s="70">
        <f t="shared" si="30"/>
        <v>0.106166098716026</v>
      </c>
      <c r="I302" s="71">
        <f t="shared" si="34"/>
        <v>0.36414640118693636</v>
      </c>
      <c r="L302" s="74"/>
      <c r="M302" s="74"/>
      <c r="N302" s="74"/>
      <c r="O302" s="74"/>
      <c r="P302" s="74"/>
      <c r="Q302" s="74"/>
      <c r="R302" s="74"/>
      <c r="S302" s="74"/>
      <c r="T302" s="74"/>
      <c r="U302" s="74"/>
      <c r="V302" s="74"/>
      <c r="W302" s="74"/>
      <c r="X302" s="74"/>
      <c r="Y302" s="74"/>
      <c r="Z302" s="74"/>
    </row>
    <row r="303" spans="1:26" x14ac:dyDescent="0.3">
      <c r="A303" s="66">
        <f t="shared" si="32"/>
        <v>2019.5999999999731</v>
      </c>
      <c r="B303" s="67">
        <f>LOOKUP(A303+0.01,AmountsB!$A$4:$A$103,AmountsB!$B$4:$B$103)*0.1*$A$2</f>
        <v>0</v>
      </c>
      <c r="C303" s="68">
        <f t="shared" si="31"/>
        <v>625969.29735898925</v>
      </c>
      <c r="D303" s="67">
        <f t="array" ref="D303">SUM($B$7:$B298*$F$1009*EXP(-$F$1009*($A303-$A$7:$A298)))*$F$1010</f>
        <v>65860765.447676562</v>
      </c>
      <c r="E303" s="67">
        <f t="shared" si="29"/>
        <v>125.55773513361187</v>
      </c>
      <c r="F303" s="70">
        <f t="shared" si="33"/>
        <v>7.6238656773129128</v>
      </c>
      <c r="G303" s="67">
        <f>E303/'Lookup Tables'!$C$48</f>
        <v>251.11547026722374</v>
      </c>
      <c r="H303" s="70">
        <f t="shared" si="30"/>
        <v>0.10542553103587725</v>
      </c>
      <c r="I303" s="71">
        <f t="shared" si="34"/>
        <v>0.36160627718480215</v>
      </c>
      <c r="L303" s="74"/>
      <c r="M303" s="74"/>
      <c r="N303" s="74"/>
      <c r="O303" s="74"/>
      <c r="P303" s="74"/>
      <c r="Q303" s="74"/>
      <c r="R303" s="74"/>
      <c r="S303" s="74"/>
      <c r="T303" s="74"/>
      <c r="U303" s="74"/>
      <c r="V303" s="74"/>
      <c r="W303" s="74"/>
      <c r="X303" s="74"/>
      <c r="Y303" s="74"/>
      <c r="Z303" s="74"/>
    </row>
    <row r="304" spans="1:26" x14ac:dyDescent="0.3">
      <c r="A304" s="66">
        <f t="shared" si="32"/>
        <v>2019.699999999973</v>
      </c>
      <c r="B304" s="67">
        <f>LOOKUP(A304+0.01,AmountsB!$A$4:$A$103,AmountsB!$B$4:$B$103)*0.1*$A$2</f>
        <v>0</v>
      </c>
      <c r="C304" s="68">
        <f t="shared" si="31"/>
        <v>625969.29735898925</v>
      </c>
      <c r="D304" s="67">
        <f t="array" ref="D304">SUM($B$7:$B299*$F$1009*EXP(-$F$1009*($A304-$A$7:$A299)))*$F$1010</f>
        <v>65401349.91983588</v>
      </c>
      <c r="E304" s="67">
        <f t="shared" si="29"/>
        <v>124.68189998701438</v>
      </c>
      <c r="F304" s="70">
        <f t="shared" si="33"/>
        <v>7.5706849672115126</v>
      </c>
      <c r="G304" s="67">
        <f>E304/'Lookup Tables'!$C$48</f>
        <v>249.36379997402875</v>
      </c>
      <c r="H304" s="70">
        <f t="shared" si="30"/>
        <v>0.10469012922784315</v>
      </c>
      <c r="I304" s="71">
        <f t="shared" si="34"/>
        <v>0.35908387196260144</v>
      </c>
      <c r="L304" s="74"/>
      <c r="M304" s="74"/>
      <c r="N304" s="74"/>
      <c r="O304" s="74"/>
      <c r="P304" s="74"/>
      <c r="Q304" s="74"/>
      <c r="R304" s="74"/>
      <c r="S304" s="74"/>
      <c r="T304" s="74"/>
      <c r="U304" s="74"/>
      <c r="V304" s="74"/>
      <c r="W304" s="74"/>
      <c r="X304" s="74"/>
      <c r="Y304" s="74"/>
      <c r="Z304" s="74"/>
    </row>
    <row r="305" spans="1:26" x14ac:dyDescent="0.3">
      <c r="A305" s="66">
        <f t="shared" si="32"/>
        <v>2019.7999999999729</v>
      </c>
      <c r="B305" s="67">
        <f>LOOKUP(A305+0.01,AmountsB!$A$4:$A$103,AmountsB!$B$4:$B$103)*0.1*$A$2</f>
        <v>0</v>
      </c>
      <c r="C305" s="68">
        <f t="shared" si="31"/>
        <v>625969.29735898925</v>
      </c>
      <c r="D305" s="67">
        <f t="array" ref="D305">SUM($B$7:$B300*$F$1009*EXP(-$F$1009*($A305-$A$7:$A300)))*$F$1010</f>
        <v>64945139.071227036</v>
      </c>
      <c r="E305" s="67">
        <f t="shared" si="29"/>
        <v>123.81217427846309</v>
      </c>
      <c r="F305" s="70">
        <f t="shared" si="33"/>
        <v>7.5178752221882794</v>
      </c>
      <c r="G305" s="67">
        <f>E305/'Lookup Tables'!$C$48</f>
        <v>247.62434855692618</v>
      </c>
      <c r="H305" s="70">
        <f t="shared" si="30"/>
        <v>0.10395985725708802</v>
      </c>
      <c r="I305" s="71">
        <f t="shared" si="34"/>
        <v>0.35657906192197369</v>
      </c>
      <c r="L305" s="74"/>
      <c r="M305" s="74"/>
      <c r="N305" s="74"/>
      <c r="O305" s="74"/>
      <c r="P305" s="74"/>
      <c r="Q305" s="74"/>
      <c r="R305" s="74"/>
      <c r="S305" s="74"/>
      <c r="T305" s="74"/>
      <c r="U305" s="74"/>
      <c r="V305" s="74"/>
      <c r="W305" s="74"/>
      <c r="X305" s="74"/>
      <c r="Y305" s="74"/>
      <c r="Z305" s="74"/>
    </row>
    <row r="306" spans="1:26" x14ac:dyDescent="0.3">
      <c r="A306" s="66">
        <f t="shared" si="32"/>
        <v>2019.8999999999728</v>
      </c>
      <c r="B306" s="67">
        <f>LOOKUP(A306+0.01,AmountsB!$A$4:$A$103,AmountsB!$B$4:$B$103)*0.1*$A$2</f>
        <v>0</v>
      </c>
      <c r="C306" s="68">
        <f t="shared" si="31"/>
        <v>625969.29735898925</v>
      </c>
      <c r="D306" s="67">
        <f t="array" ref="D306">SUM($B$7:$B301*$F$1009*EXP(-$F$1009*($A306-$A$7:$A301)))*$F$1010</f>
        <v>64492110.547427118</v>
      </c>
      <c r="E306" s="67">
        <f t="shared" si="29"/>
        <v>122.94851539122422</v>
      </c>
      <c r="F306" s="70">
        <f t="shared" si="33"/>
        <v>7.4654338545551351</v>
      </c>
      <c r="G306" s="67">
        <f>E306/'Lookup Tables'!$C$48</f>
        <v>245.89703078244844</v>
      </c>
      <c r="H306" s="70">
        <f t="shared" si="30"/>
        <v>0.10323467934013913</v>
      </c>
      <c r="I306" s="71">
        <f t="shared" si="34"/>
        <v>0.35409172432672575</v>
      </c>
      <c r="L306" s="74"/>
      <c r="M306" s="74"/>
      <c r="N306" s="74"/>
      <c r="O306" s="74"/>
      <c r="P306" s="74"/>
      <c r="Q306" s="74"/>
      <c r="R306" s="74"/>
      <c r="S306" s="74"/>
      <c r="T306" s="74"/>
      <c r="U306" s="74"/>
      <c r="V306" s="74"/>
      <c r="W306" s="74"/>
      <c r="X306" s="74"/>
      <c r="Y306" s="74"/>
      <c r="Z306" s="74"/>
    </row>
    <row r="307" spans="1:26" x14ac:dyDescent="0.3">
      <c r="A307" s="66">
        <f t="shared" si="32"/>
        <v>2019.9999999999727</v>
      </c>
      <c r="B307" s="67">
        <f>LOOKUP(A307+0.01,AmountsB!$A$4:$A$103,AmountsB!$B$4:$B$103)*0.1*$A$2</f>
        <v>0</v>
      </c>
      <c r="C307" s="68">
        <f t="shared" si="31"/>
        <v>625969.29735898925</v>
      </c>
      <c r="D307" s="67">
        <f t="array" ref="D307">SUM($B$7:$B302*$F$1009*EXP(-$F$1009*($A307-$A$7:$A302)))*$F$1010</f>
        <v>64042242.149947837</v>
      </c>
      <c r="E307" s="67">
        <f t="shared" si="29"/>
        <v>122.09088100583949</v>
      </c>
      <c r="F307" s="70">
        <f t="shared" si="33"/>
        <v>7.4133582946745742</v>
      </c>
      <c r="G307" s="67">
        <f>E307/'Lookup Tables'!$C$48</f>
        <v>244.18176201167898</v>
      </c>
      <c r="H307" s="70">
        <f t="shared" si="30"/>
        <v>0.10251455994313347</v>
      </c>
      <c r="I307" s="71">
        <f t="shared" si="34"/>
        <v>0.35162173729681773</v>
      </c>
      <c r="L307" s="74"/>
      <c r="M307" s="74"/>
      <c r="N307" s="74"/>
      <c r="O307" s="74"/>
      <c r="P307" s="74"/>
      <c r="Q307" s="74"/>
      <c r="R307" s="74"/>
      <c r="S307" s="74"/>
      <c r="T307" s="74"/>
      <c r="U307" s="74"/>
      <c r="V307" s="74"/>
      <c r="W307" s="74"/>
      <c r="X307" s="74"/>
      <c r="Y307" s="74"/>
      <c r="Z307" s="74"/>
    </row>
    <row r="308" spans="1:26" x14ac:dyDescent="0.3">
      <c r="A308" s="66">
        <f t="shared" si="32"/>
        <v>2020.0999999999726</v>
      </c>
      <c r="B308" s="67">
        <f>LOOKUP(A308+0.01,AmountsB!$A$4:$A$103,AmountsB!$B$4:$B$103)*0.1*$A$2</f>
        <v>0</v>
      </c>
      <c r="C308" s="68">
        <f t="shared" si="31"/>
        <v>625969.29735898925</v>
      </c>
      <c r="D308" s="67">
        <f t="array" ref="D308">SUM($B$7:$B303*$F$1009*EXP(-$F$1009*($A308-$A$7:$A303)))*$F$1010</f>
        <v>63595511.835147694</v>
      </c>
      <c r="E308" s="67">
        <f t="shared" si="29"/>
        <v>121.23922909805241</v>
      </c>
      <c r="F308" s="70">
        <f t="shared" si="33"/>
        <v>7.3616459908337415</v>
      </c>
      <c r="G308" s="67">
        <f>E308/'Lookup Tables'!$C$48</f>
        <v>242.47845819610481</v>
      </c>
      <c r="H308" s="70">
        <f t="shared" si="30"/>
        <v>0.10179946378007647</v>
      </c>
      <c r="I308" s="71">
        <f t="shared" si="34"/>
        <v>0.34916897980239092</v>
      </c>
      <c r="L308" s="74"/>
      <c r="M308" s="74"/>
      <c r="N308" s="74"/>
      <c r="O308" s="74"/>
      <c r="P308" s="74"/>
      <c r="Q308" s="74"/>
      <c r="R308" s="74"/>
      <c r="S308" s="74"/>
      <c r="T308" s="74"/>
      <c r="U308" s="74"/>
      <c r="V308" s="74"/>
      <c r="W308" s="74"/>
      <c r="X308" s="74"/>
      <c r="Y308" s="74"/>
      <c r="Z308" s="74"/>
    </row>
    <row r="309" spans="1:26" x14ac:dyDescent="0.3">
      <c r="A309" s="66">
        <f t="shared" si="32"/>
        <v>2020.1999999999725</v>
      </c>
      <c r="B309" s="67">
        <f>LOOKUP(A309+0.01,AmountsB!$A$4:$A$103,AmountsB!$B$4:$B$103)*0.1*$A$2</f>
        <v>0</v>
      </c>
      <c r="C309" s="68">
        <f t="shared" si="31"/>
        <v>625969.29735898925</v>
      </c>
      <c r="D309" s="67">
        <f t="array" ref="D309">SUM($B$7:$B304*$F$1009*EXP(-$F$1009*($A309-$A$7:$A304)))*$F$1010</f>
        <v>63151897.713151895</v>
      </c>
      <c r="E309" s="67">
        <f t="shared" si="29"/>
        <v>120.39351793674912</v>
      </c>
      <c r="F309" s="70">
        <f t="shared" si="33"/>
        <v>7.3102944091194066</v>
      </c>
      <c r="G309" s="67">
        <f>E309/'Lookup Tables'!$C$48</f>
        <v>240.78703587349824</v>
      </c>
      <c r="H309" s="70">
        <f t="shared" si="30"/>
        <v>0.10108935581111313</v>
      </c>
      <c r="I309" s="71">
        <f t="shared" si="34"/>
        <v>0.34673333165783748</v>
      </c>
      <c r="L309" s="74"/>
      <c r="M309" s="74"/>
      <c r="N309" s="74"/>
      <c r="O309" s="74"/>
      <c r="P309" s="74"/>
      <c r="Q309" s="74"/>
      <c r="R309" s="74"/>
      <c r="S309" s="74"/>
      <c r="T309" s="74"/>
      <c r="U309" s="74"/>
      <c r="V309" s="74"/>
      <c r="W309" s="74"/>
      <c r="X309" s="74"/>
      <c r="Y309" s="74"/>
      <c r="Z309" s="74"/>
    </row>
    <row r="310" spans="1:26" x14ac:dyDescent="0.3">
      <c r="A310" s="66">
        <f t="shared" si="32"/>
        <v>2020.2999999999724</v>
      </c>
      <c r="B310" s="67">
        <f>LOOKUP(A310+0.01,AmountsB!$A$4:$A$103,AmountsB!$B$4:$B$103)*0.1*$A$2</f>
        <v>0</v>
      </c>
      <c r="C310" s="68">
        <f t="shared" si="31"/>
        <v>625969.29735898925</v>
      </c>
      <c r="D310" s="67">
        <f t="array" ref="D310">SUM($B$7:$B305*$F$1009*EXP(-$F$1009*($A310-$A$7:$A305)))*$F$1010</f>
        <v>62711378.046779707</v>
      </c>
      <c r="E310" s="67">
        <f t="shared" si="29"/>
        <v>119.5537060819135</v>
      </c>
      <c r="F310" s="70">
        <f t="shared" si="33"/>
        <v>7.2593010332937871</v>
      </c>
      <c r="G310" s="67">
        <f>E310/'Lookup Tables'!$C$48</f>
        <v>239.10741216382701</v>
      </c>
      <c r="H310" s="70">
        <f t="shared" si="30"/>
        <v>0.10038420124081082</v>
      </c>
      <c r="I310" s="71">
        <f t="shared" si="34"/>
        <v>0.34431467351591089</v>
      </c>
      <c r="L310" s="74"/>
      <c r="M310" s="74"/>
      <c r="N310" s="74"/>
      <c r="O310" s="74"/>
      <c r="P310" s="74"/>
      <c r="Q310" s="74"/>
      <c r="R310" s="74"/>
      <c r="S310" s="74"/>
      <c r="T310" s="74"/>
      <c r="U310" s="74"/>
      <c r="V310" s="74"/>
      <c r="W310" s="74"/>
      <c r="X310" s="74"/>
      <c r="Y310" s="74"/>
      <c r="Z310" s="74"/>
    </row>
    <row r="311" spans="1:26" x14ac:dyDescent="0.3">
      <c r="A311" s="66">
        <f t="shared" si="32"/>
        <v>2020.3999999999724</v>
      </c>
      <c r="B311" s="67">
        <f>LOOKUP(A311+0.01,AmountsB!$A$4:$A$103,AmountsB!$B$4:$B$103)*0.1*$A$2</f>
        <v>0</v>
      </c>
      <c r="C311" s="68">
        <f t="shared" si="31"/>
        <v>625969.29735898925</v>
      </c>
      <c r="D311" s="67">
        <f t="array" ref="D311">SUM($B$7:$B306*$F$1009*EXP(-$F$1009*($A311-$A$7:$A306)))*$F$1010</f>
        <v>62273931.250479333</v>
      </c>
      <c r="E311" s="67">
        <f t="shared" si="29"/>
        <v>118.71975238259665</v>
      </c>
      <c r="F311" s="70">
        <f t="shared" si="33"/>
        <v>7.2086633646712688</v>
      </c>
      <c r="G311" s="67">
        <f>E311/'Lookup Tables'!$C$48</f>
        <v>237.43950476519331</v>
      </c>
      <c r="H311" s="70">
        <f t="shared" si="30"/>
        <v>9.9683965516454601E-2</v>
      </c>
      <c r="I311" s="71">
        <f t="shared" si="34"/>
        <v>0.34191288686187832</v>
      </c>
      <c r="L311" s="74"/>
      <c r="M311" s="74"/>
      <c r="N311" s="74"/>
      <c r="O311" s="74"/>
      <c r="P311" s="74"/>
      <c r="Q311" s="74"/>
      <c r="R311" s="74"/>
      <c r="S311" s="74"/>
      <c r="T311" s="74"/>
      <c r="U311" s="74"/>
      <c r="V311" s="74"/>
      <c r="W311" s="74"/>
      <c r="X311" s="74"/>
      <c r="Y311" s="74"/>
      <c r="Z311" s="74"/>
    </row>
    <row r="312" spans="1:26" x14ac:dyDescent="0.3">
      <c r="A312" s="66">
        <f t="shared" si="32"/>
        <v>2020.4999999999723</v>
      </c>
      <c r="B312" s="67">
        <f>LOOKUP(A312+0.01,AmountsB!$A$4:$A$103,AmountsB!$B$4:$B$103)*0.1*$A$2</f>
        <v>0</v>
      </c>
      <c r="C312" s="68">
        <f t="shared" si="31"/>
        <v>625969.29735898925</v>
      </c>
      <c r="D312" s="67">
        <f t="array" ref="D312">SUM($B$7:$B307*$F$1009*EXP(-$F$1009*($A312-$A$7:$A307)))*$F$1010</f>
        <v>61839535.889270224</v>
      </c>
      <c r="E312" s="67">
        <f t="shared" si="29"/>
        <v>117.89161597490042</v>
      </c>
      <c r="F312" s="70">
        <f t="shared" si="33"/>
        <v>7.1583789219959533</v>
      </c>
      <c r="G312" s="67">
        <f>E312/'Lookup Tables'!$C$48</f>
        <v>235.78323194980084</v>
      </c>
      <c r="H312" s="70">
        <f t="shared" si="30"/>
        <v>9.8988614326353794E-2</v>
      </c>
      <c r="I312" s="71">
        <f t="shared" si="34"/>
        <v>0.33952785400771318</v>
      </c>
      <c r="L312" s="74"/>
      <c r="M312" s="74"/>
      <c r="N312" s="74"/>
      <c r="O312" s="74"/>
      <c r="P312" s="74"/>
      <c r="Q312" s="74"/>
      <c r="R312" s="74"/>
      <c r="S312" s="74"/>
      <c r="T312" s="74"/>
      <c r="U312" s="74"/>
      <c r="V312" s="74"/>
      <c r="W312" s="74"/>
      <c r="X312" s="74"/>
      <c r="Y312" s="74"/>
      <c r="Z312" s="74"/>
    </row>
    <row r="313" spans="1:26" x14ac:dyDescent="0.3">
      <c r="A313" s="66">
        <f t="shared" si="32"/>
        <v>2020.5999999999722</v>
      </c>
      <c r="B313" s="67">
        <f>LOOKUP(A313+0.01,AmountsB!$A$4:$A$103,AmountsB!$B$4:$B$103)*0.1*$A$2</f>
        <v>0</v>
      </c>
      <c r="C313" s="68">
        <f t="shared" si="31"/>
        <v>625969.29735898925</v>
      </c>
      <c r="D313" s="67">
        <f t="array" ref="D313">SUM($B$7:$B308*$F$1009*EXP(-$F$1009*($A313-$A$7:$A308)))*$F$1010</f>
        <v>61408170.677692756</v>
      </c>
      <c r="E313" s="67">
        <f t="shared" si="29"/>
        <v>117.06925627997512</v>
      </c>
      <c r="F313" s="70">
        <f t="shared" si="33"/>
        <v>7.1084452413200898</v>
      </c>
      <c r="G313" s="67">
        <f>E313/'Lookup Tables'!$C$48</f>
        <v>234.13851255995024</v>
      </c>
      <c r="H313" s="70">
        <f t="shared" si="30"/>
        <v>9.8298113598160958E-2</v>
      </c>
      <c r="I313" s="71">
        <f t="shared" si="34"/>
        <v>0.33715945808632836</v>
      </c>
      <c r="L313" s="74"/>
      <c r="M313" s="74"/>
      <c r="N313" s="74"/>
      <c r="O313" s="74"/>
      <c r="P313" s="74"/>
      <c r="Q313" s="74"/>
      <c r="R313" s="74"/>
      <c r="S313" s="74"/>
      <c r="T313" s="74"/>
      <c r="U313" s="74"/>
      <c r="V313" s="74"/>
      <c r="W313" s="74"/>
      <c r="X313" s="74"/>
      <c r="Y313" s="74"/>
      <c r="Z313" s="74"/>
    </row>
    <row r="314" spans="1:26" x14ac:dyDescent="0.3">
      <c r="A314" s="66">
        <f t="shared" si="32"/>
        <v>2020.6999999999721</v>
      </c>
      <c r="B314" s="67">
        <f>LOOKUP(A314+0.01,AmountsB!$A$4:$A$103,AmountsB!$B$4:$B$103)*0.1*$A$2</f>
        <v>0</v>
      </c>
      <c r="C314" s="68">
        <f t="shared" si="31"/>
        <v>625969.29735898925</v>
      </c>
      <c r="D314" s="67">
        <f t="array" ref="D314">SUM($B$7:$B309*$F$1009*EXP(-$F$1009*($A314-$A$7:$A309)))*$F$1010</f>
        <v>60979814.478765249</v>
      </c>
      <c r="E314" s="67">
        <f t="shared" si="29"/>
        <v>116.25263300203115</v>
      </c>
      <c r="F314" s="70">
        <f t="shared" si="33"/>
        <v>7.0588598758833303</v>
      </c>
      <c r="G314" s="67">
        <f>E314/'Lookup Tables'!$C$48</f>
        <v>232.50526600406229</v>
      </c>
      <c r="H314" s="70">
        <f t="shared" si="30"/>
        <v>9.7612429497202252E-2</v>
      </c>
      <c r="I314" s="71">
        <f t="shared" si="34"/>
        <v>0.33480758304584968</v>
      </c>
      <c r="L314" s="74"/>
      <c r="M314" s="74"/>
      <c r="N314" s="74"/>
      <c r="O314" s="74"/>
      <c r="P314" s="74"/>
      <c r="Q314" s="74"/>
      <c r="R314" s="74"/>
      <c r="S314" s="74"/>
      <c r="T314" s="74"/>
      <c r="U314" s="74"/>
      <c r="V314" s="74"/>
      <c r="W314" s="74"/>
      <c r="X314" s="74"/>
      <c r="Y314" s="74"/>
      <c r="Z314" s="74"/>
    </row>
    <row r="315" spans="1:26" x14ac:dyDescent="0.3">
      <c r="A315" s="66">
        <f t="shared" si="32"/>
        <v>2020.799999999972</v>
      </c>
      <c r="B315" s="67">
        <f>LOOKUP(A315+0.01,AmountsB!$A$4:$A$103,AmountsB!$B$4:$B$103)*0.1*$A$2</f>
        <v>0</v>
      </c>
      <c r="C315" s="68">
        <f t="shared" si="31"/>
        <v>625969.29735898925</v>
      </c>
      <c r="D315" s="67">
        <f t="array" ref="D315">SUM($B$7:$B310*$F$1009*EXP(-$F$1009*($A315-$A$7:$A310)))*$F$1010</f>
        <v>60554446.302948274</v>
      </c>
      <c r="E315" s="67">
        <f t="shared" si="29"/>
        <v>115.44170612636455</v>
      </c>
      <c r="F315" s="70">
        <f t="shared" si="33"/>
        <v>7.0096203959928554</v>
      </c>
      <c r="G315" s="67">
        <f>E315/'Lookup Tables'!$C$48</f>
        <v>230.8834122527291</v>
      </c>
      <c r="H315" s="70">
        <f t="shared" si="30"/>
        <v>9.6931528424819585E-2</v>
      </c>
      <c r="I315" s="71">
        <f t="shared" si="34"/>
        <v>0.33247211364392987</v>
      </c>
      <c r="L315" s="74"/>
      <c r="M315" s="74"/>
      <c r="N315" s="74"/>
      <c r="O315" s="74"/>
      <c r="P315" s="74"/>
      <c r="Q315" s="74"/>
      <c r="R315" s="74"/>
      <c r="S315" s="74"/>
      <c r="T315" s="74"/>
      <c r="U315" s="74"/>
      <c r="V315" s="74"/>
      <c r="W315" s="74"/>
      <c r="X315" s="74"/>
      <c r="Y315" s="74"/>
      <c r="Z315" s="74"/>
    </row>
    <row r="316" spans="1:26" x14ac:dyDescent="0.3">
      <c r="A316" s="66">
        <f t="shared" si="32"/>
        <v>2020.8999999999719</v>
      </c>
      <c r="B316" s="67">
        <f>LOOKUP(A316+0.01,AmountsB!$A$4:$A$103,AmountsB!$B$4:$B$103)*0.1*$A$2</f>
        <v>0</v>
      </c>
      <c r="C316" s="68">
        <f t="shared" si="31"/>
        <v>625969.29735898925</v>
      </c>
      <c r="D316" s="67">
        <f t="array" ref="D316">SUM($B$7:$B311*$F$1009*EXP(-$F$1009*($A316-$A$7:$A311)))*$F$1010</f>
        <v>60132045.307116099</v>
      </c>
      <c r="E316" s="67">
        <f t="shared" si="29"/>
        <v>114.63643591739613</v>
      </c>
      <c r="F316" s="70">
        <f t="shared" si="33"/>
        <v>6.9607243889042927</v>
      </c>
      <c r="G316" s="67">
        <f>E316/'Lookup Tables'!$C$48</f>
        <v>229.27287183479226</v>
      </c>
      <c r="H316" s="70">
        <f t="shared" si="30"/>
        <v>9.6255377016724125E-2</v>
      </c>
      <c r="I316" s="71">
        <f t="shared" si="34"/>
        <v>0.33015293544210084</v>
      </c>
      <c r="L316" s="74"/>
      <c r="M316" s="74"/>
      <c r="N316" s="74"/>
      <c r="O316" s="74"/>
      <c r="P316" s="74"/>
      <c r="Q316" s="74"/>
      <c r="R316" s="74"/>
      <c r="S316" s="74"/>
      <c r="T316" s="74"/>
      <c r="U316" s="74"/>
      <c r="V316" s="74"/>
      <c r="W316" s="74"/>
      <c r="X316" s="74"/>
      <c r="Y316" s="74"/>
      <c r="Z316" s="74"/>
    </row>
    <row r="317" spans="1:26" x14ac:dyDescent="0.3">
      <c r="A317" s="66">
        <f t="shared" si="32"/>
        <v>2020.9999999999718</v>
      </c>
      <c r="B317" s="67">
        <f>LOOKUP(A317+0.01,AmountsB!$A$4:$A$103,AmountsB!$B$4:$B$103)*0.1*$A$2</f>
        <v>0</v>
      </c>
      <c r="C317" s="68">
        <f t="shared" si="31"/>
        <v>625969.29735898925</v>
      </c>
      <c r="D317" s="67">
        <f t="array" ref="D317">SUM($B$7:$B312*$F$1009*EXP(-$F$1009*($A317-$A$7:$A312)))*$F$1010</f>
        <v>59712590.793535396</v>
      </c>
      <c r="E317" s="67">
        <f t="shared" si="29"/>
        <v>113.83678291672452</v>
      </c>
      <c r="F317" s="70">
        <f t="shared" si="33"/>
        <v>6.9121694587035121</v>
      </c>
      <c r="G317" s="67">
        <f>E317/'Lookup Tables'!$C$48</f>
        <v>227.67356583344903</v>
      </c>
      <c r="H317" s="70">
        <f t="shared" si="30"/>
        <v>9.5583942141361594E-2</v>
      </c>
      <c r="I317" s="71">
        <f t="shared" si="34"/>
        <v>0.32784993480016655</v>
      </c>
      <c r="L317" s="74"/>
      <c r="M317" s="74"/>
      <c r="N317" s="74"/>
      <c r="O317" s="74"/>
      <c r="P317" s="74"/>
      <c r="Q317" s="74"/>
      <c r="R317" s="74"/>
      <c r="S317" s="74"/>
      <c r="T317" s="74"/>
      <c r="U317" s="74"/>
      <c r="V317" s="74"/>
      <c r="W317" s="74"/>
      <c r="X317" s="74"/>
      <c r="Y317" s="74"/>
      <c r="Z317" s="74"/>
    </row>
    <row r="318" spans="1:26" x14ac:dyDescent="0.3">
      <c r="A318" s="66">
        <f t="shared" si="32"/>
        <v>2021.0999999999717</v>
      </c>
      <c r="B318" s="67">
        <f>LOOKUP(A318+0.01,AmountsB!$A$4:$A$103,AmountsB!$B$4:$B$103)*0.1*$A$2</f>
        <v>0</v>
      </c>
      <c r="C318" s="68">
        <f t="shared" si="31"/>
        <v>625969.29735898925</v>
      </c>
      <c r="D318" s="67">
        <f t="array" ref="D318">SUM($B$7:$B313*$F$1009*EXP(-$F$1009*($A318-$A$7:$A313)))*$F$1010</f>
        <v>59296062.208851084</v>
      </c>
      <c r="E318" s="67">
        <f t="shared" si="29"/>
        <v>113.04270794119269</v>
      </c>
      <c r="F318" s="70">
        <f t="shared" si="33"/>
        <v>6.8639532261892207</v>
      </c>
      <c r="G318" s="67">
        <f>E318/'Lookup Tables'!$C$48</f>
        <v>226.08541588238538</v>
      </c>
      <c r="H318" s="70">
        <f t="shared" si="30"/>
        <v>9.4917190898288789E-2</v>
      </c>
      <c r="I318" s="71">
        <f t="shared" si="34"/>
        <v>0.32556299887063495</v>
      </c>
      <c r="L318" s="74"/>
      <c r="M318" s="74"/>
      <c r="N318" s="74"/>
      <c r="O318" s="74"/>
      <c r="P318" s="74"/>
      <c r="Q318" s="74"/>
      <c r="R318" s="74"/>
      <c r="S318" s="74"/>
      <c r="T318" s="74"/>
      <c r="U318" s="74"/>
      <c r="V318" s="74"/>
      <c r="W318" s="74"/>
      <c r="X318" s="74"/>
      <c r="Y318" s="74"/>
      <c r="Z318" s="74"/>
    </row>
    <row r="319" spans="1:26" x14ac:dyDescent="0.3">
      <c r="A319" s="66">
        <f t="shared" si="32"/>
        <v>2021.1999999999716</v>
      </c>
      <c r="B319" s="67">
        <f>LOOKUP(A319+0.01,AmountsB!$A$4:$A$103,AmountsB!$B$4:$B$103)*0.1*$A$2</f>
        <v>0</v>
      </c>
      <c r="C319" s="68">
        <f t="shared" si="31"/>
        <v>625969.29735898925</v>
      </c>
      <c r="D319" s="67">
        <f t="array" ref="D319">SUM($B$7:$B314*$F$1009*EXP(-$F$1009*($A319-$A$7:$A314)))*$F$1010</f>
        <v>58882439.143079177</v>
      </c>
      <c r="E319" s="67">
        <f t="shared" si="29"/>
        <v>112.25417208096798</v>
      </c>
      <c r="F319" s="70">
        <f t="shared" si="33"/>
        <v>6.8160733287563762</v>
      </c>
      <c r="G319" s="67">
        <f>E319/'Lookup Tables'!$C$48</f>
        <v>224.50834416193595</v>
      </c>
      <c r="H319" s="70">
        <f t="shared" si="30"/>
        <v>9.4255090616561357E-2</v>
      </c>
      <c r="I319" s="71">
        <f t="shared" si="34"/>
        <v>0.32329201559318776</v>
      </c>
      <c r="L319" s="74"/>
      <c r="M319" s="74"/>
      <c r="N319" s="74"/>
      <c r="O319" s="74"/>
      <c r="P319" s="74"/>
      <c r="Q319" s="74"/>
      <c r="R319" s="74"/>
      <c r="S319" s="74"/>
      <c r="T319" s="74"/>
      <c r="U319" s="74"/>
      <c r="V319" s="74"/>
      <c r="W319" s="74"/>
      <c r="X319" s="74"/>
      <c r="Y319" s="74"/>
      <c r="Z319" s="74"/>
    </row>
    <row r="320" spans="1:26" x14ac:dyDescent="0.3">
      <c r="A320" s="66">
        <f t="shared" si="32"/>
        <v>2021.2999999999715</v>
      </c>
      <c r="B320" s="67">
        <f>LOOKUP(A320+0.01,AmountsB!$A$4:$A$103,AmountsB!$B$4:$B$103)*0.1*$A$2</f>
        <v>0</v>
      </c>
      <c r="C320" s="68">
        <f t="shared" si="31"/>
        <v>625969.29735898925</v>
      </c>
      <c r="D320" s="67">
        <f t="array" ref="D320">SUM($B$7:$B315*$F$1009*EXP(-$F$1009*($A320-$A$7:$A315)))*$F$1010</f>
        <v>58471701.328606673</v>
      </c>
      <c r="E320" s="67">
        <f t="shared" si="29"/>
        <v>111.47113669763543</v>
      </c>
      <c r="F320" s="70">
        <f t="shared" si="33"/>
        <v>6.7685274202804226</v>
      </c>
      <c r="G320" s="67">
        <f>E320/'Lookup Tables'!$C$48</f>
        <v>222.94227339527086</v>
      </c>
      <c r="H320" s="70">
        <f t="shared" si="30"/>
        <v>9.3597608853133007E-2</v>
      </c>
      <c r="I320" s="71">
        <f t="shared" si="34"/>
        <v>0.32103687368919004</v>
      </c>
      <c r="L320" s="74"/>
      <c r="M320" s="74"/>
      <c r="N320" s="74"/>
      <c r="O320" s="74"/>
      <c r="P320" s="74"/>
      <c r="Q320" s="74"/>
      <c r="R320" s="74"/>
      <c r="S320" s="74"/>
      <c r="T320" s="74"/>
      <c r="U320" s="74"/>
      <c r="V320" s="74"/>
      <c r="W320" s="74"/>
      <c r="X320" s="74"/>
      <c r="Y320" s="74"/>
      <c r="Z320" s="74"/>
    </row>
    <row r="321" spans="1:26" x14ac:dyDescent="0.3">
      <c r="A321" s="66">
        <f t="shared" si="32"/>
        <v>2021.3999999999714</v>
      </c>
      <c r="B321" s="67">
        <f>LOOKUP(A321+0.01,AmountsB!$A$4:$A$103,AmountsB!$B$4:$B$103)*0.1*$A$2</f>
        <v>0</v>
      </c>
      <c r="C321" s="68">
        <f t="shared" si="31"/>
        <v>625969.29735898925</v>
      </c>
      <c r="D321" s="67">
        <f t="array" ref="D321">SUM($B$7:$B316*$F$1009*EXP(-$F$1009*($A321-$A$7:$A316)))*$F$1010</f>
        <v>58063828.639198519</v>
      </c>
      <c r="E321" s="67">
        <f t="shared" si="29"/>
        <v>110.69356342230462</v>
      </c>
      <c r="F321" s="70">
        <f t="shared" si="33"/>
        <v>6.7213131710023371</v>
      </c>
      <c r="G321" s="67">
        <f>E321/'Lookup Tables'!$C$48</f>
        <v>221.38712684460924</v>
      </c>
      <c r="H321" s="70">
        <f t="shared" si="30"/>
        <v>9.2944713391265824E-2</v>
      </c>
      <c r="I321" s="71">
        <f t="shared" si="34"/>
        <v>0.31879746265623732</v>
      </c>
      <c r="L321" s="74"/>
      <c r="M321" s="74"/>
      <c r="N321" s="74"/>
      <c r="O321" s="74"/>
      <c r="P321" s="74"/>
      <c r="Q321" s="74"/>
      <c r="R321" s="74"/>
      <c r="S321" s="74"/>
      <c r="T321" s="74"/>
      <c r="U321" s="74"/>
      <c r="V321" s="74"/>
      <c r="W321" s="74"/>
      <c r="X321" s="74"/>
      <c r="Y321" s="74"/>
      <c r="Z321" s="74"/>
    </row>
    <row r="322" spans="1:26" x14ac:dyDescent="0.3">
      <c r="A322" s="66">
        <f t="shared" si="32"/>
        <v>2021.4999999999714</v>
      </c>
      <c r="B322" s="67">
        <f>LOOKUP(A322+0.01,AmountsB!$A$4:$A$103,AmountsB!$B$4:$B$103)*0.1*$A$2</f>
        <v>0</v>
      </c>
      <c r="C322" s="68">
        <f t="shared" si="31"/>
        <v>625969.29735898925</v>
      </c>
      <c r="D322" s="67">
        <f t="array" ref="D322">SUM($B$7:$B317*$F$1009*EXP(-$F$1009*($A322-$A$7:$A317)))*$F$1010</f>
        <v>57658801.089011289</v>
      </c>
      <c r="E322" s="67">
        <f t="shared" si="29"/>
        <v>109.92141415372946</v>
      </c>
      <c r="F322" s="70">
        <f t="shared" si="33"/>
        <v>6.6744282674144522</v>
      </c>
      <c r="G322" s="67">
        <f>E322/'Lookup Tables'!$C$48</f>
        <v>219.84282830745892</v>
      </c>
      <c r="H322" s="70">
        <f t="shared" si="30"/>
        <v>9.2296372238951513E-2</v>
      </c>
      <c r="I322" s="71">
        <f t="shared" si="34"/>
        <v>0.31657367276274079</v>
      </c>
      <c r="L322" s="74"/>
      <c r="M322" s="74"/>
      <c r="N322" s="74"/>
      <c r="O322" s="74"/>
      <c r="P322" s="74"/>
      <c r="Q322" s="74"/>
      <c r="R322" s="74"/>
      <c r="S322" s="74"/>
      <c r="T322" s="74"/>
      <c r="U322" s="74"/>
      <c r="V322" s="74"/>
      <c r="W322" s="74"/>
      <c r="X322" s="74"/>
      <c r="Y322" s="74"/>
      <c r="Z322" s="74"/>
    </row>
    <row r="323" spans="1:26" x14ac:dyDescent="0.3">
      <c r="A323" s="66">
        <f t="shared" si="32"/>
        <v>2021.5999999999713</v>
      </c>
      <c r="B323" s="67">
        <f>LOOKUP(A323+0.01,AmountsB!$A$4:$A$103,AmountsB!$B$4:$B$103)*0.1*$A$2</f>
        <v>0</v>
      </c>
      <c r="C323" s="68">
        <f t="shared" si="31"/>
        <v>625969.29735898925</v>
      </c>
      <c r="D323" s="67">
        <f t="array" ref="D323">SUM($B$7:$B318*$F$1009*EXP(-$F$1009*($A323-$A$7:$A318)))*$F$1010</f>
        <v>57256598.831614003</v>
      </c>
      <c r="E323" s="67">
        <f t="shared" si="29"/>
        <v>109.15465105644131</v>
      </c>
      <c r="F323" s="70">
        <f t="shared" si="33"/>
        <v>6.627870412147117</v>
      </c>
      <c r="G323" s="67">
        <f>E323/'Lookup Tables'!$C$48</f>
        <v>218.30930211288262</v>
      </c>
      <c r="H323" s="70">
        <f t="shared" si="30"/>
        <v>9.1652553627343911E-2</v>
      </c>
      <c r="I323" s="71">
        <f t="shared" si="34"/>
        <v>0.31436539504255101</v>
      </c>
      <c r="L323" s="74"/>
      <c r="M323" s="74"/>
      <c r="N323" s="74"/>
      <c r="O323" s="74"/>
      <c r="P323" s="74"/>
      <c r="Q323" s="74"/>
      <c r="R323" s="74"/>
      <c r="S323" s="74"/>
      <c r="T323" s="74"/>
      <c r="U323" s="74"/>
      <c r="V323" s="74"/>
      <c r="W323" s="74"/>
      <c r="X323" s="74"/>
      <c r="Y323" s="74"/>
      <c r="Z323" s="74"/>
    </row>
    <row r="324" spans="1:26" x14ac:dyDescent="0.3">
      <c r="A324" s="66">
        <f t="shared" si="32"/>
        <v>2021.6999999999712</v>
      </c>
      <c r="B324" s="67">
        <f>LOOKUP(A324+0.01,AmountsB!$A$4:$A$103,AmountsB!$B$4:$B$103)*0.1*$A$2</f>
        <v>0</v>
      </c>
      <c r="C324" s="68">
        <f t="shared" si="31"/>
        <v>625969.29735898925</v>
      </c>
      <c r="D324" s="67">
        <f t="array" ref="D324">SUM($B$7:$B319*$F$1009*EXP(-$F$1009*($A324-$A$7:$A319)))*$F$1010</f>
        <v>56857202.159015574</v>
      </c>
      <c r="E324" s="67">
        <f t="shared" si="29"/>
        <v>108.39323655889497</v>
      </c>
      <c r="F324" s="70">
        <f t="shared" si="33"/>
        <v>6.5816373238561026</v>
      </c>
      <c r="G324" s="67">
        <f>E324/'Lookup Tables'!$C$48</f>
        <v>216.78647311778994</v>
      </c>
      <c r="H324" s="70">
        <f t="shared" si="30"/>
        <v>9.1013226009202225E-2</v>
      </c>
      <c r="I324" s="71">
        <f t="shared" si="34"/>
        <v>0.31217252128961753</v>
      </c>
      <c r="L324" s="74"/>
      <c r="M324" s="74"/>
      <c r="N324" s="74"/>
      <c r="O324" s="74"/>
      <c r="P324" s="74"/>
      <c r="Q324" s="74"/>
      <c r="R324" s="74"/>
      <c r="S324" s="74"/>
      <c r="T324" s="74"/>
      <c r="U324" s="74"/>
      <c r="V324" s="74"/>
      <c r="W324" s="74"/>
      <c r="X324" s="74"/>
      <c r="Y324" s="74"/>
      <c r="Z324" s="74"/>
    </row>
    <row r="325" spans="1:26" x14ac:dyDescent="0.3">
      <c r="A325" s="66">
        <f t="shared" si="32"/>
        <v>2021.7999999999711</v>
      </c>
      <c r="B325" s="67">
        <f>LOOKUP(A325+0.01,AmountsB!$A$4:$A$103,AmountsB!$B$4:$B$103)*0.1*$A$2</f>
        <v>0</v>
      </c>
      <c r="C325" s="68">
        <f t="shared" si="31"/>
        <v>625969.29735898925</v>
      </c>
      <c r="D325" s="67">
        <f t="array" ref="D325">SUM($B$7:$B320*$F$1009*EXP(-$F$1009*($A325-$A$7:$A320)))*$F$1010</f>
        <v>56460591.50069914</v>
      </c>
      <c r="E325" s="67">
        <f t="shared" si="29"/>
        <v>107.63713335162777</v>
      </c>
      <c r="F325" s="70">
        <f t="shared" si="33"/>
        <v>6.5357267371108385</v>
      </c>
      <c r="G325" s="67">
        <f>E325/'Lookup Tables'!$C$48</f>
        <v>215.27426670325553</v>
      </c>
      <c r="H325" s="70">
        <f t="shared" si="30"/>
        <v>9.0378358057345259E-2</v>
      </c>
      <c r="I325" s="71">
        <f t="shared" si="34"/>
        <v>0.30999494405268796</v>
      </c>
      <c r="L325" s="74"/>
      <c r="M325" s="74"/>
      <c r="N325" s="74"/>
      <c r="O325" s="74"/>
      <c r="P325" s="74"/>
      <c r="Q325" s="74"/>
      <c r="R325" s="74"/>
      <c r="S325" s="74"/>
      <c r="T325" s="74"/>
      <c r="U325" s="74"/>
      <c r="V325" s="74"/>
      <c r="W325" s="74"/>
      <c r="X325" s="74"/>
      <c r="Y325" s="74"/>
      <c r="Z325" s="74"/>
    </row>
    <row r="326" spans="1:26" x14ac:dyDescent="0.3">
      <c r="A326" s="66">
        <f t="shared" si="32"/>
        <v>2021.899999999971</v>
      </c>
      <c r="B326" s="67">
        <f>LOOKUP(A326+0.01,AmountsB!$A$4:$A$103,AmountsB!$B$4:$B$103)*0.1*$A$2</f>
        <v>0</v>
      </c>
      <c r="C326" s="68">
        <f t="shared" si="31"/>
        <v>625969.29735898925</v>
      </c>
      <c r="D326" s="67">
        <f t="array" ref="D326">SUM($B$7:$B321*$F$1009*EXP(-$F$1009*($A326-$A$7:$A321)))*$F$1010</f>
        <v>56066747.422663078</v>
      </c>
      <c r="E326" s="67">
        <f t="shared" si="29"/>
        <v>106.88630438543119</v>
      </c>
      <c r="F326" s="70">
        <f t="shared" si="33"/>
        <v>6.4901364022833814</v>
      </c>
      <c r="G326" s="67">
        <f>E326/'Lookup Tables'!$C$48</f>
        <v>213.77260877086238</v>
      </c>
      <c r="H326" s="70">
        <f t="shared" si="30"/>
        <v>8.9747918663116294E-2</v>
      </c>
      <c r="I326" s="71">
        <f t="shared" si="34"/>
        <v>0.30783255663004178</v>
      </c>
      <c r="L326" s="74"/>
      <c r="M326" s="74"/>
      <c r="N326" s="74"/>
      <c r="O326" s="74"/>
      <c r="P326" s="74"/>
      <c r="Q326" s="74"/>
      <c r="R326" s="74"/>
      <c r="S326" s="74"/>
      <c r="T326" s="74"/>
      <c r="U326" s="74"/>
      <c r="V326" s="74"/>
      <c r="W326" s="74"/>
      <c r="X326" s="74"/>
      <c r="Y326" s="74"/>
      <c r="Z326" s="74"/>
    </row>
    <row r="327" spans="1:26" x14ac:dyDescent="0.3">
      <c r="A327" s="66">
        <f t="shared" si="32"/>
        <v>2021.9999999999709</v>
      </c>
      <c r="B327" s="67">
        <f>LOOKUP(A327+0.01,AmountsB!$A$4:$A$103,AmountsB!$B$4:$B$103)*0.1*$A$2</f>
        <v>0</v>
      </c>
      <c r="C327" s="68">
        <f t="shared" si="31"/>
        <v>625969.29735898925</v>
      </c>
      <c r="D327" s="67">
        <f t="array" ref="D327">SUM($B$7:$B322*$F$1009*EXP(-$F$1009*($A327-$A$7:$A322)))*$F$1010</f>
        <v>55675650.626468748</v>
      </c>
      <c r="E327" s="67">
        <f t="shared" ref="E327:E390" si="35">D327/(365*24*60)*1.00201</f>
        <v>106.14071286953568</v>
      </c>
      <c r="F327" s="70">
        <f t="shared" si="33"/>
        <v>6.4448640854382058</v>
      </c>
      <c r="G327" s="67">
        <f>E327/'Lookup Tables'!$C$48</f>
        <v>212.28142573907135</v>
      </c>
      <c r="H327" s="70">
        <f t="shared" ref="H327:H390" si="36">G327*60*24*365/(C327*2000)</f>
        <v>8.9121876934858929E-2</v>
      </c>
      <c r="I327" s="71">
        <f t="shared" si="34"/>
        <v>0.30568525306426275</v>
      </c>
      <c r="L327" s="74"/>
      <c r="M327" s="74"/>
      <c r="N327" s="74"/>
      <c r="O327" s="74"/>
      <c r="P327" s="74"/>
      <c r="Q327" s="74"/>
      <c r="R327" s="74"/>
      <c r="S327" s="74"/>
      <c r="T327" s="74"/>
      <c r="U327" s="74"/>
      <c r="V327" s="74"/>
      <c r="W327" s="74"/>
      <c r="X327" s="74"/>
      <c r="Y327" s="74"/>
      <c r="Z327" s="74"/>
    </row>
    <row r="328" spans="1:26" x14ac:dyDescent="0.3">
      <c r="A328" s="66">
        <f t="shared" si="32"/>
        <v>2022.0999999999708</v>
      </c>
      <c r="B328" s="67">
        <f>LOOKUP(A328+0.01,AmountsB!$A$4:$A$103,AmountsB!$B$4:$B$103)*0.1*$A$2</f>
        <v>0</v>
      </c>
      <c r="C328" s="68">
        <f t="shared" si="31"/>
        <v>625969.29735898925</v>
      </c>
      <c r="D328" s="67">
        <f t="array" ref="D328">SUM($B$7:$B323*$F$1009*EXP(-$F$1009*($A328-$A$7:$A323)))*$F$1010</f>
        <v>55287281.948294893</v>
      </c>
      <c r="E328" s="67">
        <f t="shared" si="35"/>
        <v>105.40032226980777</v>
      </c>
      <c r="F328" s="70">
        <f t="shared" si="33"/>
        <v>6.3999075682227282</v>
      </c>
      <c r="G328" s="67">
        <f>E328/'Lookup Tables'!$C$48</f>
        <v>210.80064453961555</v>
      </c>
      <c r="H328" s="70">
        <f t="shared" si="36"/>
        <v>8.8500202196403172E-2</v>
      </c>
      <c r="I328" s="71">
        <f t="shared" si="34"/>
        <v>0.30355292813704637</v>
      </c>
      <c r="L328" s="74"/>
      <c r="M328" s="74"/>
      <c r="N328" s="74"/>
      <c r="O328" s="74"/>
      <c r="P328" s="74"/>
      <c r="Q328" s="74"/>
      <c r="R328" s="74"/>
      <c r="S328" s="74"/>
      <c r="T328" s="74"/>
      <c r="U328" s="74"/>
      <c r="V328" s="74"/>
      <c r="W328" s="74"/>
      <c r="X328" s="74"/>
      <c r="Y328" s="74"/>
      <c r="Z328" s="74"/>
    </row>
    <row r="329" spans="1:26" x14ac:dyDescent="0.3">
      <c r="A329" s="66">
        <f t="shared" si="32"/>
        <v>2022.1999999999707</v>
      </c>
      <c r="B329" s="67">
        <f>LOOKUP(A329+0.01,AmountsB!$A$4:$A$103,AmountsB!$B$4:$B$103)*0.1*$A$2</f>
        <v>0</v>
      </c>
      <c r="C329" s="68">
        <f t="shared" ref="C329:C392" si="37">C328+B329</f>
        <v>625969.29735898925</v>
      </c>
      <c r="D329" s="67">
        <f t="array" ref="D329">SUM($B$7:$B324*$F$1009*EXP(-$F$1009*($A329-$A$7:$A324)))*$F$1010</f>
        <v>54901622.357998602</v>
      </c>
      <c r="E329" s="67">
        <f t="shared" si="35"/>
        <v>104.66509630696001</v>
      </c>
      <c r="F329" s="70">
        <f t="shared" si="33"/>
        <v>6.3552646477586112</v>
      </c>
      <c r="G329" s="67">
        <f>E329/'Lookup Tables'!$C$48</f>
        <v>209.33019261392002</v>
      </c>
      <c r="H329" s="70">
        <f t="shared" si="36"/>
        <v>8.7882863985562498E-2</v>
      </c>
      <c r="I329" s="71">
        <f t="shared" si="34"/>
        <v>0.3014354773640448</v>
      </c>
      <c r="L329" s="74"/>
      <c r="M329" s="74"/>
      <c r="N329" s="74"/>
      <c r="O329" s="74"/>
      <c r="P329" s="74"/>
      <c r="Q329" s="74"/>
      <c r="R329" s="74"/>
      <c r="S329" s="74"/>
      <c r="T329" s="74"/>
      <c r="U329" s="74"/>
      <c r="V329" s="74"/>
      <c r="W329" s="74"/>
      <c r="X329" s="74"/>
      <c r="Y329" s="74"/>
      <c r="Z329" s="74"/>
    </row>
    <row r="330" spans="1:26" x14ac:dyDescent="0.3">
      <c r="A330" s="66">
        <f t="shared" si="32"/>
        <v>2022.2999999999706</v>
      </c>
      <c r="B330" s="67">
        <f>LOOKUP(A330+0.01,AmountsB!$A$4:$A$103,AmountsB!$B$4:$B$103)*0.1*$A$2</f>
        <v>0</v>
      </c>
      <c r="C330" s="68">
        <f t="shared" si="37"/>
        <v>625969.29735898925</v>
      </c>
      <c r="D330" s="67">
        <f t="array" ref="D330">SUM($B$7:$B325*$F$1009*EXP(-$F$1009*($A330-$A$7:$A325)))*$F$1010</f>
        <v>54518652.95818276</v>
      </c>
      <c r="E330" s="67">
        <f t="shared" si="35"/>
        <v>103.93499895477304</v>
      </c>
      <c r="F330" s="70">
        <f t="shared" si="33"/>
        <v>6.3109331365338193</v>
      </c>
      <c r="G330" s="67">
        <f>E330/'Lookup Tables'!$C$48</f>
        <v>207.86999790954607</v>
      </c>
      <c r="H330" s="70">
        <f t="shared" si="36"/>
        <v>8.726983205264105E-2</v>
      </c>
      <c r="I330" s="71">
        <f t="shared" si="34"/>
        <v>0.29933279698974641</v>
      </c>
      <c r="L330" s="74"/>
      <c r="M330" s="74"/>
      <c r="N330" s="74"/>
      <c r="O330" s="74"/>
      <c r="P330" s="74"/>
      <c r="Q330" s="74"/>
      <c r="R330" s="74"/>
      <c r="S330" s="74"/>
      <c r="T330" s="74"/>
      <c r="U330" s="74"/>
      <c r="V330" s="74"/>
      <c r="W330" s="74"/>
      <c r="X330" s="74"/>
      <c r="Y330" s="74"/>
      <c r="Z330" s="74"/>
    </row>
    <row r="331" spans="1:26" x14ac:dyDescent="0.3">
      <c r="A331" s="66">
        <f t="shared" si="32"/>
        <v>2022.3999999999705</v>
      </c>
      <c r="B331" s="67">
        <f>LOOKUP(A331+0.01,AmountsB!$A$4:$A$103,AmountsB!$B$4:$B$103)*0.1*$A$2</f>
        <v>0</v>
      </c>
      <c r="C331" s="68">
        <f t="shared" si="37"/>
        <v>625969.29735898925</v>
      </c>
      <c r="D331" s="67">
        <f t="array" ref="D331">SUM($B$7:$B326*$F$1009*EXP(-$F$1009*($A331-$A$7:$A326)))*$F$1010</f>
        <v>54138354.983270168</v>
      </c>
      <c r="E331" s="67">
        <f t="shared" si="35"/>
        <v>103.20999443833057</v>
      </c>
      <c r="F331" s="70">
        <f t="shared" si="33"/>
        <v>6.2669108622954317</v>
      </c>
      <c r="G331" s="67">
        <f>E331/'Lookup Tables'!$C$48</f>
        <v>206.41998887666114</v>
      </c>
      <c r="H331" s="70">
        <f t="shared" si="36"/>
        <v>8.6661076358951442E-2</v>
      </c>
      <c r="I331" s="71">
        <f t="shared" si="34"/>
        <v>0.29724478398239207</v>
      </c>
      <c r="L331" s="74"/>
      <c r="M331" s="74"/>
      <c r="N331" s="74"/>
      <c r="O331" s="74"/>
      <c r="P331" s="74"/>
      <c r="Q331" s="74"/>
      <c r="R331" s="74"/>
      <c r="S331" s="74"/>
      <c r="T331" s="74"/>
      <c r="U331" s="74"/>
      <c r="V331" s="74"/>
      <c r="W331" s="74"/>
      <c r="X331" s="74"/>
      <c r="Y331" s="74"/>
      <c r="Z331" s="74"/>
    </row>
    <row r="332" spans="1:26" x14ac:dyDescent="0.3">
      <c r="A332" s="66">
        <f t="shared" si="32"/>
        <v>2022.4999999999704</v>
      </c>
      <c r="B332" s="67">
        <f>LOOKUP(A332+0.01,AmountsB!$A$4:$A$103,AmountsB!$B$4:$B$103)*0.1*$A$2</f>
        <v>0</v>
      </c>
      <c r="C332" s="68">
        <f t="shared" si="37"/>
        <v>625969.29735898925</v>
      </c>
      <c r="D332" s="67">
        <f t="array" ref="D332">SUM($B$7:$B327*$F$1009*EXP(-$F$1009*($A332-$A$7:$A327)))*$F$1010</f>
        <v>53760709.79858394</v>
      </c>
      <c r="E332" s="67">
        <f t="shared" si="35"/>
        <v>102.49004723226616</v>
      </c>
      <c r="F332" s="70">
        <f t="shared" si="33"/>
        <v>6.2231956679432017</v>
      </c>
      <c r="G332" s="67">
        <f>E332/'Lookup Tables'!$C$48</f>
        <v>204.98009446453233</v>
      </c>
      <c r="H332" s="70">
        <f t="shared" si="36"/>
        <v>8.6056567075342857E-2</v>
      </c>
      <c r="I332" s="71">
        <f t="shared" si="34"/>
        <v>0.29517133602892653</v>
      </c>
      <c r="L332" s="74"/>
      <c r="M332" s="74"/>
      <c r="N332" s="74"/>
      <c r="O332" s="74"/>
      <c r="P332" s="74"/>
      <c r="Q332" s="74"/>
      <c r="R332" s="74"/>
      <c r="S332" s="74"/>
      <c r="T332" s="74"/>
      <c r="U332" s="74"/>
      <c r="V332" s="74"/>
      <c r="W332" s="74"/>
      <c r="X332" s="74"/>
      <c r="Y332" s="74"/>
      <c r="Z332" s="74"/>
    </row>
    <row r="333" spans="1:26" x14ac:dyDescent="0.3">
      <c r="A333" s="66">
        <f t="shared" si="32"/>
        <v>2022.5999999999704</v>
      </c>
      <c r="B333" s="67">
        <f>LOOKUP(A333+0.01,AmountsB!$A$4:$A$103,AmountsB!$B$4:$B$103)*0.1*$A$2</f>
        <v>0</v>
      </c>
      <c r="C333" s="68">
        <f t="shared" si="37"/>
        <v>625969.29735898925</v>
      </c>
      <c r="D333" s="67">
        <f t="array" ref="D333">SUM($B$7:$B328*$F$1009*EXP(-$F$1009*($A333-$A$7:$A328)))*$F$1010</f>
        <v>53385698.89943447</v>
      </c>
      <c r="E333" s="67">
        <f t="shared" si="35"/>
        <v>101.77512205902271</v>
      </c>
      <c r="F333" s="70">
        <f t="shared" si="33"/>
        <v>6.1797854114238584</v>
      </c>
      <c r="G333" s="67">
        <f>E333/'Lookup Tables'!$C$48</f>
        <v>203.55024411804541</v>
      </c>
      <c r="H333" s="70">
        <f t="shared" si="36"/>
        <v>8.5456274580739455E-2</v>
      </c>
      <c r="I333" s="71">
        <f t="shared" si="34"/>
        <v>0.29311235152998538</v>
      </c>
      <c r="L333" s="74"/>
      <c r="M333" s="74"/>
      <c r="N333" s="74"/>
      <c r="O333" s="74"/>
      <c r="P333" s="74"/>
      <c r="Q333" s="74"/>
      <c r="R333" s="74"/>
      <c r="S333" s="74"/>
      <c r="T333" s="74"/>
      <c r="U333" s="74"/>
      <c r="V333" s="74"/>
      <c r="W333" s="74"/>
      <c r="X333" s="74"/>
      <c r="Y333" s="74"/>
      <c r="Z333" s="74"/>
    </row>
    <row r="334" spans="1:26" x14ac:dyDescent="0.3">
      <c r="A334" s="66">
        <f t="shared" si="32"/>
        <v>2022.6999999999703</v>
      </c>
      <c r="B334" s="67">
        <f>LOOKUP(A334+0.01,AmountsB!$A$4:$A$103,AmountsB!$B$4:$B$103)*0.1*$A$2</f>
        <v>0</v>
      </c>
      <c r="C334" s="68">
        <f t="shared" si="37"/>
        <v>625969.29735898925</v>
      </c>
      <c r="D334" s="67">
        <f t="array" ref="D334">SUM($B$7:$B329*$F$1009*EXP(-$F$1009*($A334-$A$7:$A329)))*$F$1010</f>
        <v>53013303.910212681</v>
      </c>
      <c r="E334" s="67">
        <f t="shared" si="35"/>
        <v>101.06518388712369</v>
      </c>
      <c r="F334" s="70">
        <f t="shared" si="33"/>
        <v>6.1366779656261503</v>
      </c>
      <c r="G334" s="67">
        <f>E334/'Lookup Tables'!$C$48</f>
        <v>202.13036777424739</v>
      </c>
      <c r="H334" s="70">
        <f t="shared" si="36"/>
        <v>8.4860169460688945E-2</v>
      </c>
      <c r="I334" s="71">
        <f t="shared" si="34"/>
        <v>0.29106772959491622</v>
      </c>
      <c r="L334" s="74"/>
      <c r="M334" s="74"/>
      <c r="N334" s="74"/>
      <c r="O334" s="74"/>
      <c r="P334" s="74"/>
      <c r="Q334" s="74"/>
      <c r="R334" s="74"/>
      <c r="S334" s="74"/>
      <c r="T334" s="74"/>
      <c r="U334" s="74"/>
      <c r="V334" s="74"/>
      <c r="W334" s="74"/>
      <c r="X334" s="74"/>
      <c r="Y334" s="74"/>
      <c r="Z334" s="74"/>
    </row>
    <row r="335" spans="1:26" x14ac:dyDescent="0.3">
      <c r="A335" s="66">
        <f t="shared" si="32"/>
        <v>2022.7999999999702</v>
      </c>
      <c r="B335" s="67">
        <f>LOOKUP(A335+0.01,AmountsB!$A$4:$A$103,AmountsB!$B$4:$B$103)*0.1*$A$2</f>
        <v>0</v>
      </c>
      <c r="C335" s="68">
        <f t="shared" si="37"/>
        <v>625969.29735898925</v>
      </c>
      <c r="D335" s="67">
        <f t="array" ref="D335">SUM($B$7:$B330*$F$1009*EXP(-$F$1009*($A335-$A$7:$A330)))*$F$1010</f>
        <v>52643506.583489574</v>
      </c>
      <c r="E335" s="67">
        <f t="shared" si="35"/>
        <v>100.3601979294566</v>
      </c>
      <c r="F335" s="70">
        <f t="shared" si="33"/>
        <v>6.0938712182766039</v>
      </c>
      <c r="G335" s="67">
        <f>E335/'Lookup Tables'!$C$48</f>
        <v>200.72039585891321</v>
      </c>
      <c r="H335" s="70">
        <f t="shared" si="36"/>
        <v>8.4268222505921087E-2</v>
      </c>
      <c r="I335" s="71">
        <f t="shared" si="34"/>
        <v>0.28903737003683494</v>
      </c>
      <c r="L335" s="74"/>
      <c r="M335" s="74"/>
      <c r="N335" s="74"/>
      <c r="O335" s="74"/>
      <c r="P335" s="74"/>
      <c r="Q335" s="74"/>
      <c r="R335" s="74"/>
      <c r="S335" s="74"/>
      <c r="T335" s="74"/>
      <c r="U335" s="74"/>
      <c r="V335" s="74"/>
      <c r="W335" s="74"/>
      <c r="X335" s="74"/>
      <c r="Y335" s="74"/>
      <c r="Z335" s="74"/>
    </row>
    <row r="336" spans="1:26" x14ac:dyDescent="0.3">
      <c r="A336" s="66">
        <f t="shared" si="32"/>
        <v>2022.8999999999701</v>
      </c>
      <c r="B336" s="67">
        <f>LOOKUP(A336+0.01,AmountsB!$A$4:$A$103,AmountsB!$B$4:$B$103)*0.1*$A$2</f>
        <v>0</v>
      </c>
      <c r="C336" s="68">
        <f t="shared" si="37"/>
        <v>625969.29735898925</v>
      </c>
      <c r="D336" s="67">
        <f t="array" ref="D336">SUM($B$7:$B331*$F$1009*EXP(-$F$1009*($A336-$A$7:$A331)))*$F$1010</f>
        <v>52276288.799122162</v>
      </c>
      <c r="E336" s="67">
        <f t="shared" si="35"/>
        <v>99.660129641568503</v>
      </c>
      <c r="F336" s="70">
        <f t="shared" si="33"/>
        <v>6.0513630718360396</v>
      </c>
      <c r="G336" s="67">
        <f>E336/'Lookup Tables'!$C$48</f>
        <v>199.32025928313701</v>
      </c>
      <c r="H336" s="70">
        <f t="shared" si="36"/>
        <v>8.3680404710916742E-2</v>
      </c>
      <c r="I336" s="71">
        <f t="shared" si="34"/>
        <v>0.28702117336771732</v>
      </c>
      <c r="L336" s="74"/>
      <c r="M336" s="74"/>
      <c r="N336" s="74"/>
      <c r="O336" s="74"/>
      <c r="P336" s="74"/>
      <c r="Q336" s="74"/>
      <c r="R336" s="74"/>
      <c r="S336" s="74"/>
      <c r="T336" s="74"/>
      <c r="U336" s="74"/>
      <c r="V336" s="74"/>
      <c r="W336" s="74"/>
      <c r="X336" s="74"/>
      <c r="Y336" s="74"/>
      <c r="Z336" s="74"/>
    </row>
    <row r="337" spans="1:26" x14ac:dyDescent="0.3">
      <c r="A337" s="66">
        <f t="shared" si="32"/>
        <v>2022.99999999997</v>
      </c>
      <c r="B337" s="67">
        <f>LOOKUP(A337+0.01,AmountsB!$A$4:$A$103,AmountsB!$B$4:$B$103)*0.1*$A$2</f>
        <v>0</v>
      </c>
      <c r="C337" s="68">
        <f t="shared" si="37"/>
        <v>625969.29735898925</v>
      </c>
      <c r="D337" s="67">
        <f t="array" ref="D337">SUM($B$7:$B332*$F$1009*EXP(-$F$1009*($A337-$A$7:$A332)))*$F$1010</f>
        <v>51911632.563365534</v>
      </c>
      <c r="E337" s="67">
        <f t="shared" si="35"/>
        <v>98.964944719973175</v>
      </c>
      <c r="F337" s="70">
        <f t="shared" si="33"/>
        <v>6.009151443396771</v>
      </c>
      <c r="G337" s="67">
        <f>E337/'Lookup Tables'!$C$48</f>
        <v>197.92988943994635</v>
      </c>
      <c r="H337" s="70">
        <f t="shared" si="36"/>
        <v>8.3096687272486286E-2</v>
      </c>
      <c r="I337" s="71">
        <f t="shared" si="34"/>
        <v>0.28501904079352275</v>
      </c>
      <c r="L337" s="74"/>
      <c r="M337" s="74"/>
      <c r="N337" s="74"/>
      <c r="O337" s="74"/>
      <c r="P337" s="74"/>
      <c r="Q337" s="74"/>
      <c r="R337" s="74"/>
      <c r="S337" s="74"/>
      <c r="T337" s="74"/>
      <c r="U337" s="74"/>
      <c r="V337" s="74"/>
      <c r="W337" s="74"/>
      <c r="X337" s="74"/>
      <c r="Y337" s="74"/>
      <c r="Z337" s="74"/>
    </row>
    <row r="338" spans="1:26" x14ac:dyDescent="0.3">
      <c r="A338" s="66">
        <f t="shared" si="32"/>
        <v>2023.0999999999699</v>
      </c>
      <c r="B338" s="67">
        <f>LOOKUP(A338+0.01,AmountsB!$A$4:$A$103,AmountsB!$B$4:$B$103)*0.1*$A$2</f>
        <v>0</v>
      </c>
      <c r="C338" s="68">
        <f t="shared" si="37"/>
        <v>625969.29735898925</v>
      </c>
      <c r="D338" s="67">
        <f t="array" ref="D338">SUM($B$7:$B333*$F$1009*EXP(-$F$1009*($A338-$A$7:$A333)))*$F$1010</f>
        <v>51549520.007991172</v>
      </c>
      <c r="E338" s="67">
        <f t="shared" si="35"/>
        <v>98.274609100470386</v>
      </c>
      <c r="F338" s="70">
        <f t="shared" si="33"/>
        <v>5.9672342645805614</v>
      </c>
      <c r="G338" s="67">
        <f>E338/'Lookup Tables'!$C$48</f>
        <v>196.54921820094077</v>
      </c>
      <c r="H338" s="70">
        <f t="shared" si="36"/>
        <v>8.2517041588358472E-2</v>
      </c>
      <c r="I338" s="71">
        <f t="shared" si="34"/>
        <v>0.28303087420935474</v>
      </c>
      <c r="L338" s="74"/>
      <c r="M338" s="74"/>
      <c r="N338" s="74"/>
      <c r="O338" s="74"/>
      <c r="P338" s="74"/>
      <c r="Q338" s="74"/>
      <c r="R338" s="74"/>
      <c r="S338" s="74"/>
      <c r="T338" s="74"/>
      <c r="U338" s="74"/>
      <c r="V338" s="74"/>
      <c r="W338" s="74"/>
      <c r="X338" s="74"/>
      <c r="Y338" s="74"/>
      <c r="Z338" s="74"/>
    </row>
    <row r="339" spans="1:26" x14ac:dyDescent="0.3">
      <c r="A339" s="66">
        <f t="shared" ref="A339:A402" si="38">A338+0.1</f>
        <v>2023.1999999999698</v>
      </c>
      <c r="B339" s="67">
        <f>LOOKUP(A339+0.01,AmountsB!$A$4:$A$103,AmountsB!$B$4:$B$103)*0.1*$A$2</f>
        <v>0</v>
      </c>
      <c r="C339" s="68">
        <f t="shared" si="37"/>
        <v>625969.29735898925</v>
      </c>
      <c r="D339" s="67">
        <f t="array" ref="D339">SUM($B$7:$B334*$F$1009*EXP(-$F$1009*($A339-$A$7:$A334)))*$F$1010</f>
        <v>51189933.389411405</v>
      </c>
      <c r="E339" s="67">
        <f t="shared" si="35"/>
        <v>97.589088956476644</v>
      </c>
      <c r="F339" s="70">
        <f t="shared" ref="F339:F402" si="39">E339*60*1012/1000000</f>
        <v>5.9256094814372622</v>
      </c>
      <c r="G339" s="67">
        <f>E339/'Lookup Tables'!$C$48</f>
        <v>195.17817791295329</v>
      </c>
      <c r="H339" s="70">
        <f t="shared" si="36"/>
        <v>8.194143925577875E-2</v>
      </c>
      <c r="I339" s="71">
        <f t="shared" ref="I339:I402" si="40">G339*60*24/1000000</f>
        <v>0.28105657619465269</v>
      </c>
      <c r="L339" s="74"/>
      <c r="M339" s="74"/>
      <c r="N339" s="74"/>
      <c r="O339" s="74"/>
      <c r="P339" s="74"/>
      <c r="Q339" s="74"/>
      <c r="R339" s="74"/>
      <c r="S339" s="74"/>
      <c r="T339" s="74"/>
      <c r="U339" s="74"/>
      <c r="V339" s="74"/>
      <c r="W339" s="74"/>
      <c r="X339" s="74"/>
      <c r="Y339" s="74"/>
      <c r="Z339" s="74"/>
    </row>
    <row r="340" spans="1:26" x14ac:dyDescent="0.3">
      <c r="A340" s="66">
        <f t="shared" si="38"/>
        <v>2023.2999999999697</v>
      </c>
      <c r="B340" s="67">
        <f>LOOKUP(A340+0.01,AmountsB!$A$4:$A$103,AmountsB!$B$4:$B$103)*0.1*$A$2</f>
        <v>0</v>
      </c>
      <c r="C340" s="68">
        <f t="shared" si="37"/>
        <v>625969.29735898925</v>
      </c>
      <c r="D340" s="67">
        <f t="array" ref="D340">SUM($B$7:$B335*$F$1009*EXP(-$F$1009*($A340-$A$7:$A335)))*$F$1010</f>
        <v>50832855.087810002</v>
      </c>
      <c r="E340" s="67">
        <f t="shared" si="35"/>
        <v>96.90835069736778</v>
      </c>
      <c r="F340" s="70">
        <f t="shared" si="39"/>
        <v>5.8842750543441715</v>
      </c>
      <c r="G340" s="67">
        <f>E340/'Lookup Tables'!$C$48</f>
        <v>193.81670139473556</v>
      </c>
      <c r="H340" s="70">
        <f t="shared" si="36"/>
        <v>8.1369852070117751E-2</v>
      </c>
      <c r="I340" s="71">
        <f t="shared" si="40"/>
        <v>0.27909605000841919</v>
      </c>
      <c r="L340" s="74"/>
      <c r="M340" s="74"/>
      <c r="N340" s="74"/>
      <c r="O340" s="74"/>
      <c r="P340" s="74"/>
      <c r="Q340" s="74"/>
      <c r="R340" s="74"/>
      <c r="S340" s="74"/>
      <c r="T340" s="74"/>
      <c r="U340" s="74"/>
      <c r="V340" s="74"/>
      <c r="W340" s="74"/>
      <c r="X340" s="74"/>
      <c r="Y340" s="74"/>
      <c r="Z340" s="74"/>
    </row>
    <row r="341" spans="1:26" x14ac:dyDescent="0.3">
      <c r="A341" s="66">
        <f t="shared" si="38"/>
        <v>2023.3999999999696</v>
      </c>
      <c r="B341" s="67">
        <f>LOOKUP(A341+0.01,AmountsB!$A$4:$A$103,AmountsB!$B$4:$B$103)*0.1*$A$2</f>
        <v>0</v>
      </c>
      <c r="C341" s="68">
        <f t="shared" si="37"/>
        <v>625969.29735898925</v>
      </c>
      <c r="D341" s="67">
        <f t="array" ref="D341">SUM($B$7:$B336*$F$1009*EXP(-$F$1009*($A341-$A$7:$A336)))*$F$1010</f>
        <v>50478267.60627871</v>
      </c>
      <c r="E341" s="67">
        <f t="shared" si="35"/>
        <v>96.232360966832829</v>
      </c>
      <c r="F341" s="70">
        <f t="shared" si="39"/>
        <v>5.8432289579060885</v>
      </c>
      <c r="G341" s="67">
        <f>E341/'Lookup Tables'!$C$48</f>
        <v>192.46472193366566</v>
      </c>
      <c r="H341" s="70">
        <f t="shared" si="36"/>
        <v>8.0802252023488924E-2</v>
      </c>
      <c r="I341" s="71">
        <f t="shared" si="40"/>
        <v>0.27714919958447853</v>
      </c>
      <c r="L341" s="74"/>
      <c r="M341" s="74"/>
      <c r="N341" s="74"/>
      <c r="O341" s="74"/>
      <c r="P341" s="74"/>
      <c r="Q341" s="74"/>
      <c r="R341" s="74"/>
      <c r="S341" s="74"/>
      <c r="T341" s="74"/>
      <c r="U341" s="74"/>
      <c r="V341" s="74"/>
      <c r="W341" s="74"/>
      <c r="X341" s="74"/>
      <c r="Y341" s="74"/>
      <c r="Z341" s="74"/>
    </row>
    <row r="342" spans="1:26" x14ac:dyDescent="0.3">
      <c r="A342" s="66">
        <f t="shared" si="38"/>
        <v>2023.4999999999695</v>
      </c>
      <c r="B342" s="67">
        <f>LOOKUP(A342+0.01,AmountsB!$A$4:$A$103,AmountsB!$B$4:$B$103)*0.1*$A$2</f>
        <v>0</v>
      </c>
      <c r="C342" s="68">
        <f t="shared" si="37"/>
        <v>625969.29735898925</v>
      </c>
      <c r="D342" s="67">
        <f t="array" ref="D342">SUM($B$7:$B337*$F$1009*EXP(-$F$1009*($A342-$A$7:$A337)))*$F$1010</f>
        <v>50126153.569960013</v>
      </c>
      <c r="E342" s="67">
        <f t="shared" si="35"/>
        <v>95.561086641239797</v>
      </c>
      <c r="F342" s="70">
        <f t="shared" si="39"/>
        <v>5.8024691808560798</v>
      </c>
      <c r="G342" s="67">
        <f>E342/'Lookup Tables'!$C$48</f>
        <v>191.12217328247959</v>
      </c>
      <c r="H342" s="70">
        <f t="shared" si="36"/>
        <v>8.0238611303376492E-2</v>
      </c>
      <c r="I342" s="71">
        <f t="shared" si="40"/>
        <v>0.2752159295267706</v>
      </c>
      <c r="L342" s="74"/>
      <c r="M342" s="74"/>
      <c r="N342" s="74"/>
      <c r="O342" s="74"/>
      <c r="P342" s="74"/>
      <c r="Q342" s="74"/>
      <c r="R342" s="74"/>
      <c r="S342" s="74"/>
      <c r="T342" s="74"/>
      <c r="U342" s="74"/>
      <c r="V342" s="74"/>
      <c r="W342" s="74"/>
      <c r="X342" s="74"/>
      <c r="Y342" s="74"/>
      <c r="Z342" s="74"/>
    </row>
    <row r="343" spans="1:26" x14ac:dyDescent="0.3">
      <c r="A343" s="66">
        <f t="shared" si="38"/>
        <v>2023.5999999999694</v>
      </c>
      <c r="B343" s="67">
        <f>LOOKUP(A343+0.01,AmountsB!$A$4:$A$103,AmountsB!$B$4:$B$103)*0.1*$A$2</f>
        <v>0</v>
      </c>
      <c r="C343" s="68">
        <f t="shared" si="37"/>
        <v>625969.29735898925</v>
      </c>
      <c r="D343" s="67">
        <f t="array" ref="D343">SUM($B$7:$B338*$F$1009*EXP(-$F$1009*($A343-$A$7:$A338)))*$F$1010</f>
        <v>49776495.725195639</v>
      </c>
      <c r="E343" s="67">
        <f t="shared" si="35"/>
        <v>94.894494828012341</v>
      </c>
      <c r="F343" s="70">
        <f t="shared" si="39"/>
        <v>5.7619937259569092</v>
      </c>
      <c r="G343" s="67">
        <f>E343/'Lookup Tables'!$C$48</f>
        <v>189.78898965602468</v>
      </c>
      <c r="H343" s="70">
        <f t="shared" si="36"/>
        <v>7.9678902291272308E-2</v>
      </c>
      <c r="I343" s="71">
        <f t="shared" si="40"/>
        <v>0.27329614510467554</v>
      </c>
      <c r="L343" s="74"/>
      <c r="M343" s="74"/>
      <c r="N343" s="74"/>
      <c r="O343" s="74"/>
      <c r="P343" s="74"/>
      <c r="Q343" s="74"/>
      <c r="R343" s="74"/>
      <c r="S343" s="74"/>
      <c r="T343" s="74"/>
      <c r="U343" s="74"/>
      <c r="V343" s="74"/>
      <c r="W343" s="74"/>
      <c r="X343" s="74"/>
      <c r="Y343" s="74"/>
      <c r="Z343" s="74"/>
    </row>
    <row r="344" spans="1:26" x14ac:dyDescent="0.3">
      <c r="A344" s="66">
        <f t="shared" si="38"/>
        <v>2023.6999999999694</v>
      </c>
      <c r="B344" s="67">
        <f>LOOKUP(A344+0.01,AmountsB!$A$4:$A$103,AmountsB!$B$4:$B$103)*0.1*$A$2</f>
        <v>0</v>
      </c>
      <c r="C344" s="68">
        <f t="shared" si="37"/>
        <v>625969.29735898925</v>
      </c>
      <c r="D344" s="67">
        <f t="array" ref="D344">SUM($B$7:$B339*$F$1009*EXP(-$F$1009*($A344-$A$7:$A339)))*$F$1010</f>
        <v>49429276.938681275</v>
      </c>
      <c r="E344" s="67">
        <f t="shared" si="35"/>
        <v>94.232552864018317</v>
      </c>
      <c r="F344" s="70">
        <f t="shared" si="39"/>
        <v>5.7218006099031919</v>
      </c>
      <c r="G344" s="67">
        <f>E344/'Lookup Tables'!$C$48</f>
        <v>188.46510572803663</v>
      </c>
      <c r="H344" s="70">
        <f t="shared" si="36"/>
        <v>7.9123097561322867E-2</v>
      </c>
      <c r="I344" s="71">
        <f t="shared" si="40"/>
        <v>0.27138975224837275</v>
      </c>
      <c r="L344" s="74"/>
      <c r="M344" s="74"/>
      <c r="N344" s="74"/>
      <c r="O344" s="74"/>
      <c r="P344" s="74"/>
      <c r="Q344" s="74"/>
      <c r="R344" s="74"/>
      <c r="S344" s="74"/>
      <c r="T344" s="74"/>
      <c r="U344" s="74"/>
      <c r="V344" s="74"/>
      <c r="W344" s="74"/>
      <c r="X344" s="74"/>
      <c r="Y344" s="74"/>
      <c r="Z344" s="74"/>
    </row>
    <row r="345" spans="1:26" x14ac:dyDescent="0.3">
      <c r="A345" s="66">
        <f t="shared" si="38"/>
        <v>2023.7999999999693</v>
      </c>
      <c r="B345" s="67">
        <f>LOOKUP(A345+0.01,AmountsB!$A$4:$A$103,AmountsB!$B$4:$B$103)*0.1*$A$2</f>
        <v>0</v>
      </c>
      <c r="C345" s="68">
        <f t="shared" si="37"/>
        <v>625969.29735898925</v>
      </c>
      <c r="D345" s="67">
        <f t="array" ref="D345">SUM($B$7:$B340*$F$1009*EXP(-$F$1009*($A345-$A$7:$A340)))*$F$1010</f>
        <v>49084480.196626894</v>
      </c>
      <c r="E345" s="67">
        <f t="shared" si="35"/>
        <v>93.575228313969021</v>
      </c>
      <c r="F345" s="70">
        <f t="shared" si="39"/>
        <v>5.6818878632241994</v>
      </c>
      <c r="G345" s="67">
        <f>E345/'Lookup Tables'!$C$48</f>
        <v>187.15045662793804</v>
      </c>
      <c r="H345" s="70">
        <f t="shared" si="36"/>
        <v>7.8571169878985145E-2</v>
      </c>
      <c r="I345" s="71">
        <f t="shared" si="40"/>
        <v>0.26949665754423074</v>
      </c>
      <c r="L345" s="74"/>
      <c r="M345" s="74"/>
      <c r="N345" s="74"/>
      <c r="O345" s="74"/>
      <c r="P345" s="74"/>
      <c r="Q345" s="74"/>
      <c r="R345" s="74"/>
      <c r="S345" s="74"/>
      <c r="T345" s="74"/>
      <c r="U345" s="74"/>
      <c r="V345" s="74"/>
      <c r="W345" s="74"/>
      <c r="X345" s="74"/>
      <c r="Y345" s="74"/>
      <c r="Z345" s="74"/>
    </row>
    <row r="346" spans="1:26" x14ac:dyDescent="0.3">
      <c r="A346" s="66">
        <f t="shared" si="38"/>
        <v>2023.8999999999692</v>
      </c>
      <c r="B346" s="67">
        <f>LOOKUP(A346+0.01,AmountsB!$A$4:$A$103,AmountsB!$B$4:$B$103)*0.1*$A$2</f>
        <v>0</v>
      </c>
      <c r="C346" s="68">
        <f t="shared" si="37"/>
        <v>625969.29735898925</v>
      </c>
      <c r="D346" s="67">
        <f t="array" ref="D346">SUM($B$7:$B341*$F$1009*EXP(-$F$1009*($A346-$A$7:$A341)))*$F$1010</f>
        <v>48742088.603923135</v>
      </c>
      <c r="E346" s="67">
        <f t="shared" si="35"/>
        <v>92.922488968829953</v>
      </c>
      <c r="F346" s="70">
        <f t="shared" si="39"/>
        <v>5.6422535301873555</v>
      </c>
      <c r="G346" s="67">
        <f>E346/'Lookup Tables'!$C$48</f>
        <v>185.84497793765991</v>
      </c>
      <c r="H346" s="70">
        <f t="shared" si="36"/>
        <v>7.802309219969232E-2</v>
      </c>
      <c r="I346" s="71">
        <f t="shared" si="40"/>
        <v>0.26761676823023034</v>
      </c>
      <c r="L346" s="74"/>
      <c r="M346" s="74"/>
      <c r="N346" s="74"/>
      <c r="O346" s="74"/>
      <c r="P346" s="74"/>
      <c r="Q346" s="74"/>
      <c r="R346" s="74"/>
      <c r="S346" s="74"/>
      <c r="T346" s="74"/>
      <c r="U346" s="74"/>
      <c r="V346" s="74"/>
      <c r="W346" s="74"/>
      <c r="X346" s="74"/>
      <c r="Y346" s="74"/>
      <c r="Z346" s="74"/>
    </row>
    <row r="347" spans="1:26" x14ac:dyDescent="0.3">
      <c r="A347" s="66">
        <f t="shared" si="38"/>
        <v>2023.9999999999691</v>
      </c>
      <c r="B347" s="67">
        <f>LOOKUP(A347+0.01,AmountsB!$A$4:$A$103,AmountsB!$B$4:$B$103)*0.1*$A$2</f>
        <v>0</v>
      </c>
      <c r="C347" s="68">
        <f t="shared" si="37"/>
        <v>625969.29735898925</v>
      </c>
      <c r="D347" s="67">
        <f t="array" ref="D347">SUM($B$7:$B342*$F$1009*EXP(-$F$1009*($A347-$A$7:$A342)))*$F$1010</f>
        <v>48402085.383313462</v>
      </c>
      <c r="E347" s="67">
        <f t="shared" si="35"/>
        <v>92.274302844242627</v>
      </c>
      <c r="F347" s="70">
        <f t="shared" si="39"/>
        <v>5.6028956687024127</v>
      </c>
      <c r="G347" s="67">
        <f>E347/'Lookup Tables'!$C$48</f>
        <v>184.54860568848525</v>
      </c>
      <c r="H347" s="70">
        <f t="shared" si="36"/>
        <v>7.7478837667528375E-2</v>
      </c>
      <c r="I347" s="71">
        <f t="shared" si="40"/>
        <v>0.26574999219141876</v>
      </c>
      <c r="L347" s="74"/>
      <c r="M347" s="74"/>
      <c r="N347" s="74"/>
      <c r="O347" s="74"/>
      <c r="P347" s="74"/>
      <c r="Q347" s="74"/>
      <c r="R347" s="74"/>
      <c r="S347" s="74"/>
      <c r="T347" s="74"/>
      <c r="U347" s="74"/>
      <c r="V347" s="74"/>
      <c r="W347" s="74"/>
      <c r="X347" s="74"/>
      <c r="Y347" s="74"/>
      <c r="Z347" s="74"/>
    </row>
    <row r="348" spans="1:26" x14ac:dyDescent="0.3">
      <c r="A348" s="66">
        <f t="shared" si="38"/>
        <v>2024.099999999969</v>
      </c>
      <c r="B348" s="67">
        <f>LOOKUP(A348+0.01,AmountsB!$A$4:$A$103,AmountsB!$B$4:$B$103)*0.1*$A$2</f>
        <v>0</v>
      </c>
      <c r="C348" s="68">
        <f t="shared" si="37"/>
        <v>625969.29735898925</v>
      </c>
      <c r="D348" s="67">
        <f t="array" ref="D348">SUM($B$7:$B343*$F$1009*EXP(-$F$1009*($A348-$A$7:$A343)))*$F$1010</f>
        <v>48064453.874572039</v>
      </c>
      <c r="E348" s="67">
        <f t="shared" si="35"/>
        <v>91.630638178957255</v>
      </c>
      <c r="F348" s="70">
        <f t="shared" si="39"/>
        <v>5.5638123502262848</v>
      </c>
      <c r="G348" s="67">
        <f>E348/'Lookup Tables'!$C$48</f>
        <v>183.26127635791451</v>
      </c>
      <c r="H348" s="70">
        <f t="shared" si="36"/>
        <v>7.6938379613912408E-2</v>
      </c>
      <c r="I348" s="71">
        <f t="shared" si="40"/>
        <v>0.26389623795539691</v>
      </c>
      <c r="L348" s="74"/>
      <c r="M348" s="74"/>
      <c r="N348" s="74"/>
      <c r="O348" s="74"/>
      <c r="P348" s="74"/>
      <c r="Q348" s="74"/>
      <c r="R348" s="74"/>
      <c r="S348" s="74"/>
      <c r="T348" s="74"/>
      <c r="U348" s="74"/>
      <c r="V348" s="74"/>
      <c r="W348" s="74"/>
      <c r="X348" s="74"/>
      <c r="Y348" s="74"/>
      <c r="Z348" s="74"/>
    </row>
    <row r="349" spans="1:26" x14ac:dyDescent="0.3">
      <c r="A349" s="66">
        <f t="shared" si="38"/>
        <v>2024.1999999999689</v>
      </c>
      <c r="B349" s="67">
        <f>LOOKUP(A349+0.01,AmountsB!$A$4:$A$103,AmountsB!$B$4:$B$103)*0.1*$A$2</f>
        <v>0</v>
      </c>
      <c r="C349" s="68">
        <f t="shared" si="37"/>
        <v>625969.29735898925</v>
      </c>
      <c r="D349" s="67">
        <f t="array" ref="D349">SUM($B$7:$B344*$F$1009*EXP(-$F$1009*($A349-$A$7:$A344)))*$F$1010</f>
        <v>47729177.533687383</v>
      </c>
      <c r="E349" s="67">
        <f t="shared" si="35"/>
        <v>90.991463433276436</v>
      </c>
      <c r="F349" s="70">
        <f t="shared" si="39"/>
        <v>5.5250016596685452</v>
      </c>
      <c r="G349" s="67">
        <f>E349/'Lookup Tables'!$C$48</f>
        <v>181.98292686655287</v>
      </c>
      <c r="H349" s="70">
        <f t="shared" si="36"/>
        <v>7.6401691556291632E-2</v>
      </c>
      <c r="I349" s="71">
        <f t="shared" si="40"/>
        <v>0.26205541468783611</v>
      </c>
      <c r="L349" s="74"/>
      <c r="M349" s="74"/>
      <c r="N349" s="74"/>
      <c r="O349" s="74"/>
      <c r="P349" s="74"/>
      <c r="Q349" s="74"/>
      <c r="R349" s="74"/>
      <c r="S349" s="74"/>
      <c r="T349" s="74"/>
      <c r="U349" s="74"/>
      <c r="V349" s="74"/>
      <c r="W349" s="74"/>
      <c r="X349" s="74"/>
      <c r="Y349" s="74"/>
      <c r="Z349" s="74"/>
    </row>
    <row r="350" spans="1:26" x14ac:dyDescent="0.3">
      <c r="A350" s="66">
        <f t="shared" si="38"/>
        <v>2024.2999999999688</v>
      </c>
      <c r="B350" s="67">
        <f>LOOKUP(A350+0.01,AmountsB!$A$4:$A$103,AmountsB!$B$4:$B$103)*0.1*$A$2</f>
        <v>0</v>
      </c>
      <c r="C350" s="68">
        <f t="shared" si="37"/>
        <v>625969.29735898925</v>
      </c>
      <c r="D350" s="67">
        <f t="array" ref="D350">SUM($B$7:$B345*$F$1009*EXP(-$F$1009*($A350-$A$7:$A345)))*$F$1010</f>
        <v>47396239.932051711</v>
      </c>
      <c r="E350" s="67">
        <f t="shared" si="35"/>
        <v>90.356747287509776</v>
      </c>
      <c r="F350" s="70">
        <f t="shared" si="39"/>
        <v>5.486461695297594</v>
      </c>
      <c r="G350" s="67">
        <f>E350/'Lookup Tables'!$C$48</f>
        <v>180.71349457501955</v>
      </c>
      <c r="H350" s="70">
        <f t="shared" si="36"/>
        <v>7.5868747196843875E-2</v>
      </c>
      <c r="I350" s="71">
        <f t="shared" si="40"/>
        <v>0.26022743218802818</v>
      </c>
      <c r="L350" s="74"/>
      <c r="M350" s="74"/>
      <c r="N350" s="74"/>
      <c r="O350" s="74"/>
      <c r="P350" s="74"/>
      <c r="Q350" s="74"/>
      <c r="R350" s="74"/>
      <c r="S350" s="74"/>
      <c r="T350" s="74"/>
      <c r="U350" s="74"/>
      <c r="V350" s="74"/>
      <c r="W350" s="74"/>
      <c r="X350" s="74"/>
      <c r="Y350" s="74"/>
      <c r="Z350" s="74"/>
    </row>
    <row r="351" spans="1:26" x14ac:dyDescent="0.3">
      <c r="A351" s="66">
        <f t="shared" si="38"/>
        <v>2024.3999999999687</v>
      </c>
      <c r="B351" s="67">
        <f>LOOKUP(A351+0.01,AmountsB!$A$4:$A$103,AmountsB!$B$4:$B$103)*0.1*$A$2</f>
        <v>0</v>
      </c>
      <c r="C351" s="68">
        <f t="shared" si="37"/>
        <v>625969.29735898925</v>
      </c>
      <c r="D351" s="67">
        <f t="array" ref="D351">SUM($B$7:$B346*$F$1009*EXP(-$F$1009*($A351-$A$7:$A346)))*$F$1010</f>
        <v>47065624.755655892</v>
      </c>
      <c r="E351" s="67">
        <f t="shared" si="35"/>
        <v>89.726458640439049</v>
      </c>
      <c r="F351" s="70">
        <f t="shared" si="39"/>
        <v>5.4481905686474592</v>
      </c>
      <c r="G351" s="67">
        <f>E351/'Lookup Tables'!$C$48</f>
        <v>179.4529172808781</v>
      </c>
      <c r="H351" s="70">
        <f t="shared" si="36"/>
        <v>7.5339520421188799E-2</v>
      </c>
      <c r="I351" s="71">
        <f t="shared" si="40"/>
        <v>0.25841220088446448</v>
      </c>
      <c r="L351" s="74"/>
      <c r="M351" s="74"/>
      <c r="N351" s="74"/>
      <c r="O351" s="74"/>
      <c r="P351" s="74"/>
      <c r="Q351" s="74"/>
      <c r="R351" s="74"/>
      <c r="S351" s="74"/>
      <c r="T351" s="74"/>
      <c r="U351" s="74"/>
      <c r="V351" s="74"/>
      <c r="W351" s="74"/>
      <c r="X351" s="74"/>
      <c r="Y351" s="74"/>
      <c r="Z351" s="74"/>
    </row>
    <row r="352" spans="1:26" x14ac:dyDescent="0.3">
      <c r="A352" s="66">
        <f t="shared" si="38"/>
        <v>2024.4999999999686</v>
      </c>
      <c r="B352" s="67">
        <f>LOOKUP(A352+0.01,AmountsB!$A$4:$A$103,AmountsB!$B$4:$B$103)*0.1*$A$2</f>
        <v>0</v>
      </c>
      <c r="C352" s="68">
        <f t="shared" si="37"/>
        <v>625969.29735898925</v>
      </c>
      <c r="D352" s="67">
        <f t="array" ref="D352">SUM($B$7:$B347*$F$1009*EXP(-$F$1009*($A352-$A$7:$A347)))*$F$1010</f>
        <v>46737315.804290175</v>
      </c>
      <c r="E352" s="67">
        <f t="shared" si="35"/>
        <v>89.100566607794534</v>
      </c>
      <c r="F352" s="70">
        <f t="shared" si="39"/>
        <v>5.4101864044252848</v>
      </c>
      <c r="G352" s="67">
        <f>E352/'Lookup Tables'!$C$48</f>
        <v>178.20113321558907</v>
      </c>
      <c r="H352" s="70">
        <f t="shared" si="36"/>
        <v>7.4813985297108587E-2</v>
      </c>
      <c r="I352" s="71">
        <f t="shared" si="40"/>
        <v>0.25660963183044827</v>
      </c>
      <c r="L352" s="74"/>
      <c r="M352" s="74"/>
      <c r="N352" s="74"/>
      <c r="O352" s="74"/>
      <c r="P352" s="74"/>
      <c r="Q352" s="74"/>
      <c r="R352" s="74"/>
      <c r="S352" s="74"/>
      <c r="T352" s="74"/>
      <c r="U352" s="74"/>
      <c r="V352" s="74"/>
      <c r="W352" s="74"/>
      <c r="X352" s="74"/>
      <c r="Y352" s="74"/>
      <c r="Z352" s="74"/>
    </row>
    <row r="353" spans="1:26" x14ac:dyDescent="0.3">
      <c r="A353" s="66">
        <f t="shared" si="38"/>
        <v>2024.5999999999685</v>
      </c>
      <c r="B353" s="67">
        <f>LOOKUP(A353+0.01,AmountsB!$A$4:$A$103,AmountsB!$B$4:$B$103)*0.1*$A$2</f>
        <v>0</v>
      </c>
      <c r="C353" s="68">
        <f t="shared" si="37"/>
        <v>625969.29735898925</v>
      </c>
      <c r="D353" s="67">
        <f t="array" ref="D353">SUM($B$7:$B348*$F$1009*EXP(-$F$1009*($A353-$A$7:$A348)))*$F$1010</f>
        <v>46411296.990750223</v>
      </c>
      <c r="E353" s="67">
        <f t="shared" si="35"/>
        <v>88.479040520741322</v>
      </c>
      <c r="F353" s="70">
        <f t="shared" si="39"/>
        <v>5.3724473404194129</v>
      </c>
      <c r="G353" s="67">
        <f>E353/'Lookup Tables'!$C$48</f>
        <v>176.95808104148264</v>
      </c>
      <c r="H353" s="70">
        <f t="shared" si="36"/>
        <v>7.4292116073276945E-2</v>
      </c>
      <c r="I353" s="71">
        <f t="shared" si="40"/>
        <v>0.25481963669973501</v>
      </c>
      <c r="L353" s="74"/>
      <c r="M353" s="74"/>
      <c r="N353" s="74"/>
      <c r="O353" s="74"/>
      <c r="P353" s="74"/>
      <c r="Q353" s="74"/>
      <c r="R353" s="74"/>
      <c r="S353" s="74"/>
      <c r="T353" s="74"/>
      <c r="U353" s="74"/>
      <c r="V353" s="74"/>
      <c r="W353" s="74"/>
      <c r="X353" s="74"/>
      <c r="Y353" s="74"/>
      <c r="Z353" s="74"/>
    </row>
    <row r="354" spans="1:26" x14ac:dyDescent="0.3">
      <c r="A354" s="66">
        <f t="shared" si="38"/>
        <v>2024.6999999999684</v>
      </c>
      <c r="B354" s="67">
        <f>LOOKUP(A354+0.01,AmountsB!$A$4:$A$103,AmountsB!$B$4:$B$103)*0.1*$A$2</f>
        <v>0</v>
      </c>
      <c r="C354" s="68">
        <f t="shared" si="37"/>
        <v>625969.29735898925</v>
      </c>
      <c r="D354" s="67">
        <f t="array" ref="D354">SUM($B$7:$B349*$F$1009*EXP(-$F$1009*($A354-$A$7:$A349)))*$F$1010</f>
        <v>46087552.340048961</v>
      </c>
      <c r="E354" s="67">
        <f t="shared" si="35"/>
        <v>87.861849924376827</v>
      </c>
      <c r="F354" s="70">
        <f t="shared" si="39"/>
        <v>5.3349715274081602</v>
      </c>
      <c r="G354" s="67">
        <f>E354/'Lookup Tables'!$C$48</f>
        <v>175.72369984875365</v>
      </c>
      <c r="H354" s="70">
        <f t="shared" si="36"/>
        <v>7.377388717799753E-2</v>
      </c>
      <c r="I354" s="71">
        <f t="shared" si="40"/>
        <v>0.25304212778220525</v>
      </c>
      <c r="L354" s="74"/>
      <c r="M354" s="74"/>
      <c r="N354" s="74"/>
      <c r="O354" s="74"/>
      <c r="P354" s="74"/>
      <c r="Q354" s="74"/>
      <c r="R354" s="74"/>
      <c r="S354" s="74"/>
      <c r="T354" s="74"/>
      <c r="U354" s="74"/>
      <c r="V354" s="74"/>
      <c r="W354" s="74"/>
      <c r="X354" s="74"/>
      <c r="Y354" s="74"/>
      <c r="Z354" s="74"/>
    </row>
    <row r="355" spans="1:26" x14ac:dyDescent="0.3">
      <c r="A355" s="66">
        <f t="shared" si="38"/>
        <v>2024.7999999999683</v>
      </c>
      <c r="B355" s="67">
        <f>LOOKUP(A355+0.01,AmountsB!$A$4:$A$103,AmountsB!$B$4:$B$103)*0.1*$A$2</f>
        <v>0</v>
      </c>
      <c r="C355" s="68">
        <f t="shared" si="37"/>
        <v>625969.29735898925</v>
      </c>
      <c r="D355" s="67">
        <f t="array" ref="D355">SUM($B$7:$B350*$F$1009*EXP(-$F$1009*($A355-$A$7:$A350)))*$F$1010</f>
        <v>45766065.988633737</v>
      </c>
      <c r="E355" s="67">
        <f t="shared" si="35"/>
        <v>87.248964576238379</v>
      </c>
      <c r="F355" s="70">
        <f t="shared" si="39"/>
        <v>5.2977571290691943</v>
      </c>
      <c r="G355" s="67">
        <f>E355/'Lookup Tables'!$C$48</f>
        <v>174.49792915247676</v>
      </c>
      <c r="H355" s="70">
        <f t="shared" si="36"/>
        <v>7.3259273217950824E-2</v>
      </c>
      <c r="I355" s="71">
        <f t="shared" si="40"/>
        <v>0.25127701797956653</v>
      </c>
      <c r="L355" s="74"/>
      <c r="M355" s="74"/>
      <c r="N355" s="74"/>
      <c r="O355" s="74"/>
      <c r="P355" s="74"/>
      <c r="Q355" s="74"/>
      <c r="R355" s="74"/>
      <c r="S355" s="74"/>
      <c r="T355" s="74"/>
      <c r="U355" s="74"/>
      <c r="V355" s="74"/>
      <c r="W355" s="74"/>
      <c r="X355" s="74"/>
      <c r="Y355" s="74"/>
      <c r="Z355" s="74"/>
    </row>
    <row r="356" spans="1:26" x14ac:dyDescent="0.3">
      <c r="A356" s="66">
        <f t="shared" si="38"/>
        <v>2024.8999999999683</v>
      </c>
      <c r="B356" s="67">
        <f>LOOKUP(A356+0.01,AmountsB!$A$4:$A$103,AmountsB!$B$4:$B$103)*0.1*$A$2</f>
        <v>0</v>
      </c>
      <c r="C356" s="68">
        <f t="shared" si="37"/>
        <v>625969.29735898925</v>
      </c>
      <c r="D356" s="67">
        <f t="array" ref="D356">SUM($B$7:$B351*$F$1009*EXP(-$F$1009*($A356-$A$7:$A351)))*$F$1010</f>
        <v>45446822.183608979</v>
      </c>
      <c r="E356" s="67">
        <f t="shared" si="35"/>
        <v>86.640354444821213</v>
      </c>
      <c r="F356" s="70">
        <f t="shared" si="39"/>
        <v>5.2608023218895443</v>
      </c>
      <c r="G356" s="67">
        <f>E356/'Lookup Tables'!$C$48</f>
        <v>173.28070888964243</v>
      </c>
      <c r="H356" s="70">
        <f t="shared" si="36"/>
        <v>7.2748248976949717E-2</v>
      </c>
      <c r="I356" s="71">
        <f t="shared" si="40"/>
        <v>0.24952422080108508</v>
      </c>
      <c r="L356" s="74"/>
      <c r="M356" s="74"/>
      <c r="N356" s="74"/>
      <c r="O356" s="74"/>
      <c r="P356" s="74"/>
      <c r="Q356" s="74"/>
      <c r="R356" s="74"/>
      <c r="S356" s="74"/>
      <c r="T356" s="74"/>
      <c r="U356" s="74"/>
      <c r="V356" s="74"/>
      <c r="W356" s="74"/>
      <c r="X356" s="74"/>
      <c r="Y356" s="74"/>
      <c r="Z356" s="74"/>
    </row>
    <row r="357" spans="1:26" x14ac:dyDescent="0.3">
      <c r="A357" s="66">
        <f t="shared" si="38"/>
        <v>2024.9999999999682</v>
      </c>
      <c r="B357" s="67">
        <f>LOOKUP(A357+0.01,AmountsB!$A$4:$A$103,AmountsB!$B$4:$B$103)*0.1*$A$2</f>
        <v>0</v>
      </c>
      <c r="C357" s="68">
        <f t="shared" si="37"/>
        <v>625969.29735898925</v>
      </c>
      <c r="D357" s="67">
        <f t="array" ref="D357">SUM($B$7:$B352*$F$1009*EXP(-$F$1009*($A357-$A$7:$A352)))*$F$1010</f>
        <v>45129805.281964391</v>
      </c>
      <c r="E357" s="67">
        <f t="shared" si="35"/>
        <v>86.035989708107209</v>
      </c>
      <c r="F357" s="70">
        <f t="shared" si="39"/>
        <v>5.2241052950762699</v>
      </c>
      <c r="G357" s="67">
        <f>E357/'Lookup Tables'!$C$48</f>
        <v>172.07197941621442</v>
      </c>
      <c r="H357" s="70">
        <f t="shared" si="36"/>
        <v>7.2240789414704271E-2</v>
      </c>
      <c r="I357" s="71">
        <f t="shared" si="40"/>
        <v>0.24778365035934874</v>
      </c>
      <c r="L357" s="74"/>
      <c r="M357" s="74"/>
      <c r="N357" s="74"/>
      <c r="O357" s="74"/>
      <c r="P357" s="74"/>
      <c r="Q357" s="74"/>
      <c r="R357" s="74"/>
      <c r="S357" s="74"/>
      <c r="T357" s="74"/>
      <c r="U357" s="74"/>
      <c r="V357" s="74"/>
      <c r="W357" s="74"/>
      <c r="X357" s="74"/>
      <c r="Y357" s="74"/>
      <c r="Z357" s="74"/>
    </row>
    <row r="358" spans="1:26" x14ac:dyDescent="0.3">
      <c r="A358" s="66">
        <f t="shared" si="38"/>
        <v>2025.0999999999681</v>
      </c>
      <c r="B358" s="67">
        <f>LOOKUP(A358+0.01,AmountsB!$A$4:$A$103,AmountsB!$B$4:$B$103)*0.1*$A$2</f>
        <v>0</v>
      </c>
      <c r="C358" s="68">
        <f t="shared" si="37"/>
        <v>625969.29735898925</v>
      </c>
      <c r="D358" s="67">
        <f t="array" ref="D358">SUM($B$7:$B353*$F$1009*EXP(-$F$1009*($A358-$A$7:$A353)))*$F$1010</f>
        <v>44814999.749808349</v>
      </c>
      <c r="E358" s="67">
        <f t="shared" si="35"/>
        <v>85.435840752103246</v>
      </c>
      <c r="F358" s="70">
        <f t="shared" si="39"/>
        <v>5.1876642504677086</v>
      </c>
      <c r="G358" s="67">
        <f>E358/'Lookup Tables'!$C$48</f>
        <v>170.87168150420649</v>
      </c>
      <c r="H358" s="70">
        <f t="shared" si="36"/>
        <v>7.1736869665594311E-2</v>
      </c>
      <c r="I358" s="71">
        <f t="shared" si="40"/>
        <v>0.24605522136605734</v>
      </c>
      <c r="L358" s="74"/>
      <c r="M358" s="74"/>
      <c r="N358" s="74"/>
      <c r="O358" s="74"/>
      <c r="P358" s="74"/>
      <c r="Q358" s="74"/>
      <c r="R358" s="74"/>
      <c r="S358" s="74"/>
      <c r="T358" s="74"/>
      <c r="U358" s="74"/>
      <c r="V358" s="74"/>
      <c r="W358" s="74"/>
      <c r="X358" s="74"/>
      <c r="Y358" s="74"/>
      <c r="Z358" s="74"/>
    </row>
    <row r="359" spans="1:26" x14ac:dyDescent="0.3">
      <c r="A359" s="66">
        <f t="shared" si="38"/>
        <v>2025.199999999968</v>
      </c>
      <c r="B359" s="67">
        <f>LOOKUP(A359+0.01,AmountsB!$A$4:$A$103,AmountsB!$B$4:$B$103)*0.1*$A$2</f>
        <v>0</v>
      </c>
      <c r="C359" s="68">
        <f t="shared" si="37"/>
        <v>625969.29735898925</v>
      </c>
      <c r="D359" s="67">
        <f t="array" ref="D359">SUM($B$7:$B354*$F$1009*EXP(-$F$1009*($A359-$A$7:$A354)))*$F$1010</f>
        <v>44502390.161606796</v>
      </c>
      <c r="E359" s="67">
        <f t="shared" si="35"/>
        <v>84.83987816939046</v>
      </c>
      <c r="F359" s="70">
        <f t="shared" si="39"/>
        <v>5.1514774024453889</v>
      </c>
      <c r="G359" s="67">
        <f>E359/'Lookup Tables'!$C$48</f>
        <v>169.67975633878092</v>
      </c>
      <c r="H359" s="70">
        <f t="shared" si="36"/>
        <v>7.123646503745136E-2</v>
      </c>
      <c r="I359" s="71">
        <f t="shared" si="40"/>
        <v>0.24433884912784454</v>
      </c>
      <c r="L359" s="74"/>
      <c r="M359" s="74"/>
      <c r="N359" s="74"/>
      <c r="O359" s="74"/>
      <c r="P359" s="74"/>
      <c r="Q359" s="74"/>
      <c r="R359" s="74"/>
      <c r="S359" s="74"/>
      <c r="T359" s="74"/>
      <c r="U359" s="74"/>
      <c r="V359" s="74"/>
      <c r="W359" s="74"/>
      <c r="X359" s="74"/>
      <c r="Y359" s="74"/>
      <c r="Z359" s="74"/>
    </row>
    <row r="360" spans="1:26" x14ac:dyDescent="0.3">
      <c r="A360" s="66">
        <f t="shared" si="38"/>
        <v>2025.2999999999679</v>
      </c>
      <c r="B360" s="67">
        <f>LOOKUP(A360+0.01,AmountsB!$A$4:$A$103,AmountsB!$B$4:$B$103)*0.1*$A$2</f>
        <v>0</v>
      </c>
      <c r="C360" s="68">
        <f t="shared" si="37"/>
        <v>625969.29735898925</v>
      </c>
      <c r="D360" s="67">
        <f t="array" ref="D360">SUM($B$7:$B355*$F$1009*EXP(-$F$1009*($A360-$A$7:$A355)))*$F$1010</f>
        <v>44191961.199427336</v>
      </c>
      <c r="E360" s="67">
        <f t="shared" si="35"/>
        <v>84.248072757683019</v>
      </c>
      <c r="F360" s="70">
        <f t="shared" si="39"/>
        <v>5.1155429778465127</v>
      </c>
      <c r="G360" s="67">
        <f>E360/'Lookup Tables'!$C$48</f>
        <v>168.49614551536604</v>
      </c>
      <c r="H360" s="70">
        <f t="shared" si="36"/>
        <v>7.0739551010348442E-2</v>
      </c>
      <c r="I360" s="71">
        <f t="shared" si="40"/>
        <v>0.2426344495421271</v>
      </c>
      <c r="L360" s="74"/>
      <c r="M360" s="74"/>
      <c r="N360" s="74"/>
      <c r="O360" s="74"/>
      <c r="P360" s="74"/>
      <c r="Q360" s="74"/>
      <c r="R360" s="74"/>
      <c r="S360" s="74"/>
      <c r="T360" s="74"/>
      <c r="U360" s="74"/>
      <c r="V360" s="74"/>
      <c r="W360" s="74"/>
      <c r="X360" s="74"/>
      <c r="Y360" s="74"/>
      <c r="Z360" s="74"/>
    </row>
    <row r="361" spans="1:26" x14ac:dyDescent="0.3">
      <c r="A361" s="66">
        <f t="shared" si="38"/>
        <v>2025.3999999999678</v>
      </c>
      <c r="B361" s="67">
        <f>LOOKUP(A361+0.01,AmountsB!$A$4:$A$103,AmountsB!$B$4:$B$103)*0.1*$A$2</f>
        <v>0</v>
      </c>
      <c r="C361" s="68">
        <f t="shared" si="37"/>
        <v>625969.29735898925</v>
      </c>
      <c r="D361" s="67">
        <f t="array" ref="D361">SUM($B$7:$B356*$F$1009*EXP(-$F$1009*($A361-$A$7:$A356)))*$F$1010</f>
        <v>43883697.652188741</v>
      </c>
      <c r="E361" s="67">
        <f t="shared" si="35"/>
        <v>83.660395518397337</v>
      </c>
      <c r="F361" s="70">
        <f t="shared" si="39"/>
        <v>5.0798592158770868</v>
      </c>
      <c r="G361" s="67">
        <f>E361/'Lookup Tables'!$C$48</f>
        <v>167.32079103679467</v>
      </c>
      <c r="H361" s="70">
        <f t="shared" si="36"/>
        <v>7.0246103235398857E-2</v>
      </c>
      <c r="I361" s="71">
        <f t="shared" si="40"/>
        <v>0.24094193909298434</v>
      </c>
      <c r="L361" s="74"/>
      <c r="M361" s="74"/>
      <c r="N361" s="74"/>
      <c r="O361" s="74"/>
      <c r="P361" s="74"/>
      <c r="Q361" s="74"/>
      <c r="R361" s="74"/>
      <c r="S361" s="74"/>
      <c r="T361" s="74"/>
      <c r="U361" s="74"/>
      <c r="V361" s="74"/>
      <c r="W361" s="74"/>
      <c r="X361" s="74"/>
      <c r="Y361" s="74"/>
      <c r="Z361" s="74"/>
    </row>
    <row r="362" spans="1:26" x14ac:dyDescent="0.3">
      <c r="A362" s="66">
        <f t="shared" si="38"/>
        <v>2025.4999999999677</v>
      </c>
      <c r="B362" s="67">
        <f>LOOKUP(A362+0.01,AmountsB!$A$4:$A$103,AmountsB!$B$4:$B$103)*0.1*$A$2</f>
        <v>0</v>
      </c>
      <c r="C362" s="68">
        <f t="shared" si="37"/>
        <v>625969.29735898925</v>
      </c>
      <c r="D362" s="67">
        <f t="array" ref="D362">SUM($B$7:$B357*$F$1009*EXP(-$F$1009*($A362-$A$7:$A357)))*$F$1010</f>
        <v>43577584.414915517</v>
      </c>
      <c r="E362" s="67">
        <f t="shared" si="35"/>
        <v>83.076817655231167</v>
      </c>
      <c r="F362" s="70">
        <f t="shared" si="39"/>
        <v>5.044424368025636</v>
      </c>
      <c r="G362" s="67">
        <f>E362/'Lookup Tables'!$C$48</f>
        <v>166.15363531046233</v>
      </c>
      <c r="H362" s="70">
        <f t="shared" si="36"/>
        <v>6.9756097533562919E-2</v>
      </c>
      <c r="I362" s="71">
        <f t="shared" si="40"/>
        <v>0.23926123484706577</v>
      </c>
      <c r="L362" s="74"/>
      <c r="M362" s="74"/>
      <c r="N362" s="74"/>
      <c r="O362" s="74"/>
      <c r="P362" s="74"/>
      <c r="Q362" s="74"/>
      <c r="R362" s="74"/>
      <c r="S362" s="74"/>
      <c r="T362" s="74"/>
      <c r="U362" s="74"/>
      <c r="V362" s="74"/>
      <c r="W362" s="74"/>
      <c r="X362" s="74"/>
      <c r="Y362" s="74"/>
      <c r="Z362" s="74"/>
    </row>
    <row r="363" spans="1:26" x14ac:dyDescent="0.3">
      <c r="A363" s="66">
        <f t="shared" si="38"/>
        <v>2025.5999999999676</v>
      </c>
      <c r="B363" s="67">
        <f>LOOKUP(A363+0.01,AmountsB!$A$4:$A$103,AmountsB!$B$4:$B$103)*0.1*$A$2</f>
        <v>0</v>
      </c>
      <c r="C363" s="68">
        <f t="shared" si="37"/>
        <v>625969.29735898925</v>
      </c>
      <c r="D363" s="67">
        <f t="array" ref="D363">SUM($B$7:$B358*$F$1009*EXP(-$F$1009*($A363-$A$7:$A358)))*$F$1010</f>
        <v>43273606.487997785</v>
      </c>
      <c r="E363" s="67">
        <f t="shared" si="35"/>
        <v>82.497310572752411</v>
      </c>
      <c r="F363" s="70">
        <f t="shared" si="39"/>
        <v>5.009236697977526</v>
      </c>
      <c r="G363" s="67">
        <f>E363/'Lookup Tables'!$C$48</f>
        <v>164.99462114550482</v>
      </c>
      <c r="H363" s="70">
        <f t="shared" si="36"/>
        <v>6.9269509894463177E-2</v>
      </c>
      <c r="I363" s="71">
        <f t="shared" si="40"/>
        <v>0.23759225444952695</v>
      </c>
      <c r="L363" s="74"/>
      <c r="M363" s="74"/>
      <c r="N363" s="74"/>
      <c r="O363" s="74"/>
      <c r="P363" s="74"/>
      <c r="Q363" s="74"/>
      <c r="R363" s="74"/>
      <c r="S363" s="74"/>
      <c r="T363" s="74"/>
      <c r="U363" s="74"/>
      <c r="V363" s="74"/>
      <c r="W363" s="74"/>
      <c r="X363" s="74"/>
      <c r="Y363" s="74"/>
      <c r="Z363" s="74"/>
    </row>
    <row r="364" spans="1:26" x14ac:dyDescent="0.3">
      <c r="A364" s="66">
        <f t="shared" si="38"/>
        <v>2025.6999999999675</v>
      </c>
      <c r="B364" s="67">
        <f>LOOKUP(A364+0.01,AmountsB!$A$4:$A$103,AmountsB!$B$4:$B$103)*0.1*$A$2</f>
        <v>0</v>
      </c>
      <c r="C364" s="68">
        <f t="shared" si="37"/>
        <v>625969.29735898925</v>
      </c>
      <c r="D364" s="67">
        <f t="array" ref="D364">SUM($B$7:$B359*$F$1009*EXP(-$F$1009*($A364-$A$7:$A359)))*$F$1010</f>
        <v>42971748.976456299</v>
      </c>
      <c r="E364" s="67">
        <f t="shared" si="35"/>
        <v>81.921845874998056</v>
      </c>
      <c r="F364" s="70">
        <f t="shared" si="39"/>
        <v>4.9742944815298822</v>
      </c>
      <c r="G364" s="67">
        <f>E364/'Lookup Tables'!$C$48</f>
        <v>163.84369174999611</v>
      </c>
      <c r="H364" s="70">
        <f t="shared" si="36"/>
        <v>6.8786316475207943E-2</v>
      </c>
      <c r="I364" s="71">
        <f t="shared" si="40"/>
        <v>0.2359349161199944</v>
      </c>
      <c r="L364" s="74"/>
      <c r="M364" s="74"/>
      <c r="N364" s="74"/>
      <c r="O364" s="74"/>
      <c r="P364" s="74"/>
      <c r="Q364" s="74"/>
      <c r="R364" s="74"/>
      <c r="S364" s="74"/>
      <c r="T364" s="74"/>
      <c r="U364" s="74"/>
      <c r="V364" s="74"/>
      <c r="W364" s="74"/>
      <c r="X364" s="74"/>
      <c r="Y364" s="74"/>
      <c r="Z364" s="74"/>
    </row>
    <row r="365" spans="1:26" x14ac:dyDescent="0.3">
      <c r="A365" s="66">
        <f t="shared" si="38"/>
        <v>2025.7999999999674</v>
      </c>
      <c r="B365" s="67">
        <f>LOOKUP(A365+0.01,AmountsB!$A$4:$A$103,AmountsB!$B$4:$B$103)*0.1*$A$2</f>
        <v>0</v>
      </c>
      <c r="C365" s="68">
        <f t="shared" si="37"/>
        <v>625969.29735898925</v>
      </c>
      <c r="D365" s="67">
        <f t="array" ref="D365">SUM($B$7:$B360*$F$1009*EXP(-$F$1009*($A365-$A$7:$A360)))*$F$1010</f>
        <v>42671997.089212596</v>
      </c>
      <c r="E365" s="67">
        <f t="shared" si="35"/>
        <v>81.350395364082786</v>
      </c>
      <c r="F365" s="70">
        <f t="shared" si="39"/>
        <v>4.9395960065071067</v>
      </c>
      <c r="G365" s="67">
        <f>E365/'Lookup Tables'!$C$48</f>
        <v>162.70079072816557</v>
      </c>
      <c r="H365" s="70">
        <f t="shared" si="36"/>
        <v>6.8306493599223E-2</v>
      </c>
      <c r="I365" s="71">
        <f t="shared" si="40"/>
        <v>0.23428913864855844</v>
      </c>
      <c r="L365" s="74"/>
      <c r="M365" s="74"/>
      <c r="N365" s="74"/>
      <c r="O365" s="74"/>
      <c r="P365" s="74"/>
      <c r="Q365" s="74"/>
      <c r="R365" s="74"/>
      <c r="S365" s="74"/>
      <c r="T365" s="74"/>
      <c r="U365" s="74"/>
      <c r="V365" s="74"/>
      <c r="W365" s="74"/>
      <c r="X365" s="74"/>
      <c r="Y365" s="74"/>
      <c r="Z365" s="74"/>
    </row>
    <row r="366" spans="1:26" x14ac:dyDescent="0.3">
      <c r="A366" s="66">
        <f t="shared" si="38"/>
        <v>2025.8999999999673</v>
      </c>
      <c r="B366" s="67">
        <f>LOOKUP(A366+0.01,AmountsB!$A$4:$A$103,AmountsB!$B$4:$B$103)*0.1*$A$2</f>
        <v>0</v>
      </c>
      <c r="C366" s="68">
        <f t="shared" si="37"/>
        <v>625969.29735898925</v>
      </c>
      <c r="D366" s="67">
        <f t="array" ref="D366">SUM($B$7:$B361*$F$1009*EXP(-$F$1009*($A366-$A$7:$A361)))*$F$1010</f>
        <v>42374336.138364241</v>
      </c>
      <c r="E366" s="67">
        <f t="shared" si="35"/>
        <v>80.782931038817267</v>
      </c>
      <c r="F366" s="70">
        <f t="shared" si="39"/>
        <v>4.9051395726769842</v>
      </c>
      <c r="G366" s="67">
        <f>E366/'Lookup Tables'!$C$48</f>
        <v>161.56586207763453</v>
      </c>
      <c r="H366" s="70">
        <f t="shared" si="36"/>
        <v>6.7830017755091454E-2</v>
      </c>
      <c r="I366" s="71">
        <f t="shared" si="40"/>
        <v>0.23265484139179374</v>
      </c>
      <c r="L366" s="74"/>
      <c r="M366" s="74"/>
      <c r="N366" s="74"/>
      <c r="O366" s="74"/>
      <c r="P366" s="74"/>
      <c r="Q366" s="74"/>
      <c r="R366" s="74"/>
      <c r="S366" s="74"/>
      <c r="T366" s="74"/>
      <c r="U366" s="74"/>
      <c r="V366" s="74"/>
      <c r="W366" s="74"/>
      <c r="X366" s="74"/>
      <c r="Y366" s="74"/>
      <c r="Z366" s="74"/>
    </row>
    <row r="367" spans="1:26" x14ac:dyDescent="0.3">
      <c r="A367" s="66">
        <f t="shared" si="38"/>
        <v>2025.9999999999673</v>
      </c>
      <c r="B367" s="67">
        <f>LOOKUP(A367+0.01,AmountsB!$A$4:$A$103,AmountsB!$B$4:$B$103)*0.1*$A$2</f>
        <v>0</v>
      </c>
      <c r="C367" s="68">
        <f t="shared" si="37"/>
        <v>625969.29735898925</v>
      </c>
      <c r="D367" s="67">
        <f t="array" ref="D367">SUM($B$7:$B362*$F$1009*EXP(-$F$1009*($A367-$A$7:$A362)))*$F$1010</f>
        <v>42078751.538465075</v>
      </c>
      <c r="E367" s="67">
        <f t="shared" si="35"/>
        <v>80.219425093335971</v>
      </c>
      <c r="F367" s="70">
        <f t="shared" si="39"/>
        <v>4.8709234916673605</v>
      </c>
      <c r="G367" s="67">
        <f>E367/'Lookup Tables'!$C$48</f>
        <v>160.43885018667194</v>
      </c>
      <c r="H367" s="70">
        <f t="shared" si="36"/>
        <v>6.7356865595401549E-2</v>
      </c>
      <c r="I367" s="71">
        <f t="shared" si="40"/>
        <v>0.2310319442688076</v>
      </c>
      <c r="L367" s="74"/>
      <c r="M367" s="74"/>
      <c r="N367" s="74"/>
      <c r="O367" s="74"/>
      <c r="P367" s="74"/>
      <c r="Q367" s="74"/>
      <c r="R367" s="74"/>
      <c r="S367" s="74"/>
      <c r="T367" s="74"/>
      <c r="U367" s="74"/>
      <c r="V367" s="74"/>
      <c r="W367" s="74"/>
      <c r="X367" s="74"/>
      <c r="Y367" s="74"/>
      <c r="Z367" s="74"/>
    </row>
    <row r="368" spans="1:26" x14ac:dyDescent="0.3">
      <c r="A368" s="66">
        <f t="shared" si="38"/>
        <v>2026.0999999999672</v>
      </c>
      <c r="B368" s="67">
        <f>LOOKUP(A368+0.01,AmountsB!$A$4:$A$103,AmountsB!$B$4:$B$103)*0.1*$A$2</f>
        <v>0</v>
      </c>
      <c r="C368" s="68">
        <f t="shared" si="37"/>
        <v>625969.29735898925</v>
      </c>
      <c r="D368" s="67">
        <f t="array" ref="D368">SUM($B$7:$B363*$F$1009*EXP(-$F$1009*($A368-$A$7:$A363)))*$F$1010</f>
        <v>41785228.805810548</v>
      </c>
      <c r="E368" s="67">
        <f t="shared" si="35"/>
        <v>79.659849915734839</v>
      </c>
      <c r="F368" s="70">
        <f t="shared" si="39"/>
        <v>4.8369460868834189</v>
      </c>
      <c r="G368" s="67">
        <f>E368/'Lookup Tables'!$C$48</f>
        <v>159.31969983146968</v>
      </c>
      <c r="H368" s="70">
        <f t="shared" si="36"/>
        <v>6.688701393560284E-2</v>
      </c>
      <c r="I368" s="71">
        <f t="shared" si="40"/>
        <v>0.22942036775731633</v>
      </c>
      <c r="L368" s="74"/>
      <c r="M368" s="74"/>
      <c r="N368" s="74"/>
      <c r="O368" s="74"/>
      <c r="P368" s="74"/>
      <c r="Q368" s="74"/>
      <c r="R368" s="74"/>
      <c r="S368" s="74"/>
      <c r="T368" s="74"/>
      <c r="U368" s="74"/>
      <c r="V368" s="74"/>
      <c r="W368" s="74"/>
      <c r="X368" s="74"/>
      <c r="Y368" s="74"/>
      <c r="Z368" s="74"/>
    </row>
    <row r="369" spans="1:26" x14ac:dyDescent="0.3">
      <c r="A369" s="66">
        <f t="shared" si="38"/>
        <v>2026.1999999999671</v>
      </c>
      <c r="B369" s="67">
        <f>LOOKUP(A369+0.01,AmountsB!$A$4:$A$103,AmountsB!$B$4:$B$103)*0.1*$A$2</f>
        <v>0</v>
      </c>
      <c r="C369" s="68">
        <f t="shared" si="37"/>
        <v>625969.29735898925</v>
      </c>
      <c r="D369" s="67">
        <f t="array" ref="D369">SUM($B$7:$B364*$F$1009*EXP(-$F$1009*($A369-$A$7:$A364)))*$F$1010</f>
        <v>41493753.55772806</v>
      </c>
      <c r="E369" s="67">
        <f t="shared" si="35"/>
        <v>79.104178086718221</v>
      </c>
      <c r="F369" s="70">
        <f t="shared" si="39"/>
        <v>4.8032056934255296</v>
      </c>
      <c r="G369" s="67">
        <f>E369/'Lookup Tables'!$C$48</f>
        <v>158.20835617343644</v>
      </c>
      <c r="H369" s="70">
        <f t="shared" si="36"/>
        <v>6.6420439752869972E-2</v>
      </c>
      <c r="I369" s="71">
        <f t="shared" si="40"/>
        <v>0.22782003288974845</v>
      </c>
      <c r="L369" s="74"/>
      <c r="M369" s="74"/>
      <c r="N369" s="74"/>
      <c r="O369" s="74"/>
      <c r="P369" s="74"/>
      <c r="Q369" s="74"/>
      <c r="R369" s="74"/>
      <c r="S369" s="74"/>
      <c r="T369" s="74"/>
      <c r="U369" s="74"/>
      <c r="V369" s="74"/>
      <c r="W369" s="74"/>
      <c r="X369" s="74"/>
      <c r="Y369" s="74"/>
      <c r="Z369" s="74"/>
    </row>
    <row r="370" spans="1:26" x14ac:dyDescent="0.3">
      <c r="A370" s="66">
        <f t="shared" si="38"/>
        <v>2026.299999999967</v>
      </c>
      <c r="B370" s="67">
        <f>LOOKUP(A370+0.01,AmountsB!$A$4:$A$103,AmountsB!$B$4:$B$103)*0.1*$A$2</f>
        <v>0</v>
      </c>
      <c r="C370" s="68">
        <f t="shared" si="37"/>
        <v>625969.29735898925</v>
      </c>
      <c r="D370" s="67">
        <f t="array" ref="D370">SUM($B$7:$B365*$F$1009*EXP(-$F$1009*($A370-$A$7:$A365)))*$F$1010</f>
        <v>41204311.511872113</v>
      </c>
      <c r="E370" s="67">
        <f t="shared" si="35"/>
        <v>78.552382378255288</v>
      </c>
      <c r="F370" s="70">
        <f t="shared" si="39"/>
        <v>4.7697006580076611</v>
      </c>
      <c r="G370" s="67">
        <f>E370/'Lookup Tables'!$C$48</f>
        <v>157.10476475651058</v>
      </c>
      <c r="H370" s="70">
        <f t="shared" si="36"/>
        <v>6.5957120184974627E-2</v>
      </c>
      <c r="I370" s="71">
        <f t="shared" si="40"/>
        <v>0.22623086124937522</v>
      </c>
      <c r="L370" s="74"/>
      <c r="M370" s="74"/>
      <c r="N370" s="74"/>
      <c r="O370" s="74"/>
      <c r="P370" s="74"/>
      <c r="Q370" s="74"/>
      <c r="R370" s="74"/>
      <c r="S370" s="74"/>
      <c r="T370" s="74"/>
      <c r="U370" s="74"/>
      <c r="V370" s="74"/>
      <c r="W370" s="74"/>
      <c r="X370" s="74"/>
      <c r="Y370" s="74"/>
      <c r="Z370" s="74"/>
    </row>
    <row r="371" spans="1:26" x14ac:dyDescent="0.3">
      <c r="A371" s="66">
        <f t="shared" si="38"/>
        <v>2026.3999999999669</v>
      </c>
      <c r="B371" s="67">
        <f>LOOKUP(A371+0.01,AmountsB!$A$4:$A$103,AmountsB!$B$4:$B$103)*0.1*$A$2</f>
        <v>0</v>
      </c>
      <c r="C371" s="68">
        <f t="shared" si="37"/>
        <v>625969.29735898925</v>
      </c>
      <c r="D371" s="67">
        <f t="array" ref="D371">SUM($B$7:$B366*$F$1009*EXP(-$F$1009*($A371-$A$7:$A366)))*$F$1010</f>
        <v>40916888.485524558</v>
      </c>
      <c r="E371" s="67">
        <f t="shared" si="35"/>
        <v>78.004435752245925</v>
      </c>
      <c r="F371" s="70">
        <f t="shared" si="39"/>
        <v>4.7364293388763734</v>
      </c>
      <c r="G371" s="67">
        <f>E371/'Lookup Tables'!$C$48</f>
        <v>156.00887150449185</v>
      </c>
      <c r="H371" s="70">
        <f t="shared" si="36"/>
        <v>6.5497032529165292E-2</v>
      </c>
      <c r="I371" s="71">
        <f t="shared" si="40"/>
        <v>0.22465277496646827</v>
      </c>
      <c r="L371" s="74"/>
      <c r="M371" s="74"/>
      <c r="N371" s="74"/>
      <c r="O371" s="74"/>
      <c r="P371" s="74"/>
      <c r="Q371" s="74"/>
      <c r="R371" s="74"/>
      <c r="S371" s="74"/>
      <c r="T371" s="74"/>
      <c r="U371" s="74"/>
      <c r="V371" s="74"/>
      <c r="W371" s="74"/>
      <c r="X371" s="74"/>
      <c r="Y371" s="74"/>
      <c r="Z371" s="74"/>
    </row>
    <row r="372" spans="1:26" x14ac:dyDescent="0.3">
      <c r="A372" s="66">
        <f t="shared" si="38"/>
        <v>2026.4999999999668</v>
      </c>
      <c r="B372" s="67">
        <f>LOOKUP(A372+0.01,AmountsB!$A$4:$A$103,AmountsB!$B$4:$B$103)*0.1*$A$2</f>
        <v>0</v>
      </c>
      <c r="C372" s="68">
        <f t="shared" si="37"/>
        <v>625969.29735898925</v>
      </c>
      <c r="D372" s="67">
        <f t="array" ref="D372">SUM($B$7:$B367*$F$1009*EXP(-$F$1009*($A372-$A$7:$A367)))*$F$1010</f>
        <v>40631470.394899592</v>
      </c>
      <c r="E372" s="67">
        <f t="shared" si="35"/>
        <v>77.460311359195856</v>
      </c>
      <c r="F372" s="70">
        <f t="shared" si="39"/>
        <v>4.7033901057303726</v>
      </c>
      <c r="G372" s="67">
        <f>E372/'Lookup Tables'!$C$48</f>
        <v>154.92062271839171</v>
      </c>
      <c r="H372" s="70">
        <f t="shared" si="36"/>
        <v>6.5040154241054776E-2</v>
      </c>
      <c r="I372" s="71">
        <f t="shared" si="40"/>
        <v>0.22308569671448408</v>
      </c>
      <c r="L372" s="74"/>
      <c r="M372" s="74"/>
      <c r="N372" s="74"/>
      <c r="O372" s="74"/>
      <c r="P372" s="74"/>
      <c r="Q372" s="74"/>
      <c r="R372" s="74"/>
      <c r="S372" s="74"/>
      <c r="T372" s="74"/>
      <c r="U372" s="74"/>
      <c r="V372" s="74"/>
      <c r="W372" s="74"/>
      <c r="X372" s="74"/>
      <c r="Y372" s="74"/>
      <c r="Z372" s="74"/>
    </row>
    <row r="373" spans="1:26" x14ac:dyDescent="0.3">
      <c r="A373" s="66">
        <f t="shared" si="38"/>
        <v>2026.5999999999667</v>
      </c>
      <c r="B373" s="67">
        <f>LOOKUP(A373+0.01,AmountsB!$A$4:$A$103,AmountsB!$B$4:$B$103)*0.1*$A$2</f>
        <v>0</v>
      </c>
      <c r="C373" s="68">
        <f t="shared" si="37"/>
        <v>625969.29735898925</v>
      </c>
      <c r="D373" s="67">
        <f t="array" ref="D373">SUM($B$7:$B368*$F$1009*EXP(-$F$1009*($A373-$A$7:$A368)))*$F$1010</f>
        <v>40348043.254453659</v>
      </c>
      <c r="E373" s="67">
        <f t="shared" si="35"/>
        <v>76.919982536900903</v>
      </c>
      <c r="F373" s="70">
        <f t="shared" si="39"/>
        <v>4.6705813396406226</v>
      </c>
      <c r="G373" s="67">
        <f>E373/'Lookup Tables'!$C$48</f>
        <v>153.83996507380181</v>
      </c>
      <c r="H373" s="70">
        <f t="shared" si="36"/>
        <v>6.4586462933515526E-2</v>
      </c>
      <c r="I373" s="71">
        <f t="shared" si="40"/>
        <v>0.22152954970627459</v>
      </c>
      <c r="L373" s="74"/>
      <c r="M373" s="74"/>
      <c r="N373" s="74"/>
      <c r="O373" s="74"/>
      <c r="P373" s="74"/>
      <c r="Q373" s="74"/>
      <c r="R373" s="74"/>
      <c r="S373" s="74"/>
      <c r="T373" s="74"/>
      <c r="U373" s="74"/>
      <c r="V373" s="74"/>
      <c r="W373" s="74"/>
      <c r="X373" s="74"/>
      <c r="Y373" s="74"/>
      <c r="Z373" s="74"/>
    </row>
    <row r="374" spans="1:26" x14ac:dyDescent="0.3">
      <c r="A374" s="66">
        <f t="shared" si="38"/>
        <v>2026.6999999999666</v>
      </c>
      <c r="B374" s="67">
        <f>LOOKUP(A374+0.01,AmountsB!$A$4:$A$103,AmountsB!$B$4:$B$103)*0.1*$A$2</f>
        <v>0</v>
      </c>
      <c r="C374" s="68">
        <f t="shared" si="37"/>
        <v>625969.29735898925</v>
      </c>
      <c r="D374" s="67">
        <f t="array" ref="D374">SUM($B$7:$B369*$F$1009*EXP(-$F$1009*($A374-$A$7:$A369)))*$F$1010</f>
        <v>40066593.176200174</v>
      </c>
      <c r="E374" s="67">
        <f t="shared" si="35"/>
        <v>76.383422809140683</v>
      </c>
      <c r="F374" s="70">
        <f t="shared" si="39"/>
        <v>4.6380014329710217</v>
      </c>
      <c r="G374" s="67">
        <f>E374/'Lookup Tables'!$C$48</f>
        <v>152.76684561828137</v>
      </c>
      <c r="H374" s="70">
        <f t="shared" si="36"/>
        <v>6.4135936375582694E-2</v>
      </c>
      <c r="I374" s="71">
        <f t="shared" si="40"/>
        <v>0.21998425769032515</v>
      </c>
      <c r="L374" s="74"/>
      <c r="M374" s="74"/>
      <c r="N374" s="74"/>
      <c r="O374" s="74"/>
      <c r="P374" s="74"/>
      <c r="Q374" s="74"/>
      <c r="R374" s="74"/>
      <c r="S374" s="74"/>
      <c r="T374" s="74"/>
      <c r="U374" s="74"/>
      <c r="V374" s="74"/>
      <c r="W374" s="74"/>
      <c r="X374" s="74"/>
      <c r="Y374" s="74"/>
      <c r="Z374" s="74"/>
    </row>
    <row r="375" spans="1:26" x14ac:dyDescent="0.3">
      <c r="A375" s="66">
        <f t="shared" si="38"/>
        <v>2026.7999999999665</v>
      </c>
      <c r="B375" s="67">
        <f>LOOKUP(A375+0.01,AmountsB!$A$4:$A$103,AmountsB!$B$4:$B$103)*0.1*$A$2</f>
        <v>0</v>
      </c>
      <c r="C375" s="68">
        <f t="shared" si="37"/>
        <v>625969.29735898925</v>
      </c>
      <c r="D375" s="67">
        <f t="array" ref="D375">SUM($B$7:$B370*$F$1009*EXP(-$F$1009*($A375-$A$7:$A370)))*$F$1010</f>
        <v>39787106.369029</v>
      </c>
      <c r="E375" s="67">
        <f t="shared" si="35"/>
        <v>75.850605884381196</v>
      </c>
      <c r="F375" s="70">
        <f t="shared" si="39"/>
        <v>4.605648789299627</v>
      </c>
      <c r="G375" s="67">
        <f>E375/'Lookup Tables'!$C$48</f>
        <v>151.70121176876239</v>
      </c>
      <c r="H375" s="70">
        <f t="shared" si="36"/>
        <v>6.3688552491364861E-2</v>
      </c>
      <c r="I375" s="71">
        <f t="shared" si="40"/>
        <v>0.21844974494701788</v>
      </c>
      <c r="L375" s="74"/>
      <c r="M375" s="74"/>
      <c r="N375" s="74"/>
      <c r="O375" s="74"/>
      <c r="P375" s="74"/>
      <c r="Q375" s="74"/>
      <c r="R375" s="74"/>
      <c r="S375" s="74"/>
      <c r="T375" s="74"/>
      <c r="U375" s="74"/>
      <c r="V375" s="74"/>
      <c r="W375" s="74"/>
      <c r="X375" s="74"/>
      <c r="Y375" s="74"/>
      <c r="Z375" s="74"/>
    </row>
    <row r="376" spans="1:26" x14ac:dyDescent="0.3">
      <c r="A376" s="66">
        <f t="shared" si="38"/>
        <v>2026.8999999999664</v>
      </c>
      <c r="B376" s="67">
        <f>LOOKUP(A376+0.01,AmountsB!$A$4:$A$103,AmountsB!$B$4:$B$103)*0.1*$A$2</f>
        <v>0</v>
      </c>
      <c r="C376" s="68">
        <f t="shared" si="37"/>
        <v>625969.29735898925</v>
      </c>
      <c r="D376" s="67">
        <f t="array" ref="D376">SUM($B$7:$B371*$F$1009*EXP(-$F$1009*($A376-$A$7:$A371)))*$F$1010</f>
        <v>39509569.138030641</v>
      </c>
      <c r="E376" s="67">
        <f t="shared" si="35"/>
        <v>75.321505654486458</v>
      </c>
      <c r="F376" s="70">
        <f t="shared" si="39"/>
        <v>4.5735218233404176</v>
      </c>
      <c r="G376" s="67">
        <f>E376/'Lookup Tables'!$C$48</f>
        <v>150.64301130897292</v>
      </c>
      <c r="H376" s="70">
        <f t="shared" si="36"/>
        <v>6.3244289358962064E-2</v>
      </c>
      <c r="I376" s="71">
        <f t="shared" si="40"/>
        <v>0.21692593628492102</v>
      </c>
      <c r="L376" s="74"/>
      <c r="M376" s="74"/>
      <c r="N376" s="74"/>
      <c r="O376" s="74"/>
      <c r="P376" s="74"/>
      <c r="Q376" s="74"/>
      <c r="R376" s="74"/>
      <c r="S376" s="74"/>
      <c r="T376" s="74"/>
      <c r="U376" s="74"/>
      <c r="V376" s="74"/>
      <c r="W376" s="74"/>
      <c r="X376" s="74"/>
      <c r="Y376" s="74"/>
      <c r="Z376" s="74"/>
    </row>
    <row r="377" spans="1:26" x14ac:dyDescent="0.3">
      <c r="A377" s="66">
        <f t="shared" si="38"/>
        <v>2026.9999999999663</v>
      </c>
      <c r="B377" s="67">
        <f>LOOKUP(A377+0.01,AmountsB!$A$4:$A$103,AmountsB!$B$4:$B$103)*0.1*$A$2</f>
        <v>0</v>
      </c>
      <c r="C377" s="68">
        <f t="shared" si="37"/>
        <v>625969.29735898925</v>
      </c>
      <c r="D377" s="67">
        <f t="array" ref="D377">SUM($B$7:$B372*$F$1009*EXP(-$F$1009*($A377-$A$7:$A372)))*$F$1010</f>
        <v>39233967.883825272</v>
      </c>
      <c r="E377" s="67">
        <f t="shared" si="35"/>
        <v>74.796096193439425</v>
      </c>
      <c r="F377" s="70">
        <f t="shared" si="39"/>
        <v>4.5416189608656419</v>
      </c>
      <c r="G377" s="67">
        <f>E377/'Lookup Tables'!$C$48</f>
        <v>149.59219238687885</v>
      </c>
      <c r="H377" s="70">
        <f t="shared" si="36"/>
        <v>6.2803125209392047E-2</v>
      </c>
      <c r="I377" s="71">
        <f t="shared" si="40"/>
        <v>0.21541275703710555</v>
      </c>
      <c r="L377" s="74"/>
      <c r="M377" s="74"/>
      <c r="N377" s="74"/>
      <c r="O377" s="74"/>
      <c r="P377" s="74"/>
      <c r="Q377" s="74"/>
      <c r="R377" s="74"/>
      <c r="S377" s="74"/>
      <c r="T377" s="74"/>
      <c r="U377" s="74"/>
      <c r="V377" s="74"/>
      <c r="W377" s="74"/>
      <c r="X377" s="74"/>
      <c r="Y377" s="74"/>
      <c r="Z377" s="74"/>
    </row>
    <row r="378" spans="1:26" x14ac:dyDescent="0.3">
      <c r="A378" s="66">
        <f t="shared" si="38"/>
        <v>2027.0999999999663</v>
      </c>
      <c r="B378" s="67">
        <f>LOOKUP(A378+0.01,AmountsB!$A$4:$A$103,AmountsB!$B$4:$B$103)*0.1*$A$2</f>
        <v>0</v>
      </c>
      <c r="C378" s="68">
        <f t="shared" si="37"/>
        <v>625969.29735898925</v>
      </c>
      <c r="D378" s="67">
        <f t="array" ref="D378">SUM($B$7:$B373*$F$1009*EXP(-$F$1009*($A378-$A$7:$A373)))*$F$1010</f>
        <v>38960289.101896264</v>
      </c>
      <c r="E378" s="67">
        <f t="shared" si="35"/>
        <v>74.274351756071297</v>
      </c>
      <c r="F378" s="70">
        <f t="shared" si="39"/>
        <v>4.5099386386286486</v>
      </c>
      <c r="G378" s="67">
        <f>E378/'Lookup Tables'!$C$48</f>
        <v>148.54870351214259</v>
      </c>
      <c r="H378" s="70">
        <f t="shared" si="36"/>
        <v>6.2365038425523121E-2</v>
      </c>
      <c r="I378" s="71">
        <f t="shared" si="40"/>
        <v>0.21391013305748532</v>
      </c>
      <c r="L378" s="74"/>
      <c r="M378" s="74"/>
      <c r="N378" s="74"/>
      <c r="O378" s="74"/>
      <c r="P378" s="74"/>
      <c r="Q378" s="74"/>
      <c r="R378" s="74"/>
      <c r="S378" s="74"/>
      <c r="T378" s="74"/>
      <c r="U378" s="74"/>
      <c r="V378" s="74"/>
      <c r="W378" s="74"/>
      <c r="X378" s="74"/>
      <c r="Y378" s="74"/>
      <c r="Z378" s="74"/>
    </row>
    <row r="379" spans="1:26" x14ac:dyDescent="0.3">
      <c r="A379" s="66">
        <f t="shared" si="38"/>
        <v>2027.1999999999662</v>
      </c>
      <c r="B379" s="67">
        <f>LOOKUP(A379+0.01,AmountsB!$A$4:$A$103,AmountsB!$B$4:$B$103)*0.1*$A$2</f>
        <v>0</v>
      </c>
      <c r="C379" s="68">
        <f t="shared" si="37"/>
        <v>625969.29735898925</v>
      </c>
      <c r="D379" s="67">
        <f t="array" ref="D379">SUM($B$7:$B374*$F$1009*EXP(-$F$1009*($A379-$A$7:$A374)))*$F$1010</f>
        <v>38688519.381928563</v>
      </c>
      <c r="E379" s="67">
        <f t="shared" si="35"/>
        <v>73.75624677680031</v>
      </c>
      <c r="F379" s="70">
        <f t="shared" si="39"/>
        <v>4.4784793042873154</v>
      </c>
      <c r="G379" s="67">
        <f>E379/'Lookup Tables'!$C$48</f>
        <v>147.51249355360062</v>
      </c>
      <c r="H379" s="70">
        <f t="shared" si="36"/>
        <v>6.193000754101529E-2</v>
      </c>
      <c r="I379" s="71">
        <f t="shared" si="40"/>
        <v>0.2124179907171849</v>
      </c>
      <c r="L379" s="74"/>
      <c r="M379" s="74"/>
      <c r="N379" s="74"/>
      <c r="O379" s="74"/>
      <c r="P379" s="74"/>
      <c r="Q379" s="74"/>
      <c r="R379" s="74"/>
      <c r="S379" s="74"/>
      <c r="T379" s="74"/>
      <c r="U379" s="74"/>
      <c r="V379" s="74"/>
      <c r="W379" s="74"/>
      <c r="X379" s="74"/>
      <c r="Y379" s="74"/>
      <c r="Z379" s="74"/>
    </row>
    <row r="380" spans="1:26" x14ac:dyDescent="0.3">
      <c r="A380" s="66">
        <f t="shared" si="38"/>
        <v>2027.2999999999661</v>
      </c>
      <c r="B380" s="67">
        <f>LOOKUP(A380+0.01,AmountsB!$A$4:$A$103,AmountsB!$B$4:$B$103)*0.1*$A$2</f>
        <v>0</v>
      </c>
      <c r="C380" s="68">
        <f t="shared" si="37"/>
        <v>625969.29735898925</v>
      </c>
      <c r="D380" s="67">
        <f t="array" ref="D380">SUM($B$7:$B375*$F$1009*EXP(-$F$1009*($A380-$A$7:$A375)))*$F$1010</f>
        <v>38418645.407151513</v>
      </c>
      <c r="E380" s="67">
        <f t="shared" si="35"/>
        <v>73.241755868378789</v>
      </c>
      <c r="F380" s="70">
        <f t="shared" si="39"/>
        <v>4.4472394163279603</v>
      </c>
      <c r="G380" s="67">
        <f>E380/'Lookup Tables'!$C$48</f>
        <v>146.48351173675758</v>
      </c>
      <c r="H380" s="70">
        <f t="shared" si="36"/>
        <v>6.1498011239268131E-2</v>
      </c>
      <c r="I380" s="71">
        <f t="shared" si="40"/>
        <v>0.21093625690093093</v>
      </c>
      <c r="L380" s="74"/>
      <c r="M380" s="74"/>
      <c r="N380" s="74"/>
      <c r="O380" s="74"/>
      <c r="P380" s="74"/>
      <c r="Q380" s="74"/>
      <c r="R380" s="74"/>
      <c r="S380" s="74"/>
      <c r="T380" s="74"/>
      <c r="U380" s="74"/>
      <c r="V380" s="74"/>
      <c r="W380" s="74"/>
      <c r="X380" s="74"/>
      <c r="Y380" s="74"/>
      <c r="Z380" s="74"/>
    </row>
    <row r="381" spans="1:26" x14ac:dyDescent="0.3">
      <c r="A381" s="66">
        <f t="shared" si="38"/>
        <v>2027.399999999966</v>
      </c>
      <c r="B381" s="67">
        <f>LOOKUP(A381+0.01,AmountsB!$A$4:$A$103,AmountsB!$B$4:$B$103)*0.1*$A$2</f>
        <v>0</v>
      </c>
      <c r="C381" s="68">
        <f t="shared" si="37"/>
        <v>625969.29735898925</v>
      </c>
      <c r="D381" s="67">
        <f t="array" ref="D381">SUM($B$7:$B376*$F$1009*EXP(-$F$1009*($A381-$A$7:$A376)))*$F$1010</f>
        <v>38150653.953686371</v>
      </c>
      <c r="E381" s="67">
        <f t="shared" si="35"/>
        <v>72.730853820649315</v>
      </c>
      <c r="F381" s="70">
        <f t="shared" si="39"/>
        <v>4.4162174439898267</v>
      </c>
      <c r="G381" s="67">
        <f>E381/'Lookup Tables'!$C$48</f>
        <v>145.46170764129863</v>
      </c>
      <c r="H381" s="70">
        <f t="shared" si="36"/>
        <v>6.1069028352376445E-2</v>
      </c>
      <c r="I381" s="71">
        <f t="shared" si="40"/>
        <v>0.20946485900347001</v>
      </c>
      <c r="L381" s="74"/>
      <c r="M381" s="74"/>
      <c r="N381" s="74"/>
      <c r="O381" s="74"/>
      <c r="P381" s="74"/>
      <c r="Q381" s="74"/>
      <c r="R381" s="74"/>
      <c r="S381" s="74"/>
      <c r="T381" s="74"/>
      <c r="U381" s="74"/>
      <c r="V381" s="74"/>
      <c r="W381" s="74"/>
      <c r="X381" s="74"/>
      <c r="Y381" s="74"/>
      <c r="Z381" s="74"/>
    </row>
    <row r="382" spans="1:26" x14ac:dyDescent="0.3">
      <c r="A382" s="66">
        <f t="shared" si="38"/>
        <v>2027.4999999999659</v>
      </c>
      <c r="B382" s="67">
        <f>LOOKUP(A382+0.01,AmountsB!$A$4:$A$103,AmountsB!$B$4:$B$103)*0.1*$A$2</f>
        <v>0</v>
      </c>
      <c r="C382" s="68">
        <f t="shared" si="37"/>
        <v>625969.29735898925</v>
      </c>
      <c r="D382" s="67">
        <f t="array" ref="D382">SUM($B$7:$B377*$F$1009*EXP(-$F$1009*($A382-$A$7:$A377)))*$F$1010</f>
        <v>37884531.88989827</v>
      </c>
      <c r="E382" s="67">
        <f t="shared" si="35"/>
        <v>72.223515599309295</v>
      </c>
      <c r="F382" s="70">
        <f t="shared" si="39"/>
        <v>4.3854118671900606</v>
      </c>
      <c r="G382" s="67">
        <f>E382/'Lookup Tables'!$C$48</f>
        <v>144.44703119861859</v>
      </c>
      <c r="H382" s="70">
        <f t="shared" si="36"/>
        <v>6.0643037860092945E-2</v>
      </c>
      <c r="I382" s="71">
        <f t="shared" si="40"/>
        <v>0.20800372492601077</v>
      </c>
      <c r="L382" s="74"/>
      <c r="M382" s="74"/>
      <c r="N382" s="74"/>
      <c r="O382" s="74"/>
      <c r="P382" s="74"/>
      <c r="Q382" s="74"/>
      <c r="R382" s="74"/>
      <c r="S382" s="74"/>
      <c r="T382" s="74"/>
      <c r="U382" s="74"/>
      <c r="V382" s="74"/>
      <c r="W382" s="74"/>
      <c r="X382" s="74"/>
      <c r="Y382" s="74"/>
      <c r="Z382" s="74"/>
    </row>
    <row r="383" spans="1:26" x14ac:dyDescent="0.3">
      <c r="A383" s="66">
        <f t="shared" si="38"/>
        <v>2027.5999999999658</v>
      </c>
      <c r="B383" s="67">
        <f>LOOKUP(A383+0.01,AmountsB!$A$4:$A$103,AmountsB!$B$4:$B$103)*0.1*$A$2</f>
        <v>0</v>
      </c>
      <c r="C383" s="68">
        <f t="shared" si="37"/>
        <v>625969.29735898925</v>
      </c>
      <c r="D383" s="67">
        <f t="array" ref="D383">SUM($B$7:$B378*$F$1009*EXP(-$F$1009*($A383-$A$7:$A378)))*$F$1010</f>
        <v>37620266.175752856</v>
      </c>
      <c r="E383" s="67">
        <f t="shared" si="35"/>
        <v>71.7197163446844</v>
      </c>
      <c r="F383" s="70">
        <f t="shared" si="39"/>
        <v>4.3548211764492368</v>
      </c>
      <c r="G383" s="67">
        <f>E383/'Lookup Tables'!$C$48</f>
        <v>143.4394326893688</v>
      </c>
      <c r="H383" s="70">
        <f t="shared" si="36"/>
        <v>6.0220018888798278E-2</v>
      </c>
      <c r="I383" s="71">
        <f t="shared" si="40"/>
        <v>0.20655278307269107</v>
      </c>
      <c r="L383" s="74"/>
      <c r="M383" s="74"/>
      <c r="N383" s="74"/>
      <c r="O383" s="74"/>
      <c r="P383" s="74"/>
      <c r="Q383" s="74"/>
      <c r="R383" s="74"/>
      <c r="S383" s="74"/>
      <c r="T383" s="74"/>
      <c r="U383" s="74"/>
      <c r="V383" s="74"/>
      <c r="W383" s="74"/>
      <c r="X383" s="74"/>
      <c r="Y383" s="74"/>
      <c r="Z383" s="74"/>
    </row>
    <row r="384" spans="1:26" x14ac:dyDescent="0.3">
      <c r="A384" s="66">
        <f t="shared" si="38"/>
        <v>2027.6999999999657</v>
      </c>
      <c r="B384" s="67">
        <f>LOOKUP(A384+0.01,AmountsB!$A$4:$A$103,AmountsB!$B$4:$B$103)*0.1*$A$2</f>
        <v>0</v>
      </c>
      <c r="C384" s="68">
        <f t="shared" si="37"/>
        <v>625969.29735898925</v>
      </c>
      <c r="D384" s="67">
        <f t="array" ref="D384">SUM($B$7:$B379*$F$1009*EXP(-$F$1009*($A384-$A$7:$A379)))*$F$1010</f>
        <v>37357843.862177253</v>
      </c>
      <c r="E384" s="67">
        <f t="shared" si="35"/>
        <v>71.219431370510335</v>
      </c>
      <c r="F384" s="70">
        <f t="shared" si="39"/>
        <v>4.3244438728173877</v>
      </c>
      <c r="G384" s="67">
        <f>E384/'Lookup Tables'!$C$48</f>
        <v>142.43886274102067</v>
      </c>
      <c r="H384" s="70">
        <f t="shared" si="36"/>
        <v>5.9799950710478202E-2</v>
      </c>
      <c r="I384" s="71">
        <f t="shared" si="40"/>
        <v>0.20511196234706974</v>
      </c>
      <c r="L384" s="74"/>
      <c r="M384" s="74"/>
      <c r="N384" s="74"/>
      <c r="O384" s="74"/>
      <c r="P384" s="74"/>
      <c r="Q384" s="74"/>
      <c r="R384" s="74"/>
      <c r="S384" s="74"/>
      <c r="T384" s="74"/>
      <c r="U384" s="74"/>
      <c r="V384" s="74"/>
      <c r="W384" s="74"/>
      <c r="X384" s="74"/>
      <c r="Y384" s="74"/>
      <c r="Z384" s="74"/>
    </row>
    <row r="385" spans="1:26" x14ac:dyDescent="0.3">
      <c r="A385" s="66">
        <f t="shared" si="38"/>
        <v>2027.7999999999656</v>
      </c>
      <c r="B385" s="67">
        <f>LOOKUP(A385+0.01,AmountsB!$A$4:$A$103,AmountsB!$B$4:$B$103)*0.1*$A$2</f>
        <v>0</v>
      </c>
      <c r="C385" s="68">
        <f t="shared" si="37"/>
        <v>625969.29735898925</v>
      </c>
      <c r="D385" s="67">
        <f t="array" ref="D385">SUM($B$7:$B380*$F$1009*EXP(-$F$1009*($A385-$A$7:$A380)))*$F$1010</f>
        <v>37097252.090425573</v>
      </c>
      <c r="E385" s="67">
        <f t="shared" si="35"/>
        <v>70.722636162723234</v>
      </c>
      <c r="F385" s="70">
        <f t="shared" si="39"/>
        <v>4.294278467800555</v>
      </c>
      <c r="G385" s="67">
        <f>E385/'Lookup Tables'!$C$48</f>
        <v>141.44527232544647</v>
      </c>
      <c r="H385" s="70">
        <f t="shared" si="36"/>
        <v>5.938281274170791E-2</v>
      </c>
      <c r="I385" s="71">
        <f t="shared" si="40"/>
        <v>0.20368119214864294</v>
      </c>
      <c r="L385" s="74"/>
      <c r="M385" s="74"/>
      <c r="N385" s="74"/>
      <c r="O385" s="74"/>
      <c r="P385" s="74"/>
      <c r="Q385" s="74"/>
      <c r="R385" s="74"/>
      <c r="S385" s="74"/>
      <c r="T385" s="74"/>
      <c r="U385" s="74"/>
      <c r="V385" s="74"/>
      <c r="W385" s="74"/>
      <c r="X385" s="74"/>
      <c r="Y385" s="74"/>
      <c r="Z385" s="74"/>
    </row>
    <row r="386" spans="1:26" x14ac:dyDescent="0.3">
      <c r="A386" s="66">
        <f t="shared" si="38"/>
        <v>2027.8999999999655</v>
      </c>
      <c r="B386" s="67">
        <f>LOOKUP(A386+0.01,AmountsB!$A$4:$A$103,AmountsB!$B$4:$B$103)*0.1*$A$2</f>
        <v>0</v>
      </c>
      <c r="C386" s="68">
        <f t="shared" si="37"/>
        <v>625969.29735898925</v>
      </c>
      <c r="D386" s="67">
        <f t="array" ref="D386">SUM($B$7:$B381*$F$1009*EXP(-$F$1009*($A386-$A$7:$A381)))*$F$1010</f>
        <v>36838478.091448881</v>
      </c>
      <c r="E386" s="67">
        <f t="shared" si="35"/>
        <v>70.229306378258542</v>
      </c>
      <c r="F386" s="70">
        <f t="shared" si="39"/>
        <v>4.2643234832878587</v>
      </c>
      <c r="G386" s="67">
        <f>E386/'Lookup Tables'!$C$48</f>
        <v>140.45861275651708</v>
      </c>
      <c r="H386" s="70">
        <f t="shared" si="36"/>
        <v>5.8968584542643476E-2</v>
      </c>
      <c r="I386" s="71">
        <f t="shared" si="40"/>
        <v>0.20226040236938458</v>
      </c>
      <c r="L386" s="74"/>
      <c r="M386" s="74"/>
      <c r="N386" s="74"/>
      <c r="O386" s="74"/>
      <c r="P386" s="74"/>
      <c r="Q386" s="74"/>
      <c r="R386" s="74"/>
      <c r="S386" s="74"/>
      <c r="T386" s="74"/>
      <c r="U386" s="74"/>
      <c r="V386" s="74"/>
      <c r="W386" s="74"/>
      <c r="X386" s="74"/>
      <c r="Y386" s="74"/>
      <c r="Z386" s="74"/>
    </row>
    <row r="387" spans="1:26" x14ac:dyDescent="0.3">
      <c r="A387" s="66">
        <f t="shared" si="38"/>
        <v>2027.9999999999654</v>
      </c>
      <c r="B387" s="67">
        <f>LOOKUP(A387+0.01,AmountsB!$A$4:$A$103,AmountsB!$B$4:$B$103)*0.1*$A$2</f>
        <v>0</v>
      </c>
      <c r="C387" s="68">
        <f t="shared" si="37"/>
        <v>625969.29735898925</v>
      </c>
      <c r="D387" s="67">
        <f t="array" ref="D387">SUM($B$7:$B382*$F$1009*EXP(-$F$1009*($A387-$A$7:$A382)))*$F$1010</f>
        <v>36581509.185269445</v>
      </c>
      <c r="E387" s="67">
        <f t="shared" si="35"/>
        <v>69.739417843858135</v>
      </c>
      <c r="F387" s="70">
        <f t="shared" si="39"/>
        <v>4.2345774514790664</v>
      </c>
      <c r="G387" s="67">
        <f>E387/'Lookup Tables'!$C$48</f>
        <v>139.47883568771627</v>
      </c>
      <c r="H387" s="70">
        <f t="shared" si="36"/>
        <v>5.8557245816020301E-2</v>
      </c>
      <c r="I387" s="71">
        <f t="shared" si="40"/>
        <v>0.20084952339031145</v>
      </c>
      <c r="L387" s="74"/>
      <c r="M387" s="74"/>
      <c r="N387" s="74"/>
      <c r="O387" s="74"/>
      <c r="P387" s="74"/>
      <c r="Q387" s="74"/>
      <c r="R387" s="74"/>
      <c r="S387" s="74"/>
      <c r="T387" s="74"/>
      <c r="U387" s="74"/>
      <c r="V387" s="74"/>
      <c r="W387" s="74"/>
      <c r="X387" s="74"/>
      <c r="Y387" s="74"/>
      <c r="Z387" s="74"/>
    </row>
    <row r="388" spans="1:26" x14ac:dyDescent="0.3">
      <c r="A388" s="66">
        <f t="shared" si="38"/>
        <v>2028.0999999999653</v>
      </c>
      <c r="B388" s="67">
        <f>LOOKUP(A388+0.01,AmountsB!$A$4:$A$103,AmountsB!$B$4:$B$103)*0.1*$A$2</f>
        <v>0</v>
      </c>
      <c r="C388" s="68">
        <f t="shared" si="37"/>
        <v>625969.29735898925</v>
      </c>
      <c r="D388" s="67">
        <f t="array" ref="D388">SUM($B$7:$B383*$F$1009*EXP(-$F$1009*($A388-$A$7:$A383)))*$F$1010</f>
        <v>36326332.780359454</v>
      </c>
      <c r="E388" s="67">
        <f t="shared" si="35"/>
        <v>69.25294655488581</v>
      </c>
      <c r="F388" s="70">
        <f t="shared" si="39"/>
        <v>4.2050389148126666</v>
      </c>
      <c r="G388" s="67">
        <f>E388/'Lookup Tables'!$C$48</f>
        <v>138.50589310977162</v>
      </c>
      <c r="H388" s="70">
        <f t="shared" si="36"/>
        <v>5.814877640615846E-2</v>
      </c>
      <c r="I388" s="71">
        <f t="shared" si="40"/>
        <v>0.19944848607807114</v>
      </c>
      <c r="L388" s="74"/>
      <c r="M388" s="74"/>
      <c r="N388" s="74"/>
      <c r="O388" s="74"/>
      <c r="P388" s="74"/>
      <c r="Q388" s="74"/>
      <c r="R388" s="74"/>
      <c r="S388" s="74"/>
      <c r="T388" s="74"/>
      <c r="U388" s="74"/>
      <c r="V388" s="74"/>
      <c r="W388" s="74"/>
      <c r="X388" s="74"/>
      <c r="Y388" s="74"/>
      <c r="Z388" s="74"/>
    </row>
    <row r="389" spans="1:26" x14ac:dyDescent="0.3">
      <c r="A389" s="66">
        <f t="shared" si="38"/>
        <v>2028.1999999999653</v>
      </c>
      <c r="B389" s="67">
        <f>LOOKUP(A389+0.01,AmountsB!$A$4:$A$103,AmountsB!$B$4:$B$103)*0.1*$A$2</f>
        <v>0</v>
      </c>
      <c r="C389" s="68">
        <f t="shared" si="37"/>
        <v>625969.29735898925</v>
      </c>
      <c r="D389" s="67">
        <f t="array" ref="D389">SUM($B$7:$B384*$F$1009*EXP(-$F$1009*($A389-$A$7:$A384)))*$F$1010</f>
        <v>36072936.373024002</v>
      </c>
      <c r="E389" s="67">
        <f t="shared" si="35"/>
        <v>68.769868674151027</v>
      </c>
      <c r="F389" s="70">
        <f t="shared" si="39"/>
        <v>4.1757064258944503</v>
      </c>
      <c r="G389" s="67">
        <f>E389/'Lookup Tables'!$C$48</f>
        <v>137.53973734830205</v>
      </c>
      <c r="H389" s="70">
        <f t="shared" si="36"/>
        <v>5.7743156297975128E-2</v>
      </c>
      <c r="I389" s="71">
        <f t="shared" si="40"/>
        <v>0.19805722178155499</v>
      </c>
      <c r="L389" s="74"/>
      <c r="M389" s="74"/>
      <c r="N389" s="74"/>
      <c r="O389" s="74"/>
      <c r="P389" s="74"/>
      <c r="Q389" s="74"/>
      <c r="R389" s="74"/>
      <c r="S389" s="74"/>
      <c r="T389" s="74"/>
      <c r="U389" s="74"/>
      <c r="V389" s="74"/>
      <c r="W389" s="74"/>
      <c r="X389" s="74"/>
      <c r="Y389" s="74"/>
      <c r="Z389" s="74"/>
    </row>
    <row r="390" spans="1:26" x14ac:dyDescent="0.3">
      <c r="A390" s="66">
        <f t="shared" si="38"/>
        <v>2028.2999999999652</v>
      </c>
      <c r="B390" s="67">
        <f>LOOKUP(A390+0.01,AmountsB!$A$4:$A$103,AmountsB!$B$4:$B$103)*0.1*$A$2</f>
        <v>0</v>
      </c>
      <c r="C390" s="68">
        <f t="shared" si="37"/>
        <v>625969.29735898925</v>
      </c>
      <c r="D390" s="67">
        <f t="array" ref="D390">SUM($B$7:$B385*$F$1009*EXP(-$F$1009*($A390-$A$7:$A385)))*$F$1010</f>
        <v>35821307.546788424</v>
      </c>
      <c r="E390" s="67">
        <f t="shared" si="35"/>
        <v>68.290160530741005</v>
      </c>
      <c r="F390" s="70">
        <f t="shared" si="39"/>
        <v>4.1465785474265937</v>
      </c>
      <c r="G390" s="67">
        <f>E390/'Lookup Tables'!$C$48</f>
        <v>136.58032106148201</v>
      </c>
      <c r="H390" s="70">
        <f t="shared" si="36"/>
        <v>5.7340365616003829E-2</v>
      </c>
      <c r="I390" s="71">
        <f t="shared" si="40"/>
        <v>0.19667566232853406</v>
      </c>
      <c r="L390" s="74"/>
      <c r="M390" s="74"/>
      <c r="N390" s="74"/>
      <c r="O390" s="74"/>
      <c r="P390" s="74"/>
      <c r="Q390" s="74"/>
      <c r="R390" s="74"/>
      <c r="S390" s="74"/>
      <c r="T390" s="74"/>
      <c r="U390" s="74"/>
      <c r="V390" s="74"/>
      <c r="W390" s="74"/>
      <c r="X390" s="74"/>
      <c r="Y390" s="74"/>
      <c r="Z390" s="74"/>
    </row>
    <row r="391" spans="1:26" x14ac:dyDescent="0.3">
      <c r="A391" s="66">
        <f t="shared" si="38"/>
        <v>2028.3999999999651</v>
      </c>
      <c r="B391" s="67">
        <f>LOOKUP(A391+0.01,AmountsB!$A$4:$A$103,AmountsB!$B$4:$B$103)*0.1*$A$2</f>
        <v>0</v>
      </c>
      <c r="C391" s="68">
        <f t="shared" si="37"/>
        <v>625969.29735898925</v>
      </c>
      <c r="D391" s="67">
        <f t="array" ref="D391">SUM($B$7:$B386*$F$1009*EXP(-$F$1009*($A391-$A$7:$A386)))*$F$1010</f>
        <v>35571433.971789889</v>
      </c>
      <c r="E391" s="67">
        <f t="shared" ref="E391:E454" si="41">D391/(365*24*60)*1.00201</f>
        <v>67.813798618860716</v>
      </c>
      <c r="F391" s="70">
        <f t="shared" si="39"/>
        <v>4.1176538521372228</v>
      </c>
      <c r="G391" s="67">
        <f>E391/'Lookup Tables'!$C$48</f>
        <v>135.62759723772143</v>
      </c>
      <c r="H391" s="70">
        <f t="shared" ref="H391:H454" si="42">G391*60*24*365/(C391*2000)</f>
        <v>5.6940384623420603E-2</v>
      </c>
      <c r="I391" s="71">
        <f t="shared" si="40"/>
        <v>0.19530374002231887</v>
      </c>
      <c r="L391" s="74"/>
      <c r="M391" s="74"/>
      <c r="N391" s="74"/>
      <c r="O391" s="74"/>
      <c r="P391" s="74"/>
      <c r="Q391" s="74"/>
      <c r="R391" s="74"/>
      <c r="S391" s="74"/>
      <c r="T391" s="74"/>
      <c r="U391" s="74"/>
      <c r="V391" s="74"/>
      <c r="W391" s="74"/>
      <c r="X391" s="74"/>
      <c r="Y391" s="74"/>
      <c r="Z391" s="74"/>
    </row>
    <row r="392" spans="1:26" x14ac:dyDescent="0.3">
      <c r="A392" s="66">
        <f t="shared" si="38"/>
        <v>2028.499999999965</v>
      </c>
      <c r="B392" s="67">
        <f>LOOKUP(A392+0.01,AmountsB!$A$4:$A$103,AmountsB!$B$4:$B$103)*0.1*$A$2</f>
        <v>0</v>
      </c>
      <c r="C392" s="68">
        <f t="shared" si="37"/>
        <v>625969.29735898925</v>
      </c>
      <c r="D392" s="67">
        <f t="array" ref="D392">SUM($B$7:$B387*$F$1009*EXP(-$F$1009*($A392-$A$7:$A387)))*$F$1010</f>
        <v>35323303.404173233</v>
      </c>
      <c r="E392" s="67">
        <f t="shared" si="41"/>
        <v>67.340759596681167</v>
      </c>
      <c r="F392" s="70">
        <f t="shared" si="39"/>
        <v>4.08893092271048</v>
      </c>
      <c r="G392" s="67">
        <f>E392/'Lookup Tables'!$C$48</f>
        <v>134.68151919336233</v>
      </c>
      <c r="H392" s="70">
        <f t="shared" si="42"/>
        <v>5.6543193721076739E-2</v>
      </c>
      <c r="I392" s="71">
        <f t="shared" si="40"/>
        <v>0.19394138763844176</v>
      </c>
      <c r="L392" s="74"/>
      <c r="M392" s="74"/>
      <c r="N392" s="74"/>
      <c r="O392" s="74"/>
      <c r="P392" s="74"/>
      <c r="Q392" s="74"/>
      <c r="R392" s="74"/>
      <c r="S392" s="74"/>
      <c r="T392" s="74"/>
      <c r="U392" s="74"/>
      <c r="V392" s="74"/>
      <c r="W392" s="74"/>
      <c r="X392" s="74"/>
      <c r="Y392" s="74"/>
      <c r="Z392" s="74"/>
    </row>
    <row r="393" spans="1:26" x14ac:dyDescent="0.3">
      <c r="A393" s="66">
        <f t="shared" si="38"/>
        <v>2028.5999999999649</v>
      </c>
      <c r="B393" s="67">
        <f>LOOKUP(A393+0.01,AmountsB!$A$4:$A$103,AmountsB!$B$4:$B$103)*0.1*$A$2</f>
        <v>0</v>
      </c>
      <c r="C393" s="68">
        <f t="shared" ref="C393:C456" si="43">C392+B393</f>
        <v>625969.29735898925</v>
      </c>
      <c r="D393" s="67">
        <f t="array" ref="D393">SUM($B$7:$B388*$F$1009*EXP(-$F$1009*($A393-$A$7:$A388)))*$F$1010</f>
        <v>35076903.685490988</v>
      </c>
      <c r="E393" s="67">
        <f t="shared" si="41"/>
        <v>66.871020285195641</v>
      </c>
      <c r="F393" s="70">
        <f t="shared" si="39"/>
        <v>4.0604083517170793</v>
      </c>
      <c r="G393" s="67">
        <f>E393/'Lookup Tables'!$C$48</f>
        <v>133.74204057039128</v>
      </c>
      <c r="H393" s="70">
        <f t="shared" si="42"/>
        <v>5.6148773446538583E-2</v>
      </c>
      <c r="I393" s="71">
        <f t="shared" si="40"/>
        <v>0.19258853842136345</v>
      </c>
      <c r="L393" s="74"/>
      <c r="M393" s="74"/>
      <c r="N393" s="74"/>
      <c r="O393" s="74"/>
      <c r="P393" s="74"/>
      <c r="Q393" s="74"/>
      <c r="R393" s="74"/>
      <c r="S393" s="74"/>
      <c r="T393" s="74"/>
      <c r="U393" s="74"/>
      <c r="V393" s="74"/>
      <c r="W393" s="74"/>
      <c r="X393" s="74"/>
      <c r="Y393" s="74"/>
      <c r="Z393" s="74"/>
    </row>
    <row r="394" spans="1:26" x14ac:dyDescent="0.3">
      <c r="A394" s="66">
        <f t="shared" si="38"/>
        <v>2028.6999999999648</v>
      </c>
      <c r="B394" s="67">
        <f>LOOKUP(A394+0.01,AmountsB!$A$4:$A$103,AmountsB!$B$4:$B$103)*0.1*$A$2</f>
        <v>0</v>
      </c>
      <c r="C394" s="68">
        <f t="shared" si="43"/>
        <v>625969.29735898925</v>
      </c>
      <c r="D394" s="67">
        <f t="array" ref="D394">SUM($B$7:$B389*$F$1009*EXP(-$F$1009*($A394-$A$7:$A389)))*$F$1010</f>
        <v>34832222.742107652</v>
      </c>
      <c r="E394" s="67">
        <f t="shared" si="41"/>
        <v>66.404557667083893</v>
      </c>
      <c r="F394" s="70">
        <f t="shared" si="39"/>
        <v>4.0320847415453338</v>
      </c>
      <c r="G394" s="67">
        <f>E394/'Lookup Tables'!$C$48</f>
        <v>132.80911533416779</v>
      </c>
      <c r="H394" s="70">
        <f t="shared" si="42"/>
        <v>5.5757104473133763E-2</v>
      </c>
      <c r="I394" s="71">
        <f t="shared" si="40"/>
        <v>0.19124512608120162</v>
      </c>
      <c r="L394" s="74"/>
      <c r="M394" s="74"/>
      <c r="N394" s="74"/>
      <c r="O394" s="74"/>
      <c r="P394" s="74"/>
      <c r="Q394" s="74"/>
      <c r="R394" s="74"/>
      <c r="S394" s="74"/>
      <c r="T394" s="74"/>
      <c r="U394" s="74"/>
      <c r="V394" s="74"/>
      <c r="W394" s="74"/>
      <c r="X394" s="74"/>
      <c r="Y394" s="74"/>
      <c r="Z394" s="74"/>
    </row>
    <row r="395" spans="1:26" x14ac:dyDescent="0.3">
      <c r="A395" s="66">
        <f t="shared" si="38"/>
        <v>2028.7999999999647</v>
      </c>
      <c r="B395" s="67">
        <f>LOOKUP(A395+0.01,AmountsB!$A$4:$A$103,AmountsB!$B$4:$B$103)*0.1*$A$2</f>
        <v>0</v>
      </c>
      <c r="C395" s="68">
        <f t="shared" si="43"/>
        <v>625969.29735898925</v>
      </c>
      <c r="D395" s="67">
        <f t="array" ref="D395">SUM($B$7:$B390*$F$1009*EXP(-$F$1009*($A395-$A$7:$A390)))*$F$1010</f>
        <v>34589248.584608033</v>
      </c>
      <c r="E395" s="67">
        <f t="shared" si="41"/>
        <v>65.941348885584276</v>
      </c>
      <c r="F395" s="70">
        <f t="shared" si="39"/>
        <v>4.0039587043326774</v>
      </c>
      <c r="G395" s="67">
        <f>E395/'Lookup Tables'!$C$48</f>
        <v>131.88269777116855</v>
      </c>
      <c r="H395" s="70">
        <f t="shared" si="42"/>
        <v>5.5368167609004183E-2</v>
      </c>
      <c r="I395" s="71">
        <f t="shared" si="40"/>
        <v>0.18991108479048271</v>
      </c>
      <c r="L395" s="74"/>
      <c r="M395" s="74"/>
      <c r="N395" s="74"/>
      <c r="O395" s="74"/>
      <c r="P395" s="74"/>
      <c r="Q395" s="74"/>
      <c r="R395" s="74"/>
      <c r="S395" s="74"/>
      <c r="T395" s="74"/>
      <c r="U395" s="74"/>
      <c r="V395" s="74"/>
      <c r="W395" s="74"/>
      <c r="X395" s="74"/>
      <c r="Y395" s="74"/>
      <c r="Z395" s="74"/>
    </row>
    <row r="396" spans="1:26" x14ac:dyDescent="0.3">
      <c r="A396" s="66">
        <f t="shared" si="38"/>
        <v>2028.8999999999646</v>
      </c>
      <c r="B396" s="67">
        <f>LOOKUP(A396+0.01,AmountsB!$A$4:$A$103,AmountsB!$B$4:$B$103)*0.1*$A$2</f>
        <v>0</v>
      </c>
      <c r="C396" s="68">
        <f t="shared" si="43"/>
        <v>625969.29735898925</v>
      </c>
      <c r="D396" s="67">
        <f t="array" ref="D396">SUM($B$7:$B391*$F$1009*EXP(-$F$1009*($A396-$A$7:$A391)))*$F$1010</f>
        <v>34347969.307209805</v>
      </c>
      <c r="E396" s="67">
        <f t="shared" si="41"/>
        <v>65.481371243373843</v>
      </c>
      <c r="F396" s="70">
        <f t="shared" si="39"/>
        <v>3.9760288618976598</v>
      </c>
      <c r="G396" s="67">
        <f>E396/'Lookup Tables'!$C$48</f>
        <v>130.96274248674769</v>
      </c>
      <c r="H396" s="70">
        <f t="shared" si="42"/>
        <v>5.4981943796165722E-2</v>
      </c>
      <c r="I396" s="71">
        <f t="shared" si="40"/>
        <v>0.18858634918091668</v>
      </c>
      <c r="L396" s="74"/>
      <c r="M396" s="74"/>
      <c r="N396" s="74"/>
      <c r="O396" s="74"/>
      <c r="P396" s="74"/>
      <c r="Q396" s="74"/>
      <c r="R396" s="74"/>
      <c r="S396" s="74"/>
      <c r="T396" s="74"/>
      <c r="U396" s="74"/>
      <c r="V396" s="74"/>
      <c r="W396" s="74"/>
      <c r="X396" s="74"/>
      <c r="Y396" s="74"/>
      <c r="Z396" s="74"/>
    </row>
    <row r="397" spans="1:26" x14ac:dyDescent="0.3">
      <c r="A397" s="66">
        <f t="shared" si="38"/>
        <v>2028.9999999999645</v>
      </c>
      <c r="B397" s="67">
        <f>LOOKUP(A397+0.01,AmountsB!$A$4:$A$103,AmountsB!$B$4:$B$103)*0.1*$A$2</f>
        <v>0</v>
      </c>
      <c r="C397" s="68">
        <f t="shared" si="43"/>
        <v>625969.29735898925</v>
      </c>
      <c r="D397" s="67">
        <f t="array" ref="D397">SUM($B$7:$B392*$F$1009*EXP(-$F$1009*($A397-$A$7:$A392)))*$F$1010</f>
        <v>34108373.087180085</v>
      </c>
      <c r="E397" s="67">
        <f t="shared" si="41"/>
        <v>65.024602201456091</v>
      </c>
      <c r="F397" s="70">
        <f t="shared" si="39"/>
        <v>3.9482938456724139</v>
      </c>
      <c r="G397" s="67">
        <f>E397/'Lookup Tables'!$C$48</f>
        <v>130.04920440291218</v>
      </c>
      <c r="H397" s="70">
        <f t="shared" si="42"/>
        <v>5.4598414109574257E-2</v>
      </c>
      <c r="I397" s="71">
        <f t="shared" si="40"/>
        <v>0.18727085434019353</v>
      </c>
      <c r="L397" s="74"/>
      <c r="M397" s="74"/>
      <c r="N397" s="74"/>
      <c r="O397" s="74"/>
      <c r="P397" s="74"/>
      <c r="Q397" s="74"/>
      <c r="R397" s="74"/>
      <c r="S397" s="74"/>
      <c r="T397" s="74"/>
      <c r="U397" s="74"/>
      <c r="V397" s="74"/>
      <c r="W397" s="74"/>
      <c r="X397" s="74"/>
      <c r="Y397" s="74"/>
      <c r="Z397" s="74"/>
    </row>
    <row r="398" spans="1:26" x14ac:dyDescent="0.3">
      <c r="A398" s="66">
        <f t="shared" si="38"/>
        <v>2029.0999999999644</v>
      </c>
      <c r="B398" s="67">
        <f>LOOKUP(A398+0.01,AmountsB!$A$4:$A$103,AmountsB!$B$4:$B$103)*0.1*$A$2</f>
        <v>0</v>
      </c>
      <c r="C398" s="68">
        <f t="shared" si="43"/>
        <v>625969.29735898925</v>
      </c>
      <c r="D398" s="67">
        <f t="array" ref="D398">SUM($B$7:$B393*$F$1009*EXP(-$F$1009*($A398-$A$7:$A393)))*$F$1010</f>
        <v>33870448.184256166</v>
      </c>
      <c r="E398" s="67">
        <f t="shared" si="41"/>
        <v>64.571019378056548</v>
      </c>
      <c r="F398" s="70">
        <f t="shared" si="39"/>
        <v>3.9207522966355932</v>
      </c>
      <c r="G398" s="67">
        <f>E398/'Lookup Tables'!$C$48</f>
        <v>129.1420387561131</v>
      </c>
      <c r="H398" s="70">
        <f t="shared" si="42"/>
        <v>5.4217559756198387E-2</v>
      </c>
      <c r="I398" s="71">
        <f t="shared" si="40"/>
        <v>0.18596453580880284</v>
      </c>
      <c r="L398" s="74"/>
      <c r="M398" s="74"/>
      <c r="N398" s="74"/>
      <c r="O398" s="74"/>
      <c r="P398" s="74"/>
      <c r="Q398" s="74"/>
      <c r="R398" s="74"/>
      <c r="S398" s="74"/>
      <c r="T398" s="74"/>
      <c r="U398" s="74"/>
      <c r="V398" s="74"/>
      <c r="W398" s="74"/>
      <c r="X398" s="74"/>
      <c r="Y398" s="74"/>
      <c r="Z398" s="74"/>
    </row>
    <row r="399" spans="1:26" x14ac:dyDescent="0.3">
      <c r="A399" s="66">
        <f t="shared" si="38"/>
        <v>2029.1999999999643</v>
      </c>
      <c r="B399" s="67">
        <f>LOOKUP(A399+0.01,AmountsB!$A$4:$A$103,AmountsB!$B$4:$B$103)*0.1*$A$2</f>
        <v>0</v>
      </c>
      <c r="C399" s="68">
        <f t="shared" si="43"/>
        <v>625969.29735898925</v>
      </c>
      <c r="D399" s="67">
        <f t="array" ref="D399">SUM($B$7:$B394*$F$1009*EXP(-$F$1009*($A399-$A$7:$A394)))*$F$1010</f>
        <v>33634182.940070197</v>
      </c>
      <c r="E399" s="67">
        <f t="shared" si="41"/>
        <v>64.120600547526138</v>
      </c>
      <c r="F399" s="70">
        <f t="shared" si="39"/>
        <v>3.893402865245787</v>
      </c>
      <c r="G399" s="67">
        <f>E399/'Lookup Tables'!$C$48</f>
        <v>128.24120109505228</v>
      </c>
      <c r="H399" s="70">
        <f t="shared" si="42"/>
        <v>5.3839362074098639E-2</v>
      </c>
      <c r="I399" s="71">
        <f t="shared" si="40"/>
        <v>0.18466732957687529</v>
      </c>
      <c r="L399" s="74"/>
      <c r="M399" s="74"/>
      <c r="N399" s="74"/>
      <c r="O399" s="74"/>
      <c r="P399" s="74"/>
      <c r="Q399" s="74"/>
      <c r="R399" s="74"/>
      <c r="S399" s="74"/>
      <c r="T399" s="74"/>
      <c r="U399" s="74"/>
      <c r="V399" s="74"/>
      <c r="W399" s="74"/>
      <c r="X399" s="74"/>
      <c r="Y399" s="74"/>
      <c r="Z399" s="74"/>
    </row>
    <row r="400" spans="1:26" x14ac:dyDescent="0.3">
      <c r="A400" s="66">
        <f t="shared" si="38"/>
        <v>2029.2999999999643</v>
      </c>
      <c r="B400" s="67">
        <f>LOOKUP(A400+0.01,AmountsB!$A$4:$A$103,AmountsB!$B$4:$B$103)*0.1*$A$2</f>
        <v>0</v>
      </c>
      <c r="C400" s="68">
        <f t="shared" si="43"/>
        <v>625969.29735898925</v>
      </c>
      <c r="D400" s="67">
        <f t="array" ref="D400">SUM($B$7:$B395*$F$1009*EXP(-$F$1009*($A400-$A$7:$A395)))*$F$1010</f>
        <v>33399565.77757794</v>
      </c>
      <c r="E400" s="67">
        <f t="shared" si="41"/>
        <v>63.673323639252047</v>
      </c>
      <c r="F400" s="70">
        <f t="shared" si="39"/>
        <v>3.8662442113753843</v>
      </c>
      <c r="G400" s="67">
        <f>E400/'Lookup Tables'!$C$48</f>
        <v>127.34664727850409</v>
      </c>
      <c r="H400" s="70">
        <f t="shared" si="42"/>
        <v>5.3463802531512894E-2</v>
      </c>
      <c r="I400" s="71">
        <f t="shared" si="40"/>
        <v>0.1833791720810459</v>
      </c>
      <c r="L400" s="74"/>
      <c r="M400" s="74"/>
      <c r="N400" s="74"/>
      <c r="O400" s="74"/>
      <c r="P400" s="74"/>
      <c r="Q400" s="74"/>
      <c r="R400" s="74"/>
      <c r="S400" s="74"/>
      <c r="T400" s="74"/>
      <c r="U400" s="74"/>
      <c r="V400" s="74"/>
      <c r="W400" s="74"/>
      <c r="X400" s="74"/>
      <c r="Y400" s="74"/>
      <c r="Z400" s="74"/>
    </row>
    <row r="401" spans="1:26" x14ac:dyDescent="0.3">
      <c r="A401" s="66">
        <f t="shared" si="38"/>
        <v>2029.3999999999642</v>
      </c>
      <c r="B401" s="67">
        <f>LOOKUP(A401+0.01,AmountsB!$A$4:$A$103,AmountsB!$B$4:$B$103)*0.1*$A$2</f>
        <v>0</v>
      </c>
      <c r="C401" s="68">
        <f t="shared" si="43"/>
        <v>625969.29735898925</v>
      </c>
      <c r="D401" s="67">
        <f t="array" ref="D401">SUM($B$7:$B396*$F$1009*EXP(-$F$1009*($A401-$A$7:$A396)))*$F$1010</f>
        <v>33166585.200491492</v>
      </c>
      <c r="E401" s="67">
        <f t="shared" si="41"/>
        <v>63.229166736576261</v>
      </c>
      <c r="F401" s="70">
        <f t="shared" si="39"/>
        <v>3.8392750042449104</v>
      </c>
      <c r="G401" s="67">
        <f>E401/'Lookup Tables'!$C$48</f>
        <v>126.45833347315252</v>
      </c>
      <c r="H401" s="70">
        <f t="shared" si="42"/>
        <v>5.3090862725948415E-2</v>
      </c>
      <c r="I401" s="71">
        <f t="shared" si="40"/>
        <v>0.18210000020133962</v>
      </c>
      <c r="L401" s="74"/>
      <c r="M401" s="74"/>
      <c r="N401" s="74"/>
      <c r="O401" s="74"/>
      <c r="P401" s="74"/>
      <c r="Q401" s="74"/>
      <c r="R401" s="74"/>
      <c r="S401" s="74"/>
      <c r="T401" s="74"/>
      <c r="U401" s="74"/>
      <c r="V401" s="74"/>
      <c r="W401" s="74"/>
      <c r="X401" s="74"/>
      <c r="Y401" s="74"/>
      <c r="Z401" s="74"/>
    </row>
    <row r="402" spans="1:26" x14ac:dyDescent="0.3">
      <c r="A402" s="66">
        <f t="shared" si="38"/>
        <v>2029.4999999999641</v>
      </c>
      <c r="B402" s="67">
        <f>LOOKUP(A402+0.01,AmountsB!$A$4:$A$103,AmountsB!$B$4:$B$103)*0.1*$A$2</f>
        <v>0</v>
      </c>
      <c r="C402" s="68">
        <f t="shared" si="43"/>
        <v>625969.29735898925</v>
      </c>
      <c r="D402" s="67">
        <f t="array" ref="D402">SUM($B$7:$B397*$F$1009*EXP(-$F$1009*($A402-$A$7:$A397)))*$F$1010</f>
        <v>32935229.792715952</v>
      </c>
      <c r="E402" s="67">
        <f t="shared" si="41"/>
        <v>62.788108075721674</v>
      </c>
      <c r="F402" s="70">
        <f t="shared" si="39"/>
        <v>3.8124939223578198</v>
      </c>
      <c r="G402" s="67">
        <f>E402/'Lookup Tables'!$C$48</f>
        <v>125.57621615144335</v>
      </c>
      <c r="H402" s="70">
        <f t="shared" si="42"/>
        <v>5.2720524383280121E-2</v>
      </c>
      <c r="I402" s="71">
        <f t="shared" si="40"/>
        <v>0.18082975125807843</v>
      </c>
      <c r="L402" s="74"/>
      <c r="M402" s="74"/>
      <c r="N402" s="74"/>
      <c r="O402" s="74"/>
      <c r="P402" s="74"/>
      <c r="Q402" s="74"/>
      <c r="R402" s="74"/>
      <c r="S402" s="74"/>
      <c r="T402" s="74"/>
      <c r="U402" s="74"/>
      <c r="V402" s="74"/>
      <c r="W402" s="74"/>
      <c r="X402" s="74"/>
      <c r="Y402" s="74"/>
      <c r="Z402" s="74"/>
    </row>
    <row r="403" spans="1:26" x14ac:dyDescent="0.3">
      <c r="A403" s="66">
        <f t="shared" ref="A403:A466" si="44">A402+0.1</f>
        <v>2029.599999999964</v>
      </c>
      <c r="B403" s="67">
        <f>LOOKUP(A403+0.01,AmountsB!$A$4:$A$103,AmountsB!$B$4:$B$103)*0.1*$A$2</f>
        <v>0</v>
      </c>
      <c r="C403" s="68">
        <f t="shared" si="43"/>
        <v>625969.29735898925</v>
      </c>
      <c r="D403" s="67">
        <f t="array" ref="D403">SUM($B$7:$B398*$F$1009*EXP(-$F$1009*($A403-$A$7:$A398)))*$F$1010</f>
        <v>32705488.217790052</v>
      </c>
      <c r="E403" s="67">
        <f t="shared" si="41"/>
        <v>62.35012604472567</v>
      </c>
      <c r="F403" s="70">
        <f t="shared" ref="F403:F466" si="45">E403*60*1012/1000000</f>
        <v>3.7858996534357425</v>
      </c>
      <c r="G403" s="67">
        <f>E403/'Lookup Tables'!$C$48</f>
        <v>124.70025208945134</v>
      </c>
      <c r="H403" s="70">
        <f t="shared" si="42"/>
        <v>5.2352769356855094E-2</v>
      </c>
      <c r="I403" s="71">
        <f t="shared" ref="I403:I466" si="46">G403*60*24/1000000</f>
        <v>0.17956836300880991</v>
      </c>
      <c r="L403" s="74"/>
      <c r="M403" s="74"/>
      <c r="N403" s="74"/>
      <c r="O403" s="74"/>
      <c r="P403" s="74"/>
      <c r="Q403" s="74"/>
      <c r="R403" s="74"/>
      <c r="S403" s="74"/>
      <c r="T403" s="74"/>
      <c r="U403" s="74"/>
      <c r="V403" s="74"/>
      <c r="W403" s="74"/>
      <c r="X403" s="74"/>
      <c r="Y403" s="74"/>
      <c r="Z403" s="74"/>
    </row>
    <row r="404" spans="1:26" x14ac:dyDescent="0.3">
      <c r="A404" s="66">
        <f t="shared" si="44"/>
        <v>2029.6999999999639</v>
      </c>
      <c r="B404" s="67">
        <f>LOOKUP(A404+0.01,AmountsB!$A$4:$A$103,AmountsB!$B$4:$B$103)*0.1*$A$2</f>
        <v>0</v>
      </c>
      <c r="C404" s="68">
        <f t="shared" si="43"/>
        <v>625969.29735898925</v>
      </c>
      <c r="D404" s="67">
        <f t="array" ref="D404">SUM($B$7:$B399*$F$1009*EXP(-$F$1009*($A404-$A$7:$A399)))*$F$1010</f>
        <v>32477349.218330659</v>
      </c>
      <c r="E404" s="67">
        <f t="shared" si="41"/>
        <v>61.915199182381102</v>
      </c>
      <c r="F404" s="70">
        <f t="shared" si="45"/>
        <v>3.7594908943541805</v>
      </c>
      <c r="G404" s="67">
        <f>E404/'Lookup Tables'!$C$48</f>
        <v>123.8303983647622</v>
      </c>
      <c r="H404" s="70">
        <f t="shared" si="42"/>
        <v>5.1987579626603518E-2</v>
      </c>
      <c r="I404" s="71">
        <f t="shared" si="46"/>
        <v>0.17831577364525758</v>
      </c>
      <c r="L404" s="74"/>
      <c r="M404" s="74"/>
      <c r="N404" s="74"/>
      <c r="O404" s="74"/>
      <c r="P404" s="74"/>
      <c r="Q404" s="74"/>
      <c r="R404" s="74"/>
      <c r="S404" s="74"/>
      <c r="T404" s="74"/>
      <c r="U404" s="74"/>
      <c r="V404" s="74"/>
      <c r="W404" s="74"/>
      <c r="X404" s="74"/>
      <c r="Y404" s="74"/>
      <c r="Z404" s="74"/>
    </row>
    <row r="405" spans="1:26" x14ac:dyDescent="0.3">
      <c r="A405" s="66">
        <f t="shared" si="44"/>
        <v>2029.7999999999638</v>
      </c>
      <c r="B405" s="67">
        <f>LOOKUP(A405+0.01,AmountsB!$A$4:$A$103,AmountsB!$B$4:$B$103)*0.1*$A$2</f>
        <v>0</v>
      </c>
      <c r="C405" s="68">
        <f t="shared" si="43"/>
        <v>625969.29735898925</v>
      </c>
      <c r="D405" s="67">
        <f t="array" ref="D405">SUM($B$7:$B400*$F$1009*EXP(-$F$1009*($A405-$A$7:$A400)))*$F$1010</f>
        <v>32250801.615481153</v>
      </c>
      <c r="E405" s="67">
        <f t="shared" si="41"/>
        <v>61.483306177184687</v>
      </c>
      <c r="F405" s="70">
        <f t="shared" si="45"/>
        <v>3.7332663510786541</v>
      </c>
      <c r="G405" s="67">
        <f>E405/'Lookup Tables'!$C$48</f>
        <v>122.96661235436937</v>
      </c>
      <c r="H405" s="70">
        <f t="shared" si="42"/>
        <v>5.1624937298155496E-2</v>
      </c>
      <c r="I405" s="71">
        <f t="shared" si="46"/>
        <v>0.17707192179029191</v>
      </c>
      <c r="L405" s="74"/>
      <c r="M405" s="74"/>
      <c r="N405" s="74"/>
      <c r="O405" s="74"/>
      <c r="P405" s="74"/>
      <c r="Q405" s="74"/>
      <c r="R405" s="74"/>
      <c r="S405" s="74"/>
      <c r="T405" s="74"/>
      <c r="U405" s="74"/>
      <c r="V405" s="74"/>
      <c r="W405" s="74"/>
      <c r="X405" s="74"/>
      <c r="Y405" s="74"/>
      <c r="Z405" s="74"/>
    </row>
    <row r="406" spans="1:26" x14ac:dyDescent="0.3">
      <c r="A406" s="66">
        <f t="shared" si="44"/>
        <v>2029.8999999999637</v>
      </c>
      <c r="B406" s="67">
        <f>LOOKUP(A406+0.01,AmountsB!$A$4:$A$103,AmountsB!$B$4:$B$103)*0.1*$A$2</f>
        <v>0</v>
      </c>
      <c r="C406" s="68">
        <f t="shared" si="43"/>
        <v>625969.29735898925</v>
      </c>
      <c r="D406" s="67">
        <f t="array" ref="D406">SUM($B$7:$B401*$F$1009*EXP(-$F$1009*($A406-$A$7:$A401)))*$F$1010</f>
        <v>32025834.308363661</v>
      </c>
      <c r="E406" s="67">
        <f t="shared" si="41"/>
        <v>61.054425866292753</v>
      </c>
      <c r="F406" s="70">
        <f t="shared" si="45"/>
        <v>3.7072247386012962</v>
      </c>
      <c r="G406" s="67">
        <f>E406/'Lookup Tables'!$C$48</f>
        <v>122.10885173258551</v>
      </c>
      <c r="H406" s="70">
        <f t="shared" si="42"/>
        <v>5.1264824601964389E-2</v>
      </c>
      <c r="I406" s="71">
        <f t="shared" si="46"/>
        <v>0.17583674649492315</v>
      </c>
      <c r="L406" s="74"/>
      <c r="M406" s="74"/>
      <c r="N406" s="74"/>
      <c r="O406" s="74"/>
      <c r="P406" s="74"/>
      <c r="Q406" s="74"/>
      <c r="R406" s="74"/>
      <c r="S406" s="74"/>
      <c r="T406" s="74"/>
      <c r="U406" s="74"/>
      <c r="V406" s="74"/>
      <c r="W406" s="74"/>
      <c r="X406" s="74"/>
      <c r="Y406" s="74"/>
      <c r="Z406" s="74"/>
    </row>
    <row r="407" spans="1:26" x14ac:dyDescent="0.3">
      <c r="A407" s="66">
        <f t="shared" si="44"/>
        <v>2029.9999999999636</v>
      </c>
      <c r="B407" s="67">
        <f>LOOKUP(A407+0.01,AmountsB!$A$4:$A$103,AmountsB!$B$4:$B$103)*0.1*$A$2</f>
        <v>0</v>
      </c>
      <c r="C407" s="68">
        <f t="shared" si="43"/>
        <v>625969.29735898925</v>
      </c>
      <c r="D407" s="67">
        <f t="array" ref="D407">SUM($B$7:$B402*$F$1009*EXP(-$F$1009*($A407-$A$7:$A402)))*$F$1010</f>
        <v>31802436.273535114</v>
      </c>
      <c r="E407" s="67">
        <f t="shared" si="41"/>
        <v>60.628537234484249</v>
      </c>
      <c r="F407" s="70">
        <f t="shared" si="45"/>
        <v>3.6813647808778835</v>
      </c>
      <c r="G407" s="67">
        <f>E407/'Lookup Tables'!$C$48</f>
        <v>121.2570744689685</v>
      </c>
      <c r="H407" s="70">
        <f t="shared" si="42"/>
        <v>5.0907223892436015E-2</v>
      </c>
      <c r="I407" s="71">
        <f t="shared" si="46"/>
        <v>0.17461018723531463</v>
      </c>
      <c r="L407" s="74"/>
      <c r="M407" s="74"/>
      <c r="N407" s="74"/>
      <c r="O407" s="74"/>
      <c r="P407" s="74"/>
      <c r="Q407" s="74"/>
      <c r="R407" s="74"/>
      <c r="S407" s="74"/>
      <c r="T407" s="74"/>
      <c r="U407" s="74"/>
      <c r="V407" s="74"/>
      <c r="W407" s="74"/>
      <c r="X407" s="74"/>
      <c r="Y407" s="74"/>
      <c r="Z407" s="74"/>
    </row>
    <row r="408" spans="1:26" x14ac:dyDescent="0.3">
      <c r="A408" s="66">
        <f t="shared" si="44"/>
        <v>2030.0999999999635</v>
      </c>
      <c r="B408" s="67">
        <f>LOOKUP(A408+0.01,AmountsB!$A$4:$A$103,AmountsB!$B$4:$B$103)*0.1*$A$2</f>
        <v>0</v>
      </c>
      <c r="C408" s="68">
        <f t="shared" si="43"/>
        <v>625969.29735898925</v>
      </c>
      <c r="D408" s="67">
        <f t="array" ref="D408">SUM($B$7:$B403*$F$1009*EXP(-$F$1009*($A408-$A$7:$A403)))*$F$1010</f>
        <v>31580596.56444712</v>
      </c>
      <c r="E408" s="67">
        <f t="shared" si="41"/>
        <v>60.205619413131011</v>
      </c>
      <c r="F408" s="70">
        <f t="shared" si="45"/>
        <v>3.6556852107653151</v>
      </c>
      <c r="G408" s="67">
        <f>E408/'Lookup Tables'!$C$48</f>
        <v>120.41123882626202</v>
      </c>
      <c r="H408" s="70">
        <f t="shared" si="42"/>
        <v>5.0552117647064077E-2</v>
      </c>
      <c r="I408" s="71">
        <f t="shared" si="46"/>
        <v>0.17339218390981731</v>
      </c>
      <c r="L408" s="74"/>
      <c r="M408" s="74"/>
      <c r="N408" s="74"/>
      <c r="O408" s="74"/>
      <c r="P408" s="74"/>
      <c r="Q408" s="74"/>
      <c r="R408" s="74"/>
      <c r="S408" s="74"/>
      <c r="T408" s="74"/>
      <c r="U408" s="74"/>
      <c r="V408" s="74"/>
      <c r="W408" s="74"/>
      <c r="X408" s="74"/>
      <c r="Y408" s="74"/>
      <c r="Z408" s="74"/>
    </row>
    <row r="409" spans="1:26" x14ac:dyDescent="0.3">
      <c r="A409" s="66">
        <f t="shared" si="44"/>
        <v>2030.1999999999634</v>
      </c>
      <c r="B409" s="67">
        <f>LOOKUP(A409+0.01,AmountsB!$A$4:$A$103,AmountsB!$B$4:$B$103)*0.1*$A$2</f>
        <v>0</v>
      </c>
      <c r="C409" s="68">
        <f t="shared" si="43"/>
        <v>625969.29735898925</v>
      </c>
      <c r="D409" s="67">
        <f t="array" ref="D409">SUM($B$7:$B404*$F$1009*EXP(-$F$1009*($A409-$A$7:$A404)))*$F$1010</f>
        <v>31360304.310909536</v>
      </c>
      <c r="E409" s="67">
        <f t="shared" si="41"/>
        <v>59.78565167917516</v>
      </c>
      <c r="F409" s="70">
        <f t="shared" si="45"/>
        <v>3.6301847699595156</v>
      </c>
      <c r="G409" s="67">
        <f>E409/'Lookup Tables'!$C$48</f>
        <v>119.57130335835032</v>
      </c>
      <c r="H409" s="70">
        <f t="shared" si="42"/>
        <v>5.0199488465571478E-2</v>
      </c>
      <c r="I409" s="71">
        <f t="shared" si="46"/>
        <v>0.17218267683602445</v>
      </c>
      <c r="L409" s="74"/>
      <c r="M409" s="74"/>
      <c r="N409" s="74"/>
      <c r="O409" s="74"/>
      <c r="P409" s="74"/>
      <c r="Q409" s="74"/>
      <c r="R409" s="74"/>
      <c r="S409" s="74"/>
      <c r="T409" s="74"/>
      <c r="U409" s="74"/>
      <c r="V409" s="74"/>
      <c r="W409" s="74"/>
      <c r="X409" s="74"/>
      <c r="Y409" s="74"/>
      <c r="Z409" s="74"/>
    </row>
    <row r="410" spans="1:26" x14ac:dyDescent="0.3">
      <c r="A410" s="66">
        <f t="shared" si="44"/>
        <v>2030.2999999999633</v>
      </c>
      <c r="B410" s="67">
        <f>LOOKUP(A410+0.01,AmountsB!$A$4:$A$103,AmountsB!$B$4:$B$103)*0.1*$A$2</f>
        <v>0</v>
      </c>
      <c r="C410" s="68">
        <f t="shared" si="43"/>
        <v>625969.29735898925</v>
      </c>
      <c r="D410" s="67">
        <f t="array" ref="D410">SUM($B$7:$B405*$F$1009*EXP(-$F$1009*($A410-$A$7:$A405)))*$F$1010</f>
        <v>31141548.718557872</v>
      </c>
      <c r="E410" s="67">
        <f t="shared" si="41"/>
        <v>59.368613454113728</v>
      </c>
      <c r="F410" s="70">
        <f t="shared" si="45"/>
        <v>3.6048622089337856</v>
      </c>
      <c r="G410" s="67">
        <f>E410/'Lookup Tables'!$C$48</f>
        <v>118.73722690822746</v>
      </c>
      <c r="H410" s="70">
        <f t="shared" si="42"/>
        <v>4.984931906905779E-2</v>
      </c>
      <c r="I410" s="71">
        <f t="shared" si="46"/>
        <v>0.17098160674784751</v>
      </c>
      <c r="L410" s="74"/>
      <c r="M410" s="74"/>
      <c r="N410" s="74"/>
      <c r="O410" s="74"/>
      <c r="P410" s="74"/>
      <c r="Q410" s="74"/>
      <c r="R410" s="74"/>
      <c r="S410" s="74"/>
      <c r="T410" s="74"/>
      <c r="U410" s="74"/>
      <c r="V410" s="74"/>
      <c r="W410" s="74"/>
      <c r="X410" s="74"/>
      <c r="Y410" s="74"/>
      <c r="Z410" s="74"/>
    </row>
    <row r="411" spans="1:26" x14ac:dyDescent="0.3">
      <c r="A411" s="66">
        <f t="shared" si="44"/>
        <v>2030.3999999999633</v>
      </c>
      <c r="B411" s="67">
        <f>LOOKUP(A411+0.01,AmountsB!$A$4:$A$103,AmountsB!$B$4:$B$103)*0.1*$A$2</f>
        <v>0</v>
      </c>
      <c r="C411" s="68">
        <f t="shared" si="43"/>
        <v>625969.29735898925</v>
      </c>
      <c r="D411" s="67">
        <f t="array" ref="D411">SUM($B$7:$B406*$F$1009*EXP(-$F$1009*($A411-$A$7:$A406)))*$F$1010</f>
        <v>30924319.068324324</v>
      </c>
      <c r="E411" s="67">
        <f t="shared" si="41"/>
        <v>58.954484302990217</v>
      </c>
      <c r="F411" s="70">
        <f t="shared" si="45"/>
        <v>3.579716286877566</v>
      </c>
      <c r="G411" s="67">
        <f>E411/'Lookup Tables'!$C$48</f>
        <v>117.90896860598043</v>
      </c>
      <c r="H411" s="70">
        <f t="shared" si="42"/>
        <v>4.9501592299152533E-2</v>
      </c>
      <c r="I411" s="71">
        <f t="shared" si="46"/>
        <v>0.16978891479261185</v>
      </c>
      <c r="L411" s="74"/>
      <c r="M411" s="74"/>
      <c r="N411" s="74"/>
      <c r="O411" s="74"/>
      <c r="P411" s="74"/>
      <c r="Q411" s="74"/>
      <c r="R411" s="74"/>
      <c r="S411" s="74"/>
      <c r="T411" s="74"/>
      <c r="U411" s="74"/>
      <c r="V411" s="74"/>
      <c r="W411" s="74"/>
      <c r="X411" s="74"/>
      <c r="Y411" s="74"/>
      <c r="Z411" s="74"/>
    </row>
    <row r="412" spans="1:26" x14ac:dyDescent="0.3">
      <c r="A412" s="66">
        <f t="shared" si="44"/>
        <v>2030.4999999999632</v>
      </c>
      <c r="B412" s="67">
        <f>LOOKUP(A412+0.01,AmountsB!$A$4:$A$103,AmountsB!$B$4:$B$103)*0.1*$A$2</f>
        <v>0</v>
      </c>
      <c r="C412" s="68">
        <f t="shared" si="43"/>
        <v>625969.29735898925</v>
      </c>
      <c r="D412" s="67">
        <f t="array" ref="D412">SUM($B$7:$B407*$F$1009*EXP(-$F$1009*($A412-$A$7:$A407)))*$F$1010</f>
        <v>30708604.715912569</v>
      </c>
      <c r="E412" s="67">
        <f t="shared" si="41"/>
        <v>58.54324393339337</v>
      </c>
      <c r="F412" s="70">
        <f t="shared" si="45"/>
        <v>3.5547457716356456</v>
      </c>
      <c r="G412" s="67">
        <f>E412/'Lookup Tables'!$C$48</f>
        <v>117.08648786678674</v>
      </c>
      <c r="H412" s="70">
        <f t="shared" si="42"/>
        <v>4.9156291117174351E-2</v>
      </c>
      <c r="I412" s="71">
        <f t="shared" si="46"/>
        <v>0.16860454252817289</v>
      </c>
      <c r="L412" s="74"/>
      <c r="M412" s="74"/>
      <c r="N412" s="74"/>
      <c r="O412" s="74"/>
      <c r="P412" s="74"/>
      <c r="Q412" s="74"/>
      <c r="R412" s="74"/>
      <c r="S412" s="74"/>
      <c r="T412" s="74"/>
      <c r="U412" s="74"/>
      <c r="V412" s="74"/>
      <c r="W412" s="74"/>
      <c r="X412" s="74"/>
      <c r="Y412" s="74"/>
      <c r="Z412" s="74"/>
    </row>
    <row r="413" spans="1:26" x14ac:dyDescent="0.3">
      <c r="A413" s="66">
        <f t="shared" si="44"/>
        <v>2030.5999999999631</v>
      </c>
      <c r="B413" s="67">
        <f>LOOKUP(A413+0.01,AmountsB!$A$4:$A$103,AmountsB!$B$4:$B$103)*0.1*$A$2</f>
        <v>0</v>
      </c>
      <c r="C413" s="68">
        <f t="shared" si="43"/>
        <v>625969.29735898925</v>
      </c>
      <c r="D413" s="67">
        <f t="array" ref="D413">SUM($B$7:$B408*$F$1009*EXP(-$F$1009*($A413-$A$7:$A408)))*$F$1010</f>
        <v>30494395.091276191</v>
      </c>
      <c r="E413" s="67">
        <f t="shared" si="41"/>
        <v>58.134872194462822</v>
      </c>
      <c r="F413" s="70">
        <f t="shared" si="45"/>
        <v>3.5299494396477824</v>
      </c>
      <c r="G413" s="67">
        <f>E413/'Lookup Tables'!$C$48</f>
        <v>116.26974438892564</v>
      </c>
      <c r="H413" s="70">
        <f t="shared" si="42"/>
        <v>4.8813398603296317E-2</v>
      </c>
      <c r="I413" s="71">
        <f t="shared" si="46"/>
        <v>0.16742843192005294</v>
      </c>
      <c r="L413" s="74"/>
      <c r="M413" s="74"/>
      <c r="N413" s="74"/>
      <c r="O413" s="74"/>
      <c r="P413" s="74"/>
      <c r="Q413" s="74"/>
      <c r="R413" s="74"/>
      <c r="S413" s="74"/>
      <c r="T413" s="74"/>
      <c r="U413" s="74"/>
      <c r="V413" s="74"/>
      <c r="W413" s="74"/>
      <c r="X413" s="74"/>
      <c r="Y413" s="74"/>
      <c r="Z413" s="74"/>
    </row>
    <row r="414" spans="1:26" x14ac:dyDescent="0.3">
      <c r="A414" s="66">
        <f t="shared" si="44"/>
        <v>2030.699999999963</v>
      </c>
      <c r="B414" s="67">
        <f>LOOKUP(A414+0.01,AmountsB!$A$4:$A$103,AmountsB!$B$4:$B$103)*0.1*$A$2</f>
        <v>0</v>
      </c>
      <c r="C414" s="68">
        <f t="shared" si="43"/>
        <v>625969.29735898925</v>
      </c>
      <c r="D414" s="67">
        <f t="array" ref="D414">SUM($B$7:$B409*$F$1009*EXP(-$F$1009*($A414-$A$7:$A409)))*$F$1010</f>
        <v>30281679.698100712</v>
      </c>
      <c r="E414" s="67">
        <f t="shared" si="41"/>
        <v>57.729349075901631</v>
      </c>
      <c r="F414" s="70">
        <f t="shared" si="45"/>
        <v>3.505326075888747</v>
      </c>
      <c r="G414" s="67">
        <f>E414/'Lookup Tables'!$C$48</f>
        <v>115.45869815180326</v>
      </c>
      <c r="H414" s="70">
        <f t="shared" si="42"/>
        <v>4.8472897955716583E-2</v>
      </c>
      <c r="I414" s="71">
        <f t="shared" si="46"/>
        <v>0.1662605253385967</v>
      </c>
      <c r="L414" s="74"/>
      <c r="M414" s="74"/>
      <c r="N414" s="74"/>
      <c r="O414" s="74"/>
      <c r="P414" s="74"/>
      <c r="Q414" s="74"/>
      <c r="R414" s="74"/>
      <c r="S414" s="74"/>
      <c r="T414" s="74"/>
      <c r="U414" s="74"/>
      <c r="V414" s="74"/>
      <c r="W414" s="74"/>
      <c r="X414" s="74"/>
      <c r="Y414" s="74"/>
      <c r="Z414" s="74"/>
    </row>
    <row r="415" spans="1:26" x14ac:dyDescent="0.3">
      <c r="A415" s="66">
        <f t="shared" si="44"/>
        <v>2030.7999999999629</v>
      </c>
      <c r="B415" s="67">
        <f>LOOKUP(A415+0.01,AmountsB!$A$4:$A$103,AmountsB!$B$4:$B$103)*0.1*$A$2</f>
        <v>0</v>
      </c>
      <c r="C415" s="68">
        <f t="shared" si="43"/>
        <v>625969.29735898925</v>
      </c>
      <c r="D415" s="67">
        <f t="array" ref="D415">SUM($B$7:$B410*$F$1009*EXP(-$F$1009*($A415-$A$7:$A410)))*$F$1010</f>
        <v>30070448.113289308</v>
      </c>
      <c r="E415" s="67">
        <f t="shared" si="41"/>
        <v>57.326654706995853</v>
      </c>
      <c r="F415" s="70">
        <f t="shared" si="45"/>
        <v>3.4808744738087882</v>
      </c>
      <c r="G415" s="67">
        <f>E415/'Lookup Tables'!$C$48</f>
        <v>114.65330941399171</v>
      </c>
      <c r="H415" s="70">
        <f t="shared" si="42"/>
        <v>4.8134772489835317E-2</v>
      </c>
      <c r="I415" s="71">
        <f t="shared" si="46"/>
        <v>0.16510076555614805</v>
      </c>
      <c r="L415" s="74"/>
      <c r="M415" s="74"/>
      <c r="N415" s="74"/>
      <c r="O415" s="74"/>
      <c r="P415" s="74"/>
      <c r="Q415" s="74"/>
      <c r="R415" s="74"/>
      <c r="S415" s="74"/>
      <c r="T415" s="74"/>
      <c r="U415" s="74"/>
      <c r="V415" s="74"/>
      <c r="W415" s="74"/>
      <c r="X415" s="74"/>
      <c r="Y415" s="74"/>
      <c r="Z415" s="74"/>
    </row>
    <row r="416" spans="1:26" x14ac:dyDescent="0.3">
      <c r="A416" s="66">
        <f t="shared" si="44"/>
        <v>2030.8999999999628</v>
      </c>
      <c r="B416" s="67">
        <f>LOOKUP(A416+0.01,AmountsB!$A$4:$A$103,AmountsB!$B$4:$B$103)*0.1*$A$2</f>
        <v>0</v>
      </c>
      <c r="C416" s="68">
        <f t="shared" si="43"/>
        <v>625969.29735898925</v>
      </c>
      <c r="D416" s="67">
        <f t="array" ref="D416">SUM($B$7:$B411*$F$1009*EXP(-$F$1009*($A416-$A$7:$A411)))*$F$1010</f>
        <v>29860689.986452043</v>
      </c>
      <c r="E416" s="67">
        <f t="shared" si="41"/>
        <v>56.926769355640815</v>
      </c>
      <c r="F416" s="70">
        <f t="shared" si="45"/>
        <v>3.4565934352745105</v>
      </c>
      <c r="G416" s="67">
        <f>E416/'Lookup Tables'!$C$48</f>
        <v>113.85353871128163</v>
      </c>
      <c r="H416" s="70">
        <f t="shared" si="42"/>
        <v>4.7799005637437018E-2</v>
      </c>
      <c r="I416" s="71">
        <f t="shared" si="46"/>
        <v>0.16394909574424557</v>
      </c>
      <c r="L416" s="74"/>
      <c r="M416" s="74"/>
      <c r="N416" s="74"/>
      <c r="O416" s="74"/>
      <c r="P416" s="74"/>
      <c r="Q416" s="74"/>
      <c r="R416" s="74"/>
      <c r="S416" s="74"/>
      <c r="T416" s="74"/>
      <c r="U416" s="74"/>
      <c r="V416" s="74"/>
      <c r="W416" s="74"/>
      <c r="X416" s="74"/>
      <c r="Y416" s="74"/>
      <c r="Z416" s="74"/>
    </row>
    <row r="417" spans="1:26" x14ac:dyDescent="0.3">
      <c r="A417" s="66">
        <f t="shared" si="44"/>
        <v>2030.9999999999627</v>
      </c>
      <c r="B417" s="67">
        <f>LOOKUP(A417+0.01,AmountsB!$A$4:$A$103,AmountsB!$B$4:$B$103)*0.1*$A$2</f>
        <v>0</v>
      </c>
      <c r="C417" s="68">
        <f t="shared" si="43"/>
        <v>625969.29735898925</v>
      </c>
      <c r="D417" s="67">
        <f t="array" ref="D417">SUM($B$7:$B412*$F$1009*EXP(-$F$1009*($A417-$A$7:$A412)))*$F$1010</f>
        <v>29652395.039398763</v>
      </c>
      <c r="E417" s="67">
        <f t="shared" si="41"/>
        <v>56.529673427374348</v>
      </c>
      <c r="F417" s="70">
        <f t="shared" si="45"/>
        <v>3.4324817705101704</v>
      </c>
      <c r="G417" s="67">
        <f>E417/'Lookup Tables'!$C$48</f>
        <v>113.0593468547487</v>
      </c>
      <c r="H417" s="70">
        <f t="shared" si="42"/>
        <v>4.7465580945878764E-2</v>
      </c>
      <c r="I417" s="71">
        <f t="shared" si="46"/>
        <v>0.16280545947083813</v>
      </c>
      <c r="L417" s="74"/>
      <c r="M417" s="74"/>
      <c r="N417" s="74"/>
      <c r="O417" s="74"/>
      <c r="P417" s="74"/>
      <c r="Q417" s="74"/>
      <c r="R417" s="74"/>
      <c r="S417" s="74"/>
      <c r="T417" s="74"/>
      <c r="U417" s="74"/>
      <c r="V417" s="74"/>
      <c r="W417" s="74"/>
      <c r="X417" s="74"/>
      <c r="Y417" s="74"/>
      <c r="Z417" s="74"/>
    </row>
    <row r="418" spans="1:26" x14ac:dyDescent="0.3">
      <c r="A418" s="66">
        <f t="shared" si="44"/>
        <v>2031.0999999999626</v>
      </c>
      <c r="B418" s="67">
        <f>LOOKUP(A418+0.01,AmountsB!$A$4:$A$103,AmountsB!$B$4:$B$103)*0.1*$A$2</f>
        <v>0</v>
      </c>
      <c r="C418" s="68">
        <f t="shared" si="43"/>
        <v>625969.29735898925</v>
      </c>
      <c r="D418" s="67">
        <f t="array" ref="D418">SUM($B$7:$B413*$F$1009*EXP(-$F$1009*($A418-$A$7:$A413)))*$F$1010</f>
        <v>29445553.065635361</v>
      </c>
      <c r="E418" s="67">
        <f t="shared" si="41"/>
        <v>56.135347464416455</v>
      </c>
      <c r="F418" s="70">
        <f t="shared" si="45"/>
        <v>3.4085382980393675</v>
      </c>
      <c r="G418" s="67">
        <f>E418/'Lookup Tables'!$C$48</f>
        <v>112.27069492883291</v>
      </c>
      <c r="H418" s="70">
        <f t="shared" si="42"/>
        <v>4.7134482077283928E-2</v>
      </c>
      <c r="I418" s="71">
        <f t="shared" si="46"/>
        <v>0.16166980069751938</v>
      </c>
      <c r="L418" s="74"/>
      <c r="M418" s="74"/>
      <c r="N418" s="74"/>
      <c r="O418" s="74"/>
      <c r="P418" s="74"/>
      <c r="Q418" s="74"/>
      <c r="R418" s="74"/>
      <c r="S418" s="74"/>
      <c r="T418" s="74"/>
      <c r="U418" s="74"/>
      <c r="V418" s="74"/>
      <c r="W418" s="74"/>
      <c r="X418" s="74"/>
      <c r="Y418" s="74"/>
      <c r="Z418" s="74"/>
    </row>
    <row r="419" spans="1:26" x14ac:dyDescent="0.3">
      <c r="A419" s="66">
        <f t="shared" si="44"/>
        <v>2031.1999999999625</v>
      </c>
      <c r="B419" s="67">
        <f>LOOKUP(A419+0.01,AmountsB!$A$4:$A$103,AmountsB!$B$4:$B$103)*0.1*$A$2</f>
        <v>0</v>
      </c>
      <c r="C419" s="68">
        <f t="shared" si="43"/>
        <v>625969.29735898925</v>
      </c>
      <c r="D419" s="67">
        <f t="array" ref="D419">SUM($B$7:$B414*$F$1009*EXP(-$F$1009*($A419-$A$7:$A414)))*$F$1010</f>
        <v>29240153.929863755</v>
      </c>
      <c r="E419" s="67">
        <f t="shared" si="41"/>
        <v>55.743772144716097</v>
      </c>
      <c r="F419" s="70">
        <f t="shared" si="45"/>
        <v>3.3847618446271617</v>
      </c>
      <c r="G419" s="67">
        <f>E419/'Lookup Tables'!$C$48</f>
        <v>111.48754428943219</v>
      </c>
      <c r="H419" s="70">
        <f t="shared" si="42"/>
        <v>4.6805692807741717E-2</v>
      </c>
      <c r="I419" s="71">
        <f t="shared" si="46"/>
        <v>0.16054206377678237</v>
      </c>
      <c r="L419" s="74"/>
      <c r="M419" s="74"/>
      <c r="N419" s="74"/>
      <c r="O419" s="74"/>
      <c r="P419" s="74"/>
      <c r="Q419" s="74"/>
      <c r="R419" s="74"/>
      <c r="S419" s="74"/>
      <c r="T419" s="74"/>
      <c r="U419" s="74"/>
      <c r="V419" s="74"/>
      <c r="W419" s="74"/>
      <c r="X419" s="74"/>
      <c r="Y419" s="74"/>
      <c r="Z419" s="74"/>
    </row>
    <row r="420" spans="1:26" x14ac:dyDescent="0.3">
      <c r="A420" s="66">
        <f t="shared" si="44"/>
        <v>2031.2999999999624</v>
      </c>
      <c r="B420" s="67">
        <f>LOOKUP(A420+0.01,AmountsB!$A$4:$A$103,AmountsB!$B$4:$B$103)*0.1*$A$2</f>
        <v>0</v>
      </c>
      <c r="C420" s="68">
        <f t="shared" si="43"/>
        <v>625969.29735898925</v>
      </c>
      <c r="D420" s="67">
        <f t="array" ref="D420">SUM($B$7:$B415*$F$1009*EXP(-$F$1009*($A420-$A$7:$A415)))*$F$1010</f>
        <v>29036187.567485187</v>
      </c>
      <c r="E420" s="67">
        <f t="shared" si="41"/>
        <v>55.354928281004256</v>
      </c>
      <c r="F420" s="70">
        <f t="shared" si="45"/>
        <v>3.3611512452225782</v>
      </c>
      <c r="G420" s="67">
        <f>E420/'Lookup Tables'!$C$48</f>
        <v>110.70985656200851</v>
      </c>
      <c r="H420" s="70">
        <f t="shared" si="42"/>
        <v>4.6479197026512153E-2</v>
      </c>
      <c r="I420" s="71">
        <f t="shared" si="46"/>
        <v>0.15942219344929223</v>
      </c>
      <c r="L420" s="74"/>
      <c r="M420" s="74"/>
      <c r="N420" s="74"/>
      <c r="O420" s="74"/>
      <c r="P420" s="74"/>
      <c r="Q420" s="74"/>
      <c r="R420" s="74"/>
      <c r="S420" s="74"/>
      <c r="T420" s="74"/>
      <c r="U420" s="74"/>
      <c r="V420" s="74"/>
      <c r="W420" s="74"/>
      <c r="X420" s="74"/>
      <c r="Y420" s="74"/>
      <c r="Z420" s="74"/>
    </row>
    <row r="421" spans="1:26" x14ac:dyDescent="0.3">
      <c r="A421" s="66">
        <f t="shared" si="44"/>
        <v>2031.3999999999623</v>
      </c>
      <c r="B421" s="67">
        <f>LOOKUP(A421+0.01,AmountsB!$A$4:$A$103,AmountsB!$B$4:$B$103)*0.1*$A$2</f>
        <v>0</v>
      </c>
      <c r="C421" s="68">
        <f t="shared" si="43"/>
        <v>625969.29735898925</v>
      </c>
      <c r="D421" s="67">
        <f t="array" ref="D421">SUM($B$7:$B416*$F$1009*EXP(-$F$1009*($A421-$A$7:$A416)))*$F$1010</f>
        <v>28833643.984107077</v>
      </c>
      <c r="E421" s="67">
        <f t="shared" si="41"/>
        <v>54.968796819853758</v>
      </c>
      <c r="F421" s="70">
        <f t="shared" si="45"/>
        <v>3.3377053429015198</v>
      </c>
      <c r="G421" s="67">
        <f>E421/'Lookup Tables'!$C$48</f>
        <v>109.93759363970752</v>
      </c>
      <c r="H421" s="70">
        <f t="shared" si="42"/>
        <v>4.6154978735236586E-2</v>
      </c>
      <c r="I421" s="71">
        <f t="shared" si="46"/>
        <v>0.15831013484117884</v>
      </c>
      <c r="L421" s="74"/>
      <c r="M421" s="74"/>
      <c r="N421" s="74"/>
      <c r="O421" s="74"/>
      <c r="P421" s="74"/>
      <c r="Q421" s="74"/>
      <c r="R421" s="74"/>
      <c r="S421" s="74"/>
      <c r="T421" s="74"/>
      <c r="U421" s="74"/>
      <c r="V421" s="74"/>
      <c r="W421" s="74"/>
      <c r="X421" s="74"/>
      <c r="Y421" s="74"/>
      <c r="Z421" s="74"/>
    </row>
    <row r="422" spans="1:26" x14ac:dyDescent="0.3">
      <c r="A422" s="66">
        <f t="shared" si="44"/>
        <v>2031.4999999999623</v>
      </c>
      <c r="B422" s="67">
        <f>LOOKUP(A422+0.01,AmountsB!$A$4:$A$103,AmountsB!$B$4:$B$103)*0.1*$A$2</f>
        <v>0</v>
      </c>
      <c r="C422" s="68">
        <f t="shared" si="43"/>
        <v>625969.29735898925</v>
      </c>
      <c r="D422" s="67">
        <f t="array" ref="D422">SUM($B$7:$B417*$F$1009*EXP(-$F$1009*($A422-$A$7:$A417)))*$F$1010</f>
        <v>28632513.255053338</v>
      </c>
      <c r="E422" s="67">
        <f t="shared" si="41"/>
        <v>54.585358840745805</v>
      </c>
      <c r="F422" s="70">
        <f t="shared" si="45"/>
        <v>3.3144229888100853</v>
      </c>
      <c r="G422" s="67">
        <f>E422/'Lookup Tables'!$C$48</f>
        <v>109.17071768149161</v>
      </c>
      <c r="H422" s="70">
        <f t="shared" si="42"/>
        <v>4.5833022047153907E-2</v>
      </c>
      <c r="I422" s="71">
        <f t="shared" si="46"/>
        <v>0.15720583346134792</v>
      </c>
      <c r="L422" s="74"/>
      <c r="M422" s="74"/>
      <c r="N422" s="74"/>
      <c r="O422" s="74"/>
      <c r="P422" s="74"/>
      <c r="Q422" s="74"/>
      <c r="R422" s="74"/>
      <c r="S422" s="74"/>
      <c r="T422" s="74"/>
      <c r="U422" s="74"/>
      <c r="V422" s="74"/>
      <c r="W422" s="74"/>
      <c r="X422" s="74"/>
      <c r="Y422" s="74"/>
      <c r="Z422" s="74"/>
    </row>
    <row r="423" spans="1:26" x14ac:dyDescent="0.3">
      <c r="A423" s="66">
        <f t="shared" si="44"/>
        <v>2031.5999999999622</v>
      </c>
      <c r="B423" s="67">
        <f>LOOKUP(A423+0.01,AmountsB!$A$4:$A$103,AmountsB!$B$4:$B$103)*0.1*$A$2</f>
        <v>0</v>
      </c>
      <c r="C423" s="68">
        <f t="shared" si="43"/>
        <v>625969.29735898925</v>
      </c>
      <c r="D423" s="67">
        <f t="array" ref="D423">SUM($B$7:$B418*$F$1009*EXP(-$F$1009*($A423-$A$7:$A418)))*$F$1010</f>
        <v>28432785.524878003</v>
      </c>
      <c r="E423" s="67">
        <f t="shared" si="41"/>
        <v>54.20459555514271</v>
      </c>
      <c r="F423" s="70">
        <f t="shared" si="45"/>
        <v>3.2913030421082654</v>
      </c>
      <c r="G423" s="67">
        <f>E423/'Lookup Tables'!$C$48</f>
        <v>108.40919111028542</v>
      </c>
      <c r="H423" s="70">
        <f t="shared" si="42"/>
        <v>4.5513311186321993E-2</v>
      </c>
      <c r="I423" s="71">
        <f t="shared" si="46"/>
        <v>0.15610923519881098</v>
      </c>
      <c r="L423" s="74"/>
      <c r="M423" s="74"/>
      <c r="N423" s="74"/>
      <c r="O423" s="74"/>
      <c r="P423" s="74"/>
      <c r="Q423" s="74"/>
      <c r="R423" s="74"/>
      <c r="S423" s="74"/>
      <c r="T423" s="74"/>
      <c r="U423" s="74"/>
      <c r="V423" s="74"/>
      <c r="W423" s="74"/>
      <c r="X423" s="74"/>
      <c r="Y423" s="74"/>
      <c r="Z423" s="74"/>
    </row>
    <row r="424" spans="1:26" x14ac:dyDescent="0.3">
      <c r="A424" s="66">
        <f t="shared" si="44"/>
        <v>2031.6999999999621</v>
      </c>
      <c r="B424" s="67">
        <f>LOOKUP(A424+0.01,AmountsB!$A$4:$A$103,AmountsB!$B$4:$B$103)*0.1*$A$2</f>
        <v>0</v>
      </c>
      <c r="C424" s="68">
        <f t="shared" si="43"/>
        <v>625969.29735898925</v>
      </c>
      <c r="D424" s="67">
        <f t="array" ref="D424">SUM($B$7:$B419*$F$1009*EXP(-$F$1009*($A424-$A$7:$A419)))*$F$1010</f>
        <v>28234451.006882302</v>
      </c>
      <c r="E424" s="67">
        <f t="shared" si="41"/>
        <v>53.826488305567239</v>
      </c>
      <c r="F424" s="70">
        <f t="shared" si="45"/>
        <v>3.2683443699140429</v>
      </c>
      <c r="G424" s="67">
        <f>E424/'Lookup Tables'!$C$48</f>
        <v>107.65297661113448</v>
      </c>
      <c r="H424" s="70">
        <f t="shared" si="42"/>
        <v>4.5195830486844668E-2</v>
      </c>
      <c r="I424" s="71">
        <f t="shared" si="46"/>
        <v>0.15502028632003365</v>
      </c>
      <c r="L424" s="74"/>
      <c r="M424" s="74"/>
      <c r="N424" s="74"/>
      <c r="O424" s="74"/>
      <c r="P424" s="74"/>
      <c r="Q424" s="74"/>
      <c r="R424" s="74"/>
      <c r="S424" s="74"/>
      <c r="T424" s="74"/>
      <c r="U424" s="74"/>
      <c r="V424" s="74"/>
      <c r="W424" s="74"/>
      <c r="X424" s="74"/>
      <c r="Y424" s="74"/>
      <c r="Z424" s="74"/>
    </row>
    <row r="425" spans="1:26" x14ac:dyDescent="0.3">
      <c r="A425" s="66">
        <f t="shared" si="44"/>
        <v>2031.799999999962</v>
      </c>
      <c r="B425" s="67">
        <f>LOOKUP(A425+0.01,AmountsB!$A$4:$A$103,AmountsB!$B$4:$B$103)*0.1*$A$2</f>
        <v>0</v>
      </c>
      <c r="C425" s="68">
        <f t="shared" si="43"/>
        <v>625969.29735898925</v>
      </c>
      <c r="D425" s="67">
        <f t="array" ref="D425">SUM($B$7:$B420*$F$1009*EXP(-$F$1009*($A425-$A$7:$A420)))*$F$1010</f>
        <v>28037499.9826352</v>
      </c>
      <c r="E425" s="67">
        <f t="shared" si="41"/>
        <v>53.451018564688546</v>
      </c>
      <c r="F425" s="70">
        <f t="shared" si="45"/>
        <v>3.2455458472478886</v>
      </c>
      <c r="G425" s="67">
        <f>E425/'Lookup Tables'!$C$48</f>
        <v>106.90203712937709</v>
      </c>
      <c r="H425" s="70">
        <f t="shared" si="42"/>
        <v>4.4880564392104139E-2</v>
      </c>
      <c r="I425" s="71">
        <f t="shared" si="46"/>
        <v>0.15393893346630302</v>
      </c>
      <c r="L425" s="74"/>
      <c r="M425" s="74"/>
      <c r="N425" s="74"/>
      <c r="O425" s="74"/>
      <c r="P425" s="74"/>
      <c r="Q425" s="74"/>
      <c r="R425" s="74"/>
      <c r="S425" s="74"/>
      <c r="T425" s="74"/>
      <c r="U425" s="74"/>
      <c r="V425" s="74"/>
      <c r="W425" s="74"/>
      <c r="X425" s="74"/>
      <c r="Y425" s="74"/>
      <c r="Z425" s="74"/>
    </row>
    <row r="426" spans="1:26" x14ac:dyDescent="0.3">
      <c r="A426" s="66">
        <f t="shared" si="44"/>
        <v>2031.8999999999619</v>
      </c>
      <c r="B426" s="67">
        <f>LOOKUP(A426+0.01,AmountsB!$A$4:$A$103,AmountsB!$B$4:$B$103)*0.1*$A$2</f>
        <v>0</v>
      </c>
      <c r="C426" s="68">
        <f t="shared" si="43"/>
        <v>625969.29735898925</v>
      </c>
      <c r="D426" s="67">
        <f t="array" ref="D426">SUM($B$7:$B421*$F$1009*EXP(-$F$1009*($A426-$A$7:$A421)))*$F$1010</f>
        <v>27841922.801497083</v>
      </c>
      <c r="E426" s="67">
        <f t="shared" si="41"/>
        <v>53.078167934414182</v>
      </c>
      <c r="F426" s="70">
        <f t="shared" si="45"/>
        <v>3.2229063569776288</v>
      </c>
      <c r="G426" s="67">
        <f>E426/'Lookup Tables'!$C$48</f>
        <v>106.15633586882836</v>
      </c>
      <c r="H426" s="70">
        <f t="shared" si="42"/>
        <v>4.4567497453998677E-2</v>
      </c>
      <c r="I426" s="71">
        <f t="shared" si="46"/>
        <v>0.15286512365111285</v>
      </c>
      <c r="L426" s="74"/>
      <c r="M426" s="74"/>
      <c r="N426" s="74"/>
      <c r="O426" s="74"/>
      <c r="P426" s="74"/>
      <c r="Q426" s="74"/>
      <c r="R426" s="74"/>
      <c r="S426" s="74"/>
      <c r="T426" s="74"/>
      <c r="U426" s="74"/>
      <c r="V426" s="74"/>
      <c r="W426" s="74"/>
      <c r="X426" s="74"/>
      <c r="Y426" s="74"/>
      <c r="Z426" s="74"/>
    </row>
    <row r="427" spans="1:26" x14ac:dyDescent="0.3">
      <c r="A427" s="66">
        <f t="shared" si="44"/>
        <v>2031.9999999999618</v>
      </c>
      <c r="B427" s="67">
        <f>LOOKUP(A427+0.01,AmountsB!$A$4:$A$103,AmountsB!$B$4:$B$103)*0.1*$A$2</f>
        <v>0</v>
      </c>
      <c r="C427" s="68">
        <f t="shared" si="43"/>
        <v>625969.29735898925</v>
      </c>
      <c r="D427" s="67">
        <f t="array" ref="D427">SUM($B$7:$B422*$F$1009*EXP(-$F$1009*($A427-$A$7:$A422)))*$F$1010</f>
        <v>27647709.88014695</v>
      </c>
      <c r="E427" s="67">
        <f t="shared" si="41"/>
        <v>52.707918144988675</v>
      </c>
      <c r="F427" s="70">
        <f t="shared" si="45"/>
        <v>3.2004247897637121</v>
      </c>
      <c r="G427" s="67">
        <f>E427/'Lookup Tables'!$C$48</f>
        <v>105.41583628997735</v>
      </c>
      <c r="H427" s="70">
        <f t="shared" si="42"/>
        <v>4.4256614332185688E-2</v>
      </c>
      <c r="I427" s="71">
        <f t="shared" si="46"/>
        <v>0.15179880425756739</v>
      </c>
      <c r="L427" s="74"/>
      <c r="M427" s="74"/>
      <c r="N427" s="74"/>
      <c r="O427" s="74"/>
      <c r="P427" s="74"/>
      <c r="Q427" s="74"/>
      <c r="R427" s="74"/>
      <c r="S427" s="74"/>
      <c r="T427" s="74"/>
      <c r="U427" s="74"/>
      <c r="V427" s="74"/>
      <c r="W427" s="74"/>
      <c r="X427" s="74"/>
      <c r="Y427" s="74"/>
      <c r="Z427" s="74"/>
    </row>
    <row r="428" spans="1:26" x14ac:dyDescent="0.3">
      <c r="A428" s="66">
        <f t="shared" si="44"/>
        <v>2032.0999999999617</v>
      </c>
      <c r="B428" s="67">
        <f>LOOKUP(A428+0.01,AmountsB!$A$4:$A$103,AmountsB!$B$4:$B$103)*0.1*$A$2</f>
        <v>0</v>
      </c>
      <c r="C428" s="68">
        <f t="shared" si="43"/>
        <v>625969.29735898925</v>
      </c>
      <c r="D428" s="67">
        <f t="array" ref="D428">SUM($B$7:$B423*$F$1009*EXP(-$F$1009*($A428-$A$7:$A423)))*$F$1010</f>
        <v>27454851.702112805</v>
      </c>
      <c r="E428" s="67">
        <f t="shared" si="41"/>
        <v>52.340251054098275</v>
      </c>
      <c r="F428" s="70">
        <f t="shared" si="45"/>
        <v>3.1781000440048475</v>
      </c>
      <c r="G428" s="67">
        <f>E428/'Lookup Tables'!$C$48</f>
        <v>104.68050210819655</v>
      </c>
      <c r="H428" s="70">
        <f t="shared" si="42"/>
        <v>4.3947899793329998E-2</v>
      </c>
      <c r="I428" s="71">
        <f t="shared" si="46"/>
        <v>0.15073992303580303</v>
      </c>
      <c r="L428" s="74"/>
      <c r="M428" s="74"/>
      <c r="N428" s="74"/>
      <c r="O428" s="74"/>
      <c r="P428" s="74"/>
      <c r="Q428" s="74"/>
      <c r="R428" s="74"/>
      <c r="S428" s="74"/>
      <c r="T428" s="74"/>
      <c r="U428" s="74"/>
      <c r="V428" s="74"/>
      <c r="W428" s="74"/>
      <c r="X428" s="74"/>
      <c r="Y428" s="74"/>
      <c r="Z428" s="74"/>
    </row>
    <row r="429" spans="1:26" x14ac:dyDescent="0.3">
      <c r="A429" s="66">
        <f t="shared" si="44"/>
        <v>2032.1999999999616</v>
      </c>
      <c r="B429" s="67">
        <f>LOOKUP(A429+0.01,AmountsB!$A$4:$A$103,AmountsB!$B$4:$B$103)*0.1*$A$2</f>
        <v>0</v>
      </c>
      <c r="C429" s="68">
        <f t="shared" si="43"/>
        <v>625969.29735898925</v>
      </c>
      <c r="D429" s="67">
        <f t="array" ref="D429">SUM($B$7:$B424*$F$1009*EXP(-$F$1009*($A429-$A$7:$A424)))*$F$1010</f>
        <v>27263338.817305323</v>
      </c>
      <c r="E429" s="67">
        <f t="shared" si="41"/>
        <v>51.975148645981939</v>
      </c>
      <c r="F429" s="70">
        <f t="shared" si="45"/>
        <v>3.1559310257840236</v>
      </c>
      <c r="G429" s="67">
        <f>E429/'Lookup Tables'!$C$48</f>
        <v>103.95029729196388</v>
      </c>
      <c r="H429" s="70">
        <f t="shared" si="42"/>
        <v>4.3641338710357448E-2</v>
      </c>
      <c r="I429" s="71">
        <f t="shared" si="46"/>
        <v>0.14968842810042798</v>
      </c>
      <c r="L429" s="74"/>
      <c r="M429" s="74"/>
      <c r="N429" s="74"/>
      <c r="O429" s="74"/>
      <c r="P429" s="74"/>
      <c r="Q429" s="74"/>
      <c r="R429" s="74"/>
      <c r="S429" s="74"/>
      <c r="T429" s="74"/>
      <c r="U429" s="74"/>
      <c r="V429" s="74"/>
      <c r="W429" s="74"/>
      <c r="X429" s="74"/>
      <c r="Y429" s="74"/>
      <c r="Z429" s="74"/>
    </row>
    <row r="430" spans="1:26" x14ac:dyDescent="0.3">
      <c r="A430" s="66">
        <f t="shared" si="44"/>
        <v>2032.2999999999615</v>
      </c>
      <c r="B430" s="67">
        <f>LOOKUP(A430+0.01,AmountsB!$A$4:$A$103,AmountsB!$B$4:$B$103)*0.1*$A$2</f>
        <v>0</v>
      </c>
      <c r="C430" s="68">
        <f t="shared" si="43"/>
        <v>625969.29735898925</v>
      </c>
      <c r="D430" s="67">
        <f t="array" ref="D430">SUM($B$7:$B425*$F$1009*EXP(-$F$1009*($A430-$A$7:$A425)))*$F$1010</f>
        <v>27073161.841554843</v>
      </c>
      <c r="E430" s="67">
        <f t="shared" si="41"/>
        <v>51.612593030548652</v>
      </c>
      <c r="F430" s="70">
        <f t="shared" si="45"/>
        <v>3.1339166488149144</v>
      </c>
      <c r="G430" s="67">
        <f>E430/'Lookup Tables'!$C$48</f>
        <v>103.2251860610973</v>
      </c>
      <c r="H430" s="70">
        <f t="shared" si="42"/>
        <v>4.3336916061713623E-2</v>
      </c>
      <c r="I430" s="71">
        <f t="shared" si="46"/>
        <v>0.14864426792798011</v>
      </c>
      <c r="L430" s="74"/>
      <c r="M430" s="74"/>
      <c r="N430" s="74"/>
      <c r="O430" s="74"/>
      <c r="P430" s="74"/>
      <c r="Q430" s="74"/>
      <c r="R430" s="74"/>
      <c r="S430" s="74"/>
      <c r="T430" s="74"/>
      <c r="U430" s="74"/>
      <c r="V430" s="74"/>
      <c r="W430" s="74"/>
      <c r="X430" s="74"/>
      <c r="Y430" s="74"/>
      <c r="Z430" s="74"/>
    </row>
    <row r="431" spans="1:26" x14ac:dyDescent="0.3">
      <c r="A431" s="66">
        <f t="shared" si="44"/>
        <v>2032.3999999999614</v>
      </c>
      <c r="B431" s="67">
        <f>LOOKUP(A431+0.01,AmountsB!$A$4:$A$103,AmountsB!$B$4:$B$103)*0.1*$A$2</f>
        <v>0</v>
      </c>
      <c r="C431" s="68">
        <f t="shared" si="43"/>
        <v>625969.29735898925</v>
      </c>
      <c r="D431" s="67">
        <f t="array" ref="D431">SUM($B$7:$B426*$F$1009*EXP(-$F$1009*($A431-$A$7:$A426)))*$F$1010</f>
        <v>26884311.456151489</v>
      </c>
      <c r="E431" s="67">
        <f t="shared" si="41"/>
        <v>51.252566442500672</v>
      </c>
      <c r="F431" s="70">
        <f t="shared" si="45"/>
        <v>3.1120558343886406</v>
      </c>
      <c r="G431" s="67">
        <f>E431/'Lookup Tables'!$C$48</f>
        <v>102.50513288500134</v>
      </c>
      <c r="H431" s="70">
        <f t="shared" si="42"/>
        <v>4.3034616930627816E-2</v>
      </c>
      <c r="I431" s="71">
        <f t="shared" si="46"/>
        <v>0.14760739135440196</v>
      </c>
      <c r="L431" s="74"/>
      <c r="M431" s="74"/>
      <c r="N431" s="74"/>
      <c r="O431" s="74"/>
      <c r="P431" s="74"/>
      <c r="Q431" s="74"/>
      <c r="R431" s="74"/>
      <c r="S431" s="74"/>
      <c r="T431" s="74"/>
      <c r="U431" s="74"/>
      <c r="V431" s="74"/>
      <c r="W431" s="74"/>
      <c r="X431" s="74"/>
      <c r="Y431" s="74"/>
      <c r="Z431" s="74"/>
    </row>
    <row r="432" spans="1:26" x14ac:dyDescent="0.3">
      <c r="A432" s="66">
        <f t="shared" si="44"/>
        <v>2032.4999999999613</v>
      </c>
      <c r="B432" s="67">
        <f>LOOKUP(A432+0.01,AmountsB!$A$4:$A$103,AmountsB!$B$4:$B$103)*0.1*$A$2</f>
        <v>0</v>
      </c>
      <c r="C432" s="68">
        <f t="shared" si="43"/>
        <v>625969.29735898925</v>
      </c>
      <c r="D432" s="67">
        <f t="array" ref="D432">SUM($B$7:$B427*$F$1009*EXP(-$F$1009*($A432-$A$7:$A427)))*$F$1010</f>
        <v>26696778.407388598</v>
      </c>
      <c r="E432" s="67">
        <f t="shared" si="41"/>
        <v>50.895051240463189</v>
      </c>
      <c r="F432" s="70">
        <f t="shared" si="45"/>
        <v>3.0903475113209247</v>
      </c>
      <c r="G432" s="67">
        <f>E432/'Lookup Tables'!$C$48</f>
        <v>101.79010248092638</v>
      </c>
      <c r="H432" s="70">
        <f t="shared" si="42"/>
        <v>4.2734426504382139E-2</v>
      </c>
      <c r="I432" s="71">
        <f t="shared" si="46"/>
        <v>0.146577747572534</v>
      </c>
      <c r="L432" s="74"/>
      <c r="M432" s="74"/>
      <c r="N432" s="74"/>
      <c r="O432" s="74"/>
      <c r="P432" s="74"/>
      <c r="Q432" s="74"/>
      <c r="R432" s="74"/>
      <c r="S432" s="74"/>
      <c r="T432" s="74"/>
      <c r="U432" s="74"/>
      <c r="V432" s="74"/>
      <c r="W432" s="74"/>
      <c r="X432" s="74"/>
      <c r="Y432" s="74"/>
      <c r="Z432" s="74"/>
    </row>
    <row r="433" spans="1:26" x14ac:dyDescent="0.3">
      <c r="A433" s="66">
        <f t="shared" si="44"/>
        <v>2032.5999999999613</v>
      </c>
      <c r="B433" s="67">
        <f>LOOKUP(A433+0.01,AmountsB!$A$4:$A$103,AmountsB!$B$4:$B$103)*0.1*$A$2</f>
        <v>0</v>
      </c>
      <c r="C433" s="68">
        <f t="shared" si="43"/>
        <v>625969.29735898925</v>
      </c>
      <c r="D433" s="67">
        <f t="array" ref="D433">SUM($B$7:$B428*$F$1009*EXP(-$F$1009*($A433-$A$7:$A428)))*$F$1010</f>
        <v>26510553.506109245</v>
      </c>
      <c r="E433" s="67">
        <f t="shared" si="41"/>
        <v>50.540029906119727</v>
      </c>
      <c r="F433" s="70">
        <f t="shared" si="45"/>
        <v>3.0687906158995899</v>
      </c>
      <c r="G433" s="67">
        <f>E433/'Lookup Tables'!$C$48</f>
        <v>101.08005981223945</v>
      </c>
      <c r="H433" s="70">
        <f t="shared" si="42"/>
        <v>4.2436330073585611E-2</v>
      </c>
      <c r="I433" s="71">
        <f t="shared" si="46"/>
        <v>0.14555528612962482</v>
      </c>
      <c r="L433" s="74"/>
      <c r="M433" s="74"/>
      <c r="N433" s="74"/>
      <c r="O433" s="74"/>
      <c r="P433" s="74"/>
      <c r="Q433" s="74"/>
      <c r="R433" s="74"/>
      <c r="S433" s="74"/>
      <c r="T433" s="74"/>
      <c r="U433" s="74"/>
      <c r="V433" s="74"/>
      <c r="W433" s="74"/>
      <c r="X433" s="74"/>
      <c r="Y433" s="74"/>
      <c r="Z433" s="74"/>
    </row>
    <row r="434" spans="1:26" x14ac:dyDescent="0.3">
      <c r="A434" s="66">
        <f t="shared" si="44"/>
        <v>2032.6999999999612</v>
      </c>
      <c r="B434" s="67">
        <f>LOOKUP(A434+0.01,AmountsB!$A$4:$A$103,AmountsB!$B$4:$B$103)*0.1*$A$2</f>
        <v>0</v>
      </c>
      <c r="C434" s="68">
        <f t="shared" si="43"/>
        <v>625969.29735898925</v>
      </c>
      <c r="D434" s="67">
        <f t="array" ref="D434">SUM($B$7:$B429*$F$1009*EXP(-$F$1009*($A434-$A$7:$A429)))*$F$1010</f>
        <v>26325627.627256032</v>
      </c>
      <c r="E434" s="67">
        <f t="shared" si="41"/>
        <v>50.187485043353917</v>
      </c>
      <c r="F434" s="70">
        <f t="shared" si="45"/>
        <v>3.0473840918324497</v>
      </c>
      <c r="G434" s="67">
        <f>E434/'Lookup Tables'!$C$48</f>
        <v>100.37497008670783</v>
      </c>
      <c r="H434" s="70">
        <f t="shared" si="42"/>
        <v>4.2140313031453519E-2</v>
      </c>
      <c r="I434" s="71">
        <f t="shared" si="46"/>
        <v>0.14453995692485927</v>
      </c>
      <c r="L434" s="74"/>
      <c r="M434" s="74"/>
      <c r="N434" s="74"/>
      <c r="O434" s="74"/>
      <c r="P434" s="74"/>
      <c r="Q434" s="74"/>
      <c r="R434" s="74"/>
      <c r="S434" s="74"/>
      <c r="T434" s="74"/>
      <c r="U434" s="74"/>
      <c r="V434" s="74"/>
      <c r="W434" s="74"/>
      <c r="X434" s="74"/>
      <c r="Y434" s="74"/>
      <c r="Z434" s="74"/>
    </row>
    <row r="435" spans="1:26" x14ac:dyDescent="0.3">
      <c r="A435" s="66">
        <f t="shared" si="44"/>
        <v>2032.7999999999611</v>
      </c>
      <c r="B435" s="67">
        <f>LOOKUP(A435+0.01,AmountsB!$A$4:$A$103,AmountsB!$B$4:$B$103)*0.1*$A$2</f>
        <v>0</v>
      </c>
      <c r="C435" s="68">
        <f t="shared" si="43"/>
        <v>625969.29735898925</v>
      </c>
      <c r="D435" s="67">
        <f t="array" ref="D435">SUM($B$7:$B430*$F$1009*EXP(-$F$1009*($A435-$A$7:$A430)))*$F$1010</f>
        <v>26141991.70942387</v>
      </c>
      <c r="E435" s="67">
        <f t="shared" si="41"/>
        <v>49.837399377396906</v>
      </c>
      <c r="F435" s="70">
        <f t="shared" si="45"/>
        <v>3.02612689019554</v>
      </c>
      <c r="G435" s="67">
        <f>E435/'Lookup Tables'!$C$48</f>
        <v>99.674798754793812</v>
      </c>
      <c r="H435" s="70">
        <f t="shared" si="42"/>
        <v>4.184636087309155E-2</v>
      </c>
      <c r="I435" s="71">
        <f t="shared" si="46"/>
        <v>0.14353171020690311</v>
      </c>
      <c r="L435" s="74"/>
      <c r="M435" s="74"/>
      <c r="N435" s="74"/>
      <c r="O435" s="74"/>
      <c r="P435" s="74"/>
      <c r="Q435" s="74"/>
      <c r="R435" s="74"/>
      <c r="S435" s="74"/>
      <c r="T435" s="74"/>
      <c r="U435" s="74"/>
      <c r="V435" s="74"/>
      <c r="W435" s="74"/>
      <c r="X435" s="74"/>
      <c r="Y435" s="74"/>
      <c r="Z435" s="74"/>
    </row>
    <row r="436" spans="1:26" x14ac:dyDescent="0.3">
      <c r="A436" s="66">
        <f t="shared" si="44"/>
        <v>2032.899999999961</v>
      </c>
      <c r="B436" s="67">
        <f>LOOKUP(A436+0.01,AmountsB!$A$4:$A$103,AmountsB!$B$4:$B$103)*0.1*$A$2</f>
        <v>0</v>
      </c>
      <c r="C436" s="68">
        <f t="shared" si="43"/>
        <v>625969.29735898925</v>
      </c>
      <c r="D436" s="67">
        <f t="array" ref="D436">SUM($B$7:$B431*$F$1009*EXP(-$F$1009*($A436-$A$7:$A431)))*$F$1010</f>
        <v>25959636.754416056</v>
      </c>
      <c r="E436" s="67">
        <f t="shared" si="41"/>
        <v>49.489755753981036</v>
      </c>
      <c r="F436" s="70">
        <f t="shared" si="45"/>
        <v>3.0050179693817287</v>
      </c>
      <c r="G436" s="67">
        <f>E436/'Lookup Tables'!$C$48</f>
        <v>98.979511507962073</v>
      </c>
      <c r="H436" s="70">
        <f t="shared" si="42"/>
        <v>4.1554459194785121E-2</v>
      </c>
      <c r="I436" s="71">
        <f t="shared" si="46"/>
        <v>0.14253049657146538</v>
      </c>
      <c r="L436" s="74"/>
      <c r="M436" s="74"/>
      <c r="N436" s="74"/>
      <c r="O436" s="74"/>
      <c r="P436" s="74"/>
      <c r="Q436" s="74"/>
      <c r="R436" s="74"/>
      <c r="S436" s="74"/>
      <c r="T436" s="74"/>
      <c r="U436" s="74"/>
      <c r="V436" s="74"/>
      <c r="W436" s="74"/>
      <c r="X436" s="74"/>
      <c r="Y436" s="74"/>
      <c r="Z436" s="74"/>
    </row>
    <row r="437" spans="1:26" x14ac:dyDescent="0.3">
      <c r="A437" s="66">
        <f t="shared" si="44"/>
        <v>2032.9999999999609</v>
      </c>
      <c r="B437" s="67">
        <f>LOOKUP(A437+0.01,AmountsB!$A$4:$A$103,AmountsB!$B$4:$B$103)*0.1*$A$2</f>
        <v>0</v>
      </c>
      <c r="C437" s="68">
        <f t="shared" si="43"/>
        <v>625969.29735898925</v>
      </c>
      <c r="D437" s="67">
        <f t="array" ref="D437">SUM($B$7:$B432*$F$1009*EXP(-$F$1009*($A437-$A$7:$A432)))*$F$1010</f>
        <v>25778553.826803301</v>
      </c>
      <c r="E437" s="67">
        <f t="shared" si="41"/>
        <v>49.144537138499196</v>
      </c>
      <c r="F437" s="70">
        <f t="shared" si="45"/>
        <v>2.9840562950496712</v>
      </c>
      <c r="G437" s="67">
        <f>E437/'Lookup Tables'!$C$48</f>
        <v>98.289074276998392</v>
      </c>
      <c r="H437" s="70">
        <f t="shared" si="42"/>
        <v>4.1264593693293598E-2</v>
      </c>
      <c r="I437" s="71">
        <f t="shared" si="46"/>
        <v>0.14153626695887767</v>
      </c>
      <c r="L437" s="74"/>
      <c r="M437" s="74"/>
      <c r="N437" s="74"/>
      <c r="O437" s="74"/>
      <c r="P437" s="74"/>
      <c r="Q437" s="74"/>
      <c r="R437" s="74"/>
      <c r="S437" s="74"/>
      <c r="T437" s="74"/>
      <c r="U437" s="74"/>
      <c r="V437" s="74"/>
      <c r="W437" s="74"/>
      <c r="X437" s="74"/>
      <c r="Y437" s="74"/>
      <c r="Z437" s="74"/>
    </row>
    <row r="438" spans="1:26" x14ac:dyDescent="0.3">
      <c r="A438" s="66">
        <f t="shared" si="44"/>
        <v>2033.0999999999608</v>
      </c>
      <c r="B438" s="67">
        <f>LOOKUP(A438+0.01,AmountsB!$A$4:$A$103,AmountsB!$B$4:$B$103)*0.1*$A$2</f>
        <v>0</v>
      </c>
      <c r="C438" s="68">
        <f t="shared" si="43"/>
        <v>625969.29735898925</v>
      </c>
      <c r="D438" s="67">
        <f t="array" ref="D438">SUM($B$7:$B433*$F$1009*EXP(-$F$1009*($A438-$A$7:$A433)))*$F$1010</f>
        <v>25598734.053485937</v>
      </c>
      <c r="E438" s="67">
        <f t="shared" si="41"/>
        <v>48.801726615170175</v>
      </c>
      <c r="F438" s="70">
        <f t="shared" si="45"/>
        <v>2.9632408400731327</v>
      </c>
      <c r="G438" s="67">
        <f>E438/'Lookup Tables'!$C$48</f>
        <v>97.603453230340349</v>
      </c>
      <c r="H438" s="70">
        <f t="shared" si="42"/>
        <v>4.0976750165149442E-2</v>
      </c>
      <c r="I438" s="71">
        <f t="shared" si="46"/>
        <v>0.14054897265169011</v>
      </c>
      <c r="L438" s="74"/>
      <c r="M438" s="74"/>
      <c r="N438" s="74"/>
      <c r="O438" s="74"/>
      <c r="P438" s="74"/>
      <c r="Q438" s="74"/>
      <c r="R438" s="74"/>
      <c r="S438" s="74"/>
      <c r="T438" s="74"/>
      <c r="U438" s="74"/>
      <c r="V438" s="74"/>
      <c r="W438" s="74"/>
      <c r="X438" s="74"/>
      <c r="Y438" s="74"/>
      <c r="Z438" s="74"/>
    </row>
    <row r="439" spans="1:26" x14ac:dyDescent="0.3">
      <c r="A439" s="66">
        <f t="shared" si="44"/>
        <v>2033.1999999999607</v>
      </c>
      <c r="B439" s="67">
        <f>LOOKUP(A439+0.01,AmountsB!$A$4:$A$103,AmountsB!$B$4:$B$103)*0.1*$A$2</f>
        <v>0</v>
      </c>
      <c r="C439" s="68">
        <f t="shared" si="43"/>
        <v>625969.29735898925</v>
      </c>
      <c r="D439" s="67">
        <f t="array" ref="D439">SUM($B$7:$B434*$F$1009*EXP(-$F$1009*($A439-$A$7:$A434)))*$F$1010</f>
        <v>25420168.623259068</v>
      </c>
      <c r="E439" s="67">
        <f t="shared" si="41"/>
        <v>48.461307386209704</v>
      </c>
      <c r="F439" s="70">
        <f t="shared" si="45"/>
        <v>2.9425705844906531</v>
      </c>
      <c r="G439" s="67">
        <f>E439/'Lookup Tables'!$C$48</f>
        <v>96.922614772419408</v>
      </c>
      <c r="H439" s="70">
        <f t="shared" si="42"/>
        <v>4.0690914505962135E-2</v>
      </c>
      <c r="I439" s="71">
        <f t="shared" si="46"/>
        <v>0.13956856527228395</v>
      </c>
      <c r="L439" s="74"/>
      <c r="M439" s="74"/>
      <c r="N439" s="74"/>
      <c r="O439" s="74"/>
      <c r="P439" s="74"/>
      <c r="Q439" s="74"/>
      <c r="R439" s="74"/>
      <c r="S439" s="74"/>
      <c r="T439" s="74"/>
      <c r="U439" s="74"/>
      <c r="V439" s="74"/>
      <c r="W439" s="74"/>
      <c r="X439" s="74"/>
      <c r="Y439" s="74"/>
      <c r="Z439" s="74"/>
    </row>
    <row r="440" spans="1:26" x14ac:dyDescent="0.3">
      <c r="A440" s="66">
        <f t="shared" si="44"/>
        <v>2033.2999999999606</v>
      </c>
      <c r="B440" s="67">
        <f>LOOKUP(A440+0.01,AmountsB!$A$4:$A$103,AmountsB!$B$4:$B$103)*0.1*$A$2</f>
        <v>0</v>
      </c>
      <c r="C440" s="68">
        <f t="shared" si="43"/>
        <v>625969.29735898925</v>
      </c>
      <c r="D440" s="67">
        <f t="array" ref="D440">SUM($B$7:$B435*$F$1009*EXP(-$F$1009*($A440-$A$7:$A435)))*$F$1010</f>
        <v>25242848.786380894</v>
      </c>
      <c r="E440" s="67">
        <f t="shared" si="41"/>
        <v>48.123262771007461</v>
      </c>
      <c r="F440" s="70">
        <f t="shared" si="45"/>
        <v>2.922044515455573</v>
      </c>
      <c r="G440" s="67">
        <f>E440/'Lookup Tables'!$C$48</f>
        <v>96.246525542014922</v>
      </c>
      <c r="H440" s="70">
        <f t="shared" si="42"/>
        <v>4.0407072709727189E-2</v>
      </c>
      <c r="I440" s="71">
        <f t="shared" si="46"/>
        <v>0.13859499678050147</v>
      </c>
      <c r="L440" s="74"/>
      <c r="M440" s="74"/>
      <c r="N440" s="74"/>
      <c r="O440" s="74"/>
      <c r="P440" s="74"/>
      <c r="Q440" s="74"/>
      <c r="R440" s="74"/>
      <c r="S440" s="74"/>
      <c r="T440" s="74"/>
      <c r="U440" s="74"/>
      <c r="V440" s="74"/>
      <c r="W440" s="74"/>
      <c r="X440" s="74"/>
      <c r="Y440" s="74"/>
      <c r="Z440" s="74"/>
    </row>
    <row r="441" spans="1:26" x14ac:dyDescent="0.3">
      <c r="A441" s="66">
        <f t="shared" si="44"/>
        <v>2033.3999999999605</v>
      </c>
      <c r="B441" s="67">
        <f>LOOKUP(A441+0.01,AmountsB!$A$4:$A$103,AmountsB!$B$4:$B$103)*0.1*$A$2</f>
        <v>0</v>
      </c>
      <c r="C441" s="68">
        <f t="shared" si="43"/>
        <v>625969.29735898925</v>
      </c>
      <c r="D441" s="67">
        <f t="array" ref="D441">SUM($B$7:$B436*$F$1009*EXP(-$F$1009*($A441-$A$7:$A436)))*$F$1010</f>
        <v>25066765.854143932</v>
      </c>
      <c r="E441" s="67">
        <f t="shared" si="41"/>
        <v>47.787576205309676</v>
      </c>
      <c r="F441" s="70">
        <f t="shared" si="45"/>
        <v>2.9016616271864031</v>
      </c>
      <c r="G441" s="67">
        <f>E441/'Lookup Tables'!$C$48</f>
        <v>95.575152410619353</v>
      </c>
      <c r="H441" s="70">
        <f t="shared" si="42"/>
        <v>4.0125210868139825E-2</v>
      </c>
      <c r="I441" s="71">
        <f t="shared" si="46"/>
        <v>0.13762821947129186</v>
      </c>
      <c r="L441" s="74"/>
      <c r="M441" s="74"/>
      <c r="N441" s="74"/>
      <c r="O441" s="74"/>
      <c r="P441" s="74"/>
      <c r="Q441" s="74"/>
      <c r="R441" s="74"/>
      <c r="S441" s="74"/>
      <c r="T441" s="74"/>
      <c r="U441" s="74"/>
      <c r="V441" s="74"/>
      <c r="W441" s="74"/>
      <c r="X441" s="74"/>
      <c r="Y441" s="74"/>
      <c r="Z441" s="74"/>
    </row>
    <row r="442" spans="1:26" x14ac:dyDescent="0.3">
      <c r="A442" s="66">
        <f t="shared" si="44"/>
        <v>2033.4999999999604</v>
      </c>
      <c r="B442" s="67">
        <f>LOOKUP(A442+0.01,AmountsB!$A$4:$A$103,AmountsB!$B$4:$B$103)*0.1*$A$2</f>
        <v>0</v>
      </c>
      <c r="C442" s="68">
        <f t="shared" si="43"/>
        <v>625969.29735898925</v>
      </c>
      <c r="D442" s="67">
        <f t="array" ref="D442">SUM($B$7:$B437*$F$1009*EXP(-$F$1009*($A442-$A$7:$A437)))*$F$1010</f>
        <v>24891911.198449276</v>
      </c>
      <c r="E442" s="67">
        <f t="shared" si="41"/>
        <v>47.454231240407459</v>
      </c>
      <c r="F442" s="70">
        <f t="shared" si="45"/>
        <v>2.8814209209175408</v>
      </c>
      <c r="G442" s="67">
        <f>E442/'Lookup Tables'!$C$48</f>
        <v>94.908462480814919</v>
      </c>
      <c r="H442" s="70">
        <f t="shared" si="42"/>
        <v>3.9845315169913388E-2</v>
      </c>
      <c r="I442" s="71">
        <f t="shared" si="46"/>
        <v>0.13666818597237346</v>
      </c>
      <c r="L442" s="74"/>
      <c r="M442" s="74"/>
      <c r="N442" s="74"/>
      <c r="O442" s="74"/>
      <c r="P442" s="74"/>
      <c r="Q442" s="74"/>
      <c r="R442" s="74"/>
      <c r="S442" s="74"/>
      <c r="T442" s="74"/>
      <c r="U442" s="74"/>
      <c r="V442" s="74"/>
      <c r="W442" s="74"/>
      <c r="X442" s="74"/>
      <c r="Y442" s="74"/>
      <c r="Z442" s="74"/>
    </row>
    <row r="443" spans="1:26" x14ac:dyDescent="0.3">
      <c r="A443" s="66">
        <f t="shared" si="44"/>
        <v>2033.5999999999603</v>
      </c>
      <c r="B443" s="67">
        <f>LOOKUP(A443+0.01,AmountsB!$A$4:$A$103,AmountsB!$B$4:$B$103)*0.1*$A$2</f>
        <v>0</v>
      </c>
      <c r="C443" s="68">
        <f t="shared" si="43"/>
        <v>625969.29735898925</v>
      </c>
      <c r="D443" s="67">
        <f t="array" ref="D443">SUM($B$7:$B438*$F$1009*EXP(-$F$1009*($A443-$A$7:$A438)))*$F$1010</f>
        <v>24718276.251383804</v>
      </c>
      <c r="E443" s="67">
        <f t="shared" si="41"/>
        <v>47.123211542330836</v>
      </c>
      <c r="F443" s="70">
        <f t="shared" si="45"/>
        <v>2.8613214048503282</v>
      </c>
      <c r="G443" s="67">
        <f>E443/'Lookup Tables'!$C$48</f>
        <v>94.246423084661672</v>
      </c>
      <c r="H443" s="70">
        <f t="shared" si="42"/>
        <v>3.956737190010267E-2</v>
      </c>
      <c r="I443" s="71">
        <f t="shared" si="46"/>
        <v>0.13571484924191279</v>
      </c>
      <c r="L443" s="74"/>
      <c r="M443" s="74"/>
      <c r="N443" s="74"/>
      <c r="O443" s="74"/>
      <c r="P443" s="74"/>
      <c r="Q443" s="74"/>
      <c r="R443" s="74"/>
      <c r="S443" s="74"/>
      <c r="T443" s="74"/>
      <c r="U443" s="74"/>
      <c r="V443" s="74"/>
      <c r="W443" s="74"/>
      <c r="X443" s="74"/>
      <c r="Y443" s="74"/>
      <c r="Z443" s="74"/>
    </row>
    <row r="444" spans="1:26" x14ac:dyDescent="0.3">
      <c r="A444" s="66">
        <f t="shared" si="44"/>
        <v>2033.6999999999603</v>
      </c>
      <c r="B444" s="67">
        <f>LOOKUP(A444+0.01,AmountsB!$A$4:$A$103,AmountsB!$B$4:$B$103)*0.1*$A$2</f>
        <v>0</v>
      </c>
      <c r="C444" s="68">
        <f t="shared" si="43"/>
        <v>625969.29735898925</v>
      </c>
      <c r="D444" s="67">
        <f t="array" ref="D444">SUM($B$7:$B439*$F$1009*EXP(-$F$1009*($A444-$A$7:$A439)))*$F$1010</f>
        <v>24545852.504800379</v>
      </c>
      <c r="E444" s="67">
        <f t="shared" si="41"/>
        <v>46.794500891048379</v>
      </c>
      <c r="F444" s="70">
        <f t="shared" si="45"/>
        <v>2.8413620941044577</v>
      </c>
      <c r="G444" s="67">
        <f>E444/'Lookup Tables'!$C$48</f>
        <v>93.589001782096759</v>
      </c>
      <c r="H444" s="70">
        <f t="shared" si="42"/>
        <v>3.929136743943186E-2</v>
      </c>
      <c r="I444" s="71">
        <f t="shared" si="46"/>
        <v>0.13476816256621935</v>
      </c>
      <c r="L444" s="74"/>
      <c r="M444" s="74"/>
      <c r="N444" s="74"/>
      <c r="O444" s="74"/>
      <c r="P444" s="74"/>
      <c r="Q444" s="74"/>
      <c r="R444" s="74"/>
      <c r="S444" s="74"/>
      <c r="T444" s="74"/>
      <c r="U444" s="74"/>
      <c r="V444" s="74"/>
      <c r="W444" s="74"/>
      <c r="X444" s="74"/>
      <c r="Y444" s="74"/>
      <c r="Z444" s="74"/>
    </row>
    <row r="445" spans="1:26" x14ac:dyDescent="0.3">
      <c r="A445" s="66">
        <f t="shared" si="44"/>
        <v>2033.7999999999602</v>
      </c>
      <c r="B445" s="67">
        <f>LOOKUP(A445+0.01,AmountsB!$A$4:$A$103,AmountsB!$B$4:$B$103)*0.1*$A$2</f>
        <v>0</v>
      </c>
      <c r="C445" s="68">
        <f t="shared" si="43"/>
        <v>625969.29735898925</v>
      </c>
      <c r="D445" s="67">
        <f t="array" ref="D445">SUM($B$7:$B440*$F$1009*EXP(-$F$1009*($A445-$A$7:$A440)))*$F$1010</f>
        <v>24374631.509900909</v>
      </c>
      <c r="E445" s="67">
        <f t="shared" si="41"/>
        <v>46.468083179672398</v>
      </c>
      <c r="F445" s="70">
        <f t="shared" si="45"/>
        <v>2.8215420106697082</v>
      </c>
      <c r="G445" s="67">
        <f>E445/'Lookup Tables'!$C$48</f>
        <v>92.936166359344796</v>
      </c>
      <c r="H445" s="70">
        <f t="shared" si="42"/>
        <v>3.9017288263627131E-2</v>
      </c>
      <c r="I445" s="71">
        <f t="shared" si="46"/>
        <v>0.13382807955745651</v>
      </c>
      <c r="L445" s="74"/>
      <c r="M445" s="74"/>
      <c r="N445" s="74"/>
      <c r="O445" s="74"/>
      <c r="P445" s="74"/>
      <c r="Q445" s="74"/>
      <c r="R445" s="74"/>
      <c r="S445" s="74"/>
      <c r="T445" s="74"/>
      <c r="U445" s="74"/>
      <c r="V445" s="74"/>
      <c r="W445" s="74"/>
      <c r="X445" s="74"/>
      <c r="Y445" s="74"/>
      <c r="Z445" s="74"/>
    </row>
    <row r="446" spans="1:26" x14ac:dyDescent="0.3">
      <c r="A446" s="66">
        <f t="shared" si="44"/>
        <v>2033.8999999999601</v>
      </c>
      <c r="B446" s="67">
        <f>LOOKUP(A446+0.01,AmountsB!$A$4:$A$103,AmountsB!$B$4:$B$103)*0.1*$A$2</f>
        <v>0</v>
      </c>
      <c r="C446" s="68">
        <f t="shared" si="43"/>
        <v>625969.29735898925</v>
      </c>
      <c r="D446" s="67">
        <f t="array" ref="D446">SUM($B$7:$B441*$F$1009*EXP(-$F$1009*($A446-$A$7:$A441)))*$F$1010</f>
        <v>24204604.876822382</v>
      </c>
      <c r="E446" s="67">
        <f t="shared" si="41"/>
        <v>46.143942413669706</v>
      </c>
      <c r="F446" s="70">
        <f t="shared" si="45"/>
        <v>2.8018601833580243</v>
      </c>
      <c r="G446" s="67">
        <f>E446/'Lookup Tables'!$C$48</f>
        <v>92.287884827339411</v>
      </c>
      <c r="H446" s="70">
        <f t="shared" si="42"/>
        <v>3.8745120942754022E-2</v>
      </c>
      <c r="I446" s="71">
        <f t="shared" si="46"/>
        <v>0.13289455415136872</v>
      </c>
      <c r="L446" s="74"/>
      <c r="M446" s="74"/>
      <c r="N446" s="74"/>
      <c r="O446" s="74"/>
      <c r="P446" s="74"/>
      <c r="Q446" s="74"/>
      <c r="R446" s="74"/>
      <c r="S446" s="74"/>
      <c r="T446" s="74"/>
      <c r="U446" s="74"/>
      <c r="V446" s="74"/>
      <c r="W446" s="74"/>
      <c r="X446" s="74"/>
      <c r="Y446" s="74"/>
      <c r="Z446" s="74"/>
    </row>
    <row r="447" spans="1:26" x14ac:dyDescent="0.3">
      <c r="A447" s="66">
        <f t="shared" si="44"/>
        <v>2033.99999999996</v>
      </c>
      <c r="B447" s="67">
        <f>LOOKUP(A447+0.01,AmountsB!$A$4:$A$103,AmountsB!$B$4:$B$103)*0.1*$A$2</f>
        <v>0</v>
      </c>
      <c r="C447" s="68">
        <f t="shared" si="43"/>
        <v>625969.29735898925</v>
      </c>
      <c r="D447" s="67">
        <f t="array" ref="D447">SUM($B$7:$B442*$F$1009*EXP(-$F$1009*($A447-$A$7:$A442)))*$F$1010</f>
        <v>24035764.274225768</v>
      </c>
      <c r="E447" s="67">
        <f t="shared" si="41"/>
        <v>45.822062710077937</v>
      </c>
      <c r="F447" s="70">
        <f t="shared" si="45"/>
        <v>2.7823156477559321</v>
      </c>
      <c r="G447" s="67">
        <f>E447/'Lookup Tables'!$C$48</f>
        <v>91.644125420155873</v>
      </c>
      <c r="H447" s="70">
        <f t="shared" si="42"/>
        <v>3.8474852140559387E-2</v>
      </c>
      <c r="I447" s="71">
        <f t="shared" si="46"/>
        <v>0.13196754060502447</v>
      </c>
      <c r="L447" s="74"/>
      <c r="M447" s="74"/>
      <c r="N447" s="74"/>
      <c r="O447" s="74"/>
      <c r="P447" s="74"/>
      <c r="Q447" s="74"/>
      <c r="R447" s="74"/>
      <c r="S447" s="74"/>
      <c r="T447" s="74"/>
      <c r="U447" s="74"/>
      <c r="V447" s="74"/>
      <c r="W447" s="74"/>
      <c r="X447" s="74"/>
      <c r="Y447" s="74"/>
      <c r="Z447" s="74"/>
    </row>
    <row r="448" spans="1:26" x14ac:dyDescent="0.3">
      <c r="A448" s="66">
        <f t="shared" si="44"/>
        <v>2034.0999999999599</v>
      </c>
      <c r="B448" s="67">
        <f>LOOKUP(A448+0.01,AmountsB!$A$4:$A$103,AmountsB!$B$4:$B$103)*0.1*$A$2</f>
        <v>0</v>
      </c>
      <c r="C448" s="68">
        <f t="shared" si="43"/>
        <v>625969.29735898925</v>
      </c>
      <c r="D448" s="67">
        <f t="array" ref="D448">SUM($B$7:$B443*$F$1009*EXP(-$F$1009*($A448-$A$7:$A443)))*$F$1010</f>
        <v>23868101.428887744</v>
      </c>
      <c r="E448" s="67">
        <f t="shared" si="41"/>
        <v>45.502428296727189</v>
      </c>
      <c r="F448" s="70">
        <f t="shared" si="45"/>
        <v>2.7629074461772749</v>
      </c>
      <c r="G448" s="67">
        <f>E448/'Lookup Tables'!$C$48</f>
        <v>91.004856593454377</v>
      </c>
      <c r="H448" s="70">
        <f t="shared" si="42"/>
        <v>3.8206468613817809E-2</v>
      </c>
      <c r="I448" s="71">
        <f t="shared" si="46"/>
        <v>0.1310469934945743</v>
      </c>
      <c r="L448" s="74"/>
      <c r="M448" s="74"/>
      <c r="N448" s="74"/>
      <c r="O448" s="74"/>
      <c r="P448" s="74"/>
      <c r="Q448" s="74"/>
      <c r="R448" s="74"/>
      <c r="S448" s="74"/>
      <c r="T448" s="74"/>
      <c r="U448" s="74"/>
      <c r="V448" s="74"/>
      <c r="W448" s="74"/>
      <c r="X448" s="74"/>
      <c r="Y448" s="74"/>
      <c r="Z448" s="74"/>
    </row>
    <row r="449" spans="1:26" x14ac:dyDescent="0.3">
      <c r="A449" s="66">
        <f t="shared" si="44"/>
        <v>2034.1999999999598</v>
      </c>
      <c r="B449" s="67">
        <f>LOOKUP(A449+0.01,AmountsB!$A$4:$A$103,AmountsB!$B$4:$B$103)*0.1*$A$2</f>
        <v>0</v>
      </c>
      <c r="C449" s="68">
        <f t="shared" si="43"/>
        <v>625969.29735898925</v>
      </c>
      <c r="D449" s="67">
        <f t="array" ref="D449">SUM($B$7:$B444*$F$1009*EXP(-$F$1009*($A449-$A$7:$A444)))*$F$1010</f>
        <v>23701608.125295348</v>
      </c>
      <c r="E449" s="67">
        <f t="shared" si="41"/>
        <v>45.185023511467264</v>
      </c>
      <c r="F449" s="70">
        <f t="shared" si="45"/>
        <v>2.7436346276162924</v>
      </c>
      <c r="G449" s="67">
        <f>E449/'Lookup Tables'!$C$48</f>
        <v>90.370047022934529</v>
      </c>
      <c r="H449" s="70">
        <f t="shared" si="42"/>
        <v>3.7939957211682793E-2</v>
      </c>
      <c r="I449" s="71">
        <f t="shared" si="46"/>
        <v>0.13013286771302571</v>
      </c>
      <c r="L449" s="74"/>
      <c r="M449" s="74"/>
      <c r="N449" s="74"/>
      <c r="O449" s="74"/>
      <c r="P449" s="74"/>
      <c r="Q449" s="74"/>
      <c r="R449" s="74"/>
      <c r="S449" s="74"/>
      <c r="T449" s="74"/>
      <c r="U449" s="74"/>
      <c r="V449" s="74"/>
      <c r="W449" s="74"/>
      <c r="X449" s="74"/>
      <c r="Y449" s="74"/>
      <c r="Z449" s="74"/>
    </row>
    <row r="450" spans="1:26" x14ac:dyDescent="0.3">
      <c r="A450" s="66">
        <f t="shared" si="44"/>
        <v>2034.2999999999597</v>
      </c>
      <c r="B450" s="67">
        <f>LOOKUP(A450+0.01,AmountsB!$A$4:$A$103,AmountsB!$B$4:$B$103)*0.1*$A$2</f>
        <v>0</v>
      </c>
      <c r="C450" s="68">
        <f t="shared" si="43"/>
        <v>625969.29735898925</v>
      </c>
      <c r="D450" s="67">
        <f t="array" ref="D450">SUM($B$7:$B445*$F$1009*EXP(-$F$1009*($A450-$A$7:$A445)))*$F$1010</f>
        <v>23536276.205243409</v>
      </c>
      <c r="E450" s="67">
        <f t="shared" si="41"/>
        <v>44.869832801400207</v>
      </c>
      <c r="F450" s="70">
        <f t="shared" si="45"/>
        <v>2.7244962477010204</v>
      </c>
      <c r="G450" s="67">
        <f>E450/'Lookup Tables'!$C$48</f>
        <v>89.739665602800414</v>
      </c>
      <c r="H450" s="70">
        <f t="shared" si="42"/>
        <v>3.767530487504233E-2</v>
      </c>
      <c r="I450" s="71">
        <f t="shared" si="46"/>
        <v>0.12922511846803258</v>
      </c>
      <c r="L450" s="74"/>
      <c r="M450" s="74"/>
      <c r="N450" s="74"/>
      <c r="O450" s="74"/>
      <c r="P450" s="74"/>
      <c r="Q450" s="74"/>
      <c r="R450" s="74"/>
      <c r="S450" s="74"/>
      <c r="T450" s="74"/>
      <c r="U450" s="74"/>
      <c r="V450" s="74"/>
      <c r="W450" s="74"/>
      <c r="X450" s="74"/>
      <c r="Y450" s="74"/>
      <c r="Z450" s="74"/>
    </row>
    <row r="451" spans="1:26" x14ac:dyDescent="0.3">
      <c r="A451" s="66">
        <f t="shared" si="44"/>
        <v>2034.3999999999596</v>
      </c>
      <c r="B451" s="67">
        <f>LOOKUP(A451+0.01,AmountsB!$A$4:$A$103,AmountsB!$B$4:$B$103)*0.1*$A$2</f>
        <v>0</v>
      </c>
      <c r="C451" s="68">
        <f t="shared" si="43"/>
        <v>625969.29735898925</v>
      </c>
      <c r="D451" s="67">
        <f t="array" ref="D451">SUM($B$7:$B446*$F$1009*EXP(-$F$1009*($A451-$A$7:$A446)))*$F$1010</f>
        <v>23372097.567434736</v>
      </c>
      <c r="E451" s="67">
        <f t="shared" si="41"/>
        <v>44.556840722118118</v>
      </c>
      <c r="F451" s="70">
        <f t="shared" si="45"/>
        <v>2.7054913686470123</v>
      </c>
      <c r="G451" s="67">
        <f>E451/'Lookup Tables'!$C$48</f>
        <v>89.113681444236235</v>
      </c>
      <c r="H451" s="70">
        <f t="shared" si="42"/>
        <v>3.7412498635878942E-2</v>
      </c>
      <c r="I451" s="71">
        <f t="shared" si="46"/>
        <v>0.12832370127970019</v>
      </c>
      <c r="L451" s="74"/>
      <c r="M451" s="74"/>
      <c r="N451" s="74"/>
      <c r="O451" s="74"/>
      <c r="P451" s="74"/>
      <c r="Q451" s="74"/>
      <c r="R451" s="74"/>
      <c r="S451" s="74"/>
      <c r="T451" s="74"/>
      <c r="U451" s="74"/>
      <c r="V451" s="74"/>
      <c r="W451" s="74"/>
      <c r="X451" s="74"/>
      <c r="Y451" s="74"/>
      <c r="Z451" s="74"/>
    </row>
    <row r="452" spans="1:26" x14ac:dyDescent="0.3">
      <c r="A452" s="66">
        <f t="shared" si="44"/>
        <v>2034.4999999999595</v>
      </c>
      <c r="B452" s="67">
        <f>LOOKUP(A452+0.01,AmountsB!$A$4:$A$103,AmountsB!$B$4:$B$103)*0.1*$A$2</f>
        <v>0</v>
      </c>
      <c r="C452" s="68">
        <f t="shared" si="43"/>
        <v>625969.29735898925</v>
      </c>
      <c r="D452" s="67">
        <f t="array" ref="D452">SUM($B$7:$B447*$F$1009*EXP(-$F$1009*($A452-$A$7:$A447)))*$F$1010</f>
        <v>23209064.167083252</v>
      </c>
      <c r="E452" s="67">
        <f t="shared" si="41"/>
        <v>44.246031936946515</v>
      </c>
      <c r="F452" s="70">
        <f t="shared" si="45"/>
        <v>2.6866190592113925</v>
      </c>
      <c r="G452" s="67">
        <f>E452/'Lookup Tables'!$C$48</f>
        <v>88.492063873893031</v>
      </c>
      <c r="H452" s="70">
        <f t="shared" si="42"/>
        <v>3.7151525616634339E-2</v>
      </c>
      <c r="I452" s="71">
        <f t="shared" si="46"/>
        <v>0.12742857197840596</v>
      </c>
      <c r="L452" s="74"/>
      <c r="M452" s="74"/>
      <c r="N452" s="74"/>
      <c r="O452" s="74"/>
      <c r="P452" s="74"/>
      <c r="Q452" s="74"/>
      <c r="R452" s="74"/>
      <c r="S452" s="74"/>
      <c r="T452" s="74"/>
      <c r="U452" s="74"/>
      <c r="V452" s="74"/>
      <c r="W452" s="74"/>
      <c r="X452" s="74"/>
      <c r="Y452" s="74"/>
      <c r="Z452" s="74"/>
    </row>
    <row r="453" spans="1:26" x14ac:dyDescent="0.3">
      <c r="A453" s="66">
        <f t="shared" si="44"/>
        <v>2034.5999999999594</v>
      </c>
      <c r="B453" s="67">
        <f>LOOKUP(A453+0.01,AmountsB!$A$4:$A$103,AmountsB!$B$4:$B$103)*0.1*$A$2</f>
        <v>0</v>
      </c>
      <c r="C453" s="68">
        <f t="shared" si="43"/>
        <v>625969.29735898925</v>
      </c>
      <c r="D453" s="67">
        <f t="array" ref="D453">SUM($B$7:$B448*$F$1009*EXP(-$F$1009*($A453-$A$7:$A448)))*$F$1010</f>
        <v>23047168.015519693</v>
      </c>
      <c r="E453" s="67">
        <f t="shared" si="41"/>
        <v>43.937391216192708</v>
      </c>
      <c r="F453" s="70">
        <f t="shared" si="45"/>
        <v>2.6678783946472211</v>
      </c>
      <c r="G453" s="67">
        <f>E453/'Lookup Tables'!$C$48</f>
        <v>87.874782432385416</v>
      </c>
      <c r="H453" s="70">
        <f t="shared" si="42"/>
        <v>3.6892373029578353E-2</v>
      </c>
      <c r="I453" s="71">
        <f t="shared" si="46"/>
        <v>0.12653968670263499</v>
      </c>
      <c r="L453" s="74"/>
      <c r="M453" s="74"/>
      <c r="N453" s="74"/>
      <c r="O453" s="74"/>
      <c r="P453" s="74"/>
      <c r="Q453" s="74"/>
      <c r="R453" s="74"/>
      <c r="S453" s="74"/>
      <c r="T453" s="74"/>
      <c r="U453" s="74"/>
      <c r="V453" s="74"/>
      <c r="W453" s="74"/>
      <c r="X453" s="74"/>
      <c r="Y453" s="74"/>
      <c r="Z453" s="74"/>
    </row>
    <row r="454" spans="1:26" x14ac:dyDescent="0.3">
      <c r="A454" s="66">
        <f t="shared" si="44"/>
        <v>2034.6999999999593</v>
      </c>
      <c r="B454" s="67">
        <f>LOOKUP(A454+0.01,AmountsB!$A$4:$A$103,AmountsB!$B$4:$B$103)*0.1*$A$2</f>
        <v>0</v>
      </c>
      <c r="C454" s="68">
        <f t="shared" si="43"/>
        <v>625969.29735898925</v>
      </c>
      <c r="D454" s="67">
        <f t="array" ref="D454">SUM($B$7:$B449*$F$1009*EXP(-$F$1009*($A454-$A$7:$A449)))*$F$1010</f>
        <v>22886401.179800261</v>
      </c>
      <c r="E454" s="67">
        <f t="shared" si="41"/>
        <v>43.630903436399656</v>
      </c>
      <c r="F454" s="70">
        <f t="shared" si="45"/>
        <v>2.6492684566581874</v>
      </c>
      <c r="G454" s="67">
        <f>E454/'Lookup Tables'!$C$48</f>
        <v>87.261806872799312</v>
      </c>
      <c r="H454" s="70">
        <f t="shared" si="42"/>
        <v>3.6635028176182381E-2</v>
      </c>
      <c r="I454" s="71">
        <f t="shared" si="46"/>
        <v>0.12565700189683102</v>
      </c>
      <c r="L454" s="74"/>
      <c r="M454" s="74"/>
      <c r="N454" s="74"/>
      <c r="O454" s="74"/>
      <c r="P454" s="74"/>
      <c r="Q454" s="74"/>
      <c r="R454" s="74"/>
      <c r="S454" s="74"/>
      <c r="T454" s="74"/>
      <c r="U454" s="74"/>
      <c r="V454" s="74"/>
      <c r="W454" s="74"/>
      <c r="X454" s="74"/>
      <c r="Y454" s="74"/>
      <c r="Z454" s="74"/>
    </row>
    <row r="455" spans="1:26" x14ac:dyDescent="0.3">
      <c r="A455" s="66">
        <f t="shared" si="44"/>
        <v>2034.7999999999593</v>
      </c>
      <c r="B455" s="67">
        <f>LOOKUP(A455+0.01,AmountsB!$A$4:$A$103,AmountsB!$B$4:$B$103)*0.1*$A$2</f>
        <v>0</v>
      </c>
      <c r="C455" s="68">
        <f t="shared" si="43"/>
        <v>625969.29735898925</v>
      </c>
      <c r="D455" s="67">
        <f t="array" ref="D455">SUM($B$7:$B450*$F$1009*EXP(-$F$1009*($A455-$A$7:$A450)))*$F$1010</f>
        <v>22726755.782317836</v>
      </c>
      <c r="E455" s="67">
        <f t="shared" ref="E455:E518" si="47">D455/(365*24*60)*1.00201</f>
        <v>43.326553579604827</v>
      </c>
      <c r="F455" s="70">
        <f t="shared" si="45"/>
        <v>2.6307883333536051</v>
      </c>
      <c r="G455" s="67">
        <f>E455/'Lookup Tables'!$C$48</f>
        <v>86.653107159209654</v>
      </c>
      <c r="H455" s="70">
        <f t="shared" ref="H455:H518" si="48">G455*60*24*365/(C455*2000)</f>
        <v>3.6379478446497124E-2</v>
      </c>
      <c r="I455" s="71">
        <f t="shared" si="46"/>
        <v>0.1247804743092619</v>
      </c>
      <c r="L455" s="74"/>
      <c r="M455" s="74"/>
      <c r="N455" s="74"/>
      <c r="O455" s="74"/>
      <c r="P455" s="74"/>
      <c r="Q455" s="74"/>
      <c r="R455" s="74"/>
      <c r="S455" s="74"/>
      <c r="T455" s="74"/>
      <c r="U455" s="74"/>
      <c r="V455" s="74"/>
      <c r="W455" s="74"/>
      <c r="X455" s="74"/>
      <c r="Y455" s="74"/>
      <c r="Z455" s="74"/>
    </row>
    <row r="456" spans="1:26" x14ac:dyDescent="0.3">
      <c r="A456" s="66">
        <f t="shared" si="44"/>
        <v>2034.8999999999592</v>
      </c>
      <c r="B456" s="67">
        <f>LOOKUP(A456+0.01,AmountsB!$A$4:$A$103,AmountsB!$B$4:$B$103)*0.1*$A$2</f>
        <v>0</v>
      </c>
      <c r="C456" s="68">
        <f t="shared" si="43"/>
        <v>625969.29735898925</v>
      </c>
      <c r="D456" s="67">
        <f t="array" ref="D456">SUM($B$7:$B451*$F$1009*EXP(-$F$1009*($A456-$A$7:$A451)))*$F$1010</f>
        <v>22568224.000415985</v>
      </c>
      <c r="E456" s="67">
        <f t="shared" si="47"/>
        <v>43.024326732604308</v>
      </c>
      <c r="F456" s="70">
        <f t="shared" si="45"/>
        <v>2.6124371192037339</v>
      </c>
      <c r="G456" s="67">
        <f>E456/'Lookup Tables'!$C$48</f>
        <v>86.048653465208616</v>
      </c>
      <c r="H456" s="70">
        <f t="shared" si="48"/>
        <v>3.6125711318534655E-2</v>
      </c>
      <c r="I456" s="71">
        <f t="shared" si="46"/>
        <v>0.1239100609899004</v>
      </c>
      <c r="L456" s="74"/>
      <c r="M456" s="74"/>
      <c r="N456" s="74"/>
      <c r="O456" s="74"/>
      <c r="P456" s="74"/>
      <c r="Q456" s="74"/>
      <c r="R456" s="74"/>
      <c r="S456" s="74"/>
      <c r="T456" s="74"/>
      <c r="U456" s="74"/>
      <c r="V456" s="74"/>
      <c r="W456" s="74"/>
      <c r="X456" s="74"/>
      <c r="Y456" s="74"/>
      <c r="Z456" s="74"/>
    </row>
    <row r="457" spans="1:26" x14ac:dyDescent="0.3">
      <c r="A457" s="66">
        <f t="shared" si="44"/>
        <v>2034.9999999999591</v>
      </c>
      <c r="B457" s="67">
        <f>LOOKUP(A457+0.01,AmountsB!$A$4:$A$103,AmountsB!$B$4:$B$103)*0.1*$A$2</f>
        <v>0</v>
      </c>
      <c r="C457" s="68">
        <f t="shared" ref="C457:C520" si="49">C456+B457</f>
        <v>625969.29735898925</v>
      </c>
      <c r="D457" s="67">
        <f t="array" ref="D457">SUM($B$7:$B452*$F$1009*EXP(-$F$1009*($A457-$A$7:$A452)))*$F$1010</f>
        <v>22410798.066005696</v>
      </c>
      <c r="E457" s="67">
        <f t="shared" si="47"/>
        <v>42.724208086222163</v>
      </c>
      <c r="F457" s="70">
        <f t="shared" si="45"/>
        <v>2.59421391499541</v>
      </c>
      <c r="G457" s="67">
        <f>E457/'Lookup Tables'!$C$48</f>
        <v>85.448416172444325</v>
      </c>
      <c r="H457" s="70">
        <f t="shared" si="48"/>
        <v>3.5873714357654976E-2</v>
      </c>
      <c r="I457" s="71">
        <f t="shared" si="46"/>
        <v>0.12304571928831984</v>
      </c>
      <c r="L457" s="74"/>
      <c r="M457" s="74"/>
      <c r="N457" s="74"/>
      <c r="O457" s="74"/>
      <c r="P457" s="74"/>
      <c r="Q457" s="74"/>
      <c r="R457" s="74"/>
      <c r="S457" s="74"/>
      <c r="T457" s="74"/>
      <c r="U457" s="74"/>
      <c r="V457" s="74"/>
      <c r="W457" s="74"/>
      <c r="X457" s="74"/>
      <c r="Y457" s="74"/>
      <c r="Z457" s="74"/>
    </row>
    <row r="458" spans="1:26" x14ac:dyDescent="0.3">
      <c r="A458" s="66">
        <f t="shared" si="44"/>
        <v>2035.099999999959</v>
      </c>
      <c r="B458" s="67">
        <f>LOOKUP(A458+0.01,AmountsB!$A$4:$A$103,AmountsB!$B$4:$B$103)*0.1*$A$2</f>
        <v>0</v>
      </c>
      <c r="C458" s="68">
        <f t="shared" si="49"/>
        <v>625969.29735898925</v>
      </c>
      <c r="D458" s="67">
        <f t="array" ref="D458">SUM($B$7:$B453*$F$1009*EXP(-$F$1009*($A458-$A$7:$A453)))*$F$1010</f>
        <v>22254470.265184674</v>
      </c>
      <c r="E458" s="67">
        <f t="shared" si="47"/>
        <v>42.426182934584659</v>
      </c>
      <c r="F458" s="70">
        <f t="shared" si="45"/>
        <v>2.5761178277879804</v>
      </c>
      <c r="G458" s="67">
        <f>E458/'Lookup Tables'!$C$48</f>
        <v>84.852365869169319</v>
      </c>
      <c r="H458" s="70">
        <f t="shared" si="48"/>
        <v>3.5623475215956567E-2</v>
      </c>
      <c r="I458" s="71">
        <f t="shared" si="46"/>
        <v>0.12218740685160383</v>
      </c>
      <c r="L458" s="74"/>
      <c r="M458" s="74"/>
      <c r="N458" s="74"/>
      <c r="O458" s="74"/>
      <c r="P458" s="74"/>
      <c r="Q458" s="74"/>
      <c r="R458" s="74"/>
      <c r="S458" s="74"/>
      <c r="T458" s="74"/>
      <c r="U458" s="74"/>
      <c r="V458" s="74"/>
      <c r="W458" s="74"/>
      <c r="X458" s="74"/>
      <c r="Y458" s="74"/>
      <c r="Z458" s="74"/>
    </row>
    <row r="459" spans="1:26" x14ac:dyDescent="0.3">
      <c r="A459" s="66">
        <f t="shared" si="44"/>
        <v>2035.1999999999589</v>
      </c>
      <c r="B459" s="67">
        <f>LOOKUP(A459+0.01,AmountsB!$A$4:$A$103,AmountsB!$B$4:$B$103)*0.1*$A$2</f>
        <v>0</v>
      </c>
      <c r="C459" s="68">
        <f t="shared" si="49"/>
        <v>625969.29735898925</v>
      </c>
      <c r="D459" s="67">
        <f t="array" ref="D459">SUM($B$7:$B454*$F$1009*EXP(-$F$1009*($A459-$A$7:$A454)))*$F$1010</f>
        <v>22099232.937859394</v>
      </c>
      <c r="E459" s="67">
        <f t="shared" si="47"/>
        <v>42.130236674399718</v>
      </c>
      <c r="F459" s="70">
        <f t="shared" si="45"/>
        <v>2.5581479708695509</v>
      </c>
      <c r="G459" s="67">
        <f>E459/'Lookup Tables'!$C$48</f>
        <v>84.260473348799437</v>
      </c>
      <c r="H459" s="70">
        <f t="shared" si="48"/>
        <v>3.5374981631671389E-2</v>
      </c>
      <c r="I459" s="71">
        <f t="shared" si="46"/>
        <v>0.12133508162227119</v>
      </c>
      <c r="L459" s="74"/>
      <c r="M459" s="74"/>
      <c r="N459" s="74"/>
      <c r="O459" s="74"/>
      <c r="P459" s="74"/>
      <c r="Q459" s="74"/>
      <c r="R459" s="74"/>
      <c r="S459" s="74"/>
      <c r="T459" s="74"/>
      <c r="U459" s="74"/>
      <c r="V459" s="74"/>
      <c r="W459" s="74"/>
      <c r="X459" s="74"/>
      <c r="Y459" s="74"/>
      <c r="Z459" s="74"/>
    </row>
    <row r="460" spans="1:26" x14ac:dyDescent="0.3">
      <c r="A460" s="66">
        <f t="shared" si="44"/>
        <v>2035.2999999999588</v>
      </c>
      <c r="B460" s="67">
        <f>LOOKUP(A460+0.01,AmountsB!$A$4:$A$103,AmountsB!$B$4:$B$103)*0.1*$A$2</f>
        <v>0</v>
      </c>
      <c r="C460" s="68">
        <f t="shared" si="49"/>
        <v>625969.29735898925</v>
      </c>
      <c r="D460" s="67">
        <f t="array" ref="D460">SUM($B$7:$B455*$F$1009*EXP(-$F$1009*($A460-$A$7:$A455)))*$F$1010</f>
        <v>21945078.477369767</v>
      </c>
      <c r="E460" s="67">
        <f t="shared" si="47"/>
        <v>41.83635480424141</v>
      </c>
      <c r="F460" s="70">
        <f t="shared" si="45"/>
        <v>2.5403034637135384</v>
      </c>
      <c r="G460" s="67">
        <f>E460/'Lookup Tables'!$C$48</f>
        <v>83.672709608482819</v>
      </c>
      <c r="H460" s="70">
        <f t="shared" si="48"/>
        <v>3.5128221428564144E-2</v>
      </c>
      <c r="I460" s="71">
        <f t="shared" si="46"/>
        <v>0.12048870183621525</v>
      </c>
      <c r="L460" s="74"/>
      <c r="M460" s="74"/>
      <c r="N460" s="74"/>
      <c r="O460" s="74"/>
      <c r="P460" s="74"/>
      <c r="Q460" s="74"/>
      <c r="R460" s="74"/>
      <c r="S460" s="74"/>
      <c r="T460" s="74"/>
      <c r="U460" s="74"/>
      <c r="V460" s="74"/>
      <c r="W460" s="74"/>
      <c r="X460" s="74"/>
      <c r="Y460" s="74"/>
      <c r="Z460" s="74"/>
    </row>
    <row r="461" spans="1:26" x14ac:dyDescent="0.3">
      <c r="A461" s="66">
        <f t="shared" si="44"/>
        <v>2035.3999999999587</v>
      </c>
      <c r="B461" s="67">
        <f>LOOKUP(A461+0.01,AmountsB!$A$4:$A$103,AmountsB!$B$4:$B$103)*0.1*$A$2</f>
        <v>0</v>
      </c>
      <c r="C461" s="68">
        <f t="shared" si="49"/>
        <v>625969.29735898925</v>
      </c>
      <c r="D461" s="67">
        <f t="array" ref="D461">SUM($B$7:$B456*$F$1009*EXP(-$F$1009*($A461-$A$7:$A456)))*$F$1010</f>
        <v>21791999.330116384</v>
      </c>
      <c r="E461" s="67">
        <f t="shared" si="47"/>
        <v>41.544522923839274</v>
      </c>
      <c r="F461" s="70">
        <f t="shared" si="45"/>
        <v>2.5225834319355207</v>
      </c>
      <c r="G461" s="67">
        <f>E461/'Lookup Tables'!$C$48</f>
        <v>83.089045847678548</v>
      </c>
      <c r="H461" s="70">
        <f t="shared" si="48"/>
        <v>3.4883182515335474E-2</v>
      </c>
      <c r="I461" s="71">
        <f t="shared" si="46"/>
        <v>0.11964822602065711</v>
      </c>
      <c r="L461" s="74"/>
      <c r="M461" s="74"/>
      <c r="N461" s="74"/>
      <c r="O461" s="74"/>
      <c r="P461" s="74"/>
      <c r="Q461" s="74"/>
      <c r="R461" s="74"/>
      <c r="S461" s="74"/>
      <c r="T461" s="74"/>
      <c r="U461" s="74"/>
      <c r="V461" s="74"/>
      <c r="W461" s="74"/>
      <c r="X461" s="74"/>
      <c r="Y461" s="74"/>
      <c r="Z461" s="74"/>
    </row>
    <row r="462" spans="1:26" x14ac:dyDescent="0.3">
      <c r="A462" s="66">
        <f t="shared" si="44"/>
        <v>2035.4999999999586</v>
      </c>
      <c r="B462" s="67">
        <f>LOOKUP(A462+0.01,AmountsB!$A$4:$A$103,AmountsB!$B$4:$B$103)*0.1*$A$2</f>
        <v>0</v>
      </c>
      <c r="C462" s="68">
        <f t="shared" si="49"/>
        <v>625969.29735898925</v>
      </c>
      <c r="D462" s="67">
        <f t="array" ref="D462">SUM($B$7:$B457*$F$1009*EXP(-$F$1009*($A462-$A$7:$A457)))*$F$1010</f>
        <v>21639987.995190386</v>
      </c>
      <c r="E462" s="67">
        <f t="shared" si="47"/>
        <v>41.254726733372749</v>
      </c>
      <c r="F462" s="70">
        <f t="shared" si="45"/>
        <v>2.5049870072503935</v>
      </c>
      <c r="G462" s="67">
        <f>E462/'Lookup Tables'!$C$48</f>
        <v>82.509453466745498</v>
      </c>
      <c r="H462" s="70">
        <f t="shared" si="48"/>
        <v>3.4639852885029569E-2</v>
      </c>
      <c r="I462" s="71">
        <f t="shared" si="46"/>
        <v>0.11881361299211352</v>
      </c>
      <c r="L462" s="74"/>
      <c r="M462" s="74"/>
      <c r="N462" s="74"/>
      <c r="O462" s="74"/>
      <c r="P462" s="74"/>
      <c r="Q462" s="74"/>
      <c r="R462" s="74"/>
      <c r="S462" s="74"/>
      <c r="T462" s="74"/>
      <c r="U462" s="74"/>
      <c r="V462" s="74"/>
      <c r="W462" s="74"/>
      <c r="X462" s="74"/>
      <c r="Y462" s="74"/>
      <c r="Z462" s="74"/>
    </row>
    <row r="463" spans="1:26" x14ac:dyDescent="0.3">
      <c r="A463" s="66">
        <f t="shared" si="44"/>
        <v>2035.5999999999585</v>
      </c>
      <c r="B463" s="67">
        <f>LOOKUP(A463+0.01,AmountsB!$A$4:$A$103,AmountsB!$B$4:$B$103)*0.1*$A$2</f>
        <v>0</v>
      </c>
      <c r="C463" s="68">
        <f t="shared" si="49"/>
        <v>625969.29735898925</v>
      </c>
      <c r="D463" s="67">
        <f t="array" ref="D463">SUM($B$7:$B458*$F$1009*EXP(-$F$1009*($A463-$A$7:$A458)))*$F$1010</f>
        <v>21489037.024005964</v>
      </c>
      <c r="E463" s="67">
        <f t="shared" si="47"/>
        <v>40.966952032770578</v>
      </c>
      <c r="F463" s="70">
        <f t="shared" si="45"/>
        <v>2.4875133274298298</v>
      </c>
      <c r="G463" s="67">
        <f>E463/'Lookup Tables'!$C$48</f>
        <v>81.933904065541157</v>
      </c>
      <c r="H463" s="70">
        <f t="shared" si="48"/>
        <v>3.4398220614445925E-2</v>
      </c>
      <c r="I463" s="71">
        <f t="shared" si="46"/>
        <v>0.11798482185437927</v>
      </c>
      <c r="L463" s="74"/>
      <c r="M463" s="74"/>
      <c r="N463" s="74"/>
      <c r="O463" s="74"/>
      <c r="P463" s="74"/>
      <c r="Q463" s="74"/>
      <c r="R463" s="74"/>
      <c r="S463" s="74"/>
      <c r="T463" s="74"/>
      <c r="U463" s="74"/>
      <c r="V463" s="74"/>
      <c r="W463" s="74"/>
      <c r="X463" s="74"/>
      <c r="Y463" s="74"/>
      <c r="Z463" s="74"/>
    </row>
    <row r="464" spans="1:26" x14ac:dyDescent="0.3">
      <c r="A464" s="66">
        <f t="shared" si="44"/>
        <v>2035.6999999999584</v>
      </c>
      <c r="B464" s="67">
        <f>LOOKUP(A464+0.01,AmountsB!$A$4:$A$103,AmountsB!$B$4:$B$103)*0.1*$A$2</f>
        <v>0</v>
      </c>
      <c r="C464" s="68">
        <f t="shared" si="49"/>
        <v>625969.29735898925</v>
      </c>
      <c r="D464" s="67">
        <f t="array" ref="D464">SUM($B$7:$B459*$F$1009*EXP(-$F$1009*($A464-$A$7:$A459)))*$F$1010</f>
        <v>21339139.019935329</v>
      </c>
      <c r="E464" s="67">
        <f t="shared" si="47"/>
        <v>40.681184721014837</v>
      </c>
      <c r="F464" s="70">
        <f t="shared" si="45"/>
        <v>2.4701615362600209</v>
      </c>
      <c r="G464" s="67">
        <f>E464/'Lookup Tables'!$C$48</f>
        <v>81.362369442029674</v>
      </c>
      <c r="H464" s="70">
        <f t="shared" si="48"/>
        <v>3.4158273863554918E-2</v>
      </c>
      <c r="I464" s="71">
        <f t="shared" si="46"/>
        <v>0.11716181199652274</v>
      </c>
      <c r="L464" s="74"/>
      <c r="M464" s="74"/>
      <c r="N464" s="74"/>
      <c r="O464" s="74"/>
      <c r="P464" s="74"/>
      <c r="Q464" s="74"/>
      <c r="R464" s="74"/>
      <c r="S464" s="74"/>
      <c r="T464" s="74"/>
      <c r="U464" s="74"/>
      <c r="V464" s="74"/>
      <c r="W464" s="74"/>
      <c r="X464" s="74"/>
      <c r="Y464" s="74"/>
      <c r="Z464" s="74"/>
    </row>
    <row r="465" spans="1:26" x14ac:dyDescent="0.3">
      <c r="A465" s="66">
        <f t="shared" si="44"/>
        <v>2035.7999999999583</v>
      </c>
      <c r="B465" s="67">
        <f>LOOKUP(A465+0.01,AmountsB!$A$4:$A$103,AmountsB!$B$4:$B$103)*0.1*$A$2</f>
        <v>0</v>
      </c>
      <c r="C465" s="68">
        <f t="shared" si="49"/>
        <v>625969.29735898925</v>
      </c>
      <c r="D465" s="67">
        <f t="array" ref="D465">SUM($B$7:$B460*$F$1009*EXP(-$F$1009*($A465-$A$7:$A460)))*$F$1010</f>
        <v>21190286.637946274</v>
      </c>
      <c r="E465" s="67">
        <f t="shared" si="47"/>
        <v>40.397410795450057</v>
      </c>
      <c r="F465" s="70">
        <f t="shared" si="45"/>
        <v>2.4529307834997276</v>
      </c>
      <c r="G465" s="67">
        <f>E465/'Lookup Tables'!$C$48</f>
        <v>80.794821590900114</v>
      </c>
      <c r="H465" s="70">
        <f t="shared" si="48"/>
        <v>3.3920000874917727E-2</v>
      </c>
      <c r="I465" s="71">
        <f t="shared" si="46"/>
        <v>0.11634454309089617</v>
      </c>
      <c r="L465" s="74"/>
      <c r="M465" s="74"/>
      <c r="N465" s="74"/>
      <c r="O465" s="74"/>
      <c r="P465" s="74"/>
      <c r="Q465" s="74"/>
      <c r="R465" s="74"/>
      <c r="S465" s="74"/>
      <c r="T465" s="74"/>
      <c r="U465" s="74"/>
      <c r="V465" s="74"/>
      <c r="W465" s="74"/>
      <c r="X465" s="74"/>
      <c r="Y465" s="74"/>
      <c r="Z465" s="74"/>
    </row>
    <row r="466" spans="1:26" x14ac:dyDescent="0.3">
      <c r="A466" s="66">
        <f t="shared" si="44"/>
        <v>2035.8999999999583</v>
      </c>
      <c r="B466" s="67">
        <f>LOOKUP(A466+0.01,AmountsB!$A$4:$A$103,AmountsB!$B$4:$B$103)*0.1*$A$2</f>
        <v>0</v>
      </c>
      <c r="C466" s="68">
        <f t="shared" si="49"/>
        <v>625969.29735898925</v>
      </c>
      <c r="D466" s="67">
        <f t="array" ref="D466">SUM($B$7:$B461*$F$1009*EXP(-$F$1009*($A466-$A$7:$A461)))*$F$1010</f>
        <v>21042472.584242307</v>
      </c>
      <c r="E466" s="67">
        <f t="shared" si="47"/>
        <v>40.115616351097096</v>
      </c>
      <c r="F466" s="70">
        <f t="shared" si="45"/>
        <v>2.4358202248386158</v>
      </c>
      <c r="G466" s="67">
        <f>E466/'Lookup Tables'!$C$48</f>
        <v>80.231232702194191</v>
      </c>
      <c r="H466" s="70">
        <f t="shared" si="48"/>
        <v>3.3683389973110225E-2</v>
      </c>
      <c r="I466" s="71">
        <f t="shared" si="46"/>
        <v>0.11553297509115963</v>
      </c>
      <c r="L466" s="74"/>
      <c r="M466" s="74"/>
      <c r="N466" s="74"/>
      <c r="O466" s="74"/>
      <c r="P466" s="74"/>
      <c r="Q466" s="74"/>
      <c r="R466" s="74"/>
      <c r="S466" s="74"/>
      <c r="T466" s="74"/>
      <c r="U466" s="74"/>
      <c r="V466" s="74"/>
      <c r="W466" s="74"/>
      <c r="X466" s="74"/>
      <c r="Y466" s="74"/>
      <c r="Z466" s="74"/>
    </row>
    <row r="467" spans="1:26" x14ac:dyDescent="0.3">
      <c r="A467" s="66">
        <f t="shared" ref="A467:A530" si="50">A466+0.1</f>
        <v>2035.9999999999582</v>
      </c>
      <c r="B467" s="67">
        <f>LOOKUP(A467+0.01,AmountsB!$A$4:$A$103,AmountsB!$B$4:$B$103)*0.1*$A$2</f>
        <v>0</v>
      </c>
      <c r="C467" s="68">
        <f t="shared" si="49"/>
        <v>625969.29735898925</v>
      </c>
      <c r="D467" s="67">
        <f t="array" ref="D467">SUM($B$7:$B462*$F$1009*EXP(-$F$1009*($A467-$A$7:$A462)))*$F$1010</f>
        <v>20895689.615905222</v>
      </c>
      <c r="E467" s="67">
        <f t="shared" si="47"/>
        <v>39.835787579971822</v>
      </c>
      <c r="F467" s="70">
        <f t="shared" ref="F467:F530" si="51">E467*60*1012/1000000</f>
        <v>2.4188290218558888</v>
      </c>
      <c r="G467" s="67">
        <f>E467/'Lookup Tables'!$C$48</f>
        <v>79.671575159943643</v>
      </c>
      <c r="H467" s="70">
        <f t="shared" si="48"/>
        <v>3.3448429564150915E-2</v>
      </c>
      <c r="I467" s="71">
        <f t="shared" ref="I467:I530" si="52">G467*60*24/1000000</f>
        <v>0.11472706823031885</v>
      </c>
      <c r="L467" s="74"/>
      <c r="M467" s="74"/>
      <c r="N467" s="74"/>
      <c r="O467" s="74"/>
      <c r="P467" s="74"/>
      <c r="Q467" s="74"/>
      <c r="R467" s="74"/>
      <c r="S467" s="74"/>
      <c r="T467" s="74"/>
      <c r="U467" s="74"/>
      <c r="V467" s="74"/>
      <c r="W467" s="74"/>
      <c r="X467" s="74"/>
      <c r="Y467" s="74"/>
      <c r="Z467" s="74"/>
    </row>
    <row r="468" spans="1:26" x14ac:dyDescent="0.3">
      <c r="A468" s="66">
        <f t="shared" si="50"/>
        <v>2036.0999999999581</v>
      </c>
      <c r="B468" s="67">
        <f>LOOKUP(A468+0.01,AmountsB!$A$4:$A$103,AmountsB!$B$4:$B$103)*0.1*$A$2</f>
        <v>0</v>
      </c>
      <c r="C468" s="68">
        <f t="shared" si="49"/>
        <v>625969.29735898925</v>
      </c>
      <c r="D468" s="67">
        <f t="array" ref="D468">SUM($B$7:$B463*$F$1009*EXP(-$F$1009*($A468-$A$7:$A463)))*$F$1010</f>
        <v>20749930.540540196</v>
      </c>
      <c r="E468" s="67">
        <f t="shared" si="47"/>
        <v>39.557910770408455</v>
      </c>
      <c r="F468" s="70">
        <f t="shared" si="51"/>
        <v>2.4019563419792016</v>
      </c>
      <c r="G468" s="67">
        <f>E468/'Lookup Tables'!$C$48</f>
        <v>79.11582154081691</v>
      </c>
      <c r="H468" s="70">
        <f t="shared" si="48"/>
        <v>3.3215108134932725E-2</v>
      </c>
      <c r="I468" s="71">
        <f t="shared" si="52"/>
        <v>0.11392678301877636</v>
      </c>
      <c r="L468" s="74"/>
      <c r="M468" s="74"/>
      <c r="N468" s="74"/>
      <c r="O468" s="74"/>
      <c r="P468" s="74"/>
      <c r="Q468" s="74"/>
      <c r="R468" s="74"/>
      <c r="S468" s="74"/>
      <c r="T468" s="74"/>
      <c r="U468" s="74"/>
      <c r="V468" s="74"/>
      <c r="W468" s="74"/>
      <c r="X468" s="74"/>
      <c r="Y468" s="74"/>
      <c r="Z468" s="74"/>
    </row>
    <row r="469" spans="1:26" x14ac:dyDescent="0.3">
      <c r="A469" s="66">
        <f t="shared" si="50"/>
        <v>2036.199999999958</v>
      </c>
      <c r="B469" s="67">
        <f>LOOKUP(A469+0.01,AmountsB!$A$4:$A$103,AmountsB!$B$4:$B$103)*0.1*$A$2</f>
        <v>0</v>
      </c>
      <c r="C469" s="68">
        <f t="shared" si="49"/>
        <v>625969.29735898925</v>
      </c>
      <c r="D469" s="67">
        <f t="array" ref="D469">SUM($B$7:$B464*$F$1009*EXP(-$F$1009*($A469-$A$7:$A464)))*$F$1010</f>
        <v>20605188.215923388</v>
      </c>
      <c r="E469" s="67">
        <f t="shared" si="47"/>
        <v>39.281972306387736</v>
      </c>
      <c r="F469" s="70">
        <f t="shared" si="51"/>
        <v>2.3852013584438634</v>
      </c>
      <c r="G469" s="67">
        <f>E469/'Lookup Tables'!$C$48</f>
        <v>78.563944612775472</v>
      </c>
      <c r="H469" s="70">
        <f t="shared" si="48"/>
        <v>3.2983414252658952E-2</v>
      </c>
      <c r="I469" s="71">
        <f t="shared" si="52"/>
        <v>0.11313208024239668</v>
      </c>
      <c r="L469" s="74"/>
      <c r="M469" s="74"/>
      <c r="N469" s="74"/>
      <c r="O469" s="74"/>
      <c r="P469" s="74"/>
      <c r="Q469" s="74"/>
      <c r="R469" s="74"/>
      <c r="S469" s="74"/>
      <c r="T469" s="74"/>
      <c r="U469" s="74"/>
      <c r="V469" s="74"/>
      <c r="W469" s="74"/>
      <c r="X469" s="74"/>
      <c r="Y469" s="74"/>
      <c r="Z469" s="74"/>
    </row>
    <row r="470" spans="1:26" x14ac:dyDescent="0.3">
      <c r="A470" s="66">
        <f t="shared" si="50"/>
        <v>2036.2999999999579</v>
      </c>
      <c r="B470" s="67">
        <f>LOOKUP(A470+0.01,AmountsB!$A$4:$A$103,AmountsB!$B$4:$B$103)*0.1*$A$2</f>
        <v>0</v>
      </c>
      <c r="C470" s="68">
        <f t="shared" si="49"/>
        <v>625969.29735898925</v>
      </c>
      <c r="D470" s="67">
        <f t="array" ref="D470">SUM($B$7:$B465*$F$1009*EXP(-$F$1009*($A470-$A$7:$A465)))*$F$1010</f>
        <v>20461455.54965191</v>
      </c>
      <c r="E470" s="67">
        <f t="shared" si="47"/>
        <v>39.00795866686969</v>
      </c>
      <c r="F470" s="70">
        <f t="shared" si="51"/>
        <v>2.3685632502523273</v>
      </c>
      <c r="G470" s="67">
        <f>E470/'Lookup Tables'!$C$48</f>
        <v>78.015917333739381</v>
      </c>
      <c r="H470" s="70">
        <f t="shared" si="48"/>
        <v>3.2753336564282975E-2</v>
      </c>
      <c r="I470" s="71">
        <f t="shared" si="52"/>
        <v>0.11234292096058469</v>
      </c>
      <c r="L470" s="74"/>
      <c r="M470" s="74"/>
      <c r="N470" s="74"/>
      <c r="O470" s="74"/>
      <c r="P470" s="74"/>
      <c r="Q470" s="74"/>
      <c r="R470" s="74"/>
      <c r="S470" s="74"/>
      <c r="T470" s="74"/>
      <c r="U470" s="74"/>
      <c r="V470" s="74"/>
      <c r="W470" s="74"/>
      <c r="X470" s="74"/>
      <c r="Y470" s="74"/>
      <c r="Z470" s="74"/>
    </row>
    <row r="471" spans="1:26" x14ac:dyDescent="0.3">
      <c r="A471" s="66">
        <f t="shared" si="50"/>
        <v>2036.3999999999578</v>
      </c>
      <c r="B471" s="67">
        <f>LOOKUP(A471+0.01,AmountsB!$A$4:$A$103,AmountsB!$B$4:$B$103)*0.1*$A$2</f>
        <v>0</v>
      </c>
      <c r="C471" s="68">
        <f t="shared" si="49"/>
        <v>625969.29735898925</v>
      </c>
      <c r="D471" s="67">
        <f t="array" ref="D471">SUM($B$7:$B466*$F$1009*EXP(-$F$1009*($A471-$A$7:$A466)))*$F$1010</f>
        <v>20318725.498796366</v>
      </c>
      <c r="E471" s="67">
        <f t="shared" si="47"/>
        <v>38.735856425131182</v>
      </c>
      <c r="F471" s="70">
        <f t="shared" si="51"/>
        <v>2.3520412021339658</v>
      </c>
      <c r="G471" s="67">
        <f>E471/'Lookup Tables'!$C$48</f>
        <v>77.471712850262364</v>
      </c>
      <c r="H471" s="70">
        <f t="shared" si="48"/>
        <v>3.2524863795952083E-2</v>
      </c>
      <c r="I471" s="71">
        <f t="shared" si="52"/>
        <v>0.11155926650437781</v>
      </c>
      <c r="L471" s="74"/>
      <c r="M471" s="74"/>
      <c r="N471" s="74"/>
      <c r="O471" s="74"/>
      <c r="P471" s="74"/>
      <c r="Q471" s="74"/>
      <c r="R471" s="74"/>
      <c r="S471" s="74"/>
      <c r="T471" s="74"/>
      <c r="U471" s="74"/>
      <c r="V471" s="74"/>
      <c r="W471" s="74"/>
      <c r="X471" s="74"/>
      <c r="Y471" s="74"/>
      <c r="Z471" s="74"/>
    </row>
    <row r="472" spans="1:26" x14ac:dyDescent="0.3">
      <c r="A472" s="66">
        <f t="shared" si="50"/>
        <v>2036.4999999999577</v>
      </c>
      <c r="B472" s="67">
        <f>LOOKUP(A472+0.01,AmountsB!$A$4:$A$103,AmountsB!$B$4:$B$103)*0.1*$A$2</f>
        <v>0</v>
      </c>
      <c r="C472" s="68">
        <f t="shared" si="49"/>
        <v>625969.29735898925</v>
      </c>
      <c r="D472" s="67">
        <f t="array" ref="D472">SUM($B$7:$B467*$F$1009*EXP(-$F$1009*($A472-$A$7:$A467)))*$F$1010</f>
        <v>20176991.069555715</v>
      </c>
      <c r="E472" s="67">
        <f t="shared" si="47"/>
        <v>38.465652248107915</v>
      </c>
      <c r="F472" s="70">
        <f t="shared" si="51"/>
        <v>2.3356344045051123</v>
      </c>
      <c r="G472" s="67">
        <f>E472/'Lookup Tables'!$C$48</f>
        <v>76.93130449621583</v>
      </c>
      <c r="H472" s="70">
        <f t="shared" si="48"/>
        <v>3.2297984752454864E-2</v>
      </c>
      <c r="I472" s="71">
        <f t="shared" si="52"/>
        <v>0.11078107847455078</v>
      </c>
      <c r="L472" s="74"/>
      <c r="M472" s="74"/>
      <c r="N472" s="74"/>
      <c r="O472" s="74"/>
      <c r="P472" s="74"/>
      <c r="Q472" s="74"/>
      <c r="R472" s="74"/>
      <c r="S472" s="74"/>
      <c r="T472" s="74"/>
      <c r="U472" s="74"/>
      <c r="V472" s="74"/>
      <c r="W472" s="74"/>
      <c r="X472" s="74"/>
      <c r="Y472" s="74"/>
      <c r="Z472" s="74"/>
    </row>
    <row r="473" spans="1:26" x14ac:dyDescent="0.3">
      <c r="A473" s="66">
        <f t="shared" si="50"/>
        <v>2036.5999999999576</v>
      </c>
      <c r="B473" s="67">
        <f>LOOKUP(A473+0.01,AmountsB!$A$4:$A$103,AmountsB!$B$4:$B$103)*0.1*$A$2</f>
        <v>0</v>
      </c>
      <c r="C473" s="68">
        <f t="shared" si="49"/>
        <v>625969.29735898925</v>
      </c>
      <c r="D473" s="67">
        <f t="array" ref="D473">SUM($B$7:$B468*$F$1009*EXP(-$F$1009*($A473-$A$7:$A468)))*$F$1010</f>
        <v>20036245.316914547</v>
      </c>
      <c r="E473" s="67">
        <f t="shared" si="47"/>
        <v>38.197332895741148</v>
      </c>
      <c r="F473" s="70">
        <f t="shared" si="51"/>
        <v>2.3193420534294025</v>
      </c>
      <c r="G473" s="67">
        <f>E473/'Lookup Tables'!$C$48</f>
        <v>76.394665791482296</v>
      </c>
      <c r="H473" s="70">
        <f t="shared" si="48"/>
        <v>3.2072688316672822E-2</v>
      </c>
      <c r="I473" s="71">
        <f t="shared" si="52"/>
        <v>0.1100083187397345</v>
      </c>
      <c r="L473" s="74"/>
      <c r="M473" s="74"/>
      <c r="N473" s="74"/>
      <c r="O473" s="74"/>
      <c r="P473" s="74"/>
      <c r="Q473" s="74"/>
      <c r="R473" s="74"/>
      <c r="S473" s="74"/>
      <c r="T473" s="74"/>
      <c r="U473" s="74"/>
      <c r="V473" s="74"/>
      <c r="W473" s="74"/>
      <c r="X473" s="74"/>
      <c r="Y473" s="74"/>
      <c r="Z473" s="74"/>
    </row>
    <row r="474" spans="1:26" x14ac:dyDescent="0.3">
      <c r="A474" s="66">
        <f t="shared" si="50"/>
        <v>2036.6999999999575</v>
      </c>
      <c r="B474" s="67">
        <f>LOOKUP(A474+0.01,AmountsB!$A$4:$A$103,AmountsB!$B$4:$B$103)*0.1*$A$2</f>
        <v>0</v>
      </c>
      <c r="C474" s="68">
        <f t="shared" si="49"/>
        <v>625969.29735898925</v>
      </c>
      <c r="D474" s="67">
        <f t="array" ref="D474">SUM($B$7:$B469*$F$1009*EXP(-$F$1009*($A474-$A$7:$A469)))*$F$1010</f>
        <v>19896481.344302837</v>
      </c>
      <c r="E474" s="67">
        <f t="shared" si="47"/>
        <v>37.930885220328932</v>
      </c>
      <c r="F474" s="70">
        <f t="shared" si="51"/>
        <v>2.3031633505783726</v>
      </c>
      <c r="G474" s="67">
        <f>E474/'Lookup Tables'!$C$48</f>
        <v>75.861770440657864</v>
      </c>
      <c r="H474" s="70">
        <f t="shared" si="48"/>
        <v>3.1848963449035511E-2</v>
      </c>
      <c r="I474" s="71">
        <f t="shared" si="52"/>
        <v>0.10924094943454732</v>
      </c>
      <c r="L474" s="74"/>
      <c r="M474" s="74"/>
      <c r="N474" s="74"/>
      <c r="O474" s="74"/>
      <c r="P474" s="74"/>
      <c r="Q474" s="74"/>
      <c r="R474" s="74"/>
      <c r="S474" s="74"/>
      <c r="T474" s="74"/>
      <c r="U474" s="74"/>
      <c r="V474" s="74"/>
      <c r="W474" s="74"/>
      <c r="X474" s="74"/>
      <c r="Y474" s="74"/>
      <c r="Z474" s="74"/>
    </row>
    <row r="475" spans="1:26" x14ac:dyDescent="0.3">
      <c r="A475" s="66">
        <f t="shared" si="50"/>
        <v>2036.7999999999574</v>
      </c>
      <c r="B475" s="67">
        <f>LOOKUP(A475+0.01,AmountsB!$A$4:$A$103,AmountsB!$B$4:$B$103)*0.1*$A$2</f>
        <v>0</v>
      </c>
      <c r="C475" s="68">
        <f t="shared" si="49"/>
        <v>625969.29735898925</v>
      </c>
      <c r="D475" s="67">
        <f t="array" ref="D475">SUM($B$7:$B470*$F$1009*EXP(-$F$1009*($A475-$A$7:$A470)))*$F$1010</f>
        <v>19757692.303257957</v>
      </c>
      <c r="E475" s="67">
        <f t="shared" si="47"/>
        <v>37.66629616588186</v>
      </c>
      <c r="F475" s="70">
        <f t="shared" si="51"/>
        <v>2.2870975031923466</v>
      </c>
      <c r="G475" s="67">
        <f>E475/'Lookup Tables'!$C$48</f>
        <v>75.33259233176372</v>
      </c>
      <c r="H475" s="70">
        <f t="shared" si="48"/>
        <v>3.1626799186979658E-2</v>
      </c>
      <c r="I475" s="71">
        <f t="shared" si="52"/>
        <v>0.10847893295773978</v>
      </c>
      <c r="L475" s="74"/>
      <c r="M475" s="74"/>
      <c r="N475" s="74"/>
      <c r="O475" s="74"/>
      <c r="P475" s="74"/>
      <c r="Q475" s="74"/>
      <c r="R475" s="74"/>
      <c r="S475" s="74"/>
      <c r="T475" s="74"/>
      <c r="U475" s="74"/>
      <c r="V475" s="74"/>
      <c r="W475" s="74"/>
      <c r="X475" s="74"/>
      <c r="Y475" s="74"/>
      <c r="Z475" s="74"/>
    </row>
    <row r="476" spans="1:26" x14ac:dyDescent="0.3">
      <c r="A476" s="66">
        <f t="shared" si="50"/>
        <v>2036.8999999999573</v>
      </c>
      <c r="B476" s="67">
        <f>LOOKUP(A476+0.01,AmountsB!$A$4:$A$103,AmountsB!$B$4:$B$103)*0.1*$A$2</f>
        <v>0</v>
      </c>
      <c r="C476" s="68">
        <f t="shared" si="49"/>
        <v>625969.29735898925</v>
      </c>
      <c r="D476" s="67">
        <f t="array" ref="D476">SUM($B$7:$B471*$F$1009*EXP(-$F$1009*($A476-$A$7:$A471)))*$F$1010</f>
        <v>19619871.393089127</v>
      </c>
      <c r="E476" s="67">
        <f t="shared" si="47"/>
        <v>37.403552767483326</v>
      </c>
      <c r="F476" s="70">
        <f t="shared" si="51"/>
        <v>2.2711437240415875</v>
      </c>
      <c r="G476" s="67">
        <f>E476/'Lookup Tables'!$C$48</f>
        <v>74.807105534966652</v>
      </c>
      <c r="H476" s="70">
        <f t="shared" si="48"/>
        <v>3.1406184644411965E-2</v>
      </c>
      <c r="I476" s="71">
        <f t="shared" si="52"/>
        <v>0.10772223197035198</v>
      </c>
      <c r="L476" s="74"/>
      <c r="M476" s="74"/>
      <c r="N476" s="74"/>
      <c r="O476" s="74"/>
      <c r="P476" s="74"/>
      <c r="Q476" s="74"/>
      <c r="R476" s="74"/>
      <c r="S476" s="74"/>
      <c r="T476" s="74"/>
      <c r="U476" s="74"/>
      <c r="V476" s="74"/>
      <c r="W476" s="74"/>
      <c r="X476" s="74"/>
      <c r="Y476" s="74"/>
      <c r="Z476" s="74"/>
    </row>
    <row r="477" spans="1:26" x14ac:dyDescent="0.3">
      <c r="A477" s="66">
        <f t="shared" si="50"/>
        <v>2036.9999999999573</v>
      </c>
      <c r="B477" s="67">
        <f>LOOKUP(A477+0.01,AmountsB!$A$4:$A$103,AmountsB!$B$4:$B$103)*0.1*$A$2</f>
        <v>0</v>
      </c>
      <c r="C477" s="68">
        <f t="shared" si="49"/>
        <v>625969.29735898925</v>
      </c>
      <c r="D477" s="67">
        <f t="array" ref="D477">SUM($B$7:$B472*$F$1009*EXP(-$F$1009*($A477-$A$7:$A472)))*$F$1010</f>
        <v>19483011.860544171</v>
      </c>
      <c r="E477" s="67">
        <f t="shared" si="47"/>
        <v>37.14264215065424</v>
      </c>
      <c r="F477" s="70">
        <f t="shared" si="51"/>
        <v>2.2553012313877256</v>
      </c>
      <c r="G477" s="67">
        <f>E477/'Lookup Tables'!$C$48</f>
        <v>74.285284301308479</v>
      </c>
      <c r="H477" s="70">
        <f t="shared" si="48"/>
        <v>3.1187109011175725E-2</v>
      </c>
      <c r="I477" s="71">
        <f t="shared" si="52"/>
        <v>0.10697080939388422</v>
      </c>
      <c r="L477" s="74"/>
      <c r="M477" s="74"/>
      <c r="N477" s="74"/>
      <c r="O477" s="74"/>
      <c r="P477" s="74"/>
      <c r="Q477" s="74"/>
      <c r="R477" s="74"/>
      <c r="S477" s="74"/>
      <c r="T477" s="74"/>
      <c r="U477" s="74"/>
      <c r="V477" s="74"/>
      <c r="W477" s="74"/>
      <c r="X477" s="74"/>
      <c r="Y477" s="74"/>
      <c r="Z477" s="74"/>
    </row>
    <row r="478" spans="1:26" x14ac:dyDescent="0.3">
      <c r="A478" s="66">
        <f t="shared" si="50"/>
        <v>2037.0999999999572</v>
      </c>
      <c r="B478" s="67">
        <f>LOOKUP(A478+0.01,AmountsB!$A$4:$A$103,AmountsB!$B$4:$B$103)*0.1*$A$2</f>
        <v>0</v>
      </c>
      <c r="C478" s="68">
        <f t="shared" si="49"/>
        <v>625969.29735898925</v>
      </c>
      <c r="D478" s="67">
        <f t="array" ref="D478">SUM($B$7:$B473*$F$1009*EXP(-$F$1009*($A478-$A$7:$A473)))*$F$1010</f>
        <v>19347106.999478612</v>
      </c>
      <c r="E478" s="67">
        <f t="shared" si="47"/>
        <v>36.883551530722158</v>
      </c>
      <c r="F478" s="70">
        <f t="shared" si="51"/>
        <v>2.2395692489454495</v>
      </c>
      <c r="G478" s="67">
        <f>E478/'Lookup Tables'!$C$48</f>
        <v>73.767103061444317</v>
      </c>
      <c r="H478" s="70">
        <f t="shared" si="48"/>
        <v>3.0969561552521049E-2</v>
      </c>
      <c r="I478" s="71">
        <f t="shared" si="52"/>
        <v>0.10622462840847982</v>
      </c>
      <c r="L478" s="74"/>
      <c r="M478" s="74"/>
      <c r="N478" s="74"/>
      <c r="O478" s="74"/>
      <c r="P478" s="74"/>
      <c r="Q478" s="74"/>
      <c r="R478" s="74"/>
      <c r="S478" s="74"/>
      <c r="T478" s="74"/>
      <c r="U478" s="74"/>
      <c r="V478" s="74"/>
      <c r="W478" s="74"/>
      <c r="X478" s="74"/>
      <c r="Y478" s="74"/>
      <c r="Z478" s="74"/>
    </row>
    <row r="479" spans="1:26" x14ac:dyDescent="0.3">
      <c r="A479" s="66">
        <f t="shared" si="50"/>
        <v>2037.1999999999571</v>
      </c>
      <c r="B479" s="67">
        <f>LOOKUP(A479+0.01,AmountsB!$A$4:$A$103,AmountsB!$B$4:$B$103)*0.1*$A$2</f>
        <v>0</v>
      </c>
      <c r="C479" s="68">
        <f t="shared" si="49"/>
        <v>625969.29735898925</v>
      </c>
      <c r="D479" s="67">
        <f t="array" ref="D479">SUM($B$7:$B474*$F$1009*EXP(-$F$1009*($A479-$A$7:$A474)))*$F$1010</f>
        <v>19212150.150527064</v>
      </c>
      <c r="E479" s="67">
        <f t="shared" si="47"/>
        <v>36.626268212194873</v>
      </c>
      <c r="F479" s="70">
        <f t="shared" si="51"/>
        <v>2.2239470058444728</v>
      </c>
      <c r="G479" s="67">
        <f>E479/'Lookup Tables'!$C$48</f>
        <v>73.252536424389746</v>
      </c>
      <c r="H479" s="70">
        <f t="shared" si="48"/>
        <v>3.0753531608578941E-2</v>
      </c>
      <c r="I479" s="71">
        <f t="shared" si="52"/>
        <v>0.10548365245112123</v>
      </c>
      <c r="L479" s="74"/>
      <c r="M479" s="74"/>
      <c r="N479" s="74"/>
      <c r="O479" s="74"/>
      <c r="P479" s="74"/>
      <c r="Q479" s="74"/>
      <c r="R479" s="74"/>
      <c r="S479" s="74"/>
      <c r="T479" s="74"/>
      <c r="U479" s="74"/>
      <c r="V479" s="74"/>
      <c r="W479" s="74"/>
      <c r="X479" s="74"/>
      <c r="Y479" s="74"/>
      <c r="Z479" s="74"/>
    </row>
    <row r="480" spans="1:26" x14ac:dyDescent="0.3">
      <c r="A480" s="66">
        <f t="shared" si="50"/>
        <v>2037.299999999957</v>
      </c>
      <c r="B480" s="67">
        <f>LOOKUP(A480+0.01,AmountsB!$A$4:$A$103,AmountsB!$B$4:$B$103)*0.1*$A$2</f>
        <v>0</v>
      </c>
      <c r="C480" s="68">
        <f t="shared" si="49"/>
        <v>625969.29735898925</v>
      </c>
      <c r="D480" s="67">
        <f t="array" ref="D480">SUM($B$7:$B475*$F$1009*EXP(-$F$1009*($A480-$A$7:$A475)))*$F$1010</f>
        <v>19078134.700776931</v>
      </c>
      <c r="E480" s="67">
        <f t="shared" si="47"/>
        <v>36.370779588138312</v>
      </c>
      <c r="F480" s="70">
        <f t="shared" si="51"/>
        <v>2.2084337365917581</v>
      </c>
      <c r="G480" s="67">
        <f>E480/'Lookup Tables'!$C$48</f>
        <v>72.741559176276624</v>
      </c>
      <c r="H480" s="70">
        <f t="shared" si="48"/>
        <v>3.0539008593838939E-2</v>
      </c>
      <c r="I480" s="71">
        <f t="shared" si="52"/>
        <v>0.10474784521383833</v>
      </c>
      <c r="L480" s="74"/>
      <c r="M480" s="74"/>
      <c r="N480" s="74"/>
      <c r="O480" s="74"/>
      <c r="P480" s="74"/>
      <c r="Q480" s="74"/>
      <c r="R480" s="74"/>
      <c r="S480" s="74"/>
      <c r="T480" s="74"/>
      <c r="U480" s="74"/>
      <c r="V480" s="74"/>
      <c r="W480" s="74"/>
      <c r="X480" s="74"/>
      <c r="Y480" s="74"/>
      <c r="Z480" s="74"/>
    </row>
    <row r="481" spans="1:26" x14ac:dyDescent="0.3">
      <c r="A481" s="66">
        <f t="shared" si="50"/>
        <v>2037.3999999999569</v>
      </c>
      <c r="B481" s="67">
        <f>LOOKUP(A481+0.01,AmountsB!$A$4:$A$103,AmountsB!$B$4:$B$103)*0.1*$A$2</f>
        <v>0</v>
      </c>
      <c r="C481" s="68">
        <f t="shared" si="49"/>
        <v>625969.29735898925</v>
      </c>
      <c r="D481" s="67">
        <f t="array" ref="D481">SUM($B$7:$B476*$F$1009*EXP(-$F$1009*($A481-$A$7:$A476)))*$F$1010</f>
        <v>18945054.083444357</v>
      </c>
      <c r="E481" s="67">
        <f t="shared" si="47"/>
        <v>36.117073139558755</v>
      </c>
      <c r="F481" s="70">
        <f t="shared" si="51"/>
        <v>2.1930286810340074</v>
      </c>
      <c r="G481" s="67">
        <f>E481/'Lookup Tables'!$C$48</f>
        <v>72.23414627911751</v>
      </c>
      <c r="H481" s="70">
        <f t="shared" si="48"/>
        <v>3.0325981996630384E-2</v>
      </c>
      <c r="I481" s="71">
        <f t="shared" si="52"/>
        <v>0.1040171706419292</v>
      </c>
      <c r="L481" s="74"/>
      <c r="M481" s="74"/>
      <c r="N481" s="74"/>
      <c r="O481" s="74"/>
      <c r="P481" s="74"/>
      <c r="Q481" s="74"/>
      <c r="R481" s="74"/>
      <c r="S481" s="74"/>
      <c r="T481" s="74"/>
      <c r="U481" s="74"/>
      <c r="V481" s="74"/>
      <c r="W481" s="74"/>
      <c r="X481" s="74"/>
      <c r="Y481" s="74"/>
      <c r="Z481" s="74"/>
    </row>
    <row r="482" spans="1:26" x14ac:dyDescent="0.3">
      <c r="A482" s="66">
        <f t="shared" si="50"/>
        <v>2037.4999999999568</v>
      </c>
      <c r="B482" s="67">
        <f>LOOKUP(A482+0.01,AmountsB!$A$4:$A$103,AmountsB!$B$4:$B$103)*0.1*$A$2</f>
        <v>0</v>
      </c>
      <c r="C482" s="68">
        <f t="shared" si="49"/>
        <v>625969.29735898925</v>
      </c>
      <c r="D482" s="67">
        <f t="array" ref="D482">SUM($B$7:$B477*$F$1009*EXP(-$F$1009*($A482-$A$7:$A477)))*$F$1010</f>
        <v>18812901.777552459</v>
      </c>
      <c r="E482" s="67">
        <f t="shared" si="47"/>
        <v>35.865136434789463</v>
      </c>
      <c r="F482" s="70">
        <f t="shared" si="51"/>
        <v>2.1777310843204156</v>
      </c>
      <c r="G482" s="67">
        <f>E482/'Lookup Tables'!$C$48</f>
        <v>71.730272869578926</v>
      </c>
      <c r="H482" s="70">
        <f t="shared" si="48"/>
        <v>3.0114441378607387E-2</v>
      </c>
      <c r="I482" s="71">
        <f t="shared" si="52"/>
        <v>0.10329159293219364</v>
      </c>
      <c r="L482" s="74"/>
      <c r="M482" s="74"/>
      <c r="N482" s="74"/>
      <c r="O482" s="74"/>
      <c r="P482" s="74"/>
      <c r="Q482" s="74"/>
      <c r="R482" s="74"/>
      <c r="S482" s="74"/>
      <c r="T482" s="74"/>
      <c r="U482" s="74"/>
      <c r="V482" s="74"/>
      <c r="W482" s="74"/>
      <c r="X482" s="74"/>
      <c r="Y482" s="74"/>
      <c r="Z482" s="74"/>
    </row>
    <row r="483" spans="1:26" x14ac:dyDescent="0.3">
      <c r="A483" s="66">
        <f t="shared" si="50"/>
        <v>2037.5999999999567</v>
      </c>
      <c r="B483" s="67">
        <f>LOOKUP(A483+0.01,AmountsB!$A$4:$A$103,AmountsB!$B$4:$B$103)*0.1*$A$2</f>
        <v>0</v>
      </c>
      <c r="C483" s="68">
        <f t="shared" si="49"/>
        <v>625969.29735898925</v>
      </c>
      <c r="D483" s="67">
        <f t="array" ref="D483">SUM($B$7:$B478*$F$1009*EXP(-$F$1009*($A483-$A$7:$A478)))*$F$1010</f>
        <v>18681671.307611819</v>
      </c>
      <c r="E483" s="67">
        <f t="shared" si="47"/>
        <v>35.614957128881507</v>
      </c>
      <c r="F483" s="70">
        <f t="shared" si="51"/>
        <v>2.162540196865685</v>
      </c>
      <c r="G483" s="67">
        <f>E483/'Lookup Tables'!$C$48</f>
        <v>71.229914257763014</v>
      </c>
      <c r="H483" s="70">
        <f t="shared" si="48"/>
        <v>2.9904376374237356E-2</v>
      </c>
      <c r="I483" s="71">
        <f t="shared" si="52"/>
        <v>0.10257107653117872</v>
      </c>
      <c r="L483" s="74"/>
      <c r="M483" s="74"/>
      <c r="N483" s="74"/>
      <c r="O483" s="74"/>
      <c r="P483" s="74"/>
      <c r="Q483" s="74"/>
      <c r="R483" s="74"/>
      <c r="S483" s="74"/>
      <c r="T483" s="74"/>
      <c r="U483" s="74"/>
      <c r="V483" s="74"/>
      <c r="W483" s="74"/>
      <c r="X483" s="74"/>
      <c r="Y483" s="74"/>
      <c r="Z483" s="74"/>
    </row>
    <row r="484" spans="1:26" x14ac:dyDescent="0.3">
      <c r="A484" s="66">
        <f t="shared" si="50"/>
        <v>2037.6999999999566</v>
      </c>
      <c r="B484" s="67">
        <f>LOOKUP(A484+0.01,AmountsB!$A$4:$A$103,AmountsB!$B$4:$B$103)*0.1*$A$2</f>
        <v>0</v>
      </c>
      <c r="C484" s="68">
        <f t="shared" si="49"/>
        <v>625969.29735898925</v>
      </c>
      <c r="D484" s="67">
        <f t="array" ref="D484">SUM($B$7:$B479*$F$1009*EXP(-$F$1009*($A484-$A$7:$A479)))*$F$1010</f>
        <v>18551356.243303142</v>
      </c>
      <c r="E484" s="67">
        <f t="shared" si="47"/>
        <v>35.366522962998829</v>
      </c>
      <c r="F484" s="70">
        <f t="shared" si="51"/>
        <v>2.1474552743132889</v>
      </c>
      <c r="G484" s="67">
        <f>E484/'Lookup Tables'!$C$48</f>
        <v>70.733045925997658</v>
      </c>
      <c r="H484" s="70">
        <f t="shared" si="48"/>
        <v>2.9695776690293035E-2</v>
      </c>
      <c r="I484" s="71">
        <f t="shared" si="52"/>
        <v>0.10185558613343662</v>
      </c>
      <c r="L484" s="74"/>
      <c r="M484" s="74"/>
      <c r="N484" s="74"/>
      <c r="O484" s="74"/>
      <c r="P484" s="74"/>
      <c r="Q484" s="74"/>
      <c r="R484" s="74"/>
      <c r="S484" s="74"/>
      <c r="T484" s="74"/>
      <c r="U484" s="74"/>
      <c r="V484" s="74"/>
      <c r="W484" s="74"/>
      <c r="X484" s="74"/>
      <c r="Y484" s="74"/>
      <c r="Z484" s="74"/>
    </row>
    <row r="485" spans="1:26" x14ac:dyDescent="0.3">
      <c r="A485" s="66">
        <f t="shared" si="50"/>
        <v>2037.7999999999565</v>
      </c>
      <c r="B485" s="67">
        <f>LOOKUP(A485+0.01,AmountsB!$A$4:$A$103,AmountsB!$B$4:$B$103)*0.1*$A$2</f>
        <v>0</v>
      </c>
      <c r="C485" s="68">
        <f t="shared" si="49"/>
        <v>625969.29735898925</v>
      </c>
      <c r="D485" s="67">
        <f t="array" ref="D485">SUM($B$7:$B480*$F$1009*EXP(-$F$1009*($A485-$A$7:$A480)))*$F$1010</f>
        <v>18421950.199162215</v>
      </c>
      <c r="E485" s="67">
        <f t="shared" si="47"/>
        <v>35.119821763817605</v>
      </c>
      <c r="F485" s="70">
        <f t="shared" si="51"/>
        <v>2.132475577499005</v>
      </c>
      <c r="G485" s="67">
        <f>E485/'Lookup Tables'!$C$48</f>
        <v>70.239643527635209</v>
      </c>
      <c r="H485" s="70">
        <f t="shared" si="48"/>
        <v>2.9488632105348179E-2</v>
      </c>
      <c r="I485" s="71">
        <f t="shared" si="52"/>
        <v>0.10114508667979469</v>
      </c>
      <c r="L485" s="74"/>
      <c r="M485" s="74"/>
      <c r="N485" s="74"/>
      <c r="O485" s="74"/>
      <c r="P485" s="74"/>
      <c r="Q485" s="74"/>
      <c r="R485" s="74"/>
      <c r="S485" s="74"/>
      <c r="T485" s="74"/>
      <c r="U485" s="74"/>
      <c r="V485" s="74"/>
      <c r="W485" s="74"/>
      <c r="X485" s="74"/>
      <c r="Y485" s="74"/>
      <c r="Z485" s="74"/>
    </row>
    <row r="486" spans="1:26" x14ac:dyDescent="0.3">
      <c r="A486" s="66">
        <f t="shared" si="50"/>
        <v>2037.8999999999564</v>
      </c>
      <c r="B486" s="67">
        <f>LOOKUP(A486+0.01,AmountsB!$A$4:$A$103,AmountsB!$B$4:$B$103)*0.1*$A$2</f>
        <v>0</v>
      </c>
      <c r="C486" s="68">
        <f t="shared" si="49"/>
        <v>625969.29735898925</v>
      </c>
      <c r="D486" s="67">
        <f t="array" ref="D486">SUM($B$7:$B481*$F$1009*EXP(-$F$1009*($A486-$A$7:$A481)))*$F$1010</f>
        <v>18293446.834266972</v>
      </c>
      <c r="E486" s="67">
        <f t="shared" si="47"/>
        <v>34.8748414429297</v>
      </c>
      <c r="F486" s="70">
        <f t="shared" si="51"/>
        <v>2.1176003724146915</v>
      </c>
      <c r="G486" s="67">
        <f>E486/'Lookup Tables'!$C$48</f>
        <v>69.7496828858594</v>
      </c>
      <c r="H486" s="70">
        <f t="shared" si="48"/>
        <v>2.9282932469276674E-2</v>
      </c>
      <c r="I486" s="71">
        <f t="shared" si="52"/>
        <v>0.10043954335563755</v>
      </c>
      <c r="L486" s="74"/>
      <c r="M486" s="74"/>
      <c r="N486" s="74"/>
      <c r="O486" s="74"/>
      <c r="P486" s="74"/>
      <c r="Q486" s="74"/>
      <c r="R486" s="74"/>
      <c r="S486" s="74"/>
      <c r="T486" s="74"/>
      <c r="U486" s="74"/>
      <c r="V486" s="74"/>
      <c r="W486" s="74"/>
      <c r="X486" s="74"/>
      <c r="Y486" s="74"/>
      <c r="Z486" s="74"/>
    </row>
    <row r="487" spans="1:26" x14ac:dyDescent="0.3">
      <c r="A487" s="66">
        <f t="shared" si="50"/>
        <v>2037.9999999999563</v>
      </c>
      <c r="B487" s="67">
        <f>LOOKUP(A487+0.01,AmountsB!$A$4:$A$103,AmountsB!$B$4:$B$103)*0.1*$A$2</f>
        <v>0</v>
      </c>
      <c r="C487" s="68">
        <f t="shared" si="49"/>
        <v>625969.29735898925</v>
      </c>
      <c r="D487" s="67">
        <f t="array" ref="D487">SUM($B$7:$B482*$F$1009*EXP(-$F$1009*($A487-$A$7:$A482)))*$F$1010</f>
        <v>18165839.85192683</v>
      </c>
      <c r="E487" s="67">
        <f t="shared" si="47"/>
        <v>34.631569996250384</v>
      </c>
      <c r="F487" s="70">
        <f t="shared" si="51"/>
        <v>2.1028289301723233</v>
      </c>
      <c r="G487" s="67">
        <f>E487/'Lookup Tables'!$C$48</f>
        <v>69.263139992500768</v>
      </c>
      <c r="H487" s="70">
        <f t="shared" si="48"/>
        <v>2.9078667702755197E-2</v>
      </c>
      <c r="I487" s="71">
        <f t="shared" si="52"/>
        <v>9.9738921589201113E-2</v>
      </c>
      <c r="L487" s="74"/>
      <c r="M487" s="74"/>
      <c r="N487" s="74"/>
      <c r="O487" s="74"/>
      <c r="P487" s="74"/>
      <c r="Q487" s="74"/>
      <c r="R487" s="74"/>
      <c r="S487" s="74"/>
      <c r="T487" s="74"/>
      <c r="U487" s="74"/>
      <c r="V487" s="74"/>
      <c r="W487" s="74"/>
      <c r="X487" s="74"/>
      <c r="Y487" s="74"/>
      <c r="Z487" s="74"/>
    </row>
    <row r="488" spans="1:26" x14ac:dyDescent="0.3">
      <c r="A488" s="66">
        <f t="shared" si="50"/>
        <v>2038.0999999999563</v>
      </c>
      <c r="B488" s="67">
        <f>LOOKUP(A488+0.01,AmountsB!$A$4:$A$103,AmountsB!$B$4:$B$103)*0.1*$A$2</f>
        <v>0</v>
      </c>
      <c r="C488" s="68">
        <f t="shared" si="49"/>
        <v>625969.29735898925</v>
      </c>
      <c r="D488" s="67">
        <f t="array" ref="D488">SUM($B$7:$B483*$F$1009*EXP(-$F$1009*($A488-$A$7:$A483)))*$F$1010</f>
        <v>18039122.999374121</v>
      </c>
      <c r="E488" s="67">
        <f t="shared" si="47"/>
        <v>34.389995503430107</v>
      </c>
      <c r="F488" s="70">
        <f t="shared" si="51"/>
        <v>2.0881605269682759</v>
      </c>
      <c r="G488" s="67">
        <f>E488/'Lookup Tables'!$C$48</f>
        <v>68.779991006860214</v>
      </c>
      <c r="H488" s="70">
        <f t="shared" si="48"/>
        <v>2.8875827796769324E-2</v>
      </c>
      <c r="I488" s="71">
        <f t="shared" si="52"/>
        <v>9.9043187049878703E-2</v>
      </c>
      <c r="L488" s="74"/>
      <c r="M488" s="74"/>
      <c r="N488" s="74"/>
      <c r="O488" s="74"/>
      <c r="P488" s="74"/>
      <c r="Q488" s="74"/>
      <c r="R488" s="74"/>
      <c r="S488" s="74"/>
      <c r="T488" s="74"/>
      <c r="U488" s="74"/>
      <c r="V488" s="74"/>
      <c r="W488" s="74"/>
      <c r="X488" s="74"/>
      <c r="Y488" s="74"/>
      <c r="Z488" s="74"/>
    </row>
    <row r="489" spans="1:26" x14ac:dyDescent="0.3">
      <c r="A489" s="66">
        <f t="shared" si="50"/>
        <v>2038.1999999999562</v>
      </c>
      <c r="B489" s="67">
        <f>LOOKUP(A489+0.01,AmountsB!$A$4:$A$103,AmountsB!$B$4:$B$103)*0.1*$A$2</f>
        <v>0</v>
      </c>
      <c r="C489" s="68">
        <f t="shared" si="49"/>
        <v>625969.29735898925</v>
      </c>
      <c r="D489" s="67">
        <f t="array" ref="D489">SUM($B$7:$B484*$F$1009*EXP(-$F$1009*($A489-$A$7:$A484)))*$F$1010</f>
        <v>17913290.067457709</v>
      </c>
      <c r="E489" s="67">
        <f t="shared" si="47"/>
        <v>34.150106127270362</v>
      </c>
      <c r="F489" s="70">
        <f t="shared" si="51"/>
        <v>2.0735944440478562</v>
      </c>
      <c r="G489" s="67">
        <f>E489/'Lookup Tables'!$C$48</f>
        <v>68.300212254540725</v>
      </c>
      <c r="H489" s="70">
        <f t="shared" si="48"/>
        <v>2.8674402812123065E-2</v>
      </c>
      <c r="I489" s="71">
        <f t="shared" si="52"/>
        <v>9.8352305646538629E-2</v>
      </c>
      <c r="L489" s="74"/>
      <c r="M489" s="74"/>
      <c r="N489" s="74"/>
      <c r="O489" s="74"/>
      <c r="P489" s="74"/>
      <c r="Q489" s="74"/>
      <c r="R489" s="74"/>
      <c r="S489" s="74"/>
      <c r="T489" s="74"/>
      <c r="U489" s="74"/>
      <c r="V489" s="74"/>
      <c r="W489" s="74"/>
      <c r="X489" s="74"/>
      <c r="Y489" s="74"/>
      <c r="Z489" s="74"/>
    </row>
    <row r="490" spans="1:26" x14ac:dyDescent="0.3">
      <c r="A490" s="66">
        <f t="shared" si="50"/>
        <v>2038.2999999999561</v>
      </c>
      <c r="B490" s="67">
        <f>LOOKUP(A490+0.01,AmountsB!$A$4:$A$103,AmountsB!$B$4:$B$103)*0.1*$A$2</f>
        <v>0</v>
      </c>
      <c r="C490" s="68">
        <f t="shared" si="49"/>
        <v>625969.29735898925</v>
      </c>
      <c r="D490" s="67">
        <f t="array" ref="D490">SUM($B$7:$B485*$F$1009*EXP(-$F$1009*($A490-$A$7:$A485)))*$F$1010</f>
        <v>17788334.890338756</v>
      </c>
      <c r="E490" s="67">
        <f t="shared" si="47"/>
        <v>33.91189011314372</v>
      </c>
      <c r="F490" s="70">
        <f t="shared" si="51"/>
        <v>2.0591299676700867</v>
      </c>
      <c r="G490" s="67">
        <f>E490/'Lookup Tables'!$C$48</f>
        <v>67.82378022628744</v>
      </c>
      <c r="H490" s="70">
        <f t="shared" si="48"/>
        <v>2.8474382878951873E-2</v>
      </c>
      <c r="I490" s="71">
        <f t="shared" si="52"/>
        <v>9.7666243525853902E-2</v>
      </c>
      <c r="L490" s="74"/>
      <c r="M490" s="74"/>
      <c r="N490" s="74"/>
      <c r="O490" s="74"/>
      <c r="P490" s="74"/>
      <c r="Q490" s="74"/>
      <c r="R490" s="74"/>
      <c r="S490" s="74"/>
      <c r="T490" s="74"/>
      <c r="U490" s="74"/>
      <c r="V490" s="74"/>
      <c r="W490" s="74"/>
      <c r="X490" s="74"/>
      <c r="Y490" s="74"/>
      <c r="Z490" s="74"/>
    </row>
    <row r="491" spans="1:26" x14ac:dyDescent="0.3">
      <c r="A491" s="66">
        <f t="shared" si="50"/>
        <v>2038.399999999956</v>
      </c>
      <c r="B491" s="67">
        <f>LOOKUP(A491+0.01,AmountsB!$A$4:$A$103,AmountsB!$B$4:$B$103)*0.1*$A$2</f>
        <v>0</v>
      </c>
      <c r="C491" s="68">
        <f t="shared" si="49"/>
        <v>625969.29735898925</v>
      </c>
      <c r="D491" s="67">
        <f t="array" ref="D491">SUM($B$7:$B486*$F$1009*EXP(-$F$1009*($A491-$A$7:$A486)))*$F$1010</f>
        <v>17664251.345188584</v>
      </c>
      <c r="E491" s="67">
        <f t="shared" si="47"/>
        <v>33.675335788417833</v>
      </c>
      <c r="F491" s="70">
        <f t="shared" si="51"/>
        <v>2.0447663890727306</v>
      </c>
      <c r="G491" s="67">
        <f>E491/'Lookup Tables'!$C$48</f>
        <v>67.350671576835666</v>
      </c>
      <c r="H491" s="70">
        <f t="shared" si="48"/>
        <v>2.8275758196239009E-2</v>
      </c>
      <c r="I491" s="71">
        <f t="shared" si="52"/>
        <v>9.6984967070643358E-2</v>
      </c>
      <c r="L491" s="74"/>
      <c r="M491" s="74"/>
      <c r="N491" s="74"/>
      <c r="O491" s="74"/>
      <c r="P491" s="74"/>
      <c r="Q491" s="74"/>
      <c r="R491" s="74"/>
      <c r="S491" s="74"/>
      <c r="T491" s="74"/>
      <c r="U491" s="74"/>
      <c r="V491" s="74"/>
      <c r="W491" s="74"/>
      <c r="X491" s="74"/>
      <c r="Y491" s="74"/>
      <c r="Z491" s="74"/>
    </row>
    <row r="492" spans="1:26" x14ac:dyDescent="0.3">
      <c r="A492" s="66">
        <f t="shared" si="50"/>
        <v>2038.4999999999559</v>
      </c>
      <c r="B492" s="67">
        <f>LOOKUP(A492+0.01,AmountsB!$A$4:$A$103,AmountsB!$B$4:$B$103)*0.1*$A$2</f>
        <v>0</v>
      </c>
      <c r="C492" s="68">
        <f t="shared" si="49"/>
        <v>625969.29735898925</v>
      </c>
      <c r="D492" s="67">
        <f t="array" ref="D492">SUM($B$7:$B487*$F$1009*EXP(-$F$1009*($A492-$A$7:$A487)))*$F$1010</f>
        <v>17541033.351888657</v>
      </c>
      <c r="E492" s="67">
        <f t="shared" si="47"/>
        <v>33.440431561883472</v>
      </c>
      <c r="F492" s="70">
        <f t="shared" si="51"/>
        <v>2.0305030044375645</v>
      </c>
      <c r="G492" s="67">
        <f>E492/'Lookup Tables'!$C$48</f>
        <v>66.880863123766943</v>
      </c>
      <c r="H492" s="70">
        <f t="shared" si="48"/>
        <v>2.8078519031335281E-2</v>
      </c>
      <c r="I492" s="71">
        <f t="shared" si="52"/>
        <v>9.6308442898224406E-2</v>
      </c>
      <c r="L492" s="74"/>
      <c r="M492" s="74"/>
      <c r="N492" s="74"/>
      <c r="O492" s="74"/>
      <c r="P492" s="74"/>
      <c r="Q492" s="74"/>
      <c r="R492" s="74"/>
      <c r="S492" s="74"/>
      <c r="T492" s="74"/>
      <c r="U492" s="74"/>
      <c r="V492" s="74"/>
      <c r="W492" s="74"/>
      <c r="X492" s="74"/>
      <c r="Y492" s="74"/>
      <c r="Z492" s="74"/>
    </row>
    <row r="493" spans="1:26" x14ac:dyDescent="0.3">
      <c r="A493" s="66">
        <f t="shared" si="50"/>
        <v>2038.5999999999558</v>
      </c>
      <c r="B493" s="67">
        <f>LOOKUP(A493+0.01,AmountsB!$A$4:$A$103,AmountsB!$B$4:$B$103)*0.1*$A$2</f>
        <v>0</v>
      </c>
      <c r="C493" s="68">
        <f t="shared" si="49"/>
        <v>625969.29735898925</v>
      </c>
      <c r="D493" s="67">
        <f t="array" ref="D493">SUM($B$7:$B488*$F$1009*EXP(-$F$1009*($A493-$A$7:$A488)))*$F$1010</f>
        <v>17418674.872732639</v>
      </c>
      <c r="E493" s="67">
        <f t="shared" si="47"/>
        <v>33.207165923186523</v>
      </c>
      <c r="F493" s="70">
        <f t="shared" si="51"/>
        <v>2.0163391148558856</v>
      </c>
      <c r="G493" s="67">
        <f>E493/'Lookup Tables'!$C$48</f>
        <v>66.414331846373045</v>
      </c>
      <c r="H493" s="70">
        <f t="shared" si="48"/>
        <v>2.788265571948214E-2</v>
      </c>
      <c r="I493" s="71">
        <f t="shared" si="52"/>
        <v>9.5636637858777185E-2</v>
      </c>
      <c r="L493" s="74"/>
      <c r="M493" s="74"/>
      <c r="N493" s="74"/>
      <c r="O493" s="74"/>
      <c r="P493" s="74"/>
      <c r="Q493" s="74"/>
      <c r="R493" s="74"/>
      <c r="S493" s="74"/>
      <c r="T493" s="74"/>
      <c r="U493" s="74"/>
      <c r="V493" s="74"/>
      <c r="W493" s="74"/>
      <c r="X493" s="74"/>
      <c r="Y493" s="74"/>
      <c r="Z493" s="74"/>
    </row>
    <row r="494" spans="1:26" x14ac:dyDescent="0.3">
      <c r="A494" s="66">
        <f t="shared" si="50"/>
        <v>2038.6999999999557</v>
      </c>
      <c r="B494" s="67">
        <f>LOOKUP(A494+0.01,AmountsB!$A$4:$A$103,AmountsB!$B$4:$B$103)*0.1*$A$2</f>
        <v>0</v>
      </c>
      <c r="C494" s="68">
        <f t="shared" si="49"/>
        <v>625969.29735898925</v>
      </c>
      <c r="D494" s="67">
        <f t="array" ref="D494">SUM($B$7:$B489*$F$1009*EXP(-$F$1009*($A494-$A$7:$A489)))*$F$1010</f>
        <v>17297169.912130579</v>
      </c>
      <c r="E494" s="67">
        <f t="shared" si="47"/>
        <v>32.97552744226401</v>
      </c>
      <c r="F494" s="70">
        <f t="shared" si="51"/>
        <v>2.0022740262942706</v>
      </c>
      <c r="G494" s="67">
        <f>E494/'Lookup Tables'!$C$48</f>
        <v>65.95105488452802</v>
      </c>
      <c r="H494" s="70">
        <f t="shared" si="48"/>
        <v>2.7688158663338101E-2</v>
      </c>
      <c r="I494" s="71">
        <f t="shared" si="52"/>
        <v>9.4969519033720334E-2</v>
      </c>
      <c r="L494" s="74"/>
      <c r="M494" s="74"/>
      <c r="N494" s="74"/>
      <c r="O494" s="74"/>
      <c r="P494" s="74"/>
      <c r="Q494" s="74"/>
      <c r="R494" s="74"/>
      <c r="S494" s="74"/>
      <c r="T494" s="74"/>
      <c r="U494" s="74"/>
      <c r="V494" s="74"/>
      <c r="W494" s="74"/>
      <c r="X494" s="74"/>
      <c r="Y494" s="74"/>
      <c r="Z494" s="74"/>
    </row>
    <row r="495" spans="1:26" x14ac:dyDescent="0.3">
      <c r="A495" s="66">
        <f t="shared" si="50"/>
        <v>2038.7999999999556</v>
      </c>
      <c r="B495" s="67">
        <f>LOOKUP(A495+0.01,AmountsB!$A$4:$A$103,AmountsB!$B$4:$B$103)*0.1*$A$2</f>
        <v>0</v>
      </c>
      <c r="C495" s="68">
        <f t="shared" si="49"/>
        <v>625969.29735898925</v>
      </c>
      <c r="D495" s="67">
        <f t="array" ref="D495">SUM($B$7:$B490*$F$1009*EXP(-$F$1009*($A495-$A$7:$A490)))*$F$1010</f>
        <v>17176512.516315091</v>
      </c>
      <c r="E495" s="67">
        <f t="shared" si="47"/>
        <v>32.745504768784031</v>
      </c>
      <c r="F495" s="70">
        <f t="shared" si="51"/>
        <v>1.9883070495605664</v>
      </c>
      <c r="G495" s="67">
        <f>E495/'Lookup Tables'!$C$48</f>
        <v>65.491009537568061</v>
      </c>
      <c r="H495" s="70">
        <f t="shared" si="48"/>
        <v>2.749501833250852E-2</v>
      </c>
      <c r="I495" s="71">
        <f t="shared" si="52"/>
        <v>9.4307053734098006E-2</v>
      </c>
      <c r="L495" s="74"/>
      <c r="M495" s="74"/>
      <c r="N495" s="74"/>
      <c r="O495" s="74"/>
      <c r="P495" s="74"/>
      <c r="Q495" s="74"/>
      <c r="R495" s="74"/>
      <c r="S495" s="74"/>
      <c r="T495" s="74"/>
      <c r="U495" s="74"/>
      <c r="V495" s="74"/>
      <c r="W495" s="74"/>
      <c r="X495" s="74"/>
      <c r="Y495" s="74"/>
      <c r="Z495" s="74"/>
    </row>
    <row r="496" spans="1:26" x14ac:dyDescent="0.3">
      <c r="A496" s="66">
        <f t="shared" si="50"/>
        <v>2038.8999999999555</v>
      </c>
      <c r="B496" s="67">
        <f>LOOKUP(A496+0.01,AmountsB!$A$4:$A$103,AmountsB!$B$4:$B$103)*0.1*$A$2</f>
        <v>0</v>
      </c>
      <c r="C496" s="68">
        <f t="shared" si="49"/>
        <v>625969.29735898925</v>
      </c>
      <c r="D496" s="67">
        <f t="array" ref="D496">SUM($B$7:$B491*$F$1009*EXP(-$F$1009*($A496-$A$7:$A491)))*$F$1010</f>
        <v>17056696.773049645</v>
      </c>
      <c r="E496" s="67">
        <f t="shared" si="47"/>
        <v>32.517086631589564</v>
      </c>
      <c r="F496" s="70">
        <f t="shared" si="51"/>
        <v>1.9744375002701182</v>
      </c>
      <c r="G496" s="67">
        <f>E496/'Lookup Tables'!$C$48</f>
        <v>65.034173263179127</v>
      </c>
      <c r="H496" s="70">
        <f t="shared" si="48"/>
        <v>2.7303225263078535E-2</v>
      </c>
      <c r="I496" s="71">
        <f t="shared" si="52"/>
        <v>9.3649209498977939E-2</v>
      </c>
      <c r="L496" s="74"/>
      <c r="M496" s="74"/>
      <c r="N496" s="74"/>
      <c r="O496" s="74"/>
      <c r="P496" s="74"/>
      <c r="Q496" s="74"/>
      <c r="R496" s="74"/>
      <c r="S496" s="74"/>
      <c r="T496" s="74"/>
      <c r="U496" s="74"/>
      <c r="V496" s="74"/>
      <c r="W496" s="74"/>
      <c r="X496" s="74"/>
      <c r="Y496" s="74"/>
      <c r="Z496" s="74"/>
    </row>
    <row r="497" spans="1:26" x14ac:dyDescent="0.3">
      <c r="A497" s="66">
        <f t="shared" si="50"/>
        <v>2038.9999999999554</v>
      </c>
      <c r="B497" s="67">
        <f>LOOKUP(A497+0.01,AmountsB!$A$4:$A$103,AmountsB!$B$4:$B$103)*0.1*$A$2</f>
        <v>0</v>
      </c>
      <c r="C497" s="68">
        <f t="shared" si="49"/>
        <v>625969.29735898925</v>
      </c>
      <c r="D497" s="67">
        <f t="array" ref="D497">SUM($B$7:$B492*$F$1009*EXP(-$F$1009*($A497-$A$7:$A492)))*$F$1010</f>
        <v>16937716.811338838</v>
      </c>
      <c r="E497" s="67">
        <f t="shared" si="47"/>
        <v>32.290261838146179</v>
      </c>
      <c r="F497" s="70">
        <f t="shared" si="51"/>
        <v>1.9606646988122358</v>
      </c>
      <c r="G497" s="67">
        <f>E497/'Lookup Tables'!$C$48</f>
        <v>64.580523676292358</v>
      </c>
      <c r="H497" s="70">
        <f t="shared" si="48"/>
        <v>2.7112770057149363E-2</v>
      </c>
      <c r="I497" s="71">
        <f t="shared" si="52"/>
        <v>9.299595409386098E-2</v>
      </c>
      <c r="L497" s="74"/>
      <c r="M497" s="74"/>
      <c r="N497" s="74"/>
      <c r="O497" s="74"/>
      <c r="P497" s="74"/>
      <c r="Q497" s="74"/>
      <c r="R497" s="74"/>
      <c r="S497" s="74"/>
      <c r="T497" s="74"/>
      <c r="U497" s="74"/>
      <c r="V497" s="74"/>
      <c r="W497" s="74"/>
      <c r="X497" s="74"/>
      <c r="Y497" s="74"/>
      <c r="Z497" s="74"/>
    </row>
    <row r="498" spans="1:26" x14ac:dyDescent="0.3">
      <c r="A498" s="66">
        <f t="shared" si="50"/>
        <v>2039.0999999999553</v>
      </c>
      <c r="B498" s="67">
        <f>LOOKUP(A498+0.01,AmountsB!$A$4:$A$103,AmountsB!$B$4:$B$103)*0.1*$A$2</f>
        <v>0</v>
      </c>
      <c r="C498" s="68">
        <f t="shared" si="49"/>
        <v>625969.29735898925</v>
      </c>
      <c r="D498" s="67">
        <f t="array" ref="D498">SUM($B$7:$B493*$F$1009*EXP(-$F$1009*($A498-$A$7:$A493)))*$F$1010</f>
        <v>16819566.801140748</v>
      </c>
      <c r="E498" s="67">
        <f t="shared" si="47"/>
        <v>32.065019273993613</v>
      </c>
      <c r="F498" s="70">
        <f t="shared" si="51"/>
        <v>1.9469879703168922</v>
      </c>
      <c r="G498" s="67">
        <f>E498/'Lookup Tables'!$C$48</f>
        <v>64.130038547987226</v>
      </c>
      <c r="H498" s="70">
        <f t="shared" si="48"/>
        <v>2.6923643382377817E-2</v>
      </c>
      <c r="I498" s="71">
        <f t="shared" si="52"/>
        <v>9.2347255509101611E-2</v>
      </c>
      <c r="L498" s="74"/>
      <c r="M498" s="74"/>
      <c r="N498" s="74"/>
      <c r="O498" s="74"/>
      <c r="P498" s="74"/>
      <c r="Q498" s="74"/>
      <c r="R498" s="74"/>
      <c r="S498" s="74"/>
      <c r="T498" s="74"/>
      <c r="U498" s="74"/>
      <c r="V498" s="74"/>
      <c r="W498" s="74"/>
      <c r="X498" s="74"/>
      <c r="Y498" s="74"/>
      <c r="Z498" s="74"/>
    </row>
    <row r="499" spans="1:26" x14ac:dyDescent="0.3">
      <c r="A499" s="66">
        <f t="shared" si="50"/>
        <v>2039.1999999999553</v>
      </c>
      <c r="B499" s="67">
        <f>LOOKUP(A499+0.01,AmountsB!$A$4:$A$103,AmountsB!$B$4:$B$103)*0.1*$A$2</f>
        <v>0</v>
      </c>
      <c r="C499" s="68">
        <f t="shared" si="49"/>
        <v>625969.29735898925</v>
      </c>
      <c r="D499" s="67">
        <f t="array" ref="D499">SUM($B$7:$B494*$F$1009*EXP(-$F$1009*($A499-$A$7:$A494)))*$F$1010</f>
        <v>16702240.953081228</v>
      </c>
      <c r="E499" s="67">
        <f t="shared" si="47"/>
        <v>31.841347902201147</v>
      </c>
      <c r="F499" s="70">
        <f t="shared" si="51"/>
        <v>1.9334066446216536</v>
      </c>
      <c r="G499" s="67">
        <f>E499/'Lookup Tables'!$C$48</f>
        <v>63.682695804402293</v>
      </c>
      <c r="H499" s="70">
        <f t="shared" si="48"/>
        <v>2.6735835971518976E-2</v>
      </c>
      <c r="I499" s="71">
        <f t="shared" si="52"/>
        <v>9.1703081958339303E-2</v>
      </c>
      <c r="L499" s="74"/>
      <c r="M499" s="74"/>
      <c r="N499" s="74"/>
      <c r="O499" s="74"/>
      <c r="P499" s="74"/>
      <c r="Q499" s="74"/>
      <c r="R499" s="74"/>
      <c r="S499" s="74"/>
      <c r="T499" s="74"/>
      <c r="U499" s="74"/>
      <c r="V499" s="74"/>
      <c r="W499" s="74"/>
      <c r="X499" s="74"/>
      <c r="Y499" s="74"/>
      <c r="Z499" s="74"/>
    </row>
    <row r="500" spans="1:26" x14ac:dyDescent="0.3">
      <c r="A500" s="66">
        <f t="shared" si="50"/>
        <v>2039.2999999999552</v>
      </c>
      <c r="B500" s="67">
        <f>LOOKUP(A500+0.01,AmountsB!$A$4:$A$103,AmountsB!$B$4:$B$103)*0.1*$A$2</f>
        <v>0</v>
      </c>
      <c r="C500" s="68">
        <f t="shared" si="49"/>
        <v>625969.29735898925</v>
      </c>
      <c r="D500" s="67">
        <f t="array" ref="D500">SUM($B$7:$B495*$F$1009*EXP(-$F$1009*($A500-$A$7:$A495)))*$F$1010</f>
        <v>16585733.518170264</v>
      </c>
      <c r="E500" s="67">
        <f t="shared" si="47"/>
        <v>31.619236762826841</v>
      </c>
      <c r="F500" s="70">
        <f t="shared" si="51"/>
        <v>1.9199200562388457</v>
      </c>
      <c r="G500" s="67">
        <f>E500/'Lookup Tables'!$C$48</f>
        <v>63.238473525653681</v>
      </c>
      <c r="H500" s="70">
        <f t="shared" si="48"/>
        <v>2.6549338621972157E-2</v>
      </c>
      <c r="I500" s="71">
        <f t="shared" si="52"/>
        <v>9.10634018769413E-2</v>
      </c>
      <c r="L500" s="74"/>
      <c r="M500" s="74"/>
      <c r="N500" s="74"/>
      <c r="O500" s="74"/>
      <c r="P500" s="74"/>
      <c r="Q500" s="74"/>
      <c r="R500" s="74"/>
      <c r="S500" s="74"/>
      <c r="T500" s="74"/>
      <c r="U500" s="74"/>
      <c r="V500" s="74"/>
      <c r="W500" s="74"/>
      <c r="X500" s="74"/>
      <c r="Y500" s="74"/>
      <c r="Z500" s="74"/>
    </row>
    <row r="501" spans="1:26" x14ac:dyDescent="0.3">
      <c r="A501" s="66">
        <f t="shared" si="50"/>
        <v>2039.3999999999551</v>
      </c>
      <c r="B501" s="67">
        <f>LOOKUP(A501+0.01,AmountsB!$A$4:$A$103,AmountsB!$B$4:$B$103)*0.1*$A$2</f>
        <v>0</v>
      </c>
      <c r="C501" s="68">
        <f t="shared" si="49"/>
        <v>625969.29735898925</v>
      </c>
      <c r="D501" s="67">
        <f t="array" ref="D501">SUM($B$7:$B496*$F$1009*EXP(-$F$1009*($A501-$A$7:$A496)))*$F$1010</f>
        <v>16470038.787520217</v>
      </c>
      <c r="E501" s="67">
        <f t="shared" si="47"/>
        <v>31.398674972380391</v>
      </c>
      <c r="F501" s="70">
        <f t="shared" si="51"/>
        <v>1.9065275443229375</v>
      </c>
      <c r="G501" s="67">
        <f>E501/'Lookup Tables'!$C$48</f>
        <v>62.797349944760782</v>
      </c>
      <c r="H501" s="70">
        <f t="shared" si="48"/>
        <v>2.6364142195329895E-2</v>
      </c>
      <c r="I501" s="71">
        <f t="shared" si="52"/>
        <v>9.0428183920455527E-2</v>
      </c>
      <c r="L501" s="74"/>
      <c r="M501" s="74"/>
      <c r="N501" s="74"/>
      <c r="O501" s="74"/>
      <c r="P501" s="74"/>
      <c r="Q501" s="74"/>
      <c r="R501" s="74"/>
      <c r="S501" s="74"/>
      <c r="T501" s="74"/>
      <c r="U501" s="74"/>
      <c r="V501" s="74"/>
      <c r="W501" s="74"/>
      <c r="X501" s="74"/>
      <c r="Y501" s="74"/>
      <c r="Z501" s="74"/>
    </row>
    <row r="502" spans="1:26" x14ac:dyDescent="0.3">
      <c r="A502" s="66">
        <f t="shared" si="50"/>
        <v>2039.499999999955</v>
      </c>
      <c r="B502" s="67">
        <f>LOOKUP(A502+0.01,AmountsB!$A$4:$A$103,AmountsB!$B$4:$B$103)*0.1*$A$2</f>
        <v>0</v>
      </c>
      <c r="C502" s="68">
        <f t="shared" si="49"/>
        <v>625969.29735898925</v>
      </c>
      <c r="D502" s="67">
        <f t="array" ref="D502">SUM($B$7:$B497*$F$1009*EXP(-$F$1009*($A502-$A$7:$A497)))*$F$1010</f>
        <v>16355151.092066146</v>
      </c>
      <c r="E502" s="67">
        <f t="shared" si="47"/>
        <v>31.179651723289954</v>
      </c>
      <c r="F502" s="70">
        <f t="shared" si="51"/>
        <v>1.893228452638166</v>
      </c>
      <c r="G502" s="67">
        <f>E502/'Lookup Tables'!$C$48</f>
        <v>62.359303446579908</v>
      </c>
      <c r="H502" s="70">
        <f t="shared" si="48"/>
        <v>2.6180237616930238E-2</v>
      </c>
      <c r="I502" s="71">
        <f t="shared" si="52"/>
        <v>8.9797396963075066E-2</v>
      </c>
      <c r="L502" s="74"/>
      <c r="M502" s="74"/>
      <c r="N502" s="74"/>
      <c r="O502" s="74"/>
      <c r="P502" s="74"/>
      <c r="Q502" s="74"/>
      <c r="R502" s="74"/>
      <c r="S502" s="74"/>
      <c r="T502" s="74"/>
      <c r="U502" s="74"/>
      <c r="V502" s="74"/>
      <c r="W502" s="74"/>
      <c r="X502" s="74"/>
      <c r="Y502" s="74"/>
      <c r="Z502" s="74"/>
    </row>
    <row r="503" spans="1:26" x14ac:dyDescent="0.3">
      <c r="A503" s="66">
        <f t="shared" si="50"/>
        <v>2039.5999999999549</v>
      </c>
      <c r="B503" s="67">
        <f>LOOKUP(A503+0.01,AmountsB!$A$4:$A$103,AmountsB!$B$4:$B$103)*0.1*$A$2</f>
        <v>0</v>
      </c>
      <c r="C503" s="68">
        <f t="shared" si="49"/>
        <v>625969.29735898925</v>
      </c>
      <c r="D503" s="67">
        <f t="array" ref="D503">SUM($B$7:$B498*$F$1009*EXP(-$F$1009*($A503-$A$7:$A498)))*$F$1010</f>
        <v>16241064.802287981</v>
      </c>
      <c r="E503" s="67">
        <f t="shared" si="47"/>
        <v>30.96215628337249</v>
      </c>
      <c r="F503" s="70">
        <f t="shared" si="51"/>
        <v>1.8800221295263775</v>
      </c>
      <c r="G503" s="67">
        <f>E503/'Lookup Tables'!$C$48</f>
        <v>61.92431256674498</v>
      </c>
      <c r="H503" s="70">
        <f t="shared" si="48"/>
        <v>2.599761587541204E-2</v>
      </c>
      <c r="I503" s="71">
        <f t="shared" si="52"/>
        <v>8.9171010096112766E-2</v>
      </c>
      <c r="L503" s="74"/>
      <c r="M503" s="74"/>
      <c r="N503" s="74"/>
      <c r="O503" s="74"/>
      <c r="P503" s="74"/>
      <c r="Q503" s="74"/>
      <c r="R503" s="74"/>
      <c r="S503" s="74"/>
      <c r="T503" s="74"/>
      <c r="U503" s="74"/>
      <c r="V503" s="74"/>
      <c r="W503" s="74"/>
      <c r="X503" s="74"/>
      <c r="Y503" s="74"/>
      <c r="Z503" s="74"/>
    </row>
    <row r="504" spans="1:26" x14ac:dyDescent="0.3">
      <c r="A504" s="66">
        <f t="shared" si="50"/>
        <v>2039.6999999999548</v>
      </c>
      <c r="B504" s="67">
        <f>LOOKUP(A504+0.01,AmountsB!$A$4:$A$103,AmountsB!$B$4:$B$103)*0.1*$A$2</f>
        <v>0</v>
      </c>
      <c r="C504" s="68">
        <f t="shared" si="49"/>
        <v>625969.29735898925</v>
      </c>
      <c r="D504" s="67">
        <f t="array" ref="D504">SUM($B$7:$B499*$F$1009*EXP(-$F$1009*($A504-$A$7:$A499)))*$F$1010</f>
        <v>16127774.327934701</v>
      </c>
      <c r="E504" s="67">
        <f t="shared" si="47"/>
        <v>30.746177995307939</v>
      </c>
      <c r="F504" s="70">
        <f t="shared" si="51"/>
        <v>1.8669079278750977</v>
      </c>
      <c r="G504" s="67">
        <f>E504/'Lookup Tables'!$C$48</f>
        <v>61.492355990615877</v>
      </c>
      <c r="H504" s="70">
        <f t="shared" si="48"/>
        <v>2.5816268022273443E-2</v>
      </c>
      <c r="I504" s="71">
        <f t="shared" si="52"/>
        <v>8.8548992626486855E-2</v>
      </c>
      <c r="L504" s="74"/>
      <c r="M504" s="74"/>
      <c r="N504" s="74"/>
      <c r="O504" s="74"/>
      <c r="P504" s="74"/>
      <c r="Q504" s="74"/>
      <c r="R504" s="74"/>
      <c r="S504" s="74"/>
      <c r="T504" s="74"/>
      <c r="U504" s="74"/>
      <c r="V504" s="74"/>
      <c r="W504" s="74"/>
      <c r="X504" s="74"/>
      <c r="Y504" s="74"/>
      <c r="Z504" s="74"/>
    </row>
    <row r="505" spans="1:26" x14ac:dyDescent="0.3">
      <c r="A505" s="66">
        <f t="shared" si="50"/>
        <v>2039.7999999999547</v>
      </c>
      <c r="B505" s="67">
        <f>LOOKUP(A505+0.01,AmountsB!$A$4:$A$103,AmountsB!$B$4:$B$103)*0.1*$A$2</f>
        <v>0</v>
      </c>
      <c r="C505" s="68">
        <f t="shared" si="49"/>
        <v>625969.29735898925</v>
      </c>
      <c r="D505" s="67">
        <f t="array" ref="D505">SUM($B$7:$B500*$F$1009*EXP(-$F$1009*($A505-$A$7:$A500)))*$F$1010</f>
        <v>16015274.117750386</v>
      </c>
      <c r="E505" s="67">
        <f t="shared" si="47"/>
        <v>30.531706276116942</v>
      </c>
      <c r="F505" s="70">
        <f t="shared" si="51"/>
        <v>1.8538852050858208</v>
      </c>
      <c r="G505" s="67">
        <f>E505/'Lookup Tables'!$C$48</f>
        <v>61.063412552233885</v>
      </c>
      <c r="H505" s="70">
        <f t="shared" si="48"/>
        <v>2.5636185171433335E-2</v>
      </c>
      <c r="I505" s="71">
        <f t="shared" si="52"/>
        <v>8.7931314075216802E-2</v>
      </c>
      <c r="L505" s="74"/>
      <c r="M505" s="74"/>
      <c r="N505" s="74"/>
      <c r="O505" s="74"/>
      <c r="P505" s="74"/>
      <c r="Q505" s="74"/>
      <c r="R505" s="74"/>
      <c r="S505" s="74"/>
      <c r="T505" s="74"/>
      <c r="U505" s="74"/>
      <c r="V505" s="74"/>
      <c r="W505" s="74"/>
      <c r="X505" s="74"/>
      <c r="Y505" s="74"/>
      <c r="Z505" s="74"/>
    </row>
    <row r="506" spans="1:26" x14ac:dyDescent="0.3">
      <c r="A506" s="66">
        <f t="shared" si="50"/>
        <v>2039.8999999999546</v>
      </c>
      <c r="B506" s="67">
        <f>LOOKUP(A506+0.01,AmountsB!$A$4:$A$103,AmountsB!$B$4:$B$103)*0.1*$A$2</f>
        <v>0</v>
      </c>
      <c r="C506" s="68">
        <f t="shared" si="49"/>
        <v>625969.29735898925</v>
      </c>
      <c r="D506" s="67">
        <f t="array" ref="D506">SUM($B$7:$B501*$F$1009*EXP(-$F$1009*($A506-$A$7:$A501)))*$F$1010</f>
        <v>15903558.659202231</v>
      </c>
      <c r="E506" s="67">
        <f t="shared" si="47"/>
        <v>30.31873061664237</v>
      </c>
      <c r="F506" s="70">
        <f t="shared" si="51"/>
        <v>1.8409533230425248</v>
      </c>
      <c r="G506" s="67">
        <f>E506/'Lookup Tables'!$C$48</f>
        <v>60.637461233284739</v>
      </c>
      <c r="H506" s="70">
        <f t="shared" si="48"/>
        <v>2.5457358498796007E-2</v>
      </c>
      <c r="I506" s="71">
        <f t="shared" si="52"/>
        <v>8.7317944175930029E-2</v>
      </c>
      <c r="L506" s="74"/>
      <c r="M506" s="74"/>
      <c r="N506" s="74"/>
      <c r="O506" s="74"/>
      <c r="P506" s="74"/>
      <c r="Q506" s="74"/>
      <c r="R506" s="74"/>
      <c r="S506" s="74"/>
      <c r="T506" s="74"/>
      <c r="U506" s="74"/>
      <c r="V506" s="74"/>
      <c r="W506" s="74"/>
      <c r="X506" s="74"/>
      <c r="Y506" s="74"/>
      <c r="Z506" s="74"/>
    </row>
    <row r="507" spans="1:26" x14ac:dyDescent="0.3">
      <c r="A507" s="66">
        <f t="shared" si="50"/>
        <v>2039.9999999999545</v>
      </c>
      <c r="B507" s="67">
        <f>LOOKUP(A507+0.01,AmountsB!$A$4:$A$103,AmountsB!$B$4:$B$103)*0.1*$A$2</f>
        <v>0</v>
      </c>
      <c r="C507" s="68">
        <f t="shared" si="49"/>
        <v>625969.29735898925</v>
      </c>
      <c r="D507" s="67">
        <f t="array" ref="D507">SUM($B$7:$B502*$F$1009*EXP(-$F$1009*($A507-$A$7:$A502)))*$F$1010</f>
        <v>15792622.478210425</v>
      </c>
      <c r="E507" s="67">
        <f t="shared" si="47"/>
        <v>30.107240581034301</v>
      </c>
      <c r="F507" s="70">
        <f t="shared" si="51"/>
        <v>1.8281116480804027</v>
      </c>
      <c r="G507" s="67">
        <f>E507/'Lookup Tables'!$C$48</f>
        <v>60.214481162068601</v>
      </c>
      <c r="H507" s="70">
        <f t="shared" si="48"/>
        <v>2.527977924181872E-2</v>
      </c>
      <c r="I507" s="71">
        <f t="shared" si="52"/>
        <v>8.6708852873378789E-2</v>
      </c>
      <c r="L507" s="74"/>
      <c r="M507" s="74"/>
      <c r="N507" s="74"/>
      <c r="O507" s="74"/>
      <c r="P507" s="74"/>
      <c r="Q507" s="74"/>
      <c r="R507" s="74"/>
      <c r="S507" s="74"/>
      <c r="T507" s="74"/>
      <c r="U507" s="74"/>
      <c r="V507" s="74"/>
      <c r="W507" s="74"/>
      <c r="X507" s="74"/>
      <c r="Y507" s="74"/>
      <c r="Z507" s="74"/>
    </row>
    <row r="508" spans="1:26" x14ac:dyDescent="0.3">
      <c r="A508" s="66">
        <f t="shared" si="50"/>
        <v>2040.0999999999544</v>
      </c>
      <c r="B508" s="67">
        <f>LOOKUP(A508+0.01,AmountsB!$A$4:$A$103,AmountsB!$B$4:$B$103)*0.1*$A$2</f>
        <v>0</v>
      </c>
      <c r="C508" s="68">
        <f t="shared" si="49"/>
        <v>625969.29735898925</v>
      </c>
      <c r="D508" s="67">
        <f t="array" ref="D508">SUM($B$7:$B503*$F$1009*EXP(-$F$1009*($A508-$A$7:$A503)))*$F$1010</f>
        <v>15682460.138879899</v>
      </c>
      <c r="E508" s="67">
        <f t="shared" si="47"/>
        <v>29.897225806238676</v>
      </c>
      <c r="F508" s="70">
        <f t="shared" si="51"/>
        <v>1.8153595509548124</v>
      </c>
      <c r="G508" s="67">
        <f>E508/'Lookup Tables'!$C$48</f>
        <v>59.794451612477353</v>
      </c>
      <c r="H508" s="70">
        <f t="shared" si="48"/>
        <v>2.5103438699082371E-2</v>
      </c>
      <c r="I508" s="71">
        <f t="shared" si="52"/>
        <v>8.6104010321967392E-2</v>
      </c>
      <c r="L508" s="74"/>
      <c r="M508" s="74"/>
      <c r="N508" s="74"/>
      <c r="O508" s="74"/>
      <c r="P508" s="74"/>
      <c r="Q508" s="74"/>
      <c r="R508" s="74"/>
      <c r="S508" s="74"/>
      <c r="T508" s="74"/>
      <c r="U508" s="74"/>
      <c r="V508" s="74"/>
      <c r="W508" s="74"/>
      <c r="X508" s="74"/>
      <c r="Y508" s="74"/>
      <c r="Z508" s="74"/>
    </row>
    <row r="509" spans="1:26" x14ac:dyDescent="0.3">
      <c r="A509" s="66">
        <f t="shared" si="50"/>
        <v>2040.1999999999543</v>
      </c>
      <c r="B509" s="67">
        <f>LOOKUP(A509+0.01,AmountsB!$A$4:$A$103,AmountsB!$B$4:$B$103)*0.1*$A$2</f>
        <v>0</v>
      </c>
      <c r="C509" s="68">
        <f t="shared" si="49"/>
        <v>625969.29735898925</v>
      </c>
      <c r="D509" s="67">
        <f t="array" ref="D509">SUM($B$7:$B504*$F$1009*EXP(-$F$1009*($A509-$A$7:$A504)))*$F$1010</f>
        <v>15573066.243233975</v>
      </c>
      <c r="E509" s="67">
        <f t="shared" si="47"/>
        <v>29.68867600148949</v>
      </c>
      <c r="F509" s="70">
        <f t="shared" si="51"/>
        <v>1.8026964068104419</v>
      </c>
      <c r="G509" s="67">
        <f>E509/'Lookup Tables'!$C$48</f>
        <v>59.377352002978981</v>
      </c>
      <c r="H509" s="70">
        <f t="shared" si="48"/>
        <v>2.4928328229865043E-2</v>
      </c>
      <c r="I509" s="71">
        <f t="shared" si="52"/>
        <v>8.5503386884289739E-2</v>
      </c>
      <c r="L509" s="74"/>
      <c r="M509" s="74"/>
      <c r="N509" s="74"/>
      <c r="O509" s="74"/>
      <c r="P509" s="74"/>
      <c r="Q509" s="74"/>
      <c r="R509" s="74"/>
      <c r="S509" s="74"/>
      <c r="T509" s="74"/>
      <c r="U509" s="74"/>
      <c r="V509" s="74"/>
      <c r="W509" s="74"/>
      <c r="X509" s="74"/>
      <c r="Y509" s="74"/>
      <c r="Z509" s="74"/>
    </row>
    <row r="510" spans="1:26" x14ac:dyDescent="0.3">
      <c r="A510" s="66">
        <f t="shared" si="50"/>
        <v>2040.2999999999543</v>
      </c>
      <c r="B510" s="67">
        <f>LOOKUP(A510+0.01,AmountsB!$A$4:$A$103,AmountsB!$B$4:$B$103)*0.1*$A$2</f>
        <v>0</v>
      </c>
      <c r="C510" s="68">
        <f t="shared" si="49"/>
        <v>625969.29735898925</v>
      </c>
      <c r="D510" s="67">
        <f t="array" ref="D510">SUM($B$7:$B505*$F$1009*EXP(-$F$1009*($A510-$A$7:$A505)))*$F$1010</f>
        <v>15464435.430949882</v>
      </c>
      <c r="E510" s="67">
        <f t="shared" si="47"/>
        <v>29.481580947804591</v>
      </c>
      <c r="F510" s="70">
        <f t="shared" si="51"/>
        <v>1.7901215951506948</v>
      </c>
      <c r="G510" s="67">
        <f>E510/'Lookup Tables'!$C$48</f>
        <v>58.963161895609183</v>
      </c>
      <c r="H510" s="70">
        <f t="shared" si="48"/>
        <v>2.4754439253718726E-2</v>
      </c>
      <c r="I510" s="71">
        <f t="shared" si="52"/>
        <v>8.4906953129677221E-2</v>
      </c>
      <c r="L510" s="74"/>
      <c r="M510" s="74"/>
      <c r="N510" s="74"/>
      <c r="O510" s="74"/>
      <c r="P510" s="74"/>
      <c r="Q510" s="74"/>
      <c r="R510" s="74"/>
      <c r="S510" s="74"/>
      <c r="T510" s="74"/>
      <c r="U510" s="74"/>
      <c r="V510" s="74"/>
      <c r="W510" s="74"/>
      <c r="X510" s="74"/>
      <c r="Y510" s="74"/>
      <c r="Z510" s="74"/>
    </row>
    <row r="511" spans="1:26" x14ac:dyDescent="0.3">
      <c r="A511" s="66">
        <f t="shared" si="50"/>
        <v>2040.3999999999542</v>
      </c>
      <c r="B511" s="67">
        <f>LOOKUP(A511+0.01,AmountsB!$A$4:$A$103,AmountsB!$B$4:$B$103)*0.1*$A$2</f>
        <v>0</v>
      </c>
      <c r="C511" s="68">
        <f t="shared" si="49"/>
        <v>625969.29735898925</v>
      </c>
      <c r="D511" s="67">
        <f t="array" ref="D511">SUM($B$7:$B506*$F$1009*EXP(-$F$1009*($A511-$A$7:$A506)))*$F$1010</f>
        <v>15356562.379096089</v>
      </c>
      <c r="E511" s="67">
        <f t="shared" si="47"/>
        <v>29.275930497484918</v>
      </c>
      <c r="F511" s="70">
        <f t="shared" si="51"/>
        <v>1.7776344998072842</v>
      </c>
      <c r="G511" s="67">
        <f>E511/'Lookup Tables'!$C$48</f>
        <v>58.551860994969836</v>
      </c>
      <c r="H511" s="70">
        <f t="shared" si="48"/>
        <v>2.4581763250048801E-2</v>
      </c>
      <c r="I511" s="71">
        <f t="shared" si="52"/>
        <v>8.4314679832756562E-2</v>
      </c>
      <c r="L511" s="74"/>
      <c r="M511" s="74"/>
      <c r="N511" s="74"/>
      <c r="O511" s="74"/>
      <c r="P511" s="74"/>
      <c r="Q511" s="74"/>
      <c r="R511" s="74"/>
      <c r="S511" s="74"/>
      <c r="T511" s="74"/>
      <c r="U511" s="74"/>
      <c r="V511" s="74"/>
      <c r="W511" s="74"/>
      <c r="X511" s="74"/>
      <c r="Y511" s="74"/>
      <c r="Z511" s="74"/>
    </row>
    <row r="512" spans="1:26" x14ac:dyDescent="0.3">
      <c r="A512" s="66">
        <f t="shared" si="50"/>
        <v>2040.4999999999541</v>
      </c>
      <c r="B512" s="67">
        <f>LOOKUP(A512+0.01,AmountsB!$A$4:$A$103,AmountsB!$B$4:$B$103)*0.1*$A$2</f>
        <v>0</v>
      </c>
      <c r="C512" s="68">
        <f t="shared" si="49"/>
        <v>625969.29735898925</v>
      </c>
      <c r="D512" s="67">
        <f t="array" ref="D512">SUM($B$7:$B507*$F$1009*EXP(-$F$1009*($A512-$A$7:$A507)))*$F$1010</f>
        <v>15249441.801871462</v>
      </c>
      <c r="E512" s="67">
        <f t="shared" si="47"/>
        <v>29.071714573617246</v>
      </c>
      <c r="F512" s="70">
        <f t="shared" si="51"/>
        <v>1.765234508910039</v>
      </c>
      <c r="G512" s="67">
        <f>E512/'Lookup Tables'!$C$48</f>
        <v>58.143429147234492</v>
      </c>
      <c r="H512" s="70">
        <f t="shared" si="48"/>
        <v>2.4410291757696528E-2</v>
      </c>
      <c r="I512" s="71">
        <f t="shared" si="52"/>
        <v>8.3726537972017651E-2</v>
      </c>
      <c r="L512" s="74"/>
      <c r="M512" s="74"/>
      <c r="N512" s="74"/>
      <c r="O512" s="74"/>
      <c r="P512" s="74"/>
      <c r="Q512" s="74"/>
      <c r="R512" s="74"/>
      <c r="S512" s="74"/>
      <c r="T512" s="74"/>
      <c r="U512" s="74"/>
      <c r="V512" s="74"/>
      <c r="W512" s="74"/>
      <c r="X512" s="74"/>
      <c r="Y512" s="74"/>
      <c r="Z512" s="74"/>
    </row>
    <row r="513" spans="1:26" x14ac:dyDescent="0.3">
      <c r="A513" s="66">
        <f t="shared" si="50"/>
        <v>2040.599999999954</v>
      </c>
      <c r="B513" s="67">
        <f>LOOKUP(A513+0.01,AmountsB!$A$4:$A$103,AmountsB!$B$4:$B$103)*0.1*$A$2</f>
        <v>0</v>
      </c>
      <c r="C513" s="68">
        <f t="shared" si="49"/>
        <v>625969.29735898925</v>
      </c>
      <c r="D513" s="67">
        <f t="array" ref="D513">SUM($B$7:$B508*$F$1009*EXP(-$F$1009*($A513-$A$7:$A508)))*$F$1010</f>
        <v>15143068.450346293</v>
      </c>
      <c r="E513" s="67">
        <f t="shared" si="47"/>
        <v>28.868923169580459</v>
      </c>
      <c r="F513" s="70">
        <f t="shared" si="51"/>
        <v>1.7529210148569254</v>
      </c>
      <c r="G513" s="67">
        <f>E513/'Lookup Tables'!$C$48</f>
        <v>57.737846339160917</v>
      </c>
      <c r="H513" s="70">
        <f t="shared" si="48"/>
        <v>2.4240016374524487E-2</v>
      </c>
      <c r="I513" s="71">
        <f t="shared" si="52"/>
        <v>8.3142498728391717E-2</v>
      </c>
      <c r="L513" s="74"/>
      <c r="M513" s="74"/>
      <c r="N513" s="74"/>
      <c r="O513" s="74"/>
      <c r="P513" s="74"/>
      <c r="Q513" s="74"/>
      <c r="R513" s="74"/>
      <c r="S513" s="74"/>
      <c r="T513" s="74"/>
      <c r="U513" s="74"/>
      <c r="V513" s="74"/>
      <c r="W513" s="74"/>
      <c r="X513" s="74"/>
      <c r="Y513" s="74"/>
      <c r="Z513" s="74"/>
    </row>
    <row r="514" spans="1:26" x14ac:dyDescent="0.3">
      <c r="A514" s="66">
        <f t="shared" si="50"/>
        <v>2040.6999999999539</v>
      </c>
      <c r="B514" s="67">
        <f>LOOKUP(A514+0.01,AmountsB!$A$4:$A$103,AmountsB!$B$4:$B$103)*0.1*$A$2</f>
        <v>0</v>
      </c>
      <c r="C514" s="68">
        <f t="shared" si="49"/>
        <v>625969.29735898925</v>
      </c>
      <c r="D514" s="67">
        <f t="array" ref="D514">SUM($B$7:$B509*$F$1009*EXP(-$F$1009*($A514-$A$7:$A509)))*$F$1010</f>
        <v>15037437.112205068</v>
      </c>
      <c r="E514" s="67">
        <f t="shared" si="47"/>
        <v>28.667546348555177</v>
      </c>
      <c r="F514" s="70">
        <f t="shared" si="51"/>
        <v>1.7406934142842705</v>
      </c>
      <c r="G514" s="67">
        <f>E514/'Lookup Tables'!$C$48</f>
        <v>57.335092697110355</v>
      </c>
      <c r="H514" s="70">
        <f t="shared" si="48"/>
        <v>2.4070928757004829E-2</v>
      </c>
      <c r="I514" s="71">
        <f t="shared" si="52"/>
        <v>8.2562533483838907E-2</v>
      </c>
      <c r="L514" s="74"/>
      <c r="M514" s="74"/>
      <c r="N514" s="74"/>
      <c r="O514" s="74"/>
      <c r="P514" s="74"/>
      <c r="Q514" s="74"/>
      <c r="R514" s="74"/>
      <c r="S514" s="74"/>
      <c r="T514" s="74"/>
      <c r="U514" s="74"/>
      <c r="V514" s="74"/>
      <c r="W514" s="74"/>
      <c r="X514" s="74"/>
      <c r="Y514" s="74"/>
      <c r="Z514" s="74"/>
    </row>
    <row r="515" spans="1:26" x14ac:dyDescent="0.3">
      <c r="A515" s="66">
        <f t="shared" si="50"/>
        <v>2040.7999999999538</v>
      </c>
      <c r="B515" s="67">
        <f>LOOKUP(A515+0.01,AmountsB!$A$4:$A$103,AmountsB!$B$4:$B$103)*0.1*$A$2</f>
        <v>0</v>
      </c>
      <c r="C515" s="68">
        <f t="shared" si="49"/>
        <v>625969.29735898925</v>
      </c>
      <c r="D515" s="67">
        <f t="array" ref="D515">SUM($B$7:$B510*$F$1009*EXP(-$F$1009*($A515-$A$7:$A510)))*$F$1010</f>
        <v>14932542.611491092</v>
      </c>
      <c r="E515" s="67">
        <f t="shared" si="47"/>
        <v>28.467574243036889</v>
      </c>
      <c r="F515" s="70">
        <f t="shared" si="51"/>
        <v>1.7285511080371998</v>
      </c>
      <c r="G515" s="67">
        <f>E515/'Lookup Tables'!$C$48</f>
        <v>56.935148486073778</v>
      </c>
      <c r="H515" s="70">
        <f t="shared" si="48"/>
        <v>2.3903020619810467E-2</v>
      </c>
      <c r="I515" s="71">
        <f t="shared" si="52"/>
        <v>8.198661381994625E-2</v>
      </c>
      <c r="L515" s="74"/>
      <c r="M515" s="74"/>
      <c r="N515" s="74"/>
      <c r="O515" s="74"/>
      <c r="P515" s="74"/>
      <c r="Q515" s="74"/>
      <c r="R515" s="74"/>
      <c r="S515" s="74"/>
      <c r="T515" s="74"/>
      <c r="U515" s="74"/>
      <c r="V515" s="74"/>
      <c r="W515" s="74"/>
      <c r="X515" s="74"/>
      <c r="Y515" s="74"/>
      <c r="Z515" s="74"/>
    </row>
    <row r="516" spans="1:26" x14ac:dyDescent="0.3">
      <c r="A516" s="66">
        <f t="shared" si="50"/>
        <v>2040.8999999999537</v>
      </c>
      <c r="B516" s="67">
        <f>LOOKUP(A516+0.01,AmountsB!$A$4:$A$103,AmountsB!$B$4:$B$103)*0.1*$A$2</f>
        <v>0</v>
      </c>
      <c r="C516" s="68">
        <f t="shared" si="49"/>
        <v>625969.29735898925</v>
      </c>
      <c r="D516" s="67">
        <f t="array" ref="D516">SUM($B$7:$B511*$F$1009*EXP(-$F$1009*($A516-$A$7:$A511)))*$F$1010</f>
        <v>14828379.808352832</v>
      </c>
      <c r="E516" s="67">
        <f t="shared" si="47"/>
        <v>28.268997054352404</v>
      </c>
      <c r="F516" s="70">
        <f t="shared" si="51"/>
        <v>1.716493501140278</v>
      </c>
      <c r="G516" s="67">
        <f>E516/'Lookup Tables'!$C$48</f>
        <v>56.537994108704808</v>
      </c>
      <c r="H516" s="70">
        <f t="shared" si="48"/>
        <v>2.3736283735409078E-2</v>
      </c>
      <c r="I516" s="71">
        <f t="shared" si="52"/>
        <v>8.1414711516534927E-2</v>
      </c>
      <c r="L516" s="74"/>
      <c r="M516" s="74"/>
      <c r="N516" s="74"/>
      <c r="O516" s="74"/>
      <c r="P516" s="74"/>
      <c r="Q516" s="74"/>
      <c r="R516" s="74"/>
      <c r="S516" s="74"/>
      <c r="T516" s="74"/>
      <c r="U516" s="74"/>
      <c r="V516" s="74"/>
      <c r="W516" s="74"/>
      <c r="X516" s="74"/>
      <c r="Y516" s="74"/>
      <c r="Z516" s="74"/>
    </row>
    <row r="517" spans="1:26" x14ac:dyDescent="0.3">
      <c r="A517" s="66">
        <f t="shared" si="50"/>
        <v>2040.9999999999536</v>
      </c>
      <c r="B517" s="67">
        <f>LOOKUP(A517+0.01,AmountsB!$A$4:$A$103,AmountsB!$B$4:$B$103)*0.1*$A$2</f>
        <v>0</v>
      </c>
      <c r="C517" s="68">
        <f t="shared" si="49"/>
        <v>625969.29735898925</v>
      </c>
      <c r="D517" s="67">
        <f t="array" ref="D517">SUM($B$7:$B512*$F$1009*EXP(-$F$1009*($A517-$A$7:$A512)))*$F$1010</f>
        <v>14724943.598792091</v>
      </c>
      <c r="E517" s="67">
        <f t="shared" si="47"/>
        <v>28.071805052179723</v>
      </c>
      <c r="F517" s="70">
        <f t="shared" si="51"/>
        <v>1.7045200027683527</v>
      </c>
      <c r="G517" s="67">
        <f>E517/'Lookup Tables'!$C$48</f>
        <v>56.143610104359446</v>
      </c>
      <c r="H517" s="70">
        <f t="shared" si="48"/>
        <v>2.3570709933659943E-2</v>
      </c>
      <c r="I517" s="71">
        <f t="shared" si="52"/>
        <v>8.0846798550277599E-2</v>
      </c>
      <c r="L517" s="74"/>
      <c r="M517" s="74"/>
      <c r="N517" s="74"/>
      <c r="O517" s="74"/>
      <c r="P517" s="74"/>
      <c r="Q517" s="74"/>
      <c r="R517" s="74"/>
      <c r="S517" s="74"/>
      <c r="T517" s="74"/>
      <c r="U517" s="74"/>
      <c r="V517" s="74"/>
      <c r="W517" s="74"/>
      <c r="X517" s="74"/>
      <c r="Y517" s="74"/>
      <c r="Z517" s="74"/>
    </row>
    <row r="518" spans="1:26" x14ac:dyDescent="0.3">
      <c r="A518" s="66">
        <f t="shared" si="50"/>
        <v>2041.0999999999535</v>
      </c>
      <c r="B518" s="67">
        <f>LOOKUP(A518+0.01,AmountsB!$A$4:$A$103,AmountsB!$B$4:$B$103)*0.1*$A$2</f>
        <v>0</v>
      </c>
      <c r="C518" s="68">
        <f t="shared" si="49"/>
        <v>625969.29735898925</v>
      </c>
      <c r="D518" s="67">
        <f t="array" ref="D518">SUM($B$7:$B513*$F$1009*EXP(-$F$1009*($A518-$A$7:$A513)))*$F$1010</f>
        <v>14622228.914413922</v>
      </c>
      <c r="E518" s="67">
        <f t="shared" si="47"/>
        <v>27.875988574071336</v>
      </c>
      <c r="F518" s="70">
        <f t="shared" si="51"/>
        <v>1.6926300262176115</v>
      </c>
      <c r="G518" s="67">
        <f>E518/'Lookup Tables'!$C$48</f>
        <v>55.751977148142672</v>
      </c>
      <c r="H518" s="70">
        <f t="shared" si="48"/>
        <v>2.3406291101413696E-2</v>
      </c>
      <c r="I518" s="71">
        <f t="shared" si="52"/>
        <v>8.0282847093325449E-2</v>
      </c>
      <c r="L518" s="74"/>
      <c r="M518" s="74"/>
      <c r="N518" s="74"/>
      <c r="O518" s="74"/>
      <c r="P518" s="74"/>
      <c r="Q518" s="74"/>
      <c r="R518" s="74"/>
      <c r="S518" s="74"/>
      <c r="T518" s="74"/>
      <c r="U518" s="74"/>
      <c r="V518" s="74"/>
      <c r="W518" s="74"/>
      <c r="X518" s="74"/>
      <c r="Y518" s="74"/>
      <c r="Z518" s="74"/>
    </row>
    <row r="519" spans="1:26" x14ac:dyDescent="0.3">
      <c r="A519" s="66">
        <f t="shared" si="50"/>
        <v>2041.1999999999534</v>
      </c>
      <c r="B519" s="67">
        <f>LOOKUP(A519+0.01,AmountsB!$A$4:$A$103,AmountsB!$B$4:$B$103)*0.1*$A$2</f>
        <v>0</v>
      </c>
      <c r="C519" s="68">
        <f t="shared" si="49"/>
        <v>625969.29735898925</v>
      </c>
      <c r="D519" s="67">
        <f t="array" ref="D519">SUM($B$7:$B514*$F$1009*EXP(-$F$1009*($A519-$A$7:$A514)))*$F$1010</f>
        <v>14520230.722178219</v>
      </c>
      <c r="E519" s="67">
        <f t="shared" ref="E519:E582" si="53">D519/(365*24*60)*1.00201</f>
        <v>27.68153802498059</v>
      </c>
      <c r="F519" s="70">
        <f t="shared" si="51"/>
        <v>1.6808229888768216</v>
      </c>
      <c r="G519" s="67">
        <f>E519/'Lookup Tables'!$C$48</f>
        <v>55.36307604996118</v>
      </c>
      <c r="H519" s="70">
        <f t="shared" ref="H519:H582" si="54">G519*60*24*365/(C519*2000)</f>
        <v>2.3243019182114622E-2</v>
      </c>
      <c r="I519" s="71">
        <f t="shared" si="52"/>
        <v>7.9722829511944107E-2</v>
      </c>
      <c r="L519" s="74"/>
      <c r="M519" s="74"/>
      <c r="N519" s="74"/>
      <c r="O519" s="74"/>
      <c r="P519" s="74"/>
      <c r="Q519" s="74"/>
      <c r="R519" s="74"/>
      <c r="S519" s="74"/>
      <c r="T519" s="74"/>
      <c r="U519" s="74"/>
      <c r="V519" s="74"/>
      <c r="W519" s="74"/>
      <c r="X519" s="74"/>
      <c r="Y519" s="74"/>
      <c r="Z519" s="74"/>
    </row>
    <row r="520" spans="1:26" x14ac:dyDescent="0.3">
      <c r="A520" s="66">
        <f t="shared" si="50"/>
        <v>2041.2999999999533</v>
      </c>
      <c r="B520" s="67">
        <f>LOOKUP(A520+0.01,AmountsB!$A$4:$A$103,AmountsB!$B$4:$B$103)*0.1*$A$2</f>
        <v>0</v>
      </c>
      <c r="C520" s="68">
        <f t="shared" si="49"/>
        <v>625969.29735898925</v>
      </c>
      <c r="D520" s="67">
        <f t="array" ref="D520">SUM($B$7:$B515*$F$1009*EXP(-$F$1009*($A520-$A$7:$A515)))*$F$1010</f>
        <v>14418944.024153164</v>
      </c>
      <c r="E520" s="67">
        <f t="shared" si="53"/>
        <v>27.488443876791692</v>
      </c>
      <c r="F520" s="70">
        <f t="shared" si="51"/>
        <v>1.6690983121987917</v>
      </c>
      <c r="G520" s="67">
        <f>E520/'Lookup Tables'!$C$48</f>
        <v>54.976887753583384</v>
      </c>
      <c r="H520" s="70">
        <f t="shared" si="54"/>
        <v>2.3080886175406018E-2</v>
      </c>
      <c r="I520" s="71">
        <f t="shared" si="52"/>
        <v>7.916671836516008E-2</v>
      </c>
      <c r="L520" s="74"/>
      <c r="M520" s="74"/>
      <c r="N520" s="74"/>
      <c r="O520" s="74"/>
      <c r="P520" s="74"/>
      <c r="Q520" s="74"/>
      <c r="R520" s="74"/>
      <c r="S520" s="74"/>
      <c r="T520" s="74"/>
      <c r="U520" s="74"/>
      <c r="V520" s="74"/>
      <c r="W520" s="74"/>
      <c r="X520" s="74"/>
      <c r="Y520" s="74"/>
      <c r="Z520" s="74"/>
    </row>
    <row r="521" spans="1:26" x14ac:dyDescent="0.3">
      <c r="A521" s="66">
        <f t="shared" si="50"/>
        <v>2041.3999999999533</v>
      </c>
      <c r="B521" s="67">
        <f>LOOKUP(A521+0.01,AmountsB!$A$4:$A$103,AmountsB!$B$4:$B$103)*0.1*$A$2</f>
        <v>0</v>
      </c>
      <c r="C521" s="68">
        <f t="shared" ref="C521:C584" si="55">C520+B521</f>
        <v>625969.29735898925</v>
      </c>
      <c r="D521" s="67">
        <f t="array" ref="D521">SUM($B$7:$B516*$F$1009*EXP(-$F$1009*($A521-$A$7:$A516)))*$F$1010</f>
        <v>14318363.857270282</v>
      </c>
      <c r="E521" s="67">
        <f t="shared" si="53"/>
        <v>27.296696667852732</v>
      </c>
      <c r="F521" s="70">
        <f t="shared" si="51"/>
        <v>1.6574554216720179</v>
      </c>
      <c r="G521" s="67">
        <f>E521/'Lookup Tables'!$C$48</f>
        <v>54.593393335705464</v>
      </c>
      <c r="H521" s="70">
        <f t="shared" si="54"/>
        <v>2.2919884136738105E-2</v>
      </c>
      <c r="I521" s="71">
        <f t="shared" si="52"/>
        <v>7.8614486403415867E-2</v>
      </c>
      <c r="L521" s="74"/>
      <c r="M521" s="74"/>
      <c r="N521" s="74"/>
      <c r="O521" s="74"/>
      <c r="P521" s="74"/>
      <c r="Q521" s="74"/>
      <c r="R521" s="74"/>
      <c r="S521" s="74"/>
      <c r="T521" s="74"/>
      <c r="U521" s="74"/>
      <c r="V521" s="74"/>
      <c r="W521" s="74"/>
      <c r="X521" s="74"/>
      <c r="Y521" s="74"/>
      <c r="Z521" s="74"/>
    </row>
    <row r="522" spans="1:26" x14ac:dyDescent="0.3">
      <c r="A522" s="66">
        <f t="shared" si="50"/>
        <v>2041.4999999999532</v>
      </c>
      <c r="B522" s="67">
        <f>LOOKUP(A522+0.01,AmountsB!$A$4:$A$103,AmountsB!$B$4:$B$103)*0.1*$A$2</f>
        <v>0</v>
      </c>
      <c r="C522" s="68">
        <f t="shared" si="55"/>
        <v>625969.29735898925</v>
      </c>
      <c r="D522" s="67">
        <f t="array" ref="D522">SUM($B$7:$B517*$F$1009*EXP(-$F$1009*($A522-$A$7:$A517)))*$F$1010</f>
        <v>14218485.293081285</v>
      </c>
      <c r="E522" s="67">
        <f t="shared" si="53"/>
        <v>27.106287002512136</v>
      </c>
      <c r="F522" s="70">
        <f t="shared" si="51"/>
        <v>1.645893746792537</v>
      </c>
      <c r="G522" s="67">
        <f>E522/'Lookup Tables'!$C$48</f>
        <v>54.212574005024273</v>
      </c>
      <c r="H522" s="70">
        <f t="shared" si="54"/>
        <v>2.2760005176978803E-2</v>
      </c>
      <c r="I522" s="71">
        <f t="shared" si="52"/>
        <v>7.806610656723495E-2</v>
      </c>
      <c r="L522" s="74"/>
      <c r="M522" s="74"/>
      <c r="N522" s="74"/>
      <c r="O522" s="74"/>
      <c r="P522" s="74"/>
      <c r="Q522" s="74"/>
      <c r="R522" s="74"/>
      <c r="S522" s="74"/>
      <c r="T522" s="74"/>
      <c r="U522" s="74"/>
      <c r="V522" s="74"/>
      <c r="W522" s="74"/>
      <c r="X522" s="74"/>
      <c r="Y522" s="74"/>
      <c r="Z522" s="74"/>
    </row>
    <row r="523" spans="1:26" x14ac:dyDescent="0.3">
      <c r="A523" s="66">
        <f t="shared" si="50"/>
        <v>2041.5999999999531</v>
      </c>
      <c r="B523" s="67">
        <f>LOOKUP(A523+0.01,AmountsB!$A$4:$A$103,AmountsB!$B$4:$B$103)*0.1*$A$2</f>
        <v>0</v>
      </c>
      <c r="C523" s="68">
        <f t="shared" si="55"/>
        <v>625969.29735898925</v>
      </c>
      <c r="D523" s="67">
        <f t="array" ref="D523">SUM($B$7:$B518*$F$1009*EXP(-$F$1009*($A523-$A$7:$A518)))*$F$1010</f>
        <v>14119303.437516531</v>
      </c>
      <c r="E523" s="67">
        <f t="shared" si="53"/>
        <v>26.917205550658181</v>
      </c>
      <c r="F523" s="70">
        <f t="shared" si="51"/>
        <v>1.6344127210359647</v>
      </c>
      <c r="G523" s="67">
        <f>E523/'Lookup Tables'!$C$48</f>
        <v>53.834411101316363</v>
      </c>
      <c r="H523" s="70">
        <f t="shared" si="54"/>
        <v>2.2601241462027067E-2</v>
      </c>
      <c r="I523" s="71">
        <f t="shared" si="52"/>
        <v>7.7521551985895554E-2</v>
      </c>
      <c r="L523" s="74"/>
      <c r="M523" s="74"/>
      <c r="N523" s="74"/>
      <c r="O523" s="74"/>
      <c r="P523" s="74"/>
      <c r="Q523" s="74"/>
      <c r="R523" s="74"/>
      <c r="S523" s="74"/>
      <c r="T523" s="74"/>
      <c r="U523" s="74"/>
      <c r="V523" s="74"/>
      <c r="W523" s="74"/>
      <c r="X523" s="74"/>
      <c r="Y523" s="74"/>
      <c r="Z523" s="74"/>
    </row>
    <row r="524" spans="1:26" x14ac:dyDescent="0.3">
      <c r="A524" s="66">
        <f t="shared" si="50"/>
        <v>2041.699999999953</v>
      </c>
      <c r="B524" s="67">
        <f>LOOKUP(A524+0.01,AmountsB!$A$4:$A$103,AmountsB!$B$4:$B$103)*0.1*$A$2</f>
        <v>0</v>
      </c>
      <c r="C524" s="68">
        <f t="shared" si="55"/>
        <v>625969.29735898925</v>
      </c>
      <c r="D524" s="67">
        <f t="array" ref="D524">SUM($B$7:$B519*$F$1009*EXP(-$F$1009*($A524-$A$7:$A519)))*$F$1010</f>
        <v>14020813.430645255</v>
      </c>
      <c r="E524" s="67">
        <f t="shared" si="53"/>
        <v>26.729443047261896</v>
      </c>
      <c r="F524" s="70">
        <f t="shared" si="51"/>
        <v>1.6230117818297423</v>
      </c>
      <c r="G524" s="67">
        <f>E524/'Lookup Tables'!$C$48</f>
        <v>53.458886094523791</v>
      </c>
      <c r="H524" s="70">
        <f t="shared" si="54"/>
        <v>2.2443585212429111E-2</v>
      </c>
      <c r="I524" s="71">
        <f t="shared" si="52"/>
        <v>7.698079597611425E-2</v>
      </c>
      <c r="L524" s="74"/>
      <c r="M524" s="74"/>
      <c r="N524" s="74"/>
      <c r="O524" s="74"/>
      <c r="P524" s="74"/>
      <c r="Q524" s="74"/>
      <c r="R524" s="74"/>
      <c r="S524" s="74"/>
      <c r="T524" s="74"/>
      <c r="U524" s="74"/>
      <c r="V524" s="74"/>
      <c r="W524" s="74"/>
      <c r="X524" s="74"/>
      <c r="Y524" s="74"/>
      <c r="Z524" s="74"/>
    </row>
    <row r="525" spans="1:26" x14ac:dyDescent="0.3">
      <c r="A525" s="66">
        <f t="shared" si="50"/>
        <v>2041.7999999999529</v>
      </c>
      <c r="B525" s="67">
        <f>LOOKUP(A525+0.01,AmountsB!$A$4:$A$103,AmountsB!$B$4:$B$103)*0.1*$A$2</f>
        <v>0</v>
      </c>
      <c r="C525" s="68">
        <f t="shared" si="55"/>
        <v>625969.29735898925</v>
      </c>
      <c r="D525" s="67">
        <f t="array" ref="D525">SUM($B$7:$B520*$F$1009*EXP(-$F$1009*($A525-$A$7:$A520)))*$F$1010</f>
        <v>13923010.446437413</v>
      </c>
      <c r="E525" s="67">
        <f t="shared" si="53"/>
        <v>26.542990291923047</v>
      </c>
      <c r="F525" s="70">
        <f t="shared" si="51"/>
        <v>1.6116903705255674</v>
      </c>
      <c r="G525" s="67">
        <f>E525/'Lookup Tables'!$C$48</f>
        <v>53.085980583846094</v>
      </c>
      <c r="H525" s="70">
        <f t="shared" si="54"/>
        <v>2.2287028702997157E-2</v>
      </c>
      <c r="I525" s="71">
        <f t="shared" si="52"/>
        <v>7.6443812040738385E-2</v>
      </c>
      <c r="L525" s="74"/>
      <c r="M525" s="74"/>
      <c r="N525" s="74"/>
      <c r="O525" s="74"/>
      <c r="P525" s="74"/>
      <c r="Q525" s="74"/>
      <c r="R525" s="74"/>
      <c r="S525" s="74"/>
      <c r="T525" s="74"/>
      <c r="U525" s="74"/>
      <c r="V525" s="74"/>
      <c r="W525" s="74"/>
      <c r="X525" s="74"/>
      <c r="Y525" s="74"/>
      <c r="Z525" s="74"/>
    </row>
    <row r="526" spans="1:26" x14ac:dyDescent="0.3">
      <c r="A526" s="66">
        <f t="shared" si="50"/>
        <v>2041.8999999999528</v>
      </c>
      <c r="B526" s="67">
        <f>LOOKUP(A526+0.01,AmountsB!$A$4:$A$103,AmountsB!$B$4:$B$103)*0.1*$A$2</f>
        <v>0</v>
      </c>
      <c r="C526" s="68">
        <f t="shared" si="55"/>
        <v>625969.29735898925</v>
      </c>
      <c r="D526" s="67">
        <f t="array" ref="D526">SUM($B$7:$B521*$F$1009*EXP(-$F$1009*($A526-$A$7:$A521)))*$F$1010</f>
        <v>13825889.692527212</v>
      </c>
      <c r="E526" s="67">
        <f t="shared" si="53"/>
        <v>26.357838148419315</v>
      </c>
      <c r="F526" s="70">
        <f t="shared" si="51"/>
        <v>1.6004479323720209</v>
      </c>
      <c r="G526" s="67">
        <f>E526/'Lookup Tables'!$C$48</f>
        <v>52.71567629683863</v>
      </c>
      <c r="H526" s="70">
        <f t="shared" si="54"/>
        <v>2.213156426243091E-2</v>
      </c>
      <c r="I526" s="71">
        <f t="shared" si="52"/>
        <v>7.5910573867447637E-2</v>
      </c>
      <c r="L526" s="74"/>
      <c r="M526" s="74"/>
      <c r="N526" s="74"/>
      <c r="O526" s="74"/>
      <c r="P526" s="74"/>
      <c r="Q526" s="74"/>
      <c r="R526" s="74"/>
      <c r="S526" s="74"/>
      <c r="T526" s="74"/>
      <c r="U526" s="74"/>
      <c r="V526" s="74"/>
      <c r="W526" s="74"/>
      <c r="X526" s="74"/>
      <c r="Y526" s="74"/>
      <c r="Z526" s="74"/>
    </row>
    <row r="527" spans="1:26" x14ac:dyDescent="0.3">
      <c r="A527" s="66">
        <f t="shared" si="50"/>
        <v>2041.9999999999527</v>
      </c>
      <c r="B527" s="67">
        <f>LOOKUP(A527+0.01,AmountsB!$A$4:$A$103,AmountsB!$B$4:$B$103)*0.1*$A$2</f>
        <v>0</v>
      </c>
      <c r="C527" s="68">
        <f t="shared" si="55"/>
        <v>625969.29735898925</v>
      </c>
      <c r="D527" s="67">
        <f t="array" ref="D527">SUM($B$7:$B522*$F$1009*EXP(-$F$1009*($A527-$A$7:$A522)))*$F$1010</f>
        <v>13729446.409978284</v>
      </c>
      <c r="E527" s="67">
        <f t="shared" si="53"/>
        <v>26.173977544258637</v>
      </c>
      <c r="F527" s="70">
        <f t="shared" si="51"/>
        <v>1.5892839164873844</v>
      </c>
      <c r="G527" s="67">
        <f>E527/'Lookup Tables'!$C$48</f>
        <v>52.347955088517274</v>
      </c>
      <c r="H527" s="70">
        <f t="shared" si="54"/>
        <v>2.197718427294169E-2</v>
      </c>
      <c r="I527" s="71">
        <f t="shared" si="52"/>
        <v>7.5381055327464863E-2</v>
      </c>
      <c r="L527" s="74"/>
      <c r="M527" s="74"/>
      <c r="N527" s="74"/>
      <c r="O527" s="74"/>
      <c r="P527" s="74"/>
      <c r="Q527" s="74"/>
      <c r="R527" s="74"/>
      <c r="S527" s="74"/>
      <c r="T527" s="74"/>
      <c r="U527" s="74"/>
      <c r="V527" s="74"/>
      <c r="W527" s="74"/>
      <c r="X527" s="74"/>
      <c r="Y527" s="74"/>
      <c r="Z527" s="74"/>
    </row>
    <row r="528" spans="1:26" x14ac:dyDescent="0.3">
      <c r="A528" s="66">
        <f t="shared" si="50"/>
        <v>2042.0999999999526</v>
      </c>
      <c r="B528" s="67">
        <f>LOOKUP(A528+0.01,AmountsB!$A$4:$A$103,AmountsB!$B$4:$B$103)*0.1*$A$2</f>
        <v>0</v>
      </c>
      <c r="C528" s="68">
        <f t="shared" si="55"/>
        <v>625969.29735898925</v>
      </c>
      <c r="D528" s="67">
        <f t="array" ref="D528">SUM($B$7:$B523*$F$1009*EXP(-$F$1009*($A528-$A$7:$A523)))*$F$1010</f>
        <v>13633675.873050475</v>
      </c>
      <c r="E528" s="67">
        <f t="shared" si="53"/>
        <v>25.991399470234605</v>
      </c>
      <c r="F528" s="70">
        <f t="shared" si="51"/>
        <v>1.5781977758326451</v>
      </c>
      <c r="G528" s="67">
        <f>E528/'Lookup Tables'!$C$48</f>
        <v>51.982798940469209</v>
      </c>
      <c r="H528" s="70">
        <f t="shared" si="54"/>
        <v>2.1823881169879118E-2</v>
      </c>
      <c r="I528" s="71">
        <f t="shared" si="52"/>
        <v>7.4855230474275655E-2</v>
      </c>
      <c r="L528" s="74"/>
      <c r="M528" s="74"/>
      <c r="N528" s="74"/>
      <c r="O528" s="74"/>
      <c r="P528" s="74"/>
      <c r="Q528" s="74"/>
      <c r="R528" s="74"/>
      <c r="S528" s="74"/>
      <c r="T528" s="74"/>
      <c r="U528" s="74"/>
      <c r="V528" s="74"/>
      <c r="W528" s="74"/>
      <c r="X528" s="74"/>
      <c r="Y528" s="74"/>
      <c r="Z528" s="74"/>
    </row>
    <row r="529" spans="1:26" x14ac:dyDescent="0.3">
      <c r="A529" s="66">
        <f t="shared" si="50"/>
        <v>2042.1999999999525</v>
      </c>
      <c r="B529" s="67">
        <f>LOOKUP(A529+0.01,AmountsB!$A$4:$A$103,AmountsB!$B$4:$B$103)*0.1*$A$2</f>
        <v>0</v>
      </c>
      <c r="C529" s="68">
        <f t="shared" si="55"/>
        <v>625969.29735898925</v>
      </c>
      <c r="D529" s="67">
        <f t="array" ref="D529">SUM($B$7:$B524*$F$1009*EXP(-$F$1009*($A529-$A$7:$A524)))*$F$1010</f>
        <v>13538573.388968321</v>
      </c>
      <c r="E529" s="67">
        <f t="shared" si="53"/>
        <v>25.81009497998506</v>
      </c>
      <c r="F529" s="70">
        <f t="shared" si="51"/>
        <v>1.5671889671846926</v>
      </c>
      <c r="G529" s="67">
        <f>E529/'Lookup Tables'!$C$48</f>
        <v>51.620189959970119</v>
      </c>
      <c r="H529" s="70">
        <f t="shared" si="54"/>
        <v>2.1671647441360464E-2</v>
      </c>
      <c r="I529" s="71">
        <f t="shared" si="52"/>
        <v>7.4333073542356964E-2</v>
      </c>
      <c r="L529" s="74"/>
      <c r="M529" s="74"/>
      <c r="N529" s="74"/>
      <c r="O529" s="74"/>
      <c r="P529" s="74"/>
      <c r="Q529" s="74"/>
      <c r="R529" s="74"/>
      <c r="S529" s="74"/>
      <c r="T529" s="74"/>
      <c r="U529" s="74"/>
      <c r="V529" s="74"/>
      <c r="W529" s="74"/>
      <c r="X529" s="74"/>
      <c r="Y529" s="74"/>
      <c r="Z529" s="74"/>
    </row>
    <row r="530" spans="1:26" x14ac:dyDescent="0.3">
      <c r="A530" s="66">
        <f t="shared" si="50"/>
        <v>2042.2999999999524</v>
      </c>
      <c r="B530" s="67">
        <f>LOOKUP(A530+0.01,AmountsB!$A$4:$A$103,AmountsB!$B$4:$B$103)*0.1*$A$2</f>
        <v>0</v>
      </c>
      <c r="C530" s="68">
        <f t="shared" si="55"/>
        <v>625969.29735898925</v>
      </c>
      <c r="D530" s="67">
        <f t="array" ref="D530">SUM($B$7:$B525*$F$1009*EXP(-$F$1009*($A530-$A$7:$A525)))*$F$1010</f>
        <v>13444134.297691077</v>
      </c>
      <c r="E530" s="67">
        <f t="shared" si="53"/>
        <v>25.630055189553723</v>
      </c>
      <c r="F530" s="70">
        <f t="shared" si="51"/>
        <v>1.556256951109702</v>
      </c>
      <c r="G530" s="67">
        <f>E530/'Lookup Tables'!$C$48</f>
        <v>51.260110379107445</v>
      </c>
      <c r="H530" s="70">
        <f t="shared" si="54"/>
        <v>2.1520475627902588E-2</v>
      </c>
      <c r="I530" s="71">
        <f t="shared" si="52"/>
        <v>7.381455894591471E-2</v>
      </c>
      <c r="L530" s="74"/>
      <c r="M530" s="74"/>
      <c r="N530" s="74"/>
      <c r="O530" s="74"/>
      <c r="P530" s="74"/>
      <c r="Q530" s="74"/>
      <c r="R530" s="74"/>
      <c r="S530" s="74"/>
      <c r="T530" s="74"/>
      <c r="U530" s="74"/>
      <c r="V530" s="74"/>
      <c r="W530" s="74"/>
      <c r="X530" s="74"/>
      <c r="Y530" s="74"/>
      <c r="Z530" s="74"/>
    </row>
    <row r="531" spans="1:26" x14ac:dyDescent="0.3">
      <c r="A531" s="66">
        <f t="shared" ref="A531:A594" si="56">A530+0.1</f>
        <v>2042.3999999999523</v>
      </c>
      <c r="B531" s="67">
        <f>LOOKUP(A531+0.01,AmountsB!$A$4:$A$103,AmountsB!$B$4:$B$103)*0.1*$A$2</f>
        <v>0</v>
      </c>
      <c r="C531" s="68">
        <f t="shared" si="55"/>
        <v>625969.29735898925</v>
      </c>
      <c r="D531" s="67">
        <f t="array" ref="D531">SUM($B$7:$B526*$F$1009*EXP(-$F$1009*($A531-$A$7:$A526)))*$F$1010</f>
        <v>13350353.971684366</v>
      </c>
      <c r="E531" s="67">
        <f t="shared" si="53"/>
        <v>25.451271276954817</v>
      </c>
      <c r="F531" s="70">
        <f t="shared" ref="F531:F594" si="57">E531*60*1012/1000000</f>
        <v>1.5454011919366966</v>
      </c>
      <c r="G531" s="67">
        <f>E531/'Lookup Tables'!$C$48</f>
        <v>50.902542553909633</v>
      </c>
      <c r="H531" s="70">
        <f t="shared" si="54"/>
        <v>2.1370358322056367E-2</v>
      </c>
      <c r="I531" s="71">
        <f t="shared" ref="I531:I594" si="58">G531*60*24/1000000</f>
        <v>7.3299661277629866E-2</v>
      </c>
      <c r="L531" s="74"/>
      <c r="M531" s="74"/>
      <c r="N531" s="74"/>
      <c r="O531" s="74"/>
      <c r="P531" s="74"/>
      <c r="Q531" s="74"/>
      <c r="R531" s="74"/>
      <c r="S531" s="74"/>
      <c r="T531" s="74"/>
      <c r="U531" s="74"/>
      <c r="V531" s="74"/>
      <c r="W531" s="74"/>
      <c r="X531" s="74"/>
      <c r="Y531" s="74"/>
      <c r="Z531" s="74"/>
    </row>
    <row r="532" spans="1:26" x14ac:dyDescent="0.3">
      <c r="A532" s="66">
        <f t="shared" si="56"/>
        <v>2042.4999999999523</v>
      </c>
      <c r="B532" s="67">
        <f>LOOKUP(A532+0.01,AmountsB!$A$4:$A$103,AmountsB!$B$4:$B$103)*0.1*$A$2</f>
        <v>0</v>
      </c>
      <c r="C532" s="68">
        <f t="shared" si="55"/>
        <v>625969.29735898925</v>
      </c>
      <c r="D532" s="67">
        <f t="array" ref="D532">SUM($B$7:$B527*$F$1009*EXP(-$F$1009*($A532-$A$7:$A527)))*$F$1010</f>
        <v>13257227.815693457</v>
      </c>
      <c r="E532" s="67">
        <f t="shared" si="53"/>
        <v>25.27373448174087</v>
      </c>
      <c r="F532" s="70">
        <f t="shared" si="57"/>
        <v>1.5346211577313058</v>
      </c>
      <c r="G532" s="67">
        <f>E532/'Lookup Tables'!$C$48</f>
        <v>50.547468963481741</v>
      </c>
      <c r="H532" s="70">
        <f t="shared" si="54"/>
        <v>2.1221288168043785E-2</v>
      </c>
      <c r="I532" s="71">
        <f t="shared" si="58"/>
        <v>7.2788355307413705E-2</v>
      </c>
      <c r="L532" s="74"/>
      <c r="M532" s="74"/>
      <c r="N532" s="74"/>
      <c r="O532" s="74"/>
      <c r="P532" s="74"/>
      <c r="Q532" s="74"/>
      <c r="R532" s="74"/>
      <c r="S532" s="74"/>
      <c r="T532" s="74"/>
      <c r="U532" s="74"/>
      <c r="V532" s="74"/>
      <c r="W532" s="74"/>
      <c r="X532" s="74"/>
      <c r="Y532" s="74"/>
      <c r="Z532" s="74"/>
    </row>
    <row r="533" spans="1:26" x14ac:dyDescent="0.3">
      <c r="A533" s="66">
        <f t="shared" si="56"/>
        <v>2042.5999999999522</v>
      </c>
      <c r="B533" s="67">
        <f>LOOKUP(A533+0.01,AmountsB!$A$4:$A$103,AmountsB!$B$4:$B$103)*0.1*$A$2</f>
        <v>0</v>
      </c>
      <c r="C533" s="68">
        <f t="shared" si="55"/>
        <v>625969.29735898925</v>
      </c>
      <c r="D533" s="67">
        <f t="array" ref="D533">SUM($B$7:$B528*$F$1009*EXP(-$F$1009*($A533-$A$7:$A528)))*$F$1010</f>
        <v>13164751.266518066</v>
      </c>
      <c r="E533" s="67">
        <f t="shared" si="53"/>
        <v>25.097436104573376</v>
      </c>
      <c r="F533" s="70">
        <f t="shared" si="57"/>
        <v>1.5239163202696955</v>
      </c>
      <c r="G533" s="67">
        <f>E533/'Lookup Tables'!$C$48</f>
        <v>50.194872209146752</v>
      </c>
      <c r="H533" s="70">
        <f t="shared" si="54"/>
        <v>2.1073257861397458E-2</v>
      </c>
      <c r="I533" s="71">
        <f t="shared" si="58"/>
        <v>7.2280615981171317E-2</v>
      </c>
      <c r="L533" s="74"/>
      <c r="M533" s="74"/>
      <c r="N533" s="74"/>
      <c r="O533" s="74"/>
      <c r="P533" s="74"/>
      <c r="Q533" s="74"/>
      <c r="R533" s="74"/>
      <c r="S533" s="74"/>
      <c r="T533" s="74"/>
      <c r="U533" s="74"/>
      <c r="V533" s="74"/>
      <c r="W533" s="74"/>
      <c r="X533" s="74"/>
      <c r="Y533" s="74"/>
      <c r="Z533" s="74"/>
    </row>
    <row r="534" spans="1:26" x14ac:dyDescent="0.3">
      <c r="A534" s="66">
        <f t="shared" si="56"/>
        <v>2042.6999999999521</v>
      </c>
      <c r="B534" s="67">
        <f>LOOKUP(A534+0.01,AmountsB!$A$4:$A$103,AmountsB!$B$4:$B$103)*0.1*$A$2</f>
        <v>0</v>
      </c>
      <c r="C534" s="68">
        <f t="shared" si="55"/>
        <v>625969.29735898925</v>
      </c>
      <c r="D534" s="67">
        <f t="array" ref="D534">SUM($B$7:$B529*$F$1009*EXP(-$F$1009*($A534-$A$7:$A529)))*$F$1010</f>
        <v>13072919.792788785</v>
      </c>
      <c r="E534" s="67">
        <f t="shared" si="53"/>
        <v>24.922367506796597</v>
      </c>
      <c r="F534" s="70">
        <f t="shared" si="57"/>
        <v>1.5132861550126893</v>
      </c>
      <c r="G534" s="67">
        <f>E534/'Lookup Tables'!$C$48</f>
        <v>49.844735013593194</v>
      </c>
      <c r="H534" s="70">
        <f t="shared" si="54"/>
        <v>2.0926260148602768E-2</v>
      </c>
      <c r="I534" s="71">
        <f t="shared" si="58"/>
        <v>7.1776418419574203E-2</v>
      </c>
      <c r="L534" s="74"/>
      <c r="M534" s="74"/>
      <c r="N534" s="74"/>
      <c r="O534" s="74"/>
      <c r="P534" s="74"/>
      <c r="Q534" s="74"/>
      <c r="R534" s="74"/>
      <c r="S534" s="74"/>
      <c r="T534" s="74"/>
      <c r="U534" s="74"/>
      <c r="V534" s="74"/>
      <c r="W534" s="74"/>
      <c r="X534" s="74"/>
      <c r="Y534" s="74"/>
      <c r="Z534" s="74"/>
    </row>
    <row r="535" spans="1:26" x14ac:dyDescent="0.3">
      <c r="A535" s="66">
        <f t="shared" si="56"/>
        <v>2042.799999999952</v>
      </c>
      <c r="B535" s="67">
        <f>LOOKUP(A535+0.01,AmountsB!$A$4:$A$103,AmountsB!$B$4:$B$103)*0.1*$A$2</f>
        <v>0</v>
      </c>
      <c r="C535" s="68">
        <f t="shared" si="55"/>
        <v>625969.29735898925</v>
      </c>
      <c r="D535" s="67">
        <f t="array" ref="D535">SUM($B$7:$B530*$F$1009*EXP(-$F$1009*($A535-$A$7:$A530)))*$F$1010</f>
        <v>12981728.894745033</v>
      </c>
      <c r="E535" s="67">
        <f t="shared" si="53"/>
        <v>24.748520110014216</v>
      </c>
      <c r="F535" s="70">
        <f t="shared" si="57"/>
        <v>1.5027301410800631</v>
      </c>
      <c r="G535" s="67">
        <f>E535/'Lookup Tables'!$C$48</f>
        <v>49.497040220028431</v>
      </c>
      <c r="H535" s="70">
        <f t="shared" si="54"/>
        <v>2.0780287826742357E-2</v>
      </c>
      <c r="I535" s="71">
        <f t="shared" si="58"/>
        <v>7.1275737916840942E-2</v>
      </c>
      <c r="L535" s="74"/>
      <c r="M535" s="74"/>
      <c r="N535" s="74"/>
      <c r="O535" s="74"/>
      <c r="P535" s="74"/>
      <c r="Q535" s="74"/>
      <c r="R535" s="74"/>
      <c r="S535" s="74"/>
      <c r="T535" s="74"/>
      <c r="U535" s="74"/>
      <c r="V535" s="74"/>
      <c r="W535" s="74"/>
      <c r="X535" s="74"/>
      <c r="Y535" s="74"/>
      <c r="Z535" s="74"/>
    </row>
    <row r="536" spans="1:26" x14ac:dyDescent="0.3">
      <c r="A536" s="66">
        <f t="shared" si="56"/>
        <v>2042.8999999999519</v>
      </c>
      <c r="B536" s="67">
        <f>LOOKUP(A536+0.01,AmountsB!$A$4:$A$103,AmountsB!$B$4:$B$103)*0.1*$A$2</f>
        <v>0</v>
      </c>
      <c r="C536" s="68">
        <f t="shared" si="55"/>
        <v>625969.29735898925</v>
      </c>
      <c r="D536" s="67">
        <f t="array" ref="D536">SUM($B$7:$B531*$F$1009*EXP(-$F$1009*($A536-$A$7:$A531)))*$F$1010</f>
        <v>12891174.104014549</v>
      </c>
      <c r="E536" s="67">
        <f t="shared" si="53"/>
        <v>24.575885395668987</v>
      </c>
      <c r="F536" s="70">
        <f t="shared" si="57"/>
        <v>1.4922477612250209</v>
      </c>
      <c r="G536" s="67">
        <f>E536/'Lookup Tables'!$C$48</f>
        <v>49.151770791337974</v>
      </c>
      <c r="H536" s="70">
        <f t="shared" si="54"/>
        <v>2.0635333743143247E-2</v>
      </c>
      <c r="I536" s="71">
        <f t="shared" si="58"/>
        <v>7.0778549939526675E-2</v>
      </c>
      <c r="L536" s="74"/>
      <c r="M536" s="74"/>
      <c r="N536" s="74"/>
      <c r="O536" s="74"/>
      <c r="P536" s="74"/>
      <c r="Q536" s="74"/>
      <c r="R536" s="74"/>
      <c r="S536" s="74"/>
      <c r="T536" s="74"/>
      <c r="U536" s="74"/>
      <c r="V536" s="74"/>
      <c r="W536" s="74"/>
      <c r="X536" s="74"/>
      <c r="Y536" s="74"/>
      <c r="Z536" s="74"/>
    </row>
    <row r="537" spans="1:26" x14ac:dyDescent="0.3">
      <c r="A537" s="66">
        <f t="shared" si="56"/>
        <v>2042.9999999999518</v>
      </c>
      <c r="B537" s="67">
        <f>LOOKUP(A537+0.01,AmountsB!$A$4:$A$103,AmountsB!$B$4:$B$103)*0.1*$A$2</f>
        <v>0</v>
      </c>
      <c r="C537" s="68">
        <f t="shared" si="55"/>
        <v>625969.29735898925</v>
      </c>
      <c r="D537" s="67">
        <f t="array" ref="D537">SUM($B$7:$B532*$F$1009*EXP(-$F$1009*($A537-$A$7:$A532)))*$F$1010</f>
        <v>12801250.983394476</v>
      </c>
      <c r="E537" s="67">
        <f t="shared" si="53"/>
        <v>24.404454904625378</v>
      </c>
      <c r="F537" s="70">
        <f t="shared" si="57"/>
        <v>1.4818385018088531</v>
      </c>
      <c r="G537" s="67">
        <f>E537/'Lookup Tables'!$C$48</f>
        <v>48.808909809250757</v>
      </c>
      <c r="H537" s="70">
        <f t="shared" si="54"/>
        <v>2.0491390795026342E-2</v>
      </c>
      <c r="I537" s="71">
        <f t="shared" si="58"/>
        <v>7.0284830125321093E-2</v>
      </c>
      <c r="L537" s="74"/>
      <c r="M537" s="74"/>
      <c r="N537" s="74"/>
      <c r="O537" s="74"/>
      <c r="P537" s="74"/>
      <c r="Q537" s="74"/>
      <c r="R537" s="74"/>
      <c r="S537" s="74"/>
      <c r="T537" s="74"/>
      <c r="U537" s="74"/>
      <c r="V537" s="74"/>
      <c r="W537" s="74"/>
      <c r="X537" s="74"/>
      <c r="Y537" s="74"/>
      <c r="Z537" s="74"/>
    </row>
    <row r="538" spans="1:26" x14ac:dyDescent="0.3">
      <c r="A538" s="66">
        <f t="shared" si="56"/>
        <v>2043.0999999999517</v>
      </c>
      <c r="B538" s="67">
        <f>LOOKUP(A538+0.01,AmountsB!$A$4:$A$103,AmountsB!$B$4:$B$103)*0.1*$A$2</f>
        <v>0</v>
      </c>
      <c r="C538" s="68">
        <f t="shared" si="55"/>
        <v>625969.29735898925</v>
      </c>
      <c r="D538" s="67">
        <f t="array" ref="D538">SUM($B$7:$B533*$F$1009*EXP(-$F$1009*($A538-$A$7:$A533)))*$F$1010</f>
        <v>12711955.126633907</v>
      </c>
      <c r="E538" s="67">
        <f t="shared" si="53"/>
        <v>24.234220236755029</v>
      </c>
      <c r="F538" s="70">
        <f t="shared" si="57"/>
        <v>1.4715018527757653</v>
      </c>
      <c r="G538" s="67">
        <f>E538/'Lookup Tables'!$C$48</f>
        <v>48.468440473510057</v>
      </c>
      <c r="H538" s="70">
        <f t="shared" si="54"/>
        <v>2.0348451929158382E-2</v>
      </c>
      <c r="I538" s="71">
        <f t="shared" si="58"/>
        <v>6.9794554281854479E-2</v>
      </c>
      <c r="L538" s="74"/>
      <c r="M538" s="74"/>
      <c r="N538" s="74"/>
      <c r="O538" s="74"/>
      <c r="P538" s="74"/>
      <c r="Q538" s="74"/>
      <c r="R538" s="74"/>
      <c r="S538" s="74"/>
      <c r="T538" s="74"/>
      <c r="U538" s="74"/>
      <c r="V538" s="74"/>
      <c r="W538" s="74"/>
      <c r="X538" s="74"/>
      <c r="Y538" s="74"/>
      <c r="Z538" s="74"/>
    </row>
    <row r="539" spans="1:26" x14ac:dyDescent="0.3">
      <c r="A539" s="66">
        <f t="shared" si="56"/>
        <v>2043.1999999999516</v>
      </c>
      <c r="B539" s="67">
        <f>LOOKUP(A539+0.01,AmountsB!$A$4:$A$103,AmountsB!$B$4:$B$103)*0.1*$A$2</f>
        <v>0</v>
      </c>
      <c r="C539" s="68">
        <f t="shared" si="55"/>
        <v>625969.29735898925</v>
      </c>
      <c r="D539" s="67">
        <f t="array" ref="D539">SUM($B$7:$B534*$F$1009*EXP(-$F$1009*($A539-$A$7:$A534)))*$F$1010</f>
        <v>12623282.158217998</v>
      </c>
      <c r="E539" s="67">
        <f t="shared" si="53"/>
        <v>24.065173050525146</v>
      </c>
      <c r="F539" s="70">
        <f t="shared" si="57"/>
        <v>1.4612373076278871</v>
      </c>
      <c r="G539" s="67">
        <f>E539/'Lookup Tables'!$C$48</f>
        <v>48.130346101050293</v>
      </c>
      <c r="H539" s="70">
        <f t="shared" si="54"/>
        <v>2.0206510141506349E-2</v>
      </c>
      <c r="I539" s="71">
        <f t="shared" si="58"/>
        <v>6.9307698385512428E-2</v>
      </c>
      <c r="L539" s="74"/>
      <c r="M539" s="74"/>
      <c r="N539" s="74"/>
      <c r="O539" s="74"/>
      <c r="P539" s="74"/>
      <c r="Q539" s="74"/>
      <c r="R539" s="74"/>
      <c r="S539" s="74"/>
      <c r="T539" s="74"/>
      <c r="U539" s="74"/>
      <c r="V539" s="74"/>
      <c r="W539" s="74"/>
      <c r="X539" s="74"/>
      <c r="Y539" s="74"/>
      <c r="Z539" s="74"/>
    </row>
    <row r="540" spans="1:26" x14ac:dyDescent="0.3">
      <c r="A540" s="66">
        <f t="shared" si="56"/>
        <v>2043.2999999999515</v>
      </c>
      <c r="B540" s="67">
        <f>LOOKUP(A540+0.01,AmountsB!$A$4:$A$103,AmountsB!$B$4:$B$103)*0.1*$A$2</f>
        <v>0</v>
      </c>
      <c r="C540" s="68">
        <f t="shared" si="55"/>
        <v>625969.29735898925</v>
      </c>
      <c r="D540" s="67">
        <f t="array" ref="D540">SUM($B$7:$B535*$F$1009*EXP(-$F$1009*($A540-$A$7:$A535)))*$F$1010</f>
        <v>12535227.733153552</v>
      </c>
      <c r="E540" s="67">
        <f t="shared" si="53"/>
        <v>23.897305062589787</v>
      </c>
      <c r="F540" s="70">
        <f t="shared" si="57"/>
        <v>1.4510443634004517</v>
      </c>
      <c r="G540" s="67">
        <f>E540/'Lookup Tables'!$C$48</f>
        <v>47.794610125179574</v>
      </c>
      <c r="H540" s="70">
        <f t="shared" si="54"/>
        <v>2.0065558476894233E-2</v>
      </c>
      <c r="I540" s="71">
        <f t="shared" si="58"/>
        <v>6.8824238580258587E-2</v>
      </c>
      <c r="L540" s="74"/>
      <c r="M540" s="74"/>
      <c r="N540" s="74"/>
      <c r="O540" s="74"/>
      <c r="P540" s="74"/>
      <c r="Q540" s="74"/>
      <c r="R540" s="74"/>
      <c r="S540" s="74"/>
      <c r="T540" s="74"/>
      <c r="U540" s="74"/>
      <c r="V540" s="74"/>
      <c r="W540" s="74"/>
      <c r="X540" s="74"/>
      <c r="Y540" s="74"/>
      <c r="Z540" s="74"/>
    </row>
    <row r="541" spans="1:26" x14ac:dyDescent="0.3">
      <c r="A541" s="66">
        <f t="shared" si="56"/>
        <v>2043.3999999999514</v>
      </c>
      <c r="B541" s="67">
        <f>LOOKUP(A541+0.01,AmountsB!$A$4:$A$103,AmountsB!$B$4:$B$103)*0.1*$A$2</f>
        <v>0</v>
      </c>
      <c r="C541" s="68">
        <f t="shared" si="55"/>
        <v>625969.29735898925</v>
      </c>
      <c r="D541" s="67">
        <f t="array" ref="D541">SUM($B$7:$B536*$F$1009*EXP(-$F$1009*($A541-$A$7:$A536)))*$F$1010</f>
        <v>12447787.536756122</v>
      </c>
      <c r="E541" s="67">
        <f t="shared" si="53"/>
        <v>23.730608047383946</v>
      </c>
      <c r="F541" s="70">
        <f t="shared" si="57"/>
        <v>1.4409225206371532</v>
      </c>
      <c r="G541" s="67">
        <f>E541/'Lookup Tables'!$C$48</f>
        <v>47.461216094767892</v>
      </c>
      <c r="H541" s="70">
        <f t="shared" si="54"/>
        <v>1.9925590028662267E-2</v>
      </c>
      <c r="I541" s="71">
        <f t="shared" si="58"/>
        <v>6.8344151176465764E-2</v>
      </c>
      <c r="L541" s="74"/>
      <c r="M541" s="74"/>
      <c r="N541" s="74"/>
      <c r="O541" s="74"/>
      <c r="P541" s="74"/>
      <c r="Q541" s="74"/>
      <c r="R541" s="74"/>
      <c r="S541" s="74"/>
      <c r="T541" s="74"/>
      <c r="U541" s="74"/>
      <c r="V541" s="74"/>
      <c r="W541" s="74"/>
      <c r="X541" s="74"/>
      <c r="Y541" s="74"/>
      <c r="Z541" s="74"/>
    </row>
    <row r="542" spans="1:26" x14ac:dyDescent="0.3">
      <c r="A542" s="66">
        <f t="shared" si="56"/>
        <v>2043.4999999999513</v>
      </c>
      <c r="B542" s="67">
        <f>LOOKUP(A542+0.01,AmountsB!$A$4:$A$103,AmountsB!$B$4:$B$103)*0.1*$A$2</f>
        <v>0</v>
      </c>
      <c r="C542" s="68">
        <f t="shared" si="55"/>
        <v>625969.29735898925</v>
      </c>
      <c r="D542" s="67">
        <f t="array" ref="D542">SUM($B$7:$B537*$F$1009*EXP(-$F$1009*($A542-$A$7:$A537)))*$F$1010</f>
        <v>12360957.284438591</v>
      </c>
      <c r="E542" s="67">
        <f t="shared" si="53"/>
        <v>23.565073836720536</v>
      </c>
      <c r="F542" s="70">
        <f t="shared" si="57"/>
        <v>1.4308712833656709</v>
      </c>
      <c r="G542" s="67">
        <f>E542/'Lookup Tables'!$C$48</f>
        <v>47.130147673441073</v>
      </c>
      <c r="H542" s="70">
        <f t="shared" si="54"/>
        <v>1.9786597938328491E-2</v>
      </c>
      <c r="I542" s="71">
        <f t="shared" si="58"/>
        <v>6.7867412649755127E-2</v>
      </c>
      <c r="L542" s="74"/>
      <c r="M542" s="74"/>
      <c r="N542" s="74"/>
      <c r="O542" s="74"/>
      <c r="P542" s="74"/>
      <c r="Q542" s="74"/>
      <c r="R542" s="74"/>
      <c r="S542" s="74"/>
      <c r="T542" s="74"/>
      <c r="U542" s="74"/>
      <c r="V542" s="74"/>
      <c r="W542" s="74"/>
      <c r="X542" s="74"/>
      <c r="Y542" s="74"/>
      <c r="Z542" s="74"/>
    </row>
    <row r="543" spans="1:26" x14ac:dyDescent="0.3">
      <c r="A543" s="66">
        <f t="shared" si="56"/>
        <v>2043.5999999999513</v>
      </c>
      <c r="B543" s="67">
        <f>LOOKUP(A543+0.01,AmountsB!$A$4:$A$103,AmountsB!$B$4:$B$103)*0.1*$A$2</f>
        <v>0</v>
      </c>
      <c r="C543" s="68">
        <f t="shared" si="55"/>
        <v>625969.29735898925</v>
      </c>
      <c r="D543" s="67">
        <f t="array" ref="D543">SUM($B$7:$B538*$F$1009*EXP(-$F$1009*($A543-$A$7:$A538)))*$F$1010</f>
        <v>12274732.721501224</v>
      </c>
      <c r="E543" s="67">
        <f t="shared" si="53"/>
        <v>23.400694319390112</v>
      </c>
      <c r="F543" s="70">
        <f t="shared" si="57"/>
        <v>1.4208901590733676</v>
      </c>
      <c r="G543" s="67">
        <f>E543/'Lookup Tables'!$C$48</f>
        <v>46.801388638780224</v>
      </c>
      <c r="H543" s="70">
        <f t="shared" si="54"/>
        <v>1.9648575395252676E-2</v>
      </c>
      <c r="I543" s="71">
        <f t="shared" si="58"/>
        <v>6.7393999639843521E-2</v>
      </c>
      <c r="L543" s="74"/>
      <c r="M543" s="74"/>
      <c r="N543" s="74"/>
      <c r="O543" s="74"/>
      <c r="P543" s="74"/>
      <c r="Q543" s="74"/>
      <c r="R543" s="74"/>
      <c r="S543" s="74"/>
      <c r="T543" s="74"/>
      <c r="U543" s="74"/>
      <c r="V543" s="74"/>
      <c r="W543" s="74"/>
      <c r="X543" s="74"/>
      <c r="Y543" s="74"/>
      <c r="Z543" s="74"/>
    </row>
    <row r="544" spans="1:26" x14ac:dyDescent="0.3">
      <c r="A544" s="66">
        <f t="shared" si="56"/>
        <v>2043.6999999999512</v>
      </c>
      <c r="B544" s="67">
        <f>LOOKUP(A544+0.01,AmountsB!$A$4:$A$103,AmountsB!$B$4:$B$103)*0.1*$A$2</f>
        <v>0</v>
      </c>
      <c r="C544" s="68">
        <f t="shared" si="55"/>
        <v>625969.29735898925</v>
      </c>
      <c r="D544" s="67">
        <f t="array" ref="D544">SUM($B$7:$B539*$F$1009*EXP(-$F$1009*($A544-$A$7:$A539)))*$F$1010</f>
        <v>12189109.622923184</v>
      </c>
      <c r="E544" s="67">
        <f t="shared" si="53"/>
        <v>23.237461440763433</v>
      </c>
      <c r="F544" s="70">
        <f t="shared" si="57"/>
        <v>1.4109786586831556</v>
      </c>
      <c r="G544" s="67">
        <f>E544/'Lookup Tables'!$C$48</f>
        <v>46.474922881526865</v>
      </c>
      <c r="H544" s="70">
        <f t="shared" si="54"/>
        <v>1.9511515636302587E-2</v>
      </c>
      <c r="I544" s="71">
        <f t="shared" si="58"/>
        <v>6.6923888949398699E-2</v>
      </c>
      <c r="L544" s="74"/>
      <c r="M544" s="74"/>
      <c r="N544" s="74"/>
      <c r="O544" s="74"/>
      <c r="P544" s="74"/>
      <c r="Q544" s="74"/>
      <c r="R544" s="74"/>
      <c r="S544" s="74"/>
      <c r="T544" s="74"/>
      <c r="U544" s="74"/>
      <c r="V544" s="74"/>
      <c r="W544" s="74"/>
      <c r="X544" s="74"/>
      <c r="Y544" s="74"/>
      <c r="Z544" s="74"/>
    </row>
    <row r="545" spans="1:26" x14ac:dyDescent="0.3">
      <c r="A545" s="66">
        <f t="shared" si="56"/>
        <v>2043.7999999999511</v>
      </c>
      <c r="B545" s="67">
        <f>LOOKUP(A545+0.01,AmountsB!$A$4:$A$103,AmountsB!$B$4:$B$103)*0.1*$A$2</f>
        <v>0</v>
      </c>
      <c r="C545" s="68">
        <f t="shared" si="55"/>
        <v>625969.29735898925</v>
      </c>
      <c r="D545" s="67">
        <f t="array" ref="D545">SUM($B$7:$B540*$F$1009*EXP(-$F$1009*($A545-$A$7:$A540)))*$F$1010</f>
        <v>12104083.793155504</v>
      </c>
      <c r="E545" s="67">
        <f t="shared" si="53"/>
        <v>23.07536720239678</v>
      </c>
      <c r="F545" s="70">
        <f t="shared" si="57"/>
        <v>1.4011362965295326</v>
      </c>
      <c r="G545" s="67">
        <f>E545/'Lookup Tables'!$C$48</f>
        <v>46.15073440479356</v>
      </c>
      <c r="H545" s="70">
        <f t="shared" si="54"/>
        <v>1.9375411945522603E-2</v>
      </c>
      <c r="I545" s="71">
        <f t="shared" si="58"/>
        <v>6.6457057542902737E-2</v>
      </c>
      <c r="L545" s="74"/>
      <c r="M545" s="74"/>
      <c r="N545" s="74"/>
      <c r="O545" s="74"/>
      <c r="P545" s="74"/>
      <c r="Q545" s="74"/>
      <c r="R545" s="74"/>
      <c r="S545" s="74"/>
      <c r="T545" s="74"/>
      <c r="U545" s="74"/>
      <c r="V545" s="74"/>
      <c r="W545" s="74"/>
      <c r="X545" s="74"/>
      <c r="Y545" s="74"/>
      <c r="Z545" s="74"/>
    </row>
    <row r="546" spans="1:26" x14ac:dyDescent="0.3">
      <c r="A546" s="66">
        <f t="shared" si="56"/>
        <v>2043.899999999951</v>
      </c>
      <c r="B546" s="67">
        <f>LOOKUP(A546+0.01,AmountsB!$A$4:$A$103,AmountsB!$B$4:$B$103)*0.1*$A$2</f>
        <v>0</v>
      </c>
      <c r="C546" s="68">
        <f t="shared" si="55"/>
        <v>625969.29735898925</v>
      </c>
      <c r="D546" s="67">
        <f t="array" ref="D546">SUM($B$7:$B541*$F$1009*EXP(-$F$1009*($A546-$A$7:$A541)))*$F$1010</f>
        <v>12019651.065915521</v>
      </c>
      <c r="E546" s="67">
        <f t="shared" si="53"/>
        <v>22.914403661640055</v>
      </c>
      <c r="F546" s="70">
        <f t="shared" si="57"/>
        <v>1.3913625903347842</v>
      </c>
      <c r="G546" s="67">
        <f>E546/'Lookup Tables'!$C$48</f>
        <v>45.82880732328011</v>
      </c>
      <c r="H546" s="70">
        <f t="shared" si="54"/>
        <v>1.9240257653804653E-2</v>
      </c>
      <c r="I546" s="71">
        <f t="shared" si="58"/>
        <v>6.5993482545523355E-2</v>
      </c>
      <c r="L546" s="74"/>
      <c r="M546" s="74"/>
      <c r="N546" s="74"/>
      <c r="O546" s="74"/>
      <c r="P546" s="74"/>
      <c r="Q546" s="74"/>
      <c r="R546" s="74"/>
      <c r="S546" s="74"/>
      <c r="T546" s="74"/>
      <c r="U546" s="74"/>
      <c r="V546" s="74"/>
      <c r="W546" s="74"/>
      <c r="X546" s="74"/>
      <c r="Y546" s="74"/>
      <c r="Z546" s="74"/>
    </row>
    <row r="547" spans="1:26" x14ac:dyDescent="0.3">
      <c r="A547" s="66">
        <f t="shared" si="56"/>
        <v>2043.9999999999509</v>
      </c>
      <c r="B547" s="67">
        <f>LOOKUP(A547+0.01,AmountsB!$A$4:$A$103,AmountsB!$B$4:$B$103)*0.1*$A$2</f>
        <v>0</v>
      </c>
      <c r="C547" s="68">
        <f t="shared" si="55"/>
        <v>625969.29735898925</v>
      </c>
      <c r="D547" s="67">
        <f t="array" ref="D547">SUM($B$7:$B542*$F$1009*EXP(-$F$1009*($A547-$A$7:$A542)))*$F$1010</f>
        <v>11935807.303982705</v>
      </c>
      <c r="E547" s="67">
        <f t="shared" si="53"/>
        <v>22.754562931247545</v>
      </c>
      <c r="F547" s="70">
        <f t="shared" si="57"/>
        <v>1.3816570611853509</v>
      </c>
      <c r="G547" s="67">
        <f>E547/'Lookup Tables'!$C$48</f>
        <v>45.50912586249509</v>
      </c>
      <c r="H547" s="70">
        <f t="shared" si="54"/>
        <v>1.91060461385614E-2</v>
      </c>
      <c r="I547" s="71">
        <f t="shared" si="58"/>
        <v>6.5533141241992929E-2</v>
      </c>
      <c r="L547" s="74"/>
      <c r="M547" s="74"/>
      <c r="N547" s="74"/>
      <c r="O547" s="74"/>
      <c r="P547" s="74"/>
      <c r="Q547" s="74"/>
      <c r="R547" s="74"/>
      <c r="S547" s="74"/>
      <c r="T547" s="74"/>
      <c r="U547" s="74"/>
      <c r="V547" s="74"/>
      <c r="W547" s="74"/>
      <c r="X547" s="74"/>
      <c r="Y547" s="74"/>
      <c r="Z547" s="74"/>
    </row>
    <row r="548" spans="1:26" x14ac:dyDescent="0.3">
      <c r="A548" s="66">
        <f t="shared" si="56"/>
        <v>2044.0999999999508</v>
      </c>
      <c r="B548" s="67">
        <f>LOOKUP(A548+0.01,AmountsB!$A$4:$A$103,AmountsB!$B$4:$B$103)*0.1*$A$2</f>
        <v>0</v>
      </c>
      <c r="C548" s="68">
        <f t="shared" si="55"/>
        <v>625969.29735898925</v>
      </c>
      <c r="D548" s="67">
        <f t="array" ref="D548">SUM($B$7:$B543*$F$1009*EXP(-$F$1009*($A548-$A$7:$A543)))*$F$1010</f>
        <v>11852548.39899594</v>
      </c>
      <c r="E548" s="67">
        <f t="shared" si="53"/>
        <v>22.595837178991484</v>
      </c>
      <c r="F548" s="70">
        <f t="shared" si="57"/>
        <v>1.372019233508363</v>
      </c>
      <c r="G548" s="67">
        <f>E548/'Lookup Tables'!$C$48</f>
        <v>45.191674357982969</v>
      </c>
      <c r="H548" s="70">
        <f t="shared" si="54"/>
        <v>1.8972770823401749E-2</v>
      </c>
      <c r="I548" s="71">
        <f t="shared" si="58"/>
        <v>6.5076011075495474E-2</v>
      </c>
      <c r="L548" s="74"/>
      <c r="M548" s="74"/>
      <c r="N548" s="74"/>
      <c r="O548" s="74"/>
      <c r="P548" s="74"/>
      <c r="Q548" s="74"/>
      <c r="R548" s="74"/>
      <c r="S548" s="74"/>
      <c r="T548" s="74"/>
      <c r="U548" s="74"/>
      <c r="V548" s="74"/>
      <c r="W548" s="74"/>
      <c r="X548" s="74"/>
      <c r="Y548" s="74"/>
      <c r="Z548" s="74"/>
    </row>
    <row r="549" spans="1:26" x14ac:dyDescent="0.3">
      <c r="A549" s="66">
        <f t="shared" si="56"/>
        <v>2044.1999999999507</v>
      </c>
      <c r="B549" s="67">
        <f>LOOKUP(A549+0.01,AmountsB!$A$4:$A$103,AmountsB!$B$4:$B$103)*0.1*$A$2</f>
        <v>0</v>
      </c>
      <c r="C549" s="68">
        <f t="shared" si="55"/>
        <v>625969.29735898925</v>
      </c>
      <c r="D549" s="67">
        <f t="array" ref="D549">SUM($B$7:$B544*$F$1009*EXP(-$F$1009*($A549-$A$7:$A544)))*$F$1010</f>
        <v>11769870.271252224</v>
      </c>
      <c r="E549" s="67">
        <f t="shared" si="53"/>
        <v>22.438218627278239</v>
      </c>
      <c r="F549" s="70">
        <f t="shared" si="57"/>
        <v>1.3624486350483347</v>
      </c>
      <c r="G549" s="67">
        <f>E549/'Lookup Tables'!$C$48</f>
        <v>44.876437254556478</v>
      </c>
      <c r="H549" s="70">
        <f t="shared" si="54"/>
        <v>1.8840425177808574E-2</v>
      </c>
      <c r="I549" s="71">
        <f t="shared" si="58"/>
        <v>6.4622069646561323E-2</v>
      </c>
      <c r="L549" s="74"/>
      <c r="M549" s="74"/>
      <c r="N549" s="74"/>
      <c r="O549" s="74"/>
      <c r="P549" s="74"/>
      <c r="Q549" s="74"/>
      <c r="R549" s="74"/>
      <c r="S549" s="74"/>
      <c r="T549" s="74"/>
      <c r="U549" s="74"/>
      <c r="V549" s="74"/>
      <c r="W549" s="74"/>
      <c r="X549" s="74"/>
      <c r="Y549" s="74"/>
      <c r="Z549" s="74"/>
    </row>
    <row r="550" spans="1:26" x14ac:dyDescent="0.3">
      <c r="A550" s="66">
        <f t="shared" si="56"/>
        <v>2044.2999999999506</v>
      </c>
      <c r="B550" s="67">
        <f>LOOKUP(A550+0.01,AmountsB!$A$4:$A$103,AmountsB!$B$4:$B$103)*0.1*$A$2</f>
        <v>0</v>
      </c>
      <c r="C550" s="68">
        <f t="shared" si="55"/>
        <v>625969.29735898925</v>
      </c>
      <c r="D550" s="67">
        <f t="array" ref="D550">SUM($B$7:$B545*$F$1009*EXP(-$F$1009*($A550-$A$7:$A545)))*$F$1010</f>
        <v>11687768.86950676</v>
      </c>
      <c r="E550" s="67">
        <f t="shared" si="53"/>
        <v>22.281699552767257</v>
      </c>
      <c r="F550" s="70">
        <f t="shared" si="57"/>
        <v>1.352944796844028</v>
      </c>
      <c r="G550" s="67">
        <f>E550/'Lookup Tables'!$C$48</f>
        <v>44.563399105534515</v>
      </c>
      <c r="H550" s="70">
        <f t="shared" si="54"/>
        <v>1.8709002716818777E-2</v>
      </c>
      <c r="I550" s="71">
        <f t="shared" si="58"/>
        <v>6.4171294711969709E-2</v>
      </c>
      <c r="L550" s="74"/>
      <c r="M550" s="74"/>
      <c r="N550" s="74"/>
      <c r="O550" s="74"/>
      <c r="P550" s="74"/>
      <c r="Q550" s="74"/>
      <c r="R550" s="74"/>
      <c r="S550" s="74"/>
      <c r="T550" s="74"/>
      <c r="U550" s="74"/>
      <c r="V550" s="74"/>
      <c r="W550" s="74"/>
      <c r="X550" s="74"/>
      <c r="Y550" s="74"/>
      <c r="Z550" s="74"/>
    </row>
    <row r="551" spans="1:26" x14ac:dyDescent="0.3">
      <c r="A551" s="66">
        <f t="shared" si="56"/>
        <v>2044.3999999999505</v>
      </c>
      <c r="B551" s="67">
        <f>LOOKUP(A551+0.01,AmountsB!$A$4:$A$103,AmountsB!$B$4:$B$103)*0.1*$A$2</f>
        <v>0</v>
      </c>
      <c r="C551" s="68">
        <f t="shared" si="55"/>
        <v>625969.29735898925</v>
      </c>
      <c r="D551" s="67">
        <f t="array" ref="D551">SUM($B$7:$B546*$F$1009*EXP(-$F$1009*($A551-$A$7:$A546)))*$F$1010</f>
        <v>11606240.170774432</v>
      </c>
      <c r="E551" s="67">
        <f t="shared" si="53"/>
        <v>22.12627228599256</v>
      </c>
      <c r="F551" s="70">
        <f t="shared" si="57"/>
        <v>1.3435072532054682</v>
      </c>
      <c r="G551" s="67">
        <f>E551/'Lookup Tables'!$C$48</f>
        <v>44.252544571985119</v>
      </c>
      <c r="H551" s="70">
        <f t="shared" si="54"/>
        <v>1.8578497000705463E-2</v>
      </c>
      <c r="I551" s="71">
        <f t="shared" si="58"/>
        <v>6.3723664183658574E-2</v>
      </c>
      <c r="L551" s="74"/>
      <c r="M551" s="74"/>
      <c r="N551" s="74"/>
      <c r="O551" s="74"/>
      <c r="P551" s="74"/>
      <c r="Q551" s="74"/>
      <c r="R551" s="74"/>
      <c r="S551" s="74"/>
      <c r="T551" s="74"/>
      <c r="U551" s="74"/>
      <c r="V551" s="74"/>
      <c r="W551" s="74"/>
      <c r="X551" s="74"/>
      <c r="Y551" s="74"/>
      <c r="Z551" s="74"/>
    </row>
    <row r="552" spans="1:26" x14ac:dyDescent="0.3">
      <c r="A552" s="66">
        <f t="shared" si="56"/>
        <v>2044.4999999999504</v>
      </c>
      <c r="B552" s="67">
        <f>LOOKUP(A552+0.01,AmountsB!$A$4:$A$103,AmountsB!$B$4:$B$103)*0.1*$A$2</f>
        <v>0</v>
      </c>
      <c r="C552" s="68">
        <f t="shared" si="55"/>
        <v>625969.29735898925</v>
      </c>
      <c r="D552" s="67">
        <f t="array" ref="D552">SUM($B$7:$B547*$F$1009*EXP(-$F$1009*($A552-$A$7:$A547)))*$F$1010</f>
        <v>11525280.180132691</v>
      </c>
      <c r="E552" s="67">
        <f t="shared" si="53"/>
        <v>21.971929210986982</v>
      </c>
      <c r="F552" s="70">
        <f t="shared" si="57"/>
        <v>1.3341355416911296</v>
      </c>
      <c r="G552" s="67">
        <f>E552/'Lookup Tables'!$C$48</f>
        <v>43.943858421973964</v>
      </c>
      <c r="H552" s="70">
        <f t="shared" si="54"/>
        <v>1.8448901634662444E-2</v>
      </c>
      <c r="I552" s="71">
        <f t="shared" si="58"/>
        <v>6.3279156127642511E-2</v>
      </c>
      <c r="L552" s="74"/>
      <c r="M552" s="74"/>
      <c r="N552" s="74"/>
      <c r="O552" s="74"/>
      <c r="P552" s="74"/>
      <c r="Q552" s="74"/>
      <c r="R552" s="74"/>
      <c r="S552" s="74"/>
      <c r="T552" s="74"/>
      <c r="U552" s="74"/>
      <c r="V552" s="74"/>
      <c r="W552" s="74"/>
      <c r="X552" s="74"/>
      <c r="Y552" s="74"/>
      <c r="Z552" s="74"/>
    </row>
    <row r="553" spans="1:26" x14ac:dyDescent="0.3">
      <c r="A553" s="66">
        <f t="shared" si="56"/>
        <v>2044.5999999999503</v>
      </c>
      <c r="B553" s="67">
        <f>LOOKUP(A553+0.01,AmountsB!$A$4:$A$103,AmountsB!$B$4:$B$103)*0.1*$A$2</f>
        <v>0</v>
      </c>
      <c r="C553" s="68">
        <f t="shared" si="55"/>
        <v>625969.29735898925</v>
      </c>
      <c r="D553" s="67">
        <f t="array" ref="D553">SUM($B$7:$B548*$F$1009*EXP(-$F$1009*($A553-$A$7:$A548)))*$F$1010</f>
        <v>11444884.930525795</v>
      </c>
      <c r="E553" s="67">
        <f t="shared" si="53"/>
        <v>21.818662764908968</v>
      </c>
      <c r="F553" s="70">
        <f t="shared" si="57"/>
        <v>1.3248292030852724</v>
      </c>
      <c r="G553" s="67">
        <f>E553/'Lookup Tables'!$C$48</f>
        <v>43.637325529817936</v>
      </c>
      <c r="H553" s="70">
        <f t="shared" si="54"/>
        <v>1.8320210268490841E-2</v>
      </c>
      <c r="I553" s="71">
        <f t="shared" si="58"/>
        <v>6.2837748762937823E-2</v>
      </c>
      <c r="L553" s="74"/>
      <c r="M553" s="74"/>
      <c r="N553" s="74"/>
      <c r="O553" s="74"/>
      <c r="P553" s="74"/>
      <c r="Q553" s="74"/>
      <c r="R553" s="74"/>
      <c r="S553" s="74"/>
      <c r="T553" s="74"/>
      <c r="U553" s="74"/>
      <c r="V553" s="74"/>
      <c r="W553" s="74"/>
      <c r="X553" s="74"/>
      <c r="Y553" s="74"/>
      <c r="Z553" s="74"/>
    </row>
    <row r="554" spans="1:26" x14ac:dyDescent="0.3">
      <c r="A554" s="66">
        <f t="shared" si="56"/>
        <v>2044.6999999999503</v>
      </c>
      <c r="B554" s="67">
        <f>LOOKUP(A554+0.01,AmountsB!$A$4:$A$103,AmountsB!$B$4:$B$103)*0.1*$A$2</f>
        <v>0</v>
      </c>
      <c r="C554" s="68">
        <f t="shared" si="55"/>
        <v>625969.29735898925</v>
      </c>
      <c r="D554" s="67">
        <f t="array" ref="D554">SUM($B$7:$B549*$F$1009*EXP(-$F$1009*($A554-$A$7:$A549)))*$F$1010</f>
        <v>11365050.482570423</v>
      </c>
      <c r="E554" s="67">
        <f t="shared" si="53"/>
        <v>21.666465437671977</v>
      </c>
      <c r="F554" s="70">
        <f t="shared" si="57"/>
        <v>1.3155877813754424</v>
      </c>
      <c r="G554" s="67">
        <f>E554/'Lookup Tables'!$C$48</f>
        <v>43.332930875343955</v>
      </c>
      <c r="H554" s="70">
        <f t="shared" si="54"/>
        <v>1.8192416596287963E-2</v>
      </c>
      <c r="I554" s="71">
        <f t="shared" si="58"/>
        <v>6.2399420460495292E-2</v>
      </c>
      <c r="L554" s="74"/>
      <c r="M554" s="74"/>
      <c r="N554" s="74"/>
      <c r="O554" s="74"/>
      <c r="P554" s="74"/>
      <c r="Q554" s="74"/>
      <c r="R554" s="74"/>
      <c r="S554" s="74"/>
      <c r="T554" s="74"/>
      <c r="U554" s="74"/>
      <c r="V554" s="74"/>
      <c r="W554" s="74"/>
      <c r="X554" s="74"/>
      <c r="Y554" s="74"/>
      <c r="Z554" s="74"/>
    </row>
    <row r="555" spans="1:26" x14ac:dyDescent="0.3">
      <c r="A555" s="66">
        <f t="shared" si="56"/>
        <v>2044.7999999999502</v>
      </c>
      <c r="B555" s="67">
        <f>LOOKUP(A555+0.01,AmountsB!$A$4:$A$103,AmountsB!$B$4:$B$103)*0.1*$A$2</f>
        <v>0</v>
      </c>
      <c r="C555" s="68">
        <f t="shared" si="55"/>
        <v>625969.29735898925</v>
      </c>
      <c r="D555" s="67">
        <f t="array" ref="D555">SUM($B$7:$B550*$F$1009*EXP(-$F$1009*($A555-$A$7:$A550)))*$F$1010</f>
        <v>11285772.924362663</v>
      </c>
      <c r="E555" s="67">
        <f t="shared" si="53"/>
        <v>21.515329771576546</v>
      </c>
      <c r="F555" s="70">
        <f t="shared" si="57"/>
        <v>1.306410823730128</v>
      </c>
      <c r="G555" s="67">
        <f>E555/'Lookup Tables'!$C$48</f>
        <v>43.030659543153092</v>
      </c>
      <c r="H555" s="70">
        <f t="shared" si="54"/>
        <v>1.8065514356138311E-2</v>
      </c>
      <c r="I555" s="71">
        <f t="shared" si="58"/>
        <v>6.1964149742140449E-2</v>
      </c>
      <c r="L555" s="74"/>
      <c r="M555" s="74"/>
      <c r="N555" s="74"/>
      <c r="O555" s="74"/>
      <c r="P555" s="74"/>
      <c r="Q555" s="74"/>
      <c r="R555" s="74"/>
      <c r="S555" s="74"/>
      <c r="T555" s="74"/>
      <c r="U555" s="74"/>
      <c r="V555" s="74"/>
      <c r="W555" s="74"/>
      <c r="X555" s="74"/>
      <c r="Y555" s="74"/>
      <c r="Z555" s="74"/>
    </row>
    <row r="556" spans="1:26" x14ac:dyDescent="0.3">
      <c r="A556" s="66">
        <f t="shared" si="56"/>
        <v>2044.8999999999501</v>
      </c>
      <c r="B556" s="67">
        <f>LOOKUP(A556+0.01,AmountsB!$A$4:$A$103,AmountsB!$B$4:$B$103)*0.1*$A$2</f>
        <v>0</v>
      </c>
      <c r="C556" s="68">
        <f t="shared" si="55"/>
        <v>625969.29735898925</v>
      </c>
      <c r="D556" s="67">
        <f t="array" ref="D556">SUM($B$7:$B551*$F$1009*EXP(-$F$1009*($A556-$A$7:$A551)))*$F$1010</f>
        <v>11207048.371286293</v>
      </c>
      <c r="E556" s="67">
        <f t="shared" si="53"/>
        <v>21.365248360944786</v>
      </c>
      <c r="F556" s="70">
        <f t="shared" si="57"/>
        <v>1.2972978804765674</v>
      </c>
      <c r="G556" s="67">
        <f>E556/'Lookup Tables'!$C$48</f>
        <v>42.730496721889573</v>
      </c>
      <c r="H556" s="70">
        <f t="shared" si="54"/>
        <v>1.7939497329806722E-2</v>
      </c>
      <c r="I556" s="71">
        <f t="shared" si="58"/>
        <v>6.1531915279520982E-2</v>
      </c>
      <c r="L556" s="74"/>
      <c r="M556" s="74"/>
      <c r="N556" s="74"/>
      <c r="O556" s="74"/>
      <c r="P556" s="74"/>
      <c r="Q556" s="74"/>
      <c r="R556" s="74"/>
      <c r="S556" s="74"/>
      <c r="T556" s="74"/>
      <c r="U556" s="74"/>
      <c r="V556" s="74"/>
      <c r="W556" s="74"/>
      <c r="X556" s="74"/>
      <c r="Y556" s="74"/>
      <c r="Z556" s="74"/>
    </row>
    <row r="557" spans="1:26" x14ac:dyDescent="0.3">
      <c r="A557" s="66">
        <f t="shared" si="56"/>
        <v>2044.99999999995</v>
      </c>
      <c r="B557" s="67">
        <f>LOOKUP(A557+0.01,AmountsB!$A$4:$A$103,AmountsB!$B$4:$B$103)*0.1*$A$2</f>
        <v>0</v>
      </c>
      <c r="C557" s="68">
        <f t="shared" si="55"/>
        <v>625969.29735898925</v>
      </c>
      <c r="D557" s="67">
        <f t="array" ref="D557">SUM($B$7:$B552*$F$1009*EXP(-$F$1009*($A557-$A$7:$A552)))*$F$1010</f>
        <v>11128872.965822462</v>
      </c>
      <c r="E557" s="67">
        <f t="shared" si="53"/>
        <v>21.216213851757548</v>
      </c>
      <c r="F557" s="70">
        <f t="shared" si="57"/>
        <v>1.2882485050787182</v>
      </c>
      <c r="G557" s="67">
        <f>E557/'Lookup Tables'!$C$48</f>
        <v>42.432427703515096</v>
      </c>
      <c r="H557" s="70">
        <f t="shared" si="54"/>
        <v>1.7814359342433694E-2</v>
      </c>
      <c r="I557" s="71">
        <f t="shared" si="58"/>
        <v>6.1102695893061734E-2</v>
      </c>
      <c r="L557" s="74"/>
      <c r="M557" s="74"/>
      <c r="N557" s="74"/>
      <c r="O557" s="74"/>
      <c r="P557" s="74"/>
      <c r="Q557" s="74"/>
      <c r="R557" s="74"/>
      <c r="S557" s="74"/>
      <c r="T557" s="74"/>
      <c r="U557" s="74"/>
      <c r="V557" s="74"/>
      <c r="W557" s="74"/>
      <c r="X557" s="74"/>
      <c r="Y557" s="74"/>
      <c r="Z557" s="74"/>
    </row>
    <row r="558" spans="1:26" x14ac:dyDescent="0.3">
      <c r="A558" s="66">
        <f t="shared" si="56"/>
        <v>2045.0999999999499</v>
      </c>
      <c r="B558" s="67">
        <f>LOOKUP(A558+0.01,AmountsB!$A$4:$A$103,AmountsB!$B$4:$B$103)*0.1*$A$2</f>
        <v>0</v>
      </c>
      <c r="C558" s="68">
        <f t="shared" si="55"/>
        <v>625969.29735898925</v>
      </c>
      <c r="D558" s="67">
        <f t="array" ref="D558">SUM($B$7:$B553*$F$1009*EXP(-$F$1009*($A558-$A$7:$A553)))*$F$1010</f>
        <v>11051242.877360659</v>
      </c>
      <c r="E558" s="67">
        <f t="shared" si="53"/>
        <v>21.068218941294052</v>
      </c>
      <c r="F558" s="70">
        <f t="shared" si="57"/>
        <v>1.2792622541153749</v>
      </c>
      <c r="G558" s="67">
        <f>E558/'Lookup Tables'!$C$48</f>
        <v>42.136437882588105</v>
      </c>
      <c r="H558" s="70">
        <f t="shared" si="54"/>
        <v>1.7690094262232801E-2</v>
      </c>
      <c r="I558" s="71">
        <f t="shared" si="58"/>
        <v>6.067647055092687E-2</v>
      </c>
      <c r="L558" s="74"/>
      <c r="M558" s="74"/>
      <c r="N558" s="74"/>
      <c r="O558" s="74"/>
      <c r="P558" s="74"/>
      <c r="Q558" s="74"/>
      <c r="R558" s="74"/>
      <c r="S558" s="74"/>
      <c r="T558" s="74"/>
      <c r="U558" s="74"/>
      <c r="V558" s="74"/>
      <c r="W558" s="74"/>
      <c r="X558" s="74"/>
      <c r="Y558" s="74"/>
      <c r="Z558" s="74"/>
    </row>
    <row r="559" spans="1:26" x14ac:dyDescent="0.3">
      <c r="A559" s="66">
        <f t="shared" si="56"/>
        <v>2045.1999999999498</v>
      </c>
      <c r="B559" s="67">
        <f>LOOKUP(A559+0.01,AmountsB!$A$4:$A$103,AmountsB!$B$4:$B$103)*0.1*$A$2</f>
        <v>0</v>
      </c>
      <c r="C559" s="68">
        <f t="shared" si="55"/>
        <v>625969.29735898925</v>
      </c>
      <c r="D559" s="67">
        <f t="array" ref="D559">SUM($B$7:$B554*$F$1009*EXP(-$F$1009*($A559-$A$7:$A554)))*$F$1010</f>
        <v>10974154.30201102</v>
      </c>
      <c r="E559" s="67">
        <f t="shared" si="53"/>
        <v>20.921256377774096</v>
      </c>
      <c r="F559" s="70">
        <f t="shared" si="57"/>
        <v>1.270338687258443</v>
      </c>
      <c r="G559" s="67">
        <f>E559/'Lookup Tables'!$C$48</f>
        <v>41.842512755548192</v>
      </c>
      <c r="H559" s="70">
        <f t="shared" si="54"/>
        <v>1.7566696000190261E-2</v>
      </c>
      <c r="I559" s="71">
        <f t="shared" si="58"/>
        <v>6.0253218367989393E-2</v>
      </c>
      <c r="L559" s="74"/>
      <c r="M559" s="74"/>
      <c r="N559" s="74"/>
      <c r="O559" s="74"/>
      <c r="P559" s="74"/>
      <c r="Q559" s="74"/>
      <c r="R559" s="74"/>
      <c r="S559" s="74"/>
      <c r="T559" s="74"/>
      <c r="U559" s="74"/>
      <c r="V559" s="74"/>
      <c r="W559" s="74"/>
      <c r="X559" s="74"/>
      <c r="Y559" s="74"/>
      <c r="Z559" s="74"/>
    </row>
    <row r="560" spans="1:26" x14ac:dyDescent="0.3">
      <c r="A560" s="66">
        <f t="shared" si="56"/>
        <v>2045.2999999999497</v>
      </c>
      <c r="B560" s="67">
        <f>LOOKUP(A560+0.01,AmountsB!$A$4:$A$103,AmountsB!$B$4:$B$103)*0.1*$A$2</f>
        <v>0</v>
      </c>
      <c r="C560" s="68">
        <f t="shared" si="55"/>
        <v>625969.29735898925</v>
      </c>
      <c r="D560" s="67">
        <f t="array" ref="D560">SUM($B$7:$B555*$F$1009*EXP(-$F$1009*($A560-$A$7:$A555)))*$F$1010</f>
        <v>10897603.462417927</v>
      </c>
      <c r="E560" s="67">
        <f t="shared" si="53"/>
        <v>20.77531896000264</v>
      </c>
      <c r="F560" s="70">
        <f t="shared" si="57"/>
        <v>1.2614773672513602</v>
      </c>
      <c r="G560" s="67">
        <f>E560/'Lookup Tables'!$C$48</f>
        <v>41.550637920005279</v>
      </c>
      <c r="H560" s="70">
        <f t="shared" si="54"/>
        <v>1.7444158509766529E-2</v>
      </c>
      <c r="I560" s="71">
        <f t="shared" si="58"/>
        <v>5.9832918604807592E-2</v>
      </c>
      <c r="L560" s="74"/>
      <c r="M560" s="74"/>
      <c r="N560" s="74"/>
      <c r="O560" s="74"/>
      <c r="P560" s="74"/>
      <c r="Q560" s="74"/>
      <c r="R560" s="74"/>
      <c r="S560" s="74"/>
      <c r="T560" s="74"/>
      <c r="U560" s="74"/>
      <c r="V560" s="74"/>
      <c r="W560" s="74"/>
      <c r="X560" s="74"/>
      <c r="Y560" s="74"/>
      <c r="Z560" s="74"/>
    </row>
    <row r="561" spans="1:26" x14ac:dyDescent="0.3">
      <c r="A561" s="66">
        <f t="shared" si="56"/>
        <v>2045.3999999999496</v>
      </c>
      <c r="B561" s="67">
        <f>LOOKUP(A561+0.01,AmountsB!$A$4:$A$103,AmountsB!$B$4:$B$103)*0.1*$A$2</f>
        <v>0</v>
      </c>
      <c r="C561" s="68">
        <f t="shared" si="55"/>
        <v>625969.29735898925</v>
      </c>
      <c r="D561" s="67">
        <f t="array" ref="D561">SUM($B$7:$B556*$F$1009*EXP(-$F$1009*($A561-$A$7:$A556)))*$F$1010</f>
        <v>10821586.607574925</v>
      </c>
      <c r="E561" s="67">
        <f t="shared" si="53"/>
        <v>20.630399537017031</v>
      </c>
      <c r="F561" s="70">
        <f t="shared" si="57"/>
        <v>1.2526778598876742</v>
      </c>
      <c r="G561" s="67">
        <f>E561/'Lookup Tables'!$C$48</f>
        <v>41.260799074034061</v>
      </c>
      <c r="H561" s="70">
        <f t="shared" si="54"/>
        <v>1.7322475786600074E-2</v>
      </c>
      <c r="I561" s="71">
        <f t="shared" si="58"/>
        <v>5.941555066660905E-2</v>
      </c>
      <c r="L561" s="74"/>
      <c r="M561" s="74"/>
      <c r="N561" s="74"/>
      <c r="O561" s="74"/>
      <c r="P561" s="74"/>
      <c r="Q561" s="74"/>
      <c r="R561" s="74"/>
      <c r="S561" s="74"/>
      <c r="T561" s="74"/>
      <c r="U561" s="74"/>
      <c r="V561" s="74"/>
      <c r="W561" s="74"/>
      <c r="X561" s="74"/>
      <c r="Y561" s="74"/>
      <c r="Z561" s="74"/>
    </row>
    <row r="562" spans="1:26" x14ac:dyDescent="0.3">
      <c r="A562" s="66">
        <f t="shared" si="56"/>
        <v>2045.4999999999495</v>
      </c>
      <c r="B562" s="67">
        <f>LOOKUP(A562+0.01,AmountsB!$A$4:$A$103,AmountsB!$B$4:$B$103)*0.1*$A$2</f>
        <v>0</v>
      </c>
      <c r="C562" s="68">
        <f t="shared" si="55"/>
        <v>625969.29735898925</v>
      </c>
      <c r="D562" s="67">
        <f t="array" ref="D562">SUM($B$7:$B557*$F$1009*EXP(-$F$1009*($A562-$A$7:$A557)))*$F$1010</f>
        <v>10746100.012640918</v>
      </c>
      <c r="E562" s="67">
        <f t="shared" si="53"/>
        <v>20.486491007736543</v>
      </c>
      <c r="F562" s="70">
        <f t="shared" si="57"/>
        <v>1.2439397339897629</v>
      </c>
      <c r="G562" s="67">
        <f>E562/'Lookup Tables'!$C$48</f>
        <v>40.972982015473086</v>
      </c>
      <c r="H562" s="70">
        <f t="shared" si="54"/>
        <v>1.7201641868213102E-2</v>
      </c>
      <c r="I562" s="71">
        <f t="shared" si="58"/>
        <v>5.9001094102281243E-2</v>
      </c>
      <c r="L562" s="74"/>
      <c r="M562" s="74"/>
      <c r="N562" s="74"/>
      <c r="O562" s="74"/>
      <c r="P562" s="74"/>
      <c r="Q562" s="74"/>
      <c r="R562" s="74"/>
      <c r="S562" s="74"/>
      <c r="T562" s="74"/>
      <c r="U562" s="74"/>
      <c r="V562" s="74"/>
      <c r="W562" s="74"/>
      <c r="X562" s="74"/>
      <c r="Y562" s="74"/>
      <c r="Z562" s="74"/>
    </row>
    <row r="563" spans="1:26" x14ac:dyDescent="0.3">
      <c r="A563" s="66">
        <f t="shared" si="56"/>
        <v>2045.5999999999494</v>
      </c>
      <c r="B563" s="67">
        <f>LOOKUP(A563+0.01,AmountsB!$A$4:$A$103,AmountsB!$B$4:$B$103)*0.1*$A$2</f>
        <v>0</v>
      </c>
      <c r="C563" s="68">
        <f t="shared" si="55"/>
        <v>625969.29735898925</v>
      </c>
      <c r="D563" s="67">
        <f t="array" ref="D563">SUM($B$7:$B558*$F$1009*EXP(-$F$1009*($A563-$A$7:$A558)))*$F$1010</f>
        <v>10671139.978757646</v>
      </c>
      <c r="E563" s="67">
        <f t="shared" si="53"/>
        <v>20.343586320614442</v>
      </c>
      <c r="F563" s="70">
        <f t="shared" si="57"/>
        <v>1.2352625613877088</v>
      </c>
      <c r="G563" s="67">
        <f>E563/'Lookup Tables'!$C$48</f>
        <v>40.687172641228884</v>
      </c>
      <c r="H563" s="70">
        <f t="shared" si="54"/>
        <v>1.7081650833719438E-2</v>
      </c>
      <c r="I563" s="71">
        <f t="shared" si="58"/>
        <v>5.8589528603369585E-2</v>
      </c>
      <c r="L563" s="74"/>
      <c r="M563" s="74"/>
      <c r="N563" s="74"/>
      <c r="O563" s="74"/>
      <c r="P563" s="74"/>
      <c r="Q563" s="74"/>
      <c r="R563" s="74"/>
      <c r="S563" s="74"/>
      <c r="T563" s="74"/>
      <c r="U563" s="74"/>
      <c r="V563" s="74"/>
      <c r="W563" s="74"/>
      <c r="X563" s="74"/>
      <c r="Y563" s="74"/>
      <c r="Z563" s="74"/>
    </row>
    <row r="564" spans="1:26" x14ac:dyDescent="0.3">
      <c r="A564" s="66">
        <f t="shared" si="56"/>
        <v>2045.6999999999493</v>
      </c>
      <c r="B564" s="67">
        <f>LOOKUP(A564+0.01,AmountsB!$A$4:$A$103,AmountsB!$B$4:$B$103)*0.1*$A$2</f>
        <v>0</v>
      </c>
      <c r="C564" s="68">
        <f t="shared" si="55"/>
        <v>625969.29735898925</v>
      </c>
      <c r="D564" s="67">
        <f t="array" ref="D564">SUM($B$7:$B559*$F$1009*EXP(-$F$1009*($A564-$A$7:$A559)))*$F$1010</f>
        <v>10596702.832868453</v>
      </c>
      <c r="E564" s="67">
        <f t="shared" si="53"/>
        <v>20.201678473292468</v>
      </c>
      <c r="F564" s="70">
        <f t="shared" si="57"/>
        <v>1.2266459168983186</v>
      </c>
      <c r="G564" s="67">
        <f>E564/'Lookup Tables'!$C$48</f>
        <v>40.403356946584935</v>
      </c>
      <c r="H564" s="70">
        <f t="shared" si="54"/>
        <v>1.6962496803534385E-2</v>
      </c>
      <c r="I564" s="71">
        <f t="shared" si="58"/>
        <v>5.8180834003082299E-2</v>
      </c>
      <c r="L564" s="74"/>
      <c r="M564" s="74"/>
      <c r="N564" s="74"/>
      <c r="O564" s="74"/>
      <c r="P564" s="74"/>
      <c r="Q564" s="74"/>
      <c r="R564" s="74"/>
      <c r="S564" s="74"/>
      <c r="T564" s="74"/>
      <c r="U564" s="74"/>
      <c r="V564" s="74"/>
      <c r="W564" s="74"/>
      <c r="X564" s="74"/>
      <c r="Y564" s="74"/>
      <c r="Z564" s="74"/>
    </row>
    <row r="565" spans="1:26" x14ac:dyDescent="0.3">
      <c r="A565" s="66">
        <f t="shared" si="56"/>
        <v>2045.7999999999493</v>
      </c>
      <c r="B565" s="67">
        <f>LOOKUP(A565+0.01,AmountsB!$A$4:$A$103,AmountsB!$B$4:$B$103)*0.1*$A$2</f>
        <v>0</v>
      </c>
      <c r="C565" s="68">
        <f t="shared" si="55"/>
        <v>625969.29735898925</v>
      </c>
      <c r="D565" s="67">
        <f t="array" ref="D565">SUM($B$7:$B560*$F$1009*EXP(-$F$1009*($A565-$A$7:$A560)))*$F$1010</f>
        <v>10522784.9275383</v>
      </c>
      <c r="E565" s="67">
        <f t="shared" si="53"/>
        <v>20.060760512257708</v>
      </c>
      <c r="F565" s="70">
        <f t="shared" si="57"/>
        <v>1.2180893783042881</v>
      </c>
      <c r="G565" s="67">
        <f>E565/'Lookup Tables'!$C$48</f>
        <v>40.121521024515417</v>
      </c>
      <c r="H565" s="70">
        <f t="shared" si="54"/>
        <v>1.6844173939086621E-2</v>
      </c>
      <c r="I565" s="71">
        <f t="shared" si="58"/>
        <v>5.7774990275302196E-2</v>
      </c>
      <c r="L565" s="74"/>
      <c r="M565" s="74"/>
      <c r="N565" s="74"/>
      <c r="O565" s="74"/>
      <c r="P565" s="74"/>
      <c r="Q565" s="74"/>
      <c r="R565" s="74"/>
      <c r="S565" s="74"/>
      <c r="T565" s="74"/>
      <c r="U565" s="74"/>
      <c r="V565" s="74"/>
      <c r="W565" s="74"/>
      <c r="X565" s="74"/>
      <c r="Y565" s="74"/>
      <c r="Z565" s="74"/>
    </row>
    <row r="566" spans="1:26" x14ac:dyDescent="0.3">
      <c r="A566" s="66">
        <f t="shared" si="56"/>
        <v>2045.8999999999492</v>
      </c>
      <c r="B566" s="67">
        <f>LOOKUP(A566+0.01,AmountsB!$A$4:$A$103,AmountsB!$B$4:$B$103)*0.1*$A$2</f>
        <v>0</v>
      </c>
      <c r="C566" s="68">
        <f t="shared" si="55"/>
        <v>625969.29735898925</v>
      </c>
      <c r="D566" s="67">
        <f t="array" ref="D566">SUM($B$7:$B561*$F$1009*EXP(-$F$1009*($A566-$A$7:$A561)))*$F$1010</f>
        <v>10449382.640775027</v>
      </c>
      <c r="E566" s="67">
        <f t="shared" si="53"/>
        <v>19.920825532501876</v>
      </c>
      <c r="F566" s="70">
        <f t="shared" si="57"/>
        <v>1.2095925263335141</v>
      </c>
      <c r="G566" s="67">
        <f>E566/'Lookup Tables'!$C$48</f>
        <v>39.841651065003752</v>
      </c>
      <c r="H566" s="70">
        <f t="shared" si="54"/>
        <v>1.6726676442532118E-2</v>
      </c>
      <c r="I566" s="71">
        <f t="shared" si="58"/>
        <v>5.7371977533605407E-2</v>
      </c>
      <c r="L566" s="74"/>
      <c r="M566" s="74"/>
      <c r="N566" s="74"/>
      <c r="O566" s="74"/>
      <c r="P566" s="74"/>
      <c r="Q566" s="74"/>
      <c r="R566" s="74"/>
      <c r="S566" s="74"/>
      <c r="T566" s="74"/>
      <c r="U566" s="74"/>
      <c r="V566" s="74"/>
      <c r="W566" s="74"/>
      <c r="X566" s="74"/>
      <c r="Y566" s="74"/>
      <c r="Z566" s="74"/>
    </row>
    <row r="567" spans="1:26" x14ac:dyDescent="0.3">
      <c r="A567" s="66">
        <f t="shared" si="56"/>
        <v>2045.9999999999491</v>
      </c>
      <c r="B567" s="67">
        <f>LOOKUP(A567+0.01,AmountsB!$A$4:$A$103,AmountsB!$B$4:$B$103)*0.1*$A$2</f>
        <v>0</v>
      </c>
      <c r="C567" s="68">
        <f t="shared" si="55"/>
        <v>625969.29735898925</v>
      </c>
      <c r="D567" s="67">
        <f t="array" ref="D567">SUM($B$7:$B562*$F$1009*EXP(-$F$1009*($A567-$A$7:$A562)))*$F$1010</f>
        <v>10376492.375851903</v>
      </c>
      <c r="E567" s="67">
        <f t="shared" si="53"/>
        <v>19.781866677182965</v>
      </c>
      <c r="F567" s="70">
        <f t="shared" si="57"/>
        <v>1.2011549446385497</v>
      </c>
      <c r="G567" s="67">
        <f>E567/'Lookup Tables'!$C$48</f>
        <v>39.56373335436593</v>
      </c>
      <c r="H567" s="70">
        <f t="shared" si="54"/>
        <v>1.6609998556470024E-2</v>
      </c>
      <c r="I567" s="71">
        <f t="shared" si="58"/>
        <v>5.6971776030286941E-2</v>
      </c>
      <c r="L567" s="74"/>
      <c r="M567" s="74"/>
      <c r="N567" s="74"/>
      <c r="O567" s="74"/>
      <c r="P567" s="74"/>
      <c r="Q567" s="74"/>
      <c r="R567" s="74"/>
      <c r="S567" s="74"/>
      <c r="T567" s="74"/>
      <c r="U567" s="74"/>
      <c r="V567" s="74"/>
      <c r="W567" s="74"/>
      <c r="X567" s="74"/>
      <c r="Y567" s="74"/>
      <c r="Z567" s="74"/>
    </row>
    <row r="568" spans="1:26" x14ac:dyDescent="0.3">
      <c r="A568" s="66">
        <f t="shared" si="56"/>
        <v>2046.099999999949</v>
      </c>
      <c r="B568" s="67">
        <f>LOOKUP(A568+0.01,AmountsB!$A$4:$A$103,AmountsB!$B$4:$B$103)*0.1*$A$2</f>
        <v>0</v>
      </c>
      <c r="C568" s="68">
        <f t="shared" si="55"/>
        <v>625969.29735898925</v>
      </c>
      <c r="D568" s="67">
        <f t="array" ref="D568">SUM($B$7:$B563*$F$1009*EXP(-$F$1009*($A568-$A$7:$A563)))*$F$1010</f>
        <v>10304110.561131367</v>
      </c>
      <c r="E568" s="67">
        <f t="shared" si="53"/>
        <v>19.643877137289273</v>
      </c>
      <c r="F568" s="70">
        <f t="shared" si="57"/>
        <v>1.1927762197762046</v>
      </c>
      <c r="G568" s="67">
        <f>E568/'Lookup Tables'!$C$48</f>
        <v>39.287754274578546</v>
      </c>
      <c r="H568" s="70">
        <f t="shared" si="54"/>
        <v>1.6494134563660594E-2</v>
      </c>
      <c r="I568" s="71">
        <f t="shared" si="58"/>
        <v>5.6574366155393102E-2</v>
      </c>
      <c r="L568" s="74"/>
      <c r="M568" s="74"/>
      <c r="N568" s="74"/>
      <c r="O568" s="74"/>
      <c r="P568" s="74"/>
      <c r="Q568" s="74"/>
      <c r="R568" s="74"/>
      <c r="S568" s="74"/>
      <c r="T568" s="74"/>
      <c r="U568" s="74"/>
      <c r="V568" s="74"/>
      <c r="W568" s="74"/>
      <c r="X568" s="74"/>
      <c r="Y568" s="74"/>
      <c r="Z568" s="74"/>
    </row>
    <row r="569" spans="1:26" x14ac:dyDescent="0.3">
      <c r="A569" s="66">
        <f t="shared" si="56"/>
        <v>2046.1999999999489</v>
      </c>
      <c r="B569" s="67">
        <f>LOOKUP(A569+0.01,AmountsB!$A$4:$A$103,AmountsB!$B$4:$B$103)*0.1*$A$2</f>
        <v>0</v>
      </c>
      <c r="C569" s="68">
        <f t="shared" si="55"/>
        <v>625969.29735898925</v>
      </c>
      <c r="D569" s="67">
        <f t="array" ref="D569">SUM($B$7:$B564*$F$1009*EXP(-$F$1009*($A569-$A$7:$A564)))*$F$1010</f>
        <v>10232233.649890004</v>
      </c>
      <c r="E569" s="67">
        <f t="shared" si="53"/>
        <v>19.506850151305716</v>
      </c>
      <c r="F569" s="70">
        <f t="shared" si="57"/>
        <v>1.184455941187283</v>
      </c>
      <c r="G569" s="67">
        <f>E569/'Lookup Tables'!$C$48</f>
        <v>39.013700302611433</v>
      </c>
      <c r="H569" s="70">
        <f t="shared" si="54"/>
        <v>1.6379078786744983E-2</v>
      </c>
      <c r="I569" s="71">
        <f t="shared" si="58"/>
        <v>5.6179728435760461E-2</v>
      </c>
      <c r="L569" s="74"/>
      <c r="M569" s="74"/>
      <c r="N569" s="74"/>
      <c r="O569" s="74"/>
      <c r="P569" s="74"/>
      <c r="Q569" s="74"/>
      <c r="R569" s="74"/>
      <c r="S569" s="74"/>
      <c r="T569" s="74"/>
      <c r="U569" s="74"/>
      <c r="V569" s="74"/>
      <c r="W569" s="74"/>
      <c r="X569" s="74"/>
      <c r="Y569" s="74"/>
      <c r="Z569" s="74"/>
    </row>
    <row r="570" spans="1:26" x14ac:dyDescent="0.3">
      <c r="A570" s="66">
        <f t="shared" si="56"/>
        <v>2046.2999999999488</v>
      </c>
      <c r="B570" s="67">
        <f>LOOKUP(A570+0.01,AmountsB!$A$4:$A$103,AmountsB!$B$4:$B$103)*0.1*$A$2</f>
        <v>0</v>
      </c>
      <c r="C570" s="68">
        <f t="shared" si="55"/>
        <v>625969.29735898925</v>
      </c>
      <c r="D570" s="67">
        <f t="array" ref="D570">SUM($B$7:$B565*$F$1009*EXP(-$F$1009*($A570-$A$7:$A565)))*$F$1010</f>
        <v>10160858.120144792</v>
      </c>
      <c r="E570" s="67">
        <f t="shared" si="53"/>
        <v>19.370779004882579</v>
      </c>
      <c r="F570" s="70">
        <f t="shared" si="57"/>
        <v>1.17619370117647</v>
      </c>
      <c r="G570" s="67">
        <f>E570/'Lookup Tables'!$C$48</f>
        <v>38.741558009765157</v>
      </c>
      <c r="H570" s="70">
        <f t="shared" si="54"/>
        <v>1.6264825587967113E-2</v>
      </c>
      <c r="I570" s="71">
        <f t="shared" si="58"/>
        <v>5.5787843534061826E-2</v>
      </c>
      <c r="L570" s="74"/>
      <c r="M570" s="74"/>
      <c r="N570" s="74"/>
      <c r="O570" s="74"/>
      <c r="P570" s="74"/>
      <c r="Q570" s="74"/>
      <c r="R570" s="74"/>
      <c r="S570" s="74"/>
      <c r="T570" s="74"/>
      <c r="U570" s="74"/>
      <c r="V570" s="74"/>
      <c r="W570" s="74"/>
      <c r="X570" s="74"/>
      <c r="Y570" s="74"/>
      <c r="Z570" s="74"/>
    </row>
    <row r="571" spans="1:26" x14ac:dyDescent="0.3">
      <c r="A571" s="66">
        <f t="shared" si="56"/>
        <v>2046.3999999999487</v>
      </c>
      <c r="B571" s="67">
        <f>LOOKUP(A571+0.01,AmountsB!$A$4:$A$103,AmountsB!$B$4:$B$103)*0.1*$A$2</f>
        <v>0</v>
      </c>
      <c r="C571" s="68">
        <f t="shared" si="55"/>
        <v>625969.29735898925</v>
      </c>
      <c r="D571" s="67">
        <f t="array" ref="D571">SUM($B$7:$B566*$F$1009*EXP(-$F$1009*($A571-$A$7:$A566)))*$F$1010</f>
        <v>10089980.474480482</v>
      </c>
      <c r="E571" s="67">
        <f t="shared" si="53"/>
        <v>19.235657030506449</v>
      </c>
      <c r="F571" s="70">
        <f t="shared" si="57"/>
        <v>1.1679890948923517</v>
      </c>
      <c r="G571" s="67">
        <f>E571/'Lookup Tables'!$C$48</f>
        <v>38.471314061012897</v>
      </c>
      <c r="H571" s="70">
        <f t="shared" si="54"/>
        <v>1.6151369368897373E-2</v>
      </c>
      <c r="I571" s="71">
        <f t="shared" si="58"/>
        <v>5.5398692247858573E-2</v>
      </c>
      <c r="L571" s="74"/>
      <c r="M571" s="74"/>
      <c r="N571" s="74"/>
      <c r="O571" s="74"/>
      <c r="P571" s="74"/>
      <c r="Q571" s="74"/>
      <c r="R571" s="74"/>
      <c r="S571" s="74"/>
      <c r="T571" s="74"/>
      <c r="U571" s="74"/>
      <c r="V571" s="74"/>
      <c r="W571" s="74"/>
      <c r="X571" s="74"/>
      <c r="Y571" s="74"/>
      <c r="Z571" s="74"/>
    </row>
    <row r="572" spans="1:26" x14ac:dyDescent="0.3">
      <c r="A572" s="66">
        <f t="shared" si="56"/>
        <v>2046.4999999999486</v>
      </c>
      <c r="B572" s="67">
        <f>LOOKUP(A572+0.01,AmountsB!$A$4:$A$103,AmountsB!$B$4:$B$103)*0.1*$A$2</f>
        <v>0</v>
      </c>
      <c r="C572" s="68">
        <f t="shared" si="55"/>
        <v>625969.29735898925</v>
      </c>
      <c r="D572" s="67">
        <f t="array" ref="D572">SUM($B$7:$B567*$F$1009*EXP(-$F$1009*($A572-$A$7:$A567)))*$F$1010</f>
        <v>10019597.239878261</v>
      </c>
      <c r="E572" s="67">
        <f t="shared" si="53"/>
        <v>19.10147760717355</v>
      </c>
      <c r="F572" s="70">
        <f t="shared" si="57"/>
        <v>1.1598417203075782</v>
      </c>
      <c r="G572" s="67">
        <f>E572/'Lookup Tables'!$C$48</f>
        <v>38.202955214347099</v>
      </c>
      <c r="H572" s="70">
        <f t="shared" si="54"/>
        <v>1.6038704570158331E-2</v>
      </c>
      <c r="I572" s="71">
        <f t="shared" si="58"/>
        <v>5.5012255508659832E-2</v>
      </c>
      <c r="L572" s="74"/>
      <c r="M572" s="74"/>
      <c r="N572" s="74"/>
      <c r="O572" s="74"/>
      <c r="P572" s="74"/>
      <c r="Q572" s="74"/>
      <c r="R572" s="74"/>
      <c r="S572" s="74"/>
      <c r="T572" s="74"/>
      <c r="U572" s="74"/>
      <c r="V572" s="74"/>
      <c r="W572" s="74"/>
      <c r="X572" s="74"/>
      <c r="Y572" s="74"/>
      <c r="Z572" s="74"/>
    </row>
    <row r="573" spans="1:26" x14ac:dyDescent="0.3">
      <c r="A573" s="66">
        <f t="shared" si="56"/>
        <v>2046.5999999999485</v>
      </c>
      <c r="B573" s="67">
        <f>LOOKUP(A573+0.01,AmountsB!$A$4:$A$103,AmountsB!$B$4:$B$103)*0.1*$A$2</f>
        <v>0</v>
      </c>
      <c r="C573" s="68">
        <f t="shared" si="55"/>
        <v>625969.29735898925</v>
      </c>
      <c r="D573" s="67">
        <f t="array" ref="D573">SUM($B$7:$B568*$F$1009*EXP(-$F$1009*($A573-$A$7:$A568)))*$F$1010</f>
        <v>9949704.967545554</v>
      </c>
      <c r="E573" s="67">
        <f t="shared" si="53"/>
        <v>18.968234160065297</v>
      </c>
      <c r="F573" s="70">
        <f t="shared" si="57"/>
        <v>1.1517511781991647</v>
      </c>
      <c r="G573" s="67">
        <f>E573/'Lookup Tables'!$C$48</f>
        <v>37.936468320130594</v>
      </c>
      <c r="H573" s="70">
        <f t="shared" si="54"/>
        <v>1.5926825671152302E-2</v>
      </c>
      <c r="I573" s="71">
        <f t="shared" si="58"/>
        <v>5.4628514380988057E-2</v>
      </c>
      <c r="L573" s="74"/>
      <c r="M573" s="74"/>
      <c r="N573" s="74"/>
      <c r="O573" s="74"/>
      <c r="P573" s="74"/>
      <c r="Q573" s="74"/>
      <c r="R573" s="74"/>
      <c r="S573" s="74"/>
      <c r="T573" s="74"/>
      <c r="U573" s="74"/>
      <c r="V573" s="74"/>
      <c r="W573" s="74"/>
      <c r="X573" s="74"/>
      <c r="Y573" s="74"/>
      <c r="Z573" s="74"/>
    </row>
    <row r="574" spans="1:26" x14ac:dyDescent="0.3">
      <c r="A574" s="66">
        <f t="shared" si="56"/>
        <v>2046.6999999999484</v>
      </c>
      <c r="B574" s="67">
        <f>LOOKUP(A574+0.01,AmountsB!$A$4:$A$103,AmountsB!$B$4:$B$103)*0.1*$A$2</f>
        <v>0</v>
      </c>
      <c r="C574" s="68">
        <f t="shared" si="55"/>
        <v>625969.29735898925</v>
      </c>
      <c r="D574" s="67">
        <f t="array" ref="D574">SUM($B$7:$B569*$F$1009*EXP(-$F$1009*($A574-$A$7:$A569)))*$F$1010</f>
        <v>9880300.2327470277</v>
      </c>
      <c r="E574" s="67">
        <f t="shared" si="53"/>
        <v>18.835920160226124</v>
      </c>
      <c r="F574" s="70">
        <f t="shared" si="57"/>
        <v>1.14371707212893</v>
      </c>
      <c r="G574" s="67">
        <f>E574/'Lookup Tables'!$C$48</f>
        <v>37.671840320452247</v>
      </c>
      <c r="H574" s="70">
        <f t="shared" si="54"/>
        <v>1.5815727189790869E-2</v>
      </c>
      <c r="I574" s="71">
        <f t="shared" si="58"/>
        <v>5.4247450061451236E-2</v>
      </c>
      <c r="L574" s="74"/>
      <c r="M574" s="74"/>
      <c r="N574" s="74"/>
      <c r="O574" s="74"/>
      <c r="P574" s="74"/>
      <c r="Q574" s="74"/>
      <c r="R574" s="74"/>
      <c r="S574" s="74"/>
      <c r="T574" s="74"/>
      <c r="U574" s="74"/>
      <c r="V574" s="74"/>
      <c r="W574" s="74"/>
      <c r="X574" s="74"/>
      <c r="Y574" s="74"/>
      <c r="Z574" s="74"/>
    </row>
    <row r="575" spans="1:26" x14ac:dyDescent="0.3">
      <c r="A575" s="66">
        <f t="shared" si="56"/>
        <v>2046.7999999999483</v>
      </c>
      <c r="B575" s="67">
        <f>LOOKUP(A575+0.01,AmountsB!$A$4:$A$103,AmountsB!$B$4:$B$103)*0.1*$A$2</f>
        <v>0</v>
      </c>
      <c r="C575" s="68">
        <f t="shared" si="55"/>
        <v>625969.29735898925</v>
      </c>
      <c r="D575" s="67">
        <f t="array" ref="D575">SUM($B$7:$B570*$F$1009*EXP(-$F$1009*($A575-$A$7:$A570)))*$F$1010</f>
        <v>9811379.6346367951</v>
      </c>
      <c r="E575" s="67">
        <f t="shared" si="53"/>
        <v>18.70452912424356</v>
      </c>
      <c r="F575" s="70">
        <f t="shared" si="57"/>
        <v>1.1357390084240691</v>
      </c>
      <c r="G575" s="67">
        <f>E575/'Lookup Tables'!$C$48</f>
        <v>37.409058248487121</v>
      </c>
      <c r="H575" s="70">
        <f t="shared" si="54"/>
        <v>1.5705403682226199E-2</v>
      </c>
      <c r="I575" s="71">
        <f t="shared" si="58"/>
        <v>5.386904387782146E-2</v>
      </c>
      <c r="L575" s="74"/>
      <c r="M575" s="74"/>
      <c r="N575" s="74"/>
      <c r="O575" s="74"/>
      <c r="P575" s="74"/>
      <c r="Q575" s="74"/>
      <c r="R575" s="74"/>
      <c r="S575" s="74"/>
      <c r="T575" s="74"/>
      <c r="U575" s="74"/>
      <c r="V575" s="74"/>
      <c r="W575" s="74"/>
      <c r="X575" s="74"/>
      <c r="Y575" s="74"/>
      <c r="Z575" s="74"/>
    </row>
    <row r="576" spans="1:26" x14ac:dyDescent="0.3">
      <c r="A576" s="66">
        <f t="shared" si="56"/>
        <v>2046.8999999999482</v>
      </c>
      <c r="B576" s="67">
        <f>LOOKUP(A576+0.01,AmountsB!$A$4:$A$103,AmountsB!$B$4:$B$103)*0.1*$A$2</f>
        <v>0</v>
      </c>
      <c r="C576" s="68">
        <f t="shared" si="55"/>
        <v>625969.29735898925</v>
      </c>
      <c r="D576" s="67">
        <f t="array" ref="D576">SUM($B$7:$B571*$F$1009*EXP(-$F$1009*($A576-$A$7:$A571)))*$F$1010</f>
        <v>9742939.7960917521</v>
      </c>
      <c r="E576" s="67">
        <f t="shared" si="53"/>
        <v>18.574054613930549</v>
      </c>
      <c r="F576" s="70">
        <f t="shared" si="57"/>
        <v>1.1278165961578628</v>
      </c>
      <c r="G576" s="67">
        <f>E576/'Lookup Tables'!$C$48</f>
        <v>37.148109227861099</v>
      </c>
      <c r="H576" s="70">
        <f t="shared" si="54"/>
        <v>1.5595849742584345E-2</v>
      </c>
      <c r="I576" s="71">
        <f t="shared" si="58"/>
        <v>5.3493277288119978E-2</v>
      </c>
      <c r="L576" s="74"/>
      <c r="M576" s="74"/>
      <c r="N576" s="74"/>
      <c r="O576" s="74"/>
      <c r="P576" s="74"/>
      <c r="Q576" s="74"/>
      <c r="R576" s="74"/>
      <c r="S576" s="74"/>
      <c r="T576" s="74"/>
      <c r="U576" s="74"/>
      <c r="V576" s="74"/>
      <c r="W576" s="74"/>
      <c r="X576" s="74"/>
      <c r="Y576" s="74"/>
      <c r="Z576" s="74"/>
    </row>
    <row r="577" spans="1:26" x14ac:dyDescent="0.3">
      <c r="A577" s="66">
        <f t="shared" si="56"/>
        <v>2046.9999999999482</v>
      </c>
      <c r="B577" s="67">
        <f>LOOKUP(A577+0.01,AmountsB!$A$4:$A$103,AmountsB!$B$4:$B$103)*0.1*$A$2</f>
        <v>0</v>
      </c>
      <c r="C577" s="68">
        <f t="shared" si="55"/>
        <v>625969.29735898925</v>
      </c>
      <c r="D577" s="67">
        <f t="array" ref="D577">SUM($B$7:$B572*$F$1009*EXP(-$F$1009*($A577-$A$7:$A572)))*$F$1010</f>
        <v>9674977.3635461219</v>
      </c>
      <c r="E577" s="67">
        <f t="shared" si="53"/>
        <v>18.44449023600999</v>
      </c>
      <c r="F577" s="70">
        <f t="shared" si="57"/>
        <v>1.1199494471305267</v>
      </c>
      <c r="G577" s="67">
        <f>E577/'Lookup Tables'!$C$48</f>
        <v>36.888980472019981</v>
      </c>
      <c r="H577" s="70">
        <f t="shared" si="54"/>
        <v>1.5487060002700361E-2</v>
      </c>
      <c r="I577" s="71">
        <f t="shared" si="58"/>
        <v>5.3120131879708772E-2</v>
      </c>
      <c r="L577" s="74"/>
      <c r="M577" s="74"/>
      <c r="N577" s="74"/>
      <c r="O577" s="74"/>
      <c r="P577" s="74"/>
      <c r="Q577" s="74"/>
      <c r="R577" s="74"/>
      <c r="S577" s="74"/>
      <c r="T577" s="74"/>
      <c r="U577" s="74"/>
      <c r="V577" s="74"/>
      <c r="W577" s="74"/>
      <c r="X577" s="74"/>
      <c r="Y577" s="74"/>
      <c r="Z577" s="74"/>
    </row>
    <row r="578" spans="1:26" x14ac:dyDescent="0.3">
      <c r="A578" s="66">
        <f t="shared" si="56"/>
        <v>2047.0999999999481</v>
      </c>
      <c r="B578" s="67">
        <f>LOOKUP(A578+0.01,AmountsB!$A$4:$A$103,AmountsB!$B$4:$B$103)*0.1*$A$2</f>
        <v>0</v>
      </c>
      <c r="C578" s="68">
        <f t="shared" si="55"/>
        <v>625969.29735898925</v>
      </c>
      <c r="D578" s="67">
        <f t="array" ref="D578">SUM($B$7:$B573*$F$1009*EXP(-$F$1009*($A578-$A$7:$A573)))*$F$1010</f>
        <v>9607489.0068271067</v>
      </c>
      <c r="E578" s="67">
        <f t="shared" si="53"/>
        <v>18.315829641801425</v>
      </c>
      <c r="F578" s="70">
        <f t="shared" si="57"/>
        <v>1.1121371758501826</v>
      </c>
      <c r="G578" s="67">
        <f>E578/'Lookup Tables'!$C$48</f>
        <v>36.631659283602851</v>
      </c>
      <c r="H578" s="70">
        <f t="shared" si="54"/>
        <v>1.5379029131855203E-2</v>
      </c>
      <c r="I578" s="71">
        <f t="shared" si="58"/>
        <v>5.2749589368388097E-2</v>
      </c>
      <c r="L578" s="74"/>
      <c r="M578" s="74"/>
      <c r="N578" s="74"/>
      <c r="O578" s="74"/>
      <c r="P578" s="74"/>
      <c r="Q578" s="74"/>
      <c r="R578" s="74"/>
      <c r="S578" s="74"/>
      <c r="T578" s="74"/>
      <c r="U578" s="74"/>
      <c r="V578" s="74"/>
      <c r="W578" s="74"/>
      <c r="X578" s="74"/>
      <c r="Y578" s="74"/>
      <c r="Z578" s="74"/>
    </row>
    <row r="579" spans="1:26" x14ac:dyDescent="0.3">
      <c r="A579" s="66">
        <f t="shared" si="56"/>
        <v>2047.199999999948</v>
      </c>
      <c r="B579" s="67">
        <f>LOOKUP(A579+0.01,AmountsB!$A$4:$A$103,AmountsB!$B$4:$B$103)*0.1*$A$2</f>
        <v>0</v>
      </c>
      <c r="C579" s="68">
        <f t="shared" si="55"/>
        <v>625969.29735898925</v>
      </c>
      <c r="D579" s="67">
        <f t="array" ref="D579">SUM($B$7:$B574*$F$1009*EXP(-$F$1009*($A579-$A$7:$A574)))*$F$1010</f>
        <v>9540471.4189917278</v>
      </c>
      <c r="E579" s="67">
        <f t="shared" si="53"/>
        <v>18.18806652691001</v>
      </c>
      <c r="F579" s="70">
        <f t="shared" si="57"/>
        <v>1.1043793995139757</v>
      </c>
      <c r="G579" s="67">
        <f>E579/'Lookup Tables'!$C$48</f>
        <v>36.37613305382002</v>
      </c>
      <c r="H579" s="70">
        <f t="shared" si="54"/>
        <v>1.5271751836514608E-2</v>
      </c>
      <c r="I579" s="71">
        <f t="shared" si="58"/>
        <v>5.2381631597500831E-2</v>
      </c>
      <c r="L579" s="74"/>
      <c r="M579" s="74"/>
      <c r="N579" s="74"/>
      <c r="O579" s="74"/>
      <c r="P579" s="74"/>
      <c r="Q579" s="74"/>
      <c r="R579" s="74"/>
      <c r="S579" s="74"/>
      <c r="T579" s="74"/>
      <c r="U579" s="74"/>
      <c r="V579" s="74"/>
      <c r="W579" s="74"/>
      <c r="X579" s="74"/>
      <c r="Y579" s="74"/>
      <c r="Z579" s="74"/>
    </row>
    <row r="580" spans="1:26" x14ac:dyDescent="0.3">
      <c r="A580" s="66">
        <f t="shared" si="56"/>
        <v>2047.2999999999479</v>
      </c>
      <c r="B580" s="67">
        <f>LOOKUP(A580+0.01,AmountsB!$A$4:$A$103,AmountsB!$B$4:$B$103)*0.1*$A$2</f>
        <v>0</v>
      </c>
      <c r="C580" s="68">
        <f t="shared" si="55"/>
        <v>625969.29735898925</v>
      </c>
      <c r="D580" s="67">
        <f t="array" ref="D580">SUM($B$7:$B575*$F$1009*EXP(-$F$1009*($A580-$A$7:$A575)))*$F$1010</f>
        <v>9473921.3161647711</v>
      </c>
      <c r="E580" s="67">
        <f t="shared" si="53"/>
        <v>18.061194630917548</v>
      </c>
      <c r="F580" s="70">
        <f t="shared" si="57"/>
        <v>1.0966757379893135</v>
      </c>
      <c r="G580" s="67">
        <f>E580/'Lookup Tables'!$C$48</f>
        <v>36.122389261835096</v>
      </c>
      <c r="H580" s="70">
        <f t="shared" si="54"/>
        <v>1.5165222860069624E-2</v>
      </c>
      <c r="I580" s="71">
        <f t="shared" si="58"/>
        <v>5.2016240537042541E-2</v>
      </c>
      <c r="L580" s="74"/>
      <c r="M580" s="74"/>
      <c r="N580" s="74"/>
      <c r="O580" s="74"/>
      <c r="P580" s="74"/>
      <c r="Q580" s="74"/>
      <c r="R580" s="74"/>
      <c r="S580" s="74"/>
      <c r="T580" s="74"/>
      <c r="U580" s="74"/>
      <c r="V580" s="74"/>
      <c r="W580" s="74"/>
      <c r="X580" s="74"/>
      <c r="Y580" s="74"/>
      <c r="Z580" s="74"/>
    </row>
    <row r="581" spans="1:26" x14ac:dyDescent="0.3">
      <c r="A581" s="66">
        <f t="shared" si="56"/>
        <v>2047.3999999999478</v>
      </c>
      <c r="B581" s="67">
        <f>LOOKUP(A581+0.01,AmountsB!$A$4:$A$103,AmountsB!$B$4:$B$103)*0.1*$A$2</f>
        <v>0</v>
      </c>
      <c r="C581" s="68">
        <f t="shared" si="55"/>
        <v>625969.29735898925</v>
      </c>
      <c r="D581" s="67">
        <f t="array" ref="D581">SUM($B$7:$B576*$F$1009*EXP(-$F$1009*($A581-$A$7:$A576)))*$F$1010</f>
        <v>9407835.4373778831</v>
      </c>
      <c r="E581" s="67">
        <f t="shared" si="53"/>
        <v>17.935207737075746</v>
      </c>
      <c r="F581" s="70">
        <f t="shared" si="57"/>
        <v>1.0890258137952391</v>
      </c>
      <c r="G581" s="67">
        <f>E581/'Lookup Tables'!$C$48</f>
        <v>35.870415474151493</v>
      </c>
      <c r="H581" s="70">
        <f t="shared" si="54"/>
        <v>1.5059436982579092E-2</v>
      </c>
      <c r="I581" s="71">
        <f t="shared" si="58"/>
        <v>5.1653398282778144E-2</v>
      </c>
      <c r="L581" s="74"/>
      <c r="M581" s="74"/>
      <c r="N581" s="74"/>
      <c r="O581" s="74"/>
      <c r="P581" s="74"/>
      <c r="Q581" s="74"/>
      <c r="R581" s="74"/>
      <c r="S581" s="74"/>
      <c r="T581" s="74"/>
      <c r="U581" s="74"/>
      <c r="V581" s="74"/>
      <c r="W581" s="74"/>
      <c r="X581" s="74"/>
      <c r="Y581" s="74"/>
      <c r="Z581" s="74"/>
    </row>
    <row r="582" spans="1:26" x14ac:dyDescent="0.3">
      <c r="A582" s="66">
        <f t="shared" si="56"/>
        <v>2047.4999999999477</v>
      </c>
      <c r="B582" s="67">
        <f>LOOKUP(A582+0.01,AmountsB!$A$4:$A$103,AmountsB!$B$4:$B$103)*0.1*$A$2</f>
        <v>0</v>
      </c>
      <c r="C582" s="68">
        <f t="shared" si="55"/>
        <v>625969.29735898925</v>
      </c>
      <c r="D582" s="67">
        <f t="array" ref="D582">SUM($B$7:$B577*$F$1009*EXP(-$F$1009*($A582-$A$7:$A577)))*$F$1010</f>
        <v>9342210.5444097836</v>
      </c>
      <c r="E582" s="67">
        <f t="shared" si="53"/>
        <v>17.810099672001616</v>
      </c>
      <c r="F582" s="70">
        <f t="shared" si="57"/>
        <v>1.0814292520839381</v>
      </c>
      <c r="G582" s="67">
        <f>E582/'Lookup Tables'!$C$48</f>
        <v>35.620199344003233</v>
      </c>
      <c r="H582" s="70">
        <f t="shared" si="54"/>
        <v>1.4954389020513867E-2</v>
      </c>
      <c r="I582" s="71">
        <f t="shared" si="58"/>
        <v>5.1293087055364651E-2</v>
      </c>
      <c r="L582" s="74"/>
      <c r="M582" s="74"/>
      <c r="N582" s="74"/>
      <c r="O582" s="74"/>
      <c r="P582" s="74"/>
      <c r="Q582" s="74"/>
      <c r="R582" s="74"/>
      <c r="S582" s="74"/>
      <c r="T582" s="74"/>
      <c r="U582" s="74"/>
      <c r="V582" s="74"/>
      <c r="W582" s="74"/>
      <c r="X582" s="74"/>
      <c r="Y582" s="74"/>
      <c r="Z582" s="74"/>
    </row>
    <row r="583" spans="1:26" x14ac:dyDescent="0.3">
      <c r="A583" s="66">
        <f t="shared" si="56"/>
        <v>2047.5999999999476</v>
      </c>
      <c r="B583" s="67">
        <f>LOOKUP(A583+0.01,AmountsB!$A$4:$A$103,AmountsB!$B$4:$B$103)*0.1*$A$2</f>
        <v>0</v>
      </c>
      <c r="C583" s="68">
        <f t="shared" si="55"/>
        <v>625969.29735898925</v>
      </c>
      <c r="D583" s="67">
        <f t="array" ref="D583">SUM($B$7:$B578*$F$1009*EXP(-$F$1009*($A583-$A$7:$A578)))*$F$1010</f>
        <v>9277043.4216275774</v>
      </c>
      <c r="E583" s="67">
        <f t="shared" ref="E583:E646" si="59">D583/(365*24*60)*1.00201</f>
        <v>17.685864305374903</v>
      </c>
      <c r="F583" s="70">
        <f t="shared" si="57"/>
        <v>1.0738856806223642</v>
      </c>
      <c r="G583" s="67">
        <f>E583/'Lookup Tables'!$C$48</f>
        <v>35.371728610749805</v>
      </c>
      <c r="H583" s="70">
        <f t="shared" ref="H583:H646" si="60">G583*60*24*365/(C583*2000)</f>
        <v>1.4850073826502759E-2</v>
      </c>
      <c r="I583" s="71">
        <f t="shared" si="58"/>
        <v>5.0935289199479726E-2</v>
      </c>
      <c r="L583" s="74"/>
      <c r="M583" s="74"/>
      <c r="N583" s="74"/>
      <c r="O583" s="74"/>
      <c r="P583" s="74"/>
      <c r="Q583" s="74"/>
      <c r="R583" s="74"/>
      <c r="S583" s="74"/>
      <c r="T583" s="74"/>
      <c r="U583" s="74"/>
      <c r="V583" s="74"/>
      <c r="W583" s="74"/>
      <c r="X583" s="74"/>
      <c r="Y583" s="74"/>
      <c r="Z583" s="74"/>
    </row>
    <row r="584" spans="1:26" x14ac:dyDescent="0.3">
      <c r="A584" s="66">
        <f t="shared" si="56"/>
        <v>2047.6999999999475</v>
      </c>
      <c r="B584" s="67">
        <f>LOOKUP(A584+0.01,AmountsB!$A$4:$A$103,AmountsB!$B$4:$B$103)*0.1*$A$2</f>
        <v>0</v>
      </c>
      <c r="C584" s="68">
        <f t="shared" si="55"/>
        <v>625969.29735898925</v>
      </c>
      <c r="D584" s="67">
        <f t="array" ref="D584">SUM($B$7:$B579*$F$1009*EXP(-$F$1009*($A584-$A$7:$A579)))*$F$1010</f>
        <v>9212330.8758292161</v>
      </c>
      <c r="E584" s="67">
        <f t="shared" si="59"/>
        <v>17.562495549637813</v>
      </c>
      <c r="F584" s="70">
        <f t="shared" si="57"/>
        <v>1.066394729774008</v>
      </c>
      <c r="G584" s="67">
        <f>E584/'Lookup Tables'!$C$48</f>
        <v>35.124991099275626</v>
      </c>
      <c r="H584" s="70">
        <f t="shared" si="60"/>
        <v>1.4746486289080414E-2</v>
      </c>
      <c r="I584" s="71">
        <f t="shared" si="58"/>
        <v>5.0579987182956899E-2</v>
      </c>
      <c r="L584" s="74"/>
      <c r="M584" s="74"/>
      <c r="N584" s="74"/>
      <c r="O584" s="74"/>
      <c r="P584" s="74"/>
      <c r="Q584" s="74"/>
      <c r="R584" s="74"/>
      <c r="S584" s="74"/>
      <c r="T584" s="74"/>
      <c r="U584" s="74"/>
      <c r="V584" s="74"/>
      <c r="W584" s="74"/>
      <c r="X584" s="74"/>
      <c r="Y584" s="74"/>
      <c r="Z584" s="74"/>
    </row>
    <row r="585" spans="1:26" x14ac:dyDescent="0.3">
      <c r="A585" s="66">
        <f t="shared" si="56"/>
        <v>2047.7999999999474</v>
      </c>
      <c r="B585" s="67">
        <f>LOOKUP(A585+0.01,AmountsB!$A$4:$A$103,AmountsB!$B$4:$B$103)*0.1*$A$2</f>
        <v>0</v>
      </c>
      <c r="C585" s="68">
        <f t="shared" ref="C585:C648" si="61">C584+B585</f>
        <v>625969.29735898925</v>
      </c>
      <c r="D585" s="67">
        <f t="array" ref="D585">SUM($B$7:$B580*$F$1009*EXP(-$F$1009*($A585-$A$7:$A580)))*$F$1010</f>
        <v>9148069.7360870074</v>
      </c>
      <c r="E585" s="67">
        <f t="shared" si="59"/>
        <v>17.43998735969662</v>
      </c>
      <c r="F585" s="70">
        <f t="shared" si="57"/>
        <v>1.058956032480779</v>
      </c>
      <c r="G585" s="67">
        <f>E585/'Lookup Tables'!$C$48</f>
        <v>34.879974719393239</v>
      </c>
      <c r="H585" s="70">
        <f t="shared" si="60"/>
        <v>1.4643621332436758E-2</v>
      </c>
      <c r="I585" s="71">
        <f t="shared" si="58"/>
        <v>5.0227163595926265E-2</v>
      </c>
      <c r="L585" s="74"/>
      <c r="M585" s="74"/>
      <c r="N585" s="74"/>
      <c r="O585" s="74"/>
      <c r="P585" s="74"/>
      <c r="Q585" s="74"/>
      <c r="R585" s="74"/>
      <c r="S585" s="74"/>
      <c r="T585" s="74"/>
      <c r="U585" s="74"/>
      <c r="V585" s="74"/>
      <c r="W585" s="74"/>
      <c r="X585" s="74"/>
      <c r="Y585" s="74"/>
      <c r="Z585" s="74"/>
    </row>
    <row r="586" spans="1:26" x14ac:dyDescent="0.3">
      <c r="A586" s="66">
        <f t="shared" si="56"/>
        <v>2047.8999999999473</v>
      </c>
      <c r="B586" s="67">
        <f>LOOKUP(A586+0.01,AmountsB!$A$4:$A$103,AmountsB!$B$4:$B$103)*0.1*$A$2</f>
        <v>0</v>
      </c>
      <c r="C586" s="68">
        <f t="shared" si="61"/>
        <v>625969.29735898925</v>
      </c>
      <c r="D586" s="67">
        <f t="array" ref="D586">SUM($B$7:$B581*$F$1009*EXP(-$F$1009*($A586-$A$7:$A581)))*$F$1010</f>
        <v>9084256.853592243</v>
      </c>
      <c r="E586" s="67">
        <f t="shared" si="59"/>
        <v>17.318333732625504</v>
      </c>
      <c r="F586" s="70">
        <f t="shared" si="57"/>
        <v>1.0515692242450208</v>
      </c>
      <c r="G586" s="67">
        <f>E586/'Lookup Tables'!$C$48</f>
        <v>34.636667465251008</v>
      </c>
      <c r="H586" s="70">
        <f t="shared" si="60"/>
        <v>1.454147391616834E-2</v>
      </c>
      <c r="I586" s="71">
        <f t="shared" si="58"/>
        <v>4.9876801149961451E-2</v>
      </c>
      <c r="L586" s="74"/>
      <c r="M586" s="74"/>
      <c r="N586" s="74"/>
      <c r="O586" s="74"/>
      <c r="P586" s="74"/>
      <c r="Q586" s="74"/>
      <c r="R586" s="74"/>
      <c r="S586" s="74"/>
      <c r="T586" s="74"/>
      <c r="U586" s="74"/>
      <c r="V586" s="74"/>
      <c r="W586" s="74"/>
      <c r="X586" s="74"/>
      <c r="Y586" s="74"/>
      <c r="Z586" s="74"/>
    </row>
    <row r="587" spans="1:26" x14ac:dyDescent="0.3">
      <c r="A587" s="66">
        <f t="shared" si="56"/>
        <v>2047.9999999999472</v>
      </c>
      <c r="B587" s="67">
        <f>LOOKUP(A587+0.01,AmountsB!$A$4:$A$103,AmountsB!$B$4:$B$103)*0.1*$A$2</f>
        <v>0</v>
      </c>
      <c r="C587" s="68">
        <f t="shared" si="61"/>
        <v>625969.29735898925</v>
      </c>
      <c r="D587" s="67">
        <f t="array" ref="D587">SUM($B$7:$B582*$F$1009*EXP(-$F$1009*($A587-$A$7:$A582)))*$F$1010</f>
        <v>9020889.1015009172</v>
      </c>
      <c r="E587" s="67">
        <f t="shared" si="59"/>
        <v>17.197528707372403</v>
      </c>
      <c r="F587" s="70">
        <f t="shared" si="57"/>
        <v>1.0442339431116523</v>
      </c>
      <c r="G587" s="67">
        <f>E587/'Lookup Tables'!$C$48</f>
        <v>34.395057414744805</v>
      </c>
      <c r="H587" s="70">
        <f t="shared" si="60"/>
        <v>1.4440039035031325E-2</v>
      </c>
      <c r="I587" s="71">
        <f t="shared" si="58"/>
        <v>4.9528882677232523E-2</v>
      </c>
      <c r="L587" s="74"/>
      <c r="M587" s="74"/>
      <c r="N587" s="74"/>
      <c r="O587" s="74"/>
      <c r="P587" s="74"/>
      <c r="Q587" s="74"/>
      <c r="R587" s="74"/>
      <c r="S587" s="74"/>
      <c r="T587" s="74"/>
      <c r="U587" s="74"/>
      <c r="V587" s="74"/>
      <c r="W587" s="74"/>
      <c r="X587" s="74"/>
      <c r="Y587" s="74"/>
      <c r="Z587" s="74"/>
    </row>
    <row r="588" spans="1:26" x14ac:dyDescent="0.3">
      <c r="A588" s="66">
        <f t="shared" si="56"/>
        <v>2048.0999999999472</v>
      </c>
      <c r="B588" s="67">
        <f>LOOKUP(A588+0.01,AmountsB!$A$4:$A$103,AmountsB!$B$4:$B$103)*0.1*$A$2</f>
        <v>0</v>
      </c>
      <c r="C588" s="68">
        <f t="shared" si="61"/>
        <v>625969.29735898925</v>
      </c>
      <c r="D588" s="67">
        <f t="array" ref="D588">SUM($B$7:$B583*$F$1009*EXP(-$F$1009*($A588-$A$7:$A583)))*$F$1010</f>
        <v>8957963.3747805003</v>
      </c>
      <c r="E588" s="67">
        <f t="shared" si="59"/>
        <v>17.077566364466914</v>
      </c>
      <c r="F588" s="70">
        <f t="shared" si="57"/>
        <v>1.0369498296504311</v>
      </c>
      <c r="G588" s="67">
        <f>E588/'Lookup Tables'!$C$48</f>
        <v>34.155132728933829</v>
      </c>
      <c r="H588" s="70">
        <f t="shared" si="60"/>
        <v>1.4339311718696245E-2</v>
      </c>
      <c r="I588" s="71">
        <f t="shared" si="58"/>
        <v>4.9183391129664716E-2</v>
      </c>
      <c r="L588" s="74"/>
      <c r="M588" s="74"/>
      <c r="N588" s="74"/>
      <c r="O588" s="74"/>
      <c r="P588" s="74"/>
      <c r="Q588" s="74"/>
      <c r="R588" s="74"/>
      <c r="S588" s="74"/>
      <c r="T588" s="74"/>
      <c r="U588" s="74"/>
      <c r="V588" s="74"/>
      <c r="W588" s="74"/>
      <c r="X588" s="74"/>
      <c r="Y588" s="74"/>
      <c r="Z588" s="74"/>
    </row>
    <row r="589" spans="1:26" x14ac:dyDescent="0.3">
      <c r="A589" s="66">
        <f t="shared" si="56"/>
        <v>2048.1999999999471</v>
      </c>
      <c r="B589" s="67">
        <f>LOOKUP(A589+0.01,AmountsB!$A$4:$A$103,AmountsB!$B$4:$B$103)*0.1*$A$2</f>
        <v>0</v>
      </c>
      <c r="C589" s="68">
        <f t="shared" si="61"/>
        <v>625969.29735898925</v>
      </c>
      <c r="D589" s="67">
        <f t="array" ref="D589">SUM($B$7:$B584*$F$1009*EXP(-$F$1009*($A589-$A$7:$A584)))*$F$1010</f>
        <v>8895476.5900577847</v>
      </c>
      <c r="E589" s="67">
        <f t="shared" si="59"/>
        <v>16.958440825730214</v>
      </c>
      <c r="F589" s="70">
        <f t="shared" si="57"/>
        <v>1.0297165269383386</v>
      </c>
      <c r="G589" s="67">
        <f>E589/'Lookup Tables'!$C$48</f>
        <v>33.916881651460429</v>
      </c>
      <c r="H589" s="70">
        <f t="shared" si="60"/>
        <v>1.4239287031504439E-2</v>
      </c>
      <c r="I589" s="71">
        <f t="shared" si="58"/>
        <v>4.8840309578103022E-2</v>
      </c>
      <c r="L589" s="74"/>
      <c r="M589" s="74"/>
      <c r="N589" s="74"/>
      <c r="O589" s="74"/>
      <c r="P589" s="74"/>
      <c r="Q589" s="74"/>
      <c r="R589" s="74"/>
      <c r="S589" s="74"/>
      <c r="T589" s="74"/>
      <c r="U589" s="74"/>
      <c r="V589" s="74"/>
      <c r="W589" s="74"/>
      <c r="X589" s="74"/>
      <c r="Y589" s="74"/>
      <c r="Z589" s="74"/>
    </row>
    <row r="590" spans="1:26" x14ac:dyDescent="0.3">
      <c r="A590" s="66">
        <f t="shared" si="56"/>
        <v>2048.299999999947</v>
      </c>
      <c r="B590" s="67">
        <f>LOOKUP(A590+0.01,AmountsB!$A$4:$A$103,AmountsB!$B$4:$B$103)*0.1*$A$2</f>
        <v>0</v>
      </c>
      <c r="C590" s="68">
        <f t="shared" si="61"/>
        <v>625969.29735898925</v>
      </c>
      <c r="D590" s="67">
        <f t="array" ref="D590">SUM($B$7:$B585*$F$1009*EXP(-$F$1009*($A590-$A$7:$A585)))*$F$1010</f>
        <v>8833425.6854678225</v>
      </c>
      <c r="E590" s="67">
        <f t="shared" si="59"/>
        <v>16.84014625398709</v>
      </c>
      <c r="F590" s="70">
        <f t="shared" si="57"/>
        <v>1.0225336805420961</v>
      </c>
      <c r="G590" s="67">
        <f>E590/'Lookup Tables'!$C$48</f>
        <v>33.68029250797418</v>
      </c>
      <c r="H590" s="70">
        <f t="shared" si="60"/>
        <v>1.4139960072226228E-2</v>
      </c>
      <c r="I590" s="71">
        <f t="shared" si="58"/>
        <v>4.8499621211482824E-2</v>
      </c>
      <c r="L590" s="74"/>
      <c r="M590" s="74"/>
      <c r="N590" s="74"/>
      <c r="O590" s="74"/>
      <c r="P590" s="74"/>
      <c r="Q590" s="74"/>
      <c r="R590" s="74"/>
      <c r="S590" s="74"/>
      <c r="T590" s="74"/>
      <c r="U590" s="74"/>
      <c r="V590" s="74"/>
      <c r="W590" s="74"/>
      <c r="X590" s="74"/>
      <c r="Y590" s="74"/>
      <c r="Z590" s="74"/>
    </row>
    <row r="591" spans="1:26" x14ac:dyDescent="0.3">
      <c r="A591" s="66">
        <f t="shared" si="56"/>
        <v>2048.3999999999469</v>
      </c>
      <c r="B591" s="67">
        <f>LOOKUP(A591+0.01,AmountsB!$A$4:$A$103,AmountsB!$B$4:$B$103)*0.1*$A$2</f>
        <v>0</v>
      </c>
      <c r="C591" s="68">
        <f t="shared" si="61"/>
        <v>625969.29735898925</v>
      </c>
      <c r="D591" s="67">
        <f t="array" ref="D591">SUM($B$7:$B586*$F$1009*EXP(-$F$1009*($A591-$A$7:$A586)))*$F$1010</f>
        <v>8771807.6205038708</v>
      </c>
      <c r="E591" s="67">
        <f t="shared" si="59"/>
        <v>16.722676852779838</v>
      </c>
      <c r="F591" s="70">
        <f t="shared" si="57"/>
        <v>1.0154009385007918</v>
      </c>
      <c r="G591" s="67">
        <f>E591/'Lookup Tables'!$C$48</f>
        <v>33.445353705559675</v>
      </c>
      <c r="H591" s="70">
        <f t="shared" si="60"/>
        <v>1.4041325973820721E-2</v>
      </c>
      <c r="I591" s="71">
        <f t="shared" si="58"/>
        <v>4.8161309336005931E-2</v>
      </c>
      <c r="L591" s="74"/>
      <c r="M591" s="74"/>
      <c r="N591" s="74"/>
      <c r="O591" s="74"/>
      <c r="P591" s="74"/>
      <c r="Q591" s="74"/>
      <c r="R591" s="74"/>
      <c r="S591" s="74"/>
      <c r="T591" s="74"/>
      <c r="U591" s="74"/>
      <c r="V591" s="74"/>
      <c r="W591" s="74"/>
      <c r="X591" s="74"/>
      <c r="Y591" s="74"/>
      <c r="Z591" s="74"/>
    </row>
    <row r="592" spans="1:26" x14ac:dyDescent="0.3">
      <c r="A592" s="66">
        <f t="shared" si="56"/>
        <v>2048.4999999999468</v>
      </c>
      <c r="B592" s="67">
        <f>LOOKUP(A592+0.01,AmountsB!$A$4:$A$103,AmountsB!$B$4:$B$103)*0.1*$A$2</f>
        <v>0</v>
      </c>
      <c r="C592" s="68">
        <f t="shared" si="61"/>
        <v>625969.29735898925</v>
      </c>
      <c r="D592" s="67">
        <f t="array" ref="D592">SUM($B$7:$B587*$F$1009*EXP(-$F$1009*($A592-$A$7:$A587)))*$F$1010</f>
        <v>8710619.3758684192</v>
      </c>
      <c r="E592" s="67">
        <f t="shared" si="59"/>
        <v>16.606026866084314</v>
      </c>
      <c r="F592" s="70">
        <f t="shared" si="57"/>
        <v>1.0083179513086395</v>
      </c>
      <c r="G592" s="67">
        <f>E592/'Lookup Tables'!$C$48</f>
        <v>33.212053732168627</v>
      </c>
      <c r="H592" s="70">
        <f t="shared" si="60"/>
        <v>1.394337990319738E-2</v>
      </c>
      <c r="I592" s="71">
        <f t="shared" si="58"/>
        <v>4.7825357374322829E-2</v>
      </c>
      <c r="L592" s="74"/>
      <c r="M592" s="74"/>
      <c r="N592" s="74"/>
      <c r="O592" s="74"/>
      <c r="P592" s="74"/>
      <c r="Q592" s="74"/>
      <c r="R592" s="74"/>
      <c r="S592" s="74"/>
      <c r="T592" s="74"/>
      <c r="U592" s="74"/>
      <c r="V592" s="74"/>
      <c r="W592" s="74"/>
      <c r="X592" s="74"/>
      <c r="Y592" s="74"/>
      <c r="Z592" s="74"/>
    </row>
    <row r="593" spans="1:26" x14ac:dyDescent="0.3">
      <c r="A593" s="66">
        <f t="shared" si="56"/>
        <v>2048.5999999999467</v>
      </c>
      <c r="B593" s="67">
        <f>LOOKUP(A593+0.01,AmountsB!$A$4:$A$103,AmountsB!$B$4:$B$103)*0.1*$A$2</f>
        <v>0</v>
      </c>
      <c r="C593" s="68">
        <f t="shared" si="61"/>
        <v>625969.29735898925</v>
      </c>
      <c r="D593" s="67">
        <f t="array" ref="D593">SUM($B$7:$B588*$F$1009*EXP(-$F$1009*($A593-$A$7:$A588)))*$F$1010</f>
        <v>8649857.9533252362</v>
      </c>
      <c r="E593" s="67">
        <f t="shared" si="59"/>
        <v>16.490190578027818</v>
      </c>
      <c r="F593" s="70">
        <f t="shared" si="57"/>
        <v>1.0012843718978492</v>
      </c>
      <c r="G593" s="67">
        <f>E593/'Lookup Tables'!$C$48</f>
        <v>32.980381156055635</v>
      </c>
      <c r="H593" s="70">
        <f t="shared" si="60"/>
        <v>1.3846117060979135E-2</v>
      </c>
      <c r="I593" s="71">
        <f t="shared" si="58"/>
        <v>4.7491748864720115E-2</v>
      </c>
      <c r="L593" s="74"/>
      <c r="M593" s="74"/>
      <c r="N593" s="74"/>
      <c r="O593" s="74"/>
      <c r="P593" s="74"/>
      <c r="Q593" s="74"/>
      <c r="R593" s="74"/>
      <c r="S593" s="74"/>
      <c r="T593" s="74"/>
      <c r="U593" s="74"/>
      <c r="V593" s="74"/>
      <c r="W593" s="74"/>
      <c r="X593" s="74"/>
      <c r="Y593" s="74"/>
      <c r="Z593" s="74"/>
    </row>
    <row r="594" spans="1:26" x14ac:dyDescent="0.3">
      <c r="A594" s="66">
        <f t="shared" si="56"/>
        <v>2048.6999999999466</v>
      </c>
      <c r="B594" s="67">
        <f>LOOKUP(A594+0.01,AmountsB!$A$4:$A$103,AmountsB!$B$4:$B$103)*0.1*$A$2</f>
        <v>0</v>
      </c>
      <c r="C594" s="68">
        <f t="shared" si="61"/>
        <v>625969.29735898925</v>
      </c>
      <c r="D594" s="67">
        <f t="array" ref="D594">SUM($B$7:$B589*$F$1009*EXP(-$F$1009*($A594-$A$7:$A589)))*$F$1010</f>
        <v>8589520.3755524606</v>
      </c>
      <c r="E594" s="67">
        <f t="shared" si="59"/>
        <v>16.375162312609056</v>
      </c>
      <c r="F594" s="70">
        <f t="shared" si="57"/>
        <v>0.99429985562162182</v>
      </c>
      <c r="G594" s="67">
        <f>E594/'Lookup Tables'!$C$48</f>
        <v>32.750324625218113</v>
      </c>
      <c r="H594" s="70">
        <f t="shared" si="60"/>
        <v>1.3749532681267251E-2</v>
      </c>
      <c r="I594" s="71">
        <f t="shared" si="58"/>
        <v>4.7160467460314083E-2</v>
      </c>
      <c r="L594" s="74"/>
      <c r="M594" s="74"/>
      <c r="N594" s="74"/>
      <c r="O594" s="74"/>
      <c r="P594" s="74"/>
      <c r="Q594" s="74"/>
      <c r="R594" s="74"/>
      <c r="S594" s="74"/>
      <c r="T594" s="74"/>
      <c r="U594" s="74"/>
      <c r="V594" s="74"/>
      <c r="W594" s="74"/>
      <c r="X594" s="74"/>
      <c r="Y594" s="74"/>
      <c r="Z594" s="74"/>
    </row>
    <row r="595" spans="1:26" x14ac:dyDescent="0.3">
      <c r="A595" s="66">
        <f t="shared" ref="A595:A658" si="62">A594+0.1</f>
        <v>2048.7999999999465</v>
      </c>
      <c r="B595" s="67">
        <f>LOOKUP(A595+0.01,AmountsB!$A$4:$A$103,AmountsB!$B$4:$B$103)*0.1*$A$2</f>
        <v>0</v>
      </c>
      <c r="C595" s="68">
        <f t="shared" si="61"/>
        <v>625969.29735898925</v>
      </c>
      <c r="D595" s="67">
        <f t="array" ref="D595">SUM($B$7:$B590*$F$1009*EXP(-$F$1009*($A595-$A$7:$A590)))*$F$1010</f>
        <v>8529603.6859967075</v>
      </c>
      <c r="E595" s="67">
        <f t="shared" si="59"/>
        <v>16.260936433420017</v>
      </c>
      <c r="F595" s="70">
        <f t="shared" ref="F595:F658" si="63">E595*60*1012/1000000</f>
        <v>0.98736406023726342</v>
      </c>
      <c r="G595" s="67">
        <f>E595/'Lookup Tables'!$C$48</f>
        <v>32.521872866840035</v>
      </c>
      <c r="H595" s="70">
        <f t="shared" si="60"/>
        <v>1.3653622031407808E-2</v>
      </c>
      <c r="I595" s="71">
        <f t="shared" ref="I595:I658" si="64">G595*60*24/1000000</f>
        <v>4.6831496928249644E-2</v>
      </c>
      <c r="L595" s="74"/>
      <c r="M595" s="74"/>
      <c r="N595" s="74"/>
      <c r="O595" s="74"/>
      <c r="P595" s="74"/>
      <c r="Q595" s="74"/>
      <c r="R595" s="74"/>
      <c r="S595" s="74"/>
      <c r="T595" s="74"/>
      <c r="U595" s="74"/>
      <c r="V595" s="74"/>
      <c r="W595" s="74"/>
      <c r="X595" s="74"/>
      <c r="Y595" s="74"/>
      <c r="Z595" s="74"/>
    </row>
    <row r="596" spans="1:26" x14ac:dyDescent="0.3">
      <c r="A596" s="66">
        <f t="shared" si="62"/>
        <v>2048.8999999999464</v>
      </c>
      <c r="B596" s="67">
        <f>LOOKUP(A596+0.01,AmountsB!$A$4:$A$103,AmountsB!$B$4:$B$103)*0.1*$A$2</f>
        <v>0</v>
      </c>
      <c r="C596" s="68">
        <f t="shared" si="61"/>
        <v>625969.29735898925</v>
      </c>
      <c r="D596" s="67">
        <f t="array" ref="D596">SUM($B$7:$B591*$F$1009*EXP(-$F$1009*($A596-$A$7:$A591)))*$F$1010</f>
        <v>8470104.9487282038</v>
      </c>
      <c r="E596" s="67">
        <f t="shared" si="59"/>
        <v>16.147507343369764</v>
      </c>
      <c r="F596" s="70">
        <f t="shared" si="63"/>
        <v>0.98047664588941208</v>
      </c>
      <c r="G596" s="67">
        <f>E596/'Lookup Tables'!$C$48</f>
        <v>32.295014686739528</v>
      </c>
      <c r="H596" s="70">
        <f t="shared" si="60"/>
        <v>1.3558380411759774E-2</v>
      </c>
      <c r="I596" s="71">
        <f t="shared" si="64"/>
        <v>4.6504821148904918E-2</v>
      </c>
      <c r="L596" s="74"/>
      <c r="M596" s="74"/>
      <c r="N596" s="74"/>
      <c r="O596" s="74"/>
      <c r="P596" s="74"/>
      <c r="Q596" s="74"/>
      <c r="R596" s="74"/>
      <c r="S596" s="74"/>
      <c r="T596" s="74"/>
      <c r="U596" s="74"/>
      <c r="V596" s="74"/>
      <c r="W596" s="74"/>
      <c r="X596" s="74"/>
      <c r="Y596" s="74"/>
      <c r="Z596" s="74"/>
    </row>
    <row r="597" spans="1:26" x14ac:dyDescent="0.3">
      <c r="A597" s="66">
        <f t="shared" si="62"/>
        <v>2048.9999999999463</v>
      </c>
      <c r="B597" s="67">
        <f>LOOKUP(A597+0.01,AmountsB!$A$4:$A$103,AmountsB!$B$4:$B$103)*0.1*$A$2</f>
        <v>0</v>
      </c>
      <c r="C597" s="68">
        <f t="shared" si="61"/>
        <v>625969.29735898925</v>
      </c>
      <c r="D597" s="67">
        <f t="array" ref="D597">SUM($B$7:$B592*$F$1009*EXP(-$F$1009*($A597-$A$7:$A592)))*$F$1010</f>
        <v>8411021.2482969165</v>
      </c>
      <c r="E597" s="67">
        <f t="shared" si="59"/>
        <v>16.034869484410184</v>
      </c>
      <c r="F597" s="70">
        <f t="shared" si="63"/>
        <v>0.97363727509338627</v>
      </c>
      <c r="G597" s="67">
        <f>E597/'Lookup Tables'!$C$48</f>
        <v>32.069738968820367</v>
      </c>
      <c r="H597" s="70">
        <f t="shared" si="60"/>
        <v>1.3463803155464719E-2</v>
      </c>
      <c r="I597" s="71">
        <f t="shared" si="64"/>
        <v>4.6180424115101329E-2</v>
      </c>
      <c r="L597" s="74"/>
      <c r="M597" s="74"/>
      <c r="N597" s="74"/>
      <c r="O597" s="74"/>
      <c r="P597" s="74"/>
      <c r="Q597" s="74"/>
      <c r="R597" s="74"/>
      <c r="S597" s="74"/>
      <c r="T597" s="74"/>
      <c r="U597" s="74"/>
      <c r="V597" s="74"/>
      <c r="W597" s="74"/>
      <c r="X597" s="74"/>
      <c r="Y597" s="74"/>
      <c r="Z597" s="74"/>
    </row>
    <row r="598" spans="1:26" x14ac:dyDescent="0.3">
      <c r="A598" s="66">
        <f t="shared" si="62"/>
        <v>2049.0999999999462</v>
      </c>
      <c r="B598" s="67">
        <f>LOOKUP(A598+0.01,AmountsB!$A$4:$A$103,AmountsB!$B$4:$B$103)*0.1*$A$2</f>
        <v>0</v>
      </c>
      <c r="C598" s="68">
        <f t="shared" si="61"/>
        <v>625969.29735898925</v>
      </c>
      <c r="D598" s="67">
        <f t="array" ref="D598">SUM($B$7:$B593*$F$1009*EXP(-$F$1009*($A598-$A$7:$A593)))*$F$1010</f>
        <v>8352349.6895896997</v>
      </c>
      <c r="E598" s="67">
        <f t="shared" si="59"/>
        <v>15.923017337263653</v>
      </c>
      <c r="F598" s="70">
        <f t="shared" si="63"/>
        <v>0.96684561271864911</v>
      </c>
      <c r="G598" s="67">
        <f>E598/'Lookup Tables'!$C$48</f>
        <v>31.846034674527306</v>
      </c>
      <c r="H598" s="70">
        <f t="shared" si="60"/>
        <v>1.3369885628218168E-2</v>
      </c>
      <c r="I598" s="71">
        <f t="shared" si="64"/>
        <v>4.5858289931319317E-2</v>
      </c>
      <c r="L598" s="74"/>
      <c r="M598" s="74"/>
      <c r="N598" s="74"/>
      <c r="O598" s="74"/>
      <c r="P598" s="74"/>
      <c r="Q598" s="74"/>
      <c r="R598" s="74"/>
      <c r="S598" s="74"/>
      <c r="T598" s="74"/>
      <c r="U598" s="74"/>
      <c r="V598" s="74"/>
      <c r="W598" s="74"/>
      <c r="X598" s="74"/>
      <c r="Y598" s="74"/>
      <c r="Z598" s="74"/>
    </row>
    <row r="599" spans="1:26" x14ac:dyDescent="0.3">
      <c r="A599" s="66">
        <f t="shared" si="62"/>
        <v>2049.1999999999462</v>
      </c>
      <c r="B599" s="67">
        <f>LOOKUP(A599+0.01,AmountsB!$A$4:$A$103,AmountsB!$B$4:$B$103)*0.1*$A$2</f>
        <v>0</v>
      </c>
      <c r="C599" s="68">
        <f t="shared" si="61"/>
        <v>625969.29735898925</v>
      </c>
      <c r="D599" s="67">
        <f t="array" ref="D599">SUM($B$7:$B594*$F$1009*EXP(-$F$1009*($A599-$A$7:$A594)))*$F$1010</f>
        <v>8294087.3976884447</v>
      </c>
      <c r="E599" s="67">
        <f t="shared" si="59"/>
        <v>15.811945421152586</v>
      </c>
      <c r="F599" s="70">
        <f t="shared" si="63"/>
        <v>0.96010132597238496</v>
      </c>
      <c r="G599" s="67">
        <f>E599/'Lookup Tables'!$C$48</f>
        <v>31.623890842305173</v>
      </c>
      <c r="H599" s="70">
        <f t="shared" si="60"/>
        <v>1.3276623228042501E-2</v>
      </c>
      <c r="I599" s="71">
        <f t="shared" si="64"/>
        <v>4.5538402812919446E-2</v>
      </c>
      <c r="L599" s="74"/>
      <c r="M599" s="74"/>
      <c r="N599" s="74"/>
      <c r="O599" s="74"/>
      <c r="P599" s="74"/>
      <c r="Q599" s="74"/>
      <c r="R599" s="74"/>
      <c r="S599" s="74"/>
      <c r="T599" s="74"/>
      <c r="U599" s="74"/>
      <c r="V599" s="74"/>
      <c r="W599" s="74"/>
      <c r="X599" s="74"/>
      <c r="Y599" s="74"/>
      <c r="Z599" s="74"/>
    </row>
    <row r="600" spans="1:26" x14ac:dyDescent="0.3">
      <c r="A600" s="66">
        <f t="shared" si="62"/>
        <v>2049.2999999999461</v>
      </c>
      <c r="B600" s="67">
        <f>LOOKUP(A600+0.01,AmountsB!$A$4:$A$103,AmountsB!$B$4:$B$103)*0.1*$A$2</f>
        <v>0</v>
      </c>
      <c r="C600" s="68">
        <f t="shared" si="61"/>
        <v>625969.29735898925</v>
      </c>
      <c r="D600" s="67">
        <f t="array" ref="D600">SUM($B$7:$B595*$F$1009*EXP(-$F$1009*($A600-$A$7:$A595)))*$F$1010</f>
        <v>8236231.5177291855</v>
      </c>
      <c r="E600" s="67">
        <f t="shared" si="59"/>
        <v>15.701648293530864</v>
      </c>
      <c r="F600" s="70">
        <f t="shared" si="63"/>
        <v>0.95340408438319413</v>
      </c>
      <c r="G600" s="67">
        <f>E600/'Lookup Tables'!$C$48</f>
        <v>31.403296587061728</v>
      </c>
      <c r="H600" s="70">
        <f t="shared" si="60"/>
        <v>1.3184011385061437E-2</v>
      </c>
      <c r="I600" s="71">
        <f t="shared" si="64"/>
        <v>4.5220747085368884E-2</v>
      </c>
      <c r="L600" s="74"/>
      <c r="M600" s="74"/>
      <c r="N600" s="74"/>
      <c r="O600" s="74"/>
      <c r="P600" s="74"/>
      <c r="Q600" s="74"/>
      <c r="R600" s="74"/>
      <c r="S600" s="74"/>
      <c r="T600" s="74"/>
      <c r="U600" s="74"/>
      <c r="V600" s="74"/>
      <c r="W600" s="74"/>
      <c r="X600" s="74"/>
      <c r="Y600" s="74"/>
      <c r="Z600" s="74"/>
    </row>
    <row r="601" spans="1:26" x14ac:dyDescent="0.3">
      <c r="A601" s="66">
        <f t="shared" si="62"/>
        <v>2049.399999999946</v>
      </c>
      <c r="B601" s="67">
        <f>LOOKUP(A601+0.01,AmountsB!$A$4:$A$103,AmountsB!$B$4:$B$103)*0.1*$A$2</f>
        <v>0</v>
      </c>
      <c r="C601" s="68">
        <f t="shared" si="61"/>
        <v>625969.29735898925</v>
      </c>
      <c r="D601" s="67">
        <f t="array" ref="D601">SUM($B$7:$B596*$F$1009*EXP(-$F$1009*($A601-$A$7:$A596)))*$F$1010</f>
        <v>8178779.2147622304</v>
      </c>
      <c r="E601" s="67">
        <f t="shared" si="59"/>
        <v>15.592120549817167</v>
      </c>
      <c r="F601" s="70">
        <f t="shared" si="63"/>
        <v>0.94675355978489839</v>
      </c>
      <c r="G601" s="67">
        <f>E601/'Lookup Tables'!$C$48</f>
        <v>31.184241099634335</v>
      </c>
      <c r="H601" s="70">
        <f t="shared" si="60"/>
        <v>1.3092045561276147E-2</v>
      </c>
      <c r="I601" s="71">
        <f t="shared" si="64"/>
        <v>4.4905307183473443E-2</v>
      </c>
      <c r="L601" s="74"/>
      <c r="M601" s="74"/>
      <c r="N601" s="74"/>
      <c r="O601" s="74"/>
      <c r="P601" s="74"/>
      <c r="Q601" s="74"/>
      <c r="R601" s="74"/>
      <c r="S601" s="74"/>
      <c r="T601" s="74"/>
      <c r="U601" s="74"/>
      <c r="V601" s="74"/>
      <c r="W601" s="74"/>
      <c r="X601" s="74"/>
      <c r="Y601" s="74"/>
      <c r="Z601" s="74"/>
    </row>
    <row r="602" spans="1:26" x14ac:dyDescent="0.3">
      <c r="A602" s="66">
        <f t="shared" si="62"/>
        <v>2049.4999999999459</v>
      </c>
      <c r="B602" s="67">
        <f>LOOKUP(A602+0.01,AmountsB!$A$4:$A$103,AmountsB!$B$4:$B$103)*0.1*$A$2</f>
        <v>0</v>
      </c>
      <c r="C602" s="68">
        <f t="shared" si="61"/>
        <v>625969.29735898925</v>
      </c>
      <c r="D602" s="67">
        <f t="array" ref="D602">SUM($B$7:$B597*$F$1009*EXP(-$F$1009*($A602-$A$7:$A597)))*$F$1010</f>
        <v>8121727.6736132363</v>
      </c>
      <c r="E602" s="67">
        <f t="shared" si="59"/>
        <v>15.483356823130135</v>
      </c>
      <c r="F602" s="70">
        <f t="shared" si="63"/>
        <v>0.94014942630046183</v>
      </c>
      <c r="G602" s="67">
        <f>E602/'Lookup Tables'!$C$48</f>
        <v>30.966713646260271</v>
      </c>
      <c r="H602" s="70">
        <f t="shared" si="60"/>
        <v>1.3000721250342861E-2</v>
      </c>
      <c r="I602" s="71">
        <f t="shared" si="64"/>
        <v>4.4592067650614797E-2</v>
      </c>
      <c r="L602" s="74"/>
      <c r="M602" s="74"/>
      <c r="N602" s="74"/>
      <c r="O602" s="74"/>
      <c r="P602" s="74"/>
      <c r="Q602" s="74"/>
      <c r="R602" s="74"/>
      <c r="S602" s="74"/>
      <c r="T602" s="74"/>
      <c r="U602" s="74"/>
      <c r="V602" s="74"/>
      <c r="W602" s="74"/>
      <c r="X602" s="74"/>
      <c r="Y602" s="74"/>
      <c r="Z602" s="74"/>
    </row>
    <row r="603" spans="1:26" x14ac:dyDescent="0.3">
      <c r="A603" s="66">
        <f t="shared" si="62"/>
        <v>2049.5999999999458</v>
      </c>
      <c r="B603" s="67">
        <f>LOOKUP(A603+0.01,AmountsB!$A$4:$A$103,AmountsB!$B$4:$B$103)*0.1*$A$2</f>
        <v>0</v>
      </c>
      <c r="C603" s="68">
        <f t="shared" si="61"/>
        <v>625969.29735898925</v>
      </c>
      <c r="D603" s="67">
        <f t="array" ref="D603">SUM($B$7:$B598*$F$1009*EXP(-$F$1009*($A603-$A$7:$A598)))*$F$1010</f>
        <v>8065074.0987452753</v>
      </c>
      <c r="E603" s="67">
        <f t="shared" si="59"/>
        <v>15.375351784025407</v>
      </c>
      <c r="F603" s="70">
        <f t="shared" si="63"/>
        <v>0.93359136032602263</v>
      </c>
      <c r="G603" s="67">
        <f>E603/'Lookup Tables'!$C$48</f>
        <v>30.750703568050813</v>
      </c>
      <c r="H603" s="70">
        <f t="shared" si="60"/>
        <v>1.2910033977352072E-2</v>
      </c>
      <c r="I603" s="71">
        <f t="shared" si="64"/>
        <v>4.4281013137993167E-2</v>
      </c>
      <c r="L603" s="74"/>
      <c r="M603" s="74"/>
      <c r="N603" s="74"/>
      <c r="O603" s="74"/>
      <c r="P603" s="74"/>
      <c r="Q603" s="74"/>
      <c r="R603" s="74"/>
      <c r="S603" s="74"/>
      <c r="T603" s="74"/>
      <c r="U603" s="74"/>
      <c r="V603" s="74"/>
      <c r="W603" s="74"/>
      <c r="X603" s="74"/>
      <c r="Y603" s="74"/>
      <c r="Z603" s="74"/>
    </row>
    <row r="604" spans="1:26" x14ac:dyDescent="0.3">
      <c r="A604" s="66">
        <f t="shared" si="62"/>
        <v>2049.6999999999457</v>
      </c>
      <c r="B604" s="67">
        <f>LOOKUP(A604+0.01,AmountsB!$A$4:$A$103,AmountsB!$B$4:$B$103)*0.1*$A$2</f>
        <v>0</v>
      </c>
      <c r="C604" s="68">
        <f t="shared" si="61"/>
        <v>625969.29735898925</v>
      </c>
      <c r="D604" s="67">
        <f t="array" ref="D604">SUM($B$7:$B599*$F$1009*EXP(-$F$1009*($A604-$A$7:$A599)))*$F$1010</f>
        <v>8008815.7141218437</v>
      </c>
      <c r="E604" s="67">
        <f t="shared" si="59"/>
        <v>15.268100140234454</v>
      </c>
      <c r="F604" s="70">
        <f t="shared" si="63"/>
        <v>0.92707904051503609</v>
      </c>
      <c r="G604" s="67">
        <f>E604/'Lookup Tables'!$C$48</f>
        <v>30.536200280468908</v>
      </c>
      <c r="H604" s="70">
        <f t="shared" si="60"/>
        <v>1.2819979298609264E-2</v>
      </c>
      <c r="I604" s="71">
        <f t="shared" si="64"/>
        <v>4.3972128403875224E-2</v>
      </c>
      <c r="L604" s="74"/>
      <c r="M604" s="74"/>
      <c r="N604" s="74"/>
      <c r="O604" s="74"/>
      <c r="P604" s="74"/>
      <c r="Q604" s="74"/>
      <c r="R604" s="74"/>
      <c r="S604" s="74"/>
      <c r="T604" s="74"/>
      <c r="U604" s="74"/>
      <c r="V604" s="74"/>
      <c r="W604" s="74"/>
      <c r="X604" s="74"/>
      <c r="Y604" s="74"/>
      <c r="Z604" s="74"/>
    </row>
    <row r="605" spans="1:26" x14ac:dyDescent="0.3">
      <c r="A605" s="66">
        <f t="shared" si="62"/>
        <v>2049.7999999999456</v>
      </c>
      <c r="B605" s="67">
        <f>LOOKUP(A605+0.01,AmountsB!$A$4:$A$103,AmountsB!$B$4:$B$103)*0.1*$A$2</f>
        <v>0</v>
      </c>
      <c r="C605" s="68">
        <f t="shared" si="61"/>
        <v>625969.29735898925</v>
      </c>
      <c r="D605" s="67">
        <f t="array" ref="D605">SUM($B$7:$B600*$F$1009*EXP(-$F$1009*($A605-$A$7:$A600)))*$F$1010</f>
        <v>7952949.7630708357</v>
      </c>
      <c r="E605" s="67">
        <f t="shared" si="59"/>
        <v>15.161596636405267</v>
      </c>
      <c r="F605" s="70">
        <f t="shared" si="63"/>
        <v>0.92061214776252775</v>
      </c>
      <c r="G605" s="67">
        <f>E605/'Lookup Tables'!$C$48</f>
        <v>30.323193272810535</v>
      </c>
      <c r="H605" s="70">
        <f t="shared" si="60"/>
        <v>1.2730552801417154E-2</v>
      </c>
      <c r="I605" s="71">
        <f t="shared" si="64"/>
        <v>4.3665398312847166E-2</v>
      </c>
      <c r="L605" s="74"/>
      <c r="M605" s="74"/>
      <c r="N605" s="74"/>
      <c r="O605" s="74"/>
      <c r="P605" s="74"/>
      <c r="Q605" s="74"/>
      <c r="R605" s="74"/>
      <c r="S605" s="74"/>
      <c r="T605" s="74"/>
      <c r="U605" s="74"/>
      <c r="V605" s="74"/>
      <c r="W605" s="74"/>
      <c r="X605" s="74"/>
      <c r="Y605" s="74"/>
      <c r="Z605" s="74"/>
    </row>
    <row r="606" spans="1:26" x14ac:dyDescent="0.3">
      <c r="A606" s="66">
        <f t="shared" si="62"/>
        <v>2049.8999999999455</v>
      </c>
      <c r="B606" s="67">
        <f>LOOKUP(A606+0.01,AmountsB!$A$4:$A$103,AmountsB!$B$4:$B$103)*0.1*$A$2</f>
        <v>0</v>
      </c>
      <c r="C606" s="68">
        <f t="shared" si="61"/>
        <v>625969.29735898925</v>
      </c>
      <c r="D606" s="67">
        <f t="array" ref="D606">SUM($B$7:$B601*$F$1009*EXP(-$F$1009*($A606-$A$7:$A601)))*$F$1010</f>
        <v>7897473.508149473</v>
      </c>
      <c r="E606" s="67">
        <f t="shared" si="59"/>
        <v>15.055836053844851</v>
      </c>
      <c r="F606" s="70">
        <f t="shared" si="63"/>
        <v>0.9141903651894594</v>
      </c>
      <c r="G606" s="67">
        <f>E606/'Lookup Tables'!$C$48</f>
        <v>30.111672107689703</v>
      </c>
      <c r="H606" s="70">
        <f t="shared" si="60"/>
        <v>1.2641750103859489E-2</v>
      </c>
      <c r="I606" s="71">
        <f t="shared" si="64"/>
        <v>4.3360807835073172E-2</v>
      </c>
      <c r="L606" s="74"/>
      <c r="M606" s="74"/>
      <c r="N606" s="74"/>
      <c r="O606" s="74"/>
      <c r="P606" s="74"/>
      <c r="Q606" s="74"/>
      <c r="R606" s="74"/>
      <c r="S606" s="74"/>
      <c r="T606" s="74"/>
      <c r="U606" s="74"/>
      <c r="V606" s="74"/>
      <c r="W606" s="74"/>
      <c r="X606" s="74"/>
      <c r="Y606" s="74"/>
      <c r="Z606" s="74"/>
    </row>
    <row r="607" spans="1:26" x14ac:dyDescent="0.3">
      <c r="A607" s="66">
        <f t="shared" si="62"/>
        <v>2049.9999999999454</v>
      </c>
      <c r="B607" s="67">
        <f>LOOKUP(A607+0.01,AmountsB!$A$4:$A$103,AmountsB!$B$4:$B$103)*0.1*$A$2</f>
        <v>0</v>
      </c>
      <c r="C607" s="68">
        <f t="shared" si="61"/>
        <v>625969.29735898925</v>
      </c>
      <c r="D607" s="67">
        <f t="array" ref="D607">SUM($B$7:$B602*$F$1009*EXP(-$F$1009*($A607-$A$7:$A602)))*$F$1010</f>
        <v>7842384.2310101623</v>
      </c>
      <c r="E607" s="67">
        <f t="shared" si="59"/>
        <v>14.950813210263496</v>
      </c>
      <c r="F607" s="70">
        <f t="shared" si="63"/>
        <v>0.90781337812719931</v>
      </c>
      <c r="G607" s="67">
        <f>E607/'Lookup Tables'!$C$48</f>
        <v>29.901626420526991</v>
      </c>
      <c r="H607" s="70">
        <f t="shared" si="60"/>
        <v>1.2553566854586315E-2</v>
      </c>
      <c r="I607" s="71">
        <f t="shared" si="64"/>
        <v>4.3058342045558862E-2</v>
      </c>
      <c r="L607" s="74"/>
      <c r="M607" s="74"/>
      <c r="N607" s="74"/>
      <c r="O607" s="74"/>
      <c r="P607" s="74"/>
      <c r="Q607" s="74"/>
      <c r="R607" s="74"/>
      <c r="S607" s="74"/>
      <c r="T607" s="74"/>
      <c r="U607" s="74"/>
      <c r="V607" s="74"/>
      <c r="W607" s="74"/>
      <c r="X607" s="74"/>
      <c r="Y607" s="74"/>
      <c r="Z607" s="74"/>
    </row>
    <row r="608" spans="1:26" x14ac:dyDescent="0.3">
      <c r="A608" s="66">
        <f t="shared" si="62"/>
        <v>2050.0999999999453</v>
      </c>
      <c r="B608" s="67">
        <f>LOOKUP(A608+0.01,AmountsB!$A$4:$A$103,AmountsB!$B$4:$B$103)*0.1*$A$2</f>
        <v>0</v>
      </c>
      <c r="C608" s="68">
        <f t="shared" si="61"/>
        <v>625969.29735898925</v>
      </c>
      <c r="D608" s="67">
        <f t="array" ref="D608">SUM($B$7:$B603*$F$1009*EXP(-$F$1009*($A608-$A$7:$A603)))*$F$1010</f>
        <v>7787679.2322673043</v>
      </c>
      <c r="E608" s="67">
        <f t="shared" si="59"/>
        <v>14.846522959520858</v>
      </c>
      <c r="F608" s="70">
        <f t="shared" si="63"/>
        <v>0.90148087410210642</v>
      </c>
      <c r="G608" s="67">
        <f>E608/'Lookup Tables'!$C$48</f>
        <v>29.693045919041715</v>
      </c>
      <c r="H608" s="70">
        <f t="shared" si="60"/>
        <v>1.2465998732600785E-2</v>
      </c>
      <c r="I608" s="71">
        <f t="shared" si="64"/>
        <v>4.2757986123420071E-2</v>
      </c>
      <c r="L608" s="74"/>
      <c r="M608" s="74"/>
      <c r="N608" s="74"/>
      <c r="O608" s="74"/>
      <c r="P608" s="74"/>
      <c r="Q608" s="74"/>
      <c r="R608" s="74"/>
      <c r="S608" s="74"/>
      <c r="T608" s="74"/>
      <c r="U608" s="74"/>
      <c r="V608" s="74"/>
      <c r="W608" s="74"/>
      <c r="X608" s="74"/>
      <c r="Y608" s="74"/>
      <c r="Z608" s="74"/>
    </row>
    <row r="609" spans="1:26" x14ac:dyDescent="0.3">
      <c r="A609" s="66">
        <f t="shared" si="62"/>
        <v>2050.1999999999452</v>
      </c>
      <c r="B609" s="67">
        <f>LOOKUP(A609+0.01,AmountsB!$A$4:$A$103,AmountsB!$B$4:$B$103)*0.1*$A$2</f>
        <v>0</v>
      </c>
      <c r="C609" s="68">
        <f t="shared" si="61"/>
        <v>625969.29735898925</v>
      </c>
      <c r="D609" s="67">
        <f t="array" ref="D609">SUM($B$7:$B604*$F$1009*EXP(-$F$1009*($A609-$A$7:$A604)))*$F$1010</f>
        <v>7733355.8313650126</v>
      </c>
      <c r="E609" s="67">
        <f t="shared" si="59"/>
        <v>14.742960191373776</v>
      </c>
      <c r="F609" s="70">
        <f t="shared" si="63"/>
        <v>0.89519254282021554</v>
      </c>
      <c r="G609" s="67">
        <f>E609/'Lookup Tables'!$C$48</f>
        <v>29.485920382747551</v>
      </c>
      <c r="H609" s="70">
        <f t="shared" si="60"/>
        <v>1.2379041447047384E-2</v>
      </c>
      <c r="I609" s="71">
        <f t="shared" si="64"/>
        <v>4.2459725351156469E-2</v>
      </c>
      <c r="L609" s="74"/>
      <c r="M609" s="74"/>
      <c r="N609" s="74"/>
      <c r="O609" s="74"/>
      <c r="P609" s="74"/>
      <c r="Q609" s="74"/>
      <c r="R609" s="74"/>
      <c r="S609" s="74"/>
      <c r="T609" s="74"/>
      <c r="U609" s="74"/>
      <c r="V609" s="74"/>
      <c r="W609" s="74"/>
      <c r="X609" s="74"/>
      <c r="Y609" s="74"/>
      <c r="Z609" s="74"/>
    </row>
    <row r="610" spans="1:26" x14ac:dyDescent="0.3">
      <c r="A610" s="66">
        <f t="shared" si="62"/>
        <v>2050.2999999999452</v>
      </c>
      <c r="B610" s="67">
        <f>LOOKUP(A610+0.01,AmountsB!$A$4:$A$103,AmountsB!$B$4:$B$103)*0.1*$A$2</f>
        <v>0</v>
      </c>
      <c r="C610" s="68">
        <f t="shared" si="61"/>
        <v>625969.29735898925</v>
      </c>
      <c r="D610" s="67">
        <f t="array" ref="D610">SUM($B$7:$B605*$F$1009*EXP(-$F$1009*($A610-$A$7:$A605)))*$F$1010</f>
        <v>7679411.3664457751</v>
      </c>
      <c r="E610" s="67">
        <f t="shared" si="59"/>
        <v>14.640119831225897</v>
      </c>
      <c r="F610" s="70">
        <f t="shared" si="63"/>
        <v>0.88894807615203653</v>
      </c>
      <c r="G610" s="67">
        <f>E610/'Lookup Tables'!$C$48</f>
        <v>29.280239662451795</v>
      </c>
      <c r="H610" s="70">
        <f t="shared" si="60"/>
        <v>1.2292690737001736E-2</v>
      </c>
      <c r="I610" s="71">
        <f t="shared" si="64"/>
        <v>4.2163545113930591E-2</v>
      </c>
      <c r="L610" s="74"/>
      <c r="M610" s="74"/>
      <c r="N610" s="74"/>
      <c r="O610" s="74"/>
      <c r="P610" s="74"/>
      <c r="Q610" s="74"/>
      <c r="R610" s="74"/>
      <c r="S610" s="74"/>
      <c r="T610" s="74"/>
      <c r="U610" s="74"/>
      <c r="V610" s="74"/>
      <c r="W610" s="74"/>
      <c r="X610" s="74"/>
      <c r="Y610" s="74"/>
      <c r="Z610" s="74"/>
    </row>
    <row r="611" spans="1:26" x14ac:dyDescent="0.3">
      <c r="A611" s="66">
        <f t="shared" si="62"/>
        <v>2050.3999999999451</v>
      </c>
      <c r="B611" s="67">
        <f>LOOKUP(A611+0.01,AmountsB!$A$4:$A$103,AmountsB!$B$4:$B$103)*0.1*$A$2</f>
        <v>0</v>
      </c>
      <c r="C611" s="68">
        <f t="shared" si="61"/>
        <v>625969.29735898925</v>
      </c>
      <c r="D611" s="67">
        <f t="array" ref="D611">SUM($B$7:$B606*$F$1009*EXP(-$F$1009*($A611-$A$7:$A606)))*$F$1010</f>
        <v>7625843.1942200186</v>
      </c>
      <c r="E611" s="67">
        <f t="shared" si="59"/>
        <v>14.537996839878998</v>
      </c>
      <c r="F611" s="70">
        <f t="shared" si="63"/>
        <v>0.8827471681174528</v>
      </c>
      <c r="G611" s="67">
        <f>E611/'Lookup Tables'!$C$48</f>
        <v>29.075993679757996</v>
      </c>
      <c r="H611" s="70">
        <f t="shared" si="60"/>
        <v>1.2206942371261766E-2</v>
      </c>
      <c r="I611" s="71">
        <f t="shared" si="64"/>
        <v>4.186943089885152E-2</v>
      </c>
      <c r="L611" s="74"/>
      <c r="M611" s="74"/>
      <c r="N611" s="74"/>
      <c r="O611" s="74"/>
      <c r="P611" s="74"/>
      <c r="Q611" s="74"/>
      <c r="R611" s="74"/>
      <c r="S611" s="74"/>
      <c r="T611" s="74"/>
      <c r="U611" s="74"/>
      <c r="V611" s="74"/>
      <c r="W611" s="74"/>
      <c r="X611" s="74"/>
      <c r="Y611" s="74"/>
      <c r="Z611" s="74"/>
    </row>
    <row r="612" spans="1:26" x14ac:dyDescent="0.3">
      <c r="A612" s="66">
        <f t="shared" si="62"/>
        <v>2050.499999999945</v>
      </c>
      <c r="B612" s="67">
        <f>LOOKUP(A612+0.01,AmountsB!$A$4:$A$103,AmountsB!$B$4:$B$103)*0.1*$A$2</f>
        <v>0</v>
      </c>
      <c r="C612" s="68">
        <f t="shared" si="61"/>
        <v>625969.29735898925</v>
      </c>
      <c r="D612" s="67">
        <f t="array" ref="D612">SUM($B$7:$B607*$F$1009*EXP(-$F$1009*($A612-$A$7:$A607)))*$F$1010</f>
        <v>7572648.6898365822</v>
      </c>
      <c r="E612" s="67">
        <f t="shared" si="59"/>
        <v>14.436586213286061</v>
      </c>
      <c r="F612" s="70">
        <f t="shared" si="63"/>
        <v>0.87658951487072967</v>
      </c>
      <c r="G612" s="67">
        <f>E612/'Lookup Tables'!$C$48</f>
        <v>28.873172426572122</v>
      </c>
      <c r="H612" s="70">
        <f t="shared" si="60"/>
        <v>1.2121792148140392E-2</v>
      </c>
      <c r="I612" s="71">
        <f t="shared" si="64"/>
        <v>4.1577368294263853E-2</v>
      </c>
      <c r="L612" s="74"/>
      <c r="M612" s="74"/>
      <c r="N612" s="74"/>
      <c r="O612" s="74"/>
      <c r="P612" s="74"/>
      <c r="Q612" s="74"/>
      <c r="R612" s="74"/>
      <c r="S612" s="74"/>
      <c r="T612" s="74"/>
      <c r="U612" s="74"/>
      <c r="V612" s="74"/>
      <c r="W612" s="74"/>
      <c r="X612" s="74"/>
      <c r="Y612" s="74"/>
      <c r="Z612" s="74"/>
    </row>
    <row r="613" spans="1:26" x14ac:dyDescent="0.3">
      <c r="A613" s="66">
        <f t="shared" si="62"/>
        <v>2050.5999999999449</v>
      </c>
      <c r="B613" s="67">
        <f>LOOKUP(A613+0.01,AmountsB!$A$4:$A$103,AmountsB!$B$4:$B$103)*0.1*$A$2</f>
        <v>0</v>
      </c>
      <c r="C613" s="68">
        <f t="shared" si="61"/>
        <v>625969.29735898925</v>
      </c>
      <c r="D613" s="67">
        <f t="array" ref="D613">SUM($B$7:$B608*$F$1009*EXP(-$F$1009*($A613-$A$7:$A608)))*$F$1010</f>
        <v>7519825.2467541145</v>
      </c>
      <c r="E613" s="67">
        <f t="shared" si="59"/>
        <v>14.33588298230611</v>
      </c>
      <c r="F613" s="70">
        <f t="shared" si="63"/>
        <v>0.87047481468562704</v>
      </c>
      <c r="G613" s="67">
        <f>E613/'Lookup Tables'!$C$48</f>
        <v>28.67176596461222</v>
      </c>
      <c r="H613" s="70">
        <f t="shared" si="60"/>
        <v>1.2037235895259657E-2</v>
      </c>
      <c r="I613" s="71">
        <f t="shared" si="64"/>
        <v>4.1287342989041596E-2</v>
      </c>
      <c r="L613" s="74"/>
      <c r="M613" s="74"/>
      <c r="N613" s="74"/>
      <c r="O613" s="74"/>
      <c r="P613" s="74"/>
      <c r="Q613" s="74"/>
      <c r="R613" s="74"/>
      <c r="S613" s="74"/>
      <c r="T613" s="74"/>
      <c r="U613" s="74"/>
      <c r="V613" s="74"/>
      <c r="W613" s="74"/>
      <c r="X613" s="74"/>
      <c r="Y613" s="74"/>
      <c r="Z613" s="74"/>
    </row>
    <row r="614" spans="1:26" x14ac:dyDescent="0.3">
      <c r="A614" s="66">
        <f t="shared" si="62"/>
        <v>2050.6999999999448</v>
      </c>
      <c r="B614" s="67">
        <f>LOOKUP(A614+0.01,AmountsB!$A$4:$A$103,AmountsB!$B$4:$B$103)*0.1*$A$2</f>
        <v>0</v>
      </c>
      <c r="C614" s="68">
        <f t="shared" si="61"/>
        <v>625969.29735898925</v>
      </c>
      <c r="D614" s="67">
        <f t="array" ref="D614">SUM($B$7:$B609*$F$1009*EXP(-$F$1009*($A614-$A$7:$A609)))*$F$1010</f>
        <v>7467370.2766133277</v>
      </c>
      <c r="E614" s="67">
        <f t="shared" si="59"/>
        <v>14.235882212460655</v>
      </c>
      <c r="F614" s="70">
        <f t="shared" si="63"/>
        <v>0.86440276794061099</v>
      </c>
      <c r="G614" s="67">
        <f>E614/'Lookup Tables'!$C$48</f>
        <v>28.471764424921311</v>
      </c>
      <c r="H614" s="70">
        <f t="shared" si="60"/>
        <v>1.1953269469346234E-2</v>
      </c>
      <c r="I614" s="71">
        <f t="shared" si="64"/>
        <v>4.0999340771886689E-2</v>
      </c>
      <c r="L614" s="74"/>
      <c r="M614" s="74"/>
      <c r="N614" s="74"/>
      <c r="O614" s="74"/>
      <c r="P614" s="74"/>
      <c r="Q614" s="74"/>
      <c r="R614" s="74"/>
      <c r="S614" s="74"/>
      <c r="T614" s="74"/>
      <c r="U614" s="74"/>
      <c r="V614" s="74"/>
      <c r="W614" s="74"/>
      <c r="X614" s="74"/>
      <c r="Y614" s="74"/>
      <c r="Z614" s="74"/>
    </row>
    <row r="615" spans="1:26" x14ac:dyDescent="0.3">
      <c r="A615" s="66">
        <f t="shared" si="62"/>
        <v>2050.7999999999447</v>
      </c>
      <c r="B615" s="67">
        <f>LOOKUP(A615+0.01,AmountsB!$A$4:$A$103,AmountsB!$B$4:$B$103)*0.1*$A$2</f>
        <v>0</v>
      </c>
      <c r="C615" s="68">
        <f t="shared" si="61"/>
        <v>625969.29735898925</v>
      </c>
      <c r="D615" s="67">
        <f t="array" ref="D615">SUM($B$7:$B610*$F$1009*EXP(-$F$1009*($A615-$A$7:$A610)))*$F$1010</f>
        <v>7415281.2091101939</v>
      </c>
      <c r="E615" s="67">
        <f t="shared" si="59"/>
        <v>14.136579003691981</v>
      </c>
      <c r="F615" s="70">
        <f t="shared" si="63"/>
        <v>0.8583730771041771</v>
      </c>
      <c r="G615" s="67">
        <f>E615/'Lookup Tables'!$C$48</f>
        <v>28.273158007383962</v>
      </c>
      <c r="H615" s="70">
        <f t="shared" si="60"/>
        <v>1.1869888756028466E-2</v>
      </c>
      <c r="I615" s="71">
        <f t="shared" si="64"/>
        <v>4.0713347530632903E-2</v>
      </c>
      <c r="L615" s="74"/>
      <c r="M615" s="74"/>
      <c r="N615" s="74"/>
      <c r="O615" s="74"/>
      <c r="P615" s="74"/>
      <c r="Q615" s="74"/>
      <c r="R615" s="74"/>
      <c r="S615" s="74"/>
      <c r="T615" s="74"/>
      <c r="U615" s="74"/>
      <c r="V615" s="74"/>
      <c r="W615" s="74"/>
      <c r="X615" s="74"/>
      <c r="Y615" s="74"/>
      <c r="Z615" s="74"/>
    </row>
    <row r="616" spans="1:26" x14ac:dyDescent="0.3">
      <c r="A616" s="66">
        <f t="shared" si="62"/>
        <v>2050.8999999999446</v>
      </c>
      <c r="B616" s="67">
        <f>LOOKUP(A616+0.01,AmountsB!$A$4:$A$103,AmountsB!$B$4:$B$103)*0.1*$A$2</f>
        <v>0</v>
      </c>
      <c r="C616" s="68">
        <f t="shared" si="61"/>
        <v>625969.29735898925</v>
      </c>
      <c r="D616" s="67">
        <f t="array" ref="D616">SUM($B$7:$B611*$F$1009*EXP(-$F$1009*($A616-$A$7:$A611)))*$F$1010</f>
        <v>7363555.4918699805</v>
      </c>
      <c r="E616" s="67">
        <f t="shared" si="59"/>
        <v>14.037968490122983</v>
      </c>
      <c r="F616" s="70">
        <f t="shared" si="63"/>
        <v>0.8523854467202675</v>
      </c>
      <c r="G616" s="67">
        <f>E616/'Lookup Tables'!$C$48</f>
        <v>28.075936980245967</v>
      </c>
      <c r="H616" s="70">
        <f t="shared" si="60"/>
        <v>1.1787089669634711E-2</v>
      </c>
      <c r="I616" s="71">
        <f t="shared" si="64"/>
        <v>4.0429349251554197E-2</v>
      </c>
      <c r="L616" s="74"/>
      <c r="M616" s="74"/>
      <c r="N616" s="74"/>
      <c r="O616" s="74"/>
      <c r="P616" s="74"/>
      <c r="Q616" s="74"/>
      <c r="R616" s="74"/>
      <c r="S616" s="74"/>
      <c r="T616" s="74"/>
      <c r="U616" s="74"/>
      <c r="V616" s="74"/>
      <c r="W616" s="74"/>
      <c r="X616" s="74"/>
      <c r="Y616" s="74"/>
      <c r="Z616" s="74"/>
    </row>
    <row r="617" spans="1:26" x14ac:dyDescent="0.3">
      <c r="A617" s="66">
        <f t="shared" si="62"/>
        <v>2050.9999999999445</v>
      </c>
      <c r="B617" s="67">
        <f>LOOKUP(A617+0.01,AmountsB!$A$4:$A$103,AmountsB!$B$4:$B$103)*0.1*$A$2</f>
        <v>0</v>
      </c>
      <c r="C617" s="68">
        <f t="shared" si="61"/>
        <v>625969.29735898925</v>
      </c>
      <c r="D617" s="67">
        <f t="array" ref="D617">SUM($B$7:$B612*$F$1009*EXP(-$F$1009*($A617-$A$7:$A612)))*$F$1010</f>
        <v>7312190.5903222002</v>
      </c>
      <c r="E617" s="67">
        <f t="shared" si="59"/>
        <v>13.940045839818776</v>
      </c>
      <c r="F617" s="70">
        <f t="shared" si="63"/>
        <v>0.8464395833937961</v>
      </c>
      <c r="G617" s="67">
        <f>E617/'Lookup Tables'!$C$48</f>
        <v>27.880091679637552</v>
      </c>
      <c r="H617" s="70">
        <f t="shared" si="60"/>
        <v>1.1704868152993176E-2</v>
      </c>
      <c r="I617" s="71">
        <f t="shared" si="64"/>
        <v>4.0147332018678074E-2</v>
      </c>
      <c r="L617" s="74"/>
      <c r="M617" s="74"/>
      <c r="N617" s="74"/>
      <c r="O617" s="74"/>
      <c r="P617" s="74"/>
      <c r="Q617" s="74"/>
      <c r="R617" s="74"/>
      <c r="S617" s="74"/>
      <c r="T617" s="74"/>
      <c r="U617" s="74"/>
      <c r="V617" s="74"/>
      <c r="W617" s="74"/>
      <c r="X617" s="74"/>
      <c r="Y617" s="74"/>
      <c r="Z617" s="74"/>
    </row>
    <row r="618" spans="1:26" x14ac:dyDescent="0.3">
      <c r="A618" s="66">
        <f t="shared" si="62"/>
        <v>2051.0999999999444</v>
      </c>
      <c r="B618" s="67">
        <f>LOOKUP(A618+0.01,AmountsB!$A$4:$A$103,AmountsB!$B$4:$B$103)*0.1*$A$2</f>
        <v>0</v>
      </c>
      <c r="C618" s="68">
        <f t="shared" si="61"/>
        <v>625969.29735898925</v>
      </c>
      <c r="D618" s="67">
        <f t="array" ref="D618">SUM($B$7:$B613*$F$1009*EXP(-$F$1009*($A618-$A$7:$A613)))*$F$1010</f>
        <v>7261183.9875763915</v>
      </c>
      <c r="E618" s="67">
        <f t="shared" si="59"/>
        <v>13.842806254549886</v>
      </c>
      <c r="F618" s="70">
        <f t="shared" si="63"/>
        <v>0.84053519577626912</v>
      </c>
      <c r="G618" s="67">
        <f>E618/'Lookup Tables'!$C$48</f>
        <v>27.685612509099773</v>
      </c>
      <c r="H618" s="70">
        <f t="shared" si="60"/>
        <v>1.1623220177233084E-2</v>
      </c>
      <c r="I618" s="71">
        <f t="shared" si="64"/>
        <v>3.9867282013103675E-2</v>
      </c>
      <c r="L618" s="74"/>
      <c r="M618" s="74"/>
      <c r="N618" s="74"/>
      <c r="O618" s="74"/>
      <c r="P618" s="74"/>
      <c r="Q618" s="74"/>
      <c r="R618" s="74"/>
      <c r="S618" s="74"/>
      <c r="T618" s="74"/>
      <c r="U618" s="74"/>
      <c r="V618" s="74"/>
      <c r="W618" s="74"/>
      <c r="X618" s="74"/>
      <c r="Y618" s="74"/>
      <c r="Z618" s="74"/>
    </row>
    <row r="619" spans="1:26" x14ac:dyDescent="0.3">
      <c r="A619" s="66">
        <f t="shared" si="62"/>
        <v>2051.1999999999443</v>
      </c>
      <c r="B619" s="67">
        <f>LOOKUP(A619+0.01,AmountsB!$A$4:$A$103,AmountsB!$B$4:$B$103)*0.1*$A$2</f>
        <v>0</v>
      </c>
      <c r="C619" s="68">
        <f t="shared" si="61"/>
        <v>625969.29735898925</v>
      </c>
      <c r="D619" s="67">
        <f t="array" ref="D619">SUM($B$7:$B614*$F$1009*EXP(-$F$1009*($A619-$A$7:$A614)))*$F$1010</f>
        <v>7210533.1842988208</v>
      </c>
      <c r="E619" s="67">
        <f t="shared" si="59"/>
        <v>13.746244969557196</v>
      </c>
      <c r="F619" s="70">
        <f t="shared" si="63"/>
        <v>0.83467199455151286</v>
      </c>
      <c r="G619" s="67">
        <f>E619/'Lookup Tables'!$C$48</f>
        <v>27.492489939114392</v>
      </c>
      <c r="H619" s="70">
        <f t="shared" si="60"/>
        <v>1.1542141741587299E-2</v>
      </c>
      <c r="I619" s="71">
        <f t="shared" si="64"/>
        <v>3.9589185512324723E-2</v>
      </c>
      <c r="L619" s="74"/>
      <c r="M619" s="74"/>
      <c r="N619" s="74"/>
      <c r="O619" s="74"/>
      <c r="P619" s="74"/>
      <c r="Q619" s="74"/>
      <c r="R619" s="74"/>
      <c r="S619" s="74"/>
      <c r="T619" s="74"/>
      <c r="U619" s="74"/>
      <c r="V619" s="74"/>
      <c r="W619" s="74"/>
      <c r="X619" s="74"/>
      <c r="Y619" s="74"/>
      <c r="Z619" s="74"/>
    </row>
    <row r="620" spans="1:26" x14ac:dyDescent="0.3">
      <c r="A620" s="66">
        <f t="shared" si="62"/>
        <v>2051.2999999999442</v>
      </c>
      <c r="B620" s="67">
        <f>LOOKUP(A620+0.01,AmountsB!$A$4:$A$103,AmountsB!$B$4:$B$103)*0.1*$A$2</f>
        <v>0</v>
      </c>
      <c r="C620" s="68">
        <f t="shared" si="61"/>
        <v>625969.29735898925</v>
      </c>
      <c r="D620" s="67">
        <f t="array" ref="D620">SUM($B$7:$B615*$F$1009*EXP(-$F$1009*($A620-$A$7:$A615)))*$F$1010</f>
        <v>7160235.6985899843</v>
      </c>
      <c r="E620" s="67">
        <f t="shared" si="59"/>
        <v>13.650357253318399</v>
      </c>
      <c r="F620" s="70">
        <f t="shared" si="63"/>
        <v>0.8288496924214932</v>
      </c>
      <c r="G620" s="67">
        <f>E620/'Lookup Tables'!$C$48</f>
        <v>27.300714506636798</v>
      </c>
      <c r="H620" s="70">
        <f t="shared" si="60"/>
        <v>1.1461628873196234E-2</v>
      </c>
      <c r="I620" s="71">
        <f t="shared" si="64"/>
        <v>3.931302888955699E-2</v>
      </c>
      <c r="L620" s="74"/>
      <c r="M620" s="74"/>
      <c r="N620" s="74"/>
      <c r="O620" s="74"/>
      <c r="P620" s="74"/>
      <c r="Q620" s="74"/>
      <c r="R620" s="74"/>
      <c r="S620" s="74"/>
      <c r="T620" s="74"/>
      <c r="U620" s="74"/>
      <c r="V620" s="74"/>
      <c r="W620" s="74"/>
      <c r="X620" s="74"/>
      <c r="Y620" s="74"/>
      <c r="Z620" s="74"/>
    </row>
    <row r="621" spans="1:26" x14ac:dyDescent="0.3">
      <c r="A621" s="66">
        <f t="shared" si="62"/>
        <v>2051.3999999999442</v>
      </c>
      <c r="B621" s="67">
        <f>LOOKUP(A621+0.01,AmountsB!$A$4:$A$103,AmountsB!$B$4:$B$103)*0.1*$A$2</f>
        <v>0</v>
      </c>
      <c r="C621" s="68">
        <f t="shared" si="61"/>
        <v>625969.29735898925</v>
      </c>
      <c r="D621" s="67">
        <f t="array" ref="D621">SUM($B$7:$B616*$F$1009*EXP(-$F$1009*($A621-$A$7:$A616)))*$F$1010</f>
        <v>7110289.0658630282</v>
      </c>
      <c r="E621" s="67">
        <f t="shared" si="59"/>
        <v>13.555138407316235</v>
      </c>
      <c r="F621" s="70">
        <f t="shared" si="63"/>
        <v>0.82306800409224179</v>
      </c>
      <c r="G621" s="67">
        <f>E621/'Lookup Tables'!$C$48</f>
        <v>27.110276814632471</v>
      </c>
      <c r="H621" s="70">
        <f t="shared" si="60"/>
        <v>1.1381677626913247E-2</v>
      </c>
      <c r="I621" s="71">
        <f t="shared" si="64"/>
        <v>3.903879861307076E-2</v>
      </c>
      <c r="L621" s="74"/>
      <c r="M621" s="74"/>
      <c r="N621" s="74"/>
      <c r="O621" s="74"/>
      <c r="P621" s="74"/>
      <c r="Q621" s="74"/>
      <c r="R621" s="74"/>
      <c r="S621" s="74"/>
      <c r="T621" s="74"/>
      <c r="U621" s="74"/>
      <c r="V621" s="74"/>
      <c r="W621" s="74"/>
      <c r="X621" s="74"/>
      <c r="Y621" s="74"/>
      <c r="Z621" s="74"/>
    </row>
    <row r="622" spans="1:26" x14ac:dyDescent="0.3">
      <c r="A622" s="66">
        <f t="shared" si="62"/>
        <v>2051.4999999999441</v>
      </c>
      <c r="B622" s="67">
        <f>LOOKUP(A622+0.01,AmountsB!$A$4:$A$103,AmountsB!$B$4:$B$103)*0.1*$A$2</f>
        <v>0</v>
      </c>
      <c r="C622" s="68">
        <f t="shared" si="61"/>
        <v>625969.29735898925</v>
      </c>
      <c r="D622" s="67">
        <f t="array" ref="D622">SUM($B$7:$B617*$F$1009*EXP(-$F$1009*($A622-$A$7:$A617)))*$F$1010</f>
        <v>7060690.8387229526</v>
      </c>
      <c r="E622" s="67">
        <f t="shared" si="59"/>
        <v>13.460583765808193</v>
      </c>
      <c r="F622" s="70">
        <f t="shared" si="63"/>
        <v>0.8173266462598735</v>
      </c>
      <c r="G622" s="67">
        <f>E622/'Lookup Tables'!$C$48</f>
        <v>26.921167531616387</v>
      </c>
      <c r="H622" s="70">
        <f t="shared" si="60"/>
        <v>1.1302284085111266E-2</v>
      </c>
      <c r="I622" s="71">
        <f t="shared" si="64"/>
        <v>3.8766481245527597E-2</v>
      </c>
      <c r="L622" s="74"/>
      <c r="M622" s="74"/>
      <c r="N622" s="74"/>
      <c r="O622" s="74"/>
      <c r="P622" s="74"/>
      <c r="Q622" s="74"/>
      <c r="R622" s="74"/>
      <c r="S622" s="74"/>
      <c r="T622" s="74"/>
      <c r="U622" s="74"/>
      <c r="V622" s="74"/>
      <c r="W622" s="74"/>
      <c r="X622" s="74"/>
      <c r="Y622" s="74"/>
      <c r="Z622" s="74"/>
    </row>
    <row r="623" spans="1:26" x14ac:dyDescent="0.3">
      <c r="A623" s="66">
        <f t="shared" si="62"/>
        <v>2051.599999999944</v>
      </c>
      <c r="B623" s="67">
        <f>LOOKUP(A623+0.01,AmountsB!$A$4:$A$103,AmountsB!$B$4:$B$103)*0.1*$A$2</f>
        <v>0</v>
      </c>
      <c r="C623" s="68">
        <f t="shared" si="61"/>
        <v>625969.29735898925</v>
      </c>
      <c r="D623" s="67">
        <f t="array" ref="D623">SUM($B$7:$B618*$F$1009*EXP(-$F$1009*($A623-$A$7:$A618)))*$F$1010</f>
        <v>7011438.5868467009</v>
      </c>
      <c r="E623" s="67">
        <f t="shared" si="59"/>
        <v>13.366688695597913</v>
      </c>
      <c r="F623" s="70">
        <f t="shared" si="63"/>
        <v>0.8116253375967053</v>
      </c>
      <c r="G623" s="67">
        <f>E623/'Lookup Tables'!$C$48</f>
        <v>26.733377391195827</v>
      </c>
      <c r="H623" s="70">
        <f t="shared" si="60"/>
        <v>1.1223444357490857E-2</v>
      </c>
      <c r="I623" s="71">
        <f t="shared" si="64"/>
        <v>3.8496063443321994E-2</v>
      </c>
      <c r="L623" s="74"/>
      <c r="M623" s="74"/>
      <c r="N623" s="74"/>
      <c r="O623" s="74"/>
      <c r="P623" s="74"/>
      <c r="Q623" s="74"/>
      <c r="R623" s="74"/>
      <c r="S623" s="74"/>
      <c r="T623" s="74"/>
      <c r="U623" s="74"/>
      <c r="V623" s="74"/>
      <c r="W623" s="74"/>
      <c r="X623" s="74"/>
      <c r="Y623" s="74"/>
      <c r="Z623" s="74"/>
    </row>
    <row r="624" spans="1:26" x14ac:dyDescent="0.3">
      <c r="A624" s="66">
        <f t="shared" si="62"/>
        <v>2051.6999999999439</v>
      </c>
      <c r="B624" s="67">
        <f>LOOKUP(A624+0.01,AmountsB!$A$4:$A$103,AmountsB!$B$4:$B$103)*0.1*$A$2</f>
        <v>0</v>
      </c>
      <c r="C624" s="68">
        <f t="shared" si="61"/>
        <v>625969.29735898925</v>
      </c>
      <c r="D624" s="67">
        <f t="array" ref="D624">SUM($B$7:$B619*$F$1009*EXP(-$F$1009*($A624-$A$7:$A619)))*$F$1010</f>
        <v>6962529.8968640771</v>
      </c>
      <c r="E624" s="67">
        <f t="shared" si="59"/>
        <v>13.273448595808171</v>
      </c>
      <c r="F624" s="70">
        <f t="shared" si="63"/>
        <v>0.80596379873747215</v>
      </c>
      <c r="G624" s="67">
        <f>E624/'Lookup Tables'!$C$48</f>
        <v>26.546897191616342</v>
      </c>
      <c r="H624" s="70">
        <f t="shared" si="60"/>
        <v>1.1145154580889589E-2</v>
      </c>
      <c r="I624" s="71">
        <f t="shared" si="64"/>
        <v>3.8227531955927541E-2</v>
      </c>
      <c r="L624" s="74"/>
      <c r="M624" s="74"/>
      <c r="N624" s="74"/>
      <c r="O624" s="74"/>
      <c r="P624" s="74"/>
      <c r="Q624" s="74"/>
      <c r="R624" s="74"/>
      <c r="S624" s="74"/>
      <c r="T624" s="74"/>
      <c r="U624" s="74"/>
      <c r="V624" s="74"/>
      <c r="W624" s="74"/>
      <c r="X624" s="74"/>
      <c r="Y624" s="74"/>
      <c r="Z624" s="74"/>
    </row>
    <row r="625" spans="1:26" x14ac:dyDescent="0.3">
      <c r="A625" s="66">
        <f t="shared" si="62"/>
        <v>2051.7999999999438</v>
      </c>
      <c r="B625" s="67">
        <f>LOOKUP(A625+0.01,AmountsB!$A$4:$A$103,AmountsB!$B$4:$B$103)*0.1*$A$2</f>
        <v>0</v>
      </c>
      <c r="C625" s="68">
        <f t="shared" si="61"/>
        <v>625969.29735898925</v>
      </c>
      <c r="D625" s="67">
        <f t="array" ref="D625">SUM($B$7:$B620*$F$1009*EXP(-$F$1009*($A625-$A$7:$A620)))*$F$1010</f>
        <v>6913962.3722394891</v>
      </c>
      <c r="E625" s="67">
        <f t="shared" si="59"/>
        <v>13.180858897655424</v>
      </c>
      <c r="F625" s="70">
        <f t="shared" si="63"/>
        <v>0.80034175226563742</v>
      </c>
      <c r="G625" s="67">
        <f>E625/'Lookup Tables'!$C$48</f>
        <v>26.361717795310849</v>
      </c>
      <c r="H625" s="70">
        <f t="shared" si="60"/>
        <v>1.1067410919092746E-2</v>
      </c>
      <c r="I625" s="71">
        <f t="shared" si="64"/>
        <v>3.7960873625247624E-2</v>
      </c>
      <c r="L625" s="74"/>
      <c r="M625" s="74"/>
      <c r="N625" s="74"/>
      <c r="O625" s="74"/>
      <c r="P625" s="74"/>
      <c r="Q625" s="74"/>
      <c r="R625" s="74"/>
      <c r="S625" s="74"/>
      <c r="T625" s="74"/>
      <c r="U625" s="74"/>
      <c r="V625" s="74"/>
      <c r="W625" s="74"/>
      <c r="X625" s="74"/>
      <c r="Y625" s="74"/>
      <c r="Z625" s="74"/>
    </row>
    <row r="626" spans="1:26" x14ac:dyDescent="0.3">
      <c r="A626" s="66">
        <f t="shared" si="62"/>
        <v>2051.8999999999437</v>
      </c>
      <c r="B626" s="67">
        <f>LOOKUP(A626+0.01,AmountsB!$A$4:$A$103,AmountsB!$B$4:$B$103)*0.1*$A$2</f>
        <v>0</v>
      </c>
      <c r="C626" s="68">
        <f t="shared" si="61"/>
        <v>625969.29735898925</v>
      </c>
      <c r="D626" s="67">
        <f t="array" ref="D626">SUM($B$7:$B621*$F$1009*EXP(-$F$1009*($A626-$A$7:$A621)))*$F$1010</f>
        <v>6865733.6331545124</v>
      </c>
      <c r="E626" s="67">
        <f t="shared" si="59"/>
        <v>13.08891506422594</v>
      </c>
      <c r="F626" s="70">
        <f t="shared" si="63"/>
        <v>0.79475892269979909</v>
      </c>
      <c r="G626" s="67">
        <f>E626/'Lookup Tables'!$C$48</f>
        <v>26.17783012845188</v>
      </c>
      <c r="H626" s="70">
        <f t="shared" si="60"/>
        <v>1.0990209562645349E-2</v>
      </c>
      <c r="I626" s="71">
        <f t="shared" si="64"/>
        <v>3.7696075384970711E-2</v>
      </c>
      <c r="L626" s="74"/>
      <c r="M626" s="74"/>
      <c r="N626" s="74"/>
      <c r="O626" s="74"/>
      <c r="P626" s="74"/>
      <c r="Q626" s="74"/>
      <c r="R626" s="74"/>
      <c r="S626" s="74"/>
      <c r="T626" s="74"/>
      <c r="U626" s="74"/>
      <c r="V626" s="74"/>
      <c r="W626" s="74"/>
      <c r="X626" s="74"/>
      <c r="Y626" s="74"/>
      <c r="Z626" s="74"/>
    </row>
    <row r="627" spans="1:26" x14ac:dyDescent="0.3">
      <c r="A627" s="66">
        <f t="shared" si="62"/>
        <v>2051.9999999999436</v>
      </c>
      <c r="B627" s="67">
        <f>LOOKUP(A627+0.01,AmountsB!$A$4:$A$103,AmountsB!$B$4:$B$103)*0.1*$A$2</f>
        <v>0</v>
      </c>
      <c r="C627" s="68">
        <f t="shared" si="61"/>
        <v>625969.29735898925</v>
      </c>
      <c r="D627" s="67">
        <f t="array" ref="D627">SUM($B$7:$B622*$F$1009*EXP(-$F$1009*($A627-$A$7:$A622)))*$F$1010</f>
        <v>6817841.3163912781</v>
      </c>
      <c r="E627" s="67">
        <f t="shared" si="59"/>
        <v>12.997612590253471</v>
      </c>
      <c r="F627" s="70">
        <f t="shared" si="63"/>
        <v>0.78921503648019065</v>
      </c>
      <c r="G627" s="67">
        <f>E627/'Lookup Tables'!$C$48</f>
        <v>25.995225180506942</v>
      </c>
      <c r="H627" s="70">
        <f t="shared" si="60"/>
        <v>1.0913546728665477E-2</v>
      </c>
      <c r="I627" s="71">
        <f t="shared" si="64"/>
        <v>3.7433124259929992E-2</v>
      </c>
      <c r="L627" s="74"/>
      <c r="M627" s="74"/>
      <c r="N627" s="74"/>
      <c r="O627" s="74"/>
      <c r="P627" s="74"/>
      <c r="Q627" s="74"/>
      <c r="R627" s="74"/>
      <c r="S627" s="74"/>
      <c r="T627" s="74"/>
      <c r="U627" s="74"/>
      <c r="V627" s="74"/>
      <c r="W627" s="74"/>
      <c r="X627" s="74"/>
      <c r="Y627" s="74"/>
      <c r="Z627" s="74"/>
    </row>
    <row r="628" spans="1:26" x14ac:dyDescent="0.3">
      <c r="A628" s="66">
        <f t="shared" si="62"/>
        <v>2052.0999999999435</v>
      </c>
      <c r="B628" s="67">
        <f>LOOKUP(A628+0.01,AmountsB!$A$4:$A$103,AmountsB!$B$4:$B$103)*0.1*$A$2</f>
        <v>0</v>
      </c>
      <c r="C628" s="68">
        <f t="shared" si="61"/>
        <v>625969.29735898925</v>
      </c>
      <c r="D628" s="67">
        <f t="array" ref="D628">SUM($B$7:$B623*$F$1009*EXP(-$F$1009*($A628-$A$7:$A623)))*$F$1010</f>
        <v>6770283.0752166882</v>
      </c>
      <c r="E628" s="67">
        <f t="shared" si="59"/>
        <v>12.906947001898542</v>
      </c>
      <c r="F628" s="70">
        <f t="shared" si="63"/>
        <v>0.7837098219552795</v>
      </c>
      <c r="G628" s="67">
        <f>E628/'Lookup Tables'!$C$48</f>
        <v>25.813894003797085</v>
      </c>
      <c r="H628" s="70">
        <f t="shared" si="60"/>
        <v>1.0837418660658937E-2</v>
      </c>
      <c r="I628" s="71">
        <f t="shared" si="64"/>
        <v>3.7172007365467795E-2</v>
      </c>
      <c r="L628" s="74"/>
      <c r="M628" s="74"/>
      <c r="N628" s="74"/>
      <c r="O628" s="74"/>
      <c r="P628" s="74"/>
      <c r="Q628" s="74"/>
      <c r="R628" s="74"/>
      <c r="S628" s="74"/>
      <c r="T628" s="74"/>
      <c r="U628" s="74"/>
      <c r="V628" s="74"/>
      <c r="W628" s="74"/>
      <c r="X628" s="74"/>
      <c r="Y628" s="74"/>
      <c r="Z628" s="74"/>
    </row>
    <row r="629" spans="1:26" x14ac:dyDescent="0.3">
      <c r="A629" s="66">
        <f t="shared" si="62"/>
        <v>2052.1999999999434</v>
      </c>
      <c r="B629" s="67">
        <f>LOOKUP(A629+0.01,AmountsB!$A$4:$A$103,AmountsB!$B$4:$B$103)*0.1*$A$2</f>
        <v>0</v>
      </c>
      <c r="C629" s="68">
        <f t="shared" si="61"/>
        <v>625969.29735898925</v>
      </c>
      <c r="D629" s="67">
        <f t="array" ref="D629">SUM($B$7:$B624*$F$1009*EXP(-$F$1009*($A629-$A$7:$A624)))*$F$1010</f>
        <v>6723056.579267404</v>
      </c>
      <c r="E629" s="67">
        <f t="shared" si="59"/>
        <v>12.816913856529169</v>
      </c>
      <c r="F629" s="70">
        <f t="shared" si="63"/>
        <v>0.77824300936845103</v>
      </c>
      <c r="G629" s="67">
        <f>E629/'Lookup Tables'!$C$48</f>
        <v>25.633827713058338</v>
      </c>
      <c r="H629" s="70">
        <f t="shared" si="60"/>
        <v>1.0761821628335156E-2</v>
      </c>
      <c r="I629" s="71">
        <f t="shared" si="64"/>
        <v>3.6912711906804008E-2</v>
      </c>
      <c r="L629" s="74"/>
      <c r="M629" s="74"/>
      <c r="N629" s="74"/>
      <c r="O629" s="74"/>
      <c r="P629" s="74"/>
      <c r="Q629" s="74"/>
      <c r="R629" s="74"/>
      <c r="S629" s="74"/>
      <c r="T629" s="74"/>
      <c r="U629" s="74"/>
      <c r="V629" s="74"/>
      <c r="W629" s="74"/>
      <c r="X629" s="74"/>
      <c r="Y629" s="74"/>
      <c r="Z629" s="74"/>
    </row>
    <row r="630" spans="1:26" x14ac:dyDescent="0.3">
      <c r="A630" s="66">
        <f t="shared" si="62"/>
        <v>2052.2999999999433</v>
      </c>
      <c r="B630" s="67">
        <f>LOOKUP(A630+0.01,AmountsB!$A$4:$A$103,AmountsB!$B$4:$B$103)*0.1*$A$2</f>
        <v>0</v>
      </c>
      <c r="C630" s="68">
        <f t="shared" si="61"/>
        <v>625969.29735898925</v>
      </c>
      <c r="D630" s="67">
        <f t="array" ref="D630">SUM($B$7:$B625*$F$1009*EXP(-$F$1009*($A630-$A$7:$A625)))*$F$1010</f>
        <v>6676159.5144356778</v>
      </c>
      <c r="E630" s="67">
        <f t="shared" si="59"/>
        <v>12.727508742503224</v>
      </c>
      <c r="F630" s="70">
        <f t="shared" si="63"/>
        <v>0.77281433084479567</v>
      </c>
      <c r="G630" s="67">
        <f>E630/'Lookup Tables'!$C$48</f>
        <v>25.455017485006447</v>
      </c>
      <c r="H630" s="70">
        <f t="shared" si="60"/>
        <v>1.0686751927424428E-2</v>
      </c>
      <c r="I630" s="71">
        <f t="shared" si="64"/>
        <v>3.665522517840928E-2</v>
      </c>
      <c r="L630" s="74"/>
      <c r="M630" s="74"/>
      <c r="N630" s="74"/>
      <c r="O630" s="74"/>
      <c r="P630" s="74"/>
      <c r="Q630" s="74"/>
      <c r="R630" s="74"/>
      <c r="S630" s="74"/>
      <c r="T630" s="74"/>
      <c r="U630" s="74"/>
      <c r="V630" s="74"/>
      <c r="W630" s="74"/>
      <c r="X630" s="74"/>
      <c r="Y630" s="74"/>
      <c r="Z630" s="74"/>
    </row>
    <row r="631" spans="1:26" x14ac:dyDescent="0.3">
      <c r="A631" s="66">
        <f t="shared" si="62"/>
        <v>2052.3999999999432</v>
      </c>
      <c r="B631" s="67">
        <f>LOOKUP(A631+0.01,AmountsB!$A$4:$A$103,AmountsB!$B$4:$B$103)*0.1*$A$2</f>
        <v>0</v>
      </c>
      <c r="C631" s="68">
        <f t="shared" si="61"/>
        <v>625969.29735898925</v>
      </c>
      <c r="D631" s="67">
        <f t="array" ref="D631">SUM($B$7:$B626*$F$1009*EXP(-$F$1009*($A631-$A$7:$A626)))*$F$1010</f>
        <v>6629589.5827559456</v>
      </c>
      <c r="E631" s="67">
        <f t="shared" si="59"/>
        <v>12.638727278952217</v>
      </c>
      <c r="F631" s="70">
        <f t="shared" si="63"/>
        <v>0.76742352037797867</v>
      </c>
      <c r="G631" s="67">
        <f>E631/'Lookup Tables'!$C$48</f>
        <v>25.277454557904434</v>
      </c>
      <c r="H631" s="70">
        <f t="shared" si="60"/>
        <v>1.0612205879496383E-2</v>
      </c>
      <c r="I631" s="71">
        <f t="shared" si="64"/>
        <v>3.6399534563382387E-2</v>
      </c>
      <c r="L631" s="74"/>
      <c r="M631" s="74"/>
      <c r="N631" s="74"/>
      <c r="O631" s="74"/>
      <c r="P631" s="74"/>
      <c r="Q631" s="74"/>
      <c r="R631" s="74"/>
      <c r="S631" s="74"/>
      <c r="T631" s="74"/>
      <c r="U631" s="74"/>
      <c r="V631" s="74"/>
      <c r="W631" s="74"/>
      <c r="X631" s="74"/>
      <c r="Y631" s="74"/>
      <c r="Z631" s="74"/>
    </row>
    <row r="632" spans="1:26" x14ac:dyDescent="0.3">
      <c r="A632" s="66">
        <f t="shared" si="62"/>
        <v>2052.4999999999432</v>
      </c>
      <c r="B632" s="67">
        <f>LOOKUP(A632+0.01,AmountsB!$A$4:$A$103,AmountsB!$B$4:$B$103)*0.1*$A$2</f>
        <v>0</v>
      </c>
      <c r="C632" s="68">
        <f t="shared" si="61"/>
        <v>625969.29735898925</v>
      </c>
      <c r="D632" s="67">
        <f t="array" ref="D632">SUM($B$7:$B627*$F$1009*EXP(-$F$1009*($A632-$A$7:$A627)))*$F$1010</f>
        <v>6583344.5022922456</v>
      </c>
      <c r="E632" s="67">
        <f t="shared" si="59"/>
        <v>12.550565115566693</v>
      </c>
      <c r="F632" s="70">
        <f t="shared" si="63"/>
        <v>0.76207031381720969</v>
      </c>
      <c r="G632" s="67">
        <f>E632/'Lookup Tables'!$C$48</f>
        <v>25.101130231133386</v>
      </c>
      <c r="H632" s="70">
        <f t="shared" si="60"/>
        <v>1.053817983177977E-2</v>
      </c>
      <c r="I632" s="71">
        <f t="shared" si="64"/>
        <v>3.6145627532832077E-2</v>
      </c>
      <c r="L632" s="74"/>
      <c r="M632" s="74"/>
      <c r="N632" s="74"/>
      <c r="O632" s="74"/>
      <c r="P632" s="74"/>
      <c r="Q632" s="74"/>
      <c r="R632" s="74"/>
      <c r="S632" s="74"/>
      <c r="T632" s="74"/>
      <c r="U632" s="74"/>
      <c r="V632" s="74"/>
      <c r="W632" s="74"/>
      <c r="X632" s="74"/>
      <c r="Y632" s="74"/>
      <c r="Z632" s="74"/>
    </row>
    <row r="633" spans="1:26" x14ac:dyDescent="0.3">
      <c r="A633" s="66">
        <f t="shared" si="62"/>
        <v>2052.5999999999431</v>
      </c>
      <c r="B633" s="67">
        <f>LOOKUP(A633+0.01,AmountsB!$A$4:$A$103,AmountsB!$B$4:$B$103)*0.1*$A$2</f>
        <v>0</v>
      </c>
      <c r="C633" s="68">
        <f t="shared" si="61"/>
        <v>625969.29735898925</v>
      </c>
      <c r="D633" s="67">
        <f t="array" ref="D633">SUM($B$7:$B628*$F$1009*EXP(-$F$1009*($A633-$A$7:$A628)))*$F$1010</f>
        <v>6537422.0070263734</v>
      </c>
      <c r="E633" s="67">
        <f t="shared" si="59"/>
        <v>12.463017932382984</v>
      </c>
      <c r="F633" s="70">
        <f t="shared" si="63"/>
        <v>0.75675444885429477</v>
      </c>
      <c r="G633" s="67">
        <f>E633/'Lookup Tables'!$C$48</f>
        <v>24.926035864765968</v>
      </c>
      <c r="H633" s="70">
        <f t="shared" si="60"/>
        <v>1.0464670156983422E-2</v>
      </c>
      <c r="I633" s="71">
        <f t="shared" si="64"/>
        <v>3.5893491645262988E-2</v>
      </c>
      <c r="L633" s="74"/>
      <c r="M633" s="74"/>
      <c r="N633" s="74"/>
      <c r="O633" s="74"/>
      <c r="P633" s="74"/>
      <c r="Q633" s="74"/>
      <c r="R633" s="74"/>
      <c r="S633" s="74"/>
      <c r="T633" s="74"/>
      <c r="U633" s="74"/>
      <c r="V633" s="74"/>
      <c r="W633" s="74"/>
      <c r="X633" s="74"/>
      <c r="Y633" s="74"/>
      <c r="Z633" s="74"/>
    </row>
    <row r="634" spans="1:26" x14ac:dyDescent="0.3">
      <c r="A634" s="66">
        <f t="shared" si="62"/>
        <v>2052.699999999943</v>
      </c>
      <c r="B634" s="67">
        <f>LOOKUP(A634+0.01,AmountsB!$A$4:$A$103,AmountsB!$B$4:$B$103)*0.1*$A$2</f>
        <v>0</v>
      </c>
      <c r="C634" s="68">
        <f t="shared" si="61"/>
        <v>625969.29735898925</v>
      </c>
      <c r="D634" s="67">
        <f t="array" ref="D634">SUM($B$7:$B629*$F$1009*EXP(-$F$1009*($A634-$A$7:$A629)))*$F$1010</f>
        <v>6491819.8467468778</v>
      </c>
      <c r="E634" s="67">
        <f t="shared" si="59"/>
        <v>12.376081439571612</v>
      </c>
      <c r="F634" s="70">
        <f t="shared" si="63"/>
        <v>0.75147566501078833</v>
      </c>
      <c r="G634" s="67">
        <f>E634/'Lookup Tables'!$C$48</f>
        <v>24.752162879143224</v>
      </c>
      <c r="H634" s="70">
        <f t="shared" si="60"/>
        <v>1.039167325311858E-2</v>
      </c>
      <c r="I634" s="71">
        <f t="shared" si="64"/>
        <v>3.5643114545966241E-2</v>
      </c>
      <c r="L634" s="74"/>
      <c r="M634" s="74"/>
      <c r="N634" s="74"/>
      <c r="O634" s="74"/>
      <c r="P634" s="74"/>
      <c r="Q634" s="74"/>
      <c r="R634" s="74"/>
      <c r="S634" s="74"/>
      <c r="T634" s="74"/>
      <c r="U634" s="74"/>
      <c r="V634" s="74"/>
      <c r="W634" s="74"/>
      <c r="X634" s="74"/>
      <c r="Y634" s="74"/>
      <c r="Z634" s="74"/>
    </row>
    <row r="635" spans="1:26" x14ac:dyDescent="0.3">
      <c r="A635" s="66">
        <f t="shared" si="62"/>
        <v>2052.7999999999429</v>
      </c>
      <c r="B635" s="67">
        <f>LOOKUP(A635+0.01,AmountsB!$A$4:$A$103,AmountsB!$B$4:$B$103)*0.1*$A$2</f>
        <v>0</v>
      </c>
      <c r="C635" s="68">
        <f t="shared" si="61"/>
        <v>625969.29735898925</v>
      </c>
      <c r="D635" s="67">
        <f t="array" ref="D635">SUM($B$7:$B630*$F$1009*EXP(-$F$1009*($A635-$A$7:$A630)))*$F$1010</f>
        <v>6446535.7869387809</v>
      </c>
      <c r="E635" s="67">
        <f t="shared" si="59"/>
        <v>12.289751377227033</v>
      </c>
      <c r="F635" s="70">
        <f t="shared" si="63"/>
        <v>0.74623370362522545</v>
      </c>
      <c r="G635" s="67">
        <f>E635/'Lookup Tables'!$C$48</f>
        <v>24.579502754454065</v>
      </c>
      <c r="H635" s="70">
        <f t="shared" si="60"/>
        <v>1.0319185543322345E-2</v>
      </c>
      <c r="I635" s="71">
        <f t="shared" si="64"/>
        <v>3.5394483966413856E-2</v>
      </c>
      <c r="L635" s="74"/>
      <c r="M635" s="74"/>
      <c r="N635" s="74"/>
      <c r="O635" s="74"/>
      <c r="P635" s="74"/>
      <c r="Q635" s="74"/>
      <c r="R635" s="74"/>
      <c r="S635" s="74"/>
      <c r="T635" s="74"/>
      <c r="U635" s="74"/>
      <c r="V635" s="74"/>
      <c r="W635" s="74"/>
      <c r="X635" s="74"/>
      <c r="Y635" s="74"/>
      <c r="Z635" s="74"/>
    </row>
    <row r="636" spans="1:26" x14ac:dyDescent="0.3">
      <c r="A636" s="66">
        <f t="shared" si="62"/>
        <v>2052.8999999999428</v>
      </c>
      <c r="B636" s="67">
        <f>LOOKUP(A636+0.01,AmountsB!$A$4:$A$103,AmountsB!$B$4:$B$103)*0.1*$A$2</f>
        <v>0</v>
      </c>
      <c r="C636" s="68">
        <f t="shared" si="61"/>
        <v>625969.29735898925</v>
      </c>
      <c r="D636" s="67">
        <f t="array" ref="D636">SUM($B$7:$B631*$F$1009*EXP(-$F$1009*($A636-$A$7:$A631)))*$F$1010</f>
        <v>6401567.6086740885</v>
      </c>
      <c r="E636" s="67">
        <f t="shared" si="59"/>
        <v>12.20402351515891</v>
      </c>
      <c r="F636" s="70">
        <f t="shared" si="63"/>
        <v>0.74102830784044904</v>
      </c>
      <c r="G636" s="67">
        <f>E636/'Lookup Tables'!$C$48</f>
        <v>24.408047030317821</v>
      </c>
      <c r="H636" s="70">
        <f t="shared" si="60"/>
        <v>1.0247203475682431E-2</v>
      </c>
      <c r="I636" s="71">
        <f t="shared" si="64"/>
        <v>3.5147587723657663E-2</v>
      </c>
      <c r="L636" s="74"/>
      <c r="M636" s="74"/>
      <c r="N636" s="74"/>
      <c r="O636" s="74"/>
      <c r="P636" s="74"/>
      <c r="Q636" s="74"/>
      <c r="R636" s="74"/>
      <c r="S636" s="74"/>
      <c r="T636" s="74"/>
      <c r="U636" s="74"/>
      <c r="V636" s="74"/>
      <c r="W636" s="74"/>
      <c r="X636" s="74"/>
      <c r="Y636" s="74"/>
      <c r="Z636" s="74"/>
    </row>
    <row r="637" spans="1:26" x14ac:dyDescent="0.3">
      <c r="A637" s="66">
        <f t="shared" si="62"/>
        <v>2052.9999999999427</v>
      </c>
      <c r="B637" s="67">
        <f>LOOKUP(A637+0.01,AmountsB!$A$4:$A$103,AmountsB!$B$4:$B$103)*0.1*$A$2</f>
        <v>0</v>
      </c>
      <c r="C637" s="68">
        <f t="shared" si="61"/>
        <v>625969.29735898925</v>
      </c>
      <c r="D637" s="67">
        <f t="array" ref="D637">SUM($B$7:$B632*$F$1009*EXP(-$F$1009*($A637-$A$7:$A632)))*$F$1010</f>
        <v>6356913.1085030688</v>
      </c>
      <c r="E637" s="67">
        <f t="shared" si="59"/>
        <v>12.118893652684855</v>
      </c>
      <c r="F637" s="70">
        <f t="shared" si="63"/>
        <v>0.73585922259102443</v>
      </c>
      <c r="G637" s="67">
        <f>E637/'Lookup Tables'!$C$48</f>
        <v>24.237787305369711</v>
      </c>
      <c r="H637" s="70">
        <f t="shared" si="60"/>
        <v>1.0175723523063122E-2</v>
      </c>
      <c r="I637" s="71">
        <f t="shared" si="64"/>
        <v>3.4902413719732385E-2</v>
      </c>
      <c r="L637" s="74"/>
      <c r="M637" s="74"/>
      <c r="N637" s="74"/>
      <c r="O637" s="74"/>
      <c r="P637" s="74"/>
      <c r="Q637" s="74"/>
      <c r="R637" s="74"/>
      <c r="S637" s="74"/>
      <c r="T637" s="74"/>
      <c r="U637" s="74"/>
      <c r="V637" s="74"/>
      <c r="W637" s="74"/>
      <c r="X637" s="74"/>
      <c r="Y637" s="74"/>
      <c r="Z637" s="74"/>
    </row>
    <row r="638" spans="1:26" x14ac:dyDescent="0.3">
      <c r="A638" s="66">
        <f t="shared" si="62"/>
        <v>2053.0999999999426</v>
      </c>
      <c r="B638" s="67">
        <f>LOOKUP(A638+0.01,AmountsB!$A$4:$A$103,AmountsB!$B$4:$B$103)*0.1*$A$2</f>
        <v>0</v>
      </c>
      <c r="C638" s="68">
        <f t="shared" si="61"/>
        <v>625969.29735898925</v>
      </c>
      <c r="D638" s="67">
        <f t="array" ref="D638">SUM($B$7:$B633*$F$1009*EXP(-$F$1009*($A638-$A$7:$A633)))*$F$1010</f>
        <v>6312570.0983462799</v>
      </c>
      <c r="E638" s="67">
        <f t="shared" si="59"/>
        <v>12.034357618424574</v>
      </c>
      <c r="F638" s="70">
        <f t="shared" si="63"/>
        <v>0.73072619459074017</v>
      </c>
      <c r="G638" s="67">
        <f>E638/'Lookup Tables'!$C$48</f>
        <v>24.068715236849147</v>
      </c>
      <c r="H638" s="70">
        <f t="shared" si="60"/>
        <v>1.0104742182932436E-2</v>
      </c>
      <c r="I638" s="71">
        <f t="shared" si="64"/>
        <v>3.4658949941062778E-2</v>
      </c>
      <c r="L638" s="74"/>
      <c r="M638" s="74"/>
      <c r="N638" s="74"/>
      <c r="O638" s="74"/>
      <c r="P638" s="74"/>
      <c r="Q638" s="74"/>
      <c r="R638" s="74"/>
      <c r="S638" s="74"/>
      <c r="T638" s="74"/>
      <c r="U638" s="74"/>
      <c r="V638" s="74"/>
      <c r="W638" s="74"/>
      <c r="X638" s="74"/>
      <c r="Y638" s="74"/>
      <c r="Z638" s="74"/>
    </row>
    <row r="639" spans="1:26" x14ac:dyDescent="0.3">
      <c r="A639" s="66">
        <f t="shared" si="62"/>
        <v>2053.1999999999425</v>
      </c>
      <c r="B639" s="67">
        <f>LOOKUP(A639+0.01,AmountsB!$A$4:$A$103,AmountsB!$B$4:$B$103)*0.1*$A$2</f>
        <v>0</v>
      </c>
      <c r="C639" s="68">
        <f t="shared" si="61"/>
        <v>625969.29735898925</v>
      </c>
      <c r="D639" s="67">
        <f t="array" ref="D639">SUM($B$7:$B634*$F$1009*EXP(-$F$1009*($A639-$A$7:$A634)))*$F$1010</f>
        <v>6268536.4053873504</v>
      </c>
      <c r="E639" s="67">
        <f t="shared" si="59"/>
        <v>11.950411270095472</v>
      </c>
      <c r="F639" s="70">
        <f t="shared" si="63"/>
        <v>0.72562897232019719</v>
      </c>
      <c r="G639" s="67">
        <f>E639/'Lookup Tables'!$C$48</f>
        <v>23.900822540190944</v>
      </c>
      <c r="H639" s="70">
        <f t="shared" si="60"/>
        <v>1.0034255977190506E-2</v>
      </c>
      <c r="I639" s="71">
        <f t="shared" si="64"/>
        <v>3.4417184457874957E-2</v>
      </c>
      <c r="L639" s="74"/>
      <c r="M639" s="74"/>
      <c r="N639" s="74"/>
      <c r="O639" s="74"/>
      <c r="P639" s="74"/>
      <c r="Q639" s="74"/>
      <c r="R639" s="74"/>
      <c r="S639" s="74"/>
      <c r="T639" s="74"/>
      <c r="U639" s="74"/>
      <c r="V639" s="74"/>
      <c r="W639" s="74"/>
      <c r="X639" s="74"/>
      <c r="Y639" s="74"/>
      <c r="Z639" s="74"/>
    </row>
    <row r="640" spans="1:26" x14ac:dyDescent="0.3">
      <c r="A640" s="66">
        <f t="shared" si="62"/>
        <v>2053.2999999999424</v>
      </c>
      <c r="B640" s="67">
        <f>LOOKUP(A640+0.01,AmountsB!$A$4:$A$103,AmountsB!$B$4:$B$103)*0.1*$A$2</f>
        <v>0</v>
      </c>
      <c r="C640" s="68">
        <f t="shared" si="61"/>
        <v>625969.29735898925</v>
      </c>
      <c r="D640" s="67">
        <f t="array" ref="D640">SUM($B$7:$B635*$F$1009*EXP(-$F$1009*($A640-$A$7:$A635)))*$F$1010</f>
        <v>6224809.8719665185</v>
      </c>
      <c r="E640" s="67">
        <f t="shared" si="59"/>
        <v>11.867050494309687</v>
      </c>
      <c r="F640" s="70">
        <f t="shared" si="63"/>
        <v>0.72056730601448415</v>
      </c>
      <c r="G640" s="67">
        <f>E640/'Lookup Tables'!$C$48</f>
        <v>23.734100988619375</v>
      </c>
      <c r="H640" s="70">
        <f t="shared" si="60"/>
        <v>9.9642614519991502E-3</v>
      </c>
      <c r="I640" s="71">
        <f t="shared" si="64"/>
        <v>3.4177105423611895E-2</v>
      </c>
      <c r="L640" s="74"/>
      <c r="M640" s="74"/>
      <c r="N640" s="74"/>
      <c r="O640" s="74"/>
      <c r="P640" s="74"/>
      <c r="Q640" s="74"/>
      <c r="R640" s="74"/>
      <c r="S640" s="74"/>
      <c r="T640" s="74"/>
      <c r="U640" s="74"/>
      <c r="V640" s="74"/>
      <c r="W640" s="74"/>
      <c r="X640" s="74"/>
      <c r="Y640" s="74"/>
      <c r="Z640" s="74"/>
    </row>
    <row r="641" spans="1:26" x14ac:dyDescent="0.3">
      <c r="A641" s="66">
        <f t="shared" si="62"/>
        <v>2053.3999999999423</v>
      </c>
      <c r="B641" s="67">
        <f>LOOKUP(A641+0.01,AmountsB!$A$4:$A$103,AmountsB!$B$4:$B$103)*0.1*$A$2</f>
        <v>0</v>
      </c>
      <c r="C641" s="68">
        <f t="shared" si="61"/>
        <v>625969.29735898925</v>
      </c>
      <c r="D641" s="67">
        <f t="array" ref="D641">SUM($B$7:$B636*$F$1009*EXP(-$F$1009*($A641-$A$7:$A636)))*$F$1010</f>
        <v>6181388.3554748949</v>
      </c>
      <c r="E641" s="67">
        <f t="shared" si="59"/>
        <v>11.784271206372525</v>
      </c>
      <c r="F641" s="70">
        <f t="shared" si="63"/>
        <v>0.71554094765093967</v>
      </c>
      <c r="G641" s="67">
        <f>E641/'Lookup Tables'!$C$48</f>
        <v>23.56854241274505</v>
      </c>
      <c r="H641" s="70">
        <f t="shared" si="60"/>
        <v>9.8947551776126311E-3</v>
      </c>
      <c r="I641" s="71">
        <f t="shared" si="64"/>
        <v>3.3938701074352873E-2</v>
      </c>
      <c r="L641" s="74"/>
      <c r="M641" s="74"/>
      <c r="N641" s="74"/>
      <c r="O641" s="74"/>
      <c r="P641" s="74"/>
      <c r="Q641" s="74"/>
      <c r="R641" s="74"/>
      <c r="S641" s="74"/>
      <c r="T641" s="74"/>
      <c r="U641" s="74"/>
      <c r="V641" s="74"/>
      <c r="W641" s="74"/>
      <c r="X641" s="74"/>
      <c r="Y641" s="74"/>
      <c r="Z641" s="74"/>
    </row>
    <row r="642" spans="1:26" x14ac:dyDescent="0.3">
      <c r="A642" s="66">
        <f t="shared" si="62"/>
        <v>2053.4999999999422</v>
      </c>
      <c r="B642" s="67">
        <f>LOOKUP(A642+0.01,AmountsB!$A$4:$A$103,AmountsB!$B$4:$B$103)*0.1*$A$2</f>
        <v>0</v>
      </c>
      <c r="C642" s="68">
        <f t="shared" si="61"/>
        <v>625969.29735898925</v>
      </c>
      <c r="D642" s="67">
        <f t="array" ref="D642">SUM($B$7:$B637*$F$1009*EXP(-$F$1009*($A642-$A$7:$A637)))*$F$1010</f>
        <v>6138269.7282494809</v>
      </c>
      <c r="E642" s="67">
        <f t="shared" si="59"/>
        <v>11.70206935008231</v>
      </c>
      <c r="F642" s="70">
        <f t="shared" si="63"/>
        <v>0.71054965093699785</v>
      </c>
      <c r="G642" s="67">
        <f>E642/'Lookup Tables'!$C$48</f>
        <v>23.404138700164619</v>
      </c>
      <c r="H642" s="70">
        <f t="shared" si="60"/>
        <v>9.825733748209586E-3</v>
      </c>
      <c r="I642" s="71">
        <f t="shared" si="64"/>
        <v>3.3701959728237051E-2</v>
      </c>
      <c r="L642" s="74"/>
      <c r="M642" s="74"/>
      <c r="N642" s="74"/>
      <c r="O642" s="74"/>
      <c r="P642" s="74"/>
      <c r="Q642" s="74"/>
      <c r="R642" s="74"/>
      <c r="S642" s="74"/>
      <c r="T642" s="74"/>
      <c r="U642" s="74"/>
      <c r="V642" s="74"/>
      <c r="W642" s="74"/>
      <c r="X642" s="74"/>
      <c r="Y642" s="74"/>
      <c r="Z642" s="74"/>
    </row>
    <row r="643" spans="1:26" x14ac:dyDescent="0.3">
      <c r="A643" s="66">
        <f t="shared" si="62"/>
        <v>2053.5999999999422</v>
      </c>
      <c r="B643" s="67">
        <f>LOOKUP(A643+0.01,AmountsB!$A$4:$A$103,AmountsB!$B$4:$B$103)*0.1*$A$2</f>
        <v>0</v>
      </c>
      <c r="C643" s="68">
        <f t="shared" si="61"/>
        <v>625969.29735898925</v>
      </c>
      <c r="D643" s="67">
        <f t="array" ref="D643">SUM($B$7:$B638*$F$1009*EXP(-$F$1009*($A643-$A$7:$A638)))*$F$1010</f>
        <v>6095451.8774689212</v>
      </c>
      <c r="E643" s="67">
        <f t="shared" si="59"/>
        <v>11.620440897531648</v>
      </c>
      <c r="F643" s="70">
        <f t="shared" si="63"/>
        <v>0.70559317129812171</v>
      </c>
      <c r="G643" s="67">
        <f>E643/'Lookup Tables'!$C$48</f>
        <v>23.240881795063295</v>
      </c>
      <c r="H643" s="70">
        <f t="shared" si="60"/>
        <v>9.7571937817261777E-3</v>
      </c>
      <c r="I643" s="71">
        <f t="shared" si="64"/>
        <v>3.3466869784891148E-2</v>
      </c>
      <c r="L643" s="74"/>
      <c r="M643" s="74"/>
      <c r="N643" s="74"/>
      <c r="O643" s="74"/>
      <c r="P643" s="74"/>
      <c r="Q643" s="74"/>
      <c r="R643" s="74"/>
      <c r="S643" s="74"/>
      <c r="T643" s="74"/>
      <c r="U643" s="74"/>
      <c r="V643" s="74"/>
      <c r="W643" s="74"/>
      <c r="X643" s="74"/>
      <c r="Y643" s="74"/>
      <c r="Z643" s="74"/>
    </row>
    <row r="644" spans="1:26" x14ac:dyDescent="0.3">
      <c r="A644" s="66">
        <f t="shared" si="62"/>
        <v>2053.6999999999421</v>
      </c>
      <c r="B644" s="67">
        <f>LOOKUP(A644+0.01,AmountsB!$A$4:$A$103,AmountsB!$B$4:$B$103)*0.1*$A$2</f>
        <v>0</v>
      </c>
      <c r="C644" s="68">
        <f t="shared" si="61"/>
        <v>625969.29735898925</v>
      </c>
      <c r="D644" s="67">
        <f t="array" ref="D644">SUM($B$7:$B639*$F$1009*EXP(-$F$1009*($A644-$A$7:$A639)))*$F$1010</f>
        <v>6052932.7050499562</v>
      </c>
      <c r="E644" s="67">
        <f t="shared" si="59"/>
        <v>11.53938184891002</v>
      </c>
      <c r="F644" s="70">
        <f t="shared" si="63"/>
        <v>0.70067126586581652</v>
      </c>
      <c r="G644" s="67">
        <f>E644/'Lookup Tables'!$C$48</f>
        <v>23.07876369782004</v>
      </c>
      <c r="H644" s="70">
        <f t="shared" si="60"/>
        <v>9.6891319196903258E-3</v>
      </c>
      <c r="I644" s="71">
        <f t="shared" si="64"/>
        <v>3.3233419724860859E-2</v>
      </c>
      <c r="L644" s="74"/>
      <c r="M644" s="74"/>
      <c r="N644" s="74"/>
      <c r="O644" s="74"/>
      <c r="P644" s="74"/>
      <c r="Q644" s="74"/>
      <c r="R644" s="74"/>
      <c r="S644" s="74"/>
      <c r="T644" s="74"/>
      <c r="U644" s="74"/>
      <c r="V644" s="74"/>
      <c r="W644" s="74"/>
      <c r="X644" s="74"/>
      <c r="Y644" s="74"/>
      <c r="Z644" s="74"/>
    </row>
    <row r="645" spans="1:26" x14ac:dyDescent="0.3">
      <c r="A645" s="66">
        <f t="shared" si="62"/>
        <v>2053.799999999942</v>
      </c>
      <c r="B645" s="67">
        <f>LOOKUP(A645+0.01,AmountsB!$A$4:$A$103,AmountsB!$B$4:$B$103)*0.1*$A$2</f>
        <v>0</v>
      </c>
      <c r="C645" s="68">
        <f t="shared" si="61"/>
        <v>625969.29735898925</v>
      </c>
      <c r="D645" s="67">
        <f t="array" ref="D645">SUM($B$7:$B640*$F$1009*EXP(-$F$1009*($A645-$A$7:$A640)))*$F$1010</f>
        <v>6010710.1275446322</v>
      </c>
      <c r="E645" s="67">
        <f t="shared" si="59"/>
        <v>11.458888232307833</v>
      </c>
      <c r="F645" s="70">
        <f t="shared" si="63"/>
        <v>0.69578369346573166</v>
      </c>
      <c r="G645" s="67">
        <f>E645/'Lookup Tables'!$C$48</f>
        <v>22.917776464615667</v>
      </c>
      <c r="H645" s="70">
        <f t="shared" si="60"/>
        <v>9.6215448270571755E-3</v>
      </c>
      <c r="I645" s="71">
        <f t="shared" si="64"/>
        <v>3.3001598109046563E-2</v>
      </c>
      <c r="L645" s="74"/>
      <c r="M645" s="74"/>
      <c r="N645" s="74"/>
      <c r="O645" s="74"/>
      <c r="P645" s="74"/>
      <c r="Q645" s="74"/>
      <c r="R645" s="74"/>
      <c r="S645" s="74"/>
      <c r="T645" s="74"/>
      <c r="U645" s="74"/>
      <c r="V645" s="74"/>
      <c r="W645" s="74"/>
      <c r="X645" s="74"/>
      <c r="Y645" s="74"/>
      <c r="Z645" s="74"/>
    </row>
    <row r="646" spans="1:26" x14ac:dyDescent="0.3">
      <c r="A646" s="66">
        <f t="shared" si="62"/>
        <v>2053.8999999999419</v>
      </c>
      <c r="B646" s="67">
        <f>LOOKUP(A646+0.01,AmountsB!$A$4:$A$103,AmountsB!$B$4:$B$103)*0.1*$A$2</f>
        <v>0</v>
      </c>
      <c r="C646" s="68">
        <f t="shared" si="61"/>
        <v>625969.29735898925</v>
      </c>
      <c r="D646" s="67">
        <f t="array" ref="D646">SUM($B$7:$B641*$F$1009*EXP(-$F$1009*($A646-$A$7:$A641)))*$F$1010</f>
        <v>5968782.0760382004</v>
      </c>
      <c r="E646" s="67">
        <f t="shared" si="59"/>
        <v>11.378956103521761</v>
      </c>
      <c r="F646" s="70">
        <f t="shared" si="63"/>
        <v>0.69093021460584125</v>
      </c>
      <c r="G646" s="67">
        <f>E646/'Lookup Tables'!$C$48</f>
        <v>22.757912207043521</v>
      </c>
      <c r="H646" s="70">
        <f t="shared" si="60"/>
        <v>9.5544291920456603E-3</v>
      </c>
      <c r="I646" s="71">
        <f t="shared" si="64"/>
        <v>3.2771393578142669E-2</v>
      </c>
      <c r="L646" s="74"/>
      <c r="M646" s="74"/>
      <c r="N646" s="74"/>
      <c r="O646" s="74"/>
      <c r="P646" s="74"/>
      <c r="Q646" s="74"/>
      <c r="R646" s="74"/>
      <c r="S646" s="74"/>
      <c r="T646" s="74"/>
      <c r="U646" s="74"/>
      <c r="V646" s="74"/>
      <c r="W646" s="74"/>
      <c r="X646" s="74"/>
      <c r="Y646" s="74"/>
      <c r="Z646" s="74"/>
    </row>
    <row r="647" spans="1:26" x14ac:dyDescent="0.3">
      <c r="A647" s="66">
        <f t="shared" si="62"/>
        <v>2053.9999999999418</v>
      </c>
      <c r="B647" s="67">
        <f>LOOKUP(A647+0.01,AmountsB!$A$4:$A$103,AmountsB!$B$4:$B$103)*0.1*$A$2</f>
        <v>0</v>
      </c>
      <c r="C647" s="68">
        <f t="shared" si="61"/>
        <v>625969.29735898925</v>
      </c>
      <c r="D647" s="67">
        <f t="array" ref="D647">SUM($B$7:$B642*$F$1009*EXP(-$F$1009*($A647-$A$7:$A642)))*$F$1010</f>
        <v>5927146.4960477492</v>
      </c>
      <c r="E647" s="67">
        <f t="shared" ref="E647:E710" si="65">D647/(365*24*60)*1.00201</f>
        <v>11.299581545861502</v>
      </c>
      <c r="F647" s="70">
        <f t="shared" si="63"/>
        <v>0.68611059146471032</v>
      </c>
      <c r="G647" s="67">
        <f>E647/'Lookup Tables'!$C$48</f>
        <v>22.599163091723003</v>
      </c>
      <c r="H647" s="70">
        <f t="shared" ref="H647:H710" si="66">G647*60*24*365/(C647*2000)</f>
        <v>9.4877817259762399E-3</v>
      </c>
      <c r="I647" s="71">
        <f t="shared" si="64"/>
        <v>3.2542794852081121E-2</v>
      </c>
      <c r="L647" s="74"/>
      <c r="M647" s="74"/>
      <c r="N647" s="74"/>
      <c r="O647" s="74"/>
      <c r="P647" s="74"/>
      <c r="Q647" s="74"/>
      <c r="R647" s="74"/>
      <c r="S647" s="74"/>
      <c r="T647" s="74"/>
      <c r="U647" s="74"/>
      <c r="V647" s="74"/>
      <c r="W647" s="74"/>
      <c r="X647" s="74"/>
      <c r="Y647" s="74"/>
      <c r="Z647" s="74"/>
    </row>
    <row r="648" spans="1:26" x14ac:dyDescent="0.3">
      <c r="A648" s="66">
        <f t="shared" si="62"/>
        <v>2054.0999999999417</v>
      </c>
      <c r="B648" s="67">
        <f>LOOKUP(A648+0.01,AmountsB!$A$4:$A$103,AmountsB!$B$4:$B$103)*0.1*$A$2</f>
        <v>0</v>
      </c>
      <c r="C648" s="68">
        <f t="shared" si="61"/>
        <v>625969.29735898925</v>
      </c>
      <c r="D648" s="67">
        <f t="array" ref="D648">SUM($B$7:$B643*$F$1009*EXP(-$F$1009*($A648-$A$7:$A643)))*$F$1010</f>
        <v>5885801.3474215316</v>
      </c>
      <c r="E648" s="67">
        <f t="shared" si="65"/>
        <v>11.220760669957857</v>
      </c>
      <c r="F648" s="70">
        <f t="shared" si="63"/>
        <v>0.68132458787984107</v>
      </c>
      <c r="G648" s="67">
        <f>E648/'Lookup Tables'!$C$48</f>
        <v>22.441521339915713</v>
      </c>
      <c r="H648" s="70">
        <f t="shared" si="66"/>
        <v>9.4215991631097472E-3</v>
      </c>
      <c r="I648" s="71">
        <f t="shared" si="64"/>
        <v>3.2315790729478627E-2</v>
      </c>
      <c r="L648" s="74"/>
      <c r="M648" s="74"/>
      <c r="N648" s="74"/>
      <c r="O648" s="74"/>
      <c r="P648" s="74"/>
      <c r="Q648" s="74"/>
      <c r="R648" s="74"/>
      <c r="S648" s="74"/>
      <c r="T648" s="74"/>
      <c r="U648" s="74"/>
      <c r="V648" s="74"/>
      <c r="W648" s="74"/>
      <c r="X648" s="74"/>
      <c r="Y648" s="74"/>
      <c r="Z648" s="74"/>
    </row>
    <row r="649" spans="1:26" x14ac:dyDescent="0.3">
      <c r="A649" s="66">
        <f t="shared" si="62"/>
        <v>2054.1999999999416</v>
      </c>
      <c r="B649" s="67">
        <f>LOOKUP(A649+0.01,AmountsB!$A$4:$A$103,AmountsB!$B$4:$B$103)*0.1*$A$2</f>
        <v>0</v>
      </c>
      <c r="C649" s="68">
        <f t="shared" ref="C649:C712" si="67">C648+B649</f>
        <v>625969.29735898925</v>
      </c>
      <c r="D649" s="67">
        <f t="array" ref="D649">SUM($B$7:$B644*$F$1009*EXP(-$F$1009*($A649-$A$7:$A644)))*$F$1010</f>
        <v>5844744.6042389888</v>
      </c>
      <c r="E649" s="67">
        <f t="shared" si="65"/>
        <v>11.142489613572126</v>
      </c>
      <c r="F649" s="70">
        <f t="shared" si="63"/>
        <v>0.67657196933609942</v>
      </c>
      <c r="G649" s="67">
        <f>E649/'Lookup Tables'!$C$48</f>
        <v>22.284979227144252</v>
      </c>
      <c r="H649" s="70">
        <f t="shared" si="66"/>
        <v>9.3558782604873502E-3</v>
      </c>
      <c r="I649" s="71">
        <f t="shared" si="64"/>
        <v>3.2090370087087719E-2</v>
      </c>
      <c r="L649" s="74"/>
      <c r="M649" s="74"/>
      <c r="N649" s="74"/>
      <c r="O649" s="74"/>
      <c r="P649" s="74"/>
      <c r="Q649" s="74"/>
      <c r="R649" s="74"/>
      <c r="S649" s="74"/>
      <c r="T649" s="74"/>
      <c r="U649" s="74"/>
      <c r="V649" s="74"/>
      <c r="W649" s="74"/>
      <c r="X649" s="74"/>
      <c r="Y649" s="74"/>
      <c r="Z649" s="74"/>
    </row>
    <row r="650" spans="1:26" x14ac:dyDescent="0.3">
      <c r="A650" s="66">
        <f t="shared" si="62"/>
        <v>2054.2999999999415</v>
      </c>
      <c r="B650" s="67">
        <f>LOOKUP(A650+0.01,AmountsB!$A$4:$A$103,AmountsB!$B$4:$B$103)*0.1*$A$2</f>
        <v>0</v>
      </c>
      <c r="C650" s="68">
        <f t="shared" si="67"/>
        <v>625969.29735898925</v>
      </c>
      <c r="D650" s="67">
        <f t="array" ref="D650">SUM($B$7:$B645*$F$1009*EXP(-$F$1009*($A650-$A$7:$A645)))*$F$1010</f>
        <v>5803974.2547114892</v>
      </c>
      <c r="E650" s="67">
        <f t="shared" si="65"/>
        <v>11.064764541406886</v>
      </c>
      <c r="F650" s="70">
        <f t="shared" si="63"/>
        <v>0.67185250295422605</v>
      </c>
      <c r="G650" s="67">
        <f>E650/'Lookup Tables'!$C$48</f>
        <v>22.129529082813772</v>
      </c>
      <c r="H650" s="70">
        <f t="shared" si="66"/>
        <v>9.2906157977716737E-3</v>
      </c>
      <c r="I650" s="71">
        <f t="shared" si="64"/>
        <v>3.1866521879251833E-2</v>
      </c>
      <c r="L650" s="74"/>
      <c r="M650" s="74"/>
      <c r="N650" s="74"/>
      <c r="O650" s="74"/>
      <c r="P650" s="74"/>
      <c r="Q650" s="74"/>
      <c r="R650" s="74"/>
      <c r="S650" s="74"/>
      <c r="T650" s="74"/>
      <c r="U650" s="74"/>
      <c r="V650" s="74"/>
      <c r="W650" s="74"/>
      <c r="X650" s="74"/>
      <c r="Y650" s="74"/>
      <c r="Z650" s="74"/>
    </row>
    <row r="651" spans="1:26" x14ac:dyDescent="0.3">
      <c r="A651" s="66">
        <f t="shared" si="62"/>
        <v>2054.3999999999414</v>
      </c>
      <c r="B651" s="67">
        <f>LOOKUP(A651+0.01,AmountsB!$A$4:$A$103,AmountsB!$B$4:$B$103)*0.1*$A$2</f>
        <v>0</v>
      </c>
      <c r="C651" s="68">
        <f t="shared" si="67"/>
        <v>625969.29735898925</v>
      </c>
      <c r="D651" s="67">
        <f t="array" ref="D651">SUM($B$7:$B646*$F$1009*EXP(-$F$1009*($A651-$A$7:$A646)))*$F$1010</f>
        <v>5763488.301083752</v>
      </c>
      <c r="E651" s="67">
        <f t="shared" si="65"/>
        <v>10.987581644918057</v>
      </c>
      <c r="F651" s="70">
        <f t="shared" si="63"/>
        <v>0.66716595747942442</v>
      </c>
      <c r="G651" s="67">
        <f>E651/'Lookup Tables'!$C$48</f>
        <v>21.975163289836114</v>
      </c>
      <c r="H651" s="70">
        <f t="shared" si="66"/>
        <v>9.225808577088988E-3</v>
      </c>
      <c r="I651" s="71">
        <f t="shared" si="64"/>
        <v>3.1644235137364002E-2</v>
      </c>
      <c r="L651" s="74"/>
      <c r="M651" s="74"/>
      <c r="N651" s="74"/>
      <c r="O651" s="74"/>
      <c r="P651" s="74"/>
      <c r="Q651" s="74"/>
      <c r="R651" s="74"/>
      <c r="S651" s="74"/>
      <c r="T651" s="74"/>
      <c r="U651" s="74"/>
      <c r="V651" s="74"/>
      <c r="W651" s="74"/>
      <c r="X651" s="74"/>
      <c r="Y651" s="74"/>
      <c r="Z651" s="74"/>
    </row>
    <row r="652" spans="1:26" x14ac:dyDescent="0.3">
      <c r="A652" s="66">
        <f t="shared" si="62"/>
        <v>2054.4999999999413</v>
      </c>
      <c r="B652" s="67">
        <f>LOOKUP(A652+0.01,AmountsB!$A$4:$A$103,AmountsB!$B$4:$B$103)*0.1*$A$2</f>
        <v>0</v>
      </c>
      <c r="C652" s="68">
        <f t="shared" si="67"/>
        <v>625969.29735898925</v>
      </c>
      <c r="D652" s="67">
        <f t="array" ref="D652">SUM($B$7:$B647*$F$1009*EXP(-$F$1009*($A652-$A$7:$A647)))*$F$1010</f>
        <v>5723284.7595359469</v>
      </c>
      <c r="E652" s="67">
        <f t="shared" si="65"/>
        <v>10.910937142128262</v>
      </c>
      <c r="F652" s="70">
        <f t="shared" si="63"/>
        <v>0.66251210327002807</v>
      </c>
      <c r="G652" s="67">
        <f>E652/'Lookup Tables'!$C$48</f>
        <v>21.821874284256523</v>
      </c>
      <c r="H652" s="70">
        <f t="shared" si="66"/>
        <v>9.161453422872513E-3</v>
      </c>
      <c r="I652" s="71">
        <f t="shared" si="64"/>
        <v>3.1423498969329396E-2</v>
      </c>
      <c r="L652" s="74"/>
      <c r="M652" s="74"/>
      <c r="N652" s="74"/>
      <c r="O652" s="74"/>
      <c r="P652" s="74"/>
      <c r="Q652" s="74"/>
      <c r="R652" s="74"/>
      <c r="S652" s="74"/>
      <c r="T652" s="74"/>
      <c r="U652" s="74"/>
      <c r="V652" s="74"/>
      <c r="W652" s="74"/>
      <c r="X652" s="74"/>
      <c r="Y652" s="74"/>
      <c r="Z652" s="74"/>
    </row>
    <row r="653" spans="1:26" x14ac:dyDescent="0.3">
      <c r="A653" s="66">
        <f t="shared" si="62"/>
        <v>2054.5999999999412</v>
      </c>
      <c r="B653" s="67">
        <f>LOOKUP(A653+0.01,AmountsB!$A$4:$A$103,AmountsB!$B$4:$B$103)*0.1*$A$2</f>
        <v>0</v>
      </c>
      <c r="C653" s="68">
        <f t="shared" si="67"/>
        <v>625969.29735898925</v>
      </c>
      <c r="D653" s="67">
        <f t="array" ref="D653">SUM($B$7:$B648*$F$1009*EXP(-$F$1009*($A653-$A$7:$A648)))*$F$1010</f>
        <v>5683361.660086493</v>
      </c>
      <c r="E653" s="67">
        <f t="shared" si="65"/>
        <v>10.834827277441528</v>
      </c>
      <c r="F653" s="70">
        <f t="shared" si="63"/>
        <v>0.65789071228624962</v>
      </c>
      <c r="G653" s="67">
        <f>E653/'Lookup Tables'!$C$48</f>
        <v>21.669654554883056</v>
      </c>
      <c r="H653" s="70">
        <f t="shared" si="66"/>
        <v>9.0975471817068138E-3</v>
      </c>
      <c r="I653" s="71">
        <f t="shared" si="64"/>
        <v>3.1204302559031602E-2</v>
      </c>
      <c r="L653" s="74"/>
      <c r="M653" s="74"/>
      <c r="N653" s="74"/>
      <c r="O653" s="74"/>
      <c r="P653" s="74"/>
      <c r="Q653" s="74"/>
      <c r="R653" s="74"/>
      <c r="S653" s="74"/>
      <c r="T653" s="74"/>
      <c r="U653" s="74"/>
      <c r="V653" s="74"/>
      <c r="W653" s="74"/>
      <c r="X653" s="74"/>
      <c r="Y653" s="74"/>
      <c r="Z653" s="74"/>
    </row>
    <row r="654" spans="1:26" x14ac:dyDescent="0.3">
      <c r="A654" s="66">
        <f t="shared" si="62"/>
        <v>2054.6999999999412</v>
      </c>
      <c r="B654" s="67">
        <f>LOOKUP(A654+0.01,AmountsB!$A$4:$A$103,AmountsB!$B$4:$B$103)*0.1*$A$2</f>
        <v>0</v>
      </c>
      <c r="C654" s="68">
        <f t="shared" si="67"/>
        <v>625969.29735898925</v>
      </c>
      <c r="D654" s="67">
        <f t="array" ref="D654">SUM($B$7:$B649*$F$1009*EXP(-$F$1009*($A654-$A$7:$A649)))*$F$1010</f>
        <v>5643717.0464955317</v>
      </c>
      <c r="E654" s="67">
        <f t="shared" si="65"/>
        <v>10.759248321459262</v>
      </c>
      <c r="F654" s="70">
        <f t="shared" si="63"/>
        <v>0.65330155807900636</v>
      </c>
      <c r="G654" s="67">
        <f>E654/'Lookup Tables'!$C$48</f>
        <v>21.518496642918524</v>
      </c>
      <c r="H654" s="70">
        <f t="shared" si="66"/>
        <v>9.0340867221732901E-3</v>
      </c>
      <c r="I654" s="71">
        <f t="shared" si="64"/>
        <v>3.0986635165802676E-2</v>
      </c>
      <c r="L654" s="74"/>
      <c r="M654" s="74"/>
      <c r="N654" s="74"/>
      <c r="O654" s="74"/>
      <c r="P654" s="74"/>
      <c r="Q654" s="74"/>
      <c r="R654" s="74"/>
      <c r="S654" s="74"/>
      <c r="T654" s="74"/>
      <c r="U654" s="74"/>
      <c r="V654" s="74"/>
      <c r="W654" s="74"/>
      <c r="X654" s="74"/>
      <c r="Y654" s="74"/>
      <c r="Z654" s="74"/>
    </row>
    <row r="655" spans="1:26" x14ac:dyDescent="0.3">
      <c r="A655" s="66">
        <f t="shared" si="62"/>
        <v>2054.7999999999411</v>
      </c>
      <c r="B655" s="67">
        <f>LOOKUP(A655+0.01,AmountsB!$A$4:$A$103,AmountsB!$B$4:$B$103)*0.1*$A$2</f>
        <v>0</v>
      </c>
      <c r="C655" s="68">
        <f t="shared" si="67"/>
        <v>625969.29735898925</v>
      </c>
      <c r="D655" s="67">
        <f t="array" ref="D655">SUM($B$7:$B650*$F$1009*EXP(-$F$1009*($A655-$A$7:$A650)))*$F$1010</f>
        <v>5604348.9761690637</v>
      </c>
      <c r="E655" s="67">
        <f t="shared" si="65"/>
        <v>10.684196570797495</v>
      </c>
      <c r="F655" s="70">
        <f t="shared" si="63"/>
        <v>0.64874441577882391</v>
      </c>
      <c r="G655" s="67">
        <f>E655/'Lookup Tables'!$C$48</f>
        <v>21.368393141594989</v>
      </c>
      <c r="H655" s="70">
        <f t="shared" si="66"/>
        <v>8.9710689346967232E-3</v>
      </c>
      <c r="I655" s="71">
        <f t="shared" si="64"/>
        <v>3.0770486123896785E-2</v>
      </c>
      <c r="L655" s="74"/>
      <c r="M655" s="74"/>
      <c r="N655" s="74"/>
      <c r="O655" s="74"/>
      <c r="P655" s="74"/>
      <c r="Q655" s="74"/>
      <c r="R655" s="74"/>
      <c r="S655" s="74"/>
      <c r="T655" s="74"/>
      <c r="U655" s="74"/>
      <c r="V655" s="74"/>
      <c r="W655" s="74"/>
      <c r="X655" s="74"/>
      <c r="Y655" s="74"/>
      <c r="Z655" s="74"/>
    </row>
    <row r="656" spans="1:26" x14ac:dyDescent="0.3">
      <c r="A656" s="66">
        <f t="shared" si="62"/>
        <v>2054.899999999941</v>
      </c>
      <c r="B656" s="67">
        <f>LOOKUP(A656+0.01,AmountsB!$A$4:$A$103,AmountsB!$B$4:$B$103)*0.1*$A$2</f>
        <v>0</v>
      </c>
      <c r="C656" s="68">
        <f t="shared" si="67"/>
        <v>625969.29735898925</v>
      </c>
      <c r="D656" s="67">
        <f t="array" ref="D656">SUM($B$7:$B651*$F$1009*EXP(-$F$1009*($A656-$A$7:$A651)))*$F$1010</f>
        <v>5565255.5200637653</v>
      </c>
      <c r="E656" s="67">
        <f t="shared" si="65"/>
        <v>10.60966834790543</v>
      </c>
      <c r="F656" s="70">
        <f t="shared" si="63"/>
        <v>0.64421906208481772</v>
      </c>
      <c r="G656" s="67">
        <f>E656/'Lookup Tables'!$C$48</f>
        <v>21.21933669581086</v>
      </c>
      <c r="H656" s="70">
        <f t="shared" si="66"/>
        <v>8.90849073139292E-3</v>
      </c>
      <c r="I656" s="71">
        <f t="shared" si="64"/>
        <v>3.055584484196764E-2</v>
      </c>
      <c r="L656" s="74"/>
      <c r="M656" s="74"/>
      <c r="N656" s="74"/>
      <c r="O656" s="74"/>
      <c r="P656" s="74"/>
      <c r="Q656" s="74"/>
      <c r="R656" s="74"/>
      <c r="S656" s="74"/>
      <c r="T656" s="74"/>
      <c r="U656" s="74"/>
      <c r="V656" s="74"/>
      <c r="W656" s="74"/>
      <c r="X656" s="74"/>
      <c r="Y656" s="74"/>
      <c r="Z656" s="74"/>
    </row>
    <row r="657" spans="1:26" x14ac:dyDescent="0.3">
      <c r="A657" s="66">
        <f t="shared" si="62"/>
        <v>2054.9999999999409</v>
      </c>
      <c r="B657" s="67">
        <f>LOOKUP(A657+0.01,AmountsB!$A$4:$A$103,AmountsB!$B$4:$B$103)*0.1*$A$2</f>
        <v>0</v>
      </c>
      <c r="C657" s="68">
        <f t="shared" si="67"/>
        <v>625969.29735898925</v>
      </c>
      <c r="D657" s="67">
        <f t="array" ref="D657">SUM($B$7:$B652*$F$1009*EXP(-$F$1009*($A657-$A$7:$A652)))*$F$1010</f>
        <v>5526434.7625924684</v>
      </c>
      <c r="E657" s="67">
        <f t="shared" si="65"/>
        <v>10.535660000885235</v>
      </c>
      <c r="F657" s="70">
        <f t="shared" si="63"/>
        <v>0.63972527525375156</v>
      </c>
      <c r="G657" s="67">
        <f>E657/'Lookup Tables'!$C$48</f>
        <v>21.07132000177047</v>
      </c>
      <c r="H657" s="70">
        <f t="shared" si="66"/>
        <v>8.8463490459174E-3</v>
      </c>
      <c r="I657" s="71">
        <f t="shared" si="64"/>
        <v>3.0342700802549478E-2</v>
      </c>
      <c r="L657" s="74"/>
      <c r="M657" s="74"/>
      <c r="N657" s="74"/>
      <c r="O657" s="74"/>
      <c r="P657" s="74"/>
      <c r="Q657" s="74"/>
      <c r="R657" s="74"/>
      <c r="S657" s="74"/>
      <c r="T657" s="74"/>
      <c r="U657" s="74"/>
      <c r="V657" s="74"/>
      <c r="W657" s="74"/>
      <c r="X657" s="74"/>
      <c r="Y657" s="74"/>
      <c r="Z657" s="74"/>
    </row>
    <row r="658" spans="1:26" x14ac:dyDescent="0.3">
      <c r="A658" s="66">
        <f t="shared" si="62"/>
        <v>2055.0999999999408</v>
      </c>
      <c r="B658" s="67">
        <f>LOOKUP(A658+0.01,AmountsB!$A$4:$A$103,AmountsB!$B$4:$B$103)*0.1*$A$2</f>
        <v>0</v>
      </c>
      <c r="C658" s="68">
        <f t="shared" si="67"/>
        <v>625969.29735898925</v>
      </c>
      <c r="D658" s="67">
        <f t="array" ref="D658">SUM($B$7:$B653*$F$1009*EXP(-$F$1009*($A658-$A$7:$A653)))*$F$1010</f>
        <v>5487884.8015302857</v>
      </c>
      <c r="E658" s="67">
        <f t="shared" si="65"/>
        <v>10.462167903313093</v>
      </c>
      <c r="F658" s="70">
        <f t="shared" si="63"/>
        <v>0.63526283508917103</v>
      </c>
      <c r="G658" s="67">
        <f>E658/'Lookup Tables'!$C$48</f>
        <v>20.924335806626186</v>
      </c>
      <c r="H658" s="70">
        <f t="shared" si="66"/>
        <v>8.7846408333151372E-3</v>
      </c>
      <c r="I658" s="71">
        <f t="shared" si="64"/>
        <v>3.0131043561541709E-2</v>
      </c>
      <c r="L658" s="74"/>
      <c r="M658" s="74"/>
      <c r="N658" s="74"/>
      <c r="O658" s="74"/>
      <c r="P658" s="74"/>
      <c r="Q658" s="74"/>
      <c r="R658" s="74"/>
      <c r="S658" s="74"/>
      <c r="T658" s="74"/>
      <c r="U658" s="74"/>
      <c r="V658" s="74"/>
      <c r="W658" s="74"/>
      <c r="X658" s="74"/>
      <c r="Y658" s="74"/>
      <c r="Z658" s="74"/>
    </row>
    <row r="659" spans="1:26" x14ac:dyDescent="0.3">
      <c r="A659" s="66">
        <f t="shared" ref="A659:A722" si="68">A658+0.1</f>
        <v>2055.1999999999407</v>
      </c>
      <c r="B659" s="67">
        <f>LOOKUP(A659+0.01,AmountsB!$A$4:$A$103,AmountsB!$B$4:$B$103)*0.1*$A$2</f>
        <v>0</v>
      </c>
      <c r="C659" s="68">
        <f t="shared" si="67"/>
        <v>625969.29735898925</v>
      </c>
      <c r="D659" s="67">
        <f t="array" ref="D659">SUM($B$7:$B654*$F$1009*EXP(-$F$1009*($A659-$A$7:$A654)))*$F$1010</f>
        <v>5449603.7479214128</v>
      </c>
      <c r="E659" s="67">
        <f t="shared" si="65"/>
        <v>10.389188454061522</v>
      </c>
      <c r="F659" s="70">
        <f t="shared" ref="F659:F722" si="69">E659*60*1012/1000000</f>
        <v>0.63083152293061562</v>
      </c>
      <c r="G659" s="67">
        <f>E659/'Lookup Tables'!$C$48</f>
        <v>20.778376908123043</v>
      </c>
      <c r="H659" s="70">
        <f t="shared" si="66"/>
        <v>8.723363069871367E-3</v>
      </c>
      <c r="I659" s="71">
        <f t="shared" ref="I659:I722" si="70">G659*60*24/1000000</f>
        <v>2.9920862747697181E-2</v>
      </c>
      <c r="L659" s="74"/>
      <c r="M659" s="74"/>
      <c r="N659" s="74"/>
      <c r="O659" s="74"/>
      <c r="P659" s="74"/>
      <c r="Q659" s="74"/>
      <c r="R659" s="74"/>
      <c r="S659" s="74"/>
      <c r="T659" s="74"/>
      <c r="U659" s="74"/>
      <c r="V659" s="74"/>
      <c r="W659" s="74"/>
      <c r="X659" s="74"/>
      <c r="Y659" s="74"/>
      <c r="Z659" s="74"/>
    </row>
    <row r="660" spans="1:26" x14ac:dyDescent="0.3">
      <c r="A660" s="66">
        <f t="shared" si="68"/>
        <v>2055.2999999999406</v>
      </c>
      <c r="B660" s="67">
        <f>LOOKUP(A660+0.01,AmountsB!$A$4:$A$103,AmountsB!$B$4:$B$103)*0.1*$A$2</f>
        <v>0</v>
      </c>
      <c r="C660" s="68">
        <f t="shared" si="67"/>
        <v>625969.29735898925</v>
      </c>
      <c r="D660" s="67">
        <f t="array" ref="D660">SUM($B$7:$B655*$F$1009*EXP(-$F$1009*($A660-$A$7:$A655)))*$F$1010</f>
        <v>5411589.7259865664</v>
      </c>
      <c r="E660" s="67">
        <f t="shared" si="65"/>
        <v>10.316718077122907</v>
      </c>
      <c r="F660" s="70">
        <f t="shared" si="69"/>
        <v>0.62643112164290282</v>
      </c>
      <c r="G660" s="67">
        <f>E660/'Lookup Tables'!$C$48</f>
        <v>20.633436154245814</v>
      </c>
      <c r="H660" s="70">
        <f t="shared" si="66"/>
        <v>8.6625127529634267E-3</v>
      </c>
      <c r="I660" s="71">
        <f t="shared" si="70"/>
        <v>2.9712148062113971E-2</v>
      </c>
      <c r="L660" s="74"/>
      <c r="M660" s="74"/>
      <c r="N660" s="74"/>
      <c r="O660" s="74"/>
      <c r="P660" s="74"/>
      <c r="Q660" s="74"/>
      <c r="R660" s="74"/>
      <c r="S660" s="74"/>
      <c r="T660" s="74"/>
      <c r="U660" s="74"/>
      <c r="V660" s="74"/>
      <c r="W660" s="74"/>
      <c r="X660" s="74"/>
      <c r="Y660" s="74"/>
      <c r="Z660" s="74"/>
    </row>
    <row r="661" spans="1:26" x14ac:dyDescent="0.3">
      <c r="A661" s="66">
        <f t="shared" si="68"/>
        <v>2055.3999999999405</v>
      </c>
      <c r="B661" s="67">
        <f>LOOKUP(A661+0.01,AmountsB!$A$4:$A$103,AmountsB!$B$4:$B$103)*0.1*$A$2</f>
        <v>0</v>
      </c>
      <c r="C661" s="68">
        <f t="shared" si="67"/>
        <v>625969.29735898925</v>
      </c>
      <c r="D661" s="67">
        <f t="array" ref="D661">SUM($B$7:$B656*$F$1009*EXP(-$F$1009*($A661-$A$7:$A656)))*$F$1010</f>
        <v>5373840.8730310639</v>
      </c>
      <c r="E661" s="67">
        <f t="shared" si="65"/>
        <v>10.244753221434278</v>
      </c>
      <c r="F661" s="70">
        <f t="shared" si="69"/>
        <v>0.62206141560548944</v>
      </c>
      <c r="G661" s="67">
        <f>E661/'Lookup Tables'!$C$48</f>
        <v>20.489506442868556</v>
      </c>
      <c r="H661" s="70">
        <f t="shared" si="66"/>
        <v>8.6020869009136077E-3</v>
      </c>
      <c r="I661" s="71">
        <f t="shared" si="70"/>
        <v>2.950488927773072E-2</v>
      </c>
      <c r="L661" s="74"/>
      <c r="M661" s="74"/>
      <c r="N661" s="74"/>
      <c r="O661" s="74"/>
      <c r="P661" s="74"/>
      <c r="Q661" s="74"/>
      <c r="R661" s="74"/>
      <c r="S661" s="74"/>
      <c r="T661" s="74"/>
      <c r="U661" s="74"/>
      <c r="V661" s="74"/>
      <c r="W661" s="74"/>
      <c r="X661" s="74"/>
      <c r="Y661" s="74"/>
      <c r="Z661" s="74"/>
    </row>
    <row r="662" spans="1:26" x14ac:dyDescent="0.3">
      <c r="A662" s="66">
        <f t="shared" si="68"/>
        <v>2055.4999999999404</v>
      </c>
      <c r="B662" s="67">
        <f>LOOKUP(A662+0.01,AmountsB!$A$4:$A$103,AmountsB!$B$4:$B$103)*0.1*$A$2</f>
        <v>0</v>
      </c>
      <c r="C662" s="68">
        <f t="shared" si="67"/>
        <v>625969.29735898925</v>
      </c>
      <c r="D662" s="67">
        <f t="array" ref="D662">SUM($B$7:$B657*$F$1009*EXP(-$F$1009*($A662-$A$7:$A657)))*$F$1010</f>
        <v>5336355.3393535567</v>
      </c>
      <c r="E662" s="67">
        <f t="shared" si="65"/>
        <v>10.173290360703307</v>
      </c>
      <c r="F662" s="70">
        <f t="shared" si="69"/>
        <v>0.61772219070190482</v>
      </c>
      <c r="G662" s="67">
        <f>E662/'Lookup Tables'!$C$48</f>
        <v>20.346580721406614</v>
      </c>
      <c r="H662" s="70">
        <f t="shared" si="66"/>
        <v>8.5420825528430711E-3</v>
      </c>
      <c r="I662" s="71">
        <f t="shared" si="70"/>
        <v>2.9299076238825526E-2</v>
      </c>
      <c r="L662" s="74"/>
      <c r="M662" s="74"/>
      <c r="N662" s="74"/>
      <c r="O662" s="74"/>
      <c r="P662" s="74"/>
      <c r="Q662" s="74"/>
      <c r="R662" s="74"/>
      <c r="S662" s="74"/>
      <c r="T662" s="74"/>
      <c r="U662" s="74"/>
      <c r="V662" s="74"/>
      <c r="W662" s="74"/>
      <c r="X662" s="74"/>
      <c r="Y662" s="74"/>
      <c r="Z662" s="74"/>
    </row>
    <row r="663" spans="1:26" x14ac:dyDescent="0.3">
      <c r="A663" s="66">
        <f t="shared" si="68"/>
        <v>2055.5999999999403</v>
      </c>
      <c r="B663" s="67">
        <f>LOOKUP(A663+0.01,AmountsB!$A$4:$A$103,AmountsB!$B$4:$B$103)*0.1*$A$2</f>
        <v>0</v>
      </c>
      <c r="C663" s="68">
        <f t="shared" si="67"/>
        <v>625969.29735898925</v>
      </c>
      <c r="D663" s="67">
        <f t="array" ref="D663">SUM($B$7:$B658*$F$1009*EXP(-$F$1009*($A663-$A$7:$A658)))*$F$1010</f>
        <v>5299131.2881553946</v>
      </c>
      <c r="E663" s="67">
        <f t="shared" si="65"/>
        <v>10.102325993235517</v>
      </c>
      <c r="F663" s="70">
        <f t="shared" si="69"/>
        <v>0.61341323430926065</v>
      </c>
      <c r="G663" s="67">
        <f>E663/'Lookup Tables'!$C$48</f>
        <v>20.204651986471035</v>
      </c>
      <c r="H663" s="70">
        <f t="shared" si="66"/>
        <v>8.4824967685267517E-3</v>
      </c>
      <c r="I663" s="71">
        <f t="shared" si="70"/>
        <v>2.9094698860518287E-2</v>
      </c>
      <c r="L663" s="74"/>
      <c r="M663" s="74"/>
      <c r="N663" s="74"/>
      <c r="O663" s="74"/>
      <c r="P663" s="74"/>
      <c r="Q663" s="74"/>
      <c r="R663" s="74"/>
      <c r="S663" s="74"/>
      <c r="T663" s="74"/>
      <c r="U663" s="74"/>
      <c r="V663" s="74"/>
      <c r="W663" s="74"/>
      <c r="X663" s="74"/>
      <c r="Y663" s="74"/>
      <c r="Z663" s="74"/>
    </row>
    <row r="664" spans="1:26" x14ac:dyDescent="0.3">
      <c r="A664" s="66">
        <f t="shared" si="68"/>
        <v>2055.6999999999402</v>
      </c>
      <c r="B664" s="67">
        <f>LOOKUP(A664+0.01,AmountsB!$A$4:$A$103,AmountsB!$B$4:$B$103)*0.1*$A$2</f>
        <v>0</v>
      </c>
      <c r="C664" s="68">
        <f t="shared" si="67"/>
        <v>625969.29735898925</v>
      </c>
      <c r="D664" s="67">
        <f t="array" ref="D664">SUM($B$7:$B659*$F$1009*EXP(-$F$1009*($A664-$A$7:$A659)))*$F$1010</f>
        <v>5262166.8954506218</v>
      </c>
      <c r="E664" s="67">
        <f t="shared" si="65"/>
        <v>10.031856641762705</v>
      </c>
      <c r="F664" s="70">
        <f t="shared" si="69"/>
        <v>0.60913433528783134</v>
      </c>
      <c r="G664" s="67">
        <f>E664/'Lookup Tables'!$C$48</f>
        <v>20.063713283525409</v>
      </c>
      <c r="H664" s="70">
        <f t="shared" si="66"/>
        <v>8.4233266282492981E-3</v>
      </c>
      <c r="I664" s="71">
        <f t="shared" si="70"/>
        <v>2.8891747128276586E-2</v>
      </c>
      <c r="L664" s="74"/>
      <c r="M664" s="74"/>
      <c r="N664" s="74"/>
      <c r="O664" s="74"/>
      <c r="P664" s="74"/>
      <c r="Q664" s="74"/>
      <c r="R664" s="74"/>
      <c r="S664" s="74"/>
      <c r="T664" s="74"/>
      <c r="U664" s="74"/>
      <c r="V664" s="74"/>
      <c r="W664" s="74"/>
      <c r="X664" s="74"/>
      <c r="Y664" s="74"/>
      <c r="Z664" s="74"/>
    </row>
    <row r="665" spans="1:26" x14ac:dyDescent="0.3">
      <c r="A665" s="66">
        <f t="shared" si="68"/>
        <v>2055.7999999999402</v>
      </c>
      <c r="B665" s="67">
        <f>LOOKUP(A665+0.01,AmountsB!$A$4:$A$103,AmountsB!$B$4:$B$103)*0.1*$A$2</f>
        <v>0</v>
      </c>
      <c r="C665" s="68">
        <f t="shared" si="67"/>
        <v>625969.29735898925</v>
      </c>
      <c r="D665" s="67">
        <f t="array" ref="D665">SUM($B$7:$B660*$F$1009*EXP(-$F$1009*($A665-$A$7:$A660)))*$F$1010</f>
        <v>5225460.3499765974</v>
      </c>
      <c r="E665" s="67">
        <f t="shared" si="65"/>
        <v>9.9618788532725482</v>
      </c>
      <c r="F665" s="70">
        <f t="shared" si="69"/>
        <v>0.60488528397070918</v>
      </c>
      <c r="G665" s="67">
        <f>E665/'Lookup Tables'!$C$48</f>
        <v>19.923757706545096</v>
      </c>
      <c r="H665" s="70">
        <f t="shared" si="66"/>
        <v>8.3645692326619996E-3</v>
      </c>
      <c r="I665" s="71">
        <f t="shared" si="70"/>
        <v>2.869021109742494E-2</v>
      </c>
      <c r="L665" s="74"/>
      <c r="M665" s="74"/>
      <c r="N665" s="74"/>
      <c r="O665" s="74"/>
      <c r="P665" s="74"/>
      <c r="Q665" s="74"/>
      <c r="R665" s="74"/>
      <c r="S665" s="74"/>
      <c r="T665" s="74"/>
      <c r="U665" s="74"/>
      <c r="V665" s="74"/>
      <c r="W665" s="74"/>
      <c r="X665" s="74"/>
      <c r="Y665" s="74"/>
      <c r="Z665" s="74"/>
    </row>
    <row r="666" spans="1:26" x14ac:dyDescent="0.3">
      <c r="A666" s="66">
        <f t="shared" si="68"/>
        <v>2055.8999999999401</v>
      </c>
      <c r="B666" s="67">
        <f>LOOKUP(A666+0.01,AmountsB!$A$4:$A$103,AmountsB!$B$4:$B$103)*0.1*$A$2</f>
        <v>0</v>
      </c>
      <c r="C666" s="68">
        <f t="shared" si="67"/>
        <v>625969.29735898925</v>
      </c>
      <c r="D666" s="67">
        <f t="array" ref="D666">SUM($B$7:$B661*$F$1009*EXP(-$F$1009*($A666-$A$7:$A661)))*$F$1010</f>
        <v>5189009.8531052507</v>
      </c>
      <c r="E666" s="67">
        <f t="shared" si="65"/>
        <v>9.8923891988394068</v>
      </c>
      <c r="F666" s="70">
        <f t="shared" si="69"/>
        <v>0.60066587215352885</v>
      </c>
      <c r="G666" s="67">
        <f>E666/'Lookup Tables'!$C$48</f>
        <v>19.784778397678814</v>
      </c>
      <c r="H666" s="70">
        <f t="shared" si="66"/>
        <v>8.3062217026407103E-3</v>
      </c>
      <c r="I666" s="71">
        <f t="shared" si="70"/>
        <v>2.8490080892657494E-2</v>
      </c>
      <c r="L666" s="74"/>
      <c r="M666" s="74"/>
      <c r="N666" s="74"/>
      <c r="O666" s="74"/>
      <c r="P666" s="74"/>
      <c r="Q666" s="74"/>
      <c r="R666" s="74"/>
      <c r="S666" s="74"/>
      <c r="T666" s="74"/>
      <c r="U666" s="74"/>
      <c r="V666" s="74"/>
      <c r="W666" s="74"/>
      <c r="X666" s="74"/>
      <c r="Y666" s="74"/>
      <c r="Z666" s="74"/>
    </row>
    <row r="667" spans="1:26" x14ac:dyDescent="0.3">
      <c r="A667" s="66">
        <f t="shared" si="68"/>
        <v>2055.99999999994</v>
      </c>
      <c r="B667" s="67">
        <f>LOOKUP(A667+0.01,AmountsB!$A$4:$A$103,AmountsB!$B$4:$B$103)*0.1*$A$2</f>
        <v>0</v>
      </c>
      <c r="C667" s="68">
        <f t="shared" si="67"/>
        <v>625969.29735898925</v>
      </c>
      <c r="D667" s="67">
        <f t="array" ref="D667">SUM($B$7:$B662*$F$1009*EXP(-$F$1009*($A667-$A$7:$A662)))*$F$1010</f>
        <v>5152813.6187549429</v>
      </c>
      <c r="E667" s="67">
        <f t="shared" si="65"/>
        <v>9.8233842734563179</v>
      </c>
      <c r="F667" s="70">
        <f t="shared" si="69"/>
        <v>0.59647589308426763</v>
      </c>
      <c r="G667" s="67">
        <f>E667/'Lookup Tables'!$C$48</f>
        <v>19.646768546912636</v>
      </c>
      <c r="H667" s="70">
        <f t="shared" si="66"/>
        <v>8.2482811791447907E-3</v>
      </c>
      <c r="I667" s="71">
        <f t="shared" si="70"/>
        <v>2.8291346707554191E-2</v>
      </c>
      <c r="L667" s="74"/>
      <c r="M667" s="74"/>
      <c r="N667" s="74"/>
      <c r="O667" s="74"/>
      <c r="P667" s="74"/>
      <c r="Q667" s="74"/>
      <c r="R667" s="74"/>
      <c r="S667" s="74"/>
      <c r="T667" s="74"/>
      <c r="U667" s="74"/>
      <c r="V667" s="74"/>
      <c r="W667" s="74"/>
      <c r="X667" s="74"/>
      <c r="Y667" s="74"/>
      <c r="Z667" s="74"/>
    </row>
    <row r="668" spans="1:26" x14ac:dyDescent="0.3">
      <c r="A668" s="66">
        <f t="shared" si="68"/>
        <v>2056.0999999999399</v>
      </c>
      <c r="B668" s="67">
        <f>LOOKUP(A668+0.01,AmountsB!$A$4:$A$103,AmountsB!$B$4:$B$103)*0.1*$A$2</f>
        <v>0</v>
      </c>
      <c r="C668" s="68">
        <f t="shared" si="67"/>
        <v>625969.29735898925</v>
      </c>
      <c r="D668" s="67">
        <f t="array" ref="D668">SUM($B$7:$B663*$F$1009*EXP(-$F$1009*($A668-$A$7:$A663)))*$F$1010</f>
        <v>5116869.8733029477</v>
      </c>
      <c r="E668" s="67">
        <f t="shared" si="65"/>
        <v>9.7548606958681265</v>
      </c>
      <c r="F668" s="70">
        <f t="shared" si="69"/>
        <v>0.59231514145311259</v>
      </c>
      <c r="G668" s="67">
        <f>E668/'Lookup Tables'!$C$48</f>
        <v>19.509721391736253</v>
      </c>
      <c r="H668" s="70">
        <f t="shared" si="66"/>
        <v>8.1907448230769987E-3</v>
      </c>
      <c r="I668" s="71">
        <f t="shared" si="70"/>
        <v>2.8093998804100205E-2</v>
      </c>
      <c r="L668" s="74"/>
      <c r="M668" s="74"/>
      <c r="N668" s="74"/>
      <c r="O668" s="74"/>
      <c r="P668" s="74"/>
      <c r="Q668" s="74"/>
      <c r="R668" s="74"/>
      <c r="S668" s="74"/>
      <c r="T668" s="74"/>
      <c r="U668" s="74"/>
      <c r="V668" s="74"/>
      <c r="W668" s="74"/>
      <c r="X668" s="74"/>
      <c r="Y668" s="74"/>
      <c r="Z668" s="74"/>
    </row>
    <row r="669" spans="1:26" x14ac:dyDescent="0.3">
      <c r="A669" s="66">
        <f t="shared" si="68"/>
        <v>2056.1999999999398</v>
      </c>
      <c r="B669" s="67">
        <f>LOOKUP(A669+0.01,AmountsB!$A$4:$A$103,AmountsB!$B$4:$B$103)*0.1*$A$2</f>
        <v>0</v>
      </c>
      <c r="C669" s="68">
        <f t="shared" si="67"/>
        <v>625969.29735898925</v>
      </c>
      <c r="D669" s="67">
        <f t="array" ref="D669">SUM($B$7:$B664*$F$1009*EXP(-$F$1009*($A669-$A$7:$A664)))*$F$1010</f>
        <v>5081176.8554985439</v>
      </c>
      <c r="E669" s="67">
        <f t="shared" si="65"/>
        <v>9.6868151084058152</v>
      </c>
      <c r="F669" s="70">
        <f t="shared" si="69"/>
        <v>0.5881834133824011</v>
      </c>
      <c r="G669" s="67">
        <f>E669/'Lookup Tables'!$C$48</f>
        <v>19.37363021681163</v>
      </c>
      <c r="H669" s="70">
        <f t="shared" si="66"/>
        <v>8.1336098151443652E-3</v>
      </c>
      <c r="I669" s="71">
        <f t="shared" si="70"/>
        <v>2.7898027512208746E-2</v>
      </c>
      <c r="L669" s="74"/>
      <c r="M669" s="74"/>
      <c r="N669" s="74"/>
      <c r="O669" s="74"/>
      <c r="P669" s="74"/>
      <c r="Q669" s="74"/>
      <c r="R669" s="74"/>
      <c r="S669" s="74"/>
      <c r="T669" s="74"/>
      <c r="U669" s="74"/>
      <c r="V669" s="74"/>
      <c r="W669" s="74"/>
      <c r="X669" s="74"/>
      <c r="Y669" s="74"/>
      <c r="Z669" s="74"/>
    </row>
    <row r="670" spans="1:26" x14ac:dyDescent="0.3">
      <c r="A670" s="66">
        <f t="shared" si="68"/>
        <v>2056.2999999999397</v>
      </c>
      <c r="B670" s="67">
        <f>LOOKUP(A670+0.01,AmountsB!$A$4:$A$103,AmountsB!$B$4:$B$103)*0.1*$A$2</f>
        <v>0</v>
      </c>
      <c r="C670" s="68">
        <f t="shared" si="67"/>
        <v>625969.29735898925</v>
      </c>
      <c r="D670" s="67">
        <f t="array" ref="D670">SUM($B$7:$B665*$F$1009*EXP(-$F$1009*($A670-$A$7:$A665)))*$F$1010</f>
        <v>5045732.8163767206</v>
      </c>
      <c r="E670" s="67">
        <f t="shared" si="65"/>
        <v>9.6192441768219901</v>
      </c>
      <c r="F670" s="70">
        <f t="shared" si="69"/>
        <v>0.58408050641663123</v>
      </c>
      <c r="G670" s="67">
        <f>E670/'Lookup Tables'!$C$48</f>
        <v>19.23848835364398</v>
      </c>
      <c r="H670" s="70">
        <f t="shared" si="66"/>
        <v>8.0768733557200767E-3</v>
      </c>
      <c r="I670" s="71">
        <f t="shared" si="70"/>
        <v>2.7703423229247331E-2</v>
      </c>
      <c r="L670" s="74"/>
      <c r="M670" s="74"/>
      <c r="N670" s="74"/>
      <c r="O670" s="74"/>
      <c r="P670" s="74"/>
      <c r="Q670" s="74"/>
      <c r="R670" s="74"/>
      <c r="S670" s="74"/>
      <c r="T670" s="74"/>
      <c r="U670" s="74"/>
      <c r="V670" s="74"/>
      <c r="W670" s="74"/>
      <c r="X670" s="74"/>
      <c r="Y670" s="74"/>
      <c r="Z670" s="74"/>
    </row>
    <row r="671" spans="1:26" x14ac:dyDescent="0.3">
      <c r="A671" s="66">
        <f t="shared" si="68"/>
        <v>2056.3999999999396</v>
      </c>
      <c r="B671" s="67">
        <f>LOOKUP(A671+0.01,AmountsB!$A$4:$A$103,AmountsB!$B$4:$B$103)*0.1*$A$2</f>
        <v>0</v>
      </c>
      <c r="C671" s="68">
        <f t="shared" si="67"/>
        <v>625969.29735898925</v>
      </c>
      <c r="D671" s="67">
        <f t="array" ref="D671">SUM($B$7:$B666*$F$1009*EXP(-$F$1009*($A671-$A$7:$A666)))*$F$1010</f>
        <v>5010536.0191724692</v>
      </c>
      <c r="E671" s="67">
        <f t="shared" si="65"/>
        <v>9.5521445901274848</v>
      </c>
      <c r="F671" s="70">
        <f t="shared" si="69"/>
        <v>0.58000621951254083</v>
      </c>
      <c r="G671" s="67">
        <f>E671/'Lookup Tables'!$C$48</f>
        <v>19.10428918025497</v>
      </c>
      <c r="H671" s="70">
        <f t="shared" si="66"/>
        <v>8.0205326647062713E-3</v>
      </c>
      <c r="I671" s="71">
        <f t="shared" si="70"/>
        <v>2.7510176419567156E-2</v>
      </c>
      <c r="L671" s="74"/>
      <c r="M671" s="74"/>
      <c r="N671" s="74"/>
      <c r="O671" s="74"/>
      <c r="P671" s="74"/>
      <c r="Q671" s="74"/>
      <c r="R671" s="74"/>
      <c r="S671" s="74"/>
      <c r="T671" s="74"/>
      <c r="U671" s="74"/>
      <c r="V671" s="74"/>
      <c r="W671" s="74"/>
      <c r="X671" s="74"/>
      <c r="Y671" s="74"/>
      <c r="Z671" s="74"/>
    </row>
    <row r="672" spans="1:26" x14ac:dyDescent="0.3">
      <c r="A672" s="66">
        <f t="shared" si="68"/>
        <v>2056.4999999999395</v>
      </c>
      <c r="B672" s="67">
        <f>LOOKUP(A672+0.01,AmountsB!$A$4:$A$103,AmountsB!$B$4:$B$103)*0.1*$A$2</f>
        <v>0</v>
      </c>
      <c r="C672" s="68">
        <f t="shared" si="67"/>
        <v>625969.29735898925</v>
      </c>
      <c r="D672" s="67">
        <f t="array" ref="D672">SUM($B$7:$B667*$F$1009*EXP(-$F$1009*($A672-$A$7:$A667)))*$F$1010</f>
        <v>4975584.7392356806</v>
      </c>
      <c r="E672" s="67">
        <f t="shared" si="65"/>
        <v>9.4855130604291187</v>
      </c>
      <c r="F672" s="70">
        <f t="shared" si="69"/>
        <v>0.57596035302925608</v>
      </c>
      <c r="G672" s="67">
        <f>E672/'Lookup Tables'!$C$48</f>
        <v>18.971026120858237</v>
      </c>
      <c r="H672" s="70">
        <f t="shared" si="66"/>
        <v>7.9645849813978088E-3</v>
      </c>
      <c r="I672" s="71">
        <f t="shared" si="70"/>
        <v>2.7318277614035862E-2</v>
      </c>
      <c r="L672" s="74"/>
      <c r="M672" s="74"/>
      <c r="N672" s="74"/>
      <c r="O672" s="74"/>
      <c r="P672" s="74"/>
      <c r="Q672" s="74"/>
      <c r="R672" s="74"/>
      <c r="S672" s="74"/>
      <c r="T672" s="74"/>
      <c r="U672" s="74"/>
      <c r="V672" s="74"/>
      <c r="W672" s="74"/>
      <c r="X672" s="74"/>
      <c r="Y672" s="74"/>
      <c r="Z672" s="74"/>
    </row>
    <row r="673" spans="1:26" x14ac:dyDescent="0.3">
      <c r="A673" s="66">
        <f t="shared" si="68"/>
        <v>2056.5999999999394</v>
      </c>
      <c r="B673" s="67">
        <f>LOOKUP(A673+0.01,AmountsB!$A$4:$A$103,AmountsB!$B$4:$B$103)*0.1*$A$2</f>
        <v>0</v>
      </c>
      <c r="C673" s="68">
        <f t="shared" si="67"/>
        <v>625969.29735898925</v>
      </c>
      <c r="D673" s="67">
        <f t="array" ref="D673">SUM($B$7:$B668*$F$1009*EXP(-$F$1009*($A673-$A$7:$A668)))*$F$1010</f>
        <v>4940877.2639466505</v>
      </c>
      <c r="E673" s="67">
        <f t="shared" si="65"/>
        <v>9.4193463227686145</v>
      </c>
      <c r="F673" s="70">
        <f t="shared" si="69"/>
        <v>0.57194270871851038</v>
      </c>
      <c r="G673" s="67">
        <f>E673/'Lookup Tables'!$C$48</f>
        <v>18.838692645537229</v>
      </c>
      <c r="H673" s="70">
        <f t="shared" si="66"/>
        <v>7.909027564347023E-3</v>
      </c>
      <c r="I673" s="71">
        <f t="shared" si="70"/>
        <v>2.712771740957361E-2</v>
      </c>
      <c r="L673" s="74"/>
      <c r="M673" s="74"/>
      <c r="N673" s="74"/>
      <c r="O673" s="74"/>
      <c r="P673" s="74"/>
      <c r="Q673" s="74"/>
      <c r="R673" s="74"/>
      <c r="S673" s="74"/>
      <c r="T673" s="74"/>
      <c r="U673" s="74"/>
      <c r="V673" s="74"/>
      <c r="W673" s="74"/>
      <c r="X673" s="74"/>
      <c r="Y673" s="74"/>
      <c r="Z673" s="74"/>
    </row>
    <row r="674" spans="1:26" x14ac:dyDescent="0.3">
      <c r="A674" s="66">
        <f t="shared" si="68"/>
        <v>2056.6999999999393</v>
      </c>
      <c r="B674" s="67">
        <f>LOOKUP(A674+0.01,AmountsB!$A$4:$A$103,AmountsB!$B$4:$B$103)*0.1*$A$2</f>
        <v>0</v>
      </c>
      <c r="C674" s="68">
        <f t="shared" si="67"/>
        <v>625969.29735898925</v>
      </c>
      <c r="D674" s="67">
        <f t="array" ref="D674">SUM($B$7:$B669*$F$1009*EXP(-$F$1009*($A674-$A$7:$A669)))*$F$1010</f>
        <v>4906411.8926321389</v>
      </c>
      <c r="E674" s="67">
        <f t="shared" si="65"/>
        <v>9.3536411349625759</v>
      </c>
      <c r="F674" s="70">
        <f t="shared" si="69"/>
        <v>0.56795308971492764</v>
      </c>
      <c r="G674" s="67">
        <f>E674/'Lookup Tables'!$C$48</f>
        <v>18.707282269925152</v>
      </c>
      <c r="H674" s="70">
        <f t="shared" si="66"/>
        <v>7.8538576912293503E-3</v>
      </c>
      <c r="I674" s="71">
        <f t="shared" si="70"/>
        <v>2.6938486468692218E-2</v>
      </c>
      <c r="L674" s="74"/>
      <c r="M674" s="74"/>
      <c r="N674" s="74"/>
      <c r="O674" s="74"/>
      <c r="P674" s="74"/>
      <c r="Q674" s="74"/>
      <c r="R674" s="74"/>
      <c r="S674" s="74"/>
      <c r="T674" s="74"/>
      <c r="U674" s="74"/>
      <c r="V674" s="74"/>
      <c r="W674" s="74"/>
      <c r="X674" s="74"/>
      <c r="Y674" s="74"/>
      <c r="Z674" s="74"/>
    </row>
    <row r="675" spans="1:26" x14ac:dyDescent="0.3">
      <c r="A675" s="66">
        <f t="shared" si="68"/>
        <v>2056.7999999999392</v>
      </c>
      <c r="B675" s="67">
        <f>LOOKUP(A675+0.01,AmountsB!$A$4:$A$103,AmountsB!$B$4:$B$103)*0.1*$A$2</f>
        <v>0</v>
      </c>
      <c r="C675" s="68">
        <f t="shared" si="67"/>
        <v>625969.29735898925</v>
      </c>
      <c r="D675" s="67">
        <f t="array" ref="D675">SUM($B$7:$B670*$F$1009*EXP(-$F$1009*($A675-$A$7:$A670)))*$F$1010</f>
        <v>4872186.9364820598</v>
      </c>
      <c r="E675" s="67">
        <f t="shared" si="65"/>
        <v>9.2883942774436612</v>
      </c>
      <c r="F675" s="70">
        <f t="shared" si="69"/>
        <v>0.56399130052637902</v>
      </c>
      <c r="G675" s="67">
        <f>E675/'Lookup Tables'!$C$48</f>
        <v>18.576788554887322</v>
      </c>
      <c r="H675" s="70">
        <f t="shared" si="66"/>
        <v>7.7990726587099761E-3</v>
      </c>
      <c r="I675" s="71">
        <f t="shared" si="70"/>
        <v>2.6750575519037742E-2</v>
      </c>
      <c r="L675" s="74"/>
      <c r="M675" s="74"/>
      <c r="N675" s="74"/>
      <c r="O675" s="74"/>
      <c r="P675" s="74"/>
      <c r="Q675" s="74"/>
      <c r="R675" s="74"/>
      <c r="S675" s="74"/>
      <c r="T675" s="74"/>
      <c r="U675" s="74"/>
      <c r="V675" s="74"/>
      <c r="W675" s="74"/>
      <c r="X675" s="74"/>
      <c r="Y675" s="74"/>
      <c r="Z675" s="74"/>
    </row>
    <row r="676" spans="1:26" x14ac:dyDescent="0.3">
      <c r="A676" s="66">
        <f t="shared" si="68"/>
        <v>2056.8999999999392</v>
      </c>
      <c r="B676" s="67">
        <f>LOOKUP(A676+0.01,AmountsB!$A$4:$A$103,AmountsB!$B$4:$B$103)*0.1*$A$2</f>
        <v>0</v>
      </c>
      <c r="C676" s="68">
        <f t="shared" si="67"/>
        <v>625969.29735898925</v>
      </c>
      <c r="D676" s="67">
        <f t="array" ref="D676">SUM($B$7:$B671*$F$1009*EXP(-$F$1009*($A676-$A$7:$A671)))*$F$1010</f>
        <v>4838200.718466714</v>
      </c>
      <c r="E676" s="67">
        <f t="shared" si="65"/>
        <v>9.2236025531028005</v>
      </c>
      <c r="F676" s="70">
        <f t="shared" si="69"/>
        <v>0.56005714702440201</v>
      </c>
      <c r="G676" s="67">
        <f>E676/'Lookup Tables'!$C$48</f>
        <v>18.447205106205601</v>
      </c>
      <c r="H676" s="70">
        <f t="shared" si="66"/>
        <v>7.7446697823113494E-3</v>
      </c>
      <c r="I676" s="71">
        <f t="shared" si="70"/>
        <v>2.6563975352936066E-2</v>
      </c>
      <c r="L676" s="74"/>
      <c r="M676" s="74"/>
      <c r="N676" s="74"/>
      <c r="O676" s="74"/>
      <c r="P676" s="74"/>
      <c r="Q676" s="74"/>
      <c r="R676" s="74"/>
      <c r="S676" s="74"/>
      <c r="T676" s="74"/>
      <c r="U676" s="74"/>
      <c r="V676" s="74"/>
      <c r="W676" s="74"/>
      <c r="X676" s="74"/>
      <c r="Y676" s="74"/>
      <c r="Z676" s="74"/>
    </row>
    <row r="677" spans="1:26" x14ac:dyDescent="0.3">
      <c r="A677" s="66">
        <f t="shared" si="68"/>
        <v>2056.9999999999391</v>
      </c>
      <c r="B677" s="67">
        <f>LOOKUP(A677+0.01,AmountsB!$A$4:$A$103,AmountsB!$B$4:$B$103)*0.1*$A$2</f>
        <v>0</v>
      </c>
      <c r="C677" s="68">
        <f t="shared" si="67"/>
        <v>625969.29735898925</v>
      </c>
      <c r="D677" s="67">
        <f t="array" ref="D677">SUM($B$7:$B672*$F$1009*EXP(-$F$1009*($A677-$A$7:$A672)))*$F$1010</f>
        <v>4804451.5732546169</v>
      </c>
      <c r="E677" s="67">
        <f t="shared" si="65"/>
        <v>9.1592627871325334</v>
      </c>
      <c r="F677" s="70">
        <f t="shared" si="69"/>
        <v>0.55615043643468731</v>
      </c>
      <c r="G677" s="67">
        <f>E677/'Lookup Tables'!$C$48</f>
        <v>18.318525574265067</v>
      </c>
      <c r="H677" s="70">
        <f t="shared" si="66"/>
        <v>7.6906463962816366E-3</v>
      </c>
      <c r="I677" s="71">
        <f t="shared" si="70"/>
        <v>2.6378676826941692E-2</v>
      </c>
      <c r="L677" s="74"/>
      <c r="M677" s="74"/>
      <c r="N677" s="74"/>
      <c r="O677" s="74"/>
      <c r="P677" s="74"/>
      <c r="Q677" s="74"/>
      <c r="R677" s="74"/>
      <c r="S677" s="74"/>
      <c r="T677" s="74"/>
      <c r="U677" s="74"/>
      <c r="V677" s="74"/>
      <c r="W677" s="74"/>
      <c r="X677" s="74"/>
      <c r="Y677" s="74"/>
      <c r="Z677" s="74"/>
    </row>
    <row r="678" spans="1:26" x14ac:dyDescent="0.3">
      <c r="A678" s="66">
        <f t="shared" si="68"/>
        <v>2057.099999999939</v>
      </c>
      <c r="B678" s="67">
        <f>LOOKUP(A678+0.01,AmountsB!$A$4:$A$103,AmountsB!$B$4:$B$103)*0.1*$A$2</f>
        <v>0</v>
      </c>
      <c r="C678" s="68">
        <f t="shared" si="67"/>
        <v>625969.29735898925</v>
      </c>
      <c r="D678" s="67">
        <f t="array" ref="D678">SUM($B$7:$B673*$F$1009*EXP(-$F$1009*($A678-$A$7:$A673)))*$F$1010</f>
        <v>4770937.847130903</v>
      </c>
      <c r="E678" s="67">
        <f t="shared" si="65"/>
        <v>9.095371826871455</v>
      </c>
      <c r="F678" s="70">
        <f t="shared" si="69"/>
        <v>0.55227097732763475</v>
      </c>
      <c r="G678" s="67">
        <f>E678/'Lookup Tables'!$C$48</f>
        <v>18.19074365374291</v>
      </c>
      <c r="H678" s="70">
        <f t="shared" si="66"/>
        <v>7.6369998534641164E-3</v>
      </c>
      <c r="I678" s="71">
        <f t="shared" si="70"/>
        <v>2.6194670861389789E-2</v>
      </c>
      <c r="L678" s="74"/>
      <c r="M678" s="74"/>
      <c r="N678" s="74"/>
      <c r="O678" s="74"/>
      <c r="P678" s="74"/>
      <c r="Q678" s="74"/>
      <c r="R678" s="74"/>
      <c r="S678" s="74"/>
      <c r="T678" s="74"/>
      <c r="U678" s="74"/>
      <c r="V678" s="74"/>
      <c r="W678" s="74"/>
      <c r="X678" s="74"/>
      <c r="Y678" s="74"/>
      <c r="Z678" s="74"/>
    </row>
    <row r="679" spans="1:26" x14ac:dyDescent="0.3">
      <c r="A679" s="66">
        <f t="shared" si="68"/>
        <v>2057.1999999999389</v>
      </c>
      <c r="B679" s="67">
        <f>LOOKUP(A679+0.01,AmountsB!$A$4:$A$103,AmountsB!$B$4:$B$103)*0.1*$A$2</f>
        <v>0</v>
      </c>
      <c r="C679" s="68">
        <f t="shared" si="67"/>
        <v>625969.29735898925</v>
      </c>
      <c r="D679" s="67">
        <f t="array" ref="D679">SUM($B$7:$B674*$F$1009*EXP(-$F$1009*($A679-$A$7:$A674)))*$F$1010</f>
        <v>4737657.8979162825</v>
      </c>
      <c r="E679" s="67">
        <f t="shared" si="65"/>
        <v>9.0319265416497245</v>
      </c>
      <c r="F679" s="70">
        <f t="shared" si="69"/>
        <v>0.54841857960897122</v>
      </c>
      <c r="G679" s="67">
        <f>E679/'Lookup Tables'!$C$48</f>
        <v>18.063853083299449</v>
      </c>
      <c r="H679" s="70">
        <f t="shared" si="66"/>
        <v>7.5837275251674496E-3</v>
      </c>
      <c r="I679" s="71">
        <f t="shared" si="70"/>
        <v>2.6011948439951204E-2</v>
      </c>
      <c r="L679" s="74"/>
      <c r="M679" s="74"/>
      <c r="N679" s="74"/>
      <c r="O679" s="74"/>
      <c r="P679" s="74"/>
      <c r="Q679" s="74"/>
      <c r="R679" s="74"/>
      <c r="S679" s="74"/>
      <c r="T679" s="74"/>
      <c r="U679" s="74"/>
      <c r="V679" s="74"/>
      <c r="W679" s="74"/>
      <c r="X679" s="74"/>
      <c r="Y679" s="74"/>
      <c r="Z679" s="74"/>
    </row>
    <row r="680" spans="1:26" x14ac:dyDescent="0.3">
      <c r="A680" s="66">
        <f t="shared" si="68"/>
        <v>2057.2999999999388</v>
      </c>
      <c r="B680" s="67">
        <f>LOOKUP(A680+0.01,AmountsB!$A$4:$A$103,AmountsB!$B$4:$B$103)*0.1*$A$2</f>
        <v>0</v>
      </c>
      <c r="C680" s="68">
        <f t="shared" si="67"/>
        <v>625969.29735898925</v>
      </c>
      <c r="D680" s="67">
        <f t="array" ref="D680">SUM($B$7:$B675*$F$1009*EXP(-$F$1009*($A680-$A$7:$A675)))*$F$1010</f>
        <v>4704610.0948865889</v>
      </c>
      <c r="E680" s="67">
        <f t="shared" si="65"/>
        <v>8.9689238226356753</v>
      </c>
      <c r="F680" s="70">
        <f t="shared" si="69"/>
        <v>0.54459305451043827</v>
      </c>
      <c r="G680" s="67">
        <f>E680/'Lookup Tables'!$C$48</f>
        <v>17.937847645271351</v>
      </c>
      <c r="H680" s="70">
        <f t="shared" si="66"/>
        <v>7.5308268010368974E-3</v>
      </c>
      <c r="I680" s="71">
        <f t="shared" si="70"/>
        <v>2.5830500609190746E-2</v>
      </c>
      <c r="L680" s="74"/>
      <c r="M680" s="74"/>
      <c r="N680" s="74"/>
      <c r="O680" s="74"/>
      <c r="P680" s="74"/>
      <c r="Q680" s="74"/>
      <c r="R680" s="74"/>
      <c r="S680" s="74"/>
      <c r="T680" s="74"/>
      <c r="U680" s="74"/>
      <c r="V680" s="74"/>
      <c r="W680" s="74"/>
      <c r="X680" s="74"/>
      <c r="Y680" s="74"/>
      <c r="Z680" s="74"/>
    </row>
    <row r="681" spans="1:26" x14ac:dyDescent="0.3">
      <c r="A681" s="66">
        <f t="shared" si="68"/>
        <v>2057.3999999999387</v>
      </c>
      <c r="B681" s="67">
        <f>LOOKUP(A681+0.01,AmountsB!$A$4:$A$103,AmountsB!$B$4:$B$103)*0.1*$A$2</f>
        <v>0</v>
      </c>
      <c r="C681" s="68">
        <f t="shared" si="67"/>
        <v>625969.29735898925</v>
      </c>
      <c r="D681" s="67">
        <f t="array" ref="D681">SUM($B$7:$B676*$F$1009*EXP(-$F$1009*($A681-$A$7:$A676)))*$F$1010</f>
        <v>4671792.8186928583</v>
      </c>
      <c r="E681" s="67">
        <f t="shared" si="65"/>
        <v>8.9063605826834689</v>
      </c>
      <c r="F681" s="70">
        <f t="shared" si="69"/>
        <v>0.54079421458054022</v>
      </c>
      <c r="G681" s="67">
        <f>E681/'Lookup Tables'!$C$48</f>
        <v>17.812721165366938</v>
      </c>
      <c r="H681" s="70">
        <f t="shared" si="66"/>
        <v>7.4782950889263882E-3</v>
      </c>
      <c r="I681" s="71">
        <f t="shared" si="70"/>
        <v>2.5650318478128389E-2</v>
      </c>
      <c r="L681" s="74"/>
      <c r="M681" s="74"/>
      <c r="N681" s="74"/>
      <c r="O681" s="74"/>
      <c r="P681" s="74"/>
      <c r="Q681" s="74"/>
      <c r="R681" s="74"/>
      <c r="S681" s="74"/>
      <c r="T681" s="74"/>
      <c r="U681" s="74"/>
      <c r="V681" s="74"/>
      <c r="W681" s="74"/>
      <c r="X681" s="74"/>
      <c r="Y681" s="74"/>
      <c r="Z681" s="74"/>
    </row>
    <row r="682" spans="1:26" x14ac:dyDescent="0.3">
      <c r="A682" s="66">
        <f t="shared" si="68"/>
        <v>2057.4999999999386</v>
      </c>
      <c r="B682" s="67">
        <f>LOOKUP(A682+0.01,AmountsB!$A$4:$A$103,AmountsB!$B$4:$B$103)*0.1*$A$2</f>
        <v>0</v>
      </c>
      <c r="C682" s="68">
        <f t="shared" si="67"/>
        <v>625969.29735898925</v>
      </c>
      <c r="D682" s="67">
        <f t="array" ref="D682">SUM($B$7:$B677*$F$1009*EXP(-$F$1009*($A682-$A$7:$A677)))*$F$1010</f>
        <v>4639204.4612819944</v>
      </c>
      <c r="E682" s="67">
        <f t="shared" si="65"/>
        <v>8.8442337561818345</v>
      </c>
      <c r="F682" s="70">
        <f t="shared" si="69"/>
        <v>0.53702187367536092</v>
      </c>
      <c r="G682" s="67">
        <f>E682/'Lookup Tables'!$C$48</f>
        <v>17.688467512363669</v>
      </c>
      <c r="H682" s="70">
        <f t="shared" si="66"/>
        <v>7.4261298147715255E-3</v>
      </c>
      <c r="I682" s="71">
        <f t="shared" si="70"/>
        <v>2.5471393217803683E-2</v>
      </c>
      <c r="L682" s="74"/>
      <c r="M682" s="74"/>
      <c r="N682" s="74"/>
      <c r="O682" s="74"/>
      <c r="P682" s="74"/>
      <c r="Q682" s="74"/>
      <c r="R682" s="74"/>
      <c r="S682" s="74"/>
      <c r="T682" s="74"/>
      <c r="U682" s="74"/>
      <c r="V682" s="74"/>
      <c r="W682" s="74"/>
      <c r="X682" s="74"/>
      <c r="Y682" s="74"/>
      <c r="Z682" s="74"/>
    </row>
    <row r="683" spans="1:26" x14ac:dyDescent="0.3">
      <c r="A683" s="66">
        <f t="shared" si="68"/>
        <v>2057.5999999999385</v>
      </c>
      <c r="B683" s="67">
        <f>LOOKUP(A683+0.01,AmountsB!$A$4:$A$103,AmountsB!$B$4:$B$103)*0.1*$A$2</f>
        <v>0</v>
      </c>
      <c r="C683" s="68">
        <f t="shared" si="67"/>
        <v>625969.29735898925</v>
      </c>
      <c r="D683" s="67">
        <f t="array" ref="D683">SUM($B$7:$B678*$F$1009*EXP(-$F$1009*($A683-$A$7:$A678)))*$F$1010</f>
        <v>4606843.4258179599</v>
      </c>
      <c r="E683" s="67">
        <f t="shared" si="65"/>
        <v>8.7825402989038324</v>
      </c>
      <c r="F683" s="70">
        <f t="shared" si="69"/>
        <v>0.53327584694944075</v>
      </c>
      <c r="G683" s="67">
        <f>E683/'Lookup Tables'!$C$48</f>
        <v>17.565080597807665</v>
      </c>
      <c r="H683" s="70">
        <f t="shared" si="66"/>
        <v>7.3743284224634265E-3</v>
      </c>
      <c r="I683" s="71">
        <f t="shared" si="70"/>
        <v>2.529371606084304E-2</v>
      </c>
      <c r="L683" s="74"/>
      <c r="M683" s="74"/>
      <c r="N683" s="74"/>
      <c r="O683" s="74"/>
      <c r="P683" s="74"/>
      <c r="Q683" s="74"/>
      <c r="R683" s="74"/>
      <c r="S683" s="74"/>
      <c r="T683" s="74"/>
      <c r="U683" s="74"/>
      <c r="V683" s="74"/>
      <c r="W683" s="74"/>
      <c r="X683" s="74"/>
      <c r="Y683" s="74"/>
      <c r="Z683" s="74"/>
    </row>
    <row r="684" spans="1:26" x14ac:dyDescent="0.3">
      <c r="A684" s="66">
        <f t="shared" si="68"/>
        <v>2057.6999999999384</v>
      </c>
      <c r="B684" s="67">
        <f>LOOKUP(A684+0.01,AmountsB!$A$4:$A$103,AmountsB!$B$4:$B$103)*0.1*$A$2</f>
        <v>0</v>
      </c>
      <c r="C684" s="68">
        <f t="shared" si="67"/>
        <v>625969.29735898925</v>
      </c>
      <c r="D684" s="67">
        <f t="array" ref="D684">SUM($B$7:$B679*$F$1009*EXP(-$F$1009*($A684-$A$7:$A679)))*$F$1010</f>
        <v>4574708.1266035456</v>
      </c>
      <c r="E684" s="67">
        <f t="shared" si="65"/>
        <v>8.7212771878577211</v>
      </c>
      <c r="F684" s="70">
        <f t="shared" si="69"/>
        <v>0.5295559508467208</v>
      </c>
      <c r="G684" s="67">
        <f>E684/'Lookup Tables'!$C$48</f>
        <v>17.442554375715442</v>
      </c>
      <c r="H684" s="70">
        <f t="shared" si="66"/>
        <v>7.3228883737235127E-3</v>
      </c>
      <c r="I684" s="71">
        <f t="shared" si="70"/>
        <v>2.5117278301030239E-2</v>
      </c>
      <c r="L684" s="74"/>
      <c r="M684" s="74"/>
      <c r="N684" s="74"/>
      <c r="O684" s="74"/>
      <c r="P684" s="74"/>
      <c r="Q684" s="74"/>
      <c r="R684" s="74"/>
      <c r="S684" s="74"/>
      <c r="T684" s="74"/>
      <c r="U684" s="74"/>
      <c r="V684" s="74"/>
      <c r="W684" s="74"/>
      <c r="X684" s="74"/>
      <c r="Y684" s="74"/>
      <c r="Z684" s="74"/>
    </row>
    <row r="685" spans="1:26" x14ac:dyDescent="0.3">
      <c r="A685" s="66">
        <f t="shared" si="68"/>
        <v>2057.7999999999383</v>
      </c>
      <c r="B685" s="67">
        <f>LOOKUP(A685+0.01,AmountsB!$A$4:$A$103,AmountsB!$B$4:$B$103)*0.1*$A$2</f>
        <v>0</v>
      </c>
      <c r="C685" s="68">
        <f t="shared" si="67"/>
        <v>625969.29735898925</v>
      </c>
      <c r="D685" s="67">
        <f t="array" ref="D685">SUM($B$7:$B680*$F$1009*EXP(-$F$1009*($A685-$A$7:$A680)))*$F$1010</f>
        <v>4542796.9890026581</v>
      </c>
      <c r="E685" s="67">
        <f t="shared" si="65"/>
        <v>8.6604414211388008</v>
      </c>
      <c r="F685" s="70">
        <f t="shared" si="69"/>
        <v>0.52586200309154796</v>
      </c>
      <c r="G685" s="67">
        <f>E685/'Lookup Tables'!$C$48</f>
        <v>17.320882842277602</v>
      </c>
      <c r="H685" s="70">
        <f t="shared" si="66"/>
        <v>7.2718071479791011E-3</v>
      </c>
      <c r="I685" s="71">
        <f t="shared" si="70"/>
        <v>2.4942071292879744E-2</v>
      </c>
      <c r="L685" s="74"/>
      <c r="M685" s="74"/>
      <c r="N685" s="74"/>
      <c r="O685" s="74"/>
      <c r="P685" s="74"/>
      <c r="Q685" s="74"/>
      <c r="R685" s="74"/>
      <c r="S685" s="74"/>
      <c r="T685" s="74"/>
      <c r="U685" s="74"/>
      <c r="V685" s="74"/>
      <c r="W685" s="74"/>
      <c r="X685" s="74"/>
      <c r="Y685" s="74"/>
      <c r="Z685" s="74"/>
    </row>
    <row r="686" spans="1:26" x14ac:dyDescent="0.3">
      <c r="A686" s="66">
        <f t="shared" si="68"/>
        <v>2057.8999999999382</v>
      </c>
      <c r="B686" s="67">
        <f>LOOKUP(A686+0.01,AmountsB!$A$4:$A$103,AmountsB!$B$4:$B$103)*0.1*$A$2</f>
        <v>0</v>
      </c>
      <c r="C686" s="68">
        <f t="shared" si="67"/>
        <v>625969.29735898925</v>
      </c>
      <c r="D686" s="67">
        <f t="array" ref="D686">SUM($B$7:$B681*$F$1009*EXP(-$F$1009*($A686-$A$7:$A681)))*$F$1010</f>
        <v>4511108.4493631721</v>
      </c>
      <c r="E686" s="67">
        <f t="shared" si="65"/>
        <v>8.6000300177823306</v>
      </c>
      <c r="F686" s="70">
        <f t="shared" si="69"/>
        <v>0.52219382267974312</v>
      </c>
      <c r="G686" s="67">
        <f>E686/'Lookup Tables'!$C$48</f>
        <v>17.200060035564661</v>
      </c>
      <c r="H686" s="70">
        <f t="shared" si="66"/>
        <v>7.2210822422399132E-3</v>
      </c>
      <c r="I686" s="71">
        <f t="shared" si="70"/>
        <v>2.4768086451213114E-2</v>
      </c>
      <c r="L686" s="74"/>
      <c r="M686" s="74"/>
      <c r="N686" s="74"/>
      <c r="O686" s="74"/>
      <c r="P686" s="74"/>
      <c r="Q686" s="74"/>
      <c r="R686" s="74"/>
      <c r="S686" s="74"/>
      <c r="T686" s="74"/>
      <c r="U686" s="74"/>
      <c r="V686" s="74"/>
      <c r="W686" s="74"/>
      <c r="X686" s="74"/>
      <c r="Y686" s="74"/>
      <c r="Z686" s="74"/>
    </row>
    <row r="687" spans="1:26" x14ac:dyDescent="0.3">
      <c r="A687" s="66">
        <f t="shared" si="68"/>
        <v>2057.9999999999382</v>
      </c>
      <c r="B687" s="67">
        <f>LOOKUP(A687+0.01,AmountsB!$A$4:$A$103,AmountsB!$B$4:$B$103)*0.1*$A$2</f>
        <v>0</v>
      </c>
      <c r="C687" s="68">
        <f t="shared" si="67"/>
        <v>625969.29735898925</v>
      </c>
      <c r="D687" s="67">
        <f t="array" ref="D687">SUM($B$7:$B682*$F$1009*EXP(-$F$1009*($A687-$A$7:$A682)))*$F$1010</f>
        <v>4479640.9549403032</v>
      </c>
      <c r="E687" s="67">
        <f t="shared" si="65"/>
        <v>8.5400400176174536</v>
      </c>
      <c r="F687" s="70">
        <f t="shared" si="69"/>
        <v>0.51855122986973179</v>
      </c>
      <c r="G687" s="67">
        <f>E687/'Lookup Tables'!$C$48</f>
        <v>17.080080035234907</v>
      </c>
      <c r="H687" s="70">
        <f t="shared" si="66"/>
        <v>7.1707111709754124E-3</v>
      </c>
      <c r="I687" s="71">
        <f t="shared" si="70"/>
        <v>2.4595315250738266E-2</v>
      </c>
      <c r="L687" s="74"/>
      <c r="M687" s="74"/>
      <c r="N687" s="74"/>
      <c r="O687" s="74"/>
      <c r="P687" s="74"/>
      <c r="Q687" s="74"/>
      <c r="R687" s="74"/>
      <c r="S687" s="74"/>
      <c r="T687" s="74"/>
      <c r="U687" s="74"/>
      <c r="V687" s="74"/>
      <c r="W687" s="74"/>
      <c r="X687" s="74"/>
      <c r="Y687" s="74"/>
      <c r="Z687" s="74"/>
    </row>
    <row r="688" spans="1:26" x14ac:dyDescent="0.3">
      <c r="A688" s="66">
        <f t="shared" si="68"/>
        <v>2058.0999999999381</v>
      </c>
      <c r="B688" s="67">
        <f>LOOKUP(A688+0.01,AmountsB!$A$4:$A$103,AmountsB!$B$4:$B$103)*0.1*$A$2</f>
        <v>0</v>
      </c>
      <c r="C688" s="68">
        <f t="shared" si="67"/>
        <v>625969.29735898925</v>
      </c>
      <c r="D688" s="67">
        <f t="array" ref="D688">SUM($B$7:$B683*$F$1009*EXP(-$F$1009*($A688-$A$7:$A683)))*$F$1010</f>
        <v>4448392.9638205282</v>
      </c>
      <c r="E688" s="67">
        <f t="shared" si="65"/>
        <v>8.4804684811221609</v>
      </c>
      <c r="F688" s="70">
        <f t="shared" si="69"/>
        <v>0.51493404617373761</v>
      </c>
      <c r="G688" s="67">
        <f>E688/'Lookup Tables'!$C$48</f>
        <v>16.960936962244322</v>
      </c>
      <c r="H688" s="70">
        <f t="shared" si="66"/>
        <v>7.1206914659930291E-3</v>
      </c>
      <c r="I688" s="71">
        <f t="shared" si="70"/>
        <v>2.442374922563182E-2</v>
      </c>
      <c r="L688" s="74"/>
      <c r="M688" s="74"/>
      <c r="N688" s="74"/>
      <c r="O688" s="74"/>
      <c r="P688" s="74"/>
      <c r="Q688" s="74"/>
      <c r="R688" s="74"/>
      <c r="S688" s="74"/>
      <c r="T688" s="74"/>
      <c r="U688" s="74"/>
      <c r="V688" s="74"/>
      <c r="W688" s="74"/>
      <c r="X688" s="74"/>
      <c r="Y688" s="74"/>
      <c r="Z688" s="74"/>
    </row>
    <row r="689" spans="1:26" x14ac:dyDescent="0.3">
      <c r="A689" s="66">
        <f t="shared" si="68"/>
        <v>2058.199999999938</v>
      </c>
      <c r="B689" s="67">
        <f>LOOKUP(A689+0.01,AmountsB!$A$4:$A$103,AmountsB!$B$4:$B$103)*0.1*$A$2</f>
        <v>0</v>
      </c>
      <c r="C689" s="68">
        <f t="shared" si="67"/>
        <v>625969.29735898925</v>
      </c>
      <c r="D689" s="67">
        <f t="array" ref="D689">SUM($B$7:$B684*$F$1009*EXP(-$F$1009*($A689-$A$7:$A684)))*$F$1010</f>
        <v>4417362.9448460303</v>
      </c>
      <c r="E689" s="67">
        <f t="shared" si="65"/>
        <v>8.421312489279245</v>
      </c>
      <c r="F689" s="70">
        <f t="shared" si="69"/>
        <v>0.51134209434903577</v>
      </c>
      <c r="G689" s="67">
        <f>E689/'Lookup Tables'!$C$48</f>
        <v>16.84262497855849</v>
      </c>
      <c r="H689" s="70">
        <f t="shared" si="66"/>
        <v>7.0710206763172139E-3</v>
      </c>
      <c r="I689" s="71">
        <f t="shared" si="70"/>
        <v>2.4253379969124224E-2</v>
      </c>
      <c r="L689" s="74"/>
      <c r="M689" s="74"/>
      <c r="N689" s="74"/>
      <c r="O689" s="74"/>
      <c r="P689" s="74"/>
      <c r="Q689" s="74"/>
      <c r="R689" s="74"/>
      <c r="S689" s="74"/>
      <c r="T689" s="74"/>
      <c r="U689" s="74"/>
      <c r="V689" s="74"/>
      <c r="W689" s="74"/>
      <c r="X689" s="74"/>
      <c r="Y689" s="74"/>
      <c r="Z689" s="74"/>
    </row>
    <row r="690" spans="1:26" x14ac:dyDescent="0.3">
      <c r="A690" s="66">
        <f t="shared" si="68"/>
        <v>2058.2999999999379</v>
      </c>
      <c r="B690" s="67">
        <f>LOOKUP(A690+0.01,AmountsB!$A$4:$A$103,AmountsB!$B$4:$B$103)*0.1*$A$2</f>
        <v>0</v>
      </c>
      <c r="C690" s="68">
        <f t="shared" si="67"/>
        <v>625969.29735898925</v>
      </c>
      <c r="D690" s="67">
        <f t="array" ref="D690">SUM($B$7:$B685*$F$1009*EXP(-$F$1009*($A690-$A$7:$A685)))*$F$1010</f>
        <v>4386549.377539672</v>
      </c>
      <c r="E690" s="67">
        <f t="shared" si="65"/>
        <v>8.3625691434332712</v>
      </c>
      <c r="F690" s="70">
        <f t="shared" si="69"/>
        <v>0.50777519838926821</v>
      </c>
      <c r="G690" s="67">
        <f>E690/'Lookup Tables'!$C$48</f>
        <v>16.725138286866542</v>
      </c>
      <c r="H690" s="70">
        <f t="shared" si="66"/>
        <v>7.021696368069332E-3</v>
      </c>
      <c r="I690" s="71">
        <f t="shared" si="70"/>
        <v>2.4084199133087819E-2</v>
      </c>
      <c r="L690" s="74"/>
      <c r="M690" s="74"/>
      <c r="N690" s="74"/>
      <c r="O690" s="74"/>
      <c r="P690" s="74"/>
      <c r="Q690" s="74"/>
      <c r="R690" s="74"/>
      <c r="S690" s="74"/>
      <c r="T690" s="74"/>
      <c r="U690" s="74"/>
      <c r="V690" s="74"/>
      <c r="W690" s="74"/>
      <c r="X690" s="74"/>
      <c r="Y690" s="74"/>
      <c r="Z690" s="74"/>
    </row>
    <row r="691" spans="1:26" x14ac:dyDescent="0.3">
      <c r="A691" s="66">
        <f t="shared" si="68"/>
        <v>2058.3999999999378</v>
      </c>
      <c r="B691" s="67">
        <f>LOOKUP(A691+0.01,AmountsB!$A$4:$A$103,AmountsB!$B$4:$B$103)*0.1*$A$2</f>
        <v>0</v>
      </c>
      <c r="C691" s="68">
        <f t="shared" si="67"/>
        <v>625969.29735898925</v>
      </c>
      <c r="D691" s="67">
        <f t="array" ref="D691">SUM($B$7:$B686*$F$1009*EXP(-$F$1009*($A691-$A$7:$A686)))*$F$1010</f>
        <v>4355950.752030489</v>
      </c>
      <c r="E691" s="67">
        <f t="shared" si="65"/>
        <v>8.3042355651485362</v>
      </c>
      <c r="F691" s="70">
        <f t="shared" si="69"/>
        <v>0.50423318351581914</v>
      </c>
      <c r="G691" s="67">
        <f>E691/'Lookup Tables'!$C$48</f>
        <v>16.608471130297072</v>
      </c>
      <c r="H691" s="70">
        <f t="shared" si="66"/>
        <v>6.9727161243484138E-3</v>
      </c>
      <c r="I691" s="71">
        <f t="shared" si="70"/>
        <v>2.3916198427627787E-2</v>
      </c>
      <c r="L691" s="74"/>
      <c r="M691" s="74"/>
      <c r="N691" s="74"/>
      <c r="O691" s="74"/>
      <c r="P691" s="74"/>
      <c r="Q691" s="74"/>
      <c r="R691" s="74"/>
      <c r="S691" s="74"/>
      <c r="T691" s="74"/>
      <c r="U691" s="74"/>
      <c r="V691" s="74"/>
      <c r="W691" s="74"/>
      <c r="X691" s="74"/>
      <c r="Y691" s="74"/>
      <c r="Z691" s="74"/>
    </row>
    <row r="692" spans="1:26" x14ac:dyDescent="0.3">
      <c r="A692" s="66">
        <f t="shared" si="68"/>
        <v>2058.4999999999377</v>
      </c>
      <c r="B692" s="67">
        <f>LOOKUP(A692+0.01,AmountsB!$A$4:$A$103,AmountsB!$B$4:$B$103)*0.1*$A$2</f>
        <v>0</v>
      </c>
      <c r="C692" s="68">
        <f t="shared" si="67"/>
        <v>625969.29735898925</v>
      </c>
      <c r="D692" s="67">
        <f t="array" ref="D692">SUM($B$7:$B687*$F$1009*EXP(-$F$1009*($A692-$A$7:$A687)))*$F$1010</f>
        <v>4325565.5689797113</v>
      </c>
      <c r="E692" s="67">
        <f t="shared" si="65"/>
        <v>8.2463088960680384</v>
      </c>
      <c r="F692" s="70">
        <f t="shared" si="69"/>
        <v>0.50071587616925128</v>
      </c>
      <c r="G692" s="67">
        <f>E692/'Lookup Tables'!$C$48</f>
        <v>16.492617792136077</v>
      </c>
      <c r="H692" s="70">
        <f t="shared" si="66"/>
        <v>6.9240775451127144E-3</v>
      </c>
      <c r="I692" s="71">
        <f t="shared" si="70"/>
        <v>2.3749369620675947E-2</v>
      </c>
      <c r="L692" s="74"/>
      <c r="M692" s="74"/>
      <c r="N692" s="74"/>
      <c r="O692" s="74"/>
      <c r="P692" s="74"/>
      <c r="Q692" s="74"/>
      <c r="R692" s="74"/>
      <c r="S692" s="74"/>
      <c r="T692" s="74"/>
      <c r="U692" s="74"/>
      <c r="V692" s="74"/>
      <c r="W692" s="74"/>
      <c r="X692" s="74"/>
      <c r="Y692" s="74"/>
      <c r="Z692" s="74"/>
    </row>
    <row r="693" spans="1:26" x14ac:dyDescent="0.3">
      <c r="A693" s="66">
        <f t="shared" si="68"/>
        <v>2058.5999999999376</v>
      </c>
      <c r="B693" s="67">
        <f>LOOKUP(A693+0.01,AmountsB!$A$4:$A$103,AmountsB!$B$4:$B$103)*0.1*$A$2</f>
        <v>0</v>
      </c>
      <c r="C693" s="68">
        <f t="shared" si="67"/>
        <v>625969.29735898925</v>
      </c>
      <c r="D693" s="67">
        <f t="array" ref="D693">SUM($B$7:$B688*$F$1009*EXP(-$F$1009*($A693-$A$7:$A688)))*$F$1010</f>
        <v>4295392.3395072874</v>
      </c>
      <c r="E693" s="67">
        <f t="shared" si="65"/>
        <v>8.1887862977733974</v>
      </c>
      <c r="F693" s="70">
        <f t="shared" si="69"/>
        <v>0.49722310400080072</v>
      </c>
      <c r="G693" s="67">
        <f>E693/'Lookup Tables'!$C$48</f>
        <v>16.377572595546795</v>
      </c>
      <c r="H693" s="70">
        <f t="shared" si="66"/>
        <v>6.8757782470621207E-3</v>
      </c>
      <c r="I693" s="71">
        <f t="shared" si="70"/>
        <v>2.3583704537587385E-2</v>
      </c>
      <c r="L693" s="74"/>
      <c r="M693" s="74"/>
      <c r="N693" s="74"/>
      <c r="O693" s="74"/>
      <c r="P693" s="74"/>
      <c r="Q693" s="74"/>
      <c r="R693" s="74"/>
      <c r="S693" s="74"/>
      <c r="T693" s="74"/>
      <c r="U693" s="74"/>
      <c r="V693" s="74"/>
      <c r="W693" s="74"/>
      <c r="X693" s="74"/>
      <c r="Y693" s="74"/>
      <c r="Z693" s="74"/>
    </row>
    <row r="694" spans="1:26" x14ac:dyDescent="0.3">
      <c r="A694" s="66">
        <f t="shared" si="68"/>
        <v>2058.6999999999375</v>
      </c>
      <c r="B694" s="67">
        <f>LOOKUP(A694+0.01,AmountsB!$A$4:$A$103,AmountsB!$B$4:$B$103)*0.1*$A$2</f>
        <v>0</v>
      </c>
      <c r="C694" s="68">
        <f t="shared" si="67"/>
        <v>625969.29735898925</v>
      </c>
      <c r="D694" s="67">
        <f t="array" ref="D694">SUM($B$7:$B689*$F$1009*EXP(-$F$1009*($A694-$A$7:$A689)))*$F$1010</f>
        <v>4265429.5851189373</v>
      </c>
      <c r="E694" s="67">
        <f t="shared" si="65"/>
        <v>8.1316649516457886</v>
      </c>
      <c r="F694" s="70">
        <f t="shared" si="69"/>
        <v>0.49375469586393234</v>
      </c>
      <c r="G694" s="67">
        <f>E694/'Lookup Tables'!$C$48</f>
        <v>16.263329903291577</v>
      </c>
      <c r="H694" s="70">
        <f t="shared" si="66"/>
        <v>6.8278158635213604E-3</v>
      </c>
      <c r="I694" s="71">
        <f t="shared" si="70"/>
        <v>2.3419195060739872E-2</v>
      </c>
      <c r="L694" s="74"/>
      <c r="M694" s="74"/>
      <c r="N694" s="74"/>
      <c r="O694" s="74"/>
      <c r="P694" s="74"/>
      <c r="Q694" s="74"/>
      <c r="R694" s="74"/>
      <c r="S694" s="74"/>
      <c r="T694" s="74"/>
      <c r="U694" s="74"/>
      <c r="V694" s="74"/>
      <c r="W694" s="74"/>
      <c r="X694" s="74"/>
      <c r="Y694" s="74"/>
      <c r="Z694" s="74"/>
    </row>
    <row r="695" spans="1:26" x14ac:dyDescent="0.3">
      <c r="A695" s="66">
        <f t="shared" si="68"/>
        <v>2058.7999999999374</v>
      </c>
      <c r="B695" s="67">
        <f>LOOKUP(A695+0.01,AmountsB!$A$4:$A$103,AmountsB!$B$4:$B$103)*0.1*$A$2</f>
        <v>0</v>
      </c>
      <c r="C695" s="68">
        <f t="shared" si="67"/>
        <v>625969.29735898925</v>
      </c>
      <c r="D695" s="67">
        <f t="array" ref="D695">SUM($B$7:$B690*$F$1009*EXP(-$F$1009*($A695-$A$7:$A690)))*$F$1010</f>
        <v>4235675.8376336992</v>
      </c>
      <c r="E695" s="67">
        <f t="shared" si="65"/>
        <v>8.0749420587278227</v>
      </c>
      <c r="F695" s="70">
        <f t="shared" si="69"/>
        <v>0.49031048180595338</v>
      </c>
      <c r="G695" s="67">
        <f>E695/'Lookup Tables'!$C$48</f>
        <v>16.149884117455645</v>
      </c>
      <c r="H695" s="70">
        <f t="shared" si="66"/>
        <v>6.7801880443240474E-3</v>
      </c>
      <c r="I695" s="71">
        <f t="shared" si="70"/>
        <v>2.3255833129136129E-2</v>
      </c>
      <c r="L695" s="74"/>
      <c r="M695" s="74"/>
      <c r="N695" s="74"/>
      <c r="O695" s="74"/>
      <c r="P695" s="74"/>
      <c r="Q695" s="74"/>
      <c r="R695" s="74"/>
      <c r="S695" s="74"/>
      <c r="T695" s="74"/>
      <c r="U695" s="74"/>
      <c r="V695" s="74"/>
      <c r="W695" s="74"/>
      <c r="X695" s="74"/>
      <c r="Y695" s="74"/>
      <c r="Z695" s="74"/>
    </row>
    <row r="696" spans="1:26" x14ac:dyDescent="0.3">
      <c r="A696" s="66">
        <f t="shared" si="68"/>
        <v>2058.8999999999373</v>
      </c>
      <c r="B696" s="67">
        <f>LOOKUP(A696+0.01,AmountsB!$A$4:$A$103,AmountsB!$B$4:$B$103)*0.1*$A$2</f>
        <v>0</v>
      </c>
      <c r="C696" s="68">
        <f t="shared" si="67"/>
        <v>625969.29735898925</v>
      </c>
      <c r="D696" s="67">
        <f t="array" ref="D696">SUM($B$7:$B691*$F$1009*EXP(-$F$1009*($A696-$A$7:$A691)))*$F$1010</f>
        <v>4206129.6391119938</v>
      </c>
      <c r="E696" s="67">
        <f t="shared" si="65"/>
        <v>8.0186148395863963</v>
      </c>
      <c r="F696" s="70">
        <f t="shared" si="69"/>
        <v>0.48689029305968601</v>
      </c>
      <c r="G696" s="67">
        <f>E696/'Lookup Tables'!$C$48</f>
        <v>16.037229679172793</v>
      </c>
      <c r="H696" s="70">
        <f t="shared" si="66"/>
        <v>6.73289245569751E-3</v>
      </c>
      <c r="I696" s="71">
        <f t="shared" si="70"/>
        <v>2.3093610738008821E-2</v>
      </c>
      <c r="L696" s="74"/>
      <c r="M696" s="74"/>
      <c r="N696" s="74"/>
      <c r="O696" s="74"/>
      <c r="P696" s="74"/>
      <c r="Q696" s="74"/>
      <c r="R696" s="74"/>
      <c r="S696" s="74"/>
      <c r="T696" s="74"/>
      <c r="U696" s="74"/>
      <c r="V696" s="74"/>
      <c r="W696" s="74"/>
      <c r="X696" s="74"/>
      <c r="Y696" s="74"/>
      <c r="Z696" s="74"/>
    </row>
    <row r="697" spans="1:26" x14ac:dyDescent="0.3">
      <c r="A697" s="66">
        <f t="shared" si="68"/>
        <v>2058.9999999999372</v>
      </c>
      <c r="B697" s="67">
        <f>LOOKUP(A697+0.01,AmountsB!$A$4:$A$103,AmountsB!$B$4:$B$103)*0.1*$A$2</f>
        <v>0</v>
      </c>
      <c r="C697" s="68">
        <f t="shared" si="67"/>
        <v>625969.29735898925</v>
      </c>
      <c r="D697" s="67">
        <f t="array" ref="D697">SUM($B$7:$B692*$F$1009*EXP(-$F$1009*($A697-$A$7:$A692)))*$F$1010</f>
        <v>4176789.5417841836</v>
      </c>
      <c r="E697" s="67">
        <f t="shared" si="65"/>
        <v>7.9626805341765028</v>
      </c>
      <c r="F697" s="70">
        <f t="shared" si="69"/>
        <v>0.48349396203519723</v>
      </c>
      <c r="G697" s="67">
        <f>E697/'Lookup Tables'!$C$48</f>
        <v>15.925361068353006</v>
      </c>
      <c r="H697" s="70">
        <f t="shared" si="66"/>
        <v>6.6859267801484433E-3</v>
      </c>
      <c r="I697" s="71">
        <f t="shared" si="70"/>
        <v>2.293251993842833E-2</v>
      </c>
      <c r="L697" s="74"/>
      <c r="M697" s="74"/>
      <c r="N697" s="74"/>
      <c r="O697" s="74"/>
      <c r="P697" s="74"/>
      <c r="Q697" s="74"/>
      <c r="R697" s="74"/>
      <c r="S697" s="74"/>
      <c r="T697" s="74"/>
      <c r="U697" s="74"/>
      <c r="V697" s="74"/>
      <c r="W697" s="74"/>
      <c r="X697" s="74"/>
      <c r="Y697" s="74"/>
      <c r="Z697" s="74"/>
    </row>
    <row r="698" spans="1:26" x14ac:dyDescent="0.3">
      <c r="A698" s="66">
        <f t="shared" si="68"/>
        <v>2059.0999999999372</v>
      </c>
      <c r="B698" s="67">
        <f>LOOKUP(A698+0.01,AmountsB!$A$4:$A$103,AmountsB!$B$4:$B$103)*0.1*$A$2</f>
        <v>0</v>
      </c>
      <c r="C698" s="68">
        <f t="shared" si="67"/>
        <v>625969.29735898925</v>
      </c>
      <c r="D698" s="67">
        <f t="array" ref="D698">SUM($B$7:$B693*$F$1009*EXP(-$F$1009*($A698-$A$7:$A693)))*$F$1010</f>
        <v>4147654.1079796269</v>
      </c>
      <c r="E698" s="67">
        <f t="shared" si="65"/>
        <v>7.9071364017059853</v>
      </c>
      <c r="F698" s="70">
        <f t="shared" si="69"/>
        <v>0.48012132231158744</v>
      </c>
      <c r="G698" s="67">
        <f>E698/'Lookup Tables'!$C$48</f>
        <v>15.814272803411971</v>
      </c>
      <c r="H698" s="70">
        <f t="shared" si="66"/>
        <v>6.6392887163493463E-3</v>
      </c>
      <c r="I698" s="71">
        <f t="shared" si="70"/>
        <v>2.2772552836913238E-2</v>
      </c>
      <c r="L698" s="74"/>
      <c r="M698" s="74"/>
      <c r="N698" s="74"/>
      <c r="O698" s="74"/>
      <c r="P698" s="74"/>
      <c r="Q698" s="74"/>
      <c r="R698" s="74"/>
      <c r="S698" s="74"/>
      <c r="T698" s="74"/>
      <c r="U698" s="74"/>
      <c r="V698" s="74"/>
      <c r="W698" s="74"/>
      <c r="X698" s="74"/>
      <c r="Y698" s="74"/>
      <c r="Z698" s="74"/>
    </row>
    <row r="699" spans="1:26" x14ac:dyDescent="0.3">
      <c r="A699" s="66">
        <f t="shared" si="68"/>
        <v>2059.1999999999371</v>
      </c>
      <c r="B699" s="67">
        <f>LOOKUP(A699+0.01,AmountsB!$A$4:$A$103,AmountsB!$B$4:$B$103)*0.1*$A$2</f>
        <v>0</v>
      </c>
      <c r="C699" s="68">
        <f t="shared" si="67"/>
        <v>625969.29735898925</v>
      </c>
      <c r="D699" s="67">
        <f t="array" ref="D699">SUM($B$7:$B694*$F$1009*EXP(-$F$1009*($A699-$A$7:$A694)))*$F$1010</f>
        <v>4118721.9100562404</v>
      </c>
      <c r="E699" s="67">
        <f t="shared" si="65"/>
        <v>7.8519797205012436</v>
      </c>
      <c r="F699" s="70">
        <f t="shared" si="69"/>
        <v>0.47677220862883551</v>
      </c>
      <c r="G699" s="67">
        <f>E699/'Lookup Tables'!$C$48</f>
        <v>15.703959441002487</v>
      </c>
      <c r="H699" s="70">
        <f t="shared" si="66"/>
        <v>6.5929759790257676E-3</v>
      </c>
      <c r="I699" s="71">
        <f t="shared" si="70"/>
        <v>2.261370159504358E-2</v>
      </c>
      <c r="L699" s="74"/>
      <c r="M699" s="74"/>
      <c r="N699" s="74"/>
      <c r="O699" s="74"/>
      <c r="P699" s="74"/>
      <c r="Q699" s="74"/>
      <c r="R699" s="74"/>
      <c r="S699" s="74"/>
      <c r="T699" s="74"/>
      <c r="U699" s="74"/>
      <c r="V699" s="74"/>
      <c r="W699" s="74"/>
      <c r="X699" s="74"/>
      <c r="Y699" s="74"/>
      <c r="Z699" s="74"/>
    </row>
    <row r="700" spans="1:26" x14ac:dyDescent="0.3">
      <c r="A700" s="66">
        <f t="shared" si="68"/>
        <v>2059.299999999937</v>
      </c>
      <c r="B700" s="67">
        <f>LOOKUP(A700+0.01,AmountsB!$A$4:$A$103,AmountsB!$B$4:$B$103)*0.1*$A$2</f>
        <v>0</v>
      </c>
      <c r="C700" s="68">
        <f t="shared" si="67"/>
        <v>625969.29735898925</v>
      </c>
      <c r="D700" s="67">
        <f t="array" ref="D700">SUM($B$7:$B695*$F$1009*EXP(-$F$1009*($A700-$A$7:$A695)))*$F$1010</f>
        <v>4089991.5303305336</v>
      </c>
      <c r="E700" s="67">
        <f t="shared" si="65"/>
        <v>7.7972077878738553</v>
      </c>
      <c r="F700" s="70">
        <f t="shared" si="69"/>
        <v>0.47344645687970049</v>
      </c>
      <c r="G700" s="67">
        <f>E700/'Lookup Tables'!$C$48</f>
        <v>15.594415575747711</v>
      </c>
      <c r="H700" s="70">
        <f t="shared" si="66"/>
        <v>6.5469862988443029E-3</v>
      </c>
      <c r="I700" s="71">
        <f t="shared" si="70"/>
        <v>2.2455958429076703E-2</v>
      </c>
      <c r="L700" s="74"/>
      <c r="M700" s="74"/>
      <c r="N700" s="74"/>
      <c r="O700" s="74"/>
      <c r="P700" s="74"/>
      <c r="Q700" s="74"/>
      <c r="R700" s="74"/>
      <c r="S700" s="74"/>
      <c r="T700" s="74"/>
      <c r="U700" s="74"/>
      <c r="V700" s="74"/>
      <c r="W700" s="74"/>
      <c r="X700" s="74"/>
      <c r="Y700" s="74"/>
      <c r="Z700" s="74"/>
    </row>
    <row r="701" spans="1:26" x14ac:dyDescent="0.3">
      <c r="A701" s="66">
        <f t="shared" si="68"/>
        <v>2059.3999999999369</v>
      </c>
      <c r="B701" s="67">
        <f>LOOKUP(A701+0.01,AmountsB!$A$4:$A$103,AmountsB!$B$4:$B$103)*0.1*$A$2</f>
        <v>0</v>
      </c>
      <c r="C701" s="68">
        <f t="shared" si="67"/>
        <v>625969.29735898925</v>
      </c>
      <c r="D701" s="67">
        <f t="array" ref="D701">SUM($B$7:$B696*$F$1009*EXP(-$F$1009*($A701-$A$7:$A696)))*$F$1010</f>
        <v>4061461.5610081535</v>
      </c>
      <c r="E701" s="67">
        <f t="shared" si="65"/>
        <v>7.7428179199881662</v>
      </c>
      <c r="F701" s="70">
        <f t="shared" si="69"/>
        <v>0.47014390410168144</v>
      </c>
      <c r="G701" s="67">
        <f>E701/'Lookup Tables'!$C$48</f>
        <v>15.485635839976332</v>
      </c>
      <c r="H701" s="70">
        <f t="shared" si="66"/>
        <v>6.5013174223014277E-3</v>
      </c>
      <c r="I701" s="71">
        <f t="shared" si="70"/>
        <v>2.2299315609565919E-2</v>
      </c>
      <c r="L701" s="74"/>
      <c r="M701" s="74"/>
      <c r="N701" s="74"/>
      <c r="O701" s="74"/>
      <c r="P701" s="74"/>
      <c r="Q701" s="74"/>
      <c r="R701" s="74"/>
      <c r="S701" s="74"/>
      <c r="T701" s="74"/>
      <c r="U701" s="74"/>
      <c r="V701" s="74"/>
      <c r="W701" s="74"/>
      <c r="X701" s="74"/>
      <c r="Y701" s="74"/>
      <c r="Z701" s="74"/>
    </row>
    <row r="702" spans="1:26" x14ac:dyDescent="0.3">
      <c r="A702" s="66">
        <f t="shared" si="68"/>
        <v>2059.4999999999368</v>
      </c>
      <c r="B702" s="67">
        <f>LOOKUP(A702+0.01,AmountsB!$A$4:$A$103,AmountsB!$B$4:$B$103)*0.1*$A$2</f>
        <v>0</v>
      </c>
      <c r="C702" s="68">
        <f t="shared" si="67"/>
        <v>625969.29735898925</v>
      </c>
      <c r="D702" s="67">
        <f t="array" ref="D702">SUM($B$7:$B697*$F$1009*EXP(-$F$1009*($A702-$A$7:$A697)))*$F$1010</f>
        <v>4033130.6041148952</v>
      </c>
      <c r="E702" s="67">
        <f t="shared" si="65"/>
        <v>7.6888074517297689</v>
      </c>
      <c r="F702" s="70">
        <f t="shared" si="69"/>
        <v>0.46686438846903155</v>
      </c>
      <c r="G702" s="67">
        <f>E702/'Lookup Tables'!$C$48</f>
        <v>15.377614903459538</v>
      </c>
      <c r="H702" s="70">
        <f t="shared" si="66"/>
        <v>6.455967111613053E-3</v>
      </c>
      <c r="I702" s="71">
        <f t="shared" si="70"/>
        <v>2.2143765460981731E-2</v>
      </c>
      <c r="L702" s="74"/>
      <c r="M702" s="74"/>
      <c r="N702" s="74"/>
      <c r="O702" s="74"/>
      <c r="P702" s="74"/>
      <c r="Q702" s="74"/>
      <c r="R702" s="74"/>
      <c r="S702" s="74"/>
      <c r="T702" s="74"/>
      <c r="U702" s="74"/>
      <c r="V702" s="74"/>
      <c r="W702" s="74"/>
      <c r="X702" s="74"/>
      <c r="Y702" s="74"/>
      <c r="Z702" s="74"/>
    </row>
    <row r="703" spans="1:26" x14ac:dyDescent="0.3">
      <c r="A703" s="66">
        <f t="shared" si="68"/>
        <v>2059.5999999999367</v>
      </c>
      <c r="B703" s="67">
        <f>LOOKUP(A703+0.01,AmountsB!$A$4:$A$103,AmountsB!$B$4:$B$103)*0.1*$A$2</f>
        <v>0</v>
      </c>
      <c r="C703" s="68">
        <f t="shared" si="67"/>
        <v>625969.29735898925</v>
      </c>
      <c r="D703" s="67">
        <f t="array" ref="D703">SUM($B$7:$B698*$F$1009*EXP(-$F$1009*($A703-$A$7:$A698)))*$F$1010</f>
        <v>4004997.2714282018</v>
      </c>
      <c r="E703" s="67">
        <f t="shared" si="65"/>
        <v>7.6351737365749095</v>
      </c>
      <c r="F703" s="70">
        <f t="shared" si="69"/>
        <v>0.46360774928482851</v>
      </c>
      <c r="G703" s="67">
        <f>E703/'Lookup Tables'!$C$48</f>
        <v>15.270347473149819</v>
      </c>
      <c r="H703" s="70">
        <f t="shared" si="66"/>
        <v>6.4109331446048808E-3</v>
      </c>
      <c r="I703" s="71">
        <f t="shared" si="70"/>
        <v>2.1989300361335739E-2</v>
      </c>
      <c r="L703" s="74"/>
      <c r="M703" s="74"/>
      <c r="N703" s="74"/>
      <c r="O703" s="74"/>
      <c r="P703" s="74"/>
      <c r="Q703" s="74"/>
      <c r="R703" s="74"/>
      <c r="S703" s="74"/>
      <c r="T703" s="74"/>
      <c r="U703" s="74"/>
      <c r="V703" s="74"/>
      <c r="W703" s="74"/>
      <c r="X703" s="74"/>
      <c r="Y703" s="74"/>
      <c r="Z703" s="74"/>
    </row>
    <row r="704" spans="1:26" x14ac:dyDescent="0.3">
      <c r="A704" s="66">
        <f t="shared" si="68"/>
        <v>2059.6999999999366</v>
      </c>
      <c r="B704" s="67">
        <f>LOOKUP(A704+0.01,AmountsB!$A$4:$A$103,AmountsB!$B$4:$B$103)*0.1*$A$2</f>
        <v>0</v>
      </c>
      <c r="C704" s="68">
        <f t="shared" si="67"/>
        <v>625969.29735898925</v>
      </c>
      <c r="D704" s="67">
        <f t="array" ref="D704">SUM($B$7:$B699*$F$1009*EXP(-$F$1009*($A704-$A$7:$A699)))*$F$1010</f>
        <v>3977060.184409142</v>
      </c>
      <c r="E704" s="67">
        <f t="shared" si="65"/>
        <v>7.5819141464608162</v>
      </c>
      <c r="F704" s="70">
        <f t="shared" si="69"/>
        <v>0.46037382697310075</v>
      </c>
      <c r="G704" s="67">
        <f>E704/'Lookup Tables'!$C$48</f>
        <v>15.163828292921632</v>
      </c>
      <c r="H704" s="70">
        <f t="shared" si="66"/>
        <v>6.3662133146035168E-3</v>
      </c>
      <c r="I704" s="71">
        <f t="shared" si="70"/>
        <v>2.1835912741807153E-2</v>
      </c>
      <c r="L704" s="74"/>
      <c r="M704" s="74"/>
      <c r="N704" s="74"/>
      <c r="O704" s="74"/>
      <c r="P704" s="74"/>
      <c r="Q704" s="74"/>
      <c r="R704" s="74"/>
      <c r="S704" s="74"/>
      <c r="T704" s="74"/>
      <c r="U704" s="74"/>
      <c r="V704" s="74"/>
      <c r="W704" s="74"/>
      <c r="X704" s="74"/>
      <c r="Y704" s="74"/>
      <c r="Z704" s="74"/>
    </row>
    <row r="705" spans="1:26" x14ac:dyDescent="0.3">
      <c r="A705" s="66">
        <f t="shared" si="68"/>
        <v>2059.7999999999365</v>
      </c>
      <c r="B705" s="67">
        <f>LOOKUP(A705+0.01,AmountsB!$A$4:$A$103,AmountsB!$B$4:$B$103)*0.1*$A$2</f>
        <v>0</v>
      </c>
      <c r="C705" s="68">
        <f t="shared" si="67"/>
        <v>625969.29735898925</v>
      </c>
      <c r="D705" s="67">
        <f t="array" ref="D705">SUM($B$7:$B700*$F$1009*EXP(-$F$1009*($A705-$A$7:$A700)))*$F$1010</f>
        <v>3949317.974134862</v>
      </c>
      <c r="E705" s="67">
        <f t="shared" si="65"/>
        <v>7.5290260716569124</v>
      </c>
      <c r="F705" s="70">
        <f t="shared" si="69"/>
        <v>0.45716246307100766</v>
      </c>
      <c r="G705" s="67">
        <f>E705/'Lookup Tables'!$C$48</f>
        <v>15.058052143313825</v>
      </c>
      <c r="H705" s="70">
        <f t="shared" si="66"/>
        <v>6.3218054303283396E-3</v>
      </c>
      <c r="I705" s="71">
        <f t="shared" si="70"/>
        <v>2.168359508637191E-2</v>
      </c>
      <c r="L705" s="74"/>
      <c r="M705" s="74"/>
      <c r="N705" s="74"/>
      <c r="O705" s="74"/>
      <c r="P705" s="74"/>
      <c r="Q705" s="74"/>
      <c r="R705" s="74"/>
      <c r="S705" s="74"/>
      <c r="T705" s="74"/>
      <c r="U705" s="74"/>
      <c r="V705" s="74"/>
      <c r="W705" s="74"/>
      <c r="X705" s="74"/>
      <c r="Y705" s="74"/>
      <c r="Z705" s="74"/>
    </row>
    <row r="706" spans="1:26" x14ac:dyDescent="0.3">
      <c r="A706" s="66">
        <f t="shared" si="68"/>
        <v>2059.8999999999364</v>
      </c>
      <c r="B706" s="67">
        <f>LOOKUP(A706+0.01,AmountsB!$A$4:$A$103,AmountsB!$B$4:$B$103)*0.1*$A$2</f>
        <v>0</v>
      </c>
      <c r="C706" s="68">
        <f t="shared" si="67"/>
        <v>625969.29735898925</v>
      </c>
      <c r="D706" s="67">
        <f t="array" ref="D706">SUM($B$7:$B701*$F$1009*EXP(-$F$1009*($A706-$A$7:$A701)))*$F$1010</f>
        <v>3921769.28123151</v>
      </c>
      <c r="E706" s="67">
        <f t="shared" si="65"/>
        <v>7.4765069206369592</v>
      </c>
      <c r="F706" s="70">
        <f t="shared" si="69"/>
        <v>0.45397350022107613</v>
      </c>
      <c r="G706" s="67">
        <f>E706/'Lookup Tables'!$C$48</f>
        <v>14.953013841273918</v>
      </c>
      <c r="H706" s="70">
        <f t="shared" si="66"/>
        <v>6.2777073157841414E-3</v>
      </c>
      <c r="I706" s="71">
        <f t="shared" si="70"/>
        <v>2.1532339931434441E-2</v>
      </c>
      <c r="L706" s="74"/>
      <c r="M706" s="74"/>
      <c r="N706" s="74"/>
      <c r="O706" s="74"/>
      <c r="P706" s="74"/>
      <c r="Q706" s="74"/>
      <c r="R706" s="74"/>
      <c r="S706" s="74"/>
      <c r="T706" s="74"/>
      <c r="U706" s="74"/>
      <c r="V706" s="74"/>
      <c r="W706" s="74"/>
      <c r="X706" s="74"/>
      <c r="Y706" s="74"/>
      <c r="Z706" s="74"/>
    </row>
    <row r="707" spans="1:26" x14ac:dyDescent="0.3">
      <c r="A707" s="66">
        <f t="shared" si="68"/>
        <v>2059.9999999999363</v>
      </c>
      <c r="B707" s="67">
        <f>LOOKUP(A707+0.01,AmountsB!$A$4:$A$103,AmountsB!$B$4:$B$103)*0.1*$A$2</f>
        <v>0</v>
      </c>
      <c r="C707" s="68">
        <f t="shared" si="67"/>
        <v>625969.29735898925</v>
      </c>
      <c r="D707" s="67">
        <f t="array" ref="D707">SUM($B$7:$B702*$F$1009*EXP(-$F$1009*($A707-$A$7:$A702)))*$F$1010</f>
        <v>3894412.7558076191</v>
      </c>
      <c r="E707" s="67">
        <f t="shared" si="65"/>
        <v>7.4243541199520404</v>
      </c>
      <c r="F707" s="70">
        <f t="shared" si="69"/>
        <v>0.45080678216348785</v>
      </c>
      <c r="G707" s="67">
        <f>E707/'Lookup Tables'!$C$48</f>
        <v>14.848708239904081</v>
      </c>
      <c r="H707" s="70">
        <f t="shared" si="66"/>
        <v>6.2339168101544816E-3</v>
      </c>
      <c r="I707" s="71">
        <f t="shared" si="70"/>
        <v>2.1382139865461874E-2</v>
      </c>
      <c r="L707" s="74"/>
      <c r="M707" s="74"/>
      <c r="N707" s="74"/>
      <c r="O707" s="74"/>
      <c r="P707" s="74"/>
      <c r="Q707" s="74"/>
      <c r="R707" s="74"/>
      <c r="S707" s="74"/>
      <c r="T707" s="74"/>
      <c r="U707" s="74"/>
      <c r="V707" s="74"/>
      <c r="W707" s="74"/>
      <c r="X707" s="74"/>
      <c r="Y707" s="74"/>
      <c r="Z707" s="74"/>
    </row>
    <row r="708" spans="1:26" x14ac:dyDescent="0.3">
      <c r="A708" s="66">
        <f t="shared" si="68"/>
        <v>2060.0999999999362</v>
      </c>
      <c r="B708" s="67">
        <f>LOOKUP(A708+0.01,AmountsB!$A$4:$A$103,AmountsB!$B$4:$B$103)*0.1*$A$2</f>
        <v>0</v>
      </c>
      <c r="C708" s="68">
        <f t="shared" si="67"/>
        <v>625969.29735898925</v>
      </c>
      <c r="D708" s="67">
        <f t="array" ref="D708">SUM($B$7:$B703*$F$1009*EXP(-$F$1009*($A708-$A$7:$A703)))*$F$1010</f>
        <v>3867247.0573879709</v>
      </c>
      <c r="E708" s="67">
        <f t="shared" si="65"/>
        <v>7.3725651141044919</v>
      </c>
      <c r="F708" s="70">
        <f t="shared" si="69"/>
        <v>0.44766215372842477</v>
      </c>
      <c r="G708" s="67">
        <f>E708/'Lookup Tables'!$C$48</f>
        <v>14.745130228208984</v>
      </c>
      <c r="H708" s="70">
        <f t="shared" si="66"/>
        <v>6.1904317676958242E-3</v>
      </c>
      <c r="I708" s="71">
        <f t="shared" si="70"/>
        <v>2.1232987528620937E-2</v>
      </c>
      <c r="L708" s="74"/>
      <c r="M708" s="74"/>
      <c r="N708" s="74"/>
      <c r="O708" s="74"/>
      <c r="P708" s="74"/>
      <c r="Q708" s="74"/>
      <c r="R708" s="74"/>
      <c r="S708" s="74"/>
      <c r="T708" s="74"/>
      <c r="U708" s="74"/>
      <c r="V708" s="74"/>
      <c r="W708" s="74"/>
      <c r="X708" s="74"/>
      <c r="Y708" s="74"/>
      <c r="Z708" s="74"/>
    </row>
    <row r="709" spans="1:26" x14ac:dyDescent="0.3">
      <c r="A709" s="66">
        <f t="shared" si="68"/>
        <v>2060.1999999999362</v>
      </c>
      <c r="B709" s="67">
        <f>LOOKUP(A709+0.01,AmountsB!$A$4:$A$103,AmountsB!$B$4:$B$103)*0.1*$A$2</f>
        <v>0</v>
      </c>
      <c r="C709" s="68">
        <f t="shared" si="67"/>
        <v>625969.29735898925</v>
      </c>
      <c r="D709" s="67">
        <f t="array" ref="D709">SUM($B$7:$B704*$F$1009*EXP(-$F$1009*($A709-$A$7:$A704)))*$F$1010</f>
        <v>3840270.8548479057</v>
      </c>
      <c r="E709" s="67">
        <f t="shared" si="65"/>
        <v>7.3211373654226604</v>
      </c>
      <c r="F709" s="70">
        <f t="shared" si="69"/>
        <v>0.44453946082846396</v>
      </c>
      <c r="G709" s="67">
        <f>E709/'Lookup Tables'!$C$48</f>
        <v>14.642274730845321</v>
      </c>
      <c r="H709" s="70">
        <f t="shared" si="66"/>
        <v>6.1472500576323849E-3</v>
      </c>
      <c r="I709" s="71">
        <f t="shared" si="70"/>
        <v>2.1084875612417262E-2</v>
      </c>
      <c r="L709" s="74"/>
      <c r="M709" s="74"/>
      <c r="N709" s="74"/>
      <c r="O709" s="74"/>
      <c r="P709" s="74"/>
      <c r="Q709" s="74"/>
      <c r="R709" s="74"/>
      <c r="S709" s="74"/>
      <c r="T709" s="74"/>
      <c r="U709" s="74"/>
      <c r="V709" s="74"/>
      <c r="W709" s="74"/>
      <c r="X709" s="74"/>
      <c r="Y709" s="74"/>
      <c r="Z709" s="74"/>
    </row>
    <row r="710" spans="1:26" x14ac:dyDescent="0.3">
      <c r="A710" s="66">
        <f t="shared" si="68"/>
        <v>2060.2999999999361</v>
      </c>
      <c r="B710" s="67">
        <f>LOOKUP(A710+0.01,AmountsB!$A$4:$A$103,AmountsB!$B$4:$B$103)*0.1*$A$2</f>
        <v>0</v>
      </c>
      <c r="C710" s="68">
        <f t="shared" si="67"/>
        <v>625969.29735898925</v>
      </c>
      <c r="D710" s="67">
        <f t="array" ref="D710">SUM($B$7:$B705*$F$1009*EXP(-$F$1009*($A710-$A$7:$A705)))*$F$1010</f>
        <v>3813482.8263481045</v>
      </c>
      <c r="E710" s="67">
        <f t="shared" si="65"/>
        <v>7.2700683539365762</v>
      </c>
      <c r="F710" s="70">
        <f t="shared" si="69"/>
        <v>0.44143855045102892</v>
      </c>
      <c r="G710" s="67">
        <f>E710/'Lookup Tables'!$C$48</f>
        <v>14.540136707873152</v>
      </c>
      <c r="H710" s="70">
        <f t="shared" si="66"/>
        <v>6.1043695640517343E-3</v>
      </c>
      <c r="I710" s="71">
        <f t="shared" si="70"/>
        <v>2.0937796859337336E-2</v>
      </c>
      <c r="L710" s="74"/>
      <c r="M710" s="74"/>
      <c r="N710" s="74"/>
      <c r="O710" s="74"/>
      <c r="P710" s="74"/>
      <c r="Q710" s="74"/>
      <c r="R710" s="74"/>
      <c r="S710" s="74"/>
      <c r="T710" s="74"/>
      <c r="U710" s="74"/>
      <c r="V710" s="74"/>
      <c r="W710" s="74"/>
      <c r="X710" s="74"/>
      <c r="Y710" s="74"/>
      <c r="Z710" s="74"/>
    </row>
    <row r="711" spans="1:26" x14ac:dyDescent="0.3">
      <c r="A711" s="66">
        <f t="shared" si="68"/>
        <v>2060.399999999936</v>
      </c>
      <c r="B711" s="67">
        <f>LOOKUP(A711+0.01,AmountsB!$A$4:$A$103,AmountsB!$B$4:$B$103)*0.1*$A$2</f>
        <v>0</v>
      </c>
      <c r="C711" s="68">
        <f t="shared" si="67"/>
        <v>625969.29735898925</v>
      </c>
      <c r="D711" s="67">
        <f t="array" ref="D711">SUM($B$7:$B706*$F$1009*EXP(-$F$1009*($A711-$A$7:$A706)))*$F$1010</f>
        <v>3786881.6592698088</v>
      </c>
      <c r="E711" s="67">
        <f t="shared" ref="E711:E774" si="71">D711/(365*24*60)*1.00201</f>
        <v>7.2193555772544542</v>
      </c>
      <c r="F711" s="70">
        <f t="shared" si="69"/>
        <v>0.43835927065089048</v>
      </c>
      <c r="G711" s="67">
        <f>E711/'Lookup Tables'!$C$48</f>
        <v>14.438711154508908</v>
      </c>
      <c r="H711" s="70">
        <f t="shared" ref="H711:H774" si="72">G711*60*24*365/(C711*2000)</f>
        <v>6.0617881858011074E-3</v>
      </c>
      <c r="I711" s="71">
        <f t="shared" si="70"/>
        <v>2.0791744062492828E-2</v>
      </c>
      <c r="L711" s="74"/>
      <c r="M711" s="74"/>
      <c r="N711" s="74"/>
      <c r="O711" s="74"/>
      <c r="P711" s="74"/>
      <c r="Q711" s="74"/>
      <c r="R711" s="74"/>
      <c r="S711" s="74"/>
      <c r="T711" s="74"/>
      <c r="U711" s="74"/>
      <c r="V711" s="74"/>
      <c r="W711" s="74"/>
      <c r="X711" s="74"/>
      <c r="Y711" s="74"/>
      <c r="Z711" s="74"/>
    </row>
    <row r="712" spans="1:26" x14ac:dyDescent="0.3">
      <c r="A712" s="66">
        <f t="shared" si="68"/>
        <v>2060.4999999999359</v>
      </c>
      <c r="B712" s="67">
        <f>LOOKUP(A712+0.01,AmountsB!$A$4:$A$103,AmountsB!$B$4:$B$103)*0.1*$A$2</f>
        <v>0</v>
      </c>
      <c r="C712" s="68">
        <f t="shared" si="67"/>
        <v>625969.29735898925</v>
      </c>
      <c r="D712" s="67">
        <f t="array" ref="D712">SUM($B$7:$B707*$F$1009*EXP(-$F$1009*($A712-$A$7:$A707)))*$F$1010</f>
        <v>3760466.0501505109</v>
      </c>
      <c r="E712" s="67">
        <f t="shared" si="71"/>
        <v>7.1689965504400943</v>
      </c>
      <c r="F712" s="70">
        <f t="shared" si="69"/>
        <v>0.4353014705427225</v>
      </c>
      <c r="G712" s="67">
        <f>E712/'Lookup Tables'!$C$48</f>
        <v>14.337993100880189</v>
      </c>
      <c r="H712" s="70">
        <f t="shared" si="72"/>
        <v>6.0195038363844485E-3</v>
      </c>
      <c r="I712" s="71">
        <f t="shared" si="70"/>
        <v>2.0646710065267471E-2</v>
      </c>
      <c r="L712" s="74"/>
      <c r="M712" s="74"/>
      <c r="N712" s="74"/>
      <c r="O712" s="74"/>
      <c r="P712" s="74"/>
      <c r="Q712" s="74"/>
      <c r="R712" s="74"/>
      <c r="S712" s="74"/>
      <c r="T712" s="74"/>
      <c r="U712" s="74"/>
      <c r="V712" s="74"/>
      <c r="W712" s="74"/>
      <c r="X712" s="74"/>
      <c r="Y712" s="74"/>
      <c r="Z712" s="74"/>
    </row>
    <row r="713" spans="1:26" x14ac:dyDescent="0.3">
      <c r="A713" s="66">
        <f t="shared" si="68"/>
        <v>2060.5999999999358</v>
      </c>
      <c r="B713" s="67">
        <f>LOOKUP(A713+0.01,AmountsB!$A$4:$A$103,AmountsB!$B$4:$B$103)*0.1*$A$2</f>
        <v>0</v>
      </c>
      <c r="C713" s="68">
        <f t="shared" ref="C713:C776" si="73">C712+B713</f>
        <v>625969.29735898925</v>
      </c>
      <c r="D713" s="67">
        <f t="array" ref="D713">SUM($B$7:$B708*$F$1009*EXP(-$F$1009*($A713-$A$7:$A708)))*$F$1010</f>
        <v>3734234.7046200777</v>
      </c>
      <c r="E713" s="67">
        <f t="shared" si="71"/>
        <v>7.1189888058911048</v>
      </c>
      <c r="F713" s="70">
        <f t="shared" si="69"/>
        <v>0.4322650002937079</v>
      </c>
      <c r="G713" s="67">
        <f>E713/'Lookup Tables'!$C$48</f>
        <v>14.23797761178221</v>
      </c>
      <c r="H713" s="70">
        <f t="shared" si="72"/>
        <v>5.9775144438601784E-3</v>
      </c>
      <c r="I713" s="71">
        <f t="shared" si="70"/>
        <v>2.0502687760966382E-2</v>
      </c>
      <c r="L713" s="74"/>
      <c r="M713" s="74"/>
      <c r="N713" s="74"/>
      <c r="O713" s="74"/>
      <c r="P713" s="74"/>
      <c r="Q713" s="74"/>
      <c r="R713" s="74"/>
      <c r="S713" s="74"/>
      <c r="T713" s="74"/>
      <c r="U713" s="74"/>
      <c r="V713" s="74"/>
      <c r="W713" s="74"/>
      <c r="X713" s="74"/>
      <c r="Y713" s="74"/>
      <c r="Z713" s="74"/>
    </row>
    <row r="714" spans="1:26" x14ac:dyDescent="0.3">
      <c r="A714" s="66">
        <f t="shared" si="68"/>
        <v>2060.6999999999357</v>
      </c>
      <c r="B714" s="67">
        <f>LOOKUP(A714+0.01,AmountsB!$A$4:$A$103,AmountsB!$B$4:$B$103)*0.1*$A$2</f>
        <v>0</v>
      </c>
      <c r="C714" s="68">
        <f t="shared" si="73"/>
        <v>625969.29735898925</v>
      </c>
      <c r="D714" s="67">
        <f t="array" ref="D714">SUM($B$7:$B709*$F$1009*EXP(-$F$1009*($A714-$A$7:$A709)))*$F$1010</f>
        <v>3708186.3373373304</v>
      </c>
      <c r="E714" s="67">
        <f t="shared" si="71"/>
        <v>7.0693298932179962</v>
      </c>
      <c r="F714" s="70">
        <f t="shared" si="69"/>
        <v>0.4292497111161967</v>
      </c>
      <c r="G714" s="67">
        <f>E714/'Lookup Tables'!$C$48</f>
        <v>14.138659786435992</v>
      </c>
      <c r="H714" s="70">
        <f t="shared" si="72"/>
        <v>5.9358179507396584E-3</v>
      </c>
      <c r="I714" s="71">
        <f t="shared" si="70"/>
        <v>2.0359670092467828E-2</v>
      </c>
      <c r="L714" s="74"/>
      <c r="M714" s="74"/>
      <c r="N714" s="74"/>
      <c r="O714" s="74"/>
      <c r="P714" s="74"/>
      <c r="Q714" s="74"/>
      <c r="R714" s="74"/>
      <c r="S714" s="74"/>
      <c r="T714" s="74"/>
      <c r="U714" s="74"/>
      <c r="V714" s="74"/>
      <c r="W714" s="74"/>
      <c r="X714" s="74"/>
      <c r="Y714" s="74"/>
      <c r="Z714" s="74"/>
    </row>
    <row r="715" spans="1:26" x14ac:dyDescent="0.3">
      <c r="A715" s="66">
        <f t="shared" si="68"/>
        <v>2060.7999999999356</v>
      </c>
      <c r="B715" s="67">
        <f>LOOKUP(A715+0.01,AmountsB!$A$4:$A$103,AmountsB!$B$4:$B$103)*0.1*$A$2</f>
        <v>0</v>
      </c>
      <c r="C715" s="68">
        <f t="shared" si="73"/>
        <v>625969.29735898925</v>
      </c>
      <c r="D715" s="67">
        <f t="array" ref="D715">SUM($B$7:$B710*$F$1009*EXP(-$F$1009*($A715-$A$7:$A710)))*$F$1010</f>
        <v>3682319.6719270595</v>
      </c>
      <c r="E715" s="67">
        <f t="shared" si="71"/>
        <v>7.0200173791241118</v>
      </c>
      <c r="F715" s="70">
        <f t="shared" si="69"/>
        <v>0.42625545526041608</v>
      </c>
      <c r="G715" s="67">
        <f>E715/'Lookup Tables'!$C$48</f>
        <v>14.040034758248224</v>
      </c>
      <c r="H715" s="70">
        <f t="shared" si="72"/>
        <v>5.8944123138863829E-3</v>
      </c>
      <c r="I715" s="71">
        <f t="shared" si="70"/>
        <v>2.021765005187744E-2</v>
      </c>
      <c r="L715" s="74"/>
      <c r="M715" s="74"/>
      <c r="N715" s="74"/>
      <c r="O715" s="74"/>
      <c r="P715" s="74"/>
      <c r="Q715" s="74"/>
      <c r="R715" s="74"/>
      <c r="S715" s="74"/>
      <c r="T715" s="74"/>
      <c r="U715" s="74"/>
      <c r="V715" s="74"/>
      <c r="W715" s="74"/>
      <c r="X715" s="74"/>
      <c r="Y715" s="74"/>
      <c r="Z715" s="74"/>
    </row>
    <row r="716" spans="1:26" x14ac:dyDescent="0.3">
      <c r="A716" s="66">
        <f t="shared" si="68"/>
        <v>2060.8999999999355</v>
      </c>
      <c r="B716" s="67">
        <f>LOOKUP(A716+0.01,AmountsB!$A$4:$A$103,AmountsB!$B$4:$B$103)*0.1*$A$2</f>
        <v>0</v>
      </c>
      <c r="C716" s="68">
        <f t="shared" si="73"/>
        <v>625969.29735898925</v>
      </c>
      <c r="D716" s="67">
        <f t="array" ref="D716">SUM($B$7:$B711*$F$1009*EXP(-$F$1009*($A716-$A$7:$A711)))*$F$1010</f>
        <v>3656633.4409174845</v>
      </c>
      <c r="E716" s="67">
        <f t="shared" si="71"/>
        <v>6.9710488472863945</v>
      </c>
      <c r="F716" s="70">
        <f t="shared" si="69"/>
        <v>0.42328208600722989</v>
      </c>
      <c r="G716" s="67">
        <f>E716/'Lookup Tables'!$C$48</f>
        <v>13.942097694572789</v>
      </c>
      <c r="H716" s="70">
        <f t="shared" si="72"/>
        <v>5.8532955044158638E-3</v>
      </c>
      <c r="I716" s="71">
        <f t="shared" si="70"/>
        <v>2.0076620680184818E-2</v>
      </c>
      <c r="L716" s="74"/>
      <c r="M716" s="74"/>
      <c r="N716" s="74"/>
      <c r="O716" s="74"/>
      <c r="P716" s="74"/>
      <c r="Q716" s="74"/>
      <c r="R716" s="74"/>
      <c r="S716" s="74"/>
      <c r="T716" s="74"/>
      <c r="U716" s="74"/>
      <c r="V716" s="74"/>
      <c r="W716" s="74"/>
      <c r="X716" s="74"/>
      <c r="Y716" s="74"/>
      <c r="Z716" s="74"/>
    </row>
    <row r="717" spans="1:26" x14ac:dyDescent="0.3">
      <c r="A717" s="66">
        <f t="shared" si="68"/>
        <v>2060.9999999999354</v>
      </c>
      <c r="B717" s="67">
        <f>LOOKUP(A717+0.01,AmountsB!$A$4:$A$103,AmountsB!$B$4:$B$103)*0.1*$A$2</f>
        <v>0</v>
      </c>
      <c r="C717" s="68">
        <f t="shared" si="73"/>
        <v>625969.29735898925</v>
      </c>
      <c r="D717" s="67">
        <f t="array" ref="D717">SUM($B$7:$B712*$F$1009*EXP(-$F$1009*($A717-$A$7:$A712)))*$F$1010</f>
        <v>3631126.3856781474</v>
      </c>
      <c r="E717" s="67">
        <f t="shared" si="71"/>
        <v>6.9224218982369878</v>
      </c>
      <c r="F717" s="70">
        <f t="shared" si="69"/>
        <v>0.42032945766094992</v>
      </c>
      <c r="G717" s="67">
        <f>E717/'Lookup Tables'!$C$48</f>
        <v>13.844843796473976</v>
      </c>
      <c r="H717" s="70">
        <f t="shared" si="72"/>
        <v>5.81246550759621E-3</v>
      </c>
      <c r="I717" s="71">
        <f t="shared" si="70"/>
        <v>1.9936575066922525E-2</v>
      </c>
      <c r="L717" s="74"/>
      <c r="M717" s="74"/>
      <c r="N717" s="74"/>
      <c r="O717" s="74"/>
      <c r="P717" s="74"/>
      <c r="Q717" s="74"/>
      <c r="R717" s="74"/>
      <c r="S717" s="74"/>
      <c r="T717" s="74"/>
      <c r="U717" s="74"/>
      <c r="V717" s="74"/>
      <c r="W717" s="74"/>
      <c r="X717" s="74"/>
      <c r="Y717" s="74"/>
      <c r="Z717" s="74"/>
    </row>
    <row r="718" spans="1:26" x14ac:dyDescent="0.3">
      <c r="A718" s="66">
        <f t="shared" si="68"/>
        <v>2061.0999999999353</v>
      </c>
      <c r="B718" s="67">
        <f>LOOKUP(A718+0.01,AmountsB!$A$4:$A$103,AmountsB!$B$4:$B$103)*0.1*$A$2</f>
        <v>0</v>
      </c>
      <c r="C718" s="68">
        <f t="shared" si="73"/>
        <v>625969.29735898925</v>
      </c>
      <c r="D718" s="67">
        <f t="array" ref="D718">SUM($B$7:$B713*$F$1009*EXP(-$F$1009*($A718-$A$7:$A713)))*$F$1010</f>
        <v>3605797.2563582356</v>
      </c>
      <c r="E718" s="67">
        <f t="shared" si="71"/>
        <v>6.8741341492456547</v>
      </c>
      <c r="F718" s="70">
        <f t="shared" si="69"/>
        <v>0.41739742554219622</v>
      </c>
      <c r="G718" s="67">
        <f>E718/'Lookup Tables'!$C$48</f>
        <v>13.748268298491309</v>
      </c>
      <c r="H718" s="70">
        <f t="shared" si="72"/>
        <v>5.7719203227494069E-3</v>
      </c>
      <c r="I718" s="71">
        <f t="shared" si="70"/>
        <v>1.9797506349827486E-2</v>
      </c>
      <c r="L718" s="74"/>
      <c r="M718" s="74"/>
      <c r="N718" s="74"/>
      <c r="O718" s="74"/>
      <c r="P718" s="74"/>
      <c r="Q718" s="74"/>
      <c r="R718" s="74"/>
      <c r="S718" s="74"/>
      <c r="T718" s="74"/>
      <c r="U718" s="74"/>
      <c r="V718" s="74"/>
      <c r="W718" s="74"/>
      <c r="X718" s="74"/>
      <c r="Y718" s="74"/>
      <c r="Z718" s="74"/>
    </row>
    <row r="719" spans="1:26" x14ac:dyDescent="0.3">
      <c r="A719" s="66">
        <f t="shared" si="68"/>
        <v>2061.1999999999352</v>
      </c>
      <c r="B719" s="67">
        <f>LOOKUP(A719+0.01,AmountsB!$A$4:$A$103,AmountsB!$B$4:$B$103)*0.1*$A$2</f>
        <v>0</v>
      </c>
      <c r="C719" s="68">
        <f t="shared" si="73"/>
        <v>625969.29735898925</v>
      </c>
      <c r="D719" s="67">
        <f t="array" ref="D719">SUM($B$7:$B714*$F$1009*EXP(-$F$1009*($A719-$A$7:$A714)))*$F$1010</f>
        <v>3580644.8118253481</v>
      </c>
      <c r="E719" s="67">
        <f t="shared" si="71"/>
        <v>6.8261832342030386</v>
      </c>
      <c r="F719" s="70">
        <f t="shared" si="69"/>
        <v>0.41448584598080851</v>
      </c>
      <c r="G719" s="67">
        <f>E719/'Lookup Tables'!$C$48</f>
        <v>13.652366468406077</v>
      </c>
      <c r="H719" s="70">
        <f t="shared" si="72"/>
        <v>5.7316579631532839E-3</v>
      </c>
      <c r="I719" s="71">
        <f t="shared" si="70"/>
        <v>1.9659407714504747E-2</v>
      </c>
      <c r="L719" s="74"/>
      <c r="M719" s="74"/>
      <c r="N719" s="74"/>
      <c r="O719" s="74"/>
      <c r="P719" s="74"/>
      <c r="Q719" s="74"/>
      <c r="R719" s="74"/>
      <c r="S719" s="74"/>
      <c r="T719" s="74"/>
      <c r="U719" s="74"/>
      <c r="V719" s="74"/>
      <c r="W719" s="74"/>
      <c r="X719" s="74"/>
      <c r="Y719" s="74"/>
      <c r="Z719" s="74"/>
    </row>
    <row r="720" spans="1:26" x14ac:dyDescent="0.3">
      <c r="A720" s="66">
        <f t="shared" si="68"/>
        <v>2061.2999999999352</v>
      </c>
      <c r="B720" s="67">
        <f>LOOKUP(A720+0.01,AmountsB!$A$4:$A$103,AmountsB!$B$4:$B$103)*0.1*$A$2</f>
        <v>0</v>
      </c>
      <c r="C720" s="68">
        <f t="shared" si="73"/>
        <v>625969.29735898925</v>
      </c>
      <c r="D720" s="67">
        <f t="array" ref="D720">SUM($B$7:$B715*$F$1009*EXP(-$F$1009*($A720-$A$7:$A715)))*$F$1010</f>
        <v>3555667.8196046669</v>
      </c>
      <c r="E720" s="67">
        <f t="shared" si="71"/>
        <v>6.7785668035047042</v>
      </c>
      <c r="F720" s="70">
        <f t="shared" si="69"/>
        <v>0.41159457630880569</v>
      </c>
      <c r="G720" s="67">
        <f>E720/'Lookup Tables'!$C$48</f>
        <v>13.557133607009408</v>
      </c>
      <c r="H720" s="70">
        <f t="shared" si="72"/>
        <v>5.6916764559441675E-3</v>
      </c>
      <c r="I720" s="71">
        <f t="shared" si="70"/>
        <v>1.9522272394093546E-2</v>
      </c>
      <c r="L720" s="74"/>
      <c r="M720" s="74"/>
      <c r="N720" s="74"/>
      <c r="O720" s="74"/>
      <c r="P720" s="74"/>
      <c r="Q720" s="74"/>
      <c r="R720" s="74"/>
      <c r="S720" s="74"/>
      <c r="T720" s="74"/>
      <c r="U720" s="74"/>
      <c r="V720" s="74"/>
      <c r="W720" s="74"/>
      <c r="X720" s="74"/>
      <c r="Y720" s="74"/>
      <c r="Z720" s="74"/>
    </row>
    <row r="721" spans="1:26" x14ac:dyDescent="0.3">
      <c r="A721" s="66">
        <f t="shared" si="68"/>
        <v>2061.3999999999351</v>
      </c>
      <c r="B721" s="67">
        <f>LOOKUP(A721+0.01,AmountsB!$A$4:$A$103,AmountsB!$B$4:$B$103)*0.1*$A$2</f>
        <v>0</v>
      </c>
      <c r="C721" s="68">
        <f t="shared" si="73"/>
        <v>625969.29735898925</v>
      </c>
      <c r="D721" s="67">
        <f t="array" ref="D721">SUM($B$7:$B716*$F$1009*EXP(-$F$1009*($A721-$A$7:$A716)))*$F$1010</f>
        <v>3530865.0558185782</v>
      </c>
      <c r="E721" s="67">
        <f t="shared" si="71"/>
        <v>6.7312825239360237</v>
      </c>
      <c r="F721" s="70">
        <f t="shared" si="69"/>
        <v>0.40872347485339539</v>
      </c>
      <c r="G721" s="67">
        <f>E721/'Lookup Tables'!$C$48</f>
        <v>13.462565047872047</v>
      </c>
      <c r="H721" s="70">
        <f t="shared" si="72"/>
        <v>5.6519738420202038E-3</v>
      </c>
      <c r="I721" s="71">
        <f t="shared" si="70"/>
        <v>1.9386093668935747E-2</v>
      </c>
      <c r="L721" s="74"/>
      <c r="M721" s="74"/>
      <c r="N721" s="74"/>
      <c r="O721" s="74"/>
      <c r="P721" s="74"/>
      <c r="Q721" s="74"/>
      <c r="R721" s="74"/>
      <c r="S721" s="74"/>
      <c r="T721" s="74"/>
      <c r="U721" s="74"/>
      <c r="V721" s="74"/>
      <c r="W721" s="74"/>
      <c r="X721" s="74"/>
      <c r="Y721" s="74"/>
      <c r="Z721" s="74"/>
    </row>
    <row r="722" spans="1:26" x14ac:dyDescent="0.3">
      <c r="A722" s="66">
        <f t="shared" si="68"/>
        <v>2061.499999999935</v>
      </c>
      <c r="B722" s="67">
        <f>LOOKUP(A722+0.01,AmountsB!$A$4:$A$103,AmountsB!$B$4:$B$103)*0.1*$A$2</f>
        <v>0</v>
      </c>
      <c r="C722" s="68">
        <f t="shared" si="73"/>
        <v>625969.29735898925</v>
      </c>
      <c r="D722" s="67">
        <f t="array" ref="D722">SUM($B$7:$B717*$F$1009*EXP(-$F$1009*($A722-$A$7:$A717)))*$F$1010</f>
        <v>3506235.3051266912</v>
      </c>
      <c r="E722" s="67">
        <f t="shared" si="71"/>
        <v>6.6843280785578312</v>
      </c>
      <c r="F722" s="70">
        <f t="shared" si="69"/>
        <v>0.40587240093003157</v>
      </c>
      <c r="G722" s="67">
        <f>E722/'Lookup Tables'!$C$48</f>
        <v>13.368656157115662</v>
      </c>
      <c r="H722" s="70">
        <f t="shared" si="72"/>
        <v>5.6125481759453644E-3</v>
      </c>
      <c r="I722" s="71">
        <f t="shared" si="70"/>
        <v>1.9250864866246557E-2</v>
      </c>
      <c r="L722" s="74"/>
      <c r="M722" s="74"/>
      <c r="N722" s="74"/>
      <c r="O722" s="74"/>
      <c r="P722" s="74"/>
      <c r="Q722" s="74"/>
      <c r="R722" s="74"/>
      <c r="S722" s="74"/>
      <c r="T722" s="74"/>
      <c r="U722" s="74"/>
      <c r="V722" s="74"/>
      <c r="W722" s="74"/>
      <c r="X722" s="74"/>
      <c r="Y722" s="74"/>
      <c r="Z722" s="74"/>
    </row>
    <row r="723" spans="1:26" x14ac:dyDescent="0.3">
      <c r="A723" s="66">
        <f t="shared" ref="A723:A786" si="74">A722+0.1</f>
        <v>2061.5999999999349</v>
      </c>
      <c r="B723" s="67">
        <f>LOOKUP(A723+0.01,AmountsB!$A$4:$A$103,AmountsB!$B$4:$B$103)*0.1*$A$2</f>
        <v>0</v>
      </c>
      <c r="C723" s="68">
        <f t="shared" si="73"/>
        <v>625969.29735898925</v>
      </c>
      <c r="D723" s="67">
        <f t="array" ref="D723">SUM($B$7:$B718*$F$1009*EXP(-$F$1009*($A723-$A$7:$A718)))*$F$1010</f>
        <v>3481777.3606662955</v>
      </c>
      <c r="E723" s="67">
        <f t="shared" si="71"/>
        <v>6.6377011665929135</v>
      </c>
      <c r="F723" s="70">
        <f t="shared" ref="F723:F786" si="75">E723*60*1012/1000000</f>
        <v>0.40304121483552169</v>
      </c>
      <c r="G723" s="67">
        <f>E723/'Lookup Tables'!$C$48</f>
        <v>13.275402333185827</v>
      </c>
      <c r="H723" s="70">
        <f t="shared" si="72"/>
        <v>5.573397525854124E-3</v>
      </c>
      <c r="I723" s="71">
        <f t="shared" ref="I723:I786" si="76">G723*60*24/1000000</f>
        <v>1.911657935978759E-2</v>
      </c>
      <c r="L723" s="74"/>
      <c r="M723" s="74"/>
      <c r="N723" s="74"/>
      <c r="O723" s="74"/>
      <c r="P723" s="74"/>
      <c r="Q723" s="74"/>
      <c r="R723" s="74"/>
      <c r="S723" s="74"/>
      <c r="T723" s="74"/>
      <c r="U723" s="74"/>
      <c r="V723" s="74"/>
      <c r="W723" s="74"/>
      <c r="X723" s="74"/>
      <c r="Y723" s="74"/>
      <c r="Z723" s="74"/>
    </row>
    <row r="724" spans="1:26" x14ac:dyDescent="0.3">
      <c r="A724" s="66">
        <f t="shared" si="74"/>
        <v>2061.6999999999348</v>
      </c>
      <c r="B724" s="67">
        <f>LOOKUP(A724+0.01,AmountsB!$A$4:$A$103,AmountsB!$B$4:$B$103)*0.1*$A$2</f>
        <v>0</v>
      </c>
      <c r="C724" s="68">
        <f t="shared" si="73"/>
        <v>625969.29735898925</v>
      </c>
      <c r="D724" s="67">
        <f t="array" ref="D724">SUM($B$7:$B719*$F$1009*EXP(-$F$1009*($A724-$A$7:$A719)))*$F$1010</f>
        <v>3457490.0239932192</v>
      </c>
      <c r="E724" s="67">
        <f t="shared" si="71"/>
        <v>6.5913995033132533</v>
      </c>
      <c r="F724" s="70">
        <f t="shared" si="75"/>
        <v>0.40022977784118074</v>
      </c>
      <c r="G724" s="67">
        <f>E724/'Lookup Tables'!$C$48</f>
        <v>13.182799006626507</v>
      </c>
      <c r="H724" s="70">
        <f t="shared" si="72"/>
        <v>5.5345199733567961E-3</v>
      </c>
      <c r="I724" s="71">
        <f t="shared" si="76"/>
        <v>1.8983230569542167E-2</v>
      </c>
      <c r="L724" s="74"/>
      <c r="M724" s="74"/>
      <c r="N724" s="74"/>
      <c r="O724" s="74"/>
      <c r="P724" s="74"/>
      <c r="Q724" s="74"/>
      <c r="R724" s="74"/>
      <c r="S724" s="74"/>
      <c r="T724" s="74"/>
      <c r="U724" s="74"/>
      <c r="V724" s="74"/>
      <c r="W724" s="74"/>
      <c r="X724" s="74"/>
      <c r="Y724" s="74"/>
      <c r="Z724" s="74"/>
    </row>
    <row r="725" spans="1:26" x14ac:dyDescent="0.3">
      <c r="A725" s="66">
        <f t="shared" si="74"/>
        <v>2061.7999999999347</v>
      </c>
      <c r="B725" s="67">
        <f>LOOKUP(A725+0.01,AmountsB!$A$4:$A$103,AmountsB!$B$4:$B$103)*0.1*$A$2</f>
        <v>0</v>
      </c>
      <c r="C725" s="68">
        <f t="shared" si="73"/>
        <v>625969.29735898925</v>
      </c>
      <c r="D725" s="67">
        <f t="array" ref="D725">SUM($B$7:$B720*$F$1009*EXP(-$F$1009*($A725-$A$7:$A720)))*$F$1010</f>
        <v>3433372.1050231061</v>
      </c>
      <c r="E725" s="67">
        <f t="shared" si="71"/>
        <v>6.5454208199280881</v>
      </c>
      <c r="F725" s="70">
        <f t="shared" si="75"/>
        <v>0.39743795218603356</v>
      </c>
      <c r="G725" s="67">
        <f>E725/'Lookup Tables'!$C$48</f>
        <v>13.090841639856176</v>
      </c>
      <c r="H725" s="70">
        <f t="shared" si="72"/>
        <v>5.4959136134455321E-3</v>
      </c>
      <c r="I725" s="71">
        <f t="shared" si="76"/>
        <v>1.8850811961392894E-2</v>
      </c>
      <c r="L725" s="74"/>
      <c r="M725" s="74"/>
      <c r="N725" s="74"/>
      <c r="O725" s="74"/>
      <c r="P725" s="74"/>
      <c r="Q725" s="74"/>
      <c r="R725" s="74"/>
      <c r="S725" s="74"/>
      <c r="T725" s="74"/>
      <c r="U725" s="74"/>
      <c r="V725" s="74"/>
      <c r="W725" s="74"/>
      <c r="X725" s="74"/>
      <c r="Y725" s="74"/>
      <c r="Z725" s="74"/>
    </row>
    <row r="726" spans="1:26" x14ac:dyDescent="0.3">
      <c r="A726" s="66">
        <f t="shared" si="74"/>
        <v>2061.8999999999346</v>
      </c>
      <c r="B726" s="67">
        <f>LOOKUP(A726+0.01,AmountsB!$A$4:$A$103,AmountsB!$B$4:$B$103)*0.1*$A$2</f>
        <v>0</v>
      </c>
      <c r="C726" s="68">
        <f t="shared" si="73"/>
        <v>625969.29735898925</v>
      </c>
      <c r="D726" s="67">
        <f t="array" ref="D726">SUM($B$7:$B721*$F$1009*EXP(-$F$1009*($A726-$A$7:$A721)))*$F$1010</f>
        <v>3409422.4219731004</v>
      </c>
      <c r="E726" s="67">
        <f t="shared" si="71"/>
        <v>6.4997628634727294</v>
      </c>
      <c r="F726" s="70">
        <f t="shared" si="75"/>
        <v>0.3946656010700641</v>
      </c>
      <c r="G726" s="67">
        <f>E726/'Lookup Tables'!$C$48</f>
        <v>12.999525726945459</v>
      </c>
      <c r="H726" s="70">
        <f t="shared" si="72"/>
        <v>5.4575765544009674E-3</v>
      </c>
      <c r="I726" s="71">
        <f t="shared" si="76"/>
        <v>1.8719317046801461E-2</v>
      </c>
      <c r="L726" s="74"/>
      <c r="M726" s="74"/>
      <c r="N726" s="74"/>
      <c r="O726" s="74"/>
      <c r="P726" s="74"/>
      <c r="Q726" s="74"/>
      <c r="R726" s="74"/>
      <c r="S726" s="74"/>
      <c r="T726" s="74"/>
      <c r="U726" s="74"/>
      <c r="V726" s="74"/>
      <c r="W726" s="74"/>
      <c r="X726" s="74"/>
      <c r="Y726" s="74"/>
      <c r="Z726" s="74"/>
    </row>
    <row r="727" spans="1:26" x14ac:dyDescent="0.3">
      <c r="A727" s="66">
        <f t="shared" si="74"/>
        <v>2061.9999999999345</v>
      </c>
      <c r="B727" s="67">
        <f>LOOKUP(A727+0.01,AmountsB!$A$4:$A$103,AmountsB!$B$4:$B$103)*0.1*$A$2</f>
        <v>0</v>
      </c>
      <c r="C727" s="68">
        <f t="shared" si="73"/>
        <v>625969.29735898925</v>
      </c>
      <c r="D727" s="67">
        <f t="array" ref="D727">SUM($B$7:$B722*$F$1009*EXP(-$F$1009*($A727-$A$7:$A722)))*$F$1010</f>
        <v>3385639.8013039413</v>
      </c>
      <c r="E727" s="67">
        <f t="shared" si="71"/>
        <v>6.4544233966981785</v>
      </c>
      <c r="F727" s="70">
        <f t="shared" si="75"/>
        <v>0.39191258864751344</v>
      </c>
      <c r="G727" s="67">
        <f>E727/'Lookup Tables'!$C$48</f>
        <v>12.908846793396357</v>
      </c>
      <c r="H727" s="70">
        <f t="shared" si="72"/>
        <v>5.4195069176995406E-3</v>
      </c>
      <c r="I727" s="71">
        <f t="shared" si="76"/>
        <v>1.8588739382490754E-2</v>
      </c>
      <c r="L727" s="74"/>
      <c r="M727" s="74"/>
      <c r="N727" s="74"/>
      <c r="O727" s="74"/>
      <c r="P727" s="74"/>
      <c r="Q727" s="74"/>
      <c r="R727" s="74"/>
      <c r="S727" s="74"/>
      <c r="T727" s="74"/>
      <c r="U727" s="74"/>
      <c r="V727" s="74"/>
      <c r="W727" s="74"/>
      <c r="X727" s="74"/>
      <c r="Y727" s="74"/>
      <c r="Z727" s="74"/>
    </row>
    <row r="728" spans="1:26" x14ac:dyDescent="0.3">
      <c r="A728" s="66">
        <f t="shared" si="74"/>
        <v>2062.0999999999344</v>
      </c>
      <c r="B728" s="67">
        <f>LOOKUP(A728+0.01,AmountsB!$A$4:$A$103,AmountsB!$B$4:$B$103)*0.1*$A$2</f>
        <v>0</v>
      </c>
      <c r="C728" s="68">
        <f t="shared" si="73"/>
        <v>625969.29735898925</v>
      </c>
      <c r="D728" s="67">
        <f t="array" ref="D728">SUM($B$7:$B723*$F$1009*EXP(-$F$1009*($A728-$A$7:$A723)))*$F$1010</f>
        <v>3362023.0776624563</v>
      </c>
      <c r="E728" s="67">
        <f t="shared" si="71"/>
        <v>6.4094001979614879</v>
      </c>
      <c r="F728" s="70">
        <f t="shared" si="75"/>
        <v>0.38917878002022155</v>
      </c>
      <c r="G728" s="67">
        <f>E728/'Lookup Tables'!$C$48</f>
        <v>12.818800395922976</v>
      </c>
      <c r="H728" s="70">
        <f t="shared" si="72"/>
        <v>5.381702837921434E-3</v>
      </c>
      <c r="I728" s="71">
        <f t="shared" si="76"/>
        <v>1.8459072570129086E-2</v>
      </c>
      <c r="L728" s="74"/>
      <c r="M728" s="74"/>
      <c r="N728" s="74"/>
      <c r="O728" s="74"/>
      <c r="P728" s="74"/>
      <c r="Q728" s="74"/>
      <c r="R728" s="74"/>
      <c r="S728" s="74"/>
      <c r="T728" s="74"/>
      <c r="U728" s="74"/>
      <c r="V728" s="74"/>
      <c r="W728" s="74"/>
      <c r="X728" s="74"/>
      <c r="Y728" s="74"/>
      <c r="Z728" s="74"/>
    </row>
    <row r="729" spans="1:26" x14ac:dyDescent="0.3">
      <c r="A729" s="66">
        <f t="shared" si="74"/>
        <v>2062.1999999999343</v>
      </c>
      <c r="B729" s="67">
        <f>LOOKUP(A729+0.01,AmountsB!$A$4:$A$103,AmountsB!$B$4:$B$103)*0.1*$A$2</f>
        <v>0</v>
      </c>
      <c r="C729" s="68">
        <f t="shared" si="73"/>
        <v>625969.29735898925</v>
      </c>
      <c r="D729" s="67">
        <f t="array" ref="D729">SUM($B$7:$B724*$F$1009*EXP(-$F$1009*($A729-$A$7:$A724)))*$F$1010</f>
        <v>3338571.0938244634</v>
      </c>
      <c r="E729" s="67">
        <f t="shared" si="71"/>
        <v>6.3646910611169156</v>
      </c>
      <c r="F729" s="70">
        <f t="shared" si="75"/>
        <v>0.38646404123101913</v>
      </c>
      <c r="G729" s="67">
        <f>E729/'Lookup Tables'!$C$48</f>
        <v>12.729382122233831</v>
      </c>
      <c r="H729" s="70">
        <f t="shared" si="72"/>
        <v>5.344162462659177E-3</v>
      </c>
      <c r="I729" s="71">
        <f t="shared" si="76"/>
        <v>1.8330310256016717E-2</v>
      </c>
      <c r="L729" s="74"/>
      <c r="M729" s="74"/>
      <c r="N729" s="74"/>
      <c r="O729" s="74"/>
      <c r="P729" s="74"/>
      <c r="Q729" s="74"/>
      <c r="R729" s="74"/>
      <c r="S729" s="74"/>
      <c r="T729" s="74"/>
      <c r="U729" s="74"/>
      <c r="V729" s="74"/>
      <c r="W729" s="74"/>
      <c r="X729" s="74"/>
      <c r="Y729" s="74"/>
      <c r="Z729" s="74"/>
    </row>
    <row r="730" spans="1:26" x14ac:dyDescent="0.3">
      <c r="A730" s="66">
        <f t="shared" si="74"/>
        <v>2062.2999999999342</v>
      </c>
      <c r="B730" s="67">
        <f>LOOKUP(A730+0.01,AmountsB!$A$4:$A$103,AmountsB!$B$4:$B$103)*0.1*$A$2</f>
        <v>0</v>
      </c>
      <c r="C730" s="68">
        <f t="shared" si="73"/>
        <v>625969.29735898925</v>
      </c>
      <c r="D730" s="67">
        <f t="array" ref="D730">SUM($B$7:$B725*$F$1009*EXP(-$F$1009*($A730-$A$7:$A725)))*$F$1010</f>
        <v>3315282.7006380609</v>
      </c>
      <c r="E730" s="67">
        <f t="shared" si="71"/>
        <v>6.3202937954078076</v>
      </c>
      <c r="F730" s="70">
        <f t="shared" si="75"/>
        <v>0.38376823925716208</v>
      </c>
      <c r="G730" s="67">
        <f>E730/'Lookup Tables'!$C$48</f>
        <v>12.640587590815615</v>
      </c>
      <c r="H730" s="70">
        <f t="shared" si="72"/>
        <v>5.3068839524268701E-3</v>
      </c>
      <c r="I730" s="71">
        <f t="shared" si="76"/>
        <v>1.8202446130774486E-2</v>
      </c>
      <c r="L730" s="74"/>
      <c r="M730" s="74"/>
      <c r="N730" s="74"/>
      <c r="O730" s="74"/>
      <c r="P730" s="74"/>
      <c r="Q730" s="74"/>
      <c r="R730" s="74"/>
      <c r="S730" s="74"/>
      <c r="T730" s="74"/>
      <c r="U730" s="74"/>
      <c r="V730" s="74"/>
      <c r="W730" s="74"/>
      <c r="X730" s="74"/>
      <c r="Y730" s="74"/>
      <c r="Z730" s="74"/>
    </row>
    <row r="731" spans="1:26" x14ac:dyDescent="0.3">
      <c r="A731" s="66">
        <f t="shared" si="74"/>
        <v>2062.3999999999342</v>
      </c>
      <c r="B731" s="67">
        <f>LOOKUP(A731+0.01,AmountsB!$A$4:$A$103,AmountsB!$B$4:$B$103)*0.1*$A$2</f>
        <v>0</v>
      </c>
      <c r="C731" s="68">
        <f t="shared" si="73"/>
        <v>625969.29735898925</v>
      </c>
      <c r="D731" s="67">
        <f t="array" ref="D731">SUM($B$7:$B726*$F$1009*EXP(-$F$1009*($A731-$A$7:$A726)))*$F$1010</f>
        <v>3292156.7569673229</v>
      </c>
      <c r="E731" s="67">
        <f t="shared" si="71"/>
        <v>6.2762062253592612</v>
      </c>
      <c r="F731" s="70">
        <f t="shared" si="75"/>
        <v>0.38109124200381433</v>
      </c>
      <c r="G731" s="67">
        <f>E731/'Lookup Tables'!$C$48</f>
        <v>12.552412450718522</v>
      </c>
      <c r="H731" s="70">
        <f t="shared" si="72"/>
        <v>5.2698654805700528E-3</v>
      </c>
      <c r="I731" s="71">
        <f t="shared" si="76"/>
        <v>1.8075473929034674E-2</v>
      </c>
      <c r="L731" s="74"/>
      <c r="M731" s="74"/>
      <c r="N731" s="74"/>
      <c r="O731" s="74"/>
      <c r="P731" s="74"/>
      <c r="Q731" s="74"/>
      <c r="R731" s="74"/>
      <c r="S731" s="74"/>
      <c r="T731" s="74"/>
      <c r="U731" s="74"/>
      <c r="V731" s="74"/>
      <c r="W731" s="74"/>
      <c r="X731" s="74"/>
      <c r="Y731" s="74"/>
      <c r="Z731" s="74"/>
    </row>
    <row r="732" spans="1:26" x14ac:dyDescent="0.3">
      <c r="A732" s="66">
        <f t="shared" si="74"/>
        <v>2062.4999999999341</v>
      </c>
      <c r="B732" s="67">
        <f>LOOKUP(A732+0.01,AmountsB!$A$4:$A$103,AmountsB!$B$4:$B$103)*0.1*$A$2</f>
        <v>0</v>
      </c>
      <c r="C732" s="68">
        <f t="shared" si="73"/>
        <v>625969.29735898925</v>
      </c>
      <c r="D732" s="67">
        <f t="array" ref="D732">SUM($B$7:$B727*$F$1009*EXP(-$F$1009*($A732-$A$7:$A727)))*$F$1010</f>
        <v>3269192.1296363822</v>
      </c>
      <c r="E732" s="67">
        <f t="shared" si="71"/>
        <v>6.2324261906715206</v>
      </c>
      <c r="F732" s="70">
        <f t="shared" si="75"/>
        <v>0.37843291829757475</v>
      </c>
      <c r="G732" s="67">
        <f>E732/'Lookup Tables'!$C$48</f>
        <v>12.464852381343041</v>
      </c>
      <c r="H732" s="70">
        <f t="shared" si="72"/>
        <v>5.2331052331761937E-3</v>
      </c>
      <c r="I732" s="71">
        <f t="shared" si="76"/>
        <v>1.7949387429133982E-2</v>
      </c>
      <c r="L732" s="74"/>
      <c r="M732" s="74"/>
      <c r="N732" s="74"/>
      <c r="O732" s="74"/>
      <c r="P732" s="74"/>
      <c r="Q732" s="74"/>
      <c r="R732" s="74"/>
      <c r="S732" s="74"/>
      <c r="T732" s="74"/>
      <c r="U732" s="74"/>
      <c r="V732" s="74"/>
      <c r="W732" s="74"/>
      <c r="X732" s="74"/>
      <c r="Y732" s="74"/>
      <c r="Z732" s="74"/>
    </row>
    <row r="733" spans="1:26" x14ac:dyDescent="0.3">
      <c r="A733" s="66">
        <f t="shared" si="74"/>
        <v>2062.599999999934</v>
      </c>
      <c r="B733" s="67">
        <f>LOOKUP(A733+0.01,AmountsB!$A$4:$A$103,AmountsB!$B$4:$B$103)*0.1*$A$2</f>
        <v>0</v>
      </c>
      <c r="C733" s="68">
        <f t="shared" si="73"/>
        <v>625969.29735898925</v>
      </c>
      <c r="D733" s="67">
        <f t="array" ref="D733">SUM($B$7:$B728*$F$1009*EXP(-$F$1009*($A733-$A$7:$A728)))*$F$1010</f>
        <v>3246387.693373906</v>
      </c>
      <c r="E733" s="67">
        <f t="shared" si="71"/>
        <v>6.188951546114132</v>
      </c>
      <c r="F733" s="70">
        <f t="shared" si="75"/>
        <v>0.37579313788005009</v>
      </c>
      <c r="G733" s="67">
        <f>E733/'Lookup Tables'!$C$48</f>
        <v>12.377903092228264</v>
      </c>
      <c r="H733" s="70">
        <f t="shared" si="72"/>
        <v>5.1966014089858212E-3</v>
      </c>
      <c r="I733" s="71">
        <f t="shared" si="76"/>
        <v>1.7824180452808702E-2</v>
      </c>
      <c r="L733" s="74"/>
      <c r="M733" s="74"/>
      <c r="N733" s="74"/>
      <c r="O733" s="74"/>
      <c r="P733" s="74"/>
      <c r="Q733" s="74"/>
      <c r="R733" s="74"/>
      <c r="S733" s="74"/>
      <c r="T733" s="74"/>
      <c r="U733" s="74"/>
      <c r="V733" s="74"/>
      <c r="W733" s="74"/>
      <c r="X733" s="74"/>
      <c r="Y733" s="74"/>
      <c r="Z733" s="74"/>
    </row>
    <row r="734" spans="1:26" x14ac:dyDescent="0.3">
      <c r="A734" s="66">
        <f t="shared" si="74"/>
        <v>2062.6999999999339</v>
      </c>
      <c r="B734" s="67">
        <f>LOOKUP(A734+0.01,AmountsB!$A$4:$A$103,AmountsB!$B$4:$B$103)*0.1*$A$2</f>
        <v>0</v>
      </c>
      <c r="C734" s="68">
        <f t="shared" si="73"/>
        <v>625969.29735898925</v>
      </c>
      <c r="D734" s="67">
        <f t="array" ref="D734">SUM($B$7:$B729*$F$1009*EXP(-$F$1009*($A734-$A$7:$A729)))*$F$1010</f>
        <v>3223742.3307579532</v>
      </c>
      <c r="E734" s="67">
        <f t="shared" si="71"/>
        <v>6.1457801614208085</v>
      </c>
      <c r="F734" s="70">
        <f t="shared" si="75"/>
        <v>0.37317177140147151</v>
      </c>
      <c r="G734" s="67">
        <f>E734/'Lookup Tables'!$C$48</f>
        <v>12.291560322841617</v>
      </c>
      <c r="H734" s="70">
        <f t="shared" si="72"/>
        <v>5.1603522193042423E-3</v>
      </c>
      <c r="I734" s="71">
        <f t="shared" si="76"/>
        <v>1.7699846864891931E-2</v>
      </c>
      <c r="L734" s="74"/>
      <c r="M734" s="74"/>
      <c r="N734" s="74"/>
      <c r="O734" s="74"/>
      <c r="P734" s="74"/>
      <c r="Q734" s="74"/>
      <c r="R734" s="74"/>
      <c r="S734" s="74"/>
      <c r="T734" s="74"/>
      <c r="U734" s="74"/>
      <c r="V734" s="74"/>
      <c r="W734" s="74"/>
      <c r="X734" s="74"/>
      <c r="Y734" s="74"/>
      <c r="Z734" s="74"/>
    </row>
    <row r="735" spans="1:26" x14ac:dyDescent="0.3">
      <c r="A735" s="66">
        <f t="shared" si="74"/>
        <v>2062.7999999999338</v>
      </c>
      <c r="B735" s="67">
        <f>LOOKUP(A735+0.01,AmountsB!$A$4:$A$103,AmountsB!$B$4:$B$103)*0.1*$A$2</f>
        <v>0</v>
      </c>
      <c r="C735" s="68">
        <f t="shared" si="73"/>
        <v>625969.29735898925</v>
      </c>
      <c r="D735" s="67">
        <f t="array" ref="D735">SUM($B$7:$B730*$F$1009*EXP(-$F$1009*($A735-$A$7:$A730)))*$F$1010</f>
        <v>3201254.932161225</v>
      </c>
      <c r="E735" s="67">
        <f t="shared" si="71"/>
        <v>6.1029099211850637</v>
      </c>
      <c r="F735" s="70">
        <f t="shared" si="75"/>
        <v>0.37056869041435708</v>
      </c>
      <c r="G735" s="67">
        <f>E735/'Lookup Tables'!$C$48</f>
        <v>12.205819842370127</v>
      </c>
      <c r="H735" s="70">
        <f t="shared" si="72"/>
        <v>5.1243558879139096E-3</v>
      </c>
      <c r="I735" s="71">
        <f t="shared" si="76"/>
        <v>1.7576380573012983E-2</v>
      </c>
      <c r="L735" s="74"/>
      <c r="M735" s="74"/>
      <c r="N735" s="74"/>
      <c r="O735" s="74"/>
      <c r="P735" s="74"/>
      <c r="Q735" s="74"/>
      <c r="R735" s="74"/>
      <c r="S735" s="74"/>
      <c r="T735" s="74"/>
      <c r="U735" s="74"/>
      <c r="V735" s="74"/>
      <c r="W735" s="74"/>
      <c r="X735" s="74"/>
      <c r="Y735" s="74"/>
      <c r="Z735" s="74"/>
    </row>
    <row r="736" spans="1:26" x14ac:dyDescent="0.3">
      <c r="A736" s="66">
        <f t="shared" si="74"/>
        <v>2062.8999999999337</v>
      </c>
      <c r="B736" s="67">
        <f>LOOKUP(A736+0.01,AmountsB!$A$4:$A$103,AmountsB!$B$4:$B$103)*0.1*$A$2</f>
        <v>0</v>
      </c>
      <c r="C736" s="68">
        <f t="shared" si="73"/>
        <v>625969.29735898925</v>
      </c>
      <c r="D736" s="67">
        <f t="array" ref="D736">SUM($B$7:$B731*$F$1009*EXP(-$F$1009*($A736-$A$7:$A731)))*$F$1010</f>
        <v>3178924.3956966917</v>
      </c>
      <c r="E736" s="67">
        <f t="shared" si="71"/>
        <v>6.0603387247565488</v>
      </c>
      <c r="F736" s="70">
        <f t="shared" si="75"/>
        <v>0.36798376736721761</v>
      </c>
      <c r="G736" s="67">
        <f>E736/'Lookup Tables'!$C$48</f>
        <v>12.120677449513098</v>
      </c>
      <c r="H736" s="70">
        <f t="shared" si="72"/>
        <v>5.088610650987385E-3</v>
      </c>
      <c r="I736" s="71">
        <f t="shared" si="76"/>
        <v>1.7453775527298862E-2</v>
      </c>
      <c r="L736" s="74"/>
      <c r="M736" s="74"/>
      <c r="N736" s="74"/>
      <c r="O736" s="74"/>
      <c r="P736" s="74"/>
      <c r="Q736" s="74"/>
      <c r="R736" s="74"/>
      <c r="S736" s="74"/>
      <c r="T736" s="74"/>
      <c r="U736" s="74"/>
      <c r="V736" s="74"/>
      <c r="W736" s="74"/>
      <c r="X736" s="74"/>
      <c r="Y736" s="74"/>
      <c r="Z736" s="74"/>
    </row>
    <row r="737" spans="1:26" x14ac:dyDescent="0.3">
      <c r="A737" s="66">
        <f t="shared" si="74"/>
        <v>2062.9999999999336</v>
      </c>
      <c r="B737" s="67">
        <f>LOOKUP(A737+0.01,AmountsB!$A$4:$A$103,AmountsB!$B$4:$B$103)*0.1*$A$2</f>
        <v>0</v>
      </c>
      <c r="C737" s="68">
        <f t="shared" si="73"/>
        <v>625969.29735898925</v>
      </c>
      <c r="D737" s="67">
        <f t="array" ref="D737">SUM($B$7:$B732*$F$1009*EXP(-$F$1009*($A737-$A$7:$A732)))*$F$1010</f>
        <v>3156749.6271635983</v>
      </c>
      <c r="E737" s="67">
        <f t="shared" si="71"/>
        <v>6.0180644861381234</v>
      </c>
      <c r="F737" s="70">
        <f t="shared" si="75"/>
        <v>0.36541687559830682</v>
      </c>
      <c r="G737" s="67">
        <f>E737/'Lookup Tables'!$C$48</f>
        <v>12.036128972276247</v>
      </c>
      <c r="H737" s="70">
        <f t="shared" si="72"/>
        <v>5.0531147570009064E-3</v>
      </c>
      <c r="I737" s="71">
        <f t="shared" si="76"/>
        <v>1.7332025720077793E-2</v>
      </c>
      <c r="L737" s="74"/>
      <c r="M737" s="74"/>
      <c r="N737" s="74"/>
      <c r="O737" s="74"/>
      <c r="P737" s="74"/>
      <c r="Q737" s="74"/>
      <c r="R737" s="74"/>
      <c r="S737" s="74"/>
      <c r="T737" s="74"/>
      <c r="U737" s="74"/>
      <c r="V737" s="74"/>
      <c r="W737" s="74"/>
      <c r="X737" s="74"/>
      <c r="Y737" s="74"/>
      <c r="Z737" s="74"/>
    </row>
    <row r="738" spans="1:26" x14ac:dyDescent="0.3">
      <c r="A738" s="66">
        <f t="shared" si="74"/>
        <v>2063.0999999999335</v>
      </c>
      <c r="B738" s="67">
        <f>LOOKUP(A738+0.01,AmountsB!$A$4:$A$103,AmountsB!$B$4:$B$103)*0.1*$A$2</f>
        <v>0</v>
      </c>
      <c r="C738" s="68">
        <f t="shared" si="73"/>
        <v>625969.29735898925</v>
      </c>
      <c r="D738" s="67">
        <f t="array" ref="D738">SUM($B$7:$B733*$F$1009*EXP(-$F$1009*($A738-$A$7:$A733)))*$F$1010</f>
        <v>3134729.5399938491</v>
      </c>
      <c r="E738" s="67">
        <f t="shared" si="71"/>
        <v>5.9760851338836316</v>
      </c>
      <c r="F738" s="70">
        <f t="shared" si="75"/>
        <v>0.36286788932941411</v>
      </c>
      <c r="G738" s="67">
        <f>E738/'Lookup Tables'!$C$48</f>
        <v>11.952170267767263</v>
      </c>
      <c r="H738" s="70">
        <f t="shared" si="72"/>
        <v>5.0178664666485663E-3</v>
      </c>
      <c r="I738" s="71">
        <f t="shared" si="76"/>
        <v>1.7211125185584861E-2</v>
      </c>
      <c r="L738" s="74"/>
      <c r="M738" s="74"/>
      <c r="N738" s="74"/>
      <c r="O738" s="74"/>
      <c r="P738" s="74"/>
      <c r="Q738" s="74"/>
      <c r="R738" s="74"/>
      <c r="S738" s="74"/>
      <c r="T738" s="74"/>
      <c r="U738" s="74"/>
      <c r="V738" s="74"/>
      <c r="W738" s="74"/>
      <c r="X738" s="74"/>
      <c r="Y738" s="74"/>
      <c r="Z738" s="74"/>
    </row>
    <row r="739" spans="1:26" x14ac:dyDescent="0.3">
      <c r="A739" s="66">
        <f t="shared" si="74"/>
        <v>2063.1999999999334</v>
      </c>
      <c r="B739" s="67">
        <f>LOOKUP(A739+0.01,AmountsB!$A$4:$A$103,AmountsB!$B$4:$B$103)*0.1*$A$2</f>
        <v>0</v>
      </c>
      <c r="C739" s="68">
        <f t="shared" si="73"/>
        <v>625969.29735898925</v>
      </c>
      <c r="D739" s="67">
        <f t="array" ref="D739">SUM($B$7:$B734*$F$1009*EXP(-$F$1009*($A739-$A$7:$A734)))*$F$1010</f>
        <v>3112863.0551987677</v>
      </c>
      <c r="E739" s="67">
        <f t="shared" si="71"/>
        <v>5.9343986109964177</v>
      </c>
      <c r="F739" s="70">
        <f t="shared" si="75"/>
        <v>0.36033668365970251</v>
      </c>
      <c r="G739" s="67">
        <f>E739/'Lookup Tables'!$C$48</f>
        <v>11.868797221992835</v>
      </c>
      <c r="H739" s="70">
        <f t="shared" si="72"/>
        <v>4.9828640527570835E-3</v>
      </c>
      <c r="I739" s="71">
        <f t="shared" si="76"/>
        <v>1.7091067999669682E-2</v>
      </c>
      <c r="L739" s="74"/>
      <c r="M739" s="74"/>
      <c r="N739" s="74"/>
      <c r="O739" s="74"/>
      <c r="P739" s="74"/>
      <c r="Q739" s="74"/>
      <c r="R739" s="74"/>
      <c r="S739" s="74"/>
      <c r="T739" s="74"/>
      <c r="U739" s="74"/>
      <c r="V739" s="74"/>
      <c r="W739" s="74"/>
      <c r="X739" s="74"/>
      <c r="Y739" s="74"/>
      <c r="Z739" s="74"/>
    </row>
    <row r="740" spans="1:26" x14ac:dyDescent="0.3">
      <c r="A740" s="66">
        <f t="shared" si="74"/>
        <v>2063.2999999999333</v>
      </c>
      <c r="B740" s="67">
        <f>LOOKUP(A740+0.01,AmountsB!$A$4:$A$103,AmountsB!$B$4:$B$103)*0.1*$A$2</f>
        <v>0</v>
      </c>
      <c r="C740" s="68">
        <f t="shared" si="73"/>
        <v>625969.29735898925</v>
      </c>
      <c r="D740" s="67">
        <f t="array" ref="D740">SUM($B$7:$B735*$F$1009*EXP(-$F$1009*($A740-$A$7:$A735)))*$F$1010</f>
        <v>3091149.1013162243</v>
      </c>
      <c r="E740" s="67">
        <f t="shared" si="71"/>
        <v>5.8930028748285199</v>
      </c>
      <c r="F740" s="70">
        <f t="shared" si="75"/>
        <v>0.3578231345595877</v>
      </c>
      <c r="G740" s="67">
        <f>E740/'Lookup Tables'!$C$48</f>
        <v>11.78600574965704</v>
      </c>
      <c r="H740" s="70">
        <f t="shared" si="72"/>
        <v>4.9481058002011765E-3</v>
      </c>
      <c r="I740" s="71">
        <f t="shared" si="76"/>
        <v>1.6971848279506135E-2</v>
      </c>
      <c r="L740" s="74"/>
      <c r="M740" s="74"/>
      <c r="N740" s="74"/>
      <c r="O740" s="74"/>
      <c r="P740" s="74"/>
      <c r="Q740" s="74"/>
      <c r="R740" s="74"/>
      <c r="S740" s="74"/>
      <c r="T740" s="74"/>
      <c r="U740" s="74"/>
      <c r="V740" s="74"/>
      <c r="W740" s="74"/>
      <c r="X740" s="74"/>
      <c r="Y740" s="74"/>
      <c r="Z740" s="74"/>
    </row>
    <row r="741" spans="1:26" x14ac:dyDescent="0.3">
      <c r="A741" s="66">
        <f t="shared" si="74"/>
        <v>2063.3999999999332</v>
      </c>
      <c r="B741" s="67">
        <f>LOOKUP(A741+0.01,AmountsB!$A$4:$A$103,AmountsB!$B$4:$B$103)*0.1*$A$2</f>
        <v>0</v>
      </c>
      <c r="C741" s="68">
        <f t="shared" si="73"/>
        <v>625969.29735898925</v>
      </c>
      <c r="D741" s="67">
        <f t="array" ref="D741">SUM($B$7:$B736*$F$1009*EXP(-$F$1009*($A741-$A$7:$A736)))*$F$1010</f>
        <v>3069586.6143581346</v>
      </c>
      <c r="E741" s="67">
        <f t="shared" si="71"/>
        <v>5.8518958969805839</v>
      </c>
      <c r="F741" s="70">
        <f t="shared" si="75"/>
        <v>0.35532711886466106</v>
      </c>
      <c r="G741" s="67">
        <f>E741/'Lookup Tables'!$C$48</f>
        <v>11.703791793961168</v>
      </c>
      <c r="H741" s="70">
        <f t="shared" si="72"/>
        <v>4.9135900058195174E-3</v>
      </c>
      <c r="I741" s="71">
        <f t="shared" si="76"/>
        <v>1.6853460183304084E-2</v>
      </c>
      <c r="L741" s="74"/>
      <c r="M741" s="74"/>
      <c r="N741" s="74"/>
      <c r="O741" s="74"/>
      <c r="P741" s="74"/>
      <c r="Q741" s="74"/>
      <c r="R741" s="74"/>
      <c r="S741" s="74"/>
      <c r="T741" s="74"/>
      <c r="U741" s="74"/>
      <c r="V741" s="74"/>
      <c r="W741" s="74"/>
      <c r="X741" s="74"/>
      <c r="Y741" s="74"/>
      <c r="Z741" s="74"/>
    </row>
    <row r="742" spans="1:26" x14ac:dyDescent="0.3">
      <c r="A742" s="66">
        <f t="shared" si="74"/>
        <v>2063.4999999999332</v>
      </c>
      <c r="B742" s="67">
        <f>LOOKUP(A742+0.01,AmountsB!$A$4:$A$103,AmountsB!$B$4:$B$103)*0.1*$A$2</f>
        <v>0</v>
      </c>
      <c r="C742" s="68">
        <f t="shared" si="73"/>
        <v>625969.29735898925</v>
      </c>
      <c r="D742" s="67">
        <f t="array" ref="D742">SUM($B$7:$B737*$F$1009*EXP(-$F$1009*($A742-$A$7:$A737)))*$F$1010</f>
        <v>3048174.5377583215</v>
      </c>
      <c r="E742" s="67">
        <f t="shared" si="71"/>
        <v>5.811075663202466</v>
      </c>
      <c r="F742" s="70">
        <f t="shared" si="75"/>
        <v>0.35284851426965369</v>
      </c>
      <c r="G742" s="67">
        <f>E742/'Lookup Tables'!$C$48</f>
        <v>11.622151326404932</v>
      </c>
      <c r="H742" s="70">
        <f t="shared" si="72"/>
        <v>4.8793149783312685E-3</v>
      </c>
      <c r="I742" s="71">
        <f t="shared" si="76"/>
        <v>1.6735897910023102E-2</v>
      </c>
      <c r="L742" s="74"/>
      <c r="M742" s="74"/>
      <c r="N742" s="74"/>
      <c r="O742" s="74"/>
      <c r="P742" s="74"/>
      <c r="Q742" s="74"/>
      <c r="R742" s="74"/>
      <c r="S742" s="74"/>
      <c r="T742" s="74"/>
      <c r="U742" s="74"/>
      <c r="V742" s="74"/>
      <c r="W742" s="74"/>
      <c r="X742" s="74"/>
      <c r="Y742" s="74"/>
      <c r="Z742" s="74"/>
    </row>
    <row r="743" spans="1:26" x14ac:dyDescent="0.3">
      <c r="A743" s="66">
        <f t="shared" si="74"/>
        <v>2063.5999999999331</v>
      </c>
      <c r="B743" s="67">
        <f>LOOKUP(A743+0.01,AmountsB!$A$4:$A$103,AmountsB!$B$4:$B$103)*0.1*$A$2</f>
        <v>0</v>
      </c>
      <c r="C743" s="68">
        <f t="shared" si="73"/>
        <v>625969.29735898925</v>
      </c>
      <c r="D743" s="67">
        <f t="array" ref="D743">SUM($B$7:$B738*$F$1009*EXP(-$F$1009*($A743-$A$7:$A738)))*$F$1010</f>
        <v>3026911.8223207472</v>
      </c>
      <c r="E743" s="67">
        <f t="shared" si="71"/>
        <v>5.7705401732945436</v>
      </c>
      <c r="F743" s="70">
        <f t="shared" si="75"/>
        <v>0.35038719932244466</v>
      </c>
      <c r="G743" s="67">
        <f>E743/'Lookup Tables'!$C$48</f>
        <v>11.541080346589087</v>
      </c>
      <c r="H743" s="70">
        <f t="shared" si="72"/>
        <v>4.8452790382532279E-3</v>
      </c>
      <c r="I743" s="71">
        <f t="shared" si="76"/>
        <v>1.6619155699088284E-2</v>
      </c>
      <c r="L743" s="74"/>
      <c r="M743" s="74"/>
      <c r="N743" s="74"/>
      <c r="O743" s="74"/>
      <c r="P743" s="74"/>
      <c r="Q743" s="74"/>
      <c r="R743" s="74"/>
      <c r="S743" s="74"/>
      <c r="T743" s="74"/>
      <c r="U743" s="74"/>
      <c r="V743" s="74"/>
      <c r="W743" s="74"/>
      <c r="X743" s="74"/>
      <c r="Y743" s="74"/>
      <c r="Z743" s="74"/>
    </row>
    <row r="744" spans="1:26" x14ac:dyDescent="0.3">
      <c r="A744" s="66">
        <f t="shared" si="74"/>
        <v>2063.699999999933</v>
      </c>
      <c r="B744" s="67">
        <f>LOOKUP(A744+0.01,AmountsB!$A$4:$A$103,AmountsB!$B$4:$B$103)*0.1*$A$2</f>
        <v>0</v>
      </c>
      <c r="C744" s="68">
        <f t="shared" si="73"/>
        <v>625969.29735898925</v>
      </c>
      <c r="D744" s="67">
        <f t="array" ref="D744">SUM($B$7:$B739*$F$1009*EXP(-$F$1009*($A744-$A$7:$A739)))*$F$1010</f>
        <v>3005797.4261681032</v>
      </c>
      <c r="E744" s="67">
        <f t="shared" si="71"/>
        <v>5.7302874410097058</v>
      </c>
      <c r="F744" s="70">
        <f t="shared" si="75"/>
        <v>0.34794305341810933</v>
      </c>
      <c r="G744" s="67">
        <f>E744/'Lookup Tables'!$C$48</f>
        <v>11.460574882019412</v>
      </c>
      <c r="H744" s="70">
        <f t="shared" si="72"/>
        <v>4.8114805178175249E-3</v>
      </c>
      <c r="I744" s="71">
        <f t="shared" si="76"/>
        <v>1.6503227830107953E-2</v>
      </c>
      <c r="L744" s="74"/>
      <c r="M744" s="74"/>
      <c r="N744" s="74"/>
      <c r="O744" s="74"/>
      <c r="P744" s="74"/>
      <c r="Q744" s="74"/>
      <c r="R744" s="74"/>
      <c r="S744" s="74"/>
      <c r="T744" s="74"/>
      <c r="U744" s="74"/>
      <c r="V744" s="74"/>
      <c r="W744" s="74"/>
      <c r="X744" s="74"/>
      <c r="Y744" s="74"/>
      <c r="Z744" s="74"/>
    </row>
    <row r="745" spans="1:26" x14ac:dyDescent="0.3">
      <c r="A745" s="66">
        <f t="shared" si="74"/>
        <v>2063.7999999999329</v>
      </c>
      <c r="B745" s="67">
        <f>LOOKUP(A745+0.01,AmountsB!$A$4:$A$103,AmountsB!$B$4:$B$103)*0.1*$A$2</f>
        <v>0</v>
      </c>
      <c r="C745" s="68">
        <f t="shared" si="73"/>
        <v>625969.29735898925</v>
      </c>
      <c r="D745" s="67">
        <f t="array" ref="D745">SUM($B$7:$B740*$F$1009*EXP(-$F$1009*($A745-$A$7:$A740)))*$F$1010</f>
        <v>2984830.3146907515</v>
      </c>
      <c r="E745" s="67">
        <f t="shared" si="71"/>
        <v>5.690315493956013</v>
      </c>
      <c r="F745" s="70">
        <f t="shared" si="75"/>
        <v>0.34551595679300912</v>
      </c>
      <c r="G745" s="67">
        <f>E745/'Lookup Tables'!$C$48</f>
        <v>11.380630987912026</v>
      </c>
      <c r="H745" s="70">
        <f t="shared" si="72"/>
        <v>4.7779177608898915E-3</v>
      </c>
      <c r="I745" s="71">
        <f t="shared" si="76"/>
        <v>1.6388108622593319E-2</v>
      </c>
      <c r="L745" s="74"/>
      <c r="M745" s="74"/>
      <c r="N745" s="74"/>
      <c r="O745" s="74"/>
      <c r="P745" s="74"/>
      <c r="Q745" s="74"/>
      <c r="R745" s="74"/>
      <c r="S745" s="74"/>
      <c r="T745" s="74"/>
      <c r="U745" s="74"/>
      <c r="V745" s="74"/>
      <c r="W745" s="74"/>
      <c r="X745" s="74"/>
      <c r="Y745" s="74"/>
      <c r="Z745" s="74"/>
    </row>
    <row r="746" spans="1:26" x14ac:dyDescent="0.3">
      <c r="A746" s="66">
        <f t="shared" si="74"/>
        <v>2063.8999999999328</v>
      </c>
      <c r="B746" s="67">
        <f>LOOKUP(A746+0.01,AmountsB!$A$4:$A$103,AmountsB!$B$4:$B$103)*0.1*$A$2</f>
        <v>0</v>
      </c>
      <c r="C746" s="68">
        <f t="shared" si="73"/>
        <v>625969.29735898925</v>
      </c>
      <c r="D746" s="67">
        <f t="array" ref="D746">SUM($B$7:$B741*$F$1009*EXP(-$F$1009*($A746-$A$7:$A741)))*$F$1010</f>
        <v>2964009.4604960349</v>
      </c>
      <c r="E746" s="67">
        <f t="shared" si="71"/>
        <v>5.6506223735000605</v>
      </c>
      <c r="F746" s="70">
        <f t="shared" si="75"/>
        <v>0.34310579051892365</v>
      </c>
      <c r="G746" s="67">
        <f>E746/'Lookup Tables'!$C$48</f>
        <v>11.301244747000121</v>
      </c>
      <c r="H746" s="70">
        <f t="shared" si="72"/>
        <v>4.7445891228885227E-3</v>
      </c>
      <c r="I746" s="71">
        <f t="shared" si="76"/>
        <v>1.6273792435680175E-2</v>
      </c>
      <c r="L746" s="74"/>
      <c r="M746" s="74"/>
      <c r="N746" s="74"/>
      <c r="O746" s="74"/>
      <c r="P746" s="74"/>
      <c r="Q746" s="74"/>
      <c r="R746" s="74"/>
      <c r="S746" s="74"/>
      <c r="T746" s="74"/>
      <c r="U746" s="74"/>
      <c r="V746" s="74"/>
      <c r="W746" s="74"/>
      <c r="X746" s="74"/>
      <c r="Y746" s="74"/>
      <c r="Z746" s="74"/>
    </row>
    <row r="747" spans="1:26" x14ac:dyDescent="0.3">
      <c r="A747" s="66">
        <f t="shared" si="74"/>
        <v>2063.9999999999327</v>
      </c>
      <c r="B747" s="67">
        <f>LOOKUP(A747+0.01,AmountsB!$A$4:$A$103,AmountsB!$B$4:$B$103)*0.1*$A$2</f>
        <v>0</v>
      </c>
      <c r="C747" s="68">
        <f t="shared" si="73"/>
        <v>625969.29735898925</v>
      </c>
      <c r="D747" s="67">
        <f t="array" ref="D747">SUM($B$7:$B742*$F$1009*EXP(-$F$1009*($A747-$A$7:$A742)))*$F$1010</f>
        <v>2943333.8433579332</v>
      </c>
      <c r="E747" s="67">
        <f t="shared" si="71"/>
        <v>5.6112061346710105</v>
      </c>
      <c r="F747" s="70">
        <f t="shared" si="75"/>
        <v>0.34071243649722377</v>
      </c>
      <c r="G747" s="67">
        <f>E747/'Lookup Tables'!$C$48</f>
        <v>11.222412269342021</v>
      </c>
      <c r="H747" s="70">
        <f t="shared" si="72"/>
        <v>4.7114929707034944E-3</v>
      </c>
      <c r="I747" s="71">
        <f t="shared" si="76"/>
        <v>1.6160273667852512E-2</v>
      </c>
      <c r="L747" s="74"/>
      <c r="M747" s="74"/>
      <c r="N747" s="74"/>
      <c r="O747" s="74"/>
      <c r="P747" s="74"/>
      <c r="Q747" s="74"/>
      <c r="R747" s="74"/>
      <c r="S747" s="74"/>
      <c r="T747" s="74"/>
      <c r="U747" s="74"/>
      <c r="V747" s="74"/>
      <c r="W747" s="74"/>
      <c r="X747" s="74"/>
      <c r="Y747" s="74"/>
      <c r="Z747" s="74"/>
    </row>
    <row r="748" spans="1:26" x14ac:dyDescent="0.3">
      <c r="A748" s="66">
        <f t="shared" si="74"/>
        <v>2064.0999999999326</v>
      </c>
      <c r="B748" s="67">
        <f>LOOKUP(A748+0.01,AmountsB!$A$4:$A$103,AmountsB!$B$4:$B$103)*0.1*$A$2</f>
        <v>0</v>
      </c>
      <c r="C748" s="68">
        <f t="shared" si="73"/>
        <v>625969.29735898925</v>
      </c>
      <c r="D748" s="67">
        <f t="array" ref="D748">SUM($B$7:$B743*$F$1009*EXP(-$F$1009*($A748-$A$7:$A743)))*$F$1010</f>
        <v>2922802.4501670683</v>
      </c>
      <c r="E748" s="67">
        <f t="shared" si="71"/>
        <v>5.5720648460652669</v>
      </c>
      <c r="F748" s="70">
        <f t="shared" si="75"/>
        <v>0.33833577745308296</v>
      </c>
      <c r="G748" s="67">
        <f>E748/'Lookup Tables'!$C$48</f>
        <v>11.144129692130534</v>
      </c>
      <c r="H748" s="70">
        <f t="shared" si="72"/>
        <v>4.6786276826167195E-3</v>
      </c>
      <c r="I748" s="71">
        <f t="shared" si="76"/>
        <v>1.6047546756667967E-2</v>
      </c>
      <c r="L748" s="74"/>
      <c r="M748" s="74"/>
      <c r="N748" s="74"/>
      <c r="O748" s="74"/>
      <c r="P748" s="74"/>
      <c r="Q748" s="74"/>
      <c r="R748" s="74"/>
      <c r="S748" s="74"/>
      <c r="T748" s="74"/>
      <c r="U748" s="74"/>
      <c r="V748" s="74"/>
      <c r="W748" s="74"/>
      <c r="X748" s="74"/>
      <c r="Y748" s="74"/>
      <c r="Z748" s="74"/>
    </row>
    <row r="749" spans="1:26" x14ac:dyDescent="0.3">
      <c r="A749" s="66">
        <f t="shared" si="74"/>
        <v>2064.1999999999325</v>
      </c>
      <c r="B749" s="67">
        <f>LOOKUP(A749+0.01,AmountsB!$A$4:$A$103,AmountsB!$B$4:$B$103)*0.1*$A$2</f>
        <v>0</v>
      </c>
      <c r="C749" s="68">
        <f t="shared" si="73"/>
        <v>625969.29735898925</v>
      </c>
      <c r="D749" s="67">
        <f t="array" ref="D749">SUM($B$7:$B744*$F$1009*EXP(-$F$1009*($A749-$A$7:$A744)))*$F$1010</f>
        <v>2902414.2748810668</v>
      </c>
      <c r="E749" s="67">
        <f t="shared" si="71"/>
        <v>5.53319658975186</v>
      </c>
      <c r="F749" s="70">
        <f t="shared" si="75"/>
        <v>0.33597569692973289</v>
      </c>
      <c r="G749" s="67">
        <f>E749/'Lookup Tables'!$C$48</f>
        <v>11.06639317950372</v>
      </c>
      <c r="H749" s="70">
        <f t="shared" si="72"/>
        <v>4.6459916482225107E-3</v>
      </c>
      <c r="I749" s="71">
        <f t="shared" si="76"/>
        <v>1.5935606178485356E-2</v>
      </c>
      <c r="L749" s="74"/>
      <c r="M749" s="74"/>
      <c r="N749" s="74"/>
      <c r="O749" s="74"/>
      <c r="P749" s="74"/>
      <c r="Q749" s="74"/>
      <c r="R749" s="74"/>
      <c r="S749" s="74"/>
      <c r="T749" s="74"/>
      <c r="U749" s="74"/>
      <c r="V749" s="74"/>
      <c r="W749" s="74"/>
      <c r="X749" s="74"/>
      <c r="Y749" s="74"/>
      <c r="Z749" s="74"/>
    </row>
    <row r="750" spans="1:26" x14ac:dyDescent="0.3">
      <c r="A750" s="66">
        <f t="shared" si="74"/>
        <v>2064.2999999999324</v>
      </c>
      <c r="B750" s="67">
        <f>LOOKUP(A750+0.01,AmountsB!$A$4:$A$103,AmountsB!$B$4:$B$103)*0.1*$A$2</f>
        <v>0</v>
      </c>
      <c r="C750" s="68">
        <f t="shared" si="73"/>
        <v>625969.29735898925</v>
      </c>
      <c r="D750" s="67">
        <f t="array" ref="D750">SUM($B$7:$B745*$F$1009*EXP(-$F$1009*($A750-$A$7:$A745)))*$F$1010</f>
        <v>2882168.3184752595</v>
      </c>
      <c r="E750" s="67">
        <f t="shared" si="71"/>
        <v>5.4945994611784537</v>
      </c>
      <c r="F750" s="70">
        <f t="shared" si="75"/>
        <v>0.33363207928275573</v>
      </c>
      <c r="G750" s="67">
        <f>E750/'Lookup Tables'!$C$48</f>
        <v>10.989198922356907</v>
      </c>
      <c r="H750" s="70">
        <f t="shared" si="72"/>
        <v>4.6135832683486533E-3</v>
      </c>
      <c r="I750" s="71">
        <f t="shared" si="76"/>
        <v>1.5824446448193946E-2</v>
      </c>
      <c r="L750" s="74"/>
      <c r="M750" s="74"/>
      <c r="N750" s="74"/>
      <c r="O750" s="74"/>
      <c r="P750" s="74"/>
      <c r="Q750" s="74"/>
      <c r="R750" s="74"/>
      <c r="S750" s="74"/>
      <c r="T750" s="74"/>
      <c r="U750" s="74"/>
      <c r="V750" s="74"/>
      <c r="W750" s="74"/>
      <c r="X750" s="74"/>
      <c r="Y750" s="74"/>
      <c r="Z750" s="74"/>
    </row>
    <row r="751" spans="1:26" x14ac:dyDescent="0.3">
      <c r="A751" s="66">
        <f t="shared" si="74"/>
        <v>2064.3999999999323</v>
      </c>
      <c r="B751" s="67">
        <f>LOOKUP(A751+0.01,AmountsB!$A$4:$A$103,AmountsB!$B$4:$B$103)*0.1*$A$2</f>
        <v>0</v>
      </c>
      <c r="C751" s="68">
        <f t="shared" si="73"/>
        <v>625969.29735898925</v>
      </c>
      <c r="D751" s="67">
        <f t="array" ref="D751">SUM($B$7:$B746*$F$1009*EXP(-$F$1009*($A751-$A$7:$A746)))*$F$1010</f>
        <v>2862063.5888937316</v>
      </c>
      <c r="E751" s="67">
        <f t="shared" si="71"/>
        <v>5.4562715690780212</v>
      </c>
      <c r="F751" s="70">
        <f t="shared" si="75"/>
        <v>0.33130480967441744</v>
      </c>
      <c r="G751" s="67">
        <f>E751/'Lookup Tables'!$C$48</f>
        <v>10.912543138156042</v>
      </c>
      <c r="H751" s="70">
        <f t="shared" si="72"/>
        <v>4.5814009549780431E-3</v>
      </c>
      <c r="I751" s="71">
        <f t="shared" si="76"/>
        <v>1.5714062118944702E-2</v>
      </c>
      <c r="L751" s="74"/>
      <c r="M751" s="74"/>
      <c r="N751" s="74"/>
      <c r="O751" s="74"/>
      <c r="P751" s="74"/>
      <c r="Q751" s="74"/>
      <c r="R751" s="74"/>
      <c r="S751" s="74"/>
      <c r="T751" s="74"/>
      <c r="U751" s="74"/>
      <c r="V751" s="74"/>
      <c r="W751" s="74"/>
      <c r="X751" s="74"/>
      <c r="Y751" s="74"/>
      <c r="Z751" s="74"/>
    </row>
    <row r="752" spans="1:26" x14ac:dyDescent="0.3">
      <c r="A752" s="66">
        <f t="shared" si="74"/>
        <v>2064.4999999999322</v>
      </c>
      <c r="B752" s="67">
        <f>LOOKUP(A752+0.01,AmountsB!$A$4:$A$103,AmountsB!$B$4:$B$103)*0.1*$A$2</f>
        <v>0</v>
      </c>
      <c r="C752" s="68">
        <f t="shared" si="73"/>
        <v>625969.29735898925</v>
      </c>
      <c r="D752" s="67">
        <f t="array" ref="D752">SUM($B$7:$B747*$F$1009*EXP(-$F$1009*($A752-$A$7:$A747)))*$F$1010</f>
        <v>2842099.1010007109</v>
      </c>
      <c r="E752" s="67">
        <f t="shared" si="71"/>
        <v>5.4182110353761841</v>
      </c>
      <c r="F752" s="70">
        <f t="shared" si="75"/>
        <v>0.32899377406804187</v>
      </c>
      <c r="G752" s="67">
        <f>E752/'Lookup Tables'!$C$48</f>
        <v>10.836422070752368</v>
      </c>
      <c r="H752" s="70">
        <f t="shared" si="72"/>
        <v>4.5494431311708904E-3</v>
      </c>
      <c r="I752" s="71">
        <f t="shared" si="76"/>
        <v>1.5604447781883409E-2</v>
      </c>
      <c r="L752" s="74"/>
      <c r="M752" s="74"/>
      <c r="N752" s="74"/>
      <c r="O752" s="74"/>
      <c r="P752" s="74"/>
      <c r="Q752" s="74"/>
      <c r="R752" s="74"/>
      <c r="S752" s="74"/>
      <c r="T752" s="74"/>
      <c r="U752" s="74"/>
      <c r="V752" s="74"/>
      <c r="W752" s="74"/>
      <c r="X752" s="74"/>
      <c r="Y752" s="74"/>
      <c r="Z752" s="74"/>
    </row>
    <row r="753" spans="1:26" x14ac:dyDescent="0.3">
      <c r="A753" s="66">
        <f t="shared" si="74"/>
        <v>2064.5999999999322</v>
      </c>
      <c r="B753" s="67">
        <f>LOOKUP(A753+0.01,AmountsB!$A$4:$A$103,AmountsB!$B$4:$B$103)*0.1*$A$2</f>
        <v>0</v>
      </c>
      <c r="C753" s="68">
        <f t="shared" si="73"/>
        <v>625969.29735898925</v>
      </c>
      <c r="D753" s="67">
        <f t="array" ref="D753">SUM($B$7:$B748*$F$1009*EXP(-$F$1009*($A753-$A$7:$A748)))*$F$1010</f>
        <v>2822273.8765322976</v>
      </c>
      <c r="E753" s="67">
        <f t="shared" si="71"/>
        <v>5.3804159950991775</v>
      </c>
      <c r="F753" s="70">
        <f t="shared" si="75"/>
        <v>0.32669885922242198</v>
      </c>
      <c r="G753" s="67">
        <f>E753/'Lookup Tables'!$C$48</f>
        <v>10.760831990198355</v>
      </c>
      <c r="H753" s="70">
        <f t="shared" si="72"/>
        <v>4.5177082309874354E-3</v>
      </c>
      <c r="I753" s="71">
        <f t="shared" si="76"/>
        <v>1.549559806588563E-2</v>
      </c>
      <c r="L753" s="74"/>
      <c r="M753" s="74"/>
      <c r="N753" s="74"/>
      <c r="O753" s="74"/>
      <c r="P753" s="74"/>
      <c r="Q753" s="74"/>
      <c r="R753" s="74"/>
      <c r="S753" s="74"/>
      <c r="T753" s="74"/>
      <c r="U753" s="74"/>
      <c r="V753" s="74"/>
      <c r="W753" s="74"/>
      <c r="X753" s="74"/>
      <c r="Y753" s="74"/>
      <c r="Z753" s="74"/>
    </row>
    <row r="754" spans="1:26" x14ac:dyDescent="0.3">
      <c r="A754" s="66">
        <f t="shared" si="74"/>
        <v>2064.6999999999321</v>
      </c>
      <c r="B754" s="67">
        <f>LOOKUP(A754+0.01,AmountsB!$A$4:$A$103,AmountsB!$B$4:$B$103)*0.1*$A$2</f>
        <v>0</v>
      </c>
      <c r="C754" s="68">
        <f t="shared" si="73"/>
        <v>625969.29735898925</v>
      </c>
      <c r="D754" s="67">
        <f t="array" ref="D754">SUM($B$7:$B749*$F$1009*EXP(-$F$1009*($A754-$A$7:$A749)))*$F$1010</f>
        <v>2802586.9440485239</v>
      </c>
      <c r="E754" s="67">
        <f t="shared" si="71"/>
        <v>5.3428845962824614</v>
      </c>
      <c r="F754" s="70">
        <f t="shared" si="75"/>
        <v>0.32441995268627105</v>
      </c>
      <c r="G754" s="67">
        <f>E754/'Lookup Tables'!$C$48</f>
        <v>10.685769192564923</v>
      </c>
      <c r="H754" s="70">
        <f t="shared" si="72"/>
        <v>4.4861946994112171E-3</v>
      </c>
      <c r="I754" s="71">
        <f t="shared" si="76"/>
        <v>1.5387507637293489E-2</v>
      </c>
      <c r="L754" s="74"/>
      <c r="M754" s="74"/>
      <c r="N754" s="74"/>
      <c r="O754" s="74"/>
      <c r="P754" s="74"/>
      <c r="Q754" s="74"/>
      <c r="R754" s="74"/>
      <c r="S754" s="74"/>
      <c r="T754" s="74"/>
      <c r="U754" s="74"/>
      <c r="V754" s="74"/>
      <c r="W754" s="74"/>
      <c r="X754" s="74"/>
      <c r="Y754" s="74"/>
      <c r="Z754" s="74"/>
    </row>
    <row r="755" spans="1:26" x14ac:dyDescent="0.3">
      <c r="A755" s="66">
        <f t="shared" si="74"/>
        <v>2064.799999999932</v>
      </c>
      <c r="B755" s="67">
        <f>LOOKUP(A755+0.01,AmountsB!$A$4:$A$103,AmountsB!$B$4:$B$103)*0.1*$A$2</f>
        <v>0</v>
      </c>
      <c r="C755" s="68">
        <f t="shared" si="73"/>
        <v>625969.29735898925</v>
      </c>
      <c r="D755" s="67">
        <f t="array" ref="D755">SUM($B$7:$B750*$F$1009*EXP(-$F$1009*($A755-$A$7:$A750)))*$F$1010</f>
        <v>2783037.3388857613</v>
      </c>
      <c r="E755" s="67">
        <f t="shared" si="71"/>
        <v>5.3056149998799889</v>
      </c>
      <c r="F755" s="70">
        <f t="shared" si="75"/>
        <v>0.3221569427927129</v>
      </c>
      <c r="G755" s="67">
        <f>E755/'Lookup Tables'!$C$48</f>
        <v>10.611229999759978</v>
      </c>
      <c r="H755" s="70">
        <f t="shared" si="72"/>
        <v>4.4549009922728849E-3</v>
      </c>
      <c r="I755" s="71">
        <f t="shared" si="76"/>
        <v>1.5280171199654368E-2</v>
      </c>
      <c r="L755" s="74"/>
      <c r="M755" s="74"/>
      <c r="N755" s="74"/>
      <c r="O755" s="74"/>
      <c r="P755" s="74"/>
      <c r="Q755" s="74"/>
      <c r="R755" s="74"/>
      <c r="S755" s="74"/>
      <c r="T755" s="74"/>
      <c r="U755" s="74"/>
      <c r="V755" s="74"/>
      <c r="W755" s="74"/>
      <c r="X755" s="74"/>
      <c r="Y755" s="74"/>
      <c r="Z755" s="74"/>
    </row>
    <row r="756" spans="1:26" x14ac:dyDescent="0.3">
      <c r="A756" s="66">
        <f t="shared" si="74"/>
        <v>2064.8999999999319</v>
      </c>
      <c r="B756" s="67">
        <f>LOOKUP(A756+0.01,AmountsB!$A$4:$A$103,AmountsB!$B$4:$B$103)*0.1*$A$2</f>
        <v>0</v>
      </c>
      <c r="C756" s="68">
        <f t="shared" si="73"/>
        <v>625969.29735898925</v>
      </c>
      <c r="D756" s="67">
        <f t="array" ref="D756">SUM($B$7:$B751*$F$1009*EXP(-$F$1009*($A756-$A$7:$A751)))*$F$1010</f>
        <v>2763624.1031094436</v>
      </c>
      <c r="E756" s="67">
        <f t="shared" si="71"/>
        <v>5.2686053796740744</v>
      </c>
      <c r="F756" s="70">
        <f t="shared" si="75"/>
        <v>0.31990971865380979</v>
      </c>
      <c r="G756" s="67">
        <f>E756/'Lookup Tables'!$C$48</f>
        <v>10.537210759348149</v>
      </c>
      <c r="H756" s="70">
        <f t="shared" si="72"/>
        <v>4.4238255761745258E-3</v>
      </c>
      <c r="I756" s="71">
        <f t="shared" si="76"/>
        <v>1.5173583493461333E-2</v>
      </c>
      <c r="L756" s="74"/>
      <c r="M756" s="74"/>
      <c r="N756" s="74"/>
      <c r="O756" s="74"/>
      <c r="P756" s="74"/>
      <c r="Q756" s="74"/>
      <c r="R756" s="74"/>
      <c r="S756" s="74"/>
      <c r="T756" s="74"/>
      <c r="U756" s="74"/>
      <c r="V756" s="74"/>
      <c r="W756" s="74"/>
      <c r="X756" s="74"/>
      <c r="Y756" s="74"/>
      <c r="Z756" s="74"/>
    </row>
    <row r="757" spans="1:26" x14ac:dyDescent="0.3">
      <c r="A757" s="66">
        <f t="shared" si="74"/>
        <v>2064.9999999999318</v>
      </c>
      <c r="B757" s="67">
        <f>LOOKUP(A757+0.01,AmountsB!$A$4:$A$103,AmountsB!$B$4:$B$103)*0.1*$A$2</f>
        <v>0</v>
      </c>
      <c r="C757" s="68">
        <f t="shared" si="73"/>
        <v>625969.29735898925</v>
      </c>
      <c r="D757" s="67">
        <f t="array" ref="D757">SUM($B$7:$B752*$F$1009*EXP(-$F$1009*($A757-$A$7:$A752)))*$F$1010</f>
        <v>2744346.2854671343</v>
      </c>
      <c r="E757" s="67">
        <f t="shared" si="71"/>
        <v>5.2318539221859277</v>
      </c>
      <c r="F757" s="70">
        <f t="shared" si="75"/>
        <v>0.3176781701551295</v>
      </c>
      <c r="G757" s="67">
        <f>E757/'Lookup Tables'!$C$48</f>
        <v>10.463707844371855</v>
      </c>
      <c r="H757" s="70">
        <f t="shared" si="72"/>
        <v>4.3929669284145344E-3</v>
      </c>
      <c r="I757" s="71">
        <f t="shared" si="76"/>
        <v>1.506773929589547E-2</v>
      </c>
      <c r="L757" s="74"/>
      <c r="M757" s="74"/>
      <c r="N757" s="74"/>
      <c r="O757" s="74"/>
      <c r="P757" s="74"/>
      <c r="Q757" s="74"/>
      <c r="R757" s="74"/>
      <c r="S757" s="74"/>
      <c r="T757" s="74"/>
      <c r="U757" s="74"/>
      <c r="V757" s="74"/>
      <c r="W757" s="74"/>
      <c r="X757" s="74"/>
      <c r="Y757" s="74"/>
      <c r="Z757" s="74"/>
    </row>
    <row r="758" spans="1:26" x14ac:dyDescent="0.3">
      <c r="A758" s="66">
        <f t="shared" si="74"/>
        <v>2065.0999999999317</v>
      </c>
      <c r="B758" s="67">
        <f>LOOKUP(A758+0.01,AmountsB!$A$4:$A$103,AmountsB!$B$4:$B$103)*0.1*$A$2</f>
        <v>0</v>
      </c>
      <c r="C758" s="68">
        <f t="shared" si="73"/>
        <v>625969.29735898925</v>
      </c>
      <c r="D758" s="67">
        <f t="array" ref="D758">SUM($B$7:$B753*$F$1009*EXP(-$F$1009*($A758-$A$7:$A753)))*$F$1010</f>
        <v>2725202.9413419114</v>
      </c>
      <c r="E758" s="67">
        <f t="shared" si="71"/>
        <v>5.1953588265867747</v>
      </c>
      <c r="F758" s="70">
        <f t="shared" si="75"/>
        <v>0.31546218795034903</v>
      </c>
      <c r="G758" s="67">
        <f>E758/'Lookup Tables'!$C$48</f>
        <v>10.390717653173549</v>
      </c>
      <c r="H758" s="70">
        <f t="shared" si="72"/>
        <v>4.3623235369129971E-3</v>
      </c>
      <c r="I758" s="71">
        <f t="shared" si="76"/>
        <v>1.4962633420569913E-2</v>
      </c>
      <c r="L758" s="74"/>
      <c r="M758" s="74"/>
      <c r="N758" s="74"/>
      <c r="O758" s="74"/>
      <c r="P758" s="74"/>
      <c r="Q758" s="74"/>
      <c r="R758" s="74"/>
      <c r="S758" s="74"/>
      <c r="T758" s="74"/>
      <c r="U758" s="74"/>
      <c r="V758" s="74"/>
      <c r="W758" s="74"/>
      <c r="X758" s="74"/>
      <c r="Y758" s="74"/>
      <c r="Z758" s="74"/>
    </row>
    <row r="759" spans="1:26" x14ac:dyDescent="0.3">
      <c r="A759" s="66">
        <f t="shared" si="74"/>
        <v>2065.1999999999316</v>
      </c>
      <c r="B759" s="67">
        <f>LOOKUP(A759+0.01,AmountsB!$A$4:$A$103,AmountsB!$B$4:$B$103)*0.1*$A$2</f>
        <v>0</v>
      </c>
      <c r="C759" s="68">
        <f t="shared" si="73"/>
        <v>625969.29735898925</v>
      </c>
      <c r="D759" s="67">
        <f t="array" ref="D759">SUM($B$7:$B754*$F$1009*EXP(-$F$1009*($A759-$A$7:$A754)))*$F$1010</f>
        <v>2706193.1327060824</v>
      </c>
      <c r="E759" s="67">
        <f t="shared" si="71"/>
        <v>5.1591183046096312</v>
      </c>
      <c r="F759" s="70">
        <f t="shared" si="75"/>
        <v>0.31326166345589679</v>
      </c>
      <c r="G759" s="67">
        <f>E759/'Lookup Tables'!$C$48</f>
        <v>10.318236609219262</v>
      </c>
      <c r="H759" s="70">
        <f t="shared" si="72"/>
        <v>4.3318939001375954E-3</v>
      </c>
      <c r="I759" s="71">
        <f t="shared" si="76"/>
        <v>1.4858260717275739E-2</v>
      </c>
      <c r="L759" s="74"/>
      <c r="M759" s="74"/>
      <c r="N759" s="74"/>
      <c r="O759" s="74"/>
      <c r="P759" s="74"/>
      <c r="Q759" s="74"/>
      <c r="R759" s="74"/>
      <c r="S759" s="74"/>
      <c r="T759" s="74"/>
      <c r="U759" s="74"/>
      <c r="V759" s="74"/>
      <c r="W759" s="74"/>
      <c r="X759" s="74"/>
      <c r="Y759" s="74"/>
      <c r="Z759" s="74"/>
    </row>
    <row r="760" spans="1:26" x14ac:dyDescent="0.3">
      <c r="A760" s="66">
        <f t="shared" si="74"/>
        <v>2065.2999999999315</v>
      </c>
      <c r="B760" s="67">
        <f>LOOKUP(A760+0.01,AmountsB!$A$4:$A$103,AmountsB!$B$4:$B$103)*0.1*$A$2</f>
        <v>0</v>
      </c>
      <c r="C760" s="68">
        <f t="shared" si="73"/>
        <v>625969.29735898925</v>
      </c>
      <c r="D760" s="67">
        <f t="array" ref="D760">SUM($B$7:$B755*$F$1009*EXP(-$F$1009*($A760-$A$7:$A755)))*$F$1010</f>
        <v>2687315.9280752209</v>
      </c>
      <c r="E760" s="67">
        <f t="shared" si="71"/>
        <v>5.1231305804616669</v>
      </c>
      <c r="F760" s="70">
        <f t="shared" si="75"/>
        <v>0.31107648884563244</v>
      </c>
      <c r="G760" s="67">
        <f>E760/'Lookup Tables'!$C$48</f>
        <v>10.246261160923334</v>
      </c>
      <c r="H760" s="70">
        <f t="shared" si="72"/>
        <v>4.3016765270300419E-3</v>
      </c>
      <c r="I760" s="71">
        <f t="shared" si="76"/>
        <v>1.4754616071729601E-2</v>
      </c>
      <c r="L760" s="74"/>
      <c r="M760" s="74"/>
      <c r="N760" s="74"/>
      <c r="O760" s="74"/>
      <c r="P760" s="74"/>
      <c r="Q760" s="74"/>
      <c r="R760" s="74"/>
      <c r="S760" s="74"/>
      <c r="T760" s="74"/>
      <c r="U760" s="74"/>
      <c r="V760" s="74"/>
      <c r="W760" s="74"/>
      <c r="X760" s="74"/>
      <c r="Y760" s="74"/>
      <c r="Z760" s="74"/>
    </row>
    <row r="761" spans="1:26" x14ac:dyDescent="0.3">
      <c r="A761" s="66">
        <f t="shared" si="74"/>
        <v>2065.3999999999314</v>
      </c>
      <c r="B761" s="67">
        <f>LOOKUP(A761+0.01,AmountsB!$A$4:$A$103,AmountsB!$B$4:$B$103)*0.1*$A$2</f>
        <v>0</v>
      </c>
      <c r="C761" s="68">
        <f t="shared" si="73"/>
        <v>625969.29735898925</v>
      </c>
      <c r="D761" s="67">
        <f t="array" ref="D761">SUM($B$7:$B756*$F$1009*EXP(-$F$1009*($A761-$A$7:$A756)))*$F$1010</f>
        <v>2668570.402462523</v>
      </c>
      <c r="E761" s="67">
        <f t="shared" si="71"/>
        <v>5.0873938907372009</v>
      </c>
      <c r="F761" s="70">
        <f t="shared" si="75"/>
        <v>0.30890655704556286</v>
      </c>
      <c r="G761" s="67">
        <f>E761/'Lookup Tables'!$C$48</f>
        <v>10.174787781474402</v>
      </c>
      <c r="H761" s="70">
        <f t="shared" si="72"/>
        <v>4.2716699369330082E-3</v>
      </c>
      <c r="I761" s="71">
        <f t="shared" si="76"/>
        <v>1.4651694405323138E-2</v>
      </c>
      <c r="L761" s="74"/>
      <c r="M761" s="74"/>
      <c r="N761" s="74"/>
      <c r="O761" s="74"/>
      <c r="P761" s="74"/>
      <c r="Q761" s="74"/>
      <c r="R761" s="74"/>
      <c r="S761" s="74"/>
      <c r="T761" s="74"/>
      <c r="U761" s="74"/>
      <c r="V761" s="74"/>
      <c r="W761" s="74"/>
      <c r="X761" s="74"/>
      <c r="Y761" s="74"/>
      <c r="Z761" s="74"/>
    </row>
    <row r="762" spans="1:26" x14ac:dyDescent="0.3">
      <c r="A762" s="66">
        <f t="shared" si="74"/>
        <v>2065.4999999999313</v>
      </c>
      <c r="B762" s="67">
        <f>LOOKUP(A762+0.01,AmountsB!$A$4:$A$103,AmountsB!$B$4:$B$103)*0.1*$A$2</f>
        <v>0</v>
      </c>
      <c r="C762" s="68">
        <f t="shared" si="73"/>
        <v>625969.29735898925</v>
      </c>
      <c r="D762" s="67">
        <f t="array" ref="D762">SUM($B$7:$B757*$F$1009*EXP(-$F$1009*($A762-$A$7:$A757)))*$F$1010</f>
        <v>2649955.637333482</v>
      </c>
      <c r="E762" s="67">
        <f t="shared" si="71"/>
        <v>5.0519064843312833</v>
      </c>
      <c r="F762" s="70">
        <f t="shared" si="75"/>
        <v>0.30675176172859553</v>
      </c>
      <c r="G762" s="67">
        <f>E762/'Lookup Tables'!$C$48</f>
        <v>10.103812968662567</v>
      </c>
      <c r="H762" s="70">
        <f t="shared" si="72"/>
        <v>4.2418726595175732E-3</v>
      </c>
      <c r="I762" s="71">
        <f t="shared" si="76"/>
        <v>1.4549490674874096E-2</v>
      </c>
      <c r="L762" s="74"/>
      <c r="M762" s="74"/>
      <c r="N762" s="74"/>
      <c r="O762" s="74"/>
      <c r="P762" s="74"/>
      <c r="Q762" s="74"/>
      <c r="R762" s="74"/>
      <c r="S762" s="74"/>
      <c r="T762" s="74"/>
      <c r="U762" s="74"/>
      <c r="V762" s="74"/>
      <c r="W762" s="74"/>
      <c r="X762" s="74"/>
      <c r="Y762" s="74"/>
      <c r="Z762" s="74"/>
    </row>
    <row r="763" spans="1:26" x14ac:dyDescent="0.3">
      <c r="A763" s="66">
        <f t="shared" si="74"/>
        <v>2065.5999999999312</v>
      </c>
      <c r="B763" s="67">
        <f>LOOKUP(A763+0.01,AmountsB!$A$4:$A$103,AmountsB!$B$4:$B$103)*0.1*$A$2</f>
        <v>0</v>
      </c>
      <c r="C763" s="68">
        <f t="shared" si="73"/>
        <v>625969.29735898925</v>
      </c>
      <c r="D763" s="67">
        <f t="array" ref="D763">SUM($B$7:$B758*$F$1009*EXP(-$F$1009*($A763-$A$7:$A758)))*$F$1010</f>
        <v>2631470.7205608841</v>
      </c>
      <c r="E763" s="67">
        <f t="shared" si="71"/>
        <v>5.0166666223539034</v>
      </c>
      <c r="F763" s="70">
        <f t="shared" si="75"/>
        <v>0.30461199730932897</v>
      </c>
      <c r="G763" s="67">
        <f>E763/'Lookup Tables'!$C$48</f>
        <v>10.033333244707807</v>
      </c>
      <c r="H763" s="70">
        <f t="shared" si="72"/>
        <v>4.2122832347111861E-3</v>
      </c>
      <c r="I763" s="71">
        <f t="shared" si="76"/>
        <v>1.4447999872379241E-2</v>
      </c>
      <c r="L763" s="74"/>
      <c r="M763" s="74"/>
      <c r="N763" s="74"/>
      <c r="O763" s="74"/>
      <c r="P763" s="74"/>
      <c r="Q763" s="74"/>
      <c r="R763" s="74"/>
      <c r="S763" s="74"/>
      <c r="T763" s="74"/>
      <c r="U763" s="74"/>
      <c r="V763" s="74"/>
      <c r="W763" s="74"/>
      <c r="X763" s="74"/>
      <c r="Y763" s="74"/>
      <c r="Z763" s="74"/>
    </row>
    <row r="764" spans="1:26" x14ac:dyDescent="0.3">
      <c r="A764" s="66">
        <f t="shared" si="74"/>
        <v>2065.6999999999312</v>
      </c>
      <c r="B764" s="67">
        <f>LOOKUP(A764+0.01,AmountsB!$A$4:$A$103,AmountsB!$B$4:$B$103)*0.1*$A$2</f>
        <v>0</v>
      </c>
      <c r="C764" s="68">
        <f t="shared" si="73"/>
        <v>625969.29735898925</v>
      </c>
      <c r="D764" s="67">
        <f t="array" ref="D764">SUM($B$7:$B759*$F$1009*EXP(-$F$1009*($A764-$A$7:$A759)))*$F$1010</f>
        <v>2613114.7463801075</v>
      </c>
      <c r="E764" s="67">
        <f t="shared" si="71"/>
        <v>4.9816725780447708</v>
      </c>
      <c r="F764" s="70">
        <f t="shared" si="75"/>
        <v>0.30248715893887851</v>
      </c>
      <c r="G764" s="67">
        <f>E764/'Lookup Tables'!$C$48</f>
        <v>9.9633451560895416</v>
      </c>
      <c r="H764" s="70">
        <f t="shared" si="72"/>
        <v>4.1829002126261084E-3</v>
      </c>
      <c r="I764" s="71">
        <f t="shared" si="76"/>
        <v>1.4347217024768941E-2</v>
      </c>
      <c r="L764" s="74"/>
      <c r="M764" s="74"/>
      <c r="N764" s="74"/>
      <c r="O764" s="74"/>
      <c r="P764" s="74"/>
      <c r="Q764" s="74"/>
      <c r="R764" s="74"/>
      <c r="S764" s="74"/>
      <c r="T764" s="74"/>
      <c r="U764" s="74"/>
      <c r="V764" s="74"/>
      <c r="W764" s="74"/>
      <c r="X764" s="74"/>
      <c r="Y764" s="74"/>
      <c r="Z764" s="74"/>
    </row>
    <row r="765" spans="1:26" x14ac:dyDescent="0.3">
      <c r="A765" s="66">
        <f t="shared" si="74"/>
        <v>2065.7999999999311</v>
      </c>
      <c r="B765" s="67">
        <f>LOOKUP(A765+0.01,AmountsB!$A$4:$A$103,AmountsB!$B$4:$B$103)*0.1*$A$2</f>
        <v>0</v>
      </c>
      <c r="C765" s="68">
        <f t="shared" si="73"/>
        <v>625969.29735898925</v>
      </c>
      <c r="D765" s="67">
        <f t="array" ref="D765">SUM($B$7:$B760*$F$1009*EXP(-$F$1009*($A765-$A$7:$A760)))*$F$1010</f>
        <v>2594886.8153447444</v>
      </c>
      <c r="E765" s="67">
        <f t="shared" si="71"/>
        <v>4.9469226366887131</v>
      </c>
      <c r="F765" s="70">
        <f t="shared" si="75"/>
        <v>0.30037714249973868</v>
      </c>
      <c r="G765" s="67">
        <f>E765/'Lookup Tables'!$C$48</f>
        <v>9.8938452733774263</v>
      </c>
      <c r="H765" s="70">
        <f t="shared" si="72"/>
        <v>4.1537221534883777E-3</v>
      </c>
      <c r="I765" s="71">
        <f t="shared" si="76"/>
        <v>1.4247137193663493E-2</v>
      </c>
      <c r="L765" s="74"/>
      <c r="M765" s="74"/>
      <c r="N765" s="74"/>
      <c r="O765" s="74"/>
      <c r="P765" s="74"/>
      <c r="Q765" s="74"/>
      <c r="R765" s="74"/>
      <c r="S765" s="74"/>
      <c r="T765" s="74"/>
      <c r="U765" s="74"/>
      <c r="V765" s="74"/>
      <c r="W765" s="74"/>
      <c r="X765" s="74"/>
      <c r="Y765" s="74"/>
      <c r="Z765" s="74"/>
    </row>
    <row r="766" spans="1:26" x14ac:dyDescent="0.3">
      <c r="A766" s="66">
        <f t="shared" si="74"/>
        <v>2065.899999999931</v>
      </c>
      <c r="B766" s="67">
        <f>LOOKUP(A766+0.01,AmountsB!$A$4:$A$103,AmountsB!$B$4:$B$103)*0.1*$A$2</f>
        <v>0</v>
      </c>
      <c r="C766" s="68">
        <f t="shared" si="73"/>
        <v>625969.29735898925</v>
      </c>
      <c r="D766" s="67">
        <f t="array" ref="D766">SUM($B$7:$B761*$F$1009*EXP(-$F$1009*($A766-$A$7:$A761)))*$F$1010</f>
        <v>2576786.0342825283</v>
      </c>
      <c r="E766" s="67">
        <f t="shared" si="71"/>
        <v>4.9124150955316521</v>
      </c>
      <c r="F766" s="70">
        <f t="shared" si="75"/>
        <v>0.29828184460068191</v>
      </c>
      <c r="G766" s="67">
        <f>E766/'Lookup Tables'!$C$48</f>
        <v>9.8248301910633042</v>
      </c>
      <c r="H766" s="70">
        <f t="shared" si="72"/>
        <v>4.124747627567261E-3</v>
      </c>
      <c r="I766" s="71">
        <f t="shared" si="76"/>
        <v>1.4147755475131158E-2</v>
      </c>
      <c r="L766" s="74"/>
      <c r="M766" s="74"/>
      <c r="N766" s="74"/>
      <c r="O766" s="74"/>
      <c r="P766" s="74"/>
      <c r="Q766" s="74"/>
      <c r="R766" s="74"/>
      <c r="S766" s="74"/>
      <c r="T766" s="74"/>
      <c r="U766" s="74"/>
      <c r="V766" s="74"/>
      <c r="W766" s="74"/>
      <c r="X766" s="74"/>
      <c r="Y766" s="74"/>
      <c r="Z766" s="74"/>
    </row>
    <row r="767" spans="1:26" x14ac:dyDescent="0.3">
      <c r="A767" s="66">
        <f t="shared" si="74"/>
        <v>2065.9999999999309</v>
      </c>
      <c r="B767" s="67">
        <f>LOOKUP(A767+0.01,AmountsB!$A$4:$A$103,AmountsB!$B$4:$B$103)*0.1*$A$2</f>
        <v>0</v>
      </c>
      <c r="C767" s="68">
        <f t="shared" si="73"/>
        <v>625969.29735898925</v>
      </c>
      <c r="D767" s="67">
        <f t="array" ref="D767">SUM($B$7:$B762*$F$1009*EXP(-$F$1009*($A767-$A$7:$A762)))*$F$1010</f>
        <v>2558811.5162515636</v>
      </c>
      <c r="E767" s="67">
        <f t="shared" si="71"/>
        <v>4.878148263697164</v>
      </c>
      <c r="F767" s="70">
        <f t="shared" si="75"/>
        <v>0.29620116257169177</v>
      </c>
      <c r="G767" s="67">
        <f>E767/'Lookup Tables'!$C$48</f>
        <v>9.7562965273943281</v>
      </c>
      <c r="H767" s="70">
        <f t="shared" si="72"/>
        <v>4.095975215105188E-3</v>
      </c>
      <c r="I767" s="71">
        <f t="shared" si="76"/>
        <v>1.4049066999447831E-2</v>
      </c>
      <c r="L767" s="74"/>
      <c r="M767" s="74"/>
      <c r="N767" s="74"/>
      <c r="O767" s="74"/>
      <c r="P767" s="74"/>
      <c r="Q767" s="74"/>
      <c r="R767" s="74"/>
      <c r="S767" s="74"/>
      <c r="T767" s="74"/>
      <c r="U767" s="74"/>
      <c r="V767" s="74"/>
      <c r="W767" s="74"/>
      <c r="X767" s="74"/>
      <c r="Y767" s="74"/>
      <c r="Z767" s="74"/>
    </row>
    <row r="768" spans="1:26" x14ac:dyDescent="0.3">
      <c r="A768" s="66">
        <f t="shared" si="74"/>
        <v>2066.0999999999308</v>
      </c>
      <c r="B768" s="67">
        <f>LOOKUP(A768+0.01,AmountsB!$A$4:$A$103,AmountsB!$B$4:$B$103)*0.1*$A$2</f>
        <v>0</v>
      </c>
      <c r="C768" s="68">
        <f t="shared" si="73"/>
        <v>625969.29735898925</v>
      </c>
      <c r="D768" s="67">
        <f t="array" ref="D768">SUM($B$7:$B763*$F$1009*EXP(-$F$1009*($A768-$A$7:$A763)))*$F$1010</f>
        <v>2540962.3804968721</v>
      </c>
      <c r="E768" s="67">
        <f t="shared" si="71"/>
        <v>4.8441204621036356</v>
      </c>
      <c r="F768" s="70">
        <f t="shared" si="75"/>
        <v>0.29413499445893276</v>
      </c>
      <c r="G768" s="67">
        <f>E768/'Lookup Tables'!$C$48</f>
        <v>9.6882409242072711</v>
      </c>
      <c r="H768" s="70">
        <f t="shared" si="72"/>
        <v>4.0674035062481942E-3</v>
      </c>
      <c r="I768" s="71">
        <f t="shared" si="76"/>
        <v>1.3951066930858472E-2</v>
      </c>
      <c r="L768" s="74"/>
      <c r="M768" s="74"/>
      <c r="N768" s="74"/>
      <c r="O768" s="74"/>
      <c r="P768" s="74"/>
      <c r="Q768" s="74"/>
      <c r="R768" s="74"/>
      <c r="S768" s="74"/>
      <c r="T768" s="74"/>
      <c r="U768" s="74"/>
      <c r="V768" s="74"/>
      <c r="W768" s="74"/>
      <c r="X768" s="74"/>
      <c r="Y768" s="74"/>
      <c r="Z768" s="74"/>
    </row>
    <row r="769" spans="1:26" x14ac:dyDescent="0.3">
      <c r="A769" s="66">
        <f t="shared" si="74"/>
        <v>2066.1999999999307</v>
      </c>
      <c r="B769" s="67">
        <f>LOOKUP(A769+0.01,AmountsB!$A$4:$A$103,AmountsB!$B$4:$B$103)*0.1*$A$2</f>
        <v>0</v>
      </c>
      <c r="C769" s="68">
        <f t="shared" si="73"/>
        <v>625969.29735898925</v>
      </c>
      <c r="D769" s="67">
        <f t="array" ref="D769">SUM($B$7:$B764*$F$1009*EXP(-$F$1009*($A769-$A$7:$A764)))*$F$1010</f>
        <v>2523237.7524072295</v>
      </c>
      <c r="E769" s="67">
        <f t="shared" si="71"/>
        <v>4.8103300233819795</v>
      </c>
      <c r="F769" s="70">
        <f t="shared" si="75"/>
        <v>0.2920832390197538</v>
      </c>
      <c r="G769" s="67">
        <f>E769/'Lookup Tables'!$C$48</f>
        <v>9.6206600467639589</v>
      </c>
      <c r="H769" s="70">
        <f t="shared" si="72"/>
        <v>4.0390311009768261E-3</v>
      </c>
      <c r="I769" s="71">
        <f t="shared" si="76"/>
        <v>1.3853750467340102E-2</v>
      </c>
      <c r="L769" s="74"/>
      <c r="M769" s="74"/>
      <c r="N769" s="74"/>
      <c r="O769" s="74"/>
      <c r="P769" s="74"/>
      <c r="Q769" s="74"/>
      <c r="R769" s="74"/>
      <c r="S769" s="74"/>
      <c r="T769" s="74"/>
      <c r="U769" s="74"/>
      <c r="V769" s="74"/>
      <c r="W769" s="74"/>
      <c r="X769" s="74"/>
      <c r="Y769" s="74"/>
      <c r="Z769" s="74"/>
    </row>
    <row r="770" spans="1:26" x14ac:dyDescent="0.3">
      <c r="A770" s="66">
        <f t="shared" si="74"/>
        <v>2066.2999999999306</v>
      </c>
      <c r="B770" s="67">
        <f>LOOKUP(A770+0.01,AmountsB!$A$4:$A$103,AmountsB!$B$4:$B$103)*0.1*$A$2</f>
        <v>0</v>
      </c>
      <c r="C770" s="68">
        <f t="shared" si="73"/>
        <v>625969.29735898925</v>
      </c>
      <c r="D770" s="67">
        <f t="array" ref="D770">SUM($B$7:$B765*$F$1009*EXP(-$F$1009*($A770-$A$7:$A765)))*$F$1010</f>
        <v>2505636.7634723131</v>
      </c>
      <c r="E770" s="67">
        <f t="shared" si="71"/>
        <v>4.7767752917939355</v>
      </c>
      <c r="F770" s="70">
        <f t="shared" si="75"/>
        <v>0.29004579571772776</v>
      </c>
      <c r="G770" s="67">
        <f>E770/'Lookup Tables'!$C$48</f>
        <v>9.5535505835878709</v>
      </c>
      <c r="H770" s="70">
        <f t="shared" si="72"/>
        <v>4.0108566090375488E-3</v>
      </c>
      <c r="I770" s="71">
        <f t="shared" si="76"/>
        <v>1.3757112840366533E-2</v>
      </c>
      <c r="L770" s="74"/>
      <c r="M770" s="74"/>
      <c r="N770" s="74"/>
      <c r="O770" s="74"/>
      <c r="P770" s="74"/>
      <c r="Q770" s="74"/>
      <c r="R770" s="74"/>
      <c r="S770" s="74"/>
      <c r="T770" s="74"/>
      <c r="U770" s="74"/>
      <c r="V770" s="74"/>
      <c r="W770" s="74"/>
      <c r="X770" s="74"/>
      <c r="Y770" s="74"/>
      <c r="Z770" s="74"/>
    </row>
    <row r="771" spans="1:26" x14ac:dyDescent="0.3">
      <c r="A771" s="66">
        <f t="shared" si="74"/>
        <v>2066.3999999999305</v>
      </c>
      <c r="B771" s="67">
        <f>LOOKUP(A771+0.01,AmountsB!$A$4:$A$103,AmountsB!$B$4:$B$103)*0.1*$A$2</f>
        <v>0</v>
      </c>
      <c r="C771" s="68">
        <f t="shared" si="73"/>
        <v>625969.29735898925</v>
      </c>
      <c r="D771" s="67">
        <f t="array" ref="D771">SUM($B$7:$B766*$F$1009*EXP(-$F$1009*($A771-$A$7:$A766)))*$F$1010</f>
        <v>2488158.5512401434</v>
      </c>
      <c r="E771" s="67">
        <f t="shared" si="71"/>
        <v>4.7434546231509449</v>
      </c>
      <c r="F771" s="70">
        <f t="shared" si="75"/>
        <v>0.28802256471772536</v>
      </c>
      <c r="G771" s="67">
        <f>E771/'Lookup Tables'!$C$48</f>
        <v>9.4869092463018898</v>
      </c>
      <c r="H771" s="70">
        <f t="shared" si="72"/>
        <v>3.9828786498746216E-3</v>
      </c>
      <c r="I771" s="71">
        <f t="shared" si="76"/>
        <v>1.3661149314674723E-2</v>
      </c>
      <c r="L771" s="74"/>
      <c r="M771" s="74"/>
      <c r="N771" s="74"/>
      <c r="O771" s="74"/>
      <c r="P771" s="74"/>
      <c r="Q771" s="74"/>
      <c r="R771" s="74"/>
      <c r="S771" s="74"/>
      <c r="T771" s="74"/>
      <c r="U771" s="74"/>
      <c r="V771" s="74"/>
      <c r="W771" s="74"/>
      <c r="X771" s="74"/>
      <c r="Y771" s="74"/>
      <c r="Z771" s="74"/>
    </row>
    <row r="772" spans="1:26" x14ac:dyDescent="0.3">
      <c r="A772" s="66">
        <f t="shared" si="74"/>
        <v>2066.4999999999304</v>
      </c>
      <c r="B772" s="67">
        <f>LOOKUP(A772+0.01,AmountsB!$A$4:$A$103,AmountsB!$B$4:$B$103)*0.1*$A$2</f>
        <v>0</v>
      </c>
      <c r="C772" s="68">
        <f t="shared" si="73"/>
        <v>625969.29735898925</v>
      </c>
      <c r="D772" s="67">
        <f t="array" ref="D772">SUM($B$7:$B767*$F$1009*EXP(-$F$1009*($A772-$A$7:$A767)))*$F$1010</f>
        <v>2470802.2592748245</v>
      </c>
      <c r="E772" s="67">
        <f t="shared" si="71"/>
        <v>4.7103663847335753</v>
      </c>
      <c r="F772" s="70">
        <f t="shared" si="75"/>
        <v>0.2860134468810227</v>
      </c>
      <c r="G772" s="67">
        <f>E772/'Lookup Tables'!$C$48</f>
        <v>9.4207327694671505</v>
      </c>
      <c r="H772" s="70">
        <f t="shared" si="72"/>
        <v>3.9550958525624465E-3</v>
      </c>
      <c r="I772" s="71">
        <f t="shared" si="76"/>
        <v>1.3565855188032695E-2</v>
      </c>
      <c r="L772" s="74"/>
      <c r="M772" s="74"/>
      <c r="N772" s="74"/>
      <c r="O772" s="74"/>
      <c r="P772" s="74"/>
      <c r="Q772" s="74"/>
      <c r="R772" s="74"/>
      <c r="S772" s="74"/>
      <c r="T772" s="74"/>
      <c r="U772" s="74"/>
      <c r="V772" s="74"/>
      <c r="W772" s="74"/>
      <c r="X772" s="74"/>
      <c r="Y772" s="74"/>
      <c r="Z772" s="74"/>
    </row>
    <row r="773" spans="1:26" x14ac:dyDescent="0.3">
      <c r="A773" s="66">
        <f t="shared" si="74"/>
        <v>2066.5999999999303</v>
      </c>
      <c r="B773" s="67">
        <f>LOOKUP(A773+0.01,AmountsB!$A$4:$A$103,AmountsB!$B$4:$B$103)*0.1*$A$2</f>
        <v>0</v>
      </c>
      <c r="C773" s="68">
        <f t="shared" si="73"/>
        <v>625969.29735898925</v>
      </c>
      <c r="D773" s="67">
        <f t="array" ref="D773">SUM($B$7:$B768*$F$1009*EXP(-$F$1009*($A773-$A$7:$A768)))*$F$1010</f>
        <v>2453567.0371145774</v>
      </c>
      <c r="E773" s="67">
        <f t="shared" si="71"/>
        <v>4.6775089552115254</v>
      </c>
      <c r="F773" s="70">
        <f t="shared" si="75"/>
        <v>0.28401834376044383</v>
      </c>
      <c r="G773" s="67">
        <f>E773/'Lookup Tables'!$C$48</f>
        <v>9.3550179104230509</v>
      </c>
      <c r="H773" s="70">
        <f t="shared" si="72"/>
        <v>3.9275068557383976E-3</v>
      </c>
      <c r="I773" s="71">
        <f t="shared" si="76"/>
        <v>1.3471225791009194E-2</v>
      </c>
      <c r="L773" s="74"/>
      <c r="M773" s="74"/>
      <c r="N773" s="74"/>
      <c r="O773" s="74"/>
      <c r="P773" s="74"/>
      <c r="Q773" s="74"/>
      <c r="R773" s="74"/>
      <c r="S773" s="74"/>
      <c r="T773" s="74"/>
      <c r="U773" s="74"/>
      <c r="V773" s="74"/>
      <c r="W773" s="74"/>
      <c r="X773" s="74"/>
      <c r="Y773" s="74"/>
      <c r="Z773" s="74"/>
    </row>
    <row r="774" spans="1:26" x14ac:dyDescent="0.3">
      <c r="A774" s="66">
        <f t="shared" si="74"/>
        <v>2066.6999999999302</v>
      </c>
      <c r="B774" s="67">
        <f>LOOKUP(A774+0.01,AmountsB!$A$4:$A$103,AmountsB!$B$4:$B$103)*0.1*$A$2</f>
        <v>0</v>
      </c>
      <c r="C774" s="68">
        <f t="shared" si="73"/>
        <v>625969.29735898925</v>
      </c>
      <c r="D774" s="67">
        <f t="array" ref="D774">SUM($B$7:$B769*$F$1009*EXP(-$F$1009*($A774-$A$7:$A769)))*$F$1010</f>
        <v>2436452.0402300665</v>
      </c>
      <c r="E774" s="67">
        <f t="shared" si="71"/>
        <v>4.6448807245641728</v>
      </c>
      <c r="F774" s="70">
        <f t="shared" si="75"/>
        <v>0.28203715759553655</v>
      </c>
      <c r="G774" s="67">
        <f>E774/'Lookup Tables'!$C$48</f>
        <v>9.2897614491283456</v>
      </c>
      <c r="H774" s="70">
        <f t="shared" si="72"/>
        <v>3.9001103075361082E-3</v>
      </c>
      <c r="I774" s="71">
        <f t="shared" si="76"/>
        <v>1.3377256486744817E-2</v>
      </c>
      <c r="L774" s="74"/>
      <c r="M774" s="74"/>
      <c r="N774" s="74"/>
      <c r="O774" s="74"/>
      <c r="P774" s="74"/>
      <c r="Q774" s="74"/>
      <c r="R774" s="74"/>
      <c r="S774" s="74"/>
      <c r="T774" s="74"/>
      <c r="U774" s="74"/>
      <c r="V774" s="74"/>
      <c r="W774" s="74"/>
      <c r="X774" s="74"/>
      <c r="Y774" s="74"/>
      <c r="Z774" s="74"/>
    </row>
    <row r="775" spans="1:26" x14ac:dyDescent="0.3">
      <c r="A775" s="66">
        <f t="shared" si="74"/>
        <v>2066.7999999999302</v>
      </c>
      <c r="B775" s="67">
        <f>LOOKUP(A775+0.01,AmountsB!$A$4:$A$103,AmountsB!$B$4:$B$103)*0.1*$A$2</f>
        <v>0</v>
      </c>
      <c r="C775" s="68">
        <f t="shared" si="73"/>
        <v>625969.29735898925</v>
      </c>
      <c r="D775" s="67">
        <f t="array" ref="D775">SUM($B$7:$B770*$F$1009*EXP(-$F$1009*($A775-$A$7:$A770)))*$F$1010</f>
        <v>2419456.4299830217</v>
      </c>
      <c r="E775" s="67">
        <f t="shared" ref="E775:E838" si="77">D775/(365*24*60)*1.00201</f>
        <v>4.6124800940016897</v>
      </c>
      <c r="F775" s="70">
        <f t="shared" si="75"/>
        <v>0.28006979130778265</v>
      </c>
      <c r="G775" s="67">
        <f>E775/'Lookup Tables'!$C$48</f>
        <v>9.2249601880033794</v>
      </c>
      <c r="H775" s="70">
        <f t="shared" ref="H775:H838" si="78">G775*60*24*365/(C775*2000)</f>
        <v>3.8729048655192382E-3</v>
      </c>
      <c r="I775" s="71">
        <f t="shared" si="76"/>
        <v>1.3283942670724868E-2</v>
      </c>
      <c r="L775" s="74"/>
      <c r="M775" s="74"/>
      <c r="N775" s="74"/>
      <c r="O775" s="74"/>
      <c r="P775" s="74"/>
      <c r="Q775" s="74"/>
      <c r="R775" s="74"/>
      <c r="S775" s="74"/>
      <c r="T775" s="74"/>
      <c r="U775" s="74"/>
      <c r="V775" s="74"/>
      <c r="W775" s="74"/>
      <c r="X775" s="74"/>
      <c r="Y775" s="74"/>
      <c r="Z775" s="74"/>
    </row>
    <row r="776" spans="1:26" x14ac:dyDescent="0.3">
      <c r="A776" s="66">
        <f t="shared" si="74"/>
        <v>2066.8999999999301</v>
      </c>
      <c r="B776" s="67">
        <f>LOOKUP(A776+0.01,AmountsB!$A$4:$A$103,AmountsB!$B$4:$B$103)*0.1*$A$2</f>
        <v>0</v>
      </c>
      <c r="C776" s="68">
        <f t="shared" si="73"/>
        <v>625969.29735898925</v>
      </c>
      <c r="D776" s="67">
        <f t="array" ref="D776">SUM($B$7:$B771*$F$1009*EXP(-$F$1009*($A776-$A$7:$A771)))*$F$1010</f>
        <v>2402579.3735851389</v>
      </c>
      <c r="E776" s="67">
        <f t="shared" si="77"/>
        <v>4.5803054758866919</v>
      </c>
      <c r="F776" s="70">
        <f t="shared" si="75"/>
        <v>0.27811614849583999</v>
      </c>
      <c r="G776" s="67">
        <f>E776/'Lookup Tables'!$C$48</f>
        <v>9.1606109517733838</v>
      </c>
      <c r="H776" s="70">
        <f t="shared" si="78"/>
        <v>3.8458891966156811E-3</v>
      </c>
      <c r="I776" s="71">
        <f t="shared" si="76"/>
        <v>1.3191279770553671E-2</v>
      </c>
      <c r="L776" s="74"/>
      <c r="M776" s="74"/>
      <c r="N776" s="74"/>
      <c r="O776" s="74"/>
      <c r="P776" s="74"/>
      <c r="Q776" s="74"/>
      <c r="R776" s="74"/>
      <c r="S776" s="74"/>
      <c r="T776" s="74"/>
      <c r="U776" s="74"/>
      <c r="V776" s="74"/>
      <c r="W776" s="74"/>
      <c r="X776" s="74"/>
      <c r="Y776" s="74"/>
      <c r="Z776" s="74"/>
    </row>
    <row r="777" spans="1:26" x14ac:dyDescent="0.3">
      <c r="A777" s="66">
        <f t="shared" si="74"/>
        <v>2066.99999999993</v>
      </c>
      <c r="B777" s="67">
        <f>LOOKUP(A777+0.01,AmountsB!$A$4:$A$103,AmountsB!$B$4:$B$103)*0.1*$A$2</f>
        <v>0</v>
      </c>
      <c r="C777" s="68">
        <f t="shared" ref="C777:C840" si="79">C776+B777</f>
        <v>625969.29735898925</v>
      </c>
      <c r="D777" s="67">
        <f t="array" ref="D777">SUM($B$7:$B772*$F$1009*EXP(-$F$1009*($A777-$A$7:$A772)))*$F$1010</f>
        <v>2385820.0440572784</v>
      </c>
      <c r="E777" s="67">
        <f t="shared" si="77"/>
        <v>4.5483552936564564</v>
      </c>
      <c r="F777" s="70">
        <f t="shared" si="75"/>
        <v>0.27617613343082004</v>
      </c>
      <c r="G777" s="67">
        <f>E777/'Lookup Tables'!$C$48</f>
        <v>9.0967105873129128</v>
      </c>
      <c r="H777" s="70">
        <f t="shared" si="78"/>
        <v>3.8190619770522567E-3</v>
      </c>
      <c r="I777" s="71">
        <f t="shared" si="76"/>
        <v>1.3099263245730595E-2</v>
      </c>
      <c r="L777" s="74"/>
      <c r="M777" s="74"/>
      <c r="N777" s="74"/>
      <c r="O777" s="74"/>
      <c r="P777" s="74"/>
      <c r="Q777" s="74"/>
      <c r="R777" s="74"/>
      <c r="S777" s="74"/>
      <c r="T777" s="74"/>
      <c r="U777" s="74"/>
      <c r="V777" s="74"/>
      <c r="W777" s="74"/>
      <c r="X777" s="74"/>
      <c r="Y777" s="74"/>
      <c r="Z777" s="74"/>
    </row>
    <row r="778" spans="1:26" x14ac:dyDescent="0.3">
      <c r="A778" s="66">
        <f t="shared" si="74"/>
        <v>2067.0999999999299</v>
      </c>
      <c r="B778" s="67">
        <f>LOOKUP(A778+0.01,AmountsB!$A$4:$A$103,AmountsB!$B$4:$B$103)*0.1*$A$2</f>
        <v>0</v>
      </c>
      <c r="C778" s="68">
        <f t="shared" si="79"/>
        <v>625969.29735898925</v>
      </c>
      <c r="D778" s="67">
        <f t="array" ref="D778">SUM($B$7:$B773*$F$1009*EXP(-$F$1009*($A778-$A$7:$A773)))*$F$1010</f>
        <v>2369177.6201889399</v>
      </c>
      <c r="E778" s="67">
        <f t="shared" si="77"/>
        <v>4.5166279817456623</v>
      </c>
      <c r="F778" s="70">
        <f t="shared" si="75"/>
        <v>0.2742496510515966</v>
      </c>
      <c r="G778" s="67">
        <f>E778/'Lookup Tables'!$C$48</f>
        <v>9.0332559634913245</v>
      </c>
      <c r="H778" s="70">
        <f t="shared" si="78"/>
        <v>3.7924218922898408E-3</v>
      </c>
      <c r="I778" s="71">
        <f t="shared" si="76"/>
        <v>1.3007888587427508E-2</v>
      </c>
      <c r="L778" s="74"/>
      <c r="M778" s="74"/>
      <c r="N778" s="74"/>
      <c r="O778" s="74"/>
      <c r="P778" s="74"/>
      <c r="Q778" s="74"/>
      <c r="R778" s="74"/>
      <c r="S778" s="74"/>
      <c r="T778" s="74"/>
      <c r="U778" s="74"/>
      <c r="V778" s="74"/>
      <c r="W778" s="74"/>
      <c r="X778" s="74"/>
      <c r="Y778" s="74"/>
      <c r="Z778" s="74"/>
    </row>
    <row r="779" spans="1:26" x14ac:dyDescent="0.3">
      <c r="A779" s="66">
        <f t="shared" si="74"/>
        <v>2067.1999999999298</v>
      </c>
      <c r="B779" s="67">
        <f>LOOKUP(A779+0.01,AmountsB!$A$4:$A$103,AmountsB!$B$4:$B$103)*0.1*$A$2</f>
        <v>0</v>
      </c>
      <c r="C779" s="68">
        <f t="shared" si="79"/>
        <v>625969.29735898925</v>
      </c>
      <c r="D779" s="67">
        <f t="array" ref="D779">SUM($B$7:$B774*$F$1009*EXP(-$F$1009*($A779-$A$7:$A774)))*$F$1010</f>
        <v>2352651.2864980241</v>
      </c>
      <c r="E779" s="67">
        <f t="shared" si="77"/>
        <v>4.4851219855096751</v>
      </c>
      <c r="F779" s="70">
        <f t="shared" si="75"/>
        <v>0.27233660696014744</v>
      </c>
      <c r="G779" s="67">
        <f>E779/'Lookup Tables'!$C$48</f>
        <v>8.9702439710193502</v>
      </c>
      <c r="H779" s="70">
        <f t="shared" si="78"/>
        <v>3.7659676369589477E-3</v>
      </c>
      <c r="I779" s="71">
        <f t="shared" si="76"/>
        <v>1.2917151318267865E-2</v>
      </c>
      <c r="L779" s="74"/>
      <c r="M779" s="74"/>
      <c r="N779" s="74"/>
      <c r="O779" s="74"/>
      <c r="P779" s="74"/>
      <c r="Q779" s="74"/>
      <c r="R779" s="74"/>
      <c r="S779" s="74"/>
      <c r="T779" s="74"/>
      <c r="U779" s="74"/>
      <c r="V779" s="74"/>
      <c r="W779" s="74"/>
      <c r="X779" s="74"/>
      <c r="Y779" s="74"/>
      <c r="Z779" s="74"/>
    </row>
    <row r="780" spans="1:26" x14ac:dyDescent="0.3">
      <c r="A780" s="66">
        <f t="shared" si="74"/>
        <v>2067.2999999999297</v>
      </c>
      <c r="B780" s="67">
        <f>LOOKUP(A780+0.01,AmountsB!$A$4:$A$103,AmountsB!$B$4:$B$103)*0.1*$A$2</f>
        <v>0</v>
      </c>
      <c r="C780" s="68">
        <f t="shared" si="79"/>
        <v>625969.29735898925</v>
      </c>
      <c r="D780" s="67">
        <f t="array" ref="D780">SUM($B$7:$B775*$F$1009*EXP(-$F$1009*($A780-$A$7:$A775)))*$F$1010</f>
        <v>2336240.2331908741</v>
      </c>
      <c r="E780" s="67">
        <f t="shared" si="77"/>
        <v>4.4538357611483788</v>
      </c>
      <c r="F780" s="70">
        <f t="shared" si="75"/>
        <v>0.27043690741692955</v>
      </c>
      <c r="G780" s="67">
        <f>E780/'Lookup Tables'!$C$48</f>
        <v>8.9076715222967575</v>
      </c>
      <c r="H780" s="70">
        <f t="shared" si="78"/>
        <v>3.739697914795774E-3</v>
      </c>
      <c r="I780" s="71">
        <f t="shared" si="76"/>
        <v>1.282704699210733E-2</v>
      </c>
      <c r="L780" s="74"/>
      <c r="M780" s="74"/>
      <c r="N780" s="74"/>
      <c r="O780" s="74"/>
      <c r="P780" s="74"/>
      <c r="Q780" s="74"/>
      <c r="R780" s="74"/>
      <c r="S780" s="74"/>
      <c r="T780" s="74"/>
      <c r="U780" s="74"/>
      <c r="V780" s="74"/>
      <c r="W780" s="74"/>
      <c r="X780" s="74"/>
      <c r="Y780" s="74"/>
      <c r="Z780" s="74"/>
    </row>
    <row r="781" spans="1:26" x14ac:dyDescent="0.3">
      <c r="A781" s="66">
        <f t="shared" si="74"/>
        <v>2067.3999999999296</v>
      </c>
      <c r="B781" s="67">
        <f>LOOKUP(A781+0.01,AmountsB!$A$4:$A$103,AmountsB!$B$4:$B$103)*0.1*$A$2</f>
        <v>0</v>
      </c>
      <c r="C781" s="68">
        <f t="shared" si="79"/>
        <v>625969.29735898925</v>
      </c>
      <c r="D781" s="67">
        <f t="array" ref="D781">SUM($B$7:$B776*$F$1009*EXP(-$F$1009*($A781-$A$7:$A776)))*$F$1010</f>
        <v>2319943.6561225937</v>
      </c>
      <c r="E781" s="67">
        <f t="shared" si="77"/>
        <v>4.4227677756305184</v>
      </c>
      <c r="F781" s="70">
        <f t="shared" si="75"/>
        <v>0.26855045933628507</v>
      </c>
      <c r="G781" s="67">
        <f>E781/'Lookup Tables'!$C$48</f>
        <v>8.8455355512610367</v>
      </c>
      <c r="H781" s="70">
        <f t="shared" si="78"/>
        <v>3.7136114385786781E-3</v>
      </c>
      <c r="I781" s="71">
        <f t="shared" si="76"/>
        <v>1.2737571193815894E-2</v>
      </c>
      <c r="L781" s="74"/>
      <c r="M781" s="74"/>
      <c r="N781" s="74"/>
      <c r="O781" s="74"/>
      <c r="P781" s="74"/>
      <c r="Q781" s="74"/>
      <c r="R781" s="74"/>
      <c r="S781" s="74"/>
      <c r="T781" s="74"/>
      <c r="U781" s="74"/>
      <c r="V781" s="74"/>
      <c r="W781" s="74"/>
      <c r="X781" s="74"/>
      <c r="Y781" s="74"/>
      <c r="Z781" s="74"/>
    </row>
    <row r="782" spans="1:26" x14ac:dyDescent="0.3">
      <c r="A782" s="66">
        <f t="shared" si="74"/>
        <v>2067.4999999999295</v>
      </c>
      <c r="B782" s="67">
        <f>LOOKUP(A782+0.01,AmountsB!$A$4:$A$103,AmountsB!$B$4:$B$103)*0.1*$A$2</f>
        <v>0</v>
      </c>
      <c r="C782" s="68">
        <f t="shared" si="79"/>
        <v>625969.29735898925</v>
      </c>
      <c r="D782" s="67">
        <f t="array" ref="D782">SUM($B$7:$B777*$F$1009*EXP(-$F$1009*($A782-$A$7:$A777)))*$F$1010</f>
        <v>2303760.7567576459</v>
      </c>
      <c r="E782" s="67">
        <f t="shared" si="77"/>
        <v>4.3919165066185863</v>
      </c>
      <c r="F782" s="70">
        <f t="shared" si="75"/>
        <v>0.26667717028188059</v>
      </c>
      <c r="G782" s="67">
        <f>E782/'Lookup Tables'!$C$48</f>
        <v>8.7838330132371727</v>
      </c>
      <c r="H782" s="70">
        <f t="shared" si="78"/>
        <v>3.6877069300651046E-3</v>
      </c>
      <c r="I782" s="71">
        <f t="shared" si="76"/>
        <v>1.2648719539061529E-2</v>
      </c>
      <c r="L782" s="74"/>
      <c r="M782" s="74"/>
      <c r="N782" s="74"/>
      <c r="O782" s="74"/>
      <c r="P782" s="74"/>
      <c r="Q782" s="74"/>
      <c r="R782" s="74"/>
      <c r="S782" s="74"/>
      <c r="T782" s="74"/>
      <c r="U782" s="74"/>
      <c r="V782" s="74"/>
      <c r="W782" s="74"/>
      <c r="X782" s="74"/>
      <c r="Y782" s="74"/>
      <c r="Z782" s="74"/>
    </row>
    <row r="783" spans="1:26" x14ac:dyDescent="0.3">
      <c r="A783" s="66">
        <f t="shared" si="74"/>
        <v>2067.5999999999294</v>
      </c>
      <c r="B783" s="67">
        <f>LOOKUP(A783+0.01,AmountsB!$A$4:$A$103,AmountsB!$B$4:$B$103)*0.1*$A$2</f>
        <v>0</v>
      </c>
      <c r="C783" s="68">
        <f t="shared" si="79"/>
        <v>625969.29735898925</v>
      </c>
      <c r="D783" s="67">
        <f t="array" ref="D783">SUM($B$7:$B778*$F$1009*EXP(-$F$1009*($A783-$A$7:$A778)))*$F$1010</f>
        <v>2287690.7421307242</v>
      </c>
      <c r="E783" s="67">
        <f t="shared" si="77"/>
        <v>4.3612804423942295</v>
      </c>
      <c r="F783" s="70">
        <f t="shared" si="75"/>
        <v>0.26481694846217757</v>
      </c>
      <c r="G783" s="67">
        <f>E783/'Lookup Tables'!$C$48</f>
        <v>8.722560884788459</v>
      </c>
      <c r="H783" s="70">
        <f t="shared" si="78"/>
        <v>3.6619831199289545E-3</v>
      </c>
      <c r="I783" s="71">
        <f t="shared" si="76"/>
        <v>1.2560487674095381E-2</v>
      </c>
      <c r="L783" s="74"/>
      <c r="M783" s="74"/>
      <c r="N783" s="74"/>
      <c r="O783" s="74"/>
      <c r="P783" s="74"/>
      <c r="Q783" s="74"/>
      <c r="R783" s="74"/>
      <c r="S783" s="74"/>
      <c r="T783" s="74"/>
      <c r="U783" s="74"/>
      <c r="V783" s="74"/>
      <c r="W783" s="74"/>
      <c r="X783" s="74"/>
      <c r="Y783" s="74"/>
      <c r="Z783" s="74"/>
    </row>
    <row r="784" spans="1:26" x14ac:dyDescent="0.3">
      <c r="A784" s="66">
        <f t="shared" si="74"/>
        <v>2067.6999999999293</v>
      </c>
      <c r="B784" s="67">
        <f>LOOKUP(A784+0.01,AmountsB!$A$4:$A$103,AmountsB!$B$4:$B$103)*0.1*$A$2</f>
        <v>0</v>
      </c>
      <c r="C784" s="68">
        <f t="shared" si="79"/>
        <v>625969.29735898925</v>
      </c>
      <c r="D784" s="67">
        <f t="array" ref="D784">SUM($B$7:$B779*$F$1009*EXP(-$F$1009*($A784-$A$7:$A779)))*$F$1010</f>
        <v>2271732.8248078967</v>
      </c>
      <c r="E784" s="67">
        <f t="shared" si="77"/>
        <v>4.3308580817841715</v>
      </c>
      <c r="F784" s="70">
        <f t="shared" si="75"/>
        <v>0.2629697027259349</v>
      </c>
      <c r="G784" s="67">
        <f>E784/'Lookup Tables'!$C$48</f>
        <v>8.6617161635683431</v>
      </c>
      <c r="H784" s="70">
        <f t="shared" si="78"/>
        <v>3.6364387476983851E-3</v>
      </c>
      <c r="I784" s="71">
        <f t="shared" si="76"/>
        <v>1.2472871275538415E-2</v>
      </c>
      <c r="L784" s="74"/>
      <c r="M784" s="74"/>
      <c r="N784" s="74"/>
      <c r="O784" s="74"/>
      <c r="P784" s="74"/>
      <c r="Q784" s="74"/>
      <c r="R784" s="74"/>
      <c r="S784" s="74"/>
      <c r="T784" s="74"/>
      <c r="U784" s="74"/>
      <c r="V784" s="74"/>
      <c r="W784" s="74"/>
      <c r="X784" s="74"/>
      <c r="Y784" s="74"/>
      <c r="Z784" s="74"/>
    </row>
    <row r="785" spans="1:26" x14ac:dyDescent="0.3">
      <c r="A785" s="66">
        <f t="shared" si="74"/>
        <v>2067.7999999999292</v>
      </c>
      <c r="B785" s="67">
        <f>LOOKUP(A785+0.01,AmountsB!$A$4:$A$103,AmountsB!$B$4:$B$103)*0.1*$A$2</f>
        <v>0</v>
      </c>
      <c r="C785" s="68">
        <f t="shared" si="79"/>
        <v>625969.29735898925</v>
      </c>
      <c r="D785" s="67">
        <f t="array" ref="D785">SUM($B$7:$B780*$F$1009*EXP(-$F$1009*($A785-$A$7:$A780)))*$F$1010</f>
        <v>2255886.2228480205</v>
      </c>
      <c r="E785" s="67">
        <f t="shared" si="77"/>
        <v>4.3006479340866539</v>
      </c>
      <c r="F785" s="70">
        <f t="shared" si="75"/>
        <v>0.26113534255774162</v>
      </c>
      <c r="G785" s="67">
        <f>E785/'Lookup Tables'!$C$48</f>
        <v>8.6012958681733078</v>
      </c>
      <c r="H785" s="70">
        <f t="shared" si="78"/>
        <v>3.6110725616940427E-3</v>
      </c>
      <c r="I785" s="71">
        <f t="shared" si="76"/>
        <v>1.2385866050169564E-2</v>
      </c>
      <c r="L785" s="74"/>
      <c r="M785" s="74"/>
      <c r="N785" s="74"/>
      <c r="O785" s="74"/>
      <c r="P785" s="74"/>
      <c r="Q785" s="74"/>
      <c r="R785" s="74"/>
      <c r="S785" s="74"/>
      <c r="T785" s="74"/>
      <c r="U785" s="74"/>
      <c r="V785" s="74"/>
      <c r="W785" s="74"/>
      <c r="X785" s="74"/>
      <c r="Y785" s="74"/>
      <c r="Z785" s="74"/>
    </row>
    <row r="786" spans="1:26" x14ac:dyDescent="0.3">
      <c r="A786" s="66">
        <f t="shared" si="74"/>
        <v>2067.8999999999292</v>
      </c>
      <c r="B786" s="67">
        <f>LOOKUP(A786+0.01,AmountsB!$A$4:$A$103,AmountsB!$B$4:$B$103)*0.1*$A$2</f>
        <v>0</v>
      </c>
      <c r="C786" s="68">
        <f t="shared" si="79"/>
        <v>625969.29735898925</v>
      </c>
      <c r="D786" s="67">
        <f t="array" ref="D786">SUM($B$7:$B781*$F$1009*EXP(-$F$1009*($A786-$A$7:$A781)))*$F$1010</f>
        <v>2240150.15976443</v>
      </c>
      <c r="E786" s="67">
        <f t="shared" si="77"/>
        <v>4.2706485189983958</v>
      </c>
      <c r="F786" s="70">
        <f t="shared" si="75"/>
        <v>0.25931377807358258</v>
      </c>
      <c r="G786" s="67">
        <f>E786/'Lookup Tables'!$C$48</f>
        <v>8.5412970379967916</v>
      </c>
      <c r="H786" s="70">
        <f t="shared" si="78"/>
        <v>3.58588331896774E-3</v>
      </c>
      <c r="I786" s="71">
        <f t="shared" si="76"/>
        <v>1.2299467734715379E-2</v>
      </c>
      <c r="L786" s="74"/>
      <c r="M786" s="74"/>
      <c r="N786" s="74"/>
      <c r="O786" s="74"/>
      <c r="P786" s="74"/>
      <c r="Q786" s="74"/>
      <c r="R786" s="74"/>
      <c r="S786" s="74"/>
      <c r="T786" s="74"/>
      <c r="U786" s="74"/>
      <c r="V786" s="74"/>
      <c r="W786" s="74"/>
      <c r="X786" s="74"/>
      <c r="Y786" s="74"/>
      <c r="Z786" s="74"/>
    </row>
    <row r="787" spans="1:26" x14ac:dyDescent="0.3">
      <c r="A787" s="66">
        <f t="shared" ref="A787:A850" si="80">A786+0.1</f>
        <v>2067.9999999999291</v>
      </c>
      <c r="B787" s="67">
        <f>LOOKUP(A787+0.01,AmountsB!$A$4:$A$103,AmountsB!$B$4:$B$103)*0.1*$A$2</f>
        <v>0</v>
      </c>
      <c r="C787" s="68">
        <f t="shared" si="79"/>
        <v>625969.29735898925</v>
      </c>
      <c r="D787" s="67">
        <f t="array" ref="D787">SUM($B$7:$B782*$F$1009*EXP(-$F$1009*($A787-$A$7:$A782)))*$F$1010</f>
        <v>2224523.8644868848</v>
      </c>
      <c r="E787" s="67">
        <f t="shared" si="77"/>
        <v>4.2408583665420547</v>
      </c>
      <c r="F787" s="70">
        <f t="shared" ref="F787:F850" si="81">E787*60*1012/1000000</f>
        <v>0.25750492001643355</v>
      </c>
      <c r="G787" s="67">
        <f>E787/'Lookup Tables'!$C$48</f>
        <v>8.4817167330841094</v>
      </c>
      <c r="H787" s="70">
        <f t="shared" si="78"/>
        <v>3.5608697852415432E-3</v>
      </c>
      <c r="I787" s="71">
        <f t="shared" ref="I787:I850" si="82">G787*60*24/1000000</f>
        <v>1.2213672095641117E-2</v>
      </c>
      <c r="L787" s="74"/>
      <c r="M787" s="74"/>
      <c r="N787" s="74"/>
      <c r="O787" s="74"/>
      <c r="P787" s="74"/>
      <c r="Q787" s="74"/>
      <c r="R787" s="74"/>
      <c r="S787" s="74"/>
      <c r="T787" s="74"/>
      <c r="U787" s="74"/>
      <c r="V787" s="74"/>
      <c r="W787" s="74"/>
      <c r="X787" s="74"/>
      <c r="Y787" s="74"/>
      <c r="Z787" s="74"/>
    </row>
    <row r="788" spans="1:26" x14ac:dyDescent="0.3">
      <c r="A788" s="66">
        <f t="shared" si="80"/>
        <v>2068.099999999929</v>
      </c>
      <c r="B788" s="67">
        <f>LOOKUP(A788+0.01,AmountsB!$A$4:$A$103,AmountsB!$B$4:$B$103)*0.1*$A$2</f>
        <v>0</v>
      </c>
      <c r="C788" s="68">
        <f t="shared" si="79"/>
        <v>625969.29735898925</v>
      </c>
      <c r="D788" s="67">
        <f t="array" ref="D788">SUM($B$7:$B783*$F$1009*EXP(-$F$1009*($A788-$A$7:$A783)))*$F$1010</f>
        <v>2209006.5713237906</v>
      </c>
      <c r="E788" s="67">
        <f t="shared" si="77"/>
        <v>4.2112760169942005</v>
      </c>
      <c r="F788" s="70">
        <f t="shared" si="81"/>
        <v>0.25570867975188788</v>
      </c>
      <c r="G788" s="67">
        <f>E788/'Lookup Tables'!$C$48</f>
        <v>8.422552033988401</v>
      </c>
      <c r="H788" s="70">
        <f t="shared" si="78"/>
        <v>3.5360307348472953E-3</v>
      </c>
      <c r="I788" s="71">
        <f t="shared" si="82"/>
        <v>1.2128474928943299E-2</v>
      </c>
      <c r="L788" s="74"/>
      <c r="M788" s="74"/>
      <c r="N788" s="74"/>
      <c r="O788" s="74"/>
      <c r="P788" s="74"/>
      <c r="Q788" s="74"/>
      <c r="R788" s="74"/>
      <c r="S788" s="74"/>
      <c r="T788" s="74"/>
      <c r="U788" s="74"/>
      <c r="V788" s="74"/>
      <c r="W788" s="74"/>
      <c r="X788" s="74"/>
      <c r="Y788" s="74"/>
      <c r="Z788" s="74"/>
    </row>
    <row r="789" spans="1:26" x14ac:dyDescent="0.3">
      <c r="A789" s="66">
        <f t="shared" si="80"/>
        <v>2068.1999999999289</v>
      </c>
      <c r="B789" s="67">
        <f>LOOKUP(A789+0.01,AmountsB!$A$4:$A$103,AmountsB!$B$4:$B$103)*0.1*$A$2</f>
        <v>0</v>
      </c>
      <c r="C789" s="68">
        <f t="shared" si="79"/>
        <v>625969.29735898925</v>
      </c>
      <c r="D789" s="67">
        <f t="array" ref="D789">SUM($B$7:$B784*$F$1009*EXP(-$F$1009*($A789-$A$7:$A784)))*$F$1010</f>
        <v>2193597.519924677</v>
      </c>
      <c r="E789" s="67">
        <f t="shared" si="77"/>
        <v>4.181900020813786</v>
      </c>
      <c r="F789" s="70">
        <f t="shared" si="81"/>
        <v>0.25392496926381308</v>
      </c>
      <c r="G789" s="67">
        <f>E789/'Lookup Tables'!$C$48</f>
        <v>8.363800041627572</v>
      </c>
      <c r="H789" s="70">
        <f t="shared" si="78"/>
        <v>3.5113649506665558E-3</v>
      </c>
      <c r="I789" s="71">
        <f t="shared" si="82"/>
        <v>1.2043872059943703E-2</v>
      </c>
      <c r="L789" s="74"/>
      <c r="M789" s="74"/>
      <c r="N789" s="74"/>
      <c r="O789" s="74"/>
      <c r="P789" s="74"/>
      <c r="Q789" s="74"/>
      <c r="R789" s="74"/>
      <c r="S789" s="74"/>
      <c r="T789" s="74"/>
      <c r="U789" s="74"/>
      <c r="V789" s="74"/>
      <c r="W789" s="74"/>
      <c r="X789" s="74"/>
      <c r="Y789" s="74"/>
      <c r="Z789" s="74"/>
    </row>
    <row r="790" spans="1:26" x14ac:dyDescent="0.3">
      <c r="A790" s="66">
        <f t="shared" si="80"/>
        <v>2068.2999999999288</v>
      </c>
      <c r="B790" s="67">
        <f>LOOKUP(A790+0.01,AmountsB!$A$4:$A$103,AmountsB!$B$4:$B$103)*0.1*$A$2</f>
        <v>0</v>
      </c>
      <c r="C790" s="68">
        <f t="shared" si="79"/>
        <v>625969.29735898925</v>
      </c>
      <c r="D790" s="67">
        <f t="array" ref="D790">SUM($B$7:$B785*$F$1009*EXP(-$F$1009*($A790-$A$7:$A785)))*$F$1010</f>
        <v>2178295.955242943</v>
      </c>
      <c r="E790" s="67">
        <f t="shared" si="77"/>
        <v>4.152728938571121</v>
      </c>
      <c r="F790" s="70">
        <f t="shared" si="81"/>
        <v>0.25215370115003843</v>
      </c>
      <c r="G790" s="67">
        <f>E790/'Lookup Tables'!$C$48</f>
        <v>8.305457877142242</v>
      </c>
      <c r="H790" s="70">
        <f t="shared" si="78"/>
        <v>3.4868712240709657E-3</v>
      </c>
      <c r="I790" s="71">
        <f t="shared" si="82"/>
        <v>1.1959859343084829E-2</v>
      </c>
      <c r="L790" s="74"/>
      <c r="M790" s="74"/>
      <c r="N790" s="74"/>
      <c r="O790" s="74"/>
      <c r="P790" s="74"/>
      <c r="Q790" s="74"/>
      <c r="R790" s="74"/>
      <c r="S790" s="74"/>
      <c r="T790" s="74"/>
      <c r="U790" s="74"/>
      <c r="V790" s="74"/>
      <c r="W790" s="74"/>
      <c r="X790" s="74"/>
      <c r="Y790" s="74"/>
      <c r="Z790" s="74"/>
    </row>
    <row r="791" spans="1:26" x14ac:dyDescent="0.3">
      <c r="A791" s="66">
        <f t="shared" si="80"/>
        <v>2068.3999999999287</v>
      </c>
      <c r="B791" s="67">
        <f>LOOKUP(A791+0.01,AmountsB!$A$4:$A$103,AmountsB!$B$4:$B$103)*0.1*$A$2</f>
        <v>0</v>
      </c>
      <c r="C791" s="68">
        <f t="shared" si="79"/>
        <v>625969.29735898925</v>
      </c>
      <c r="D791" s="67">
        <f t="array" ref="D791">SUM($B$7:$B786*$F$1009*EXP(-$F$1009*($A791-$A$7:$A786)))*$F$1010</f>
        <v>2163101.1274988553</v>
      </c>
      <c r="E791" s="67">
        <f t="shared" si="77"/>
        <v>4.123761340877337</v>
      </c>
      <c r="F791" s="70">
        <f t="shared" si="81"/>
        <v>0.25039478861807191</v>
      </c>
      <c r="G791" s="67">
        <f>E791/'Lookup Tables'!$C$48</f>
        <v>8.2475226817546741</v>
      </c>
      <c r="H791" s="70">
        <f t="shared" si="78"/>
        <v>3.4625483548630194E-3</v>
      </c>
      <c r="I791" s="71">
        <f t="shared" si="82"/>
        <v>1.187643266172673E-2</v>
      </c>
      <c r="L791" s="74"/>
      <c r="M791" s="74"/>
      <c r="N791" s="74"/>
      <c r="O791" s="74"/>
      <c r="P791" s="74"/>
      <c r="Q791" s="74"/>
      <c r="R791" s="74"/>
      <c r="S791" s="74"/>
      <c r="T791" s="74"/>
      <c r="U791" s="74"/>
      <c r="V791" s="74"/>
      <c r="W791" s="74"/>
      <c r="X791" s="74"/>
      <c r="Y791" s="74"/>
      <c r="Z791" s="74"/>
    </row>
    <row r="792" spans="1:26" x14ac:dyDescent="0.3">
      <c r="A792" s="66">
        <f t="shared" si="80"/>
        <v>2068.4999999999286</v>
      </c>
      <c r="B792" s="67">
        <f>LOOKUP(A792+0.01,AmountsB!$A$4:$A$103,AmountsB!$B$4:$B$103)*0.1*$A$2</f>
        <v>0</v>
      </c>
      <c r="C792" s="68">
        <f t="shared" si="79"/>
        <v>625969.29735898925</v>
      </c>
      <c r="D792" s="67">
        <f t="array" ref="D792">SUM($B$7:$B787*$F$1009*EXP(-$F$1009*($A792-$A$7:$A787)))*$F$1010</f>
        <v>2148012.2921428173</v>
      </c>
      <c r="E792" s="67">
        <f t="shared" si="77"/>
        <v>4.0949958083143541</v>
      </c>
      <c r="F792" s="70">
        <f t="shared" si="81"/>
        <v>0.2486481454808476</v>
      </c>
      <c r="G792" s="67">
        <f>E792/'Lookup Tables'!$C$48</f>
        <v>8.1899916166287081</v>
      </c>
      <c r="H792" s="70">
        <f t="shared" si="78"/>
        <v>3.4383951512172613E-3</v>
      </c>
      <c r="I792" s="71">
        <f t="shared" si="82"/>
        <v>1.179358792794534E-2</v>
      </c>
      <c r="L792" s="74"/>
      <c r="M792" s="74"/>
      <c r="N792" s="74"/>
      <c r="O792" s="74"/>
      <c r="P792" s="74"/>
      <c r="Q792" s="74"/>
      <c r="R792" s="74"/>
      <c r="S792" s="74"/>
      <c r="T792" s="74"/>
      <c r="U792" s="74"/>
      <c r="V792" s="74"/>
      <c r="W792" s="74"/>
      <c r="X792" s="74"/>
      <c r="Y792" s="74"/>
      <c r="Z792" s="74"/>
    </row>
    <row r="793" spans="1:26" x14ac:dyDescent="0.3">
      <c r="A793" s="66">
        <f t="shared" si="80"/>
        <v>2068.5999999999285</v>
      </c>
      <c r="B793" s="67">
        <f>LOOKUP(A793+0.01,AmountsB!$A$4:$A$103,AmountsB!$B$4:$B$103)*0.1*$A$2</f>
        <v>0</v>
      </c>
      <c r="C793" s="68">
        <f t="shared" si="79"/>
        <v>625969.29735898925</v>
      </c>
      <c r="D793" s="67">
        <f t="array" ref="D793">SUM($B$7:$B788*$F$1009*EXP(-$F$1009*($A793-$A$7:$A788)))*$F$1010</f>
        <v>2133028.7098188768</v>
      </c>
      <c r="E793" s="67">
        <f t="shared" si="77"/>
        <v>4.0664309313653213</v>
      </c>
      <c r="F793" s="70">
        <f t="shared" si="81"/>
        <v>0.24691368615250231</v>
      </c>
      <c r="G793" s="67">
        <f>E793/'Lookup Tables'!$C$48</f>
        <v>8.1328618627306426</v>
      </c>
      <c r="H793" s="70">
        <f t="shared" si="78"/>
        <v>3.4144104296218803E-3</v>
      </c>
      <c r="I793" s="71">
        <f t="shared" si="82"/>
        <v>1.1711321082332126E-2</v>
      </c>
      <c r="L793" s="74"/>
      <c r="M793" s="74"/>
      <c r="N793" s="74"/>
      <c r="O793" s="74"/>
      <c r="P793" s="74"/>
      <c r="Q793" s="74"/>
      <c r="R793" s="74"/>
      <c r="S793" s="74"/>
      <c r="T793" s="74"/>
      <c r="U793" s="74"/>
      <c r="V793" s="74"/>
      <c r="W793" s="74"/>
      <c r="X793" s="74"/>
      <c r="Y793" s="74"/>
      <c r="Z793" s="74"/>
    </row>
    <row r="794" spans="1:26" x14ac:dyDescent="0.3">
      <c r="A794" s="66">
        <f t="shared" si="80"/>
        <v>2068.6999999999284</v>
      </c>
      <c r="B794" s="67">
        <f>LOOKUP(A794+0.01,AmountsB!$A$4:$A$103,AmountsB!$B$4:$B$103)*0.1*$A$2</f>
        <v>0</v>
      </c>
      <c r="C794" s="68">
        <f t="shared" si="79"/>
        <v>625969.29735898925</v>
      </c>
      <c r="D794" s="67">
        <f t="array" ref="D794">SUM($B$7:$B789*$F$1009*EXP(-$F$1009*($A794-$A$7:$A789)))*$F$1010</f>
        <v>2118149.6463285005</v>
      </c>
      <c r="E794" s="67">
        <f t="shared" si="77"/>
        <v>4.0380653103455497</v>
      </c>
      <c r="F794" s="70">
        <f t="shared" si="81"/>
        <v>0.24519132564418178</v>
      </c>
      <c r="G794" s="67">
        <f>E794/'Lookup Tables'!$C$48</f>
        <v>8.0761306206910994</v>
      </c>
      <c r="H794" s="70">
        <f t="shared" si="78"/>
        <v>3.3905930148207162E-3</v>
      </c>
      <c r="I794" s="71">
        <f t="shared" si="82"/>
        <v>1.1629628093795183E-2</v>
      </c>
      <c r="L794" s="74"/>
      <c r="M794" s="74"/>
      <c r="N794" s="74"/>
      <c r="O794" s="74"/>
      <c r="P794" s="74"/>
      <c r="Q794" s="74"/>
      <c r="R794" s="74"/>
      <c r="S794" s="74"/>
      <c r="T794" s="74"/>
      <c r="U794" s="74"/>
      <c r="V794" s="74"/>
      <c r="W794" s="74"/>
      <c r="X794" s="74"/>
      <c r="Y794" s="74"/>
      <c r="Z794" s="74"/>
    </row>
    <row r="795" spans="1:26" x14ac:dyDescent="0.3">
      <c r="A795" s="66">
        <f t="shared" si="80"/>
        <v>2068.7999999999283</v>
      </c>
      <c r="B795" s="67">
        <f>LOOKUP(A795+0.01,AmountsB!$A$4:$A$103,AmountsB!$B$4:$B$103)*0.1*$A$2</f>
        <v>0</v>
      </c>
      <c r="C795" s="68">
        <f t="shared" si="79"/>
        <v>625969.29735898925</v>
      </c>
      <c r="D795" s="67">
        <f t="array" ref="D795">SUM($B$7:$B790*$F$1009*EXP(-$F$1009*($A795-$A$7:$A790)))*$F$1010</f>
        <v>2103374.3725946015</v>
      </c>
      <c r="E795" s="67">
        <f t="shared" si="77"/>
        <v>4.0098975553339367</v>
      </c>
      <c r="F795" s="70">
        <f t="shared" si="81"/>
        <v>0.24348097955987663</v>
      </c>
      <c r="G795" s="67">
        <f>E795/'Lookup Tables'!$C$48</f>
        <v>8.0197951106678733</v>
      </c>
      <c r="H795" s="70">
        <f t="shared" si="78"/>
        <v>3.3669417397556821E-3</v>
      </c>
      <c r="I795" s="71">
        <f t="shared" si="82"/>
        <v>1.1548504959361737E-2</v>
      </c>
      <c r="L795" s="74"/>
      <c r="M795" s="74"/>
      <c r="N795" s="74"/>
      <c r="O795" s="74"/>
      <c r="P795" s="74"/>
      <c r="Q795" s="74"/>
      <c r="R795" s="74"/>
      <c r="S795" s="74"/>
      <c r="T795" s="74"/>
      <c r="U795" s="74"/>
      <c r="V795" s="74"/>
      <c r="W795" s="74"/>
      <c r="X795" s="74"/>
      <c r="Y795" s="74"/>
      <c r="Z795" s="74"/>
    </row>
    <row r="796" spans="1:26" x14ac:dyDescent="0.3">
      <c r="A796" s="66">
        <f t="shared" si="80"/>
        <v>2068.8999999999282</v>
      </c>
      <c r="B796" s="67">
        <f>LOOKUP(A796+0.01,AmountsB!$A$4:$A$103,AmountsB!$B$4:$B$103)*0.1*$A$2</f>
        <v>0</v>
      </c>
      <c r="C796" s="68">
        <f t="shared" si="79"/>
        <v>625969.29735898925</v>
      </c>
      <c r="D796" s="67">
        <f t="array" ref="D796">SUM($B$7:$B791*$F$1009*EXP(-$F$1009*($A796-$A$7:$A791)))*$F$1010</f>
        <v>2088702.16462581</v>
      </c>
      <c r="E796" s="67">
        <f t="shared" si="77"/>
        <v>3.9819262861048479</v>
      </c>
      <c r="F796" s="70">
        <f t="shared" si="81"/>
        <v>0.24178256409228635</v>
      </c>
      <c r="G796" s="67">
        <f>E796/'Lookup Tables'!$C$48</f>
        <v>7.9638525722096958</v>
      </c>
      <c r="H796" s="70">
        <f t="shared" si="78"/>
        <v>3.3434554455095637E-3</v>
      </c>
      <c r="I796" s="71">
        <f t="shared" si="82"/>
        <v>1.146794770398196E-2</v>
      </c>
      <c r="L796" s="74"/>
      <c r="M796" s="74"/>
      <c r="N796" s="74"/>
      <c r="O796" s="74"/>
      <c r="P796" s="74"/>
      <c r="Q796" s="74"/>
      <c r="R796" s="74"/>
      <c r="S796" s="74"/>
      <c r="T796" s="74"/>
      <c r="U796" s="74"/>
      <c r="V796" s="74"/>
      <c r="W796" s="74"/>
      <c r="X796" s="74"/>
      <c r="Y796" s="74"/>
      <c r="Z796" s="74"/>
    </row>
    <row r="797" spans="1:26" x14ac:dyDescent="0.3">
      <c r="A797" s="66">
        <f t="shared" si="80"/>
        <v>2068.9999999999281</v>
      </c>
      <c r="B797" s="67">
        <f>LOOKUP(A797+0.01,AmountsB!$A$4:$A$103,AmountsB!$B$4:$B$103)*0.1*$A$2</f>
        <v>0</v>
      </c>
      <c r="C797" s="68">
        <f t="shared" si="79"/>
        <v>625969.29735898925</v>
      </c>
      <c r="D797" s="67">
        <f t="array" ref="D797">SUM($B$7:$B792*$F$1009*EXP(-$F$1009*($A797-$A$7:$A792)))*$F$1010</f>
        <v>2074132.3034810007</v>
      </c>
      <c r="E797" s="67">
        <f t="shared" si="77"/>
        <v>3.9541501320604979</v>
      </c>
      <c r="F797" s="70">
        <f t="shared" si="81"/>
        <v>0.24009599601871343</v>
      </c>
      <c r="G797" s="67">
        <f>E797/'Lookup Tables'!$C$48</f>
        <v>7.9083002641209958</v>
      </c>
      <c r="H797" s="70">
        <f t="shared" si="78"/>
        <v>3.320132981249248E-3</v>
      </c>
      <c r="I797" s="71">
        <f t="shared" si="82"/>
        <v>1.1387952380334234E-2</v>
      </c>
      <c r="L797" s="74"/>
      <c r="M797" s="74"/>
      <c r="N797" s="74"/>
      <c r="O797" s="74"/>
      <c r="P797" s="74"/>
      <c r="Q797" s="74"/>
      <c r="R797" s="74"/>
      <c r="S797" s="74"/>
      <c r="T797" s="74"/>
      <c r="U797" s="74"/>
      <c r="V797" s="74"/>
      <c r="W797" s="74"/>
      <c r="X797" s="74"/>
      <c r="Y797" s="74"/>
      <c r="Z797" s="74"/>
    </row>
    <row r="798" spans="1:26" x14ac:dyDescent="0.3">
      <c r="A798" s="66">
        <f t="shared" si="80"/>
        <v>2069.0999999999281</v>
      </c>
      <c r="B798" s="67">
        <f>LOOKUP(A798+0.01,AmountsB!$A$4:$A$103,AmountsB!$B$4:$B$103)*0.1*$A$2</f>
        <v>0</v>
      </c>
      <c r="C798" s="68">
        <f t="shared" si="79"/>
        <v>625969.29735898925</v>
      </c>
      <c r="D798" s="67">
        <f t="array" ref="D798">SUM($B$7:$B793*$F$1009*EXP(-$F$1009*($A798-$A$7:$A793)))*$F$1010</f>
        <v>2059664.0752340616</v>
      </c>
      <c r="E798" s="67">
        <f t="shared" si="77"/>
        <v>3.9265677321637789</v>
      </c>
      <c r="F798" s="70">
        <f t="shared" si="81"/>
        <v>0.23842119269698464</v>
      </c>
      <c r="G798" s="67">
        <f>E798/'Lookup Tables'!$C$48</f>
        <v>7.8531354643275577</v>
      </c>
      <c r="H798" s="70">
        <f t="shared" si="78"/>
        <v>3.2969732041693164E-3</v>
      </c>
      <c r="I798" s="71">
        <f t="shared" si="82"/>
        <v>1.1308515068631685E-2</v>
      </c>
      <c r="L798" s="74"/>
      <c r="M798" s="74"/>
      <c r="N798" s="74"/>
      <c r="O798" s="74"/>
      <c r="P798" s="74"/>
      <c r="Q798" s="74"/>
      <c r="R798" s="74"/>
      <c r="S798" s="74"/>
      <c r="T798" s="74"/>
      <c r="U798" s="74"/>
      <c r="V798" s="74"/>
      <c r="W798" s="74"/>
      <c r="X798" s="74"/>
      <c r="Y798" s="74"/>
      <c r="Z798" s="74"/>
    </row>
    <row r="799" spans="1:26" x14ac:dyDescent="0.3">
      <c r="A799" s="66">
        <f t="shared" si="80"/>
        <v>2069.199999999928</v>
      </c>
      <c r="B799" s="67">
        <f>LOOKUP(A799+0.01,AmountsB!$A$4:$A$103,AmountsB!$B$4:$B$103)*0.1*$A$2</f>
        <v>0</v>
      </c>
      <c r="C799" s="68">
        <f t="shared" si="79"/>
        <v>625969.29735898925</v>
      </c>
      <c r="D799" s="67">
        <f t="array" ref="D799">SUM($B$7:$B794*$F$1009*EXP(-$F$1009*($A799-$A$7:$A794)))*$F$1010</f>
        <v>2045296.7709389138</v>
      </c>
      <c r="E799" s="67">
        <f t="shared" si="77"/>
        <v>3.8991777348715777</v>
      </c>
      <c r="F799" s="70">
        <f t="shared" si="81"/>
        <v>0.2367580720614022</v>
      </c>
      <c r="G799" s="67">
        <f>E799/'Lookup Tables'!$C$48</f>
        <v>7.7983554697431554</v>
      </c>
      <c r="H799" s="70">
        <f t="shared" si="78"/>
        <v>3.2739749794360594E-3</v>
      </c>
      <c r="I799" s="71">
        <f t="shared" si="82"/>
        <v>1.1229631876430142E-2</v>
      </c>
      <c r="L799" s="74"/>
      <c r="M799" s="74"/>
      <c r="N799" s="74"/>
      <c r="O799" s="74"/>
      <c r="P799" s="74"/>
      <c r="Q799" s="74"/>
      <c r="R799" s="74"/>
      <c r="S799" s="74"/>
      <c r="T799" s="74"/>
      <c r="U799" s="74"/>
      <c r="V799" s="74"/>
      <c r="W799" s="74"/>
      <c r="X799" s="74"/>
      <c r="Y799" s="74"/>
      <c r="Z799" s="74"/>
    </row>
    <row r="800" spans="1:26" x14ac:dyDescent="0.3">
      <c r="A800" s="66">
        <f t="shared" si="80"/>
        <v>2069.2999999999279</v>
      </c>
      <c r="B800" s="67">
        <f>LOOKUP(A800+0.01,AmountsB!$A$4:$A$103,AmountsB!$B$4:$B$103)*0.1*$A$2</f>
        <v>0</v>
      </c>
      <c r="C800" s="68">
        <f t="shared" si="79"/>
        <v>625969.29735898925</v>
      </c>
      <c r="D800" s="67">
        <f t="array" ref="D800">SUM($B$7:$B795*$F$1009*EXP(-$F$1009*($A800-$A$7:$A795)))*$F$1010</f>
        <v>2031029.6865947726</v>
      </c>
      <c r="E800" s="67">
        <f t="shared" si="77"/>
        <v>3.8719787980685472</v>
      </c>
      <c r="F800" s="70">
        <f t="shared" si="81"/>
        <v>0.23510655261872221</v>
      </c>
      <c r="G800" s="67">
        <f>E800/'Lookup Tables'!$C$48</f>
        <v>7.7439575961370943</v>
      </c>
      <c r="H800" s="70">
        <f t="shared" si="78"/>
        <v>3.2511371801318637E-3</v>
      </c>
      <c r="I800" s="71">
        <f t="shared" si="82"/>
        <v>1.1151298938437417E-2</v>
      </c>
      <c r="L800" s="74"/>
      <c r="M800" s="74"/>
      <c r="N800" s="74"/>
      <c r="O800" s="74"/>
      <c r="P800" s="74"/>
      <c r="Q800" s="74"/>
      <c r="R800" s="74"/>
      <c r="S800" s="74"/>
      <c r="T800" s="74"/>
      <c r="U800" s="74"/>
      <c r="V800" s="74"/>
      <c r="W800" s="74"/>
      <c r="X800" s="74"/>
      <c r="Y800" s="74"/>
      <c r="Z800" s="74"/>
    </row>
    <row r="801" spans="1:26" x14ac:dyDescent="0.3">
      <c r="A801" s="66">
        <f t="shared" si="80"/>
        <v>2069.3999999999278</v>
      </c>
      <c r="B801" s="67">
        <f>LOOKUP(A801+0.01,AmountsB!$A$4:$A$103,AmountsB!$B$4:$B$103)*0.1*$A$2</f>
        <v>0</v>
      </c>
      <c r="C801" s="68">
        <f t="shared" si="79"/>
        <v>625969.29735898925</v>
      </c>
      <c r="D801" s="67">
        <f t="array" ref="D801">SUM($B$7:$B796*$F$1009*EXP(-$F$1009*($A801-$A$7:$A796)))*$F$1010</f>
        <v>2016862.1231116499</v>
      </c>
      <c r="E801" s="67">
        <f t="shared" si="77"/>
        <v>3.8449695890013404</v>
      </c>
      <c r="F801" s="70">
        <f t="shared" si="81"/>
        <v>0.2334665534441614</v>
      </c>
      <c r="G801" s="67">
        <f>E801/'Lookup Tables'!$C$48</f>
        <v>7.6899391780026809</v>
      </c>
      <c r="H801" s="70">
        <f t="shared" si="78"/>
        <v>3.2284586871999935E-3</v>
      </c>
      <c r="I801" s="71">
        <f t="shared" si="82"/>
        <v>1.1073512416323861E-2</v>
      </c>
      <c r="L801" s="74"/>
      <c r="M801" s="74"/>
      <c r="N801" s="74"/>
      <c r="O801" s="74"/>
      <c r="P801" s="74"/>
      <c r="Q801" s="74"/>
      <c r="R801" s="74"/>
      <c r="S801" s="74"/>
      <c r="T801" s="74"/>
      <c r="U801" s="74"/>
      <c r="V801" s="74"/>
      <c r="W801" s="74"/>
      <c r="X801" s="74"/>
      <c r="Y801" s="74"/>
      <c r="Z801" s="74"/>
    </row>
    <row r="802" spans="1:26" x14ac:dyDescent="0.3">
      <c r="A802" s="66">
        <f t="shared" si="80"/>
        <v>2069.4999999999277</v>
      </c>
      <c r="B802" s="67">
        <f>LOOKUP(A802+0.01,AmountsB!$A$4:$A$103,AmountsB!$B$4:$B$103)*0.1*$A$2</f>
        <v>0</v>
      </c>
      <c r="C802" s="68">
        <f t="shared" si="79"/>
        <v>625969.29735898925</v>
      </c>
      <c r="D802" s="67">
        <f t="array" ref="D802">SUM($B$7:$B797*$F$1009*EXP(-$F$1009*($A802-$A$7:$A797)))*$F$1010</f>
        <v>2002793.3862761012</v>
      </c>
      <c r="E802" s="67">
        <f t="shared" si="77"/>
        <v>3.8181487842133111</v>
      </c>
      <c r="F802" s="70">
        <f t="shared" si="81"/>
        <v>0.23183799417743223</v>
      </c>
      <c r="G802" s="67">
        <f>E802/'Lookup Tables'!$C$48</f>
        <v>7.6362975684266221</v>
      </c>
      <c r="H802" s="70">
        <f t="shared" si="78"/>
        <v>3.2059383893897576E-3</v>
      </c>
      <c r="I802" s="71">
        <f t="shared" si="82"/>
        <v>1.0996268498534335E-2</v>
      </c>
      <c r="L802" s="74"/>
      <c r="M802" s="74"/>
      <c r="N802" s="74"/>
      <c r="O802" s="74"/>
      <c r="P802" s="74"/>
      <c r="Q802" s="74"/>
      <c r="R802" s="74"/>
      <c r="S802" s="74"/>
      <c r="T802" s="74"/>
      <c r="U802" s="74"/>
      <c r="V802" s="74"/>
      <c r="W802" s="74"/>
      <c r="X802" s="74"/>
      <c r="Y802" s="74"/>
      <c r="Z802" s="74"/>
    </row>
    <row r="803" spans="1:26" x14ac:dyDescent="0.3">
      <c r="A803" s="66">
        <f t="shared" si="80"/>
        <v>2069.5999999999276</v>
      </c>
      <c r="B803" s="67">
        <f>LOOKUP(A803+0.01,AmountsB!$A$4:$A$103,AmountsB!$B$4:$B$103)*0.1*$A$2</f>
        <v>0</v>
      </c>
      <c r="C803" s="68">
        <f t="shared" si="79"/>
        <v>625969.29735898925</v>
      </c>
      <c r="D803" s="67">
        <f t="array" ref="D803">SUM($B$7:$B798*$F$1009*EXP(-$F$1009*($A803-$A$7:$A798)))*$F$1010</f>
        <v>1988822.786717206</v>
      </c>
      <c r="E803" s="67">
        <f t="shared" si="77"/>
        <v>3.7915150694796567</v>
      </c>
      <c r="F803" s="70">
        <f t="shared" si="81"/>
        <v>0.23022079501880474</v>
      </c>
      <c r="G803" s="67">
        <f>E803/'Lookup Tables'!$C$48</f>
        <v>7.5830301389593133</v>
      </c>
      <c r="H803" s="70">
        <f t="shared" si="78"/>
        <v>3.1835751832020578E-3</v>
      </c>
      <c r="I803" s="71">
        <f t="shared" si="82"/>
        <v>1.0919563400101411E-2</v>
      </c>
      <c r="L803" s="74"/>
      <c r="M803" s="74"/>
      <c r="N803" s="74"/>
      <c r="O803" s="74"/>
      <c r="P803" s="74"/>
      <c r="Q803" s="74"/>
      <c r="R803" s="74"/>
      <c r="S803" s="74"/>
      <c r="T803" s="74"/>
      <c r="U803" s="74"/>
      <c r="V803" s="74"/>
      <c r="W803" s="74"/>
      <c r="X803" s="74"/>
      <c r="Y803" s="74"/>
      <c r="Z803" s="74"/>
    </row>
    <row r="804" spans="1:26" x14ac:dyDescent="0.3">
      <c r="A804" s="66">
        <f t="shared" si="80"/>
        <v>2069.6999999999275</v>
      </c>
      <c r="B804" s="67">
        <f>LOOKUP(A804+0.01,AmountsB!$A$4:$A$103,AmountsB!$B$4:$B$103)*0.1*$A$2</f>
        <v>0</v>
      </c>
      <c r="C804" s="68">
        <f t="shared" si="79"/>
        <v>625969.29735898925</v>
      </c>
      <c r="D804" s="67">
        <f t="array" ref="D804">SUM($B$7:$B799*$F$1009*EXP(-$F$1009*($A804-$A$7:$A799)))*$F$1010</f>
        <v>1974949.6398727905</v>
      </c>
      <c r="E804" s="67">
        <f t="shared" si="77"/>
        <v>3.7650671397430271</v>
      </c>
      <c r="F804" s="70">
        <f t="shared" si="81"/>
        <v>0.22861487672519659</v>
      </c>
      <c r="G804" s="67">
        <f>E804/'Lookup Tables'!$C$48</f>
        <v>7.5301342794860542</v>
      </c>
      <c r="H804" s="70">
        <f t="shared" si="78"/>
        <v>3.1613679728353166E-3</v>
      </c>
      <c r="I804" s="71">
        <f t="shared" si="82"/>
        <v>1.0843393362459919E-2</v>
      </c>
      <c r="L804" s="74"/>
      <c r="M804" s="74"/>
      <c r="N804" s="74"/>
      <c r="O804" s="74"/>
      <c r="P804" s="74"/>
      <c r="Q804" s="74"/>
      <c r="R804" s="74"/>
      <c r="S804" s="74"/>
      <c r="T804" s="74"/>
      <c r="U804" s="74"/>
      <c r="V804" s="74"/>
      <c r="W804" s="74"/>
      <c r="X804" s="74"/>
      <c r="Y804" s="74"/>
      <c r="Z804" s="74"/>
    </row>
    <row r="805" spans="1:26" x14ac:dyDescent="0.3">
      <c r="A805" s="66">
        <f t="shared" si="80"/>
        <v>2069.7999999999274</v>
      </c>
      <c r="B805" s="67">
        <f>LOOKUP(A805+0.01,AmountsB!$A$4:$A$103,AmountsB!$B$4:$B$103)*0.1*$A$2</f>
        <v>0</v>
      </c>
      <c r="C805" s="68">
        <f t="shared" si="79"/>
        <v>625969.29735898925</v>
      </c>
      <c r="D805" s="67">
        <f t="array" ref="D805">SUM($B$7:$B800*$F$1009*EXP(-$F$1009*($A805-$A$7:$A800)))*$F$1010</f>
        <v>1961173.2659558833</v>
      </c>
      <c r="E805" s="67">
        <f t="shared" si="77"/>
        <v>3.7388036990495714</v>
      </c>
      <c r="F805" s="70">
        <f t="shared" si="81"/>
        <v>0.22702016060628999</v>
      </c>
      <c r="G805" s="67">
        <f>E805/'Lookup Tables'!$C$48</f>
        <v>7.4776073980991429</v>
      </c>
      <c r="H805" s="70">
        <f t="shared" si="78"/>
        <v>3.1393156701317801E-3</v>
      </c>
      <c r="I805" s="71">
        <f t="shared" si="82"/>
        <v>1.0767754653262766E-2</v>
      </c>
      <c r="L805" s="74"/>
      <c r="M805" s="74"/>
      <c r="N805" s="74"/>
      <c r="O805" s="74"/>
      <c r="P805" s="74"/>
      <c r="Q805" s="74"/>
      <c r="R805" s="74"/>
      <c r="S805" s="74"/>
      <c r="T805" s="74"/>
      <c r="U805" s="74"/>
      <c r="V805" s="74"/>
      <c r="W805" s="74"/>
      <c r="X805" s="74"/>
      <c r="Y805" s="74"/>
      <c r="Z805" s="74"/>
    </row>
    <row r="806" spans="1:26" x14ac:dyDescent="0.3">
      <c r="A806" s="66">
        <f t="shared" si="80"/>
        <v>2069.8999999999273</v>
      </c>
      <c r="B806" s="67">
        <f>LOOKUP(A806+0.01,AmountsB!$A$4:$A$103,AmountsB!$B$4:$B$103)*0.1*$A$2</f>
        <v>0</v>
      </c>
      <c r="C806" s="68">
        <f t="shared" si="79"/>
        <v>625969.29735898925</v>
      </c>
      <c r="D806" s="67">
        <f t="array" ref="D806">SUM($B$7:$B801*$F$1009*EXP(-$F$1009*($A806-$A$7:$A801)))*$F$1010</f>
        <v>1947492.9899214064</v>
      </c>
      <c r="E806" s="67">
        <f t="shared" si="77"/>
        <v>3.7127234604854422</v>
      </c>
      <c r="F806" s="70">
        <f t="shared" si="81"/>
        <v>0.22543656852067606</v>
      </c>
      <c r="G806" s="67">
        <f>E806/'Lookup Tables'!$C$48</f>
        <v>7.4254469209708844</v>
      </c>
      <c r="H806" s="70">
        <f t="shared" si="78"/>
        <v>3.1174171945242057E-3</v>
      </c>
      <c r="I806" s="71">
        <f t="shared" si="82"/>
        <v>1.0692643566198074E-2</v>
      </c>
      <c r="L806" s="74"/>
      <c r="M806" s="74"/>
      <c r="N806" s="74"/>
      <c r="O806" s="74"/>
      <c r="P806" s="74"/>
      <c r="Q806" s="74"/>
      <c r="R806" s="74"/>
      <c r="S806" s="74"/>
      <c r="T806" s="74"/>
      <c r="U806" s="74"/>
      <c r="V806" s="74"/>
      <c r="W806" s="74"/>
      <c r="X806" s="74"/>
      <c r="Y806" s="74"/>
      <c r="Z806" s="74"/>
    </row>
    <row r="807" spans="1:26" x14ac:dyDescent="0.3">
      <c r="A807" s="66">
        <f t="shared" si="80"/>
        <v>2069.9999999999272</v>
      </c>
      <c r="B807" s="67">
        <f>LOOKUP(A807+0.01,AmountsB!$A$4:$A$103,AmountsB!$B$4:$B$103)*0.1*$A$2</f>
        <v>0</v>
      </c>
      <c r="C807" s="68">
        <f t="shared" si="79"/>
        <v>625969.29735898925</v>
      </c>
      <c r="D807" s="67">
        <f t="array" ref="D807">SUM($B$7:$B802*$F$1009*EXP(-$F$1009*($A807-$A$7:$A802)))*$F$1010</f>
        <v>1933908.1414330977</v>
      </c>
      <c r="E807" s="67">
        <f t="shared" si="77"/>
        <v>3.6868251461137334</v>
      </c>
      <c r="F807" s="70">
        <f t="shared" si="81"/>
        <v>0.22386402287202589</v>
      </c>
      <c r="G807" s="67">
        <f>E807/'Lookup Tables'!$C$48</f>
        <v>7.3736502922274667</v>
      </c>
      <c r="H807" s="70">
        <f t="shared" si="78"/>
        <v>3.095671472982908E-3</v>
      </c>
      <c r="I807" s="71">
        <f t="shared" si="82"/>
        <v>1.0618056420807553E-2</v>
      </c>
      <c r="L807" s="74"/>
      <c r="M807" s="74"/>
      <c r="N807" s="74"/>
      <c r="O807" s="74"/>
      <c r="P807" s="74"/>
      <c r="Q807" s="74"/>
      <c r="R807" s="74"/>
      <c r="S807" s="74"/>
      <c r="T807" s="74"/>
      <c r="U807" s="74"/>
      <c r="V807" s="74"/>
      <c r="W807" s="74"/>
      <c r="X807" s="74"/>
      <c r="Y807" s="74"/>
      <c r="Z807" s="74"/>
    </row>
    <row r="808" spans="1:26" x14ac:dyDescent="0.3">
      <c r="A808" s="66">
        <f t="shared" si="80"/>
        <v>2070.0999999999271</v>
      </c>
      <c r="B808" s="67">
        <f>LOOKUP(A808+0.01,AmountsB!$A$4:$A$103,AmountsB!$B$4:$B$103)*0.1*$A$2</f>
        <v>0</v>
      </c>
      <c r="C808" s="68">
        <f t="shared" si="79"/>
        <v>625969.29735898925</v>
      </c>
      <c r="D808" s="67">
        <f t="array" ref="D808">SUM($B$7:$B803*$F$1009*EXP(-$F$1009*($A808-$A$7:$A803)))*$F$1010</f>
        <v>1920418.0548306622</v>
      </c>
      <c r="E808" s="67">
        <f t="shared" si="77"/>
        <v>3.6611074869118569</v>
      </c>
      <c r="F808" s="70">
        <f t="shared" si="81"/>
        <v>0.22230244660528792</v>
      </c>
      <c r="G808" s="67">
        <f>E808/'Lookup Tables'!$C$48</f>
        <v>7.3222149738237139</v>
      </c>
      <c r="H808" s="70">
        <f t="shared" si="78"/>
        <v>3.0740774399631793E-3</v>
      </c>
      <c r="I808" s="71">
        <f t="shared" si="82"/>
        <v>1.0543989562306148E-2</v>
      </c>
      <c r="L808" s="74"/>
      <c r="M808" s="74"/>
      <c r="N808" s="74"/>
      <c r="O808" s="74"/>
      <c r="P808" s="74"/>
      <c r="Q808" s="74"/>
      <c r="R808" s="74"/>
      <c r="S808" s="74"/>
      <c r="T808" s="74"/>
      <c r="U808" s="74"/>
      <c r="V808" s="74"/>
      <c r="W808" s="74"/>
      <c r="X808" s="74"/>
      <c r="Y808" s="74"/>
      <c r="Z808" s="74"/>
    </row>
    <row r="809" spans="1:26" x14ac:dyDescent="0.3">
      <c r="A809" s="66">
        <f t="shared" si="80"/>
        <v>2070.1999999999271</v>
      </c>
      <c r="B809" s="67">
        <f>LOOKUP(A809+0.01,AmountsB!$A$4:$A$103,AmountsB!$B$4:$B$103)*0.1*$A$2</f>
        <v>0</v>
      </c>
      <c r="C809" s="68">
        <f t="shared" si="79"/>
        <v>625969.29735898925</v>
      </c>
      <c r="D809" s="67">
        <f t="array" ref="D809">SUM($B$7:$B804*$F$1009*EXP(-$F$1009*($A809-$A$7:$A804)))*$F$1010</f>
        <v>1907022.0690971578</v>
      </c>
      <c r="E809" s="67">
        <f t="shared" si="77"/>
        <v>3.6355692227093668</v>
      </c>
      <c r="F809" s="70">
        <f t="shared" si="81"/>
        <v>0.22075176320291276</v>
      </c>
      <c r="G809" s="67">
        <f>E809/'Lookup Tables'!$C$48</f>
        <v>7.2711384454187336</v>
      </c>
      <c r="H809" s="70">
        <f t="shared" si="78"/>
        <v>3.0526340373530818E-3</v>
      </c>
      <c r="I809" s="71">
        <f t="shared" si="82"/>
        <v>1.0470439361402977E-2</v>
      </c>
      <c r="L809" s="74"/>
      <c r="M809" s="74"/>
      <c r="N809" s="74"/>
      <c r="O809" s="74"/>
      <c r="P809" s="74"/>
      <c r="Q809" s="74"/>
      <c r="R809" s="74"/>
      <c r="S809" s="74"/>
      <c r="T809" s="74"/>
      <c r="U809" s="74"/>
      <c r="V809" s="74"/>
      <c r="W809" s="74"/>
      <c r="X809" s="74"/>
      <c r="Y809" s="74"/>
      <c r="Z809" s="74"/>
    </row>
    <row r="810" spans="1:26" x14ac:dyDescent="0.3">
      <c r="A810" s="66">
        <f t="shared" si="80"/>
        <v>2070.299999999927</v>
      </c>
      <c r="B810" s="67">
        <f>LOOKUP(A810+0.01,AmountsB!$A$4:$A$103,AmountsB!$B$4:$B$103)*0.1*$A$2</f>
        <v>0</v>
      </c>
      <c r="C810" s="68">
        <f t="shared" si="79"/>
        <v>625969.29735898925</v>
      </c>
      <c r="D810" s="67">
        <f t="array" ref="D810">SUM($B$7:$B805*$F$1009*EXP(-$F$1009*($A810-$A$7:$A805)))*$F$1010</f>
        <v>1893719.5278266026</v>
      </c>
      <c r="E810" s="67">
        <f t="shared" si="77"/>
        <v>3.6102091021262068</v>
      </c>
      <c r="F810" s="70">
        <f t="shared" si="81"/>
        <v>0.21921189668110327</v>
      </c>
      <c r="G810" s="67">
        <f>E810/'Lookup Tables'!$C$48</f>
        <v>7.2204182042524137</v>
      </c>
      <c r="H810" s="70">
        <f t="shared" si="78"/>
        <v>3.0313402144215964E-3</v>
      </c>
      <c r="I810" s="71">
        <f t="shared" si="82"/>
        <v>1.0397402214123476E-2</v>
      </c>
      <c r="L810" s="74"/>
      <c r="M810" s="74"/>
      <c r="N810" s="74"/>
      <c r="O810" s="74"/>
      <c r="P810" s="74"/>
      <c r="Q810" s="74"/>
      <c r="R810" s="74"/>
      <c r="S810" s="74"/>
      <c r="T810" s="74"/>
      <c r="U810" s="74"/>
      <c r="V810" s="74"/>
      <c r="W810" s="74"/>
      <c r="X810" s="74"/>
      <c r="Y810" s="74"/>
      <c r="Z810" s="74"/>
    </row>
    <row r="811" spans="1:26" x14ac:dyDescent="0.3">
      <c r="A811" s="66">
        <f t="shared" si="80"/>
        <v>2070.3999999999269</v>
      </c>
      <c r="B811" s="67">
        <f>LOOKUP(A811+0.01,AmountsB!$A$4:$A$103,AmountsB!$B$4:$B$103)*0.1*$A$2</f>
        <v>0</v>
      </c>
      <c r="C811" s="68">
        <f t="shared" si="79"/>
        <v>625969.29735898925</v>
      </c>
      <c r="D811" s="67">
        <f t="array" ref="D811">SUM($B$7:$B806*$F$1009*EXP(-$F$1009*($A811-$A$7:$A806)))*$F$1010</f>
        <v>1880509.7791918127</v>
      </c>
      <c r="E811" s="67">
        <f t="shared" si="77"/>
        <v>3.5850258825113936</v>
      </c>
      <c r="F811" s="70">
        <f t="shared" si="81"/>
        <v>0.21768277158609181</v>
      </c>
      <c r="G811" s="67">
        <f>E811/'Lookup Tables'!$C$48</f>
        <v>7.1700517650227873</v>
      </c>
      <c r="H811" s="70">
        <f t="shared" si="78"/>
        <v>3.0101949277671373E-3</v>
      </c>
      <c r="I811" s="71">
        <f t="shared" si="82"/>
        <v>1.0324874541632813E-2</v>
      </c>
      <c r="L811" s="74"/>
      <c r="M811" s="74"/>
      <c r="N811" s="74"/>
      <c r="O811" s="74"/>
      <c r="P811" s="74"/>
      <c r="Q811" s="74"/>
      <c r="R811" s="74"/>
      <c r="S811" s="74"/>
      <c r="T811" s="74"/>
      <c r="U811" s="74"/>
      <c r="V811" s="74"/>
      <c r="W811" s="74"/>
      <c r="X811" s="74"/>
      <c r="Y811" s="74"/>
      <c r="Z811" s="74"/>
    </row>
    <row r="812" spans="1:26" x14ac:dyDescent="0.3">
      <c r="A812" s="66">
        <f t="shared" si="80"/>
        <v>2070.4999999999268</v>
      </c>
      <c r="B812" s="67">
        <f>LOOKUP(A812+0.01,AmountsB!$A$4:$A$103,AmountsB!$B$4:$B$103)*0.1*$A$2</f>
        <v>0</v>
      </c>
      <c r="C812" s="68">
        <f t="shared" si="79"/>
        <v>625969.29735898925</v>
      </c>
      <c r="D812" s="67">
        <f t="array" ref="D812">SUM($B$7:$B807*$F$1009*EXP(-$F$1009*($A812-$A$7:$A807)))*$F$1010</f>
        <v>1867392.1759124619</v>
      </c>
      <c r="E812" s="67">
        <f t="shared" si="77"/>
        <v>3.5600183298821273</v>
      </c>
      <c r="F812" s="70">
        <f t="shared" si="81"/>
        <v>0.21616431299044275</v>
      </c>
      <c r="G812" s="67">
        <f>E812/'Lookup Tables'!$C$48</f>
        <v>7.1200366597642546</v>
      </c>
      <c r="H812" s="70">
        <f t="shared" si="78"/>
        <v>2.989197141266429E-3</v>
      </c>
      <c r="I812" s="71">
        <f t="shared" si="82"/>
        <v>1.0252852790060525E-2</v>
      </c>
      <c r="L812" s="74"/>
      <c r="M812" s="74"/>
      <c r="N812" s="74"/>
      <c r="O812" s="74"/>
      <c r="P812" s="74"/>
      <c r="Q812" s="74"/>
      <c r="R812" s="74"/>
      <c r="S812" s="74"/>
      <c r="T812" s="74"/>
      <c r="U812" s="74"/>
      <c r="V812" s="74"/>
      <c r="W812" s="74"/>
      <c r="X812" s="74"/>
      <c r="Y812" s="74"/>
      <c r="Z812" s="74"/>
    </row>
    <row r="813" spans="1:26" x14ac:dyDescent="0.3">
      <c r="A813" s="66">
        <f t="shared" si="80"/>
        <v>2070.5999999999267</v>
      </c>
      <c r="B813" s="67">
        <f>LOOKUP(A813+0.01,AmountsB!$A$4:$A$103,AmountsB!$B$4:$B$103)*0.1*$A$2</f>
        <v>0</v>
      </c>
      <c r="C813" s="68">
        <f t="shared" si="79"/>
        <v>625969.29735898925</v>
      </c>
      <c r="D813" s="67">
        <f t="array" ref="D813">SUM($B$7:$B808*$F$1009*EXP(-$F$1009*($A813-$A$7:$A808)))*$F$1010</f>
        <v>1854366.0752233658</v>
      </c>
      <c r="E813" s="67">
        <f t="shared" si="77"/>
        <v>3.5351852188633273</v>
      </c>
      <c r="F813" s="70">
        <f t="shared" si="81"/>
        <v>0.21465644648938123</v>
      </c>
      <c r="G813" s="67">
        <f>E813/'Lookup Tables'!$C$48</f>
        <v>7.0703704377266545</v>
      </c>
      <c r="H813" s="70">
        <f t="shared" si="78"/>
        <v>2.9683458260237336E-3</v>
      </c>
      <c r="I813" s="71">
        <f t="shared" si="82"/>
        <v>1.0181333430326383E-2</v>
      </c>
      <c r="L813" s="74"/>
      <c r="M813" s="74"/>
      <c r="N813" s="74"/>
      <c r="O813" s="74"/>
      <c r="P813" s="74"/>
      <c r="Q813" s="74"/>
      <c r="R813" s="74"/>
      <c r="S813" s="74"/>
      <c r="T813" s="74"/>
      <c r="U813" s="74"/>
      <c r="V813" s="74"/>
      <c r="W813" s="74"/>
      <c r="X813" s="74"/>
      <c r="Y813" s="74"/>
      <c r="Z813" s="74"/>
    </row>
    <row r="814" spans="1:26" x14ac:dyDescent="0.3">
      <c r="A814" s="66">
        <f t="shared" si="80"/>
        <v>2070.6999999999266</v>
      </c>
      <c r="B814" s="67">
        <f>LOOKUP(A814+0.01,AmountsB!$A$4:$A$103,AmountsB!$B$4:$B$103)*0.1*$A$2</f>
        <v>0</v>
      </c>
      <c r="C814" s="68">
        <f t="shared" si="79"/>
        <v>625969.29735898925</v>
      </c>
      <c r="D814" s="67">
        <f t="array" ref="D814">SUM($B$7:$B809*$F$1009*EXP(-$F$1009*($A814-$A$7:$A809)))*$F$1010</f>
        <v>1841430.8388429845</v>
      </c>
      <c r="E814" s="67">
        <f t="shared" si="77"/>
        <v>3.5105253326275854</v>
      </c>
      <c r="F814" s="70">
        <f t="shared" si="81"/>
        <v>0.21315909819714698</v>
      </c>
      <c r="G814" s="67">
        <f>E814/'Lookup Tables'!$C$48</f>
        <v>7.0210506652551707</v>
      </c>
      <c r="H814" s="70">
        <f t="shared" si="78"/>
        <v>2.947639960320431E-3</v>
      </c>
      <c r="I814" s="71">
        <f t="shared" si="82"/>
        <v>1.0110312957967446E-2</v>
      </c>
      <c r="L814" s="74"/>
      <c r="M814" s="74"/>
      <c r="N814" s="74"/>
      <c r="O814" s="74"/>
      <c r="P814" s="74"/>
      <c r="Q814" s="74"/>
      <c r="R814" s="74"/>
      <c r="S814" s="74"/>
      <c r="T814" s="74"/>
      <c r="U814" s="74"/>
      <c r="V814" s="74"/>
      <c r="W814" s="74"/>
      <c r="X814" s="74"/>
      <c r="Y814" s="74"/>
      <c r="Z814" s="74"/>
    </row>
    <row r="815" spans="1:26" x14ac:dyDescent="0.3">
      <c r="A815" s="66">
        <f t="shared" si="80"/>
        <v>2070.7999999999265</v>
      </c>
      <c r="B815" s="67">
        <f>LOOKUP(A815+0.01,AmountsB!$A$4:$A$103,AmountsB!$B$4:$B$103)*0.1*$A$2</f>
        <v>0</v>
      </c>
      <c r="C815" s="68">
        <f t="shared" si="79"/>
        <v>625969.29735898925</v>
      </c>
      <c r="D815" s="67">
        <f t="array" ref="D815">SUM($B$7:$B810*$F$1009*EXP(-$F$1009*($A815-$A$7:$A810)))*$F$1010</f>
        <v>1828585.8329421463</v>
      </c>
      <c r="E815" s="67">
        <f t="shared" si="77"/>
        <v>3.4860374628355406</v>
      </c>
      <c r="F815" s="70">
        <f t="shared" si="81"/>
        <v>0.21167219474337401</v>
      </c>
      <c r="G815" s="67">
        <f>E815/'Lookup Tables'!$C$48</f>
        <v>6.9720749256710812</v>
      </c>
      <c r="H815" s="70">
        <f t="shared" si="78"/>
        <v>2.9270785295649579E-3</v>
      </c>
      <c r="I815" s="71">
        <f t="shared" si="82"/>
        <v>1.0039787892966357E-2</v>
      </c>
      <c r="L815" s="74"/>
      <c r="M815" s="74"/>
      <c r="N815" s="74"/>
      <c r="O815" s="74"/>
      <c r="P815" s="74"/>
      <c r="Q815" s="74"/>
      <c r="R815" s="74"/>
      <c r="S815" s="74"/>
      <c r="T815" s="74"/>
      <c r="U815" s="74"/>
      <c r="V815" s="74"/>
      <c r="W815" s="74"/>
      <c r="X815" s="74"/>
      <c r="Y815" s="74"/>
      <c r="Z815" s="74"/>
    </row>
    <row r="816" spans="1:26" x14ac:dyDescent="0.3">
      <c r="A816" s="66">
        <f t="shared" si="80"/>
        <v>2070.8999999999264</v>
      </c>
      <c r="B816" s="67">
        <f>LOOKUP(A816+0.01,AmountsB!$A$4:$A$103,AmountsB!$B$4:$B$103)*0.1*$A$2</f>
        <v>0</v>
      </c>
      <c r="C816" s="68">
        <f t="shared" si="79"/>
        <v>625969.29735898925</v>
      </c>
      <c r="D816" s="67">
        <f t="array" ref="D816">SUM($B$7:$B811*$F$1009*EXP(-$F$1009*($A816-$A$7:$A811)))*$F$1010</f>
        <v>1815830.4281129926</v>
      </c>
      <c r="E816" s="67">
        <f t="shared" si="77"/>
        <v>3.461720409576674</v>
      </c>
      <c r="F816" s="70">
        <f t="shared" si="81"/>
        <v>0.21019566326949565</v>
      </c>
      <c r="G816" s="67">
        <f>E816/'Lookup Tables'!$C$48</f>
        <v>6.9234408191533481</v>
      </c>
      <c r="H816" s="70">
        <f t="shared" si="78"/>
        <v>2.9066605262430948E-3</v>
      </c>
      <c r="I816" s="71">
        <f t="shared" si="82"/>
        <v>9.9697547795808226E-3</v>
      </c>
      <c r="L816" s="74"/>
      <c r="M816" s="74"/>
      <c r="N816" s="74"/>
      <c r="O816" s="74"/>
      <c r="P816" s="74"/>
      <c r="Q816" s="74"/>
      <c r="R816" s="74"/>
      <c r="S816" s="74"/>
      <c r="T816" s="74"/>
      <c r="U816" s="74"/>
      <c r="V816" s="74"/>
      <c r="W816" s="74"/>
      <c r="X816" s="74"/>
      <c r="Y816" s="74"/>
      <c r="Z816" s="74"/>
    </row>
    <row r="817" spans="1:26" x14ac:dyDescent="0.3">
      <c r="A817" s="66">
        <f t="shared" si="80"/>
        <v>2070.9999999999263</v>
      </c>
      <c r="B817" s="67">
        <f>LOOKUP(A817+0.01,AmountsB!$A$4:$A$103,AmountsB!$B$4:$B$103)*0.1*$A$2</f>
        <v>0</v>
      </c>
      <c r="C817" s="68">
        <f t="shared" si="79"/>
        <v>625969.29735898925</v>
      </c>
      <c r="D817" s="67">
        <f t="array" ref="D817">SUM($B$7:$B812*$F$1009*EXP(-$F$1009*($A817-$A$7:$A812)))*$F$1010</f>
        <v>1803163.9993381333</v>
      </c>
      <c r="E817" s="67">
        <f t="shared" si="77"/>
        <v>3.4375729813105083</v>
      </c>
      <c r="F817" s="70">
        <f t="shared" si="81"/>
        <v>0.20872943142517406</v>
      </c>
      <c r="G817" s="67">
        <f>E817/'Lookup Tables'!$C$48</f>
        <v>6.8751459626210165</v>
      </c>
      <c r="H817" s="70">
        <f t="shared" si="78"/>
        <v>2.8863849498685906E-3</v>
      </c>
      <c r="I817" s="71">
        <f t="shared" si="82"/>
        <v>9.9002101861742631E-3</v>
      </c>
      <c r="L817" s="74"/>
      <c r="M817" s="74"/>
      <c r="N817" s="74"/>
      <c r="O817" s="74"/>
      <c r="P817" s="74"/>
      <c r="Q817" s="74"/>
      <c r="R817" s="74"/>
      <c r="S817" s="74"/>
      <c r="T817" s="74"/>
      <c r="U817" s="74"/>
      <c r="V817" s="74"/>
      <c r="W817" s="74"/>
      <c r="X817" s="74"/>
      <c r="Y817" s="74"/>
      <c r="Z817" s="74"/>
    </row>
    <row r="818" spans="1:26" x14ac:dyDescent="0.3">
      <c r="A818" s="66">
        <f t="shared" si="80"/>
        <v>2071.0999999999262</v>
      </c>
      <c r="B818" s="67">
        <f>LOOKUP(A818+0.01,AmountsB!$A$4:$A$103,AmountsB!$B$4:$B$103)*0.1*$A$2</f>
        <v>0</v>
      </c>
      <c r="C818" s="68">
        <f t="shared" si="79"/>
        <v>625969.29735898925</v>
      </c>
      <c r="D818" s="67">
        <f t="array" ref="D818">SUM($B$7:$B813*$F$1009*EXP(-$F$1009*($A818-$A$7:$A813)))*$F$1010</f>
        <v>1790585.9259600253</v>
      </c>
      <c r="E818" s="67">
        <f t="shared" si="77"/>
        <v>3.4135939948082288</v>
      </c>
      <c r="F818" s="70">
        <f t="shared" si="81"/>
        <v>0.20727342736475565</v>
      </c>
      <c r="G818" s="67">
        <f>E818/'Lookup Tables'!$C$48</f>
        <v>6.8271879896164576</v>
      </c>
      <c r="H818" s="70">
        <f t="shared" si="78"/>
        <v>2.8662508069341487E-3</v>
      </c>
      <c r="I818" s="71">
        <f t="shared" si="82"/>
        <v>9.8311507050476976E-3</v>
      </c>
      <c r="L818" s="74"/>
      <c r="M818" s="74"/>
      <c r="N818" s="74"/>
      <c r="O818" s="74"/>
      <c r="P818" s="74"/>
      <c r="Q818" s="74"/>
      <c r="R818" s="74"/>
      <c r="S818" s="74"/>
      <c r="T818" s="74"/>
      <c r="U818" s="74"/>
      <c r="V818" s="74"/>
      <c r="W818" s="74"/>
      <c r="X818" s="74"/>
      <c r="Y818" s="74"/>
      <c r="Z818" s="74"/>
    </row>
    <row r="819" spans="1:26" x14ac:dyDescent="0.3">
      <c r="A819" s="66">
        <f t="shared" si="80"/>
        <v>2071.1999999999261</v>
      </c>
      <c r="B819" s="67">
        <f>LOOKUP(A819+0.01,AmountsB!$A$4:$A$103,AmountsB!$B$4:$B$103)*0.1*$A$2</f>
        <v>0</v>
      </c>
      <c r="C819" s="68">
        <f t="shared" si="79"/>
        <v>625969.29735898925</v>
      </c>
      <c r="D819" s="67">
        <f t="array" ref="D819">SUM($B$7:$B814*$F$1009*EXP(-$F$1009*($A819-$A$7:$A814)))*$F$1010</f>
        <v>1778095.5916505558</v>
      </c>
      <c r="E819" s="67">
        <f t="shared" si="77"/>
        <v>3.3897822750946984</v>
      </c>
      <c r="F819" s="70">
        <f t="shared" si="81"/>
        <v>0.2058275797437501</v>
      </c>
      <c r="G819" s="67">
        <f>E819/'Lookup Tables'!$C$48</f>
        <v>6.7795645501893969</v>
      </c>
      <c r="H819" s="70">
        <f t="shared" si="78"/>
        <v>2.8462571108627361E-3</v>
      </c>
      <c r="I819" s="71">
        <f t="shared" si="82"/>
        <v>9.7625729522727318E-3</v>
      </c>
      <c r="L819" s="74"/>
      <c r="M819" s="74"/>
      <c r="N819" s="74"/>
      <c r="O819" s="74"/>
      <c r="P819" s="74"/>
      <c r="Q819" s="74"/>
      <c r="R819" s="74"/>
      <c r="S819" s="74"/>
      <c r="T819" s="74"/>
      <c r="U819" s="74"/>
      <c r="V819" s="74"/>
      <c r="W819" s="74"/>
      <c r="X819" s="74"/>
      <c r="Y819" s="74"/>
      <c r="Z819" s="74"/>
    </row>
    <row r="820" spans="1:26" x14ac:dyDescent="0.3">
      <c r="A820" s="66">
        <f t="shared" si="80"/>
        <v>2071.2999999999261</v>
      </c>
      <c r="B820" s="67">
        <f>LOOKUP(A820+0.01,AmountsB!$A$4:$A$103,AmountsB!$B$4:$B$103)*0.1*$A$2</f>
        <v>0</v>
      </c>
      <c r="C820" s="68">
        <f t="shared" si="79"/>
        <v>625969.29735898925</v>
      </c>
      <c r="D820" s="67">
        <f t="array" ref="D820">SUM($B$7:$B815*$F$1009*EXP(-$F$1009*($A820-$A$7:$A815)))*$F$1010</f>
        <v>1765692.3843808454</v>
      </c>
      <c r="E820" s="67">
        <f t="shared" si="77"/>
        <v>3.3661366553908887</v>
      </c>
      <c r="F820" s="70">
        <f t="shared" si="81"/>
        <v>0.20439181771533477</v>
      </c>
      <c r="G820" s="67">
        <f>E820/'Lookup Tables'!$C$48</f>
        <v>6.7322733107817774</v>
      </c>
      <c r="H820" s="70">
        <f t="shared" si="78"/>
        <v>2.8264028819592452E-3</v>
      </c>
      <c r="I820" s="71">
        <f t="shared" si="82"/>
        <v>9.6944735675257594E-3</v>
      </c>
      <c r="L820" s="74"/>
      <c r="M820" s="74"/>
      <c r="N820" s="74"/>
      <c r="O820" s="74"/>
      <c r="P820" s="74"/>
      <c r="Q820" s="74"/>
      <c r="R820" s="74"/>
      <c r="S820" s="74"/>
      <c r="T820" s="74"/>
      <c r="U820" s="74"/>
      <c r="V820" s="74"/>
      <c r="W820" s="74"/>
      <c r="X820" s="74"/>
      <c r="Y820" s="74"/>
      <c r="Z820" s="74"/>
    </row>
    <row r="821" spans="1:26" x14ac:dyDescent="0.3">
      <c r="A821" s="66">
        <f t="shared" si="80"/>
        <v>2071.399999999926</v>
      </c>
      <c r="B821" s="67">
        <f>LOOKUP(A821+0.01,AmountsB!$A$4:$A$103,AmountsB!$B$4:$B$103)*0.1*$A$2</f>
        <v>0</v>
      </c>
      <c r="C821" s="68">
        <f t="shared" si="79"/>
        <v>625969.29735898925</v>
      </c>
      <c r="D821" s="67">
        <f t="array" ref="D821">SUM($B$7:$B816*$F$1009*EXP(-$F$1009*($A821-$A$7:$A816)))*$F$1010</f>
        <v>1753375.6963912561</v>
      </c>
      <c r="E821" s="67">
        <f t="shared" si="77"/>
        <v>3.3426559770567019</v>
      </c>
      <c r="F821" s="70">
        <f t="shared" si="81"/>
        <v>0.20296607092688293</v>
      </c>
      <c r="G821" s="67">
        <f>E821/'Lookup Tables'!$C$48</f>
        <v>6.6853119541134038</v>
      </c>
      <c r="H821" s="70">
        <f t="shared" si="78"/>
        <v>2.8066871473624881E-3</v>
      </c>
      <c r="I821" s="71">
        <f t="shared" si="82"/>
        <v>9.6268492139233025E-3</v>
      </c>
      <c r="L821" s="74"/>
      <c r="M821" s="74"/>
      <c r="N821" s="74"/>
      <c r="O821" s="74"/>
      <c r="P821" s="74"/>
      <c r="Q821" s="74"/>
      <c r="R821" s="74"/>
      <c r="S821" s="74"/>
      <c r="T821" s="74"/>
      <c r="U821" s="74"/>
      <c r="V821" s="74"/>
      <c r="W821" s="74"/>
      <c r="X821" s="74"/>
      <c r="Y821" s="74"/>
      <c r="Z821" s="74"/>
    </row>
    <row r="822" spans="1:26" x14ac:dyDescent="0.3">
      <c r="A822" s="66">
        <f t="shared" si="80"/>
        <v>2071.4999999999259</v>
      </c>
      <c r="B822" s="67">
        <f>LOOKUP(A822+0.01,AmountsB!$A$4:$A$103,AmountsB!$B$4:$B$103)*0.1*$A$2</f>
        <v>0</v>
      </c>
      <c r="C822" s="68">
        <f t="shared" si="79"/>
        <v>625969.29735898925</v>
      </c>
      <c r="D822" s="67">
        <f t="array" ref="D822">SUM($B$7:$B817*$F$1009*EXP(-$F$1009*($A822-$A$7:$A817)))*$F$1010</f>
        <v>1741144.9241616121</v>
      </c>
      <c r="E822" s="67">
        <f t="shared" si="77"/>
        <v>3.319339089534203</v>
      </c>
      <c r="F822" s="70">
        <f t="shared" si="81"/>
        <v>0.20155026951651681</v>
      </c>
      <c r="G822" s="67">
        <f>E822/'Lookup Tables'!$C$48</f>
        <v>6.638678179068406</v>
      </c>
      <c r="H822" s="70">
        <f t="shared" si="78"/>
        <v>2.7871089409975242E-3</v>
      </c>
      <c r="I822" s="71">
        <f t="shared" si="82"/>
        <v>9.5596965778585036E-3</v>
      </c>
      <c r="L822" s="74"/>
      <c r="M822" s="74"/>
      <c r="N822" s="74"/>
      <c r="O822" s="74"/>
      <c r="P822" s="74"/>
      <c r="Q822" s="74"/>
      <c r="R822" s="74"/>
      <c r="S822" s="74"/>
      <c r="T822" s="74"/>
      <c r="U822" s="74"/>
      <c r="V822" s="74"/>
      <c r="W822" s="74"/>
      <c r="X822" s="74"/>
      <c r="Y822" s="74"/>
      <c r="Z822" s="74"/>
    </row>
    <row r="823" spans="1:26" x14ac:dyDescent="0.3">
      <c r="A823" s="66">
        <f t="shared" si="80"/>
        <v>2071.5999999999258</v>
      </c>
      <c r="B823" s="67">
        <f>LOOKUP(A823+0.01,AmountsB!$A$4:$A$103,AmountsB!$B$4:$B$103)*0.1*$A$2</f>
        <v>0</v>
      </c>
      <c r="C823" s="68">
        <f t="shared" si="79"/>
        <v>625969.29735898925</v>
      </c>
      <c r="D823" s="67">
        <f t="array" ref="D823">SUM($B$7:$B818*$F$1009*EXP(-$F$1009*($A823-$A$7:$A818)))*$F$1010</f>
        <v>1728999.4683816254</v>
      </c>
      <c r="E823" s="67">
        <f t="shared" si="77"/>
        <v>3.2961848502912336</v>
      </c>
      <c r="F823" s="70">
        <f t="shared" si="81"/>
        <v>0.20014434410968371</v>
      </c>
      <c r="G823" s="67">
        <f>E823/'Lookup Tables'!$C$48</f>
        <v>6.5923697005824673</v>
      </c>
      <c r="H823" s="70">
        <f t="shared" si="78"/>
        <v>2.7676673035283228E-3</v>
      </c>
      <c r="I823" s="71">
        <f t="shared" si="82"/>
        <v>9.4930123688387533E-3</v>
      </c>
      <c r="L823" s="74"/>
      <c r="M823" s="74"/>
      <c r="N823" s="74"/>
      <c r="O823" s="74"/>
      <c r="P823" s="74"/>
      <c r="Q823" s="74"/>
      <c r="R823" s="74"/>
      <c r="S823" s="74"/>
      <c r="T823" s="74"/>
      <c r="U823" s="74"/>
      <c r="V823" s="74"/>
      <c r="W823" s="74"/>
      <c r="X823" s="74"/>
      <c r="Y823" s="74"/>
      <c r="Z823" s="74"/>
    </row>
    <row r="824" spans="1:26" x14ac:dyDescent="0.3">
      <c r="A824" s="66">
        <f t="shared" si="80"/>
        <v>2071.6999999999257</v>
      </c>
      <c r="B824" s="67">
        <f>LOOKUP(A824+0.01,AmountsB!$A$4:$A$103,AmountsB!$B$4:$B$103)*0.1*$A$2</f>
        <v>0</v>
      </c>
      <c r="C824" s="68">
        <f t="shared" si="79"/>
        <v>625969.29735898925</v>
      </c>
      <c r="D824" s="67">
        <f t="array" ref="D824">SUM($B$7:$B819*$F$1009*EXP(-$F$1009*($A824-$A$7:$A819)))*$F$1010</f>
        <v>1716938.7339215337</v>
      </c>
      <c r="E824" s="67">
        <f t="shared" si="77"/>
        <v>3.2731921247654414</v>
      </c>
      <c r="F824" s="70">
        <f t="shared" si="81"/>
        <v>0.19874822581575757</v>
      </c>
      <c r="G824" s="67">
        <f>E824/'Lookup Tables'!$C$48</f>
        <v>6.5463842495308828</v>
      </c>
      <c r="H824" s="70">
        <f t="shared" si="78"/>
        <v>2.7483612823107585E-3</v>
      </c>
      <c r="I824" s="71">
        <f t="shared" si="82"/>
        <v>9.4267933193244724E-3</v>
      </c>
      <c r="L824" s="74"/>
      <c r="M824" s="74"/>
      <c r="N824" s="74"/>
      <c r="O824" s="74"/>
      <c r="P824" s="74"/>
      <c r="Q824" s="74"/>
      <c r="R824" s="74"/>
      <c r="S824" s="74"/>
      <c r="T824" s="74"/>
      <c r="U824" s="74"/>
      <c r="V824" s="74"/>
      <c r="W824" s="74"/>
      <c r="X824" s="74"/>
      <c r="Y824" s="74"/>
      <c r="Z824" s="74"/>
    </row>
    <row r="825" spans="1:26" x14ac:dyDescent="0.3">
      <c r="A825" s="66">
        <f t="shared" si="80"/>
        <v>2071.7999999999256</v>
      </c>
      <c r="B825" s="67">
        <f>LOOKUP(A825+0.01,AmountsB!$A$4:$A$103,AmountsB!$B$4:$B$103)*0.1*$A$2</f>
        <v>0</v>
      </c>
      <c r="C825" s="68">
        <f t="shared" si="79"/>
        <v>625969.29735898925</v>
      </c>
      <c r="D825" s="67">
        <f t="array" ref="D825">SUM($B$7:$B820*$F$1009*EXP(-$F$1009*($A825-$A$7:$A820)))*$F$1010</f>
        <v>1704962.1298029355</v>
      </c>
      <c r="E825" s="67">
        <f t="shared" si="77"/>
        <v>3.2503597863086751</v>
      </c>
      <c r="F825" s="70">
        <f t="shared" si="81"/>
        <v>0.19736184622466274</v>
      </c>
      <c r="G825" s="67">
        <f>E825/'Lookup Tables'!$C$48</f>
        <v>6.5007195726173501</v>
      </c>
      <c r="H825" s="70">
        <f t="shared" si="78"/>
        <v>2.7291899313459296E-3</v>
      </c>
      <c r="I825" s="71">
        <f t="shared" si="82"/>
        <v>9.3610361845689848E-3</v>
      </c>
      <c r="L825" s="74"/>
      <c r="M825" s="74"/>
      <c r="N825" s="74"/>
      <c r="O825" s="74"/>
      <c r="P825" s="74"/>
      <c r="Q825" s="74"/>
      <c r="R825" s="74"/>
      <c r="S825" s="74"/>
      <c r="T825" s="74"/>
      <c r="U825" s="74"/>
      <c r="V825" s="74"/>
      <c r="W825" s="74"/>
      <c r="X825" s="74"/>
      <c r="Y825" s="74"/>
      <c r="Z825" s="74"/>
    </row>
    <row r="826" spans="1:26" x14ac:dyDescent="0.3">
      <c r="A826" s="66">
        <f t="shared" si="80"/>
        <v>2071.8999999999255</v>
      </c>
      <c r="B826" s="67">
        <f>LOOKUP(A826+0.01,AmountsB!$A$4:$A$103,AmountsB!$B$4:$B$103)*0.1*$A$2</f>
        <v>0</v>
      </c>
      <c r="C826" s="68">
        <f t="shared" si="79"/>
        <v>625969.29735898925</v>
      </c>
      <c r="D826" s="67">
        <f t="array" ref="D826">SUM($B$7:$B821*$F$1009*EXP(-$F$1009*($A826-$A$7:$A821)))*$F$1010</f>
        <v>1693069.0691698329</v>
      </c>
      <c r="E826" s="67">
        <f t="shared" si="77"/>
        <v>3.2276867161317817</v>
      </c>
      <c r="F826" s="70">
        <f t="shared" si="81"/>
        <v>0.19598513740352178</v>
      </c>
      <c r="G826" s="67">
        <f>E826/'Lookup Tables'!$C$48</f>
        <v>6.4553734322635634</v>
      </c>
      <c r="H826" s="70">
        <f t="shared" si="78"/>
        <v>2.710152311233803E-3</v>
      </c>
      <c r="I826" s="71">
        <f t="shared" si="82"/>
        <v>9.2957377424595315E-3</v>
      </c>
      <c r="L826" s="74"/>
      <c r="M826" s="74"/>
      <c r="N826" s="74"/>
      <c r="O826" s="74"/>
      <c r="P826" s="74"/>
      <c r="Q826" s="74"/>
      <c r="R826" s="74"/>
      <c r="S826" s="74"/>
      <c r="T826" s="74"/>
      <c r="U826" s="74"/>
      <c r="V826" s="74"/>
      <c r="W826" s="74"/>
      <c r="X826" s="74"/>
      <c r="Y826" s="74"/>
      <c r="Z826" s="74"/>
    </row>
    <row r="827" spans="1:26" x14ac:dyDescent="0.3">
      <c r="A827" s="66">
        <f t="shared" si="80"/>
        <v>2071.9999999999254</v>
      </c>
      <c r="B827" s="67">
        <f>LOOKUP(A827+0.01,AmountsB!$A$4:$A$103,AmountsB!$B$4:$B$103)*0.1*$A$2</f>
        <v>0</v>
      </c>
      <c r="C827" s="68">
        <f t="shared" si="79"/>
        <v>625969.29735898925</v>
      </c>
      <c r="D827" s="67">
        <f t="array" ref="D827">SUM($B$7:$B822*$F$1009*EXP(-$F$1009*($A827-$A$7:$A822)))*$F$1010</f>
        <v>1681258.9692598751</v>
      </c>
      <c r="E827" s="67">
        <f t="shared" si="77"/>
        <v>3.2051718032497862</v>
      </c>
      <c r="F827" s="70">
        <f t="shared" si="81"/>
        <v>0.19461803189332705</v>
      </c>
      <c r="G827" s="67">
        <f>E827/'Lookup Tables'!$C$48</f>
        <v>6.4103436064995725</v>
      </c>
      <c r="H827" s="70">
        <f t="shared" si="78"/>
        <v>2.6912474891271844E-3</v>
      </c>
      <c r="I827" s="71">
        <f t="shared" si="82"/>
        <v>9.230894793359385E-3</v>
      </c>
      <c r="L827" s="74"/>
      <c r="M827" s="74"/>
      <c r="N827" s="74"/>
      <c r="O827" s="74"/>
      <c r="P827" s="74"/>
      <c r="Q827" s="74"/>
      <c r="R827" s="74"/>
      <c r="S827" s="74"/>
      <c r="T827" s="74"/>
      <c r="U827" s="74"/>
      <c r="V827" s="74"/>
      <c r="W827" s="74"/>
      <c r="X827" s="74"/>
      <c r="Y827" s="74"/>
      <c r="Z827" s="74"/>
    </row>
    <row r="828" spans="1:26" x14ac:dyDescent="0.3">
      <c r="A828" s="66">
        <f t="shared" si="80"/>
        <v>2072.0999999999253</v>
      </c>
      <c r="B828" s="67">
        <f>LOOKUP(A828+0.01,AmountsB!$A$4:$A$103,AmountsB!$B$4:$B$103)*0.1*$A$2</f>
        <v>0</v>
      </c>
      <c r="C828" s="68">
        <f t="shared" si="79"/>
        <v>625969.29735898925</v>
      </c>
      <c r="D828" s="67">
        <f t="array" ref="D828">SUM($B$7:$B823*$F$1009*EXP(-$F$1009*($A828-$A$7:$A823)))*$F$1010</f>
        <v>1669531.2513758033</v>
      </c>
      <c r="E828" s="67">
        <f t="shared" si="77"/>
        <v>3.1828139444274517</v>
      </c>
      <c r="F828" s="70">
        <f t="shared" si="81"/>
        <v>0.19326046270563485</v>
      </c>
      <c r="G828" s="67">
        <f>E828/'Lookup Tables'!$C$48</f>
        <v>6.3656278888549034</v>
      </c>
      <c r="H828" s="70">
        <f t="shared" si="78"/>
        <v>2.6724745386860066E-3</v>
      </c>
      <c r="I828" s="71">
        <f t="shared" si="82"/>
        <v>9.16650415995106E-3</v>
      </c>
      <c r="L828" s="74"/>
      <c r="M828" s="74"/>
      <c r="N828" s="74"/>
      <c r="O828" s="74"/>
      <c r="P828" s="74"/>
      <c r="Q828" s="74"/>
      <c r="R828" s="74"/>
      <c r="S828" s="74"/>
      <c r="T828" s="74"/>
      <c r="U828" s="74"/>
      <c r="V828" s="74"/>
      <c r="W828" s="74"/>
      <c r="X828" s="74"/>
      <c r="Y828" s="74"/>
      <c r="Z828" s="74"/>
    </row>
    <row r="829" spans="1:26" x14ac:dyDescent="0.3">
      <c r="A829" s="66">
        <f t="shared" si="80"/>
        <v>2072.1999999999252</v>
      </c>
      <c r="B829" s="67">
        <f>LOOKUP(A829+0.01,AmountsB!$A$4:$A$103,AmountsB!$B$4:$B$103)*0.1*$A$2</f>
        <v>0</v>
      </c>
      <c r="C829" s="68">
        <f t="shared" si="79"/>
        <v>625969.29735898925</v>
      </c>
      <c r="D829" s="67">
        <f t="array" ref="D829">SUM($B$7:$B824*$F$1009*EXP(-$F$1009*($A829-$A$7:$A824)))*$F$1010</f>
        <v>1657885.3408570946</v>
      </c>
      <c r="E829" s="67">
        <f t="shared" si="77"/>
        <v>3.1606120441252239</v>
      </c>
      <c r="F829" s="70">
        <f t="shared" si="81"/>
        <v>0.19191236331928357</v>
      </c>
      <c r="G829" s="67">
        <f>E829/'Lookup Tables'!$C$48</f>
        <v>6.3212240882504478</v>
      </c>
      <c r="H829" s="70">
        <f t="shared" si="78"/>
        <v>2.6538325400319437E-3</v>
      </c>
      <c r="I829" s="71">
        <f t="shared" si="82"/>
        <v>9.1025626870806439E-3</v>
      </c>
      <c r="L829" s="74"/>
      <c r="M829" s="74"/>
      <c r="N829" s="74"/>
      <c r="O829" s="74"/>
      <c r="P829" s="74"/>
      <c r="Q829" s="74"/>
      <c r="R829" s="74"/>
      <c r="S829" s="74"/>
      <c r="T829" s="74"/>
      <c r="U829" s="74"/>
      <c r="V829" s="74"/>
      <c r="W829" s="74"/>
      <c r="X829" s="74"/>
      <c r="Y829" s="74"/>
      <c r="Z829" s="74"/>
    </row>
    <row r="830" spans="1:26" x14ac:dyDescent="0.3">
      <c r="A830" s="66">
        <f t="shared" si="80"/>
        <v>2072.2999999999251</v>
      </c>
      <c r="B830" s="67">
        <f>LOOKUP(A830+0.01,AmountsB!$A$4:$A$103,AmountsB!$B$4:$B$103)*0.1*$A$2</f>
        <v>0</v>
      </c>
      <c r="C830" s="68">
        <f t="shared" si="79"/>
        <v>625969.29735898925</v>
      </c>
      <c r="D830" s="67">
        <f t="array" ref="D830">SUM($B$7:$B825*$F$1009*EXP(-$F$1009*($A830-$A$7:$A825)))*$F$1010</f>
        <v>1646320.6670518033</v>
      </c>
      <c r="E830" s="67">
        <f t="shared" si="77"/>
        <v>3.1385650144455433</v>
      </c>
      <c r="F830" s="70">
        <f t="shared" si="81"/>
        <v>0.19057366767713338</v>
      </c>
      <c r="G830" s="67">
        <f>E830/'Lookup Tables'!$C$48</f>
        <v>6.2771300288910865</v>
      </c>
      <c r="H830" s="70">
        <f t="shared" si="78"/>
        <v>2.6353205797033292E-3</v>
      </c>
      <c r="I830" s="71">
        <f t="shared" si="82"/>
        <v>9.0390672416031624E-3</v>
      </c>
      <c r="L830" s="74"/>
      <c r="M830" s="74"/>
      <c r="N830" s="74"/>
      <c r="O830" s="74"/>
      <c r="P830" s="74"/>
      <c r="Q830" s="74"/>
      <c r="R830" s="74"/>
      <c r="S830" s="74"/>
      <c r="T830" s="74"/>
      <c r="U830" s="74"/>
      <c r="V830" s="74"/>
      <c r="W830" s="74"/>
      <c r="X830" s="74"/>
      <c r="Y830" s="74"/>
      <c r="Z830" s="74"/>
    </row>
    <row r="831" spans="1:26" x14ac:dyDescent="0.3">
      <c r="A831" s="66">
        <f t="shared" si="80"/>
        <v>2072.3999999999251</v>
      </c>
      <c r="B831" s="67">
        <f>LOOKUP(A831+0.01,AmountsB!$A$4:$A$103,AmountsB!$B$4:$B$103)*0.1*$A$2</f>
        <v>0</v>
      </c>
      <c r="C831" s="68">
        <f t="shared" si="79"/>
        <v>625969.29735898925</v>
      </c>
      <c r="D831" s="67">
        <f t="array" ref="D831">SUM($B$7:$B826*$F$1009*EXP(-$F$1009*($A831-$A$7:$A826)))*$F$1010</f>
        <v>1634836.6632885991</v>
      </c>
      <c r="E831" s="67">
        <f t="shared" si="77"/>
        <v>3.1166717750795456</v>
      </c>
      <c r="F831" s="70">
        <f t="shared" si="81"/>
        <v>0.18924431018283</v>
      </c>
      <c r="G831" s="67">
        <f>E831/'Lookup Tables'!$C$48</f>
        <v>6.2333435501590913</v>
      </c>
      <c r="H831" s="70">
        <f t="shared" si="78"/>
        <v>2.6169377506104052E-3</v>
      </c>
      <c r="I831" s="71">
        <f t="shared" si="82"/>
        <v>8.9760147122290909E-3</v>
      </c>
      <c r="L831" s="74"/>
      <c r="M831" s="74"/>
      <c r="N831" s="74"/>
      <c r="O831" s="74"/>
      <c r="P831" s="74"/>
      <c r="Q831" s="74"/>
      <c r="R831" s="74"/>
      <c r="S831" s="74"/>
      <c r="T831" s="74"/>
      <c r="U831" s="74"/>
      <c r="V831" s="74"/>
      <c r="W831" s="74"/>
      <c r="X831" s="74"/>
      <c r="Y831" s="74"/>
      <c r="Z831" s="74"/>
    </row>
    <row r="832" spans="1:26" x14ac:dyDescent="0.3">
      <c r="A832" s="66">
        <f t="shared" si="80"/>
        <v>2072.499999999925</v>
      </c>
      <c r="B832" s="67">
        <f>LOOKUP(A832+0.01,AmountsB!$A$4:$A$103,AmountsB!$B$4:$B$103)*0.1*$A$2</f>
        <v>0</v>
      </c>
      <c r="C832" s="68">
        <f t="shared" si="79"/>
        <v>625969.29735898925</v>
      </c>
      <c r="D832" s="67">
        <f t="array" ref="D832">SUM($B$7:$B827*$F$1009*EXP(-$F$1009*($A832-$A$7:$A827)))*$F$1010</f>
        <v>1623432.7668490002</v>
      </c>
      <c r="E832" s="67">
        <f t="shared" si="77"/>
        <v>3.0949312532541224</v>
      </c>
      <c r="F832" s="70">
        <f t="shared" si="81"/>
        <v>0.18792422569759029</v>
      </c>
      <c r="G832" s="67">
        <f>E832/'Lookup Tables'!$C$48</f>
        <v>6.1898625065082449</v>
      </c>
      <c r="H832" s="70">
        <f t="shared" si="78"/>
        <v>2.5986831519908674E-3</v>
      </c>
      <c r="I832" s="71">
        <f t="shared" si="82"/>
        <v>8.9134020093718722E-3</v>
      </c>
      <c r="L832" s="74"/>
      <c r="M832" s="74"/>
      <c r="N832" s="74"/>
      <c r="O832" s="74"/>
      <c r="P832" s="74"/>
      <c r="Q832" s="74"/>
      <c r="R832" s="74"/>
      <c r="S832" s="74"/>
      <c r="T832" s="74"/>
      <c r="U832" s="74"/>
      <c r="V832" s="74"/>
      <c r="W832" s="74"/>
      <c r="X832" s="74"/>
      <c r="Y832" s="74"/>
      <c r="Z832" s="74"/>
    </row>
    <row r="833" spans="1:26" x14ac:dyDescent="0.3">
      <c r="A833" s="66">
        <f t="shared" si="80"/>
        <v>2072.5999999999249</v>
      </c>
      <c r="B833" s="67">
        <f>LOOKUP(A833+0.01,AmountsB!$A$4:$A$103,AmountsB!$B$4:$B$103)*0.1*$A$2</f>
        <v>0</v>
      </c>
      <c r="C833" s="68">
        <f t="shared" si="79"/>
        <v>625969.29735898925</v>
      </c>
      <c r="D833" s="67">
        <f t="array" ref="D833">SUM($B$7:$B828*$F$1009*EXP(-$F$1009*($A833-$A$7:$A828)))*$F$1010</f>
        <v>1612108.4189397995</v>
      </c>
      <c r="E833" s="67">
        <f t="shared" si="77"/>
        <v>3.0733423836793548</v>
      </c>
      <c r="F833" s="70">
        <f t="shared" si="81"/>
        <v>0.18661334953701042</v>
      </c>
      <c r="G833" s="67">
        <f>E833/'Lookup Tables'!$C$48</f>
        <v>6.1466847673587095</v>
      </c>
      <c r="H833" s="70">
        <f t="shared" si="78"/>
        <v>2.5805558893657321E-3</v>
      </c>
      <c r="I833" s="71">
        <f t="shared" si="82"/>
        <v>8.8512260649965431E-3</v>
      </c>
      <c r="L833" s="74"/>
      <c r="M833" s="74"/>
      <c r="N833" s="74"/>
      <c r="O833" s="74"/>
      <c r="P833" s="74"/>
      <c r="Q833" s="74"/>
      <c r="R833" s="74"/>
      <c r="S833" s="74"/>
      <c r="T833" s="74"/>
      <c r="U833" s="74"/>
      <c r="V833" s="74"/>
      <c r="W833" s="74"/>
      <c r="X833" s="74"/>
      <c r="Y833" s="74"/>
      <c r="Z833" s="74"/>
    </row>
    <row r="834" spans="1:26" x14ac:dyDescent="0.3">
      <c r="A834" s="66">
        <f t="shared" si="80"/>
        <v>2072.6999999999248</v>
      </c>
      <c r="B834" s="67">
        <f>LOOKUP(A834+0.01,AmountsB!$A$4:$A$103,AmountsB!$B$4:$B$103)*0.1*$A$2</f>
        <v>0</v>
      </c>
      <c r="C834" s="68">
        <f t="shared" si="79"/>
        <v>625969.29735898925</v>
      </c>
      <c r="D834" s="67">
        <f t="array" ref="D834">SUM($B$7:$B829*$F$1009*EXP(-$F$1009*($A834-$A$7:$A829)))*$F$1010</f>
        <v>1600863.0646656828</v>
      </c>
      <c r="E834" s="67">
        <f t="shared" si="77"/>
        <v>3.051904108496311</v>
      </c>
      <c r="F834" s="70">
        <f t="shared" si="81"/>
        <v>0.18531161746789601</v>
      </c>
      <c r="G834" s="67">
        <f>E834/'Lookup Tables'!$C$48</f>
        <v>6.103808216992622</v>
      </c>
      <c r="H834" s="70">
        <f t="shared" si="78"/>
        <v>2.5625550744955011E-3</v>
      </c>
      <c r="I834" s="71">
        <f t="shared" si="82"/>
        <v>8.7894838324693754E-3</v>
      </c>
      <c r="L834" s="74"/>
      <c r="M834" s="74"/>
      <c r="N834" s="74"/>
      <c r="O834" s="74"/>
      <c r="P834" s="74"/>
      <c r="Q834" s="74"/>
      <c r="R834" s="74"/>
      <c r="S834" s="74"/>
      <c r="T834" s="74"/>
      <c r="U834" s="74"/>
      <c r="V834" s="74"/>
      <c r="W834" s="74"/>
      <c r="X834" s="74"/>
      <c r="Y834" s="74"/>
      <c r="Z834" s="74"/>
    </row>
    <row r="835" spans="1:26" x14ac:dyDescent="0.3">
      <c r="A835" s="66">
        <f t="shared" si="80"/>
        <v>2072.7999999999247</v>
      </c>
      <c r="B835" s="67">
        <f>LOOKUP(A835+0.01,AmountsB!$A$4:$A$103,AmountsB!$B$4:$B$103)*0.1*$A$2</f>
        <v>0</v>
      </c>
      <c r="C835" s="68">
        <f t="shared" si="79"/>
        <v>625969.29735898925</v>
      </c>
      <c r="D835" s="67">
        <f t="array" ref="D835">SUM($B$7:$B830*$F$1009*EXP(-$F$1009*($A835-$A$7:$A830)))*$F$1010</f>
        <v>1589696.1530020416</v>
      </c>
      <c r="E835" s="67">
        <f t="shared" si="77"/>
        <v>3.03061537722522</v>
      </c>
      <c r="F835" s="70">
        <f t="shared" si="81"/>
        <v>0.18401896570511539</v>
      </c>
      <c r="G835" s="67">
        <f>E835/'Lookup Tables'!$C$48</f>
        <v>6.06123075445044</v>
      </c>
      <c r="H835" s="70">
        <f t="shared" si="78"/>
        <v>2.5446798253366456E-3</v>
      </c>
      <c r="I835" s="71">
        <f t="shared" si="82"/>
        <v>8.728172286408634E-3</v>
      </c>
      <c r="L835" s="74"/>
      <c r="M835" s="74"/>
      <c r="N835" s="74"/>
      <c r="O835" s="74"/>
      <c r="P835" s="74"/>
      <c r="Q835" s="74"/>
      <c r="R835" s="74"/>
      <c r="S835" s="74"/>
      <c r="T835" s="74"/>
      <c r="U835" s="74"/>
      <c r="V835" s="74"/>
      <c r="W835" s="74"/>
      <c r="X835" s="74"/>
      <c r="Y835" s="74"/>
      <c r="Z835" s="74"/>
    </row>
    <row r="836" spans="1:26" x14ac:dyDescent="0.3">
      <c r="A836" s="66">
        <f t="shared" si="80"/>
        <v>2072.8999999999246</v>
      </c>
      <c r="B836" s="67">
        <f>LOOKUP(A836+0.01,AmountsB!$A$4:$A$103,AmountsB!$B$4:$B$103)*0.1*$A$2</f>
        <v>0</v>
      </c>
      <c r="C836" s="68">
        <f t="shared" si="79"/>
        <v>625969.29735898925</v>
      </c>
      <c r="D836" s="67">
        <f t="array" ref="D836">SUM($B$7:$B831*$F$1009*EXP(-$F$1009*($A836-$A$7:$A831)))*$F$1010</f>
        <v>1578607.1367679695</v>
      </c>
      <c r="E836" s="67">
        <f t="shared" si="77"/>
        <v>3.0094751467139904</v>
      </c>
      <c r="F836" s="70">
        <f t="shared" si="81"/>
        <v>0.18273533090847349</v>
      </c>
      <c r="G836" s="67">
        <f>E836/'Lookup Tables'!$C$48</f>
        <v>6.0189502934279808</v>
      </c>
      <c r="H836" s="70">
        <f t="shared" si="78"/>
        <v>2.5269292659983815E-3</v>
      </c>
      <c r="I836" s="71">
        <f t="shared" si="82"/>
        <v>8.6672884225362928E-3</v>
      </c>
      <c r="L836" s="74"/>
      <c r="M836" s="74"/>
      <c r="N836" s="74"/>
      <c r="O836" s="74"/>
      <c r="P836" s="74"/>
      <c r="Q836" s="74"/>
      <c r="R836" s="74"/>
      <c r="S836" s="74"/>
      <c r="T836" s="74"/>
      <c r="U836" s="74"/>
      <c r="V836" s="74"/>
      <c r="W836" s="74"/>
      <c r="X836" s="74"/>
      <c r="Y836" s="74"/>
      <c r="Z836" s="74"/>
    </row>
    <row r="837" spans="1:26" x14ac:dyDescent="0.3">
      <c r="A837" s="66">
        <f t="shared" si="80"/>
        <v>2072.9999999999245</v>
      </c>
      <c r="B837" s="67">
        <f>LOOKUP(A837+0.01,AmountsB!$A$4:$A$103,AmountsB!$B$4:$B$103)*0.1*$A$2</f>
        <v>0</v>
      </c>
      <c r="C837" s="68">
        <f t="shared" si="79"/>
        <v>625969.29735898925</v>
      </c>
      <c r="D837" s="67">
        <f t="array" ref="D837">SUM($B$7:$B832*$F$1009*EXP(-$F$1009*($A837-$A$7:$A832)))*$F$1010</f>
        <v>1567595.4725994517</v>
      </c>
      <c r="E837" s="67">
        <f t="shared" si="77"/>
        <v>2.9884823810870942</v>
      </c>
      <c r="F837" s="70">
        <f t="shared" si="81"/>
        <v>0.18146065017960836</v>
      </c>
      <c r="G837" s="67">
        <f>E837/'Lookup Tables'!$C$48</f>
        <v>5.9769647621741884</v>
      </c>
      <c r="H837" s="70">
        <f t="shared" si="78"/>
        <v>2.5093025266997465E-3</v>
      </c>
      <c r="I837" s="71">
        <f t="shared" si="82"/>
        <v>8.6068292575308316E-3</v>
      </c>
      <c r="L837" s="74"/>
      <c r="M837" s="74"/>
      <c r="N837" s="74"/>
      <c r="O837" s="74"/>
      <c r="P837" s="74"/>
      <c r="Q837" s="74"/>
      <c r="R837" s="74"/>
      <c r="S837" s="74"/>
      <c r="T837" s="74"/>
      <c r="U837" s="74"/>
      <c r="V837" s="74"/>
      <c r="W837" s="74"/>
      <c r="X837" s="74"/>
      <c r="Y837" s="74"/>
      <c r="Z837" s="74"/>
    </row>
    <row r="838" spans="1:26" x14ac:dyDescent="0.3">
      <c r="A838" s="66">
        <f t="shared" si="80"/>
        <v>2073.0999999999244</v>
      </c>
      <c r="B838" s="67">
        <f>LOOKUP(A838+0.01,AmountsB!$A$4:$A$103,AmountsB!$B$4:$B$103)*0.1*$A$2</f>
        <v>0</v>
      </c>
      <c r="C838" s="68">
        <f t="shared" si="79"/>
        <v>625969.29735898925</v>
      </c>
      <c r="D838" s="67">
        <f t="array" ref="D838">SUM($B$7:$B833*$F$1009*EXP(-$F$1009*($A838-$A$7:$A833)))*$F$1010</f>
        <v>1556660.6209227422</v>
      </c>
      <c r="E838" s="67">
        <f t="shared" si="77"/>
        <v>2.9676360516948193</v>
      </c>
      <c r="F838" s="70">
        <f t="shared" si="81"/>
        <v>0.18019486105890942</v>
      </c>
      <c r="G838" s="67">
        <f>E838/'Lookup Tables'!$C$48</f>
        <v>5.9352721033896385</v>
      </c>
      <c r="H838" s="70">
        <f t="shared" si="78"/>
        <v>2.4917987437269914E-3</v>
      </c>
      <c r="I838" s="71">
        <f t="shared" si="82"/>
        <v>8.5467918288810799E-3</v>
      </c>
      <c r="L838" s="74"/>
      <c r="M838" s="74"/>
      <c r="N838" s="74"/>
      <c r="O838" s="74"/>
      <c r="P838" s="74"/>
      <c r="Q838" s="74"/>
      <c r="R838" s="74"/>
      <c r="S838" s="74"/>
      <c r="T838" s="74"/>
      <c r="U838" s="74"/>
      <c r="V838" s="74"/>
      <c r="W838" s="74"/>
      <c r="X838" s="74"/>
      <c r="Y838" s="74"/>
      <c r="Z838" s="74"/>
    </row>
    <row r="839" spans="1:26" x14ac:dyDescent="0.3">
      <c r="A839" s="66">
        <f t="shared" si="80"/>
        <v>2073.1999999999243</v>
      </c>
      <c r="B839" s="67">
        <f>LOOKUP(A839+0.01,AmountsB!$A$4:$A$103,AmountsB!$B$4:$B$103)*0.1*$A$2</f>
        <v>0</v>
      </c>
      <c r="C839" s="68">
        <f t="shared" si="79"/>
        <v>625969.29735898925</v>
      </c>
      <c r="D839" s="67">
        <f t="array" ref="D839">SUM($B$7:$B834*$F$1009*EXP(-$F$1009*($A839-$A$7:$A834)))*$F$1010</f>
        <v>1545802.0459279201</v>
      </c>
      <c r="E839" s="67">
        <f t="shared" ref="E839:E902" si="83">D839/(365*24*60)*1.00201</f>
        <v>2.9469351370628525</v>
      </c>
      <c r="F839" s="70">
        <f t="shared" si="81"/>
        <v>0.17893790152245639</v>
      </c>
      <c r="G839" s="67">
        <f>E839/'Lookup Tables'!$C$48</f>
        <v>5.893870274125705</v>
      </c>
      <c r="H839" s="70">
        <f t="shared" ref="H839:H902" si="84">G839*60*24*365/(C839*2000)</f>
        <v>2.4744170593912472E-3</v>
      </c>
      <c r="I839" s="71">
        <f t="shared" si="82"/>
        <v>8.4871731947410156E-3</v>
      </c>
      <c r="L839" s="74"/>
      <c r="M839" s="74"/>
      <c r="N839" s="74"/>
      <c r="O839" s="74"/>
      <c r="P839" s="74"/>
      <c r="Q839" s="74"/>
      <c r="R839" s="74"/>
      <c r="S839" s="74"/>
      <c r="T839" s="74"/>
      <c r="U839" s="74"/>
      <c r="V839" s="74"/>
      <c r="W839" s="74"/>
      <c r="X839" s="74"/>
      <c r="Y839" s="74"/>
      <c r="Z839" s="74"/>
    </row>
    <row r="840" spans="1:26" x14ac:dyDescent="0.3">
      <c r="A840" s="66">
        <f t="shared" si="80"/>
        <v>2073.2999999999242</v>
      </c>
      <c r="B840" s="67">
        <f>LOOKUP(A840+0.01,AmountsB!$A$4:$A$103,AmountsB!$B$4:$B$103)*0.1*$A$2</f>
        <v>0</v>
      </c>
      <c r="C840" s="68">
        <f t="shared" si="79"/>
        <v>625969.29735898925</v>
      </c>
      <c r="D840" s="67">
        <f t="array" ref="D840">SUM($B$7:$B835*$F$1009*EXP(-$F$1009*($A840-$A$7:$A835)))*$F$1010</f>
        <v>1535019.2155426377</v>
      </c>
      <c r="E840" s="67">
        <f t="shared" si="83"/>
        <v>2.9263786228422348</v>
      </c>
      <c r="F840" s="70">
        <f t="shared" si="81"/>
        <v>0.17768970997898051</v>
      </c>
      <c r="G840" s="67">
        <f>E840/'Lookup Tables'!$C$48</f>
        <v>5.8527572456844696</v>
      </c>
      <c r="H840" s="70">
        <f t="shared" si="84"/>
        <v>2.4571566219865025E-3</v>
      </c>
      <c r="I840" s="71">
        <f t="shared" si="82"/>
        <v>8.4279704337856358E-3</v>
      </c>
      <c r="L840" s="74"/>
      <c r="M840" s="74"/>
      <c r="N840" s="74"/>
      <c r="O840" s="74"/>
      <c r="P840" s="74"/>
      <c r="Q840" s="74"/>
      <c r="R840" s="74"/>
      <c r="S840" s="74"/>
      <c r="T840" s="74"/>
      <c r="U840" s="74"/>
      <c r="V840" s="74"/>
      <c r="W840" s="74"/>
      <c r="X840" s="74"/>
      <c r="Y840" s="74"/>
      <c r="Z840" s="74"/>
    </row>
    <row r="841" spans="1:26" x14ac:dyDescent="0.3">
      <c r="A841" s="66">
        <f t="shared" si="80"/>
        <v>2073.3999999999241</v>
      </c>
      <c r="B841" s="67">
        <f>LOOKUP(A841+0.01,AmountsB!$A$4:$A$103,AmountsB!$B$4:$B$103)*0.1*$A$2</f>
        <v>0</v>
      </c>
      <c r="C841" s="68">
        <f t="shared" ref="C841:C904" si="85">C840+B841</f>
        <v>625969.29735898925</v>
      </c>
      <c r="D841" s="67">
        <f t="array" ref="D841">SUM($B$7:$B836*$F$1009*EXP(-$F$1009*($A841-$A$7:$A836)))*$F$1010</f>
        <v>1524311.601406049</v>
      </c>
      <c r="E841" s="67">
        <f t="shared" si="83"/>
        <v>2.9059655017596562</v>
      </c>
      <c r="F841" s="70">
        <f t="shared" si="81"/>
        <v>0.17645022526684634</v>
      </c>
      <c r="G841" s="67">
        <f>E841/'Lookup Tables'!$C$48</f>
        <v>5.8119310035193124</v>
      </c>
      <c r="H841" s="70">
        <f t="shared" si="84"/>
        <v>2.4400165857478718E-3</v>
      </c>
      <c r="I841" s="71">
        <f t="shared" si="82"/>
        <v>8.3691806450678103E-3</v>
      </c>
      <c r="L841" s="74"/>
      <c r="M841" s="74"/>
      <c r="N841" s="74"/>
      <c r="O841" s="74"/>
      <c r="P841" s="74"/>
      <c r="Q841" s="74"/>
      <c r="R841" s="74"/>
      <c r="S841" s="74"/>
      <c r="T841" s="74"/>
      <c r="U841" s="74"/>
      <c r="V841" s="74"/>
      <c r="W841" s="74"/>
      <c r="X841" s="74"/>
      <c r="Y841" s="74"/>
      <c r="Z841" s="74"/>
    </row>
    <row r="842" spans="1:26" x14ac:dyDescent="0.3">
      <c r="A842" s="66">
        <f t="shared" si="80"/>
        <v>2073.4999999999241</v>
      </c>
      <c r="B842" s="67">
        <f>LOOKUP(A842+0.01,AmountsB!$A$4:$A$103,AmountsB!$B$4:$B$103)*0.1*$A$2</f>
        <v>0</v>
      </c>
      <c r="C842" s="68">
        <f t="shared" si="85"/>
        <v>625969.29735898925</v>
      </c>
      <c r="D842" s="67">
        <f t="array" ref="D842">SUM($B$7:$B837*$F$1009*EXP(-$F$1009*($A842-$A$7:$A837)))*$F$1010</f>
        <v>1513678.6788429192</v>
      </c>
      <c r="E842" s="67">
        <f t="shared" si="83"/>
        <v>2.8856947735681002</v>
      </c>
      <c r="F842" s="70">
        <f t="shared" si="81"/>
        <v>0.17521938665105505</v>
      </c>
      <c r="G842" s="67">
        <f>E842/'Lookup Tables'!$C$48</f>
        <v>5.7713895471362004</v>
      </c>
      <c r="H842" s="70">
        <f t="shared" si="84"/>
        <v>2.4229961108101507E-3</v>
      </c>
      <c r="I842" s="71">
        <f t="shared" si="82"/>
        <v>8.3108009478761284E-3</v>
      </c>
      <c r="L842" s="74"/>
      <c r="M842" s="74"/>
      <c r="N842" s="74"/>
      <c r="O842" s="74"/>
      <c r="P842" s="74"/>
      <c r="Q842" s="74"/>
      <c r="R842" s="74"/>
      <c r="S842" s="74"/>
      <c r="T842" s="74"/>
      <c r="U842" s="74"/>
      <c r="V842" s="74"/>
      <c r="W842" s="74"/>
      <c r="X842" s="74"/>
      <c r="Y842" s="74"/>
      <c r="Z842" s="74"/>
    </row>
    <row r="843" spans="1:26" x14ac:dyDescent="0.3">
      <c r="A843" s="66">
        <f t="shared" si="80"/>
        <v>2073.599999999924</v>
      </c>
      <c r="B843" s="67">
        <f>LOOKUP(A843+0.01,AmountsB!$A$4:$A$103,AmountsB!$B$4:$B$103)*0.1*$A$2</f>
        <v>0</v>
      </c>
      <c r="C843" s="68">
        <f t="shared" si="85"/>
        <v>625969.29735898925</v>
      </c>
      <c r="D843" s="67">
        <f t="array" ref="D843">SUM($B$7:$B838*$F$1009*EXP(-$F$1009*($A843-$A$7:$A838)))*$F$1010</f>
        <v>1503119.9268379144</v>
      </c>
      <c r="E843" s="67">
        <f t="shared" si="83"/>
        <v>2.8655654449978285</v>
      </c>
      <c r="F843" s="70">
        <f t="shared" si="81"/>
        <v>0.17399713382026816</v>
      </c>
      <c r="G843" s="67">
        <f>E843/'Lookup Tables'!$C$48</f>
        <v>5.731130889995657</v>
      </c>
      <c r="H843" s="70">
        <f t="shared" si="84"/>
        <v>2.4060943631666596E-3</v>
      </c>
      <c r="I843" s="71">
        <f t="shared" si="82"/>
        <v>8.252828481593746E-3</v>
      </c>
      <c r="L843" s="74"/>
      <c r="M843" s="74"/>
      <c r="N843" s="74"/>
      <c r="O843" s="74"/>
      <c r="P843" s="74"/>
      <c r="Q843" s="74"/>
      <c r="R843" s="74"/>
      <c r="S843" s="74"/>
      <c r="T843" s="74"/>
      <c r="U843" s="74"/>
      <c r="V843" s="74"/>
      <c r="W843" s="74"/>
      <c r="X843" s="74"/>
      <c r="Y843" s="74"/>
      <c r="Z843" s="74"/>
    </row>
    <row r="844" spans="1:26" x14ac:dyDescent="0.3">
      <c r="A844" s="66">
        <f t="shared" si="80"/>
        <v>2073.6999999999239</v>
      </c>
      <c r="B844" s="67">
        <f>LOOKUP(A844+0.01,AmountsB!$A$4:$A$103,AmountsB!$B$4:$B$103)*0.1*$A$2</f>
        <v>0</v>
      </c>
      <c r="C844" s="68">
        <f t="shared" si="85"/>
        <v>625969.29735898925</v>
      </c>
      <c r="D844" s="67">
        <f t="array" ref="D844">SUM($B$7:$B839*$F$1009*EXP(-$F$1009*($A844-$A$7:$A839)))*$F$1010</f>
        <v>1492634.8280100748</v>
      </c>
      <c r="E844" s="67">
        <f t="shared" si="83"/>
        <v>2.8455765297077154</v>
      </c>
      <c r="F844" s="70">
        <f t="shared" si="81"/>
        <v>0.17278340688385246</v>
      </c>
      <c r="G844" s="67">
        <f>E844/'Lookup Tables'!$C$48</f>
        <v>5.6911530594154307</v>
      </c>
      <c r="H844" s="70">
        <f t="shared" si="84"/>
        <v>2.389310514628385E-3</v>
      </c>
      <c r="I844" s="71">
        <f t="shared" si="82"/>
        <v>8.19526040555822E-3</v>
      </c>
      <c r="L844" s="74"/>
      <c r="M844" s="74"/>
      <c r="N844" s="74"/>
      <c r="O844" s="74"/>
      <c r="P844" s="74"/>
      <c r="Q844" s="74"/>
      <c r="R844" s="74"/>
      <c r="S844" s="74"/>
      <c r="T844" s="74"/>
      <c r="U844" s="74"/>
      <c r="V844" s="74"/>
      <c r="W844" s="74"/>
      <c r="X844" s="74"/>
      <c r="Y844" s="74"/>
      <c r="Z844" s="74"/>
    </row>
    <row r="845" spans="1:26" x14ac:dyDescent="0.3">
      <c r="A845" s="66">
        <f t="shared" si="80"/>
        <v>2073.7999999999238</v>
      </c>
      <c r="B845" s="67">
        <f>LOOKUP(A845+0.01,AmountsB!$A$4:$A$103,AmountsB!$B$4:$B$103)*0.1*$A$2</f>
        <v>0</v>
      </c>
      <c r="C845" s="68">
        <f t="shared" si="85"/>
        <v>625969.29735898925</v>
      </c>
      <c r="D845" s="67">
        <f t="array" ref="D845">SUM($B$7:$B840*$F$1009*EXP(-$F$1009*($A845-$A$7:$A840)))*$F$1010</f>
        <v>1482222.8685874597</v>
      </c>
      <c r="E845" s="67">
        <f t="shared" si="83"/>
        <v>2.8257270482369115</v>
      </c>
      <c r="F845" s="70">
        <f t="shared" si="81"/>
        <v>0.17157814636894525</v>
      </c>
      <c r="G845" s="67">
        <f>E845/'Lookup Tables'!$C$48</f>
        <v>5.6514540964738229</v>
      </c>
      <c r="H845" s="70">
        <f t="shared" si="84"/>
        <v>2.3726437427833893E-3</v>
      </c>
      <c r="I845" s="71">
        <f t="shared" si="82"/>
        <v>8.1380938989223054E-3</v>
      </c>
      <c r="L845" s="74"/>
      <c r="M845" s="74"/>
      <c r="N845" s="74"/>
      <c r="O845" s="74"/>
      <c r="P845" s="74"/>
      <c r="Q845" s="74"/>
      <c r="R845" s="74"/>
      <c r="S845" s="74"/>
      <c r="T845" s="74"/>
      <c r="U845" s="74"/>
      <c r="V845" s="74"/>
      <c r="W845" s="74"/>
      <c r="X845" s="74"/>
      <c r="Y845" s="74"/>
      <c r="Z845" s="74"/>
    </row>
    <row r="846" spans="1:26" x14ac:dyDescent="0.3">
      <c r="A846" s="66">
        <f t="shared" si="80"/>
        <v>2073.8999999999237</v>
      </c>
      <c r="B846" s="67">
        <f>LOOKUP(A846+0.01,AmountsB!$A$4:$A$103,AmountsB!$B$4:$B$103)*0.1*$A$2</f>
        <v>0</v>
      </c>
      <c r="C846" s="68">
        <f t="shared" si="85"/>
        <v>625969.29735898925</v>
      </c>
      <c r="D846" s="67">
        <f t="array" ref="D846">SUM($B$7:$B841*$F$1009*EXP(-$F$1009*($A846-$A$7:$A841)))*$F$1010</f>
        <v>1471883.538381973</v>
      </c>
      <c r="E846" s="67">
        <f t="shared" si="83"/>
        <v>2.8060160279568511</v>
      </c>
      <c r="F846" s="70">
        <f t="shared" si="81"/>
        <v>0.17038129321754</v>
      </c>
      <c r="G846" s="67">
        <f>E846/'Lookup Tables'!$C$48</f>
        <v>5.6120320559137022</v>
      </c>
      <c r="H846" s="70">
        <f t="shared" si="84"/>
        <v>2.3560932309565157E-3</v>
      </c>
      <c r="I846" s="71">
        <f t="shared" si="82"/>
        <v>8.0813261605157307E-3</v>
      </c>
      <c r="L846" s="74"/>
      <c r="M846" s="74"/>
      <c r="N846" s="74"/>
      <c r="O846" s="74"/>
      <c r="P846" s="74"/>
      <c r="Q846" s="74"/>
      <c r="R846" s="74"/>
      <c r="S846" s="74"/>
      <c r="T846" s="74"/>
      <c r="U846" s="74"/>
      <c r="V846" s="74"/>
      <c r="W846" s="74"/>
      <c r="X846" s="74"/>
      <c r="Y846" s="74"/>
      <c r="Z846" s="74"/>
    </row>
    <row r="847" spans="1:26" x14ac:dyDescent="0.3">
      <c r="A847" s="66">
        <f t="shared" si="80"/>
        <v>2073.9999999999236</v>
      </c>
      <c r="B847" s="67">
        <f>LOOKUP(A847+0.01,AmountsB!$A$4:$A$103,AmountsB!$B$4:$B$103)*0.1*$A$2</f>
        <v>0</v>
      </c>
      <c r="C847" s="68">
        <f t="shared" si="85"/>
        <v>625969.29735898925</v>
      </c>
      <c r="D847" s="67">
        <f t="array" ref="D847">SUM($B$7:$B842*$F$1009*EXP(-$F$1009*($A847-$A$7:$A842)))*$F$1010</f>
        <v>1461616.3307643668</v>
      </c>
      <c r="E847" s="67">
        <f t="shared" si="83"/>
        <v>2.7864425030235984</v>
      </c>
      <c r="F847" s="70">
        <f t="shared" si="81"/>
        <v>0.1691927887835929</v>
      </c>
      <c r="G847" s="67">
        <f>E847/'Lookup Tables'!$C$48</f>
        <v>5.5728850060471968</v>
      </c>
      <c r="H847" s="70">
        <f t="shared" si="84"/>
        <v>2.3396581681693748E-3</v>
      </c>
      <c r="I847" s="71">
        <f t="shared" si="82"/>
        <v>8.0249544087079624E-3</v>
      </c>
      <c r="L847" s="74"/>
      <c r="M847" s="74"/>
      <c r="N847" s="74"/>
      <c r="O847" s="74"/>
      <c r="P847" s="74"/>
      <c r="Q847" s="74"/>
      <c r="R847" s="74"/>
      <c r="S847" s="74"/>
      <c r="T847" s="74"/>
      <c r="U847" s="74"/>
      <c r="V847" s="74"/>
      <c r="W847" s="74"/>
      <c r="X847" s="74"/>
      <c r="Y847" s="74"/>
      <c r="Z847" s="74"/>
    </row>
    <row r="848" spans="1:26" x14ac:dyDescent="0.3">
      <c r="A848" s="66">
        <f t="shared" si="80"/>
        <v>2074.0999999999235</v>
      </c>
      <c r="B848" s="67">
        <f>LOOKUP(A848+0.01,AmountsB!$A$4:$A$103,AmountsB!$B$4:$B$103)*0.1*$A$2</f>
        <v>0</v>
      </c>
      <c r="C848" s="68">
        <f t="shared" si="85"/>
        <v>625969.29735898925</v>
      </c>
      <c r="D848" s="67">
        <f t="array" ref="D848">SUM($B$7:$B843*$F$1009*EXP(-$F$1009*($A848-$A$7:$A843)))*$F$1010</f>
        <v>1451420.742639414</v>
      </c>
      <c r="E848" s="67">
        <f t="shared" si="83"/>
        <v>2.7670055143305161</v>
      </c>
      <c r="F848" s="70">
        <f t="shared" si="81"/>
        <v>0.16801257483014895</v>
      </c>
      <c r="G848" s="67">
        <f>E848/'Lookup Tables'!$C$48</f>
        <v>5.5340110286610322</v>
      </c>
      <c r="H848" s="70">
        <f t="shared" si="84"/>
        <v>2.3233377491006014E-3</v>
      </c>
      <c r="I848" s="71">
        <f t="shared" si="82"/>
        <v>7.9689758812718867E-3</v>
      </c>
      <c r="L848" s="74"/>
      <c r="M848" s="74"/>
      <c r="N848" s="74"/>
      <c r="O848" s="74"/>
      <c r="P848" s="74"/>
      <c r="Q848" s="74"/>
      <c r="R848" s="74"/>
      <c r="S848" s="74"/>
      <c r="T848" s="74"/>
      <c r="U848" s="74"/>
      <c r="V848" s="74"/>
      <c r="W848" s="74"/>
      <c r="X848" s="74"/>
      <c r="Y848" s="74"/>
      <c r="Z848" s="74"/>
    </row>
    <row r="849" spans="1:26" x14ac:dyDescent="0.3">
      <c r="A849" s="66">
        <f t="shared" si="80"/>
        <v>2074.1999999999234</v>
      </c>
      <c r="B849" s="67">
        <f>LOOKUP(A849+0.01,AmountsB!$A$4:$A$103,AmountsB!$B$4:$B$103)*0.1*$A$2</f>
        <v>0</v>
      </c>
      <c r="C849" s="68">
        <f t="shared" si="85"/>
        <v>625969.29735898925</v>
      </c>
      <c r="D849" s="67">
        <f t="array" ref="D849">SUM($B$7:$B844*$F$1009*EXP(-$F$1009*($A849-$A$7:$A844)))*$F$1010</f>
        <v>1441296.274421256</v>
      </c>
      <c r="E849" s="67">
        <f t="shared" si="83"/>
        <v>2.7477041094612686</v>
      </c>
      <c r="F849" s="70">
        <f t="shared" si="81"/>
        <v>0.16684059352648822</v>
      </c>
      <c r="G849" s="67">
        <f>E849/'Lookup Tables'!$C$48</f>
        <v>5.4954082189225373</v>
      </c>
      <c r="H849" s="70">
        <f t="shared" si="84"/>
        <v>2.3071311740463967E-3</v>
      </c>
      <c r="I849" s="71">
        <f t="shared" si="82"/>
        <v>7.9133878352484529E-3</v>
      </c>
      <c r="L849" s="74"/>
      <c r="M849" s="74"/>
      <c r="N849" s="74"/>
      <c r="O849" s="74"/>
      <c r="P849" s="74"/>
      <c r="Q849" s="74"/>
      <c r="R849" s="74"/>
      <c r="S849" s="74"/>
      <c r="T849" s="74"/>
      <c r="U849" s="74"/>
      <c r="V849" s="74"/>
      <c r="W849" s="74"/>
      <c r="X849" s="74"/>
      <c r="Y849" s="74"/>
      <c r="Z849" s="74"/>
    </row>
    <row r="850" spans="1:26" x14ac:dyDescent="0.3">
      <c r="A850" s="66">
        <f t="shared" si="80"/>
        <v>2074.2999999999233</v>
      </c>
      <c r="B850" s="67">
        <f>LOOKUP(A850+0.01,AmountsB!$A$4:$A$103,AmountsB!$B$4:$B$103)*0.1*$A$2</f>
        <v>0</v>
      </c>
      <c r="C850" s="68">
        <f t="shared" si="85"/>
        <v>625969.29735898925</v>
      </c>
      <c r="D850" s="67">
        <f t="array" ref="D850">SUM($B$7:$B845*$F$1009*EXP(-$F$1009*($A850-$A$7:$A845)))*$F$1010</f>
        <v>1431242.4300089239</v>
      </c>
      <c r="E850" s="67">
        <f t="shared" si="83"/>
        <v>2.7285373426431545</v>
      </c>
      <c r="F850" s="70">
        <f t="shared" si="81"/>
        <v>0.16567678744529235</v>
      </c>
      <c r="G850" s="67">
        <f>E850/'Lookup Tables'!$C$48</f>
        <v>5.457074685286309</v>
      </c>
      <c r="H850" s="70">
        <f t="shared" si="84"/>
        <v>2.2910376488813381E-3</v>
      </c>
      <c r="I850" s="71">
        <f t="shared" si="82"/>
        <v>7.8581875468122838E-3</v>
      </c>
      <c r="L850" s="74"/>
      <c r="M850" s="74"/>
      <c r="N850" s="74"/>
      <c r="O850" s="74"/>
      <c r="P850" s="74"/>
      <c r="Q850" s="74"/>
      <c r="R850" s="74"/>
      <c r="S850" s="74"/>
      <c r="T850" s="74"/>
      <c r="U850" s="74"/>
      <c r="V850" s="74"/>
      <c r="W850" s="74"/>
      <c r="X850" s="74"/>
      <c r="Y850" s="74"/>
      <c r="Z850" s="74"/>
    </row>
    <row r="851" spans="1:26" x14ac:dyDescent="0.3">
      <c r="A851" s="66">
        <f t="shared" ref="A851:A914" si="86">A850+0.1</f>
        <v>2074.3999999999232</v>
      </c>
      <c r="B851" s="67">
        <f>LOOKUP(A851+0.01,AmountsB!$A$4:$A$103,AmountsB!$B$4:$B$103)*0.1*$A$2</f>
        <v>0</v>
      </c>
      <c r="C851" s="68">
        <f t="shared" si="85"/>
        <v>625969.29735898925</v>
      </c>
      <c r="D851" s="67">
        <f t="array" ref="D851">SUM($B$7:$B846*$F$1009*EXP(-$F$1009*($A851-$A$7:$A846)))*$F$1010</f>
        <v>1421258.7167620305</v>
      </c>
      <c r="E851" s="67">
        <f t="shared" si="83"/>
        <v>2.7095042747007656</v>
      </c>
      <c r="F851" s="70">
        <f t="shared" ref="F851:F914" si="87">E851*60*1012/1000000</f>
        <v>0.16452109955983049</v>
      </c>
      <c r="G851" s="67">
        <f>E851/'Lookup Tables'!$C$48</f>
        <v>5.4190085494015312</v>
      </c>
      <c r="H851" s="70">
        <f t="shared" si="84"/>
        <v>2.2750563850194748E-3</v>
      </c>
      <c r="I851" s="71">
        <f t="shared" ref="I851:I914" si="88">G851*60*24/1000000</f>
        <v>7.8033723111382057E-3</v>
      </c>
      <c r="L851" s="74"/>
      <c r="M851" s="74"/>
      <c r="N851" s="74"/>
      <c r="O851" s="74"/>
      <c r="P851" s="74"/>
      <c r="Q851" s="74"/>
      <c r="R851" s="74"/>
      <c r="S851" s="74"/>
      <c r="T851" s="74"/>
      <c r="U851" s="74"/>
      <c r="V851" s="74"/>
      <c r="W851" s="74"/>
      <c r="X851" s="74"/>
      <c r="Y851" s="74"/>
      <c r="Z851" s="74"/>
    </row>
    <row r="852" spans="1:26" x14ac:dyDescent="0.3">
      <c r="A852" s="66">
        <f t="shared" si="86"/>
        <v>2074.4999999999231</v>
      </c>
      <c r="B852" s="67">
        <f>LOOKUP(A852+0.01,AmountsB!$A$4:$A$103,AmountsB!$B$4:$B$103)*0.1*$A$2</f>
        <v>0</v>
      </c>
      <c r="C852" s="68">
        <f t="shared" si="85"/>
        <v>625969.29735898925</v>
      </c>
      <c r="D852" s="67">
        <f t="array" ref="D852">SUM($B$7:$B847*$F$1009*EXP(-$F$1009*($A852-$A$7:$A847)))*$F$1010</f>
        <v>1411344.645476629</v>
      </c>
      <c r="E852" s="67">
        <f t="shared" si="83"/>
        <v>2.6906039730099645</v>
      </c>
      <c r="F852" s="70">
        <f t="shared" si="87"/>
        <v>0.16337347324116505</v>
      </c>
      <c r="G852" s="67">
        <f>E852/'Lookup Tables'!$C$48</f>
        <v>5.3812079460199289</v>
      </c>
      <c r="H852" s="70">
        <f t="shared" si="84"/>
        <v>2.2591865993756778E-3</v>
      </c>
      <c r="I852" s="71">
        <f t="shared" si="88"/>
        <v>7.7489394422686981E-3</v>
      </c>
      <c r="L852" s="74"/>
      <c r="M852" s="74"/>
      <c r="N852" s="74"/>
      <c r="O852" s="74"/>
      <c r="P852" s="74"/>
      <c r="Q852" s="74"/>
      <c r="R852" s="74"/>
      <c r="S852" s="74"/>
      <c r="T852" s="74"/>
      <c r="U852" s="74"/>
      <c r="V852" s="74"/>
      <c r="W852" s="74"/>
      <c r="X852" s="74"/>
      <c r="Y852" s="74"/>
      <c r="Z852" s="74"/>
    </row>
    <row r="853" spans="1:26" x14ac:dyDescent="0.3">
      <c r="A853" s="66">
        <f t="shared" si="86"/>
        <v>2074.5999999999231</v>
      </c>
      <c r="B853" s="67">
        <f>LOOKUP(A853+0.01,AmountsB!$A$4:$A$103,AmountsB!$B$4:$B$103)*0.1*$A$2</f>
        <v>0</v>
      </c>
      <c r="C853" s="68">
        <f t="shared" si="85"/>
        <v>625969.29735898925</v>
      </c>
      <c r="D853" s="67">
        <f t="array" ref="D853">SUM($B$7:$B848*$F$1009*EXP(-$F$1009*($A853-$A$7:$A848)))*$F$1010</f>
        <v>1401499.7303612425</v>
      </c>
      <c r="E853" s="67">
        <f t="shared" si="83"/>
        <v>2.6718355114521852</v>
      </c>
      <c r="F853" s="70">
        <f t="shared" si="87"/>
        <v>0.16223385225537668</v>
      </c>
      <c r="G853" s="67">
        <f>E853/'Lookup Tables'!$C$48</f>
        <v>5.3436710229043705</v>
      </c>
      <c r="H853" s="70">
        <f t="shared" si="84"/>
        <v>2.2434275143272757E-3</v>
      </c>
      <c r="I853" s="71">
        <f t="shared" si="88"/>
        <v>7.6948862729822928E-3</v>
      </c>
      <c r="L853" s="74"/>
      <c r="M853" s="74"/>
      <c r="N853" s="74"/>
      <c r="O853" s="74"/>
      <c r="P853" s="74"/>
      <c r="Q853" s="74"/>
      <c r="R853" s="74"/>
      <c r="S853" s="74"/>
      <c r="T853" s="74"/>
      <c r="U853" s="74"/>
      <c r="V853" s="74"/>
      <c r="W853" s="74"/>
      <c r="X853" s="74"/>
      <c r="Y853" s="74"/>
      <c r="Z853" s="74"/>
    </row>
    <row r="854" spans="1:26" x14ac:dyDescent="0.3">
      <c r="A854" s="66">
        <f t="shared" si="86"/>
        <v>2074.699999999923</v>
      </c>
      <c r="B854" s="67">
        <f>LOOKUP(A854+0.01,AmountsB!$A$4:$A$103,AmountsB!$B$4:$B$103)*0.1*$A$2</f>
        <v>0</v>
      </c>
      <c r="C854" s="68">
        <f t="shared" si="85"/>
        <v>625969.29735898925</v>
      </c>
      <c r="D854" s="67">
        <f t="array" ref="D854">SUM($B$7:$B849*$F$1009*EXP(-$F$1009*($A854-$A$7:$A849)))*$F$1010</f>
        <v>1391723.4890130609</v>
      </c>
      <c r="E854" s="67">
        <f t="shared" si="83"/>
        <v>2.6531979703690585</v>
      </c>
      <c r="F854" s="70">
        <f t="shared" si="87"/>
        <v>0.16110218076080926</v>
      </c>
      <c r="G854" s="67">
        <f>E854/'Lookup Tables'!$C$48</f>
        <v>5.3063959407381169</v>
      </c>
      <c r="H854" s="70">
        <f t="shared" si="84"/>
        <v>2.2277783576759498E-3</v>
      </c>
      <c r="I854" s="71">
        <f t="shared" si="88"/>
        <v>7.6412101546628891E-3</v>
      </c>
      <c r="L854" s="74"/>
      <c r="M854" s="74"/>
      <c r="N854" s="74"/>
      <c r="O854" s="74"/>
      <c r="P854" s="74"/>
      <c r="Q854" s="74"/>
      <c r="R854" s="74"/>
      <c r="S854" s="74"/>
      <c r="T854" s="74"/>
      <c r="U854" s="74"/>
      <c r="V854" s="74"/>
      <c r="W854" s="74"/>
      <c r="X854" s="74"/>
      <c r="Y854" s="74"/>
      <c r="Z854" s="74"/>
    </row>
    <row r="855" spans="1:26" x14ac:dyDescent="0.3">
      <c r="A855" s="66">
        <f t="shared" si="86"/>
        <v>2074.7999999999229</v>
      </c>
      <c r="B855" s="67">
        <f>LOOKUP(A855+0.01,AmountsB!$A$4:$A$103,AmountsB!$B$4:$B$103)*0.1*$A$2</f>
        <v>0</v>
      </c>
      <c r="C855" s="68">
        <f t="shared" si="85"/>
        <v>625969.29735898925</v>
      </c>
      <c r="D855" s="67">
        <f t="array" ref="D855">SUM($B$7:$B850*$F$1009*EXP(-$F$1009*($A855-$A$7:$A850)))*$F$1010</f>
        <v>1382015.4423943018</v>
      </c>
      <c r="E855" s="67">
        <f t="shared" si="83"/>
        <v>2.6346904365173409</v>
      </c>
      <c r="F855" s="70">
        <f t="shared" si="87"/>
        <v>0.15997840330533297</v>
      </c>
      <c r="G855" s="67">
        <f>E855/'Lookup Tables'!$C$48</f>
        <v>5.2693808730346818</v>
      </c>
      <c r="H855" s="70">
        <f t="shared" si="84"/>
        <v>2.212238362609891E-3</v>
      </c>
      <c r="I855" s="71">
        <f t="shared" si="88"/>
        <v>7.5879084571699425E-3</v>
      </c>
      <c r="L855" s="74"/>
      <c r="M855" s="74"/>
      <c r="N855" s="74"/>
      <c r="O855" s="74"/>
      <c r="P855" s="74"/>
      <c r="Q855" s="74"/>
      <c r="R855" s="74"/>
      <c r="S855" s="74"/>
      <c r="T855" s="74"/>
      <c r="U855" s="74"/>
      <c r="V855" s="74"/>
      <c r="W855" s="74"/>
      <c r="X855" s="74"/>
      <c r="Y855" s="74"/>
      <c r="Z855" s="74"/>
    </row>
    <row r="856" spans="1:26" x14ac:dyDescent="0.3">
      <c r="A856" s="66">
        <f t="shared" si="86"/>
        <v>2074.8999999999228</v>
      </c>
      <c r="B856" s="67">
        <f>LOOKUP(A856+0.01,AmountsB!$A$4:$A$103,AmountsB!$B$4:$B$103)*0.1*$A$2</f>
        <v>0</v>
      </c>
      <c r="C856" s="68">
        <f t="shared" si="85"/>
        <v>625969.29735898925</v>
      </c>
      <c r="D856" s="67">
        <f t="array" ref="D856">SUM($B$7:$B851*$F$1009*EXP(-$F$1009*($A856-$A$7:$A851)))*$F$1010</f>
        <v>1372375.1148087387</v>
      </c>
      <c r="E856" s="67">
        <f t="shared" si="83"/>
        <v>2.6163120030241709</v>
      </c>
      <c r="F856" s="70">
        <f t="shared" si="87"/>
        <v>0.15886246482362767</v>
      </c>
      <c r="G856" s="67">
        <f>E856/'Lookup Tables'!$C$48</f>
        <v>5.2326240060483418</v>
      </c>
      <c r="H856" s="70">
        <f t="shared" si="84"/>
        <v>2.196806767666233E-3</v>
      </c>
      <c r="I856" s="71">
        <f t="shared" si="88"/>
        <v>7.5349785687096119E-3</v>
      </c>
      <c r="L856" s="74"/>
      <c r="M856" s="74"/>
      <c r="N856" s="74"/>
      <c r="O856" s="74"/>
      <c r="P856" s="74"/>
      <c r="Q856" s="74"/>
      <c r="R856" s="74"/>
      <c r="S856" s="74"/>
      <c r="T856" s="74"/>
      <c r="U856" s="74"/>
      <c r="V856" s="74"/>
      <c r="W856" s="74"/>
      <c r="X856" s="74"/>
      <c r="Y856" s="74"/>
      <c r="Z856" s="74"/>
    </row>
    <row r="857" spans="1:26" x14ac:dyDescent="0.3">
      <c r="A857" s="66">
        <f t="shared" si="86"/>
        <v>2074.9999999999227</v>
      </c>
      <c r="B857" s="67">
        <f>LOOKUP(A857+0.01,AmountsB!$A$4:$A$103,AmountsB!$B$4:$B$103)*0.1*$A$2</f>
        <v>0</v>
      </c>
      <c r="C857" s="68">
        <f t="shared" si="85"/>
        <v>625969.29735898925</v>
      </c>
      <c r="D857" s="67">
        <f t="array" ref="D857">SUM($B$7:$B852*$F$1009*EXP(-$F$1009*($A857-$A$7:$A852)))*$F$1010</f>
        <v>1362802.0338783911</v>
      </c>
      <c r="E857" s="67">
        <f t="shared" si="83"/>
        <v>2.5980617693426309</v>
      </c>
      <c r="F857" s="70">
        <f t="shared" si="87"/>
        <v>0.15775431063448458</v>
      </c>
      <c r="G857" s="67">
        <f>E857/'Lookup Tables'!$C$48</f>
        <v>5.1961235386852618</v>
      </c>
      <c r="H857" s="70">
        <f t="shared" si="84"/>
        <v>2.1814828166937363E-3</v>
      </c>
      <c r="I857" s="71">
        <f t="shared" si="88"/>
        <v>7.4824178957067777E-3</v>
      </c>
      <c r="L857" s="74"/>
      <c r="M857" s="74"/>
      <c r="N857" s="74"/>
      <c r="O857" s="74"/>
      <c r="P857" s="74"/>
      <c r="Q857" s="74"/>
      <c r="R857" s="74"/>
      <c r="S857" s="74"/>
      <c r="T857" s="74"/>
      <c r="U857" s="74"/>
      <c r="V857" s="74"/>
      <c r="W857" s="74"/>
      <c r="X857" s="74"/>
      <c r="Y857" s="74"/>
      <c r="Z857" s="74"/>
    </row>
    <row r="858" spans="1:26" x14ac:dyDescent="0.3">
      <c r="A858" s="66">
        <f t="shared" si="86"/>
        <v>2075.0999999999226</v>
      </c>
      <c r="B858" s="67">
        <f>LOOKUP(A858+0.01,AmountsB!$A$4:$A$103,AmountsB!$B$4:$B$103)*0.1*$A$2</f>
        <v>0</v>
      </c>
      <c r="C858" s="68">
        <f t="shared" si="85"/>
        <v>625969.29735898925</v>
      </c>
      <c r="D858" s="67">
        <f t="array" ref="D858">SUM($B$7:$B853*$F$1009*EXP(-$F$1009*($A858-$A$7:$A853)))*$F$1010</f>
        <v>1353295.7305203774</v>
      </c>
      <c r="E858" s="67">
        <f t="shared" si="83"/>
        <v>2.5799388412076167</v>
      </c>
      <c r="F858" s="70">
        <f t="shared" si="87"/>
        <v>0.1566538864381265</v>
      </c>
      <c r="G858" s="67">
        <f>E858/'Lookup Tables'!$C$48</f>
        <v>5.1598776824152335</v>
      </c>
      <c r="H858" s="70">
        <f t="shared" si="84"/>
        <v>2.1662657588157352E-3</v>
      </c>
      <c r="I858" s="71">
        <f t="shared" si="88"/>
        <v>7.4302238626779366E-3</v>
      </c>
      <c r="L858" s="74"/>
      <c r="M858" s="74"/>
      <c r="N858" s="74"/>
      <c r="O858" s="74"/>
      <c r="P858" s="74"/>
      <c r="Q858" s="74"/>
      <c r="R858" s="74"/>
      <c r="S858" s="74"/>
      <c r="T858" s="74"/>
      <c r="U858" s="74"/>
      <c r="V858" s="74"/>
      <c r="W858" s="74"/>
      <c r="X858" s="74"/>
      <c r="Y858" s="74"/>
      <c r="Z858" s="74"/>
    </row>
    <row r="859" spans="1:26" x14ac:dyDescent="0.3">
      <c r="A859" s="66">
        <f t="shared" si="86"/>
        <v>2075.1999999999225</v>
      </c>
      <c r="B859" s="67">
        <f>LOOKUP(A859+0.01,AmountsB!$A$4:$A$103,AmountsB!$B$4:$B$103)*0.1*$A$2</f>
        <v>0</v>
      </c>
      <c r="C859" s="68">
        <f t="shared" si="85"/>
        <v>625969.29735898925</v>
      </c>
      <c r="D859" s="67">
        <f t="array" ref="D859">SUM($B$7:$B854*$F$1009*EXP(-$F$1009*($A859-$A$7:$A854)))*$F$1010</f>
        <v>1343855.7389239317</v>
      </c>
      <c r="E859" s="67">
        <f t="shared" si="83"/>
        <v>2.5619423305920259</v>
      </c>
      <c r="F859" s="70">
        <f t="shared" si="87"/>
        <v>0.15556113831354781</v>
      </c>
      <c r="G859" s="67">
        <f>E859/'Lookup Tables'!$C$48</f>
        <v>5.1238846611840518</v>
      </c>
      <c r="H859" s="70">
        <f t="shared" si="84"/>
        <v>2.151154848393351E-3</v>
      </c>
      <c r="I859" s="71">
        <f t="shared" si="88"/>
        <v>7.3783939121050352E-3</v>
      </c>
      <c r="L859" s="74"/>
      <c r="M859" s="74"/>
      <c r="N859" s="74"/>
      <c r="O859" s="74"/>
      <c r="P859" s="74"/>
      <c r="Q859" s="74"/>
      <c r="R859" s="74"/>
      <c r="S859" s="74"/>
      <c r="T859" s="74"/>
      <c r="U859" s="74"/>
      <c r="V859" s="74"/>
      <c r="W859" s="74"/>
      <c r="X859" s="74"/>
      <c r="Y859" s="74"/>
      <c r="Z859" s="74"/>
    </row>
    <row r="860" spans="1:26" x14ac:dyDescent="0.3">
      <c r="A860" s="66">
        <f t="shared" si="86"/>
        <v>2075.2999999999224</v>
      </c>
      <c r="B860" s="67">
        <f>LOOKUP(A860+0.01,AmountsB!$A$4:$A$103,AmountsB!$B$4:$B$103)*0.1*$A$2</f>
        <v>0</v>
      </c>
      <c r="C860" s="68">
        <f t="shared" si="85"/>
        <v>625969.29735898925</v>
      </c>
      <c r="D860" s="67">
        <f t="array" ref="D860">SUM($B$7:$B855*$F$1009*EXP(-$F$1009*($A860-$A$7:$A855)))*$F$1010</f>
        <v>1334481.5965275771</v>
      </c>
      <c r="E860" s="67">
        <f t="shared" si="83"/>
        <v>2.5440713556632377</v>
      </c>
      <c r="F860" s="70">
        <f t="shared" si="87"/>
        <v>0.1544760127158718</v>
      </c>
      <c r="G860" s="67">
        <f>E860/'Lookup Tables'!$C$48</f>
        <v>5.0881427113264754</v>
      </c>
      <c r="H860" s="70">
        <f t="shared" si="84"/>
        <v>2.1361493449889497E-3</v>
      </c>
      <c r="I860" s="71">
        <f t="shared" si="88"/>
        <v>7.3269255043101255E-3</v>
      </c>
      <c r="L860" s="74"/>
      <c r="M860" s="74"/>
      <c r="N860" s="74"/>
      <c r="O860" s="74"/>
      <c r="P860" s="74"/>
      <c r="Q860" s="74"/>
      <c r="R860" s="74"/>
      <c r="S860" s="74"/>
      <c r="T860" s="74"/>
      <c r="U860" s="74"/>
      <c r="V860" s="74"/>
      <c r="W860" s="74"/>
      <c r="X860" s="74"/>
      <c r="Y860" s="74"/>
      <c r="Z860" s="74"/>
    </row>
    <row r="861" spans="1:26" x14ac:dyDescent="0.3">
      <c r="A861" s="66">
        <f t="shared" si="86"/>
        <v>2075.3999999999223</v>
      </c>
      <c r="B861" s="67">
        <f>LOOKUP(A861+0.01,AmountsB!$A$4:$A$103,AmountsB!$B$4:$B$103)*0.1*$A$2</f>
        <v>0</v>
      </c>
      <c r="C861" s="68">
        <f t="shared" si="85"/>
        <v>625969.29735898925</v>
      </c>
      <c r="D861" s="67">
        <f t="array" ref="D861">SUM($B$7:$B856*$F$1009*EXP(-$F$1009*($A861-$A$7:$A856)))*$F$1010</f>
        <v>1325172.8439964594</v>
      </c>
      <c r="E861" s="67">
        <f t="shared" si="83"/>
        <v>2.5263250407399021</v>
      </c>
      <c r="F861" s="70">
        <f t="shared" si="87"/>
        <v>0.15339845647372682</v>
      </c>
      <c r="G861" s="67">
        <f>E861/'Lookup Tables'!$C$48</f>
        <v>5.0526500814798041</v>
      </c>
      <c r="H861" s="70">
        <f t="shared" si="84"/>
        <v>2.1212485133298591E-3</v>
      </c>
      <c r="I861" s="71">
        <f t="shared" si="88"/>
        <v>7.2758161173309176E-3</v>
      </c>
      <c r="L861" s="74"/>
      <c r="M861" s="74"/>
      <c r="N861" s="74"/>
      <c r="O861" s="74"/>
      <c r="P861" s="74"/>
      <c r="Q861" s="74"/>
      <c r="R861" s="74"/>
      <c r="S861" s="74"/>
      <c r="T861" s="74"/>
      <c r="U861" s="74"/>
      <c r="V861" s="74"/>
      <c r="W861" s="74"/>
      <c r="X861" s="74"/>
      <c r="Y861" s="74"/>
      <c r="Z861" s="74"/>
    </row>
    <row r="862" spans="1:26" x14ac:dyDescent="0.3">
      <c r="A862" s="66">
        <f t="shared" si="86"/>
        <v>2075.4999999999222</v>
      </c>
      <c r="B862" s="67">
        <f>LOOKUP(A862+0.01,AmountsB!$A$4:$A$103,AmountsB!$B$4:$B$103)*0.1*$A$2</f>
        <v>0</v>
      </c>
      <c r="C862" s="68">
        <f t="shared" si="85"/>
        <v>625969.29735898925</v>
      </c>
      <c r="D862" s="67">
        <f t="array" ref="D862">SUM($B$7:$B857*$F$1009*EXP(-$F$1009*($A862-$A$7:$A857)))*$F$1010</f>
        <v>1315929.0251998436</v>
      </c>
      <c r="E862" s="67">
        <f t="shared" si="83"/>
        <v>2.5087025162490399</v>
      </c>
      <c r="F862" s="70">
        <f t="shared" si="87"/>
        <v>0.15232841678664172</v>
      </c>
      <c r="G862" s="67">
        <f>E862/'Lookup Tables'!$C$48</f>
        <v>5.0174050324980799</v>
      </c>
      <c r="H862" s="70">
        <f t="shared" si="84"/>
        <v>2.1064516232723505E-3</v>
      </c>
      <c r="I862" s="71">
        <f t="shared" si="88"/>
        <v>7.2250632467972357E-3</v>
      </c>
      <c r="L862" s="74"/>
      <c r="M862" s="74"/>
      <c r="N862" s="74"/>
      <c r="O862" s="74"/>
      <c r="P862" s="74"/>
      <c r="Q862" s="74"/>
      <c r="R862" s="74"/>
      <c r="S862" s="74"/>
      <c r="T862" s="74"/>
      <c r="U862" s="74"/>
      <c r="V862" s="74"/>
      <c r="W862" s="74"/>
      <c r="X862" s="74"/>
      <c r="Y862" s="74"/>
      <c r="Z862" s="74"/>
    </row>
    <row r="863" spans="1:26" x14ac:dyDescent="0.3">
      <c r="A863" s="66">
        <f t="shared" si="86"/>
        <v>2075.5999999999221</v>
      </c>
      <c r="B863" s="67">
        <f>LOOKUP(A863+0.01,AmountsB!$A$4:$A$103,AmountsB!$B$4:$B$103)*0.1*$A$2</f>
        <v>0</v>
      </c>
      <c r="C863" s="68">
        <f t="shared" si="85"/>
        <v>625969.29735898925</v>
      </c>
      <c r="D863" s="67">
        <f t="array" ref="D863">SUM($B$7:$B858*$F$1009*EXP(-$F$1009*($A863-$A$7:$A858)))*$F$1010</f>
        <v>1306749.6871887578</v>
      </c>
      <c r="E863" s="67">
        <f t="shared" si="83"/>
        <v>2.4912029186834235</v>
      </c>
      <c r="F863" s="70">
        <f t="shared" si="87"/>
        <v>0.15126584122245748</v>
      </c>
      <c r="G863" s="67">
        <f>E863/'Lookup Tables'!$C$48</f>
        <v>4.9824058373668469</v>
      </c>
      <c r="H863" s="70">
        <f t="shared" si="84"/>
        <v>2.0917579497658472E-3</v>
      </c>
      <c r="I863" s="71">
        <f t="shared" si="88"/>
        <v>7.1746644058082601E-3</v>
      </c>
      <c r="L863" s="74"/>
      <c r="M863" s="74"/>
      <c r="N863" s="74"/>
      <c r="O863" s="74"/>
      <c r="P863" s="74"/>
      <c r="Q863" s="74"/>
      <c r="R863" s="74"/>
      <c r="S863" s="74"/>
      <c r="T863" s="74"/>
      <c r="U863" s="74"/>
      <c r="V863" s="74"/>
      <c r="W863" s="74"/>
      <c r="X863" s="74"/>
      <c r="Y863" s="74"/>
      <c r="Z863" s="74"/>
    </row>
    <row r="864" spans="1:26" x14ac:dyDescent="0.3">
      <c r="A864" s="66">
        <f t="shared" si="86"/>
        <v>2075.6999999999221</v>
      </c>
      <c r="B864" s="67">
        <f>LOOKUP(A864+0.01,AmountsB!$A$4:$A$103,AmountsB!$B$4:$B$103)*0.1*$A$2</f>
        <v>0</v>
      </c>
      <c r="C864" s="68">
        <f t="shared" si="85"/>
        <v>625969.29735898925</v>
      </c>
      <c r="D864" s="67">
        <f t="array" ref="D864">SUM($B$7:$B859*$F$1009*EXP(-$F$1009*($A864-$A$7:$A859)))*$F$1010</f>
        <v>1297634.380173804</v>
      </c>
      <c r="E864" s="67">
        <f t="shared" si="83"/>
        <v>2.4738253905592722</v>
      </c>
      <c r="F864" s="70">
        <f t="shared" si="87"/>
        <v>0.15021067771475902</v>
      </c>
      <c r="G864" s="67">
        <f>E864/'Lookup Tables'!$C$48</f>
        <v>4.9476507811185444</v>
      </c>
      <c r="H864" s="70">
        <f t="shared" si="84"/>
        <v>2.07716677281741E-3</v>
      </c>
      <c r="I864" s="71">
        <f t="shared" si="88"/>
        <v>7.1246171248107041E-3</v>
      </c>
      <c r="L864" s="74"/>
      <c r="M864" s="74"/>
      <c r="N864" s="74"/>
      <c r="O864" s="74"/>
      <c r="P864" s="74"/>
      <c r="Q864" s="74"/>
      <c r="R864" s="74"/>
      <c r="S864" s="74"/>
      <c r="T864" s="74"/>
      <c r="U864" s="74"/>
      <c r="V864" s="74"/>
      <c r="W864" s="74"/>
      <c r="X864" s="74"/>
      <c r="Y864" s="74"/>
      <c r="Z864" s="74"/>
    </row>
    <row r="865" spans="1:26" x14ac:dyDescent="0.3">
      <c r="A865" s="66">
        <f t="shared" si="86"/>
        <v>2075.799999999922</v>
      </c>
      <c r="B865" s="67">
        <f>LOOKUP(A865+0.01,AmountsB!$A$4:$A$103,AmountsB!$B$4:$B$103)*0.1*$A$2</f>
        <v>0</v>
      </c>
      <c r="C865" s="68">
        <f t="shared" si="85"/>
        <v>625969.29735898925</v>
      </c>
      <c r="D865" s="67">
        <f t="array" ref="D865">SUM($B$7:$B860*$F$1009*EXP(-$F$1009*($A865-$A$7:$A860)))*$F$1010</f>
        <v>1288582.6575031138</v>
      </c>
      <c r="E865" s="67">
        <f t="shared" si="83"/>
        <v>2.4565690803742299</v>
      </c>
      <c r="F865" s="70">
        <f t="shared" si="87"/>
        <v>0.14916287456032326</v>
      </c>
      <c r="G865" s="67">
        <f>E865/'Lookup Tables'!$C$48</f>
        <v>4.9131381607484599</v>
      </c>
      <c r="H865" s="70">
        <f t="shared" si="84"/>
        <v>2.0626773774564478E-3</v>
      </c>
      <c r="I865" s="71">
        <f t="shared" si="88"/>
        <v>7.0749189514777823E-3</v>
      </c>
      <c r="L865" s="74"/>
      <c r="M865" s="74"/>
      <c r="N865" s="74"/>
      <c r="O865" s="74"/>
      <c r="P865" s="74"/>
      <c r="Q865" s="74"/>
      <c r="R865" s="74"/>
      <c r="S865" s="74"/>
      <c r="T865" s="74"/>
      <c r="U865" s="74"/>
      <c r="V865" s="74"/>
      <c r="W865" s="74"/>
      <c r="X865" s="74"/>
      <c r="Y865" s="74"/>
      <c r="Z865" s="74"/>
    </row>
    <row r="866" spans="1:26" x14ac:dyDescent="0.3">
      <c r="A866" s="66">
        <f t="shared" si="86"/>
        <v>2075.8999999999219</v>
      </c>
      <c r="B866" s="67">
        <f>LOOKUP(A866+0.01,AmountsB!$A$4:$A$103,AmountsB!$B$4:$B$103)*0.1*$A$2</f>
        <v>0</v>
      </c>
      <c r="C866" s="68">
        <f t="shared" si="85"/>
        <v>625969.29735898925</v>
      </c>
      <c r="D866" s="67">
        <f t="array" ref="D866">SUM($B$7:$B861*$F$1009*EXP(-$F$1009*($A866-$A$7:$A861)))*$F$1010</f>
        <v>1279594.0756404654</v>
      </c>
      <c r="E866" s="67">
        <f t="shared" si="83"/>
        <v>2.4394331425656444</v>
      </c>
      <c r="F866" s="70">
        <f t="shared" si="87"/>
        <v>0.14812238041658593</v>
      </c>
      <c r="G866" s="67">
        <f>E866/'Lookup Tables'!$C$48</f>
        <v>4.8788662851312887</v>
      </c>
      <c r="H866" s="70">
        <f t="shared" si="84"/>
        <v>2.0482890536996879E-3</v>
      </c>
      <c r="I866" s="71">
        <f t="shared" si="88"/>
        <v>7.0255674505890547E-3</v>
      </c>
      <c r="L866" s="74"/>
      <c r="M866" s="74"/>
      <c r="N866" s="74"/>
      <c r="O866" s="74"/>
      <c r="P866" s="74"/>
      <c r="Q866" s="74"/>
      <c r="R866" s="74"/>
      <c r="S866" s="74"/>
      <c r="T866" s="74"/>
      <c r="U866" s="74"/>
      <c r="V866" s="74"/>
      <c r="W866" s="74"/>
      <c r="X866" s="74"/>
      <c r="Y866" s="74"/>
      <c r="Z866" s="74"/>
    </row>
    <row r="867" spans="1:26" x14ac:dyDescent="0.3">
      <c r="A867" s="66">
        <f t="shared" si="86"/>
        <v>2075.9999999999218</v>
      </c>
      <c r="B867" s="67">
        <f>LOOKUP(A867+0.01,AmountsB!$A$4:$A$103,AmountsB!$B$4:$B$103)*0.1*$A$2</f>
        <v>0</v>
      </c>
      <c r="C867" s="68">
        <f t="shared" si="85"/>
        <v>625969.29735898925</v>
      </c>
      <c r="D867" s="67">
        <f t="array" ref="D867">SUM($B$7:$B862*$F$1009*EXP(-$F$1009*($A867-$A$7:$A862)))*$F$1010</f>
        <v>1270668.1941435491</v>
      </c>
      <c r="E867" s="67">
        <f t="shared" si="83"/>
        <v>2.4224167374691357</v>
      </c>
      <c r="F867" s="70">
        <f t="shared" si="87"/>
        <v>0.14708914429912592</v>
      </c>
      <c r="G867" s="67">
        <f>E867/'Lookup Tables'!$C$48</f>
        <v>4.8448334749382713</v>
      </c>
      <c r="H867" s="70">
        <f t="shared" si="84"/>
        <v>2.0340010965163892E-3</v>
      </c>
      <c r="I867" s="71">
        <f t="shared" si="88"/>
        <v>6.9765602039111108E-3</v>
      </c>
      <c r="L867" s="74"/>
      <c r="M867" s="74"/>
      <c r="N867" s="74"/>
      <c r="O867" s="74"/>
      <c r="P867" s="74"/>
      <c r="Q867" s="74"/>
      <c r="R867" s="74"/>
      <c r="S867" s="74"/>
      <c r="T867" s="74"/>
      <c r="U867" s="74"/>
      <c r="V867" s="74"/>
      <c r="W867" s="74"/>
      <c r="X867" s="74"/>
      <c r="Y867" s="74"/>
      <c r="Z867" s="74"/>
    </row>
    <row r="868" spans="1:26" x14ac:dyDescent="0.3">
      <c r="A868" s="66">
        <f t="shared" si="86"/>
        <v>2076.0999999999217</v>
      </c>
      <c r="B868" s="67">
        <f>LOOKUP(A868+0.01,AmountsB!$A$4:$A$103,AmountsB!$B$4:$B$103)*0.1*$A$2</f>
        <v>0</v>
      </c>
      <c r="C868" s="68">
        <f t="shared" si="85"/>
        <v>625969.29735898925</v>
      </c>
      <c r="D868" s="67">
        <f t="array" ref="D868">SUM($B$7:$B863*$F$1009*EXP(-$F$1009*($A868-$A$7:$A863)))*$F$1010</f>
        <v>1261804.5756423855</v>
      </c>
      <c r="E868" s="67">
        <f t="shared" si="83"/>
        <v>2.4055190312774481</v>
      </c>
      <c r="F868" s="70">
        <f t="shared" si="87"/>
        <v>0.14606311557916665</v>
      </c>
      <c r="G868" s="67">
        <f>E868/'Lookup Tables'!$C$48</f>
        <v>4.8110380625548963</v>
      </c>
      <c r="H868" s="70">
        <f t="shared" si="84"/>
        <v>2.0198128057937891E-3</v>
      </c>
      <c r="I868" s="71">
        <f t="shared" si="88"/>
        <v>6.9278948100790503E-3</v>
      </c>
      <c r="L868" s="74"/>
      <c r="M868" s="74"/>
      <c r="N868" s="74"/>
      <c r="O868" s="74"/>
      <c r="P868" s="74"/>
      <c r="Q868" s="74"/>
      <c r="R868" s="74"/>
      <c r="S868" s="74"/>
      <c r="T868" s="74"/>
      <c r="U868" s="74"/>
      <c r="V868" s="74"/>
      <c r="W868" s="74"/>
      <c r="X868" s="74"/>
      <c r="Y868" s="74"/>
      <c r="Z868" s="74"/>
    </row>
    <row r="869" spans="1:26" x14ac:dyDescent="0.3">
      <c r="A869" s="66">
        <f t="shared" si="86"/>
        <v>2076.1999999999216</v>
      </c>
      <c r="B869" s="67">
        <f>LOOKUP(A869+0.01,AmountsB!$A$4:$A$103,AmountsB!$B$4:$B$103)*0.1*$A$2</f>
        <v>0</v>
      </c>
      <c r="C869" s="68">
        <f t="shared" si="85"/>
        <v>625969.29735898925</v>
      </c>
      <c r="D869" s="67">
        <f t="array" ref="D869">SUM($B$7:$B864*$F$1009*EXP(-$F$1009*($A869-$A$7:$A864)))*$F$1010</f>
        <v>1253002.7858178951</v>
      </c>
      <c r="E869" s="67">
        <f t="shared" si="83"/>
        <v>2.3887391959995989</v>
      </c>
      <c r="F869" s="70">
        <f t="shared" si="87"/>
        <v>0.14504424398109564</v>
      </c>
      <c r="G869" s="67">
        <f>E869/'Lookup Tables'!$C$48</f>
        <v>4.7774783919991979</v>
      </c>
      <c r="H869" s="70">
        <f t="shared" si="84"/>
        <v>2.0057234863028049E-3</v>
      </c>
      <c r="I869" s="71">
        <f t="shared" si="88"/>
        <v>6.8795688844788452E-3</v>
      </c>
      <c r="L869" s="74"/>
      <c r="M869" s="74"/>
      <c r="N869" s="74"/>
      <c r="O869" s="74"/>
      <c r="P869" s="74"/>
      <c r="Q869" s="74"/>
      <c r="R869" s="74"/>
      <c r="S869" s="74"/>
      <c r="T869" s="74"/>
      <c r="U869" s="74"/>
      <c r="V869" s="74"/>
      <c r="W869" s="74"/>
      <c r="X869" s="74"/>
      <c r="Y869" s="74"/>
      <c r="Z869" s="74"/>
    </row>
    <row r="870" spans="1:26" x14ac:dyDescent="0.3">
      <c r="A870" s="66">
        <f t="shared" si="86"/>
        <v>2076.2999999999215</v>
      </c>
      <c r="B870" s="67">
        <f>LOOKUP(A870+0.01,AmountsB!$A$4:$A$103,AmountsB!$B$4:$B$103)*0.1*$A$2</f>
        <v>0</v>
      </c>
      <c r="C870" s="68">
        <f t="shared" si="85"/>
        <v>625969.29735898925</v>
      </c>
      <c r="D870" s="67">
        <f t="array" ref="D870">SUM($B$7:$B865*$F$1009*EXP(-$F$1009*($A870-$A$7:$A865)))*$F$1010</f>
        <v>1244262.3933806149</v>
      </c>
      <c r="E870" s="67">
        <f t="shared" si="83"/>
        <v>2.3720764094203006</v>
      </c>
      <c r="F870" s="70">
        <f t="shared" si="87"/>
        <v>0.14403247958000065</v>
      </c>
      <c r="G870" s="67">
        <f>E870/'Lookup Tables'!$C$48</f>
        <v>4.7441528188406012</v>
      </c>
      <c r="H870" s="70">
        <f t="shared" si="84"/>
        <v>1.9917324476639619E-3</v>
      </c>
      <c r="I870" s="71">
        <f t="shared" si="88"/>
        <v>6.8315800591304647E-3</v>
      </c>
      <c r="L870" s="74"/>
      <c r="M870" s="74"/>
      <c r="N870" s="74"/>
      <c r="O870" s="74"/>
      <c r="P870" s="74"/>
      <c r="Q870" s="74"/>
      <c r="R870" s="74"/>
      <c r="S870" s="74"/>
      <c r="T870" s="74"/>
      <c r="U870" s="74"/>
      <c r="V870" s="74"/>
      <c r="W870" s="74"/>
      <c r="X870" s="74"/>
      <c r="Y870" s="74"/>
      <c r="Z870" s="74"/>
    </row>
    <row r="871" spans="1:26" x14ac:dyDescent="0.3">
      <c r="A871" s="66">
        <f t="shared" si="86"/>
        <v>2076.3999999999214</v>
      </c>
      <c r="B871" s="67">
        <f>LOOKUP(A871+0.01,AmountsB!$A$4:$A$103,AmountsB!$B$4:$B$103)*0.1*$A$2</f>
        <v>0</v>
      </c>
      <c r="C871" s="68">
        <f t="shared" si="85"/>
        <v>625969.29735898925</v>
      </c>
      <c r="D871" s="67">
        <f t="array" ref="D871">SUM($B$7:$B866*$F$1009*EXP(-$F$1009*($A871-$A$7:$A866)))*$F$1010</f>
        <v>1235582.9700495671</v>
      </c>
      <c r="E871" s="67">
        <f t="shared" si="83"/>
        <v>2.3555298550596779</v>
      </c>
      <c r="F871" s="70">
        <f t="shared" si="87"/>
        <v>0.14302777279922363</v>
      </c>
      <c r="G871" s="67">
        <f>E871/'Lookup Tables'!$C$48</f>
        <v>4.7110597101193559</v>
      </c>
      <c r="H871" s="70">
        <f t="shared" si="84"/>
        <v>1.9778390043135676E-3</v>
      </c>
      <c r="I871" s="71">
        <f t="shared" si="88"/>
        <v>6.7839259825718725E-3</v>
      </c>
      <c r="L871" s="74"/>
      <c r="M871" s="74"/>
      <c r="N871" s="74"/>
      <c r="O871" s="74"/>
      <c r="P871" s="74"/>
      <c r="Q871" s="74"/>
      <c r="R871" s="74"/>
      <c r="S871" s="74"/>
      <c r="T871" s="74"/>
      <c r="U871" s="74"/>
      <c r="V871" s="74"/>
      <c r="W871" s="74"/>
      <c r="X871" s="74"/>
      <c r="Y871" s="74"/>
      <c r="Z871" s="74"/>
    </row>
    <row r="872" spans="1:26" x14ac:dyDescent="0.3">
      <c r="A872" s="66">
        <f t="shared" si="86"/>
        <v>2076.4999999999213</v>
      </c>
      <c r="B872" s="67">
        <f>LOOKUP(A872+0.01,AmountsB!$A$4:$A$103,AmountsB!$B$4:$B$103)*0.1*$A$2</f>
        <v>0</v>
      </c>
      <c r="C872" s="68">
        <f t="shared" si="85"/>
        <v>625969.29735898925</v>
      </c>
      <c r="D872" s="67">
        <f t="array" ref="D872">SUM($B$7:$B867*$F$1009*EXP(-$F$1009*($A872-$A$7:$A867)))*$F$1010</f>
        <v>1226964.0905312714</v>
      </c>
      <c r="E872" s="67">
        <f t="shared" si="83"/>
        <v>2.3390987221332558</v>
      </c>
      <c r="F872" s="70">
        <f t="shared" si="87"/>
        <v>0.14203007440793128</v>
      </c>
      <c r="G872" s="67">
        <f>E872/'Lookup Tables'!$C$48</f>
        <v>4.6781974442665115</v>
      </c>
      <c r="H872" s="70">
        <f t="shared" si="84"/>
        <v>1.9640424754701169E-3</v>
      </c>
      <c r="I872" s="71">
        <f t="shared" si="88"/>
        <v>6.7366043197437759E-3</v>
      </c>
      <c r="L872" s="74"/>
      <c r="M872" s="74"/>
      <c r="N872" s="74"/>
      <c r="O872" s="74"/>
      <c r="P872" s="74"/>
      <c r="Q872" s="74"/>
      <c r="R872" s="74"/>
      <c r="S872" s="74"/>
      <c r="T872" s="74"/>
      <c r="U872" s="74"/>
      <c r="V872" s="74"/>
      <c r="W872" s="74"/>
      <c r="X872" s="74"/>
      <c r="Y872" s="74"/>
      <c r="Z872" s="74"/>
    </row>
    <row r="873" spans="1:26" x14ac:dyDescent="0.3">
      <c r="A873" s="66">
        <f t="shared" si="86"/>
        <v>2076.5999999999212</v>
      </c>
      <c r="B873" s="67">
        <f>LOOKUP(A873+0.01,AmountsB!$A$4:$A$103,AmountsB!$B$4:$B$103)*0.1*$A$2</f>
        <v>0</v>
      </c>
      <c r="C873" s="68">
        <f t="shared" si="85"/>
        <v>625969.29735898925</v>
      </c>
      <c r="D873" s="67">
        <f t="array" ref="D873">SUM($B$7:$B868*$F$1009*EXP(-$F$1009*($A873-$A$7:$A868)))*$F$1010</f>
        <v>1218405.3324989069</v>
      </c>
      <c r="E873" s="67">
        <f t="shared" si="83"/>
        <v>2.3227822055122331</v>
      </c>
      <c r="F873" s="70">
        <f t="shared" si="87"/>
        <v>0.14103933551870282</v>
      </c>
      <c r="G873" s="67">
        <f>E873/'Lookup Tables'!$C$48</f>
        <v>4.6455644110244663</v>
      </c>
      <c r="H873" s="70">
        <f t="shared" si="84"/>
        <v>1.9503421851009377E-3</v>
      </c>
      <c r="I873" s="71">
        <f t="shared" si="88"/>
        <v>6.6896127518752306E-3</v>
      </c>
      <c r="L873" s="74"/>
      <c r="M873" s="74"/>
      <c r="N873" s="74"/>
      <c r="O873" s="74"/>
      <c r="P873" s="74"/>
      <c r="Q873" s="74"/>
      <c r="R873" s="74"/>
      <c r="S873" s="74"/>
      <c r="T873" s="74"/>
      <c r="U873" s="74"/>
      <c r="V873" s="74"/>
      <c r="W873" s="74"/>
      <c r="X873" s="74"/>
      <c r="Y873" s="74"/>
      <c r="Z873" s="74"/>
    </row>
    <row r="874" spans="1:26" x14ac:dyDescent="0.3">
      <c r="A874" s="66">
        <f t="shared" si="86"/>
        <v>2076.6999999999211</v>
      </c>
      <c r="B874" s="67">
        <f>LOOKUP(A874+0.01,AmountsB!$A$4:$A$103,AmountsB!$B$4:$B$103)*0.1*$A$2</f>
        <v>0</v>
      </c>
      <c r="C874" s="68">
        <f t="shared" si="85"/>
        <v>625969.29735898925</v>
      </c>
      <c r="D874" s="67">
        <f t="array" ref="D874">SUM($B$7:$B869*$F$1009*EXP(-$F$1009*($A874-$A$7:$A869)))*$F$1010</f>
        <v>1209906.2765716179</v>
      </c>
      <c r="E874" s="67">
        <f t="shared" si="83"/>
        <v>2.3065795056840317</v>
      </c>
      <c r="F874" s="70">
        <f t="shared" si="87"/>
        <v>0.14005550758513438</v>
      </c>
      <c r="G874" s="67">
        <f>E874/'Lookup Tables'!$C$48</f>
        <v>4.6131590113680634</v>
      </c>
      <c r="H874" s="70">
        <f t="shared" si="84"/>
        <v>1.9367374618890598E-3</v>
      </c>
      <c r="I874" s="71">
        <f t="shared" si="88"/>
        <v>6.642948976370011E-3</v>
      </c>
      <c r="L874" s="74"/>
      <c r="M874" s="74"/>
      <c r="N874" s="74"/>
      <c r="O874" s="74"/>
      <c r="P874" s="74"/>
      <c r="Q874" s="74"/>
      <c r="R874" s="74"/>
      <c r="S874" s="74"/>
      <c r="T874" s="74"/>
      <c r="U874" s="74"/>
      <c r="V874" s="74"/>
      <c r="W874" s="74"/>
      <c r="X874" s="74"/>
      <c r="Y874" s="74"/>
      <c r="Z874" s="74"/>
    </row>
    <row r="875" spans="1:26" x14ac:dyDescent="0.3">
      <c r="A875" s="66">
        <f t="shared" si="86"/>
        <v>2076.7999999999211</v>
      </c>
      <c r="B875" s="67">
        <f>LOOKUP(A875+0.01,AmountsB!$A$4:$A$103,AmountsB!$B$4:$B$103)*0.1*$A$2</f>
        <v>0</v>
      </c>
      <c r="C875" s="68">
        <f t="shared" si="85"/>
        <v>625969.29735898925</v>
      </c>
      <c r="D875" s="67">
        <f t="array" ref="D875">SUM($B$7:$B870*$F$1009*EXP(-$F$1009*($A875-$A$7:$A870)))*$F$1010</f>
        <v>1201466.5062939634</v>
      </c>
      <c r="E875" s="67">
        <f t="shared" si="83"/>
        <v>2.2904898287131168</v>
      </c>
      <c r="F875" s="70">
        <f t="shared" si="87"/>
        <v>0.13907854239946044</v>
      </c>
      <c r="G875" s="67">
        <f>E875/'Lookup Tables'!$C$48</f>
        <v>4.5809796574262336</v>
      </c>
      <c r="H875" s="70">
        <f t="shared" si="84"/>
        <v>1.9232276392003235E-3</v>
      </c>
      <c r="I875" s="71">
        <f t="shared" si="88"/>
        <v>6.5966107066937757E-3</v>
      </c>
      <c r="L875" s="74"/>
      <c r="M875" s="74"/>
      <c r="N875" s="74"/>
      <c r="O875" s="74"/>
      <c r="P875" s="74"/>
      <c r="Q875" s="74"/>
      <c r="R875" s="74"/>
      <c r="S875" s="74"/>
      <c r="T875" s="74"/>
      <c r="U875" s="74"/>
      <c r="V875" s="74"/>
      <c r="W875" s="74"/>
      <c r="X875" s="74"/>
      <c r="Y875" s="74"/>
      <c r="Z875" s="74"/>
    </row>
    <row r="876" spans="1:26" x14ac:dyDescent="0.3">
      <c r="A876" s="66">
        <f t="shared" si="86"/>
        <v>2076.899999999921</v>
      </c>
      <c r="B876" s="67">
        <f>LOOKUP(A876+0.01,AmountsB!$A$4:$A$103,AmountsB!$B$4:$B$103)*0.1*$A$2</f>
        <v>0</v>
      </c>
      <c r="C876" s="68">
        <f t="shared" si="85"/>
        <v>625969.29735898925</v>
      </c>
      <c r="D876" s="67">
        <f t="array" ref="D876">SUM($B$7:$B871*$F$1009*EXP(-$F$1009*($A876-$A$7:$A871)))*$F$1010</f>
        <v>1193085.6081155108</v>
      </c>
      <c r="E876" s="67">
        <f t="shared" si="83"/>
        <v>2.2745123862020988</v>
      </c>
      <c r="F876" s="70">
        <f t="shared" si="87"/>
        <v>0.13810839209019146</v>
      </c>
      <c r="G876" s="67">
        <f>E876/'Lookup Tables'!$C$48</f>
        <v>4.5490247724041977</v>
      </c>
      <c r="H876" s="70">
        <f t="shared" si="84"/>
        <v>1.909812055050715E-3</v>
      </c>
      <c r="I876" s="71">
        <f t="shared" si="88"/>
        <v>6.5505956722620448E-3</v>
      </c>
      <c r="L876" s="74"/>
      <c r="M876" s="74"/>
      <c r="N876" s="74"/>
      <c r="O876" s="74"/>
      <c r="P876" s="74"/>
      <c r="Q876" s="74"/>
      <c r="R876" s="74"/>
      <c r="S876" s="74"/>
      <c r="T876" s="74"/>
      <c r="U876" s="74"/>
      <c r="V876" s="74"/>
      <c r="W876" s="74"/>
      <c r="X876" s="74"/>
      <c r="Y876" s="74"/>
      <c r="Z876" s="74"/>
    </row>
    <row r="877" spans="1:26" x14ac:dyDescent="0.3">
      <c r="A877" s="66">
        <f t="shared" si="86"/>
        <v>2076.9999999999209</v>
      </c>
      <c r="B877" s="67">
        <f>LOOKUP(A877+0.01,AmountsB!$A$4:$A$103,AmountsB!$B$4:$B$103)*0.1*$A$2</f>
        <v>0</v>
      </c>
      <c r="C877" s="68">
        <f t="shared" si="85"/>
        <v>625969.29735898925</v>
      </c>
      <c r="D877" s="67">
        <f t="array" ref="D877">SUM($B$7:$B872*$F$1009*EXP(-$F$1009*($A877-$A$7:$A872)))*$F$1010</f>
        <v>1184763.1713705724</v>
      </c>
      <c r="E877" s="67">
        <f t="shared" si="83"/>
        <v>2.2586463952530957</v>
      </c>
      <c r="F877" s="70">
        <f t="shared" si="87"/>
        <v>0.13714500911976799</v>
      </c>
      <c r="G877" s="67">
        <f>E877/'Lookup Tables'!$C$48</f>
        <v>4.5172927905061915</v>
      </c>
      <c r="H877" s="70">
        <f t="shared" si="84"/>
        <v>1.8964900520739242E-3</v>
      </c>
      <c r="I877" s="71">
        <f t="shared" si="88"/>
        <v>6.5049016183289163E-3</v>
      </c>
      <c r="L877" s="74"/>
      <c r="M877" s="74"/>
      <c r="N877" s="74"/>
      <c r="O877" s="74"/>
      <c r="P877" s="74"/>
      <c r="Q877" s="74"/>
      <c r="R877" s="74"/>
      <c r="S877" s="74"/>
      <c r="T877" s="74"/>
      <c r="U877" s="74"/>
      <c r="V877" s="74"/>
      <c r="W877" s="74"/>
      <c r="X877" s="74"/>
      <c r="Y877" s="74"/>
      <c r="Z877" s="74"/>
    </row>
    <row r="878" spans="1:26" x14ac:dyDescent="0.3">
      <c r="A878" s="66">
        <f t="shared" si="86"/>
        <v>2077.0999999999208</v>
      </c>
      <c r="B878" s="67">
        <f>LOOKUP(A878+0.01,AmountsB!$A$4:$A$103,AmountsB!$B$4:$B$103)*0.1*$A$2</f>
        <v>0</v>
      </c>
      <c r="C878" s="68">
        <f t="shared" si="85"/>
        <v>625969.29735898925</v>
      </c>
      <c r="D878" s="67">
        <f t="array" ref="D878">SUM($B$7:$B873*$F$1009*EXP(-$F$1009*($A878-$A$7:$A873)))*$F$1010</f>
        <v>1176498.7882580829</v>
      </c>
      <c r="E878" s="67">
        <f t="shared" si="83"/>
        <v>2.2428910784293792</v>
      </c>
      <c r="F878" s="70">
        <f t="shared" si="87"/>
        <v>0.13618834628223192</v>
      </c>
      <c r="G878" s="67">
        <f>E878/'Lookup Tables'!$C$48</f>
        <v>4.4857821568587584</v>
      </c>
      <c r="H878" s="70">
        <f t="shared" si="84"/>
        <v>1.8832609774891425E-3</v>
      </c>
      <c r="I878" s="71">
        <f t="shared" si="88"/>
        <v>6.4595263058766124E-3</v>
      </c>
      <c r="L878" s="74"/>
      <c r="M878" s="74"/>
      <c r="N878" s="74"/>
      <c r="O878" s="74"/>
      <c r="P878" s="74"/>
      <c r="Q878" s="74"/>
      <c r="R878" s="74"/>
      <c r="S878" s="74"/>
      <c r="T878" s="74"/>
      <c r="U878" s="74"/>
      <c r="V878" s="74"/>
      <c r="W878" s="74"/>
      <c r="X878" s="74"/>
      <c r="Y878" s="74"/>
      <c r="Z878" s="74"/>
    </row>
    <row r="879" spans="1:26" x14ac:dyDescent="0.3">
      <c r="A879" s="66">
        <f t="shared" si="86"/>
        <v>2077.1999999999207</v>
      </c>
      <c r="B879" s="67">
        <f>LOOKUP(A879+0.01,AmountsB!$A$4:$A$103,AmountsB!$B$4:$B$103)*0.1*$A$2</f>
        <v>0</v>
      </c>
      <c r="C879" s="68">
        <f t="shared" si="85"/>
        <v>625969.29735898925</v>
      </c>
      <c r="D879" s="67">
        <f t="array" ref="D879">SUM($B$7:$B874*$F$1009*EXP(-$F$1009*($A879-$A$7:$A874)))*$F$1010</f>
        <v>1168292.0538216163</v>
      </c>
      <c r="E879" s="67">
        <f t="shared" si="83"/>
        <v>2.2272456637172713</v>
      </c>
      <c r="F879" s="70">
        <f t="shared" si="87"/>
        <v>0.13523835670091272</v>
      </c>
      <c r="G879" s="67">
        <f>E879/'Lookup Tables'!$C$48</f>
        <v>4.4544913274345426</v>
      </c>
      <c r="H879" s="70">
        <f t="shared" si="84"/>
        <v>1.8701241830690674E-3</v>
      </c>
      <c r="I879" s="71">
        <f t="shared" si="88"/>
        <v>6.4144675115057415E-3</v>
      </c>
      <c r="L879" s="74"/>
      <c r="M879" s="74"/>
      <c r="N879" s="74"/>
      <c r="O879" s="74"/>
      <c r="P879" s="74"/>
      <c r="Q879" s="74"/>
      <c r="R879" s="74"/>
      <c r="S879" s="74"/>
      <c r="T879" s="74"/>
      <c r="U879" s="74"/>
      <c r="V879" s="74"/>
      <c r="W879" s="74"/>
      <c r="X879" s="74"/>
      <c r="Y879" s="74"/>
      <c r="Z879" s="74"/>
    </row>
    <row r="880" spans="1:26" x14ac:dyDescent="0.3">
      <c r="A880" s="66">
        <f t="shared" si="86"/>
        <v>2077.2999999999206</v>
      </c>
      <c r="B880" s="67">
        <f>LOOKUP(A880+0.01,AmountsB!$A$4:$A$103,AmountsB!$B$4:$B$103)*0.1*$A$2</f>
        <v>0</v>
      </c>
      <c r="C880" s="68">
        <f t="shared" si="85"/>
        <v>625969.29735898925</v>
      </c>
      <c r="D880" s="67">
        <f t="array" ref="D880">SUM($B$7:$B875*$F$1009*EXP(-$F$1009*($A880-$A$7:$A875)))*$F$1010</f>
        <v>1160142.565929543</v>
      </c>
      <c r="E880" s="67">
        <f t="shared" si="83"/>
        <v>2.2117093844883207</v>
      </c>
      <c r="F880" s="70">
        <f t="shared" si="87"/>
        <v>0.1342949938261308</v>
      </c>
      <c r="G880" s="67">
        <f>E880/'Lookup Tables'!$C$48</f>
        <v>4.4234187689766413</v>
      </c>
      <c r="H880" s="70">
        <f t="shared" si="84"/>
        <v>1.8570790251081434E-3</v>
      </c>
      <c r="I880" s="71">
        <f t="shared" si="88"/>
        <v>6.3697230273263633E-3</v>
      </c>
      <c r="L880" s="74"/>
      <c r="M880" s="74"/>
      <c r="N880" s="74"/>
      <c r="O880" s="74"/>
      <c r="P880" s="74"/>
      <c r="Q880" s="74"/>
      <c r="R880" s="74"/>
      <c r="S880" s="74"/>
      <c r="T880" s="74"/>
      <c r="U880" s="74"/>
      <c r="V880" s="74"/>
      <c r="W880" s="74"/>
      <c r="X880" s="74"/>
      <c r="Y880" s="74"/>
      <c r="Z880" s="74"/>
    </row>
    <row r="881" spans="1:26" x14ac:dyDescent="0.3">
      <c r="A881" s="66">
        <f t="shared" si="86"/>
        <v>2077.3999999999205</v>
      </c>
      <c r="B881" s="67">
        <f>LOOKUP(A881+0.01,AmountsB!$A$4:$A$103,AmountsB!$B$4:$B$103)*0.1*$A$2</f>
        <v>0</v>
      </c>
      <c r="C881" s="68">
        <f t="shared" si="85"/>
        <v>625969.29735898925</v>
      </c>
      <c r="D881" s="67">
        <f t="array" ref="D881">SUM($B$7:$B876*$F$1009*EXP(-$F$1009*($A881-$A$7:$A876)))*$F$1010</f>
        <v>1152049.9252553256</v>
      </c>
      <c r="E881" s="67">
        <f t="shared" si="83"/>
        <v>2.1962814794617369</v>
      </c>
      <c r="F881" s="70">
        <f t="shared" si="87"/>
        <v>0.13335821143291668</v>
      </c>
      <c r="G881" s="67">
        <f>E881/'Lookup Tables'!$C$48</f>
        <v>4.3925629589234738</v>
      </c>
      <c r="H881" s="70">
        <f t="shared" si="84"/>
        <v>1.8441248643910212E-3</v>
      </c>
      <c r="I881" s="71">
        <f t="shared" si="88"/>
        <v>6.3252906608498019E-3</v>
      </c>
      <c r="L881" s="74"/>
      <c r="M881" s="74"/>
      <c r="N881" s="74"/>
      <c r="O881" s="74"/>
      <c r="P881" s="74"/>
      <c r="Q881" s="74"/>
      <c r="R881" s="74"/>
      <c r="S881" s="74"/>
      <c r="T881" s="74"/>
      <c r="U881" s="74"/>
      <c r="V881" s="74"/>
      <c r="W881" s="74"/>
      <c r="X881" s="74"/>
      <c r="Y881" s="74"/>
      <c r="Z881" s="74"/>
    </row>
    <row r="882" spans="1:26" x14ac:dyDescent="0.3">
      <c r="A882" s="66">
        <f t="shared" si="86"/>
        <v>2077.4999999999204</v>
      </c>
      <c r="B882" s="67">
        <f>LOOKUP(A882+0.01,AmountsB!$A$4:$A$103,AmountsB!$B$4:$B$103)*0.1*$A$2</f>
        <v>0</v>
      </c>
      <c r="C882" s="68">
        <f t="shared" si="85"/>
        <v>625969.29735898925</v>
      </c>
      <c r="D882" s="67">
        <f t="array" ref="D882">SUM($B$7:$B877*$F$1009*EXP(-$F$1009*($A882-$A$7:$A877)))*$F$1010</f>
        <v>1144013.735257952</v>
      </c>
      <c r="E882" s="67">
        <f t="shared" si="83"/>
        <v>2.1809611926670862</v>
      </c>
      <c r="F882" s="70">
        <f t="shared" si="87"/>
        <v>0.13242796361874548</v>
      </c>
      <c r="G882" s="67">
        <f>E882/'Lookup Tables'!$C$48</f>
        <v>4.3619223853341724</v>
      </c>
      <c r="H882" s="70">
        <f t="shared" si="84"/>
        <v>1.8312610661612332E-3</v>
      </c>
      <c r="I882" s="71">
        <f t="shared" si="88"/>
        <v>6.2811682348812084E-3</v>
      </c>
      <c r="L882" s="74"/>
      <c r="M882" s="74"/>
      <c r="N882" s="74"/>
      <c r="O882" s="74"/>
      <c r="P882" s="74"/>
      <c r="Q882" s="74"/>
      <c r="R882" s="74"/>
      <c r="S882" s="74"/>
      <c r="T882" s="74"/>
      <c r="U882" s="74"/>
      <c r="V882" s="74"/>
      <c r="W882" s="74"/>
      <c r="X882" s="74"/>
      <c r="Y882" s="74"/>
      <c r="Z882" s="74"/>
    </row>
    <row r="883" spans="1:26" x14ac:dyDescent="0.3">
      <c r="A883" s="66">
        <f t="shared" si="86"/>
        <v>2077.5999999999203</v>
      </c>
      <c r="B883" s="67">
        <f>LOOKUP(A883+0.01,AmountsB!$A$4:$A$103,AmountsB!$B$4:$B$103)*0.1*$A$2</f>
        <v>0</v>
      </c>
      <c r="C883" s="68">
        <f t="shared" si="85"/>
        <v>625969.29735898925</v>
      </c>
      <c r="D883" s="67">
        <f t="array" ref="D883">SUM($B$7:$B878*$F$1009*EXP(-$F$1009*($A883-$A$7:$A878)))*$F$1010</f>
        <v>1136033.6021625041</v>
      </c>
      <c r="E883" s="67">
        <f t="shared" si="83"/>
        <v>2.1657477734072503</v>
      </c>
      <c r="F883" s="70">
        <f t="shared" si="87"/>
        <v>0.13150420480128827</v>
      </c>
      <c r="G883" s="67">
        <f>E883/'Lookup Tables'!$C$48</f>
        <v>4.3314955468145007</v>
      </c>
      <c r="H883" s="70">
        <f t="shared" si="84"/>
        <v>1.8184870000900917E-3</v>
      </c>
      <c r="I883" s="71">
        <f t="shared" si="88"/>
        <v>6.2373535874128815E-3</v>
      </c>
      <c r="L883" s="74"/>
      <c r="M883" s="74"/>
      <c r="N883" s="74"/>
      <c r="O883" s="74"/>
      <c r="P883" s="74"/>
      <c r="Q883" s="74"/>
      <c r="R883" s="74"/>
      <c r="S883" s="74"/>
      <c r="T883" s="74"/>
      <c r="U883" s="74"/>
      <c r="V883" s="74"/>
      <c r="W883" s="74"/>
      <c r="X883" s="74"/>
      <c r="Y883" s="74"/>
      <c r="Z883" s="74"/>
    </row>
    <row r="884" spans="1:26" x14ac:dyDescent="0.3">
      <c r="A884" s="66">
        <f t="shared" si="86"/>
        <v>2077.6999999999202</v>
      </c>
      <c r="B884" s="67">
        <f>LOOKUP(A884+0.01,AmountsB!$A$4:$A$103,AmountsB!$B$4:$B$103)*0.1*$A$2</f>
        <v>0</v>
      </c>
      <c r="C884" s="68">
        <f t="shared" si="85"/>
        <v>625969.29735898925</v>
      </c>
      <c r="D884" s="67">
        <f t="array" ref="D884">SUM($B$7:$B879*$F$1009*EXP(-$F$1009*($A884-$A$7:$A879)))*$F$1010</f>
        <v>1128109.1349408641</v>
      </c>
      <c r="E884" s="67">
        <f t="shared" si="83"/>
        <v>2.1506404762216427</v>
      </c>
      <c r="F884" s="70">
        <f t="shared" si="87"/>
        <v>0.13058688971617816</v>
      </c>
      <c r="G884" s="67">
        <f>E884/'Lookup Tables'!$C$48</f>
        <v>4.3012809524432853</v>
      </c>
      <c r="H884" s="70">
        <f t="shared" si="84"/>
        <v>1.8058020402458045E-3</v>
      </c>
      <c r="I884" s="71">
        <f t="shared" si="88"/>
        <v>6.1938445715183314E-3</v>
      </c>
      <c r="L884" s="74"/>
      <c r="M884" s="74"/>
      <c r="N884" s="74"/>
      <c r="O884" s="74"/>
      <c r="P884" s="74"/>
      <c r="Q884" s="74"/>
      <c r="R884" s="74"/>
      <c r="S884" s="74"/>
      <c r="T884" s="74"/>
      <c r="U884" s="74"/>
      <c r="V884" s="74"/>
      <c r="W884" s="74"/>
      <c r="X884" s="74"/>
      <c r="Y884" s="74"/>
      <c r="Z884" s="74"/>
    </row>
    <row r="885" spans="1:26" x14ac:dyDescent="0.3">
      <c r="A885" s="66">
        <f t="shared" si="86"/>
        <v>2077.7999999999201</v>
      </c>
      <c r="B885" s="67">
        <f>LOOKUP(A885+0.01,AmountsB!$A$4:$A$103,AmountsB!$B$4:$B$103)*0.1*$A$2</f>
        <v>0</v>
      </c>
      <c r="C885" s="68">
        <f t="shared" si="85"/>
        <v>625969.29735898925</v>
      </c>
      <c r="D885" s="67">
        <f t="array" ref="D885">SUM($B$7:$B880*$F$1009*EXP(-$F$1009*($A885-$A$7:$A880)))*$F$1010</f>
        <v>1120239.9452925525</v>
      </c>
      <c r="E885" s="67">
        <f t="shared" si="83"/>
        <v>2.1356385608496775</v>
      </c>
      <c r="F885" s="70">
        <f t="shared" si="87"/>
        <v>0.12967597341479242</v>
      </c>
      <c r="G885" s="67">
        <f>E885/'Lookup Tables'!$C$48</f>
        <v>4.271277121699355</v>
      </c>
      <c r="H885" s="70">
        <f t="shared" si="84"/>
        <v>1.7932055650628006E-3</v>
      </c>
      <c r="I885" s="71">
        <f t="shared" si="88"/>
        <v>6.1506390552470711E-3</v>
      </c>
      <c r="L885" s="74"/>
      <c r="M885" s="74"/>
      <c r="N885" s="74"/>
      <c r="O885" s="74"/>
      <c r="P885" s="74"/>
      <c r="Q885" s="74"/>
      <c r="R885" s="74"/>
      <c r="S885" s="74"/>
      <c r="T885" s="74"/>
      <c r="U885" s="74"/>
      <c r="V885" s="74"/>
      <c r="W885" s="74"/>
      <c r="X885" s="74"/>
      <c r="Y885" s="74"/>
      <c r="Z885" s="74"/>
    </row>
    <row r="886" spans="1:26" x14ac:dyDescent="0.3">
      <c r="A886" s="66">
        <f t="shared" si="86"/>
        <v>2077.8999999999201</v>
      </c>
      <c r="B886" s="67">
        <f>LOOKUP(A886+0.01,AmountsB!$A$4:$A$103,AmountsB!$B$4:$B$103)*0.1*$A$2</f>
        <v>0</v>
      </c>
      <c r="C886" s="68">
        <f t="shared" si="85"/>
        <v>625969.29735898925</v>
      </c>
      <c r="D886" s="67">
        <f t="array" ref="D886">SUM($B$7:$B881*$F$1009*EXP(-$F$1009*($A886-$A$7:$A881)))*$F$1010</f>
        <v>1112425.647625702</v>
      </c>
      <c r="E886" s="67">
        <f t="shared" si="83"/>
        <v>2.1207412921945008</v>
      </c>
      <c r="F886" s="70">
        <f t="shared" si="87"/>
        <v>0.12877141126205008</v>
      </c>
      <c r="G886" s="67">
        <f>E886/'Lookup Tables'!$C$48</f>
        <v>4.2414825843890016</v>
      </c>
      <c r="H886" s="70">
        <f t="shared" si="84"/>
        <v>1.7806969573112763E-3</v>
      </c>
      <c r="I886" s="71">
        <f t="shared" si="88"/>
        <v>6.1077349215201623E-3</v>
      </c>
      <c r="L886" s="74"/>
      <c r="M886" s="74"/>
      <c r="N886" s="74"/>
      <c r="O886" s="74"/>
      <c r="P886" s="74"/>
      <c r="Q886" s="74"/>
      <c r="R886" s="74"/>
      <c r="S886" s="74"/>
      <c r="T886" s="74"/>
      <c r="U886" s="74"/>
      <c r="V886" s="74"/>
      <c r="W886" s="74"/>
      <c r="X886" s="74"/>
      <c r="Y886" s="74"/>
      <c r="Z886" s="74"/>
    </row>
    <row r="887" spans="1:26" x14ac:dyDescent="0.3">
      <c r="A887" s="66">
        <f t="shared" si="86"/>
        <v>2077.99999999992</v>
      </c>
      <c r="B887" s="67">
        <f>LOOKUP(A887+0.01,AmountsB!$A$4:$A$103,AmountsB!$B$4:$B$103)*0.1*$A$2</f>
        <v>0</v>
      </c>
      <c r="C887" s="68">
        <f t="shared" si="85"/>
        <v>625969.29735898925</v>
      </c>
      <c r="D887" s="67">
        <f t="array" ref="D887">SUM($B$7:$B882*$F$1009*EXP(-$F$1009*($A887-$A$7:$A882)))*$F$1010</f>
        <v>1104665.859038163</v>
      </c>
      <c r="E887" s="67">
        <f t="shared" si="83"/>
        <v>2.105947940286967</v>
      </c>
      <c r="F887" s="70">
        <f t="shared" si="87"/>
        <v>0.12787315893422463</v>
      </c>
      <c r="G887" s="67">
        <f>E887/'Lookup Tables'!$C$48</f>
        <v>4.2118958805739339</v>
      </c>
      <c r="H887" s="70">
        <f t="shared" si="84"/>
        <v>1.7682756040669483E-3</v>
      </c>
      <c r="I887" s="71">
        <f t="shared" si="88"/>
        <v>6.0651300680264648E-3</v>
      </c>
      <c r="L887" s="74"/>
      <c r="M887" s="74"/>
      <c r="N887" s="74"/>
      <c r="O887" s="74"/>
      <c r="P887" s="74"/>
      <c r="Q887" s="74"/>
      <c r="R887" s="74"/>
      <c r="S887" s="74"/>
      <c r="T887" s="74"/>
      <c r="U887" s="74"/>
      <c r="V887" s="74"/>
      <c r="W887" s="74"/>
      <c r="X887" s="74"/>
      <c r="Y887" s="74"/>
      <c r="Z887" s="74"/>
    </row>
    <row r="888" spans="1:26" x14ac:dyDescent="0.3">
      <c r="A888" s="66">
        <f t="shared" si="86"/>
        <v>2078.0999999999199</v>
      </c>
      <c r="B888" s="67">
        <f>LOOKUP(A888+0.01,AmountsB!$A$4:$A$103,AmountsB!$B$4:$B$103)*0.1*$A$2</f>
        <v>0</v>
      </c>
      <c r="C888" s="68">
        <f t="shared" si="85"/>
        <v>625969.29735898925</v>
      </c>
      <c r="D888" s="67">
        <f t="array" ref="D888">SUM($B$7:$B883*$F$1009*EXP(-$F$1009*($A888-$A$7:$A883)))*$F$1010</f>
        <v>1096960.1992987422</v>
      </c>
      <c r="E888" s="67">
        <f t="shared" si="83"/>
        <v>2.091257780249872</v>
      </c>
      <c r="F888" s="70">
        <f t="shared" si="87"/>
        <v>0.12698117241677223</v>
      </c>
      <c r="G888" s="67">
        <f>E888/'Lookup Tables'!$C$48</f>
        <v>4.1825155604997439</v>
      </c>
      <c r="H888" s="70">
        <f t="shared" si="84"/>
        <v>1.7559408966810216E-3</v>
      </c>
      <c r="I888" s="71">
        <f t="shared" si="88"/>
        <v>6.0228224071196311E-3</v>
      </c>
      <c r="L888" s="74"/>
      <c r="M888" s="74"/>
      <c r="N888" s="74"/>
      <c r="O888" s="74"/>
      <c r="P888" s="74"/>
      <c r="Q888" s="74"/>
      <c r="R888" s="74"/>
      <c r="S888" s="74"/>
      <c r="T888" s="74"/>
      <c r="U888" s="74"/>
      <c r="V888" s="74"/>
      <c r="W888" s="74"/>
      <c r="X888" s="74"/>
      <c r="Y888" s="74"/>
      <c r="Z888" s="74"/>
    </row>
    <row r="889" spans="1:26" x14ac:dyDescent="0.3">
      <c r="A889" s="66">
        <f t="shared" si="86"/>
        <v>2078.1999999999198</v>
      </c>
      <c r="B889" s="67">
        <f>LOOKUP(A889+0.01,AmountsB!$A$4:$A$103,AmountsB!$B$4:$B$103)*0.1*$A$2</f>
        <v>0</v>
      </c>
      <c r="C889" s="68">
        <f t="shared" si="85"/>
        <v>625969.29735898925</v>
      </c>
      <c r="D889" s="67">
        <f t="array" ref="D889">SUM($B$7:$B884*$F$1009*EXP(-$F$1009*($A889-$A$7:$A884)))*$F$1010</f>
        <v>1089308.2908285712</v>
      </c>
      <c r="E889" s="67">
        <f t="shared" si="83"/>
        <v>2.0766700922624364</v>
      </c>
      <c r="F889" s="70">
        <f t="shared" si="87"/>
        <v>0.12609540800217514</v>
      </c>
      <c r="G889" s="67">
        <f>E889/'Lookup Tables'!$C$48</f>
        <v>4.1533401845248727</v>
      </c>
      <c r="H889" s="70">
        <f t="shared" si="84"/>
        <v>1.7436922307503683E-3</v>
      </c>
      <c r="I889" s="71">
        <f t="shared" si="88"/>
        <v>5.9808098657158169E-3</v>
      </c>
      <c r="L889" s="74"/>
      <c r="M889" s="74"/>
      <c r="N889" s="74"/>
      <c r="O889" s="74"/>
      <c r="P889" s="74"/>
      <c r="Q889" s="74"/>
      <c r="R889" s="74"/>
      <c r="S889" s="74"/>
      <c r="T889" s="74"/>
      <c r="U889" s="74"/>
      <c r="V889" s="74"/>
      <c r="W889" s="74"/>
      <c r="X889" s="74"/>
      <c r="Y889" s="74"/>
      <c r="Z889" s="74"/>
    </row>
    <row r="890" spans="1:26" x14ac:dyDescent="0.3">
      <c r="A890" s="66">
        <f t="shared" si="86"/>
        <v>2078.2999999999197</v>
      </c>
      <c r="B890" s="67">
        <f>LOOKUP(A890+0.01,AmountsB!$A$4:$A$103,AmountsB!$B$4:$B$103)*0.1*$A$2</f>
        <v>0</v>
      </c>
      <c r="C890" s="68">
        <f t="shared" si="85"/>
        <v>625969.29735898925</v>
      </c>
      <c r="D890" s="67">
        <f t="array" ref="D890">SUM($B$7:$B885*$F$1009*EXP(-$F$1009*($A890-$A$7:$A885)))*$F$1010</f>
        <v>1081709.7586826035</v>
      </c>
      <c r="E890" s="67">
        <f t="shared" si="83"/>
        <v>2.0621841615250296</v>
      </c>
      <c r="F890" s="70">
        <f t="shared" si="87"/>
        <v>0.12521582228779982</v>
      </c>
      <c r="G890" s="67">
        <f>E890/'Lookup Tables'!$C$48</f>
        <v>4.1243683230500592</v>
      </c>
      <c r="H890" s="70">
        <f t="shared" si="84"/>
        <v>1.7315290060879061E-3</v>
      </c>
      <c r="I890" s="71">
        <f t="shared" si="88"/>
        <v>5.9390903851920859E-3</v>
      </c>
      <c r="L890" s="74"/>
      <c r="M890" s="74"/>
      <c r="N890" s="74"/>
      <c r="O890" s="74"/>
      <c r="P890" s="74"/>
      <c r="Q890" s="74"/>
      <c r="R890" s="74"/>
      <c r="S890" s="74"/>
      <c r="T890" s="74"/>
      <c r="U890" s="74"/>
      <c r="V890" s="74"/>
      <c r="W890" s="74"/>
      <c r="X890" s="74"/>
      <c r="Y890" s="74"/>
      <c r="Z890" s="74"/>
    </row>
    <row r="891" spans="1:26" x14ac:dyDescent="0.3">
      <c r="A891" s="66">
        <f t="shared" si="86"/>
        <v>2078.3999999999196</v>
      </c>
      <c r="B891" s="67">
        <f>LOOKUP(A891+0.01,AmountsB!$A$4:$A$103,AmountsB!$B$4:$B$103)*0.1*$A$2</f>
        <v>0</v>
      </c>
      <c r="C891" s="68">
        <f t="shared" si="85"/>
        <v>625969.29735898925</v>
      </c>
      <c r="D891" s="67">
        <f t="array" ref="D891">SUM($B$7:$B886*$F$1009*EXP(-$F$1009*($A891-$A$7:$A886)))*$F$1010</f>
        <v>1074164.2305312431</v>
      </c>
      <c r="E891" s="67">
        <f t="shared" si="83"/>
        <v>2.0477992782241459</v>
      </c>
      <c r="F891" s="70">
        <f t="shared" si="87"/>
        <v>0.12434237217377013</v>
      </c>
      <c r="G891" s="67">
        <f>E891/'Lookup Tables'!$C$48</f>
        <v>4.0955985564482917</v>
      </c>
      <c r="H891" s="70">
        <f t="shared" si="84"/>
        <v>1.7194506266931921E-3</v>
      </c>
      <c r="I891" s="71">
        <f t="shared" si="88"/>
        <v>5.8976619212855403E-3</v>
      </c>
      <c r="L891" s="74"/>
      <c r="M891" s="74"/>
      <c r="N891" s="74"/>
      <c r="O891" s="74"/>
      <c r="P891" s="74"/>
      <c r="Q891" s="74"/>
      <c r="R891" s="74"/>
      <c r="S891" s="74"/>
      <c r="T891" s="74"/>
      <c r="U891" s="74"/>
      <c r="V891" s="74"/>
      <c r="W891" s="74"/>
      <c r="X891" s="74"/>
      <c r="Y891" s="74"/>
      <c r="Z891" s="74"/>
    </row>
    <row r="892" spans="1:26" x14ac:dyDescent="0.3">
      <c r="A892" s="66">
        <f t="shared" si="86"/>
        <v>2078.4999999999195</v>
      </c>
      <c r="B892" s="67">
        <f>LOOKUP(A892+0.01,AmountsB!$A$4:$A$103,AmountsB!$B$4:$B$103)*0.1*$A$2</f>
        <v>0</v>
      </c>
      <c r="C892" s="68">
        <f t="shared" si="85"/>
        <v>625969.29735898925</v>
      </c>
      <c r="D892" s="67">
        <f t="array" ref="D892">SUM($B$7:$B887*$F$1009*EXP(-$F$1009*($A892-$A$7:$A887)))*$F$1010</f>
        <v>1066671.3366421021</v>
      </c>
      <c r="E892" s="67">
        <f t="shared" si="83"/>
        <v>2.0335147374976272</v>
      </c>
      <c r="F892" s="70">
        <f t="shared" si="87"/>
        <v>0.12347501486085592</v>
      </c>
      <c r="G892" s="67">
        <f>E892/'Lookup Tables'!$C$48</f>
        <v>4.0670294749952545</v>
      </c>
      <c r="H892" s="70">
        <f t="shared" si="84"/>
        <v>1.7074565007232205E-3</v>
      </c>
      <c r="I892" s="71">
        <f t="shared" si="88"/>
        <v>5.8565224439931663E-3</v>
      </c>
      <c r="L892" s="74"/>
      <c r="M892" s="74"/>
      <c r="N892" s="74"/>
      <c r="O892" s="74"/>
      <c r="P892" s="74"/>
      <c r="Q892" s="74"/>
      <c r="R892" s="74"/>
      <c r="S892" s="74"/>
      <c r="T892" s="74"/>
      <c r="U892" s="74"/>
      <c r="V892" s="74"/>
      <c r="W892" s="74"/>
      <c r="X892" s="74"/>
      <c r="Y892" s="74"/>
      <c r="Z892" s="74"/>
    </row>
    <row r="893" spans="1:26" x14ac:dyDescent="0.3">
      <c r="A893" s="66">
        <f t="shared" si="86"/>
        <v>2078.5999999999194</v>
      </c>
      <c r="B893" s="67">
        <f>LOOKUP(A893+0.01,AmountsB!$A$4:$A$103,AmountsB!$B$4:$B$103)*0.1*$A$2</f>
        <v>0</v>
      </c>
      <c r="C893" s="68">
        <f t="shared" si="85"/>
        <v>625969.29735898925</v>
      </c>
      <c r="D893" s="67">
        <f t="array" ref="D893">SUM($B$7:$B888*$F$1009*EXP(-$F$1009*($A893-$A$7:$A888)))*$F$1010</f>
        <v>1059230.7098618795</v>
      </c>
      <c r="E893" s="67">
        <f t="shared" si="83"/>
        <v>2.0193298394001178</v>
      </c>
      <c r="F893" s="70">
        <f t="shared" si="87"/>
        <v>0.12261370784837515</v>
      </c>
      <c r="G893" s="67">
        <f>E893/'Lookup Tables'!$C$48</f>
        <v>4.0386596788002356</v>
      </c>
      <c r="H893" s="70">
        <f t="shared" si="84"/>
        <v>1.6955460404634176E-3</v>
      </c>
      <c r="I893" s="71">
        <f t="shared" si="88"/>
        <v>5.8156699374723392E-3</v>
      </c>
      <c r="L893" s="74"/>
      <c r="M893" s="74"/>
      <c r="N893" s="74"/>
      <c r="O893" s="74"/>
      <c r="P893" s="74"/>
      <c r="Q893" s="74"/>
      <c r="R893" s="74"/>
      <c r="S893" s="74"/>
      <c r="T893" s="74"/>
      <c r="U893" s="74"/>
      <c r="V893" s="74"/>
      <c r="W893" s="74"/>
      <c r="X893" s="74"/>
      <c r="Y893" s="74"/>
      <c r="Z893" s="74"/>
    </row>
    <row r="894" spans="1:26" x14ac:dyDescent="0.3">
      <c r="A894" s="66">
        <f t="shared" si="86"/>
        <v>2078.6999999999193</v>
      </c>
      <c r="B894" s="67">
        <f>LOOKUP(A894+0.01,AmountsB!$A$4:$A$103,AmountsB!$B$4:$B$103)*0.1*$A$2</f>
        <v>0</v>
      </c>
      <c r="C894" s="68">
        <f t="shared" si="85"/>
        <v>625969.29735898925</v>
      </c>
      <c r="D894" s="67">
        <f t="array" ref="D894">SUM($B$7:$B889*$F$1009*EXP(-$F$1009*($A894-$A$7:$A889)))*$F$1010</f>
        <v>1051841.9855983749</v>
      </c>
      <c r="E894" s="67">
        <f t="shared" si="83"/>
        <v>2.0052438888687742</v>
      </c>
      <c r="F894" s="70">
        <f t="shared" si="87"/>
        <v>0.12175840893211197</v>
      </c>
      <c r="G894" s="67">
        <f>E894/'Lookup Tables'!$C$48</f>
        <v>4.0104877777375485</v>
      </c>
      <c r="H894" s="70">
        <f t="shared" si="84"/>
        <v>1.6837186622988489E-3</v>
      </c>
      <c r="I894" s="71">
        <f t="shared" si="88"/>
        <v>5.7751023999420698E-3</v>
      </c>
      <c r="L894" s="74"/>
      <c r="M894" s="74"/>
      <c r="N894" s="74"/>
      <c r="O894" s="74"/>
      <c r="P894" s="74"/>
      <c r="Q894" s="74"/>
      <c r="R894" s="74"/>
      <c r="S894" s="74"/>
      <c r="T894" s="74"/>
      <c r="U894" s="74"/>
      <c r="V894" s="74"/>
      <c r="W894" s="74"/>
      <c r="X894" s="74"/>
      <c r="Y894" s="74"/>
      <c r="Z894" s="74"/>
    </row>
    <row r="895" spans="1:26" x14ac:dyDescent="0.3">
      <c r="A895" s="66">
        <f t="shared" si="86"/>
        <v>2078.7999999999192</v>
      </c>
      <c r="B895" s="67">
        <f>LOOKUP(A895+0.01,AmountsB!$A$4:$A$103,AmountsB!$B$4:$B$103)*0.1*$A$2</f>
        <v>0</v>
      </c>
      <c r="C895" s="68">
        <f t="shared" si="85"/>
        <v>625969.29735898925</v>
      </c>
      <c r="D895" s="67">
        <f t="array" ref="D895">SUM($B$7:$B890*$F$1009*EXP(-$F$1009*($A895-$A$7:$A890)))*$F$1010</f>
        <v>1044504.8018026209</v>
      </c>
      <c r="E895" s="67">
        <f t="shared" si="83"/>
        <v>1.9912561956892012</v>
      </c>
      <c r="F895" s="70">
        <f t="shared" si="87"/>
        <v>0.12090907620224829</v>
      </c>
      <c r="G895" s="67">
        <f>E895/'Lookup Tables'!$C$48</f>
        <v>3.9825123913784024</v>
      </c>
      <c r="H895" s="70">
        <f t="shared" si="84"/>
        <v>1.6719737866856168E-3</v>
      </c>
      <c r="I895" s="71">
        <f t="shared" si="88"/>
        <v>5.7348178435848995E-3</v>
      </c>
      <c r="L895" s="74"/>
      <c r="M895" s="74"/>
      <c r="N895" s="74"/>
      <c r="O895" s="74"/>
      <c r="P895" s="74"/>
      <c r="Q895" s="74"/>
      <c r="R895" s="74"/>
      <c r="S895" s="74"/>
      <c r="T895" s="74"/>
      <c r="U895" s="74"/>
      <c r="V895" s="74"/>
      <c r="W895" s="74"/>
      <c r="X895" s="74"/>
      <c r="Y895" s="74"/>
      <c r="Z895" s="74"/>
    </row>
    <row r="896" spans="1:26" x14ac:dyDescent="0.3">
      <c r="A896" s="66">
        <f t="shared" si="86"/>
        <v>2078.8999999999191</v>
      </c>
      <c r="B896" s="67">
        <f>LOOKUP(A896+0.01,AmountsB!$A$4:$A$103,AmountsB!$B$4:$B$103)*0.1*$A$2</f>
        <v>0</v>
      </c>
      <c r="C896" s="68">
        <f t="shared" si="85"/>
        <v>625969.29735898925</v>
      </c>
      <c r="D896" s="67">
        <f t="array" ref="D896">SUM($B$7:$B891*$F$1009*EXP(-$F$1009*($A896-$A$7:$A891)))*$F$1010</f>
        <v>1037218.7989511432</v>
      </c>
      <c r="E896" s="67">
        <f t="shared" si="83"/>
        <v>1.9773660744616344</v>
      </c>
      <c r="F896" s="70">
        <f t="shared" si="87"/>
        <v>0.12006566804131043</v>
      </c>
      <c r="G896" s="67">
        <f>E896/'Lookup Tables'!$C$48</f>
        <v>3.9547321489232687</v>
      </c>
      <c r="H896" s="70">
        <f t="shared" si="84"/>
        <v>1.6603108381224665E-3</v>
      </c>
      <c r="I896" s="71">
        <f t="shared" si="88"/>
        <v>5.6948142944495067E-3</v>
      </c>
      <c r="L896" s="74"/>
      <c r="M896" s="74"/>
      <c r="N896" s="74"/>
      <c r="O896" s="74"/>
      <c r="P896" s="74"/>
      <c r="Q896" s="74"/>
      <c r="R896" s="74"/>
      <c r="S896" s="74"/>
      <c r="T896" s="74"/>
      <c r="U896" s="74"/>
      <c r="V896" s="74"/>
      <c r="W896" s="74"/>
      <c r="X896" s="74"/>
      <c r="Y896" s="74"/>
      <c r="Z896" s="74"/>
    </row>
    <row r="897" spans="1:26" x14ac:dyDescent="0.3">
      <c r="A897" s="66">
        <f t="shared" si="86"/>
        <v>2078.9999999999191</v>
      </c>
      <c r="B897" s="67">
        <f>LOOKUP(A897+0.01,AmountsB!$A$4:$A$103,AmountsB!$B$4:$B$103)*0.1*$A$2</f>
        <v>0</v>
      </c>
      <c r="C897" s="68">
        <f t="shared" si="85"/>
        <v>625969.29735898925</v>
      </c>
      <c r="D897" s="67">
        <f t="array" ref="D897">SUM($B$7:$B892*$F$1009*EXP(-$F$1009*($A897-$A$7:$A892)))*$F$1010</f>
        <v>1029983.6200283448</v>
      </c>
      <c r="E897" s="67">
        <f t="shared" si="83"/>
        <v>1.963572844567355</v>
      </c>
      <c r="F897" s="70">
        <f t="shared" si="87"/>
        <v>0.1192281431221298</v>
      </c>
      <c r="G897" s="67">
        <f>E897/'Lookup Tables'!$C$48</f>
        <v>3.9271456891347101</v>
      </c>
      <c r="H897" s="70">
        <f t="shared" si="84"/>
        <v>1.6487292451225859E-3</v>
      </c>
      <c r="I897" s="71">
        <f t="shared" si="88"/>
        <v>5.6550897923539822E-3</v>
      </c>
      <c r="L897" s="74"/>
      <c r="M897" s="74"/>
      <c r="N897" s="74"/>
      <c r="O897" s="74"/>
      <c r="P897" s="74"/>
      <c r="Q897" s="74"/>
      <c r="R897" s="74"/>
      <c r="S897" s="74"/>
      <c r="T897" s="74"/>
      <c r="U897" s="74"/>
      <c r="V897" s="74"/>
      <c r="W897" s="74"/>
      <c r="X897" s="74"/>
      <c r="Y897" s="74"/>
      <c r="Z897" s="74"/>
    </row>
    <row r="898" spans="1:26" x14ac:dyDescent="0.3">
      <c r="A898" s="66">
        <f t="shared" si="86"/>
        <v>2079.099999999919</v>
      </c>
      <c r="B898" s="67">
        <f>LOOKUP(A898+0.01,AmountsB!$A$4:$A$103,AmountsB!$B$4:$B$103)*0.1*$A$2</f>
        <v>0</v>
      </c>
      <c r="C898" s="68">
        <f t="shared" si="85"/>
        <v>625969.29735898925</v>
      </c>
      <c r="D898" s="67">
        <f t="array" ref="D898">SUM($B$7:$B893*$F$1009*EXP(-$F$1009*($A898-$A$7:$A893)))*$F$1010</f>
        <v>1022798.9105090103</v>
      </c>
      <c r="E898" s="67">
        <f t="shared" si="83"/>
        <v>1.9498758301353376</v>
      </c>
      <c r="F898" s="70">
        <f t="shared" si="87"/>
        <v>0.11839646040581771</v>
      </c>
      <c r="G898" s="67">
        <f>E898/'Lookup Tables'!$C$48</f>
        <v>3.8997516602706752</v>
      </c>
      <c r="H898" s="70">
        <f t="shared" si="84"/>
        <v>1.637228440185599E-3</v>
      </c>
      <c r="I898" s="71">
        <f t="shared" si="88"/>
        <v>5.6156423907897726E-3</v>
      </c>
      <c r="L898" s="74"/>
      <c r="M898" s="74"/>
      <c r="N898" s="74"/>
      <c r="O898" s="74"/>
      <c r="P898" s="74"/>
      <c r="Q898" s="74"/>
      <c r="R898" s="74"/>
      <c r="S898" s="74"/>
      <c r="T898" s="74"/>
      <c r="U898" s="74"/>
      <c r="V898" s="74"/>
      <c r="W898" s="74"/>
      <c r="X898" s="74"/>
      <c r="Y898" s="74"/>
      <c r="Z898" s="74"/>
    </row>
    <row r="899" spans="1:26" x14ac:dyDescent="0.3">
      <c r="A899" s="66">
        <f t="shared" si="86"/>
        <v>2079.1999999999189</v>
      </c>
      <c r="B899" s="67">
        <f>LOOKUP(A899+0.01,AmountsB!$A$4:$A$103,AmountsB!$B$4:$B$103)*0.1*$A$2</f>
        <v>0</v>
      </c>
      <c r="C899" s="68">
        <f t="shared" si="85"/>
        <v>625969.29735898925</v>
      </c>
      <c r="D899" s="67">
        <f t="array" ref="D899">SUM($B$7:$B894*$F$1009*EXP(-$F$1009*($A899-$A$7:$A894)))*$F$1010</f>
        <v>1015664.3183409363</v>
      </c>
      <c r="E899" s="67">
        <f t="shared" si="83"/>
        <v>1.9362743600091354</v>
      </c>
      <c r="F899" s="70">
        <f t="shared" si="87"/>
        <v>0.1175705791397547</v>
      </c>
      <c r="G899" s="67">
        <f>E899/'Lookup Tables'!$C$48</f>
        <v>3.8725487200182709</v>
      </c>
      <c r="H899" s="70">
        <f t="shared" si="84"/>
        <v>1.6258078597697644E-3</v>
      </c>
      <c r="I899" s="71">
        <f t="shared" si="88"/>
        <v>5.5764701568263098E-3</v>
      </c>
      <c r="L899" s="74"/>
      <c r="M899" s="74"/>
      <c r="N899" s="74"/>
      <c r="O899" s="74"/>
      <c r="P899" s="74"/>
      <c r="Q899" s="74"/>
      <c r="R899" s="74"/>
      <c r="S899" s="74"/>
      <c r="T899" s="74"/>
      <c r="U899" s="74"/>
      <c r="V899" s="74"/>
      <c r="W899" s="74"/>
      <c r="X899" s="74"/>
      <c r="Y899" s="74"/>
      <c r="Z899" s="74"/>
    </row>
    <row r="900" spans="1:26" x14ac:dyDescent="0.3">
      <c r="A900" s="66">
        <f t="shared" si="86"/>
        <v>2079.2999999999188</v>
      </c>
      <c r="B900" s="67">
        <f>LOOKUP(A900+0.01,AmountsB!$A$4:$A$103,AmountsB!$B$4:$B$103)*0.1*$A$2</f>
        <v>0</v>
      </c>
      <c r="C900" s="68">
        <f t="shared" si="85"/>
        <v>625969.29735898925</v>
      </c>
      <c r="D900" s="67">
        <f t="array" ref="D900">SUM($B$7:$B895*$F$1009*EXP(-$F$1009*($A900-$A$7:$A895)))*$F$1010</f>
        <v>1008579.4939276786</v>
      </c>
      <c r="E900" s="67">
        <f t="shared" si="83"/>
        <v>1.9227677677139903</v>
      </c>
      <c r="F900" s="70">
        <f t="shared" si="87"/>
        <v>0.11675045885559349</v>
      </c>
      <c r="G900" s="67">
        <f>E900/'Lookup Tables'!$C$48</f>
        <v>3.8455355354279805</v>
      </c>
      <c r="H900" s="70">
        <f t="shared" si="84"/>
        <v>1.6144669442643559E-3</v>
      </c>
      <c r="I900" s="71">
        <f t="shared" si="88"/>
        <v>5.5375711710162921E-3</v>
      </c>
      <c r="L900" s="74"/>
      <c r="M900" s="74"/>
      <c r="N900" s="74"/>
      <c r="O900" s="74"/>
      <c r="P900" s="74"/>
      <c r="Q900" s="74"/>
      <c r="R900" s="74"/>
      <c r="S900" s="74"/>
      <c r="T900" s="74"/>
      <c r="U900" s="74"/>
      <c r="V900" s="74"/>
      <c r="W900" s="74"/>
      <c r="X900" s="74"/>
      <c r="Y900" s="74"/>
      <c r="Z900" s="74"/>
    </row>
    <row r="901" spans="1:26" x14ac:dyDescent="0.3">
      <c r="A901" s="66">
        <f t="shared" si="86"/>
        <v>2079.3999999999187</v>
      </c>
      <c r="B901" s="67">
        <f>LOOKUP(A901+0.01,AmountsB!$A$4:$A$103,AmountsB!$B$4:$B$103)*0.1*$A$2</f>
        <v>0</v>
      </c>
      <c r="C901" s="68">
        <f t="shared" si="85"/>
        <v>625969.29735898925</v>
      </c>
      <c r="D901" s="67">
        <f t="array" ref="D901">SUM($B$7:$B896*$F$1009*EXP(-$F$1009*($A901-$A$7:$A896)))*$F$1010</f>
        <v>1001544.0901114237</v>
      </c>
      <c r="E901" s="67">
        <f t="shared" si="83"/>
        <v>1.9093553914241777</v>
      </c>
      <c r="F901" s="70">
        <f t="shared" si="87"/>
        <v>0.11593605936727606</v>
      </c>
      <c r="G901" s="67">
        <f>E901/'Lookup Tables'!$C$48</f>
        <v>3.8187107828483553</v>
      </c>
      <c r="H901" s="70">
        <f t="shared" si="84"/>
        <v>1.6032051379622448E-3</v>
      </c>
      <c r="I901" s="71">
        <f t="shared" si="88"/>
        <v>5.4989435273016312E-3</v>
      </c>
      <c r="L901" s="74"/>
      <c r="M901" s="74"/>
      <c r="N901" s="74"/>
      <c r="O901" s="74"/>
      <c r="P901" s="74"/>
      <c r="Q901" s="74"/>
      <c r="R901" s="74"/>
      <c r="S901" s="74"/>
      <c r="T901" s="74"/>
      <c r="U901" s="74"/>
      <c r="V901" s="74"/>
      <c r="W901" s="74"/>
      <c r="X901" s="74"/>
      <c r="Y901" s="74"/>
      <c r="Z901" s="74"/>
    </row>
    <row r="902" spans="1:26" x14ac:dyDescent="0.3">
      <c r="A902" s="66">
        <f t="shared" si="86"/>
        <v>2079.4999999999186</v>
      </c>
      <c r="B902" s="67">
        <f>LOOKUP(A902+0.01,AmountsB!$A$4:$A$103,AmountsB!$B$4:$B$103)*0.1*$A$2</f>
        <v>0</v>
      </c>
      <c r="C902" s="68">
        <f t="shared" si="85"/>
        <v>625969.29735898925</v>
      </c>
      <c r="D902" s="67">
        <f t="array" ref="D902">SUM($B$7:$B897*$F$1009*EXP(-$F$1009*($A902-$A$7:$A897)))*$F$1010</f>
        <v>994557.76215597626</v>
      </c>
      <c r="E902" s="67">
        <f t="shared" si="83"/>
        <v>1.8960365739305745</v>
      </c>
      <c r="F902" s="70">
        <f t="shared" si="87"/>
        <v>0.11512734076906449</v>
      </c>
      <c r="G902" s="67">
        <f>E902/'Lookup Tables'!$C$48</f>
        <v>3.7920731478611489</v>
      </c>
      <c r="H902" s="70">
        <f t="shared" si="84"/>
        <v>1.5920218890326681E-3</v>
      </c>
      <c r="I902" s="71">
        <f t="shared" si="88"/>
        <v>5.4605853329200548E-3</v>
      </c>
      <c r="L902" s="74"/>
      <c r="M902" s="74"/>
      <c r="N902" s="74"/>
      <c r="O902" s="74"/>
      <c r="P902" s="74"/>
      <c r="Q902" s="74"/>
      <c r="R902" s="74"/>
      <c r="S902" s="74"/>
      <c r="T902" s="74"/>
      <c r="U902" s="74"/>
      <c r="V902" s="74"/>
      <c r="W902" s="74"/>
      <c r="X902" s="74"/>
      <c r="Y902" s="74"/>
      <c r="Z902" s="74"/>
    </row>
    <row r="903" spans="1:26" x14ac:dyDescent="0.3">
      <c r="A903" s="66">
        <f t="shared" si="86"/>
        <v>2079.5999999999185</v>
      </c>
      <c r="B903" s="67">
        <f>LOOKUP(A903+0.01,AmountsB!$A$4:$A$103,AmountsB!$B$4:$B$103)*0.1*$A$2</f>
        <v>0</v>
      </c>
      <c r="C903" s="68">
        <f t="shared" si="85"/>
        <v>625969.29735898925</v>
      </c>
      <c r="D903" s="67">
        <f t="array" ref="D903">SUM($B$7:$B898*$F$1009*EXP(-$F$1009*($A903-$A$7:$A898)))*$F$1010</f>
        <v>987620.16772986948</v>
      </c>
      <c r="E903" s="67">
        <f t="shared" ref="E903:E966" si="89">D903/(365*24*60)*1.00201</f>
        <v>1.88281066260846</v>
      </c>
      <c r="F903" s="70">
        <f t="shared" si="87"/>
        <v>0.11432426343358569</v>
      </c>
      <c r="G903" s="67">
        <f>E903/'Lookup Tables'!$C$48</f>
        <v>3.7656213252169199</v>
      </c>
      <c r="H903" s="70">
        <f t="shared" ref="H903:H966" si="90">G903*60*24*365/(C903*2000)</f>
        <v>1.5809166494941914E-3</v>
      </c>
      <c r="I903" s="71">
        <f t="shared" si="88"/>
        <v>5.4224947083123644E-3</v>
      </c>
      <c r="L903" s="74"/>
      <c r="M903" s="74"/>
      <c r="N903" s="74"/>
      <c r="O903" s="74"/>
      <c r="P903" s="74"/>
      <c r="Q903" s="74"/>
      <c r="R903" s="74"/>
      <c r="S903" s="74"/>
      <c r="T903" s="74"/>
      <c r="U903" s="74"/>
      <c r="V903" s="74"/>
      <c r="W903" s="74"/>
      <c r="X903" s="74"/>
      <c r="Y903" s="74"/>
      <c r="Z903" s="74"/>
    </row>
    <row r="904" spans="1:26" x14ac:dyDescent="0.3">
      <c r="A904" s="66">
        <f t="shared" si="86"/>
        <v>2079.6999999999184</v>
      </c>
      <c r="B904" s="67">
        <f>LOOKUP(A904+0.01,AmountsB!$A$4:$A$103,AmountsB!$B$4:$B$103)*0.1*$A$2</f>
        <v>0</v>
      </c>
      <c r="C904" s="68">
        <f t="shared" si="85"/>
        <v>625969.29735898925</v>
      </c>
      <c r="D904" s="67">
        <f t="array" ref="D904">SUM($B$7:$B899*$F$1009*EXP(-$F$1009*($A904-$A$7:$A899)))*$F$1010</f>
        <v>980730.96688958805</v>
      </c>
      <c r="E904" s="67">
        <f t="shared" si="89"/>
        <v>1.8696770093855331</v>
      </c>
      <c r="F904" s="70">
        <f t="shared" si="87"/>
        <v>0.11352678800988956</v>
      </c>
      <c r="G904" s="67">
        <f>E904/'Lookup Tables'!$C$48</f>
        <v>3.7393540187710661</v>
      </c>
      <c r="H904" s="70">
        <f t="shared" si="90"/>
        <v>1.569888875187856E-3</v>
      </c>
      <c r="I904" s="71">
        <f t="shared" si="88"/>
        <v>5.3846697870303349E-3</v>
      </c>
      <c r="L904" s="74"/>
      <c r="M904" s="74"/>
      <c r="N904" s="74"/>
      <c r="O904" s="74"/>
      <c r="P904" s="74"/>
      <c r="Q904" s="74"/>
      <c r="R904" s="74"/>
      <c r="S904" s="74"/>
      <c r="T904" s="74"/>
      <c r="U904" s="74"/>
      <c r="V904" s="74"/>
      <c r="W904" s="74"/>
      <c r="X904" s="74"/>
      <c r="Y904" s="74"/>
      <c r="Z904" s="74"/>
    </row>
    <row r="905" spans="1:26" x14ac:dyDescent="0.3">
      <c r="A905" s="66">
        <f t="shared" si="86"/>
        <v>2079.7999999999183</v>
      </c>
      <c r="B905" s="67">
        <f>LOOKUP(A905+0.01,AmountsB!$A$4:$A$103,AmountsB!$B$4:$B$103)*0.1*$A$2</f>
        <v>0</v>
      </c>
      <c r="C905" s="68">
        <f t="shared" ref="C905:C968" si="91">C904+B905</f>
        <v>625969.29735898925</v>
      </c>
      <c r="D905" s="67">
        <f t="array" ref="D905">SUM($B$7:$B900*$F$1009*EXP(-$F$1009*($A905-$A$7:$A900)))*$F$1010</f>
        <v>973889.82206291263</v>
      </c>
      <c r="E905" s="67">
        <f t="shared" si="89"/>
        <v>1.8566349707101582</v>
      </c>
      <c r="F905" s="70">
        <f t="shared" si="87"/>
        <v>0.1127348754215208</v>
      </c>
      <c r="G905" s="67">
        <f>E905/'Lookup Tables'!$C$48</f>
        <v>3.7132699414203163</v>
      </c>
      <c r="H905" s="70">
        <f t="shared" si="90"/>
        <v>1.5589380257505141E-3</v>
      </c>
      <c r="I905" s="71">
        <f t="shared" si="88"/>
        <v>5.3471087156452555E-3</v>
      </c>
      <c r="L905" s="74"/>
      <c r="M905" s="74"/>
      <c r="N905" s="74"/>
      <c r="O905" s="74"/>
      <c r="P905" s="74"/>
      <c r="Q905" s="74"/>
      <c r="R905" s="74"/>
      <c r="S905" s="74"/>
      <c r="T905" s="74"/>
      <c r="U905" s="74"/>
      <c r="V905" s="74"/>
      <c r="W905" s="74"/>
      <c r="X905" s="74"/>
      <c r="Y905" s="74"/>
      <c r="Z905" s="74"/>
    </row>
    <row r="906" spans="1:26" x14ac:dyDescent="0.3">
      <c r="A906" s="66">
        <f t="shared" si="86"/>
        <v>2079.8999999999182</v>
      </c>
      <c r="B906" s="67">
        <f>LOOKUP(A906+0.01,AmountsB!$A$4:$A$103,AmountsB!$B$4:$B$103)*0.1*$A$2</f>
        <v>0</v>
      </c>
      <c r="C906" s="68">
        <f t="shared" si="91"/>
        <v>625969.29735898925</v>
      </c>
      <c r="D906" s="67">
        <f t="array" ref="D906">SUM($B$7:$B901*$F$1009*EXP(-$F$1009*($A906-$A$7:$A901)))*$F$1010</f>
        <v>967096.39803237736</v>
      </c>
      <c r="E906" s="67">
        <f t="shared" si="89"/>
        <v>1.8436839075198297</v>
      </c>
      <c r="F906" s="70">
        <f t="shared" si="87"/>
        <v>0.11194848686460407</v>
      </c>
      <c r="G906" s="67">
        <f>E906/'Lookup Tables'!$C$48</f>
        <v>3.6873678150396594</v>
      </c>
      <c r="H906" s="70">
        <f t="shared" si="90"/>
        <v>1.5480635645883515E-3</v>
      </c>
      <c r="I906" s="71">
        <f t="shared" si="88"/>
        <v>5.3098096536571097E-3</v>
      </c>
      <c r="L906" s="74"/>
      <c r="M906" s="74"/>
      <c r="N906" s="74"/>
      <c r="O906" s="74"/>
      <c r="P906" s="74"/>
      <c r="Q906" s="74"/>
      <c r="R906" s="74"/>
      <c r="S906" s="74"/>
      <c r="T906" s="74"/>
      <c r="U906" s="74"/>
      <c r="V906" s="74"/>
      <c r="W906" s="74"/>
      <c r="X906" s="74"/>
      <c r="Y906" s="74"/>
      <c r="Z906" s="74"/>
    </row>
    <row r="907" spans="1:26" x14ac:dyDescent="0.3">
      <c r="A907" s="66">
        <f t="shared" si="86"/>
        <v>2079.9999999999181</v>
      </c>
      <c r="B907" s="67">
        <f>LOOKUP(A907+0.01,AmountsB!$A$4:$A$103,AmountsB!$B$4:$B$103)*0.1*$A$2</f>
        <v>0</v>
      </c>
      <c r="C907" s="68">
        <f t="shared" si="91"/>
        <v>625969.29735898925</v>
      </c>
      <c r="D907" s="67">
        <f t="array" ref="D907">SUM($B$7:$B902*$F$1009*EXP(-$F$1009*($A907-$A$7:$A902)))*$F$1010</f>
        <v>960350.3619188458</v>
      </c>
      <c r="E907" s="67">
        <f t="shared" si="89"/>
        <v>1.8308231852098606</v>
      </c>
      <c r="F907" s="70">
        <f t="shared" si="87"/>
        <v>0.11116758380594273</v>
      </c>
      <c r="G907" s="67">
        <f>E907/'Lookup Tables'!$C$48</f>
        <v>3.6616463704197213</v>
      </c>
      <c r="H907" s="70">
        <f t="shared" si="90"/>
        <v>1.5372649588505953E-3</v>
      </c>
      <c r="I907" s="71">
        <f t="shared" si="88"/>
        <v>5.2727707734043982E-3</v>
      </c>
      <c r="L907" s="74"/>
      <c r="M907" s="74"/>
      <c r="N907" s="74"/>
      <c r="O907" s="74"/>
      <c r="P907" s="74"/>
      <c r="Q907" s="74"/>
      <c r="R907" s="74"/>
      <c r="S907" s="74"/>
      <c r="T907" s="74"/>
      <c r="U907" s="74"/>
      <c r="V907" s="74"/>
      <c r="W907" s="74"/>
      <c r="X907" s="74"/>
      <c r="Y907" s="74"/>
      <c r="Z907" s="74"/>
    </row>
    <row r="908" spans="1:26" x14ac:dyDescent="0.3">
      <c r="A908" s="66">
        <f t="shared" si="86"/>
        <v>2080.0999999999181</v>
      </c>
      <c r="B908" s="67">
        <f>LOOKUP(A908+0.01,AmountsB!$A$4:$A$103,AmountsB!$B$4:$B$103)*0.1*$A$2</f>
        <v>0</v>
      </c>
      <c r="C908" s="68">
        <f t="shared" si="91"/>
        <v>625969.29735898925</v>
      </c>
      <c r="D908" s="67">
        <f t="array" ref="D908">SUM($B$7:$B903*$F$1009*EXP(-$F$1009*($A908-$A$7:$A903)))*$F$1010</f>
        <v>953651.38316519896</v>
      </c>
      <c r="E908" s="67">
        <f t="shared" si="89"/>
        <v>1.8180521736022852</v>
      </c>
      <c r="F908" s="70">
        <f t="shared" si="87"/>
        <v>0.11039212798113077</v>
      </c>
      <c r="G908" s="67">
        <f>E908/'Lookup Tables'!$C$48</f>
        <v>3.6361043472045704</v>
      </c>
      <c r="H908" s="70">
        <f t="shared" si="90"/>
        <v>1.5265416794034055E-3</v>
      </c>
      <c r="I908" s="71">
        <f t="shared" si="88"/>
        <v>5.2359902599745812E-3</v>
      </c>
      <c r="L908" s="74"/>
      <c r="M908" s="74"/>
      <c r="N908" s="74"/>
      <c r="O908" s="74"/>
      <c r="P908" s="74"/>
      <c r="Q908" s="74"/>
      <c r="R908" s="74"/>
      <c r="S908" s="74"/>
      <c r="T908" s="74"/>
      <c r="U908" s="74"/>
      <c r="V908" s="74"/>
      <c r="W908" s="74"/>
      <c r="X908" s="74"/>
      <c r="Y908" s="74"/>
      <c r="Z908" s="74"/>
    </row>
    <row r="909" spans="1:26" x14ac:dyDescent="0.3">
      <c r="A909" s="66">
        <f t="shared" si="86"/>
        <v>2080.199999999918</v>
      </c>
      <c r="B909" s="67">
        <f>LOOKUP(A909+0.01,AmountsB!$A$4:$A$103,AmountsB!$B$4:$B$103)*0.1*$A$2</f>
        <v>0</v>
      </c>
      <c r="C909" s="68">
        <f t="shared" si="91"/>
        <v>625969.29735898925</v>
      </c>
      <c r="D909" s="67">
        <f t="array" ref="D909">SUM($B$7:$B904*$F$1009*EXP(-$F$1009*($A909-$A$7:$A904)))*$F$1010</f>
        <v>946999.13352013694</v>
      </c>
      <c r="E909" s="67">
        <f t="shared" si="89"/>
        <v>1.8053702469149782</v>
      </c>
      <c r="F909" s="70">
        <f t="shared" si="87"/>
        <v>0.10962208139267747</v>
      </c>
      <c r="G909" s="67">
        <f>E909/'Lookup Tables'!$C$48</f>
        <v>3.6107404938299563</v>
      </c>
      <c r="H909" s="70">
        <f t="shared" si="90"/>
        <v>1.5158932008039415E-3</v>
      </c>
      <c r="I909" s="71">
        <f t="shared" si="88"/>
        <v>5.1994663111151369E-3</v>
      </c>
      <c r="L909" s="74"/>
      <c r="M909" s="74"/>
      <c r="N909" s="74"/>
      <c r="O909" s="74"/>
      <c r="P909" s="74"/>
      <c r="Q909" s="74"/>
      <c r="R909" s="74"/>
      <c r="S909" s="74"/>
      <c r="T909" s="74"/>
      <c r="U909" s="74"/>
      <c r="V909" s="74"/>
      <c r="W909" s="74"/>
      <c r="X909" s="74"/>
      <c r="Y909" s="74"/>
      <c r="Z909" s="74"/>
    </row>
    <row r="910" spans="1:26" x14ac:dyDescent="0.3">
      <c r="A910" s="66">
        <f t="shared" si="86"/>
        <v>2080.2999999999179</v>
      </c>
      <c r="B910" s="67">
        <f>LOOKUP(A910+0.01,AmountsB!$A$4:$A$103,AmountsB!$B$4:$B$103)*0.1*$A$2</f>
        <v>0</v>
      </c>
      <c r="C910" s="68">
        <f t="shared" si="91"/>
        <v>625969.29735898925</v>
      </c>
      <c r="D910" s="67">
        <f t="array" ref="D910">SUM($B$7:$B905*$F$1009*EXP(-$F$1009*($A910-$A$7:$A905)))*$F$1010</f>
        <v>940393.28702209634</v>
      </c>
      <c r="E910" s="67">
        <f t="shared" si="89"/>
        <v>1.7927767837309947</v>
      </c>
      <c r="F910" s="70">
        <f t="shared" si="87"/>
        <v>0.108857406308146</v>
      </c>
      <c r="G910" s="67">
        <f>E910/'Lookup Tables'!$C$48</f>
        <v>3.5855535674619894</v>
      </c>
      <c r="H910" s="70">
        <f t="shared" si="90"/>
        <v>1.5053190012746227E-3</v>
      </c>
      <c r="I910" s="71">
        <f t="shared" si="88"/>
        <v>5.1631971371452652E-3</v>
      </c>
      <c r="L910" s="74"/>
      <c r="M910" s="74"/>
      <c r="N910" s="74"/>
      <c r="O910" s="74"/>
      <c r="P910" s="74"/>
      <c r="Q910" s="74"/>
      <c r="R910" s="74"/>
      <c r="S910" s="74"/>
      <c r="T910" s="74"/>
      <c r="U910" s="74"/>
      <c r="V910" s="74"/>
      <c r="W910" s="74"/>
      <c r="X910" s="74"/>
      <c r="Y910" s="74"/>
      <c r="Z910" s="74"/>
    </row>
    <row r="911" spans="1:26" x14ac:dyDescent="0.3">
      <c r="A911" s="66">
        <f t="shared" si="86"/>
        <v>2080.3999999999178</v>
      </c>
      <c r="B911" s="67">
        <f>LOOKUP(A911+0.01,AmountsB!$A$4:$A$103,AmountsB!$B$4:$B$103)*0.1*$A$2</f>
        <v>0</v>
      </c>
      <c r="C911" s="68">
        <f t="shared" si="91"/>
        <v>625969.29735898925</v>
      </c>
      <c r="D911" s="67">
        <f t="array" ref="D911">SUM($B$7:$B906*$F$1009*EXP(-$F$1009*($A911-$A$7:$A906)))*$F$1010</f>
        <v>933833.51998327707</v>
      </c>
      <c r="E911" s="67">
        <f t="shared" si="89"/>
        <v>1.7802711669681193</v>
      </c>
      <c r="F911" s="70">
        <f t="shared" si="87"/>
        <v>0.10809806525830419</v>
      </c>
      <c r="G911" s="67">
        <f>E911/'Lookup Tables'!$C$48</f>
        <v>3.5605423339362385</v>
      </c>
      <c r="H911" s="70">
        <f t="shared" si="90"/>
        <v>1.4948185626775553E-3</v>
      </c>
      <c r="I911" s="71">
        <f t="shared" si="88"/>
        <v>5.127180960868183E-3</v>
      </c>
      <c r="L911" s="74"/>
      <c r="M911" s="74"/>
      <c r="N911" s="74"/>
      <c r="O911" s="74"/>
      <c r="P911" s="74"/>
      <c r="Q911" s="74"/>
      <c r="R911" s="74"/>
      <c r="S911" s="74"/>
      <c r="T911" s="74"/>
      <c r="U911" s="74"/>
      <c r="V911" s="74"/>
      <c r="W911" s="74"/>
      <c r="X911" s="74"/>
      <c r="Y911" s="74"/>
      <c r="Z911" s="74"/>
    </row>
    <row r="912" spans="1:26" x14ac:dyDescent="0.3">
      <c r="A912" s="66">
        <f t="shared" si="86"/>
        <v>2080.4999999999177</v>
      </c>
      <c r="B912" s="67">
        <f>LOOKUP(A912+0.01,AmountsB!$A$4:$A$103,AmountsB!$B$4:$B$103)*0.1*$A$2</f>
        <v>0</v>
      </c>
      <c r="C912" s="68">
        <f t="shared" si="91"/>
        <v>625969.29735898925</v>
      </c>
      <c r="D912" s="67">
        <f t="array" ref="D912">SUM($B$7:$B907*$F$1009*EXP(-$F$1009*($A912-$A$7:$A907)))*$F$1010</f>
        <v>927319.51097378181</v>
      </c>
      <c r="E912" s="67">
        <f t="shared" si="89"/>
        <v>1.7678527838486284</v>
      </c>
      <c r="F912" s="70">
        <f t="shared" si="87"/>
        <v>0.10734402103528873</v>
      </c>
      <c r="G912" s="67">
        <f>E912/'Lookup Tables'!$C$48</f>
        <v>3.5357055676972569</v>
      </c>
      <c r="H912" s="70">
        <f t="shared" si="90"/>
        <v>1.4843913704891481E-3</v>
      </c>
      <c r="I912" s="71">
        <f t="shared" si="88"/>
        <v>5.0914160174840503E-3</v>
      </c>
      <c r="L912" s="74"/>
      <c r="M912" s="74"/>
      <c r="N912" s="74"/>
      <c r="O912" s="74"/>
      <c r="P912" s="74"/>
      <c r="Q912" s="74"/>
      <c r="R912" s="74"/>
      <c r="S912" s="74"/>
      <c r="T912" s="74"/>
      <c r="U912" s="74"/>
      <c r="V912" s="74"/>
      <c r="W912" s="74"/>
      <c r="X912" s="74"/>
      <c r="Y912" s="74"/>
      <c r="Z912" s="74"/>
    </row>
    <row r="913" spans="1:26" x14ac:dyDescent="0.3">
      <c r="A913" s="66">
        <f t="shared" si="86"/>
        <v>2080.5999999999176</v>
      </c>
      <c r="B913" s="67">
        <f>LOOKUP(A913+0.01,AmountsB!$A$4:$A$103,AmountsB!$B$4:$B$103)*0.1*$A$2</f>
        <v>0</v>
      </c>
      <c r="C913" s="68">
        <f t="shared" si="91"/>
        <v>625969.29735898925</v>
      </c>
      <c r="D913" s="67">
        <f t="array" ref="D913">SUM($B$7:$B908*$F$1009*EXP(-$F$1009*($A913-$A$7:$A908)))*$F$1010</f>
        <v>920850.94080586545</v>
      </c>
      <c r="E913" s="67">
        <f t="shared" si="89"/>
        <v>1.7555210258692642</v>
      </c>
      <c r="F913" s="70">
        <f t="shared" si="87"/>
        <v>0.10659523669078172</v>
      </c>
      <c r="G913" s="67">
        <f>E913/'Lookup Tables'!$C$48</f>
        <v>3.5110420517385283</v>
      </c>
      <c r="H913" s="70">
        <f t="shared" si="90"/>
        <v>1.4740369137748969E-3</v>
      </c>
      <c r="I913" s="71">
        <f t="shared" si="88"/>
        <v>5.0559005545034808E-3</v>
      </c>
      <c r="L913" s="74"/>
      <c r="M913" s="74"/>
      <c r="N913" s="74"/>
      <c r="O913" s="74"/>
      <c r="P913" s="74"/>
      <c r="Q913" s="74"/>
      <c r="R913" s="74"/>
      <c r="S913" s="74"/>
      <c r="T913" s="74"/>
      <c r="U913" s="74"/>
      <c r="V913" s="74"/>
      <c r="W913" s="74"/>
      <c r="X913" s="74"/>
      <c r="Y913" s="74"/>
      <c r="Z913" s="74"/>
    </row>
    <row r="914" spans="1:26" x14ac:dyDescent="0.3">
      <c r="A914" s="66">
        <f t="shared" si="86"/>
        <v>2080.6999999999175</v>
      </c>
      <c r="B914" s="67">
        <f>LOOKUP(A914+0.01,AmountsB!$A$4:$A$103,AmountsB!$B$4:$B$103)*0.1*$A$2</f>
        <v>0</v>
      </c>
      <c r="C914" s="68">
        <f t="shared" si="91"/>
        <v>625969.29735898925</v>
      </c>
      <c r="D914" s="67">
        <f t="array" ref="D914">SUM($B$7:$B909*$F$1009*EXP(-$F$1009*($A914-$A$7:$A909)))*$F$1010</f>
        <v>914427.49251829577</v>
      </c>
      <c r="E914" s="67">
        <f t="shared" si="89"/>
        <v>1.7432752887714187</v>
      </c>
      <c r="F914" s="70">
        <f t="shared" si="87"/>
        <v>0.10585167553420055</v>
      </c>
      <c r="G914" s="67">
        <f>E914/'Lookup Tables'!$C$48</f>
        <v>3.4865505775428374</v>
      </c>
      <c r="H914" s="70">
        <f t="shared" si="90"/>
        <v>1.4637546851643515E-3</v>
      </c>
      <c r="I914" s="71">
        <f t="shared" si="88"/>
        <v>5.0206328316616854E-3</v>
      </c>
      <c r="L914" s="74"/>
      <c r="M914" s="74"/>
      <c r="N914" s="74"/>
      <c r="O914" s="74"/>
      <c r="P914" s="74"/>
      <c r="Q914" s="74"/>
      <c r="R914" s="74"/>
      <c r="S914" s="74"/>
      <c r="T914" s="74"/>
      <c r="U914" s="74"/>
      <c r="V914" s="74"/>
      <c r="W914" s="74"/>
      <c r="X914" s="74"/>
      <c r="Y914" s="74"/>
      <c r="Z914" s="74"/>
    </row>
    <row r="915" spans="1:26" x14ac:dyDescent="0.3">
      <c r="A915" s="66">
        <f t="shared" ref="A915:A978" si="92">A914+0.1</f>
        <v>2080.7999999999174</v>
      </c>
      <c r="B915" s="67">
        <f>LOOKUP(A915+0.01,AmountsB!$A$4:$A$103,AmountsB!$B$4:$B$103)*0.1*$A$2</f>
        <v>0</v>
      </c>
      <c r="C915" s="68">
        <f t="shared" si="91"/>
        <v>625969.29735898925</v>
      </c>
      <c r="D915" s="67">
        <f t="array" ref="D915">SUM($B$7:$B910*$F$1009*EXP(-$F$1009*($A915-$A$7:$A910)))*$F$1010</f>
        <v>908048.85136082163</v>
      </c>
      <c r="E915" s="67">
        <f t="shared" si="89"/>
        <v>1.731114972511524</v>
      </c>
      <c r="F915" s="70">
        <f t="shared" ref="F915:F978" si="93">E915*60*1012/1000000</f>
        <v>0.10511330113089974</v>
      </c>
      <c r="G915" s="67">
        <f>E915/'Lookup Tables'!$C$48</f>
        <v>3.462229945023048</v>
      </c>
      <c r="H915" s="70">
        <f t="shared" si="90"/>
        <v>1.4535441808262528E-3</v>
      </c>
      <c r="I915" s="71">
        <f t="shared" ref="I915:I978" si="94">G915*60*24/1000000</f>
        <v>4.9856111208331898E-3</v>
      </c>
      <c r="L915" s="74"/>
      <c r="M915" s="74"/>
      <c r="N915" s="74"/>
      <c r="O915" s="74"/>
      <c r="P915" s="74"/>
      <c r="Q915" s="74"/>
      <c r="R915" s="74"/>
      <c r="S915" s="74"/>
      <c r="T915" s="74"/>
      <c r="U915" s="74"/>
      <c r="V915" s="74"/>
      <c r="W915" s="74"/>
      <c r="X915" s="74"/>
      <c r="Y915" s="74"/>
      <c r="Z915" s="74"/>
    </row>
    <row r="916" spans="1:26" x14ac:dyDescent="0.3">
      <c r="A916" s="66">
        <f t="shared" si="92"/>
        <v>2080.8999999999173</v>
      </c>
      <c r="B916" s="67">
        <f>LOOKUP(A916+0.01,AmountsB!$A$4:$A$103,AmountsB!$B$4:$B$103)*0.1*$A$2</f>
        <v>0</v>
      </c>
      <c r="C916" s="68">
        <f t="shared" si="91"/>
        <v>625969.29735898925</v>
      </c>
      <c r="D916" s="67">
        <f t="array" ref="D916">SUM($B$7:$B911*$F$1009*EXP(-$F$1009*($A916-$A$7:$A911)))*$F$1010</f>
        <v>901714.70477874961</v>
      </c>
      <c r="E916" s="67">
        <f t="shared" si="89"/>
        <v>1.7190394812316494</v>
      </c>
      <c r="F916" s="70">
        <f t="shared" si="93"/>
        <v>0.10438007730038575</v>
      </c>
      <c r="G916" s="67">
        <f>E916/'Lookup Tables'!$C$48</f>
        <v>3.4380789624632988</v>
      </c>
      <c r="H916" s="70">
        <f t="shared" si="90"/>
        <v>1.4434049004438442E-3</v>
      </c>
      <c r="I916" s="71">
        <f t="shared" si="94"/>
        <v>4.9508337059471505E-3</v>
      </c>
      <c r="L916" s="74"/>
      <c r="M916" s="74"/>
      <c r="N916" s="74"/>
      <c r="O916" s="74"/>
      <c r="P916" s="74"/>
      <c r="Q916" s="74"/>
      <c r="R916" s="74"/>
      <c r="S916" s="74"/>
      <c r="T916" s="74"/>
      <c r="U916" s="74"/>
      <c r="V916" s="74"/>
      <c r="W916" s="74"/>
      <c r="X916" s="74"/>
      <c r="Y916" s="74"/>
      <c r="Z916" s="74"/>
    </row>
    <row r="917" spans="1:26" x14ac:dyDescent="0.3">
      <c r="A917" s="66">
        <f t="shared" si="92"/>
        <v>2080.9999999999172</v>
      </c>
      <c r="B917" s="67">
        <f>LOOKUP(A917+0.01,AmountsB!$A$4:$A$103,AmountsB!$B$4:$B$103)*0.1*$A$2</f>
        <v>0</v>
      </c>
      <c r="C917" s="68">
        <f t="shared" si="91"/>
        <v>625969.29735898925</v>
      </c>
      <c r="D917" s="67">
        <f t="array" ref="D917">SUM($B$7:$B912*$F$1009*EXP(-$F$1009*($A917-$A$7:$A912)))*$F$1010</f>
        <v>895424.74239763001</v>
      </c>
      <c r="E917" s="67">
        <f t="shared" si="89"/>
        <v>1.7070482232303068</v>
      </c>
      <c r="F917" s="70">
        <f t="shared" si="93"/>
        <v>0.10365196811454423</v>
      </c>
      <c r="G917" s="67">
        <f>E917/'Lookup Tables'!$C$48</f>
        <v>3.4140964464606136</v>
      </c>
      <c r="H917" s="70">
        <f t="shared" si="90"/>
        <v>1.433336347190359E-3</v>
      </c>
      <c r="I917" s="71">
        <f t="shared" si="94"/>
        <v>4.9162988829032838E-3</v>
      </c>
      <c r="L917" s="74"/>
      <c r="M917" s="74"/>
      <c r="N917" s="74"/>
      <c r="O917" s="74"/>
      <c r="P917" s="74"/>
      <c r="Q917" s="74"/>
      <c r="R917" s="74"/>
      <c r="S917" s="74"/>
      <c r="T917" s="74"/>
      <c r="U917" s="74"/>
      <c r="V917" s="74"/>
      <c r="W917" s="74"/>
      <c r="X917" s="74"/>
      <c r="Y917" s="74"/>
      <c r="Z917" s="74"/>
    </row>
    <row r="918" spans="1:26" x14ac:dyDescent="0.3">
      <c r="A918" s="66">
        <f t="shared" si="92"/>
        <v>2081.0999999999171</v>
      </c>
      <c r="B918" s="67">
        <f>LOOKUP(A918+0.01,AmountsB!$A$4:$A$103,AmountsB!$B$4:$B$103)*0.1*$A$2</f>
        <v>0</v>
      </c>
      <c r="C918" s="68">
        <f t="shared" si="91"/>
        <v>625969.29735898925</v>
      </c>
      <c r="D918" s="67">
        <f t="array" ref="D918">SUM($B$7:$B913*$F$1009*EXP(-$F$1009*($A918-$A$7:$A913)))*$F$1010</f>
        <v>889178.65600804752</v>
      </c>
      <c r="E918" s="67">
        <f t="shared" si="89"/>
        <v>1.6951406109334546</v>
      </c>
      <c r="F918" s="70">
        <f t="shared" si="93"/>
        <v>0.10292893789587937</v>
      </c>
      <c r="G918" s="67">
        <f>E918/'Lookup Tables'!$C$48</f>
        <v>3.3902812218669092</v>
      </c>
      <c r="H918" s="70">
        <f t="shared" si="90"/>
        <v>1.4233380277046731E-3</v>
      </c>
      <c r="I918" s="71">
        <f t="shared" si="94"/>
        <v>4.8820049594883496E-3</v>
      </c>
      <c r="L918" s="74"/>
      <c r="M918" s="74"/>
      <c r="N918" s="74"/>
      <c r="O918" s="74"/>
      <c r="P918" s="74"/>
      <c r="Q918" s="74"/>
      <c r="R918" s="74"/>
      <c r="S918" s="74"/>
      <c r="T918" s="74"/>
      <c r="U918" s="74"/>
      <c r="V918" s="74"/>
      <c r="W918" s="74"/>
      <c r="X918" s="74"/>
      <c r="Y918" s="74"/>
      <c r="Z918" s="74"/>
    </row>
    <row r="919" spans="1:26" x14ac:dyDescent="0.3">
      <c r="A919" s="66">
        <f t="shared" si="92"/>
        <v>2081.1999999999171</v>
      </c>
      <c r="B919" s="67">
        <f>LOOKUP(A919+0.01,AmountsB!$A$4:$A$103,AmountsB!$B$4:$B$103)*0.1*$A$2</f>
        <v>0</v>
      </c>
      <c r="C919" s="68">
        <f t="shared" si="91"/>
        <v>625969.29735898925</v>
      </c>
      <c r="D919" s="67">
        <f t="array" ref="D919">SUM($B$7:$B914*$F$1009*EXP(-$F$1009*($A919-$A$7:$A914)))*$F$1010</f>
        <v>882976.13955051976</v>
      </c>
      <c r="E919" s="67">
        <f t="shared" si="89"/>
        <v>1.6833160608657085</v>
      </c>
      <c r="F919" s="70">
        <f t="shared" si="93"/>
        <v>0.10221095121576583</v>
      </c>
      <c r="G919" s="67">
        <f>E919/'Lookup Tables'!$C$48</f>
        <v>3.366632121731417</v>
      </c>
      <c r="H919" s="70">
        <f t="shared" si="90"/>
        <v>1.4134094520671318E-3</v>
      </c>
      <c r="I919" s="71">
        <f t="shared" si="94"/>
        <v>4.8479502552932407E-3</v>
      </c>
      <c r="L919" s="74"/>
      <c r="M919" s="74"/>
      <c r="N919" s="74"/>
      <c r="O919" s="74"/>
      <c r="P919" s="74"/>
      <c r="Q919" s="74"/>
      <c r="R919" s="74"/>
      <c r="S919" s="74"/>
      <c r="T919" s="74"/>
      <c r="U919" s="74"/>
      <c r="V919" s="74"/>
      <c r="W919" s="74"/>
      <c r="X919" s="74"/>
      <c r="Y919" s="74"/>
      <c r="Z919" s="74"/>
    </row>
    <row r="920" spans="1:26" x14ac:dyDescent="0.3">
      <c r="A920" s="66">
        <f t="shared" si="92"/>
        <v>2081.299999999917</v>
      </c>
      <c r="B920" s="67">
        <f>LOOKUP(A920+0.01,AmountsB!$A$4:$A$103,AmountsB!$B$4:$B$103)*0.1*$A$2</f>
        <v>0</v>
      </c>
      <c r="C920" s="68">
        <f t="shared" si="91"/>
        <v>625969.29735898925</v>
      </c>
      <c r="D920" s="67">
        <f t="array" ref="D920">SUM($B$7:$B915*$F$1009*EXP(-$F$1009*($A920-$A$7:$A915)))*$F$1010</f>
        <v>876816.88910049899</v>
      </c>
      <c r="E920" s="67">
        <f t="shared" si="89"/>
        <v>1.6715739936217486</v>
      </c>
      <c r="F920" s="70">
        <f t="shared" si="93"/>
        <v>0.10149797289271256</v>
      </c>
      <c r="G920" s="67">
        <f>E920/'Lookup Tables'!$C$48</f>
        <v>3.3431479872434973</v>
      </c>
      <c r="H920" s="70">
        <f t="shared" si="90"/>
        <v>1.4035501337755414E-3</v>
      </c>
      <c r="I920" s="71">
        <f t="shared" si="94"/>
        <v>4.8141331016306362E-3</v>
      </c>
      <c r="L920" s="74"/>
      <c r="M920" s="74"/>
      <c r="N920" s="74"/>
      <c r="O920" s="74"/>
      <c r="P920" s="74"/>
      <c r="Q920" s="74"/>
      <c r="R920" s="74"/>
      <c r="S920" s="74"/>
      <c r="T920" s="74"/>
      <c r="U920" s="74"/>
      <c r="V920" s="74"/>
      <c r="W920" s="74"/>
      <c r="X920" s="74"/>
      <c r="Y920" s="74"/>
      <c r="Z920" s="74"/>
    </row>
    <row r="921" spans="1:26" x14ac:dyDescent="0.3">
      <c r="A921" s="66">
        <f t="shared" si="92"/>
        <v>2081.3999999999169</v>
      </c>
      <c r="B921" s="67">
        <f>LOOKUP(A921+0.01,AmountsB!$A$4:$A$103,AmountsB!$B$4:$B$103)*0.1*$A$2</f>
        <v>0</v>
      </c>
      <c r="C921" s="68">
        <f t="shared" si="91"/>
        <v>625969.29735898925</v>
      </c>
      <c r="D921" s="67">
        <f t="array" ref="D921">SUM($B$7:$B916*$F$1009*EXP(-$F$1009*($A921-$A$7:$A916)))*$F$1010</f>
        <v>870700.60285348049</v>
      </c>
      <c r="E921" s="67">
        <f t="shared" si="89"/>
        <v>1.65991383383793</v>
      </c>
      <c r="F921" s="70">
        <f t="shared" si="93"/>
        <v>0.10078996799063911</v>
      </c>
      <c r="G921" s="67">
        <f>E921/'Lookup Tables'!$C$48</f>
        <v>3.31982766767586</v>
      </c>
      <c r="H921" s="70">
        <f t="shared" si="90"/>
        <v>1.393759589721333E-3</v>
      </c>
      <c r="I921" s="71">
        <f t="shared" si="94"/>
        <v>4.7805518414532379E-3</v>
      </c>
      <c r="L921" s="74"/>
      <c r="M921" s="74"/>
      <c r="N921" s="74"/>
      <c r="O921" s="74"/>
      <c r="P921" s="74"/>
      <c r="Q921" s="74"/>
      <c r="R921" s="74"/>
      <c r="S921" s="74"/>
      <c r="T921" s="74"/>
      <c r="U921" s="74"/>
      <c r="V921" s="74"/>
      <c r="W921" s="74"/>
      <c r="X921" s="74"/>
      <c r="Y921" s="74"/>
      <c r="Z921" s="74"/>
    </row>
    <row r="922" spans="1:26" x14ac:dyDescent="0.3">
      <c r="A922" s="66">
        <f t="shared" si="92"/>
        <v>2081.4999999999168</v>
      </c>
      <c r="B922" s="67">
        <f>LOOKUP(A922+0.01,AmountsB!$A$4:$A$103,AmountsB!$B$4:$B$103)*0.1*$A$2</f>
        <v>0</v>
      </c>
      <c r="C922" s="68">
        <f t="shared" si="91"/>
        <v>625969.29735898925</v>
      </c>
      <c r="D922" s="67">
        <f t="array" ref="D922">SUM($B$7:$B917*$F$1009*EXP(-$F$1009*($A922-$A$7:$A917)))*$F$1010</f>
        <v>864626.98111021507</v>
      </c>
      <c r="E922" s="67">
        <f t="shared" si="89"/>
        <v>1.6483350101640917</v>
      </c>
      <c r="F922" s="70">
        <f t="shared" si="93"/>
        <v>0.10008690181716365</v>
      </c>
      <c r="G922" s="67">
        <f>E922/'Lookup Tables'!$C$48</f>
        <v>3.2966700203281833</v>
      </c>
      <c r="H922" s="70">
        <f t="shared" si="90"/>
        <v>1.3840373401658901E-3</v>
      </c>
      <c r="I922" s="71">
        <f t="shared" si="94"/>
        <v>4.7472048292725843E-3</v>
      </c>
      <c r="L922" s="74"/>
      <c r="M922" s="74"/>
      <c r="N922" s="74"/>
      <c r="O922" s="74"/>
      <c r="P922" s="74"/>
      <c r="Q922" s="74"/>
      <c r="R922" s="74"/>
      <c r="S922" s="74"/>
      <c r="T922" s="74"/>
      <c r="U922" s="74"/>
      <c r="V922" s="74"/>
      <c r="W922" s="74"/>
      <c r="X922" s="74"/>
      <c r="Y922" s="74"/>
      <c r="Z922" s="74"/>
    </row>
    <row r="923" spans="1:26" x14ac:dyDescent="0.3">
      <c r="A923" s="66">
        <f t="shared" si="92"/>
        <v>2081.5999999999167</v>
      </c>
      <c r="B923" s="67">
        <f>LOOKUP(A923+0.01,AmountsB!$A$4:$A$103,AmountsB!$B$4:$B$103)*0.1*$A$2</f>
        <v>0</v>
      </c>
      <c r="C923" s="68">
        <f t="shared" si="91"/>
        <v>625969.29735898925</v>
      </c>
      <c r="D923" s="67">
        <f t="array" ref="D923">SUM($B$7:$B918*$F$1009*EXP(-$F$1009*($A923-$A$7:$A918)))*$F$1010</f>
        <v>858595.72626202158</v>
      </c>
      <c r="E923" s="67">
        <f t="shared" si="89"/>
        <v>1.6368369552355562</v>
      </c>
      <c r="F923" s="70">
        <f t="shared" si="93"/>
        <v>9.9388739921902974E-2</v>
      </c>
      <c r="G923" s="67">
        <f>E923/'Lookup Tables'!$C$48</f>
        <v>3.2736739104711123</v>
      </c>
      <c r="H923" s="70">
        <f t="shared" si="90"/>
        <v>1.3743829087170382E-3</v>
      </c>
      <c r="I923" s="71">
        <f t="shared" si="94"/>
        <v>4.7140904310784019E-3</v>
      </c>
      <c r="L923" s="74"/>
      <c r="M923" s="74"/>
      <c r="N923" s="74"/>
      <c r="O923" s="74"/>
      <c r="P923" s="74"/>
      <c r="Q923" s="74"/>
      <c r="R923" s="74"/>
      <c r="S923" s="74"/>
      <c r="T923" s="74"/>
      <c r="U923" s="74"/>
      <c r="V923" s="74"/>
      <c r="W923" s="74"/>
      <c r="X923" s="74"/>
      <c r="Y923" s="74"/>
      <c r="Z923" s="74"/>
    </row>
    <row r="924" spans="1:26" x14ac:dyDescent="0.3">
      <c r="A924" s="66">
        <f t="shared" si="92"/>
        <v>2081.6999999999166</v>
      </c>
      <c r="B924" s="67">
        <f>LOOKUP(A924+0.01,AmountsB!$A$4:$A$103,AmountsB!$B$4:$B$103)*0.1*$A$2</f>
        <v>0</v>
      </c>
      <c r="C924" s="68">
        <f t="shared" si="91"/>
        <v>625969.29735898925</v>
      </c>
      <c r="D924" s="67">
        <f t="array" ref="D924">SUM($B$7:$B919*$F$1009*EXP(-$F$1009*($A924-$A$7:$A919)))*$F$1010</f>
        <v>852606.54277620581</v>
      </c>
      <c r="E924" s="67">
        <f t="shared" si="89"/>
        <v>1.6254191056453311</v>
      </c>
      <c r="F924" s="70">
        <f t="shared" si="93"/>
        <v>9.8695448094784505E-2</v>
      </c>
      <c r="G924" s="67">
        <f>E924/'Lookup Tables'!$C$48</f>
        <v>3.2508382112906622</v>
      </c>
      <c r="H924" s="70">
        <f t="shared" si="90"/>
        <v>1.3647958223057047E-3</v>
      </c>
      <c r="I924" s="71">
        <f t="shared" si="94"/>
        <v>4.6812070242585532E-3</v>
      </c>
      <c r="L924" s="74"/>
      <c r="M924" s="74"/>
      <c r="N924" s="74"/>
      <c r="O924" s="74"/>
      <c r="P924" s="74"/>
      <c r="Q924" s="74"/>
      <c r="R924" s="74"/>
      <c r="S924" s="74"/>
      <c r="T924" s="74"/>
      <c r="U924" s="74"/>
      <c r="V924" s="74"/>
      <c r="W924" s="74"/>
      <c r="X924" s="74"/>
      <c r="Y924" s="74"/>
      <c r="Z924" s="74"/>
    </row>
    <row r="925" spans="1:26" x14ac:dyDescent="0.3">
      <c r="A925" s="66">
        <f t="shared" si="92"/>
        <v>2081.7999999999165</v>
      </c>
      <c r="B925" s="67">
        <f>LOOKUP(A925+0.01,AmountsB!$A$4:$A$103,AmountsB!$B$4:$B$103)*0.1*$A$2</f>
        <v>0</v>
      </c>
      <c r="C925" s="68">
        <f t="shared" si="91"/>
        <v>625969.29735898925</v>
      </c>
      <c r="D925" s="67">
        <f t="array" ref="D925">SUM($B$7:$B920*$F$1009*EXP(-$F$1009*($A925-$A$7:$A920)))*$F$1010</f>
        <v>846659.13718157855</v>
      </c>
      <c r="E925" s="67">
        <f t="shared" si="89"/>
        <v>1.6140809019165023</v>
      </c>
      <c r="F925" s="70">
        <f t="shared" si="93"/>
        <v>9.8006992364370021E-2</v>
      </c>
      <c r="G925" s="67">
        <f>E925/'Lookup Tables'!$C$48</f>
        <v>3.2281618038330047</v>
      </c>
      <c r="H925" s="70">
        <f t="shared" si="90"/>
        <v>1.3552756111627378E-3</v>
      </c>
      <c r="I925" s="71">
        <f t="shared" si="94"/>
        <v>4.6485529975195264E-3</v>
      </c>
      <c r="L925" s="74"/>
      <c r="M925" s="74"/>
      <c r="N925" s="74"/>
      <c r="O925" s="74"/>
      <c r="P925" s="74"/>
      <c r="Q925" s="74"/>
      <c r="R925" s="74"/>
      <c r="S925" s="74"/>
      <c r="T925" s="74"/>
      <c r="U925" s="74"/>
      <c r="V925" s="74"/>
      <c r="W925" s="74"/>
      <c r="X925" s="74"/>
      <c r="Y925" s="74"/>
      <c r="Z925" s="74"/>
    </row>
    <row r="926" spans="1:26" x14ac:dyDescent="0.3">
      <c r="A926" s="66">
        <f t="shared" si="92"/>
        <v>2081.8999999999164</v>
      </c>
      <c r="B926" s="67">
        <f>LOOKUP(A926+0.01,AmountsB!$A$4:$A$103,AmountsB!$B$4:$B$103)*0.1*$A$2</f>
        <v>0</v>
      </c>
      <c r="C926" s="68">
        <f t="shared" si="91"/>
        <v>625969.29735898925</v>
      </c>
      <c r="D926" s="67">
        <f t="array" ref="D926">SUM($B$7:$B921*$F$1009*EXP(-$F$1009*($A926-$A$7:$A921)))*$F$1010</f>
        <v>840753.21805407573</v>
      </c>
      <c r="E926" s="67">
        <f t="shared" si="89"/>
        <v>1.6028217884748182</v>
      </c>
      <c r="F926" s="70">
        <f t="shared" si="93"/>
        <v>9.7323338996190972E-2</v>
      </c>
      <c r="G926" s="67">
        <f>E926/'Lookup Tables'!$C$48</f>
        <v>3.2056435769496363</v>
      </c>
      <c r="H926" s="70">
        <f t="shared" si="90"/>
        <v>1.3458218087958856E-3</v>
      </c>
      <c r="I926" s="71">
        <f t="shared" si="94"/>
        <v>4.616126750807476E-3</v>
      </c>
      <c r="L926" s="74"/>
      <c r="M926" s="74"/>
      <c r="N926" s="74"/>
      <c r="O926" s="74"/>
      <c r="P926" s="74"/>
      <c r="Q926" s="74"/>
      <c r="R926" s="74"/>
      <c r="S926" s="74"/>
      <c r="T926" s="74"/>
      <c r="U926" s="74"/>
      <c r="V926" s="74"/>
      <c r="W926" s="74"/>
      <c r="X926" s="74"/>
      <c r="Y926" s="74"/>
      <c r="Z926" s="74"/>
    </row>
    <row r="927" spans="1:26" x14ac:dyDescent="0.3">
      <c r="A927" s="66">
        <f t="shared" si="92"/>
        <v>2081.9999999999163</v>
      </c>
      <c r="B927" s="67">
        <f>LOOKUP(A927+0.01,AmountsB!$A$4:$A$103,AmountsB!$B$4:$B$103)*0.1*$A$2</f>
        <v>0</v>
      </c>
      <c r="C927" s="68">
        <f t="shared" si="91"/>
        <v>625969.29735898925</v>
      </c>
      <c r="D927" s="67">
        <f t="array" ref="D927">SUM($B$7:$B922*$F$1009*EXP(-$F$1009*($A927-$A$7:$A922)))*$F$1010</f>
        <v>834888.49600247864</v>
      </c>
      <c r="E927" s="67">
        <f t="shared" si="89"/>
        <v>1.5916412136214684</v>
      </c>
      <c r="F927" s="70">
        <f t="shared" si="93"/>
        <v>9.6644454491095558E-2</v>
      </c>
      <c r="G927" s="67">
        <f>E927/'Lookup Tables'!$C$48</f>
        <v>3.1832824272429368</v>
      </c>
      <c r="H927" s="70">
        <f t="shared" si="90"/>
        <v>1.3364339519669421E-3</v>
      </c>
      <c r="I927" s="71">
        <f t="shared" si="94"/>
        <v>4.5839266952298298E-3</v>
      </c>
      <c r="L927" s="74"/>
      <c r="M927" s="74"/>
      <c r="N927" s="74"/>
      <c r="O927" s="74"/>
      <c r="P927" s="74"/>
      <c r="Q927" s="74"/>
      <c r="R927" s="74"/>
      <c r="S927" s="74"/>
      <c r="T927" s="74"/>
      <c r="U927" s="74"/>
      <c r="V927" s="74"/>
      <c r="W927" s="74"/>
      <c r="X927" s="74"/>
      <c r="Y927" s="74"/>
      <c r="Z927" s="74"/>
    </row>
    <row r="928" spans="1:26" x14ac:dyDescent="0.3">
      <c r="A928" s="66">
        <f t="shared" si="92"/>
        <v>2082.0999999999162</v>
      </c>
      <c r="B928" s="67">
        <f>LOOKUP(A928+0.01,AmountsB!$A$4:$A$103,AmountsB!$B$4:$B$103)*0.1*$A$2</f>
        <v>0</v>
      </c>
      <c r="C928" s="68">
        <f t="shared" si="91"/>
        <v>625969.29735898925</v>
      </c>
      <c r="D928" s="67">
        <f t="array" ref="D928">SUM($B$7:$B923*$F$1009*EXP(-$F$1009*($A928-$A$7:$A923)))*$F$1010</f>
        <v>829064.68365423335</v>
      </c>
      <c r="E928" s="67">
        <f t="shared" si="89"/>
        <v>1.5805386295060473</v>
      </c>
      <c r="F928" s="70">
        <f t="shared" si="93"/>
        <v>9.5970305583607182E-2</v>
      </c>
      <c r="G928" s="67">
        <f>E928/'Lookup Tables'!$C$48</f>
        <v>3.1610772590120946</v>
      </c>
      <c r="H928" s="70">
        <f t="shared" si="90"/>
        <v>1.3271115806690432E-3</v>
      </c>
      <c r="I928" s="71">
        <f t="shared" si="94"/>
        <v>4.5519512529774162E-3</v>
      </c>
      <c r="L928" s="74"/>
      <c r="M928" s="74"/>
      <c r="N928" s="74"/>
      <c r="O928" s="74"/>
      <c r="P928" s="74"/>
      <c r="Q928" s="74"/>
      <c r="R928" s="74"/>
      <c r="S928" s="74"/>
      <c r="T928" s="74"/>
      <c r="U928" s="74"/>
      <c r="V928" s="74"/>
      <c r="W928" s="74"/>
      <c r="X928" s="74"/>
      <c r="Y928" s="74"/>
      <c r="Z928" s="74"/>
    </row>
    <row r="929" spans="1:26" x14ac:dyDescent="0.3">
      <c r="A929" s="66">
        <f t="shared" si="92"/>
        <v>2082.1999999999161</v>
      </c>
      <c r="B929" s="67">
        <f>LOOKUP(A929+0.01,AmountsB!$A$4:$A$103,AmountsB!$B$4:$B$103)*0.1*$A$2</f>
        <v>0</v>
      </c>
      <c r="C929" s="68">
        <f t="shared" si="91"/>
        <v>625969.29735898925</v>
      </c>
      <c r="D929" s="67">
        <f t="array" ref="D929">SUM($B$7:$B924*$F$1009*EXP(-$F$1009*($A929-$A$7:$A924)))*$F$1010</f>
        <v>823281.49564136879</v>
      </c>
      <c r="E929" s="67">
        <f t="shared" si="89"/>
        <v>1.5695134920997107</v>
      </c>
      <c r="F929" s="70">
        <f t="shared" si="93"/>
        <v>9.5300859240294439E-2</v>
      </c>
      <c r="G929" s="67">
        <f>E929/'Lookup Tables'!$C$48</f>
        <v>3.1390269841994214</v>
      </c>
      <c r="H929" s="70">
        <f t="shared" si="90"/>
        <v>1.3178542381041295E-3</v>
      </c>
      <c r="I929" s="71">
        <f t="shared" si="94"/>
        <v>4.5201988572471669E-3</v>
      </c>
      <c r="L929" s="74"/>
      <c r="M929" s="74"/>
      <c r="N929" s="74"/>
      <c r="O929" s="74"/>
      <c r="P929" s="74"/>
      <c r="Q929" s="74"/>
      <c r="R929" s="74"/>
      <c r="S929" s="74"/>
      <c r="T929" s="74"/>
      <c r="U929" s="74"/>
      <c r="V929" s="74"/>
      <c r="W929" s="74"/>
      <c r="X929" s="74"/>
      <c r="Y929" s="74"/>
      <c r="Z929" s="74"/>
    </row>
    <row r="930" spans="1:26" x14ac:dyDescent="0.3">
      <c r="A930" s="66">
        <f t="shared" si="92"/>
        <v>2082.2999999999161</v>
      </c>
      <c r="B930" s="67">
        <f>LOOKUP(A930+0.01,AmountsB!$A$4:$A$103,AmountsB!$B$4:$B$103)*0.1*$A$2</f>
        <v>0</v>
      </c>
      <c r="C930" s="68">
        <f t="shared" si="91"/>
        <v>625969.29735898925</v>
      </c>
      <c r="D930" s="67">
        <f t="array" ref="D930">SUM($B$7:$B925*$F$1009*EXP(-$F$1009*($A930-$A$7:$A925)))*$F$1010</f>
        <v>817538.64858651592</v>
      </c>
      <c r="E930" s="67">
        <f t="shared" si="89"/>
        <v>1.5585652611685215</v>
      </c>
      <c r="F930" s="70">
        <f t="shared" si="93"/>
        <v>9.4636082658152626E-2</v>
      </c>
      <c r="G930" s="67">
        <f>E930/'Lookup Tables'!$C$48</f>
        <v>3.1171305223370429</v>
      </c>
      <c r="H930" s="70">
        <f t="shared" si="90"/>
        <v>1.3086614706605644E-3</v>
      </c>
      <c r="I930" s="71">
        <f t="shared" si="94"/>
        <v>4.4886679521653422E-3</v>
      </c>
      <c r="L930" s="74"/>
      <c r="M930" s="74"/>
      <c r="N930" s="74"/>
      <c r="O930" s="74"/>
      <c r="P930" s="74"/>
      <c r="Q930" s="74"/>
      <c r="R930" s="74"/>
      <c r="S930" s="74"/>
      <c r="T930" s="74"/>
      <c r="U930" s="74"/>
      <c r="V930" s="74"/>
      <c r="W930" s="74"/>
      <c r="X930" s="74"/>
      <c r="Y930" s="74"/>
      <c r="Z930" s="74"/>
    </row>
    <row r="931" spans="1:26" x14ac:dyDescent="0.3">
      <c r="A931" s="66">
        <f t="shared" si="92"/>
        <v>2082.399999999916</v>
      </c>
      <c r="B931" s="67">
        <f>LOOKUP(A931+0.01,AmountsB!$A$4:$A$103,AmountsB!$B$4:$B$103)*0.1*$A$2</f>
        <v>0</v>
      </c>
      <c r="C931" s="68">
        <f t="shared" si="91"/>
        <v>625969.29735898925</v>
      </c>
      <c r="D931" s="67">
        <f t="array" ref="D931">SUM($B$7:$B926*$F$1009*EXP(-$F$1009*($A931-$A$7:$A926)))*$F$1010</f>
        <v>811835.86108902027</v>
      </c>
      <c r="E931" s="67">
        <f t="shared" si="89"/>
        <v>1.5476934002469735</v>
      </c>
      <c r="F931" s="70">
        <f t="shared" si="93"/>
        <v>9.3975943262996242E-2</v>
      </c>
      <c r="G931" s="67">
        <f>E931/'Lookup Tables'!$C$48</f>
        <v>3.0953868004939471</v>
      </c>
      <c r="H931" s="70">
        <f t="shared" si="90"/>
        <v>1.2995328278909038E-3</v>
      </c>
      <c r="I931" s="71">
        <f t="shared" si="94"/>
        <v>4.4573569927112838E-3</v>
      </c>
      <c r="L931" s="74"/>
      <c r="M931" s="74"/>
      <c r="N931" s="74"/>
      <c r="O931" s="74"/>
      <c r="P931" s="74"/>
      <c r="Q931" s="74"/>
      <c r="R931" s="74"/>
      <c r="S931" s="74"/>
      <c r="T931" s="74"/>
      <c r="U931" s="74"/>
      <c r="V931" s="74"/>
      <c r="W931" s="74"/>
      <c r="X931" s="74"/>
      <c r="Y931" s="74"/>
      <c r="Z931" s="74"/>
    </row>
    <row r="932" spans="1:26" x14ac:dyDescent="0.3">
      <c r="A932" s="66">
        <f t="shared" si="92"/>
        <v>2082.4999999999159</v>
      </c>
      <c r="B932" s="67">
        <f>LOOKUP(A932+0.01,AmountsB!$A$4:$A$103,AmountsB!$B$4:$B$103)*0.1*$A$2</f>
        <v>0</v>
      </c>
      <c r="C932" s="68">
        <f t="shared" si="91"/>
        <v>625969.29735898925</v>
      </c>
      <c r="D932" s="67">
        <f t="array" ref="D932">SUM($B$7:$B927*$F$1009*EXP(-$F$1009*($A932-$A$7:$A927)))*$F$1010</f>
        <v>806172.8537111528</v>
      </c>
      <c r="E932" s="67">
        <f t="shared" si="89"/>
        <v>1.5368973766117051</v>
      </c>
      <c r="F932" s="70">
        <f t="shared" si="93"/>
        <v>9.3320408707862734E-2</v>
      </c>
      <c r="G932" s="67">
        <f>E932/'Lookup Tables'!$C$48</f>
        <v>3.0737947532234102</v>
      </c>
      <c r="H932" s="70">
        <f t="shared" si="90"/>
        <v>1.2904678624898246E-3</v>
      </c>
      <c r="I932" s="71">
        <f t="shared" si="94"/>
        <v>4.4262644446417107E-3</v>
      </c>
      <c r="L932" s="74"/>
      <c r="M932" s="74"/>
      <c r="N932" s="74"/>
      <c r="O932" s="74"/>
      <c r="P932" s="74"/>
      <c r="Q932" s="74"/>
      <c r="R932" s="74"/>
      <c r="S932" s="74"/>
      <c r="T932" s="74"/>
      <c r="U932" s="74"/>
      <c r="V932" s="74"/>
      <c r="W932" s="74"/>
      <c r="X932" s="74"/>
      <c r="Y932" s="74"/>
      <c r="Z932" s="74"/>
    </row>
    <row r="933" spans="1:26" x14ac:dyDescent="0.3">
      <c r="A933" s="66">
        <f t="shared" si="92"/>
        <v>2082.5999999999158</v>
      </c>
      <c r="B933" s="67">
        <f>LOOKUP(A933+0.01,AmountsB!$A$4:$A$103,AmountsB!$B$4:$B$103)*0.1*$A$2</f>
        <v>0</v>
      </c>
      <c r="C933" s="68">
        <f t="shared" si="91"/>
        <v>625969.29735898925</v>
      </c>
      <c r="D933" s="67">
        <f t="array" ref="D933">SUM($B$7:$B928*$F$1009*EXP(-$F$1009*($A933-$A$7:$A928)))*$F$1010</f>
        <v>800549.34896441898</v>
      </c>
      <c r="E933" s="67">
        <f t="shared" si="89"/>
        <v>1.5261766612553986</v>
      </c>
      <c r="F933" s="70">
        <f t="shared" si="93"/>
        <v>9.2669446871427807E-2</v>
      </c>
      <c r="G933" s="67">
        <f>E933/'Lookup Tables'!$C$48</f>
        <v>3.0523533225107973</v>
      </c>
      <c r="H933" s="70">
        <f t="shared" si="90"/>
        <v>1.2814661302722088E-3</v>
      </c>
      <c r="I933" s="71">
        <f t="shared" si="94"/>
        <v>4.3953887844155482E-3</v>
      </c>
      <c r="L933" s="74"/>
      <c r="M933" s="74"/>
      <c r="N933" s="74"/>
      <c r="O933" s="74"/>
      <c r="P933" s="74"/>
      <c r="Q933" s="74"/>
      <c r="R933" s="74"/>
      <c r="S933" s="74"/>
      <c r="T933" s="74"/>
      <c r="U933" s="74"/>
      <c r="V933" s="74"/>
      <c r="W933" s="74"/>
      <c r="X933" s="74"/>
      <c r="Y933" s="74"/>
      <c r="Z933" s="74"/>
    </row>
    <row r="934" spans="1:26" x14ac:dyDescent="0.3">
      <c r="A934" s="66">
        <f t="shared" si="92"/>
        <v>2082.6999999999157</v>
      </c>
      <c r="B934" s="67">
        <f>LOOKUP(A934+0.01,AmountsB!$A$4:$A$103,AmountsB!$B$4:$B$103)*0.1*$A$2</f>
        <v>0</v>
      </c>
      <c r="C934" s="68">
        <f t="shared" si="91"/>
        <v>625969.29735898925</v>
      </c>
      <c r="D934" s="67">
        <f t="array" ref="D934">SUM($B$7:$B929*$F$1009*EXP(-$F$1009*($A934-$A$7:$A929)))*$F$1010</f>
        <v>794965.07129596104</v>
      </c>
      <c r="E934" s="67">
        <f t="shared" si="89"/>
        <v>1.5155307288608562</v>
      </c>
      <c r="F934" s="70">
        <f t="shared" si="93"/>
        <v>9.2023025856431184E-2</v>
      </c>
      <c r="G934" s="67">
        <f>E934/'Lookup Tables'!$C$48</f>
        <v>3.0310614577217123</v>
      </c>
      <c r="H934" s="70">
        <f t="shared" si="90"/>
        <v>1.2725271901513765E-3</v>
      </c>
      <c r="I934" s="71">
        <f t="shared" si="94"/>
        <v>4.3647284991192659E-3</v>
      </c>
      <c r="L934" s="74"/>
      <c r="M934" s="74"/>
      <c r="N934" s="74"/>
      <c r="O934" s="74"/>
      <c r="P934" s="74"/>
      <c r="Q934" s="74"/>
      <c r="R934" s="74"/>
      <c r="S934" s="74"/>
      <c r="T934" s="74"/>
      <c r="U934" s="74"/>
      <c r="V934" s="74"/>
      <c r="W934" s="74"/>
      <c r="X934" s="74"/>
      <c r="Y934" s="74"/>
      <c r="Z934" s="74"/>
    </row>
    <row r="935" spans="1:26" x14ac:dyDescent="0.3">
      <c r="A935" s="66">
        <f t="shared" si="92"/>
        <v>2082.7999999999156</v>
      </c>
      <c r="B935" s="67">
        <f>LOOKUP(A935+0.01,AmountsB!$A$4:$A$103,AmountsB!$B$4:$B$103)*0.1*$A$2</f>
        <v>0</v>
      </c>
      <c r="C935" s="68">
        <f t="shared" si="91"/>
        <v>625969.29735898925</v>
      </c>
      <c r="D935" s="67">
        <f t="array" ref="D935">SUM($B$7:$B930*$F$1009*EXP(-$F$1009*($A935-$A$7:$A930)))*$F$1010</f>
        <v>789419.74707505608</v>
      </c>
      <c r="E935" s="67">
        <f t="shared" si="89"/>
        <v>1.5049590577752607</v>
      </c>
      <c r="F935" s="70">
        <f t="shared" si="93"/>
        <v>9.1381113988113841E-2</v>
      </c>
      <c r="G935" s="67">
        <f>E935/'Lookup Tables'!$C$48</f>
        <v>3.0099181155505215</v>
      </c>
      <c r="H935" s="70">
        <f t="shared" si="90"/>
        <v>1.2636506041174733E-3</v>
      </c>
      <c r="I935" s="71">
        <f t="shared" si="94"/>
        <v>4.3342820863927507E-3</v>
      </c>
      <c r="L935" s="74"/>
      <c r="M935" s="74"/>
      <c r="N935" s="74"/>
      <c r="O935" s="74"/>
      <c r="P935" s="74"/>
      <c r="Q935" s="74"/>
      <c r="R935" s="74"/>
      <c r="S935" s="74"/>
      <c r="T935" s="74"/>
      <c r="U935" s="74"/>
      <c r="V935" s="74"/>
      <c r="W935" s="74"/>
      <c r="X935" s="74"/>
      <c r="Y935" s="74"/>
      <c r="Z935" s="74"/>
    </row>
    <row r="936" spans="1:26" x14ac:dyDescent="0.3">
      <c r="A936" s="66">
        <f t="shared" si="92"/>
        <v>2082.8999999999155</v>
      </c>
      <c r="B936" s="67">
        <f>LOOKUP(A936+0.01,AmountsB!$A$4:$A$103,AmountsB!$B$4:$B$103)*0.1*$A$2</f>
        <v>0</v>
      </c>
      <c r="C936" s="68">
        <f t="shared" si="91"/>
        <v>625969.29735898925</v>
      </c>
      <c r="D936" s="67">
        <f t="array" ref="D936">SUM($B$7:$B931*$F$1009*EXP(-$F$1009*($A936-$A$7:$A931)))*$F$1010</f>
        <v>783913.10457970819</v>
      </c>
      <c r="E936" s="67">
        <f t="shared" si="89"/>
        <v>1.4944611299846147</v>
      </c>
      <c r="F936" s="70">
        <f t="shared" si="93"/>
        <v>9.0743679812665817E-2</v>
      </c>
      <c r="G936" s="67">
        <f>E936/'Lookup Tables'!$C$48</f>
        <v>2.9889222599692293</v>
      </c>
      <c r="H936" s="70">
        <f t="shared" si="90"/>
        <v>1.2548359372160083E-3</v>
      </c>
      <c r="I936" s="71">
        <f t="shared" si="94"/>
        <v>4.3040480543556905E-3</v>
      </c>
      <c r="L936" s="74"/>
      <c r="M936" s="74"/>
      <c r="N936" s="74"/>
      <c r="O936" s="74"/>
      <c r="P936" s="74"/>
      <c r="Q936" s="74"/>
      <c r="R936" s="74"/>
      <c r="S936" s="74"/>
      <c r="T936" s="74"/>
      <c r="U936" s="74"/>
      <c r="V936" s="74"/>
      <c r="W936" s="74"/>
      <c r="X936" s="74"/>
      <c r="Y936" s="74"/>
      <c r="Z936" s="74"/>
    </row>
    <row r="937" spans="1:26" x14ac:dyDescent="0.3">
      <c r="A937" s="66">
        <f t="shared" si="92"/>
        <v>2082.9999999999154</v>
      </c>
      <c r="B937" s="67">
        <f>LOOKUP(A937+0.01,AmountsB!$A$4:$A$103,AmountsB!$B$4:$B$103)*0.1*$A$2</f>
        <v>0</v>
      </c>
      <c r="C937" s="68">
        <f t="shared" si="91"/>
        <v>625969.29735898925</v>
      </c>
      <c r="D937" s="67">
        <f t="array" ref="D937">SUM($B$7:$B932*$F$1009*EXP(-$F$1009*($A937-$A$7:$A932)))*$F$1010</f>
        <v>778444.87398333277</v>
      </c>
      <c r="E937" s="67">
        <f t="shared" si="89"/>
        <v>1.4840364310883549</v>
      </c>
      <c r="F937" s="70">
        <f t="shared" si="93"/>
        <v>9.0110692095684911E-2</v>
      </c>
      <c r="G937" s="67">
        <f>E937/'Lookup Tables'!$C$48</f>
        <v>2.9680728621767098</v>
      </c>
      <c r="H937" s="70">
        <f t="shared" si="90"/>
        <v>1.2460827575265388E-3</v>
      </c>
      <c r="I937" s="71">
        <f t="shared" si="94"/>
        <v>4.274024921534462E-3</v>
      </c>
      <c r="L937" s="74"/>
      <c r="M937" s="74"/>
      <c r="N937" s="74"/>
      <c r="O937" s="74"/>
      <c r="P937" s="74"/>
      <c r="Q937" s="74"/>
      <c r="R937" s="74"/>
      <c r="S937" s="74"/>
      <c r="T937" s="74"/>
      <c r="U937" s="74"/>
      <c r="V937" s="74"/>
      <c r="W937" s="74"/>
      <c r="X937" s="74"/>
      <c r="Y937" s="74"/>
      <c r="Z937" s="74"/>
    </row>
    <row r="938" spans="1:26" x14ac:dyDescent="0.3">
      <c r="A938" s="66">
        <f t="shared" si="92"/>
        <v>2083.0999999999153</v>
      </c>
      <c r="B938" s="67">
        <f>LOOKUP(A938+0.01,AmountsB!$A$4:$A$103,AmountsB!$B$4:$B$103)*0.1*$A$2</f>
        <v>0</v>
      </c>
      <c r="C938" s="68">
        <f t="shared" si="91"/>
        <v>625969.29735898925</v>
      </c>
      <c r="D938" s="67">
        <f t="array" ref="D938">SUM($B$7:$B933*$F$1009*EXP(-$F$1009*($A938-$A$7:$A933)))*$F$1010</f>
        <v>773014.78734153626</v>
      </c>
      <c r="E938" s="67">
        <f t="shared" si="89"/>
        <v>1.4736844502741491</v>
      </c>
      <c r="F938" s="70">
        <f t="shared" si="93"/>
        <v>8.9482119820646328E-2</v>
      </c>
      <c r="G938" s="67">
        <f>E938/'Lookup Tables'!$C$48</f>
        <v>2.9473689005482981</v>
      </c>
      <c r="H938" s="70">
        <f t="shared" si="90"/>
        <v>1.2373906361415083E-3</v>
      </c>
      <c r="I938" s="71">
        <f t="shared" si="94"/>
        <v>4.2442112167895493E-3</v>
      </c>
      <c r="L938" s="74"/>
      <c r="M938" s="74"/>
      <c r="N938" s="74"/>
      <c r="O938" s="74"/>
      <c r="P938" s="74"/>
      <c r="Q938" s="74"/>
      <c r="R938" s="74"/>
      <c r="S938" s="74"/>
      <c r="T938" s="74"/>
      <c r="U938" s="74"/>
      <c r="V938" s="74"/>
      <c r="W938" s="74"/>
      <c r="X938" s="74"/>
      <c r="Y938" s="74"/>
      <c r="Z938" s="74"/>
    </row>
    <row r="939" spans="1:26" x14ac:dyDescent="0.3">
      <c r="A939" s="66">
        <f t="shared" si="92"/>
        <v>2083.1999999999152</v>
      </c>
      <c r="B939" s="67">
        <f>LOOKUP(A939+0.01,AmountsB!$A$4:$A$103,AmountsB!$B$4:$B$103)*0.1*$A$2</f>
        <v>0</v>
      </c>
      <c r="C939" s="68">
        <f t="shared" si="91"/>
        <v>625969.29735898925</v>
      </c>
      <c r="D939" s="67">
        <f t="array" ref="D939">SUM($B$7:$B934*$F$1009*EXP(-$F$1009*($A939-$A$7:$A934)))*$F$1010</f>
        <v>767622.57857898704</v>
      </c>
      <c r="E939" s="67">
        <f t="shared" si="89"/>
        <v>1.4634046802928669</v>
      </c>
      <c r="F939" s="70">
        <f t="shared" si="93"/>
        <v>8.8857932187382874E-2</v>
      </c>
      <c r="G939" s="67">
        <f>E939/'Lookup Tables'!$C$48</f>
        <v>2.9268093605857337</v>
      </c>
      <c r="H939" s="70">
        <f t="shared" si="90"/>
        <v>1.2287591471452305E-3</v>
      </c>
      <c r="I939" s="71">
        <f t="shared" si="94"/>
        <v>4.2146054792434563E-3</v>
      </c>
      <c r="L939" s="74"/>
      <c r="M939" s="74"/>
      <c r="N939" s="74"/>
      <c r="O939" s="74"/>
      <c r="P939" s="74"/>
      <c r="Q939" s="74"/>
      <c r="R939" s="74"/>
      <c r="S939" s="74"/>
      <c r="T939" s="74"/>
      <c r="U939" s="74"/>
      <c r="V939" s="74"/>
      <c r="W939" s="74"/>
      <c r="X939" s="74"/>
      <c r="Y939" s="74"/>
      <c r="Z939" s="74"/>
    </row>
    <row r="940" spans="1:26" x14ac:dyDescent="0.3">
      <c r="A940" s="66">
        <f t="shared" si="92"/>
        <v>2083.2999999999151</v>
      </c>
      <c r="B940" s="67">
        <f>LOOKUP(A940+0.01,AmountsB!$A$4:$A$103,AmountsB!$B$4:$B$103)*0.1*$A$2</f>
        <v>0</v>
      </c>
      <c r="C940" s="68">
        <f t="shared" si="91"/>
        <v>625969.29735898925</v>
      </c>
      <c r="D940" s="67">
        <f t="array" ref="D940">SUM($B$7:$B935*$F$1009*EXP(-$F$1009*($A940-$A$7:$A935)))*$F$1010</f>
        <v>762267.98347637721</v>
      </c>
      <c r="E940" s="67">
        <f t="shared" si="89"/>
        <v>1.4531966174337227</v>
      </c>
      <c r="F940" s="70">
        <f t="shared" si="93"/>
        <v>8.8238098610575647E-2</v>
      </c>
      <c r="G940" s="67">
        <f>E940/'Lookup Tables'!$C$48</f>
        <v>2.9063932348674455</v>
      </c>
      <c r="H940" s="70">
        <f t="shared" si="90"/>
        <v>1.2201878675930178E-3</v>
      </c>
      <c r="I940" s="71">
        <f t="shared" si="94"/>
        <v>4.185206258209122E-3</v>
      </c>
      <c r="L940" s="74"/>
      <c r="M940" s="74"/>
      <c r="N940" s="74"/>
      <c r="O940" s="74"/>
      <c r="P940" s="74"/>
      <c r="Q940" s="74"/>
      <c r="R940" s="74"/>
      <c r="S940" s="74"/>
      <c r="T940" s="74"/>
      <c r="U940" s="74"/>
      <c r="V940" s="74"/>
      <c r="W940" s="74"/>
      <c r="X940" s="74"/>
      <c r="Y940" s="74"/>
      <c r="Z940" s="74"/>
    </row>
    <row r="941" spans="1:26" x14ac:dyDescent="0.3">
      <c r="A941" s="66">
        <f t="shared" si="92"/>
        <v>2083.3999999999151</v>
      </c>
      <c r="B941" s="67">
        <f>LOOKUP(A941+0.01,AmountsB!$A$4:$A$103,AmountsB!$B$4:$B$103)*0.1*$A$2</f>
        <v>0</v>
      </c>
      <c r="C941" s="68">
        <f t="shared" si="91"/>
        <v>625969.29735898925</v>
      </c>
      <c r="D941" s="67">
        <f t="array" ref="D941">SUM($B$7:$B936*$F$1009*EXP(-$F$1009*($A941-$A$7:$A936)))*$F$1010</f>
        <v>756950.7396574748</v>
      </c>
      <c r="E941" s="67">
        <f t="shared" si="89"/>
        <v>1.4430597614995937</v>
      </c>
      <c r="F941" s="70">
        <f t="shared" si="93"/>
        <v>8.7622588718255331E-2</v>
      </c>
      <c r="G941" s="67">
        <f>E941/'Lookup Tables'!$C$48</f>
        <v>2.8861195229991874</v>
      </c>
      <c r="H941" s="70">
        <f t="shared" si="90"/>
        <v>1.2116763774904565E-3</v>
      </c>
      <c r="I941" s="71">
        <f t="shared" si="94"/>
        <v>4.15601211311883E-3</v>
      </c>
      <c r="L941" s="74"/>
      <c r="M941" s="74"/>
      <c r="N941" s="74"/>
      <c r="O941" s="74"/>
      <c r="P941" s="74"/>
      <c r="Q941" s="74"/>
      <c r="R941" s="74"/>
      <c r="S941" s="74"/>
      <c r="T941" s="74"/>
      <c r="U941" s="74"/>
      <c r="V941" s="74"/>
      <c r="W941" s="74"/>
      <c r="X941" s="74"/>
      <c r="Y941" s="74"/>
      <c r="Z941" s="74"/>
    </row>
    <row r="942" spans="1:26" x14ac:dyDescent="0.3">
      <c r="A942" s="66">
        <f t="shared" si="92"/>
        <v>2083.499999999915</v>
      </c>
      <c r="B942" s="67">
        <f>LOOKUP(A942+0.01,AmountsB!$A$4:$A$103,AmountsB!$B$4:$B$103)*0.1*$A$2</f>
        <v>0</v>
      </c>
      <c r="C942" s="68">
        <f t="shared" si="91"/>
        <v>625969.29735898925</v>
      </c>
      <c r="D942" s="67">
        <f t="array" ref="D942">SUM($B$7:$B937*$F$1009*EXP(-$F$1009*($A942-$A$7:$A937)))*$F$1010</f>
        <v>751670.58657626889</v>
      </c>
      <c r="E942" s="67">
        <f t="shared" si="89"/>
        <v>1.4329936157825101</v>
      </c>
      <c r="F942" s="70">
        <f t="shared" si="93"/>
        <v>8.7011372350314004E-2</v>
      </c>
      <c r="G942" s="67">
        <f>E942/'Lookup Tables'!$C$48</f>
        <v>2.8659872315650201</v>
      </c>
      <c r="H942" s="70">
        <f t="shared" si="90"/>
        <v>1.2032242597728282E-3</v>
      </c>
      <c r="I942" s="71">
        <f t="shared" si="94"/>
        <v>4.1270216134536289E-3</v>
      </c>
      <c r="L942" s="74"/>
      <c r="M942" s="74"/>
      <c r="N942" s="74"/>
      <c r="O942" s="74"/>
      <c r="P942" s="74"/>
      <c r="Q942" s="74"/>
      <c r="R942" s="74"/>
      <c r="S942" s="74"/>
      <c r="T942" s="74"/>
      <c r="U942" s="74"/>
      <c r="V942" s="74"/>
      <c r="W942" s="74"/>
      <c r="X942" s="74"/>
      <c r="Y942" s="74"/>
      <c r="Z942" s="74"/>
    </row>
    <row r="943" spans="1:26" x14ac:dyDescent="0.3">
      <c r="A943" s="66">
        <f t="shared" si="92"/>
        <v>2083.5999999999149</v>
      </c>
      <c r="B943" s="67">
        <f>LOOKUP(A943+0.01,AmountsB!$A$4:$A$103,AmountsB!$B$4:$B$103)*0.1*$A$2</f>
        <v>0</v>
      </c>
      <c r="C943" s="68">
        <f t="shared" si="91"/>
        <v>625969.29735898925</v>
      </c>
      <c r="D943" s="67">
        <f t="array" ref="D943">SUM($B$7:$B938*$F$1009*EXP(-$F$1009*($A943-$A$7:$A938)))*$F$1010</f>
        <v>746427.26550420246</v>
      </c>
      <c r="E943" s="67">
        <f t="shared" si="89"/>
        <v>1.4229976870393188</v>
      </c>
      <c r="F943" s="70">
        <f t="shared" si="93"/>
        <v>8.6404419557027434E-2</v>
      </c>
      <c r="G943" s="67">
        <f>E943/'Lookup Tables'!$C$48</f>
        <v>2.8459953740786377</v>
      </c>
      <c r="H943" s="70">
        <f t="shared" si="90"/>
        <v>1.1948311002846748E-3</v>
      </c>
      <c r="I943" s="71">
        <f t="shared" si="94"/>
        <v>4.0982333386732376E-3</v>
      </c>
      <c r="L943" s="74"/>
      <c r="M943" s="74"/>
      <c r="N943" s="74"/>
      <c r="O943" s="74"/>
      <c r="P943" s="74"/>
      <c r="Q943" s="74"/>
      <c r="R943" s="74"/>
      <c r="S943" s="74"/>
      <c r="T943" s="74"/>
      <c r="U943" s="74"/>
      <c r="V943" s="74"/>
      <c r="W943" s="74"/>
      <c r="X943" s="74"/>
      <c r="Y943" s="74"/>
      <c r="Z943" s="74"/>
    </row>
    <row r="944" spans="1:26" x14ac:dyDescent="0.3">
      <c r="A944" s="66">
        <f t="shared" si="92"/>
        <v>2083.6999999999148</v>
      </c>
      <c r="B944" s="67">
        <f>LOOKUP(A944+0.01,AmountsB!$A$4:$A$103,AmountsB!$B$4:$B$103)*0.1*$A$2</f>
        <v>0</v>
      </c>
      <c r="C944" s="68">
        <f t="shared" si="91"/>
        <v>625969.29735898925</v>
      </c>
      <c r="D944" s="67">
        <f t="array" ref="D944">SUM($B$7:$B939*$F$1009*EXP(-$F$1009*($A944-$A$7:$A939)))*$F$1010</f>
        <v>741220.51951749332</v>
      </c>
      <c r="E944" s="67">
        <f t="shared" si="89"/>
        <v>1.4130714854675106</v>
      </c>
      <c r="F944" s="70">
        <f t="shared" si="93"/>
        <v>8.5801700597587252E-2</v>
      </c>
      <c r="G944" s="67">
        <f>E944/'Lookup Tables'!$C$48</f>
        <v>2.8261429709350212</v>
      </c>
      <c r="H944" s="70">
        <f t="shared" si="90"/>
        <v>1.1864964877595012E-3</v>
      </c>
      <c r="I944" s="71">
        <f t="shared" si="94"/>
        <v>4.0696458781464299E-3</v>
      </c>
      <c r="L944" s="74"/>
      <c r="M944" s="74"/>
      <c r="N944" s="74"/>
      <c r="O944" s="74"/>
      <c r="P944" s="74"/>
      <c r="Q944" s="74"/>
      <c r="R944" s="74"/>
      <c r="S944" s="74"/>
      <c r="T944" s="74"/>
      <c r="U944" s="74"/>
      <c r="V944" s="74"/>
      <c r="W944" s="74"/>
      <c r="X944" s="74"/>
      <c r="Y944" s="74"/>
      <c r="Z944" s="74"/>
    </row>
    <row r="945" spans="1:26" x14ac:dyDescent="0.3">
      <c r="A945" s="66">
        <f t="shared" si="92"/>
        <v>2083.7999999999147</v>
      </c>
      <c r="B945" s="67">
        <f>LOOKUP(A945+0.01,AmountsB!$A$4:$A$103,AmountsB!$B$4:$B$103)*0.1*$A$2</f>
        <v>0</v>
      </c>
      <c r="C945" s="68">
        <f t="shared" si="91"/>
        <v>625969.29735898925</v>
      </c>
      <c r="D945" s="67">
        <f t="array" ref="D945">SUM($B$7:$B940*$F$1009*EXP(-$F$1009*($A945-$A$7:$A940)))*$F$1010</f>
        <v>736050.09348454652</v>
      </c>
      <c r="E945" s="67">
        <f t="shared" si="89"/>
        <v>1.4032145246812224</v>
      </c>
      <c r="F945" s="70">
        <f t="shared" si="93"/>
        <v>8.520318593864383E-2</v>
      </c>
      <c r="G945" s="67">
        <f>E945/'Lookup Tables'!$C$48</f>
        <v>2.8064290493624449</v>
      </c>
      <c r="H945" s="70">
        <f t="shared" si="90"/>
        <v>1.1782200137996262E-3</v>
      </c>
      <c r="I945" s="71">
        <f t="shared" si="94"/>
        <v>4.0412578310819207E-3</v>
      </c>
      <c r="L945" s="74"/>
      <c r="M945" s="74"/>
      <c r="N945" s="74"/>
      <c r="O945" s="74"/>
      <c r="P945" s="74"/>
      <c r="Q945" s="74"/>
      <c r="R945" s="74"/>
      <c r="S945" s="74"/>
      <c r="T945" s="74"/>
      <c r="U945" s="74"/>
      <c r="V945" s="74"/>
      <c r="W945" s="74"/>
      <c r="X945" s="74"/>
      <c r="Y945" s="74"/>
      <c r="Z945" s="74"/>
    </row>
    <row r="946" spans="1:26" x14ac:dyDescent="0.3">
      <c r="A946" s="66">
        <f t="shared" si="92"/>
        <v>2083.8999999999146</v>
      </c>
      <c r="B946" s="67">
        <f>LOOKUP(A946+0.01,AmountsB!$A$4:$A$103,AmountsB!$B$4:$B$103)*0.1*$A$2</f>
        <v>0</v>
      </c>
      <c r="C946" s="68">
        <f t="shared" si="91"/>
        <v>625969.29735898925</v>
      </c>
      <c r="D946" s="67">
        <f t="array" ref="D946">SUM($B$7:$B941*$F$1009*EXP(-$F$1009*($A946-$A$7:$A941)))*$F$1010</f>
        <v>730915.73405345203</v>
      </c>
      <c r="E946" s="67">
        <f t="shared" si="89"/>
        <v>1.3934263216874039</v>
      </c>
      <c r="F946" s="70">
        <f t="shared" si="93"/>
        <v>8.4608846252859166E-2</v>
      </c>
      <c r="G946" s="67">
        <f>E946/'Lookup Tables'!$C$48</f>
        <v>2.7868526433748078</v>
      </c>
      <c r="H946" s="70">
        <f t="shared" si="90"/>
        <v>1.1700012728561697E-3</v>
      </c>
      <c r="I946" s="71">
        <f t="shared" si="94"/>
        <v>4.0130678064597232E-3</v>
      </c>
      <c r="L946" s="74"/>
      <c r="M946" s="74"/>
      <c r="N946" s="74"/>
      <c r="O946" s="74"/>
      <c r="P946" s="74"/>
      <c r="Q946" s="74"/>
      <c r="R946" s="74"/>
      <c r="S946" s="74"/>
      <c r="T946" s="74"/>
      <c r="U946" s="74"/>
      <c r="V946" s="74"/>
      <c r="W946" s="74"/>
      <c r="X946" s="74"/>
      <c r="Y946" s="74"/>
      <c r="Z946" s="74"/>
    </row>
    <row r="947" spans="1:26" x14ac:dyDescent="0.3">
      <c r="A947" s="66">
        <f t="shared" si="92"/>
        <v>2083.9999999999145</v>
      </c>
      <c r="B947" s="67">
        <f>LOOKUP(A947+0.01,AmountsB!$A$4:$A$103,AmountsB!$B$4:$B$103)*0.1*$A$2</f>
        <v>0</v>
      </c>
      <c r="C947" s="68">
        <f t="shared" si="91"/>
        <v>625969.29735898925</v>
      </c>
      <c r="D947" s="67">
        <f t="array" ref="D947">SUM($B$7:$B942*$F$1009*EXP(-$F$1009*($A947-$A$7:$A942)))*$F$1010</f>
        <v>725817.18963957019</v>
      </c>
      <c r="E947" s="67">
        <f t="shared" si="89"/>
        <v>1.3837063968621495</v>
      </c>
      <c r="F947" s="70">
        <f t="shared" si="93"/>
        <v>8.4018652417469725E-2</v>
      </c>
      <c r="G947" s="67">
        <f>E947/'Lookup Tables'!$C$48</f>
        <v>2.7674127937242989</v>
      </c>
      <c r="H947" s="70">
        <f t="shared" si="90"/>
        <v>1.161839862209181E-3</v>
      </c>
      <c r="I947" s="71">
        <f t="shared" si="94"/>
        <v>3.9850744229629909E-3</v>
      </c>
      <c r="L947" s="74"/>
      <c r="M947" s="74"/>
      <c r="N947" s="74"/>
      <c r="O947" s="74"/>
      <c r="P947" s="74"/>
      <c r="Q947" s="74"/>
      <c r="R947" s="74"/>
      <c r="S947" s="74"/>
      <c r="T947" s="74"/>
      <c r="U947" s="74"/>
      <c r="V947" s="74"/>
      <c r="W947" s="74"/>
      <c r="X947" s="74"/>
      <c r="Y947" s="74"/>
      <c r="Z947" s="74"/>
    </row>
    <row r="948" spans="1:26" x14ac:dyDescent="0.3">
      <c r="A948" s="66">
        <f t="shared" si="92"/>
        <v>2084.0999999999144</v>
      </c>
      <c r="B948" s="67">
        <f>LOOKUP(A948+0.01,AmountsB!$A$4:$A$103,AmountsB!$B$4:$B$103)*0.1*$A$2</f>
        <v>0</v>
      </c>
      <c r="C948" s="68">
        <f t="shared" si="91"/>
        <v>625969.29735898925</v>
      </c>
      <c r="D948" s="67">
        <f t="array" ref="D948">SUM($B$7:$B943*$F$1009*EXP(-$F$1009*($A948-$A$7:$A943)))*$F$1010</f>
        <v>720754.2104132052</v>
      </c>
      <c r="E948" s="67">
        <f t="shared" si="89"/>
        <v>1.374054273927199</v>
      </c>
      <c r="F948" s="70">
        <f t="shared" si="93"/>
        <v>8.3432575512859514E-2</v>
      </c>
      <c r="G948" s="67">
        <f>E948/'Lookup Tables'!$C$48</f>
        <v>2.7481085478543981</v>
      </c>
      <c r="H948" s="70">
        <f t="shared" si="90"/>
        <v>1.1537353819479059E-3</v>
      </c>
      <c r="I948" s="71">
        <f t="shared" si="94"/>
        <v>3.9572763089103331E-3</v>
      </c>
      <c r="L948" s="74"/>
      <c r="M948" s="74"/>
      <c r="N948" s="74"/>
      <c r="O948" s="74"/>
      <c r="P948" s="74"/>
      <c r="Q948" s="74"/>
      <c r="R948" s="74"/>
      <c r="S948" s="74"/>
      <c r="T948" s="74"/>
      <c r="U948" s="74"/>
      <c r="V948" s="74"/>
      <c r="W948" s="74"/>
      <c r="X948" s="74"/>
      <c r="Y948" s="74"/>
      <c r="Z948" s="74"/>
    </row>
    <row r="949" spans="1:26" x14ac:dyDescent="0.3">
      <c r="A949" s="66">
        <f t="shared" si="92"/>
        <v>2084.1999999999143</v>
      </c>
      <c r="B949" s="67">
        <f>LOOKUP(A949+0.01,AmountsB!$A$4:$A$103,AmountsB!$B$4:$B$103)*0.1*$A$2</f>
        <v>0</v>
      </c>
      <c r="C949" s="68">
        <f t="shared" si="91"/>
        <v>625969.29735898925</v>
      </c>
      <c r="D949" s="67">
        <f t="array" ref="D949">SUM($B$7:$B944*$F$1009*EXP(-$F$1009*($A949-$A$7:$A944)))*$F$1010</f>
        <v>715726.54828736139</v>
      </c>
      <c r="E949" s="67">
        <f t="shared" si="89"/>
        <v>1.3644694799265964</v>
      </c>
      <c r="F949" s="70">
        <f t="shared" si="93"/>
        <v>8.2850586821142935E-2</v>
      </c>
      <c r="G949" s="67">
        <f>E949/'Lookup Tables'!$C$48</f>
        <v>2.7289389598531928</v>
      </c>
      <c r="H949" s="70">
        <f t="shared" si="90"/>
        <v>1.1456874349511897E-3</v>
      </c>
      <c r="I949" s="71">
        <f t="shared" si="94"/>
        <v>3.9296721021885974E-3</v>
      </c>
      <c r="L949" s="74"/>
      <c r="M949" s="74"/>
      <c r="N949" s="74"/>
      <c r="O949" s="74"/>
      <c r="P949" s="74"/>
      <c r="Q949" s="74"/>
      <c r="R949" s="74"/>
      <c r="S949" s="74"/>
      <c r="T949" s="74"/>
      <c r="U949" s="74"/>
      <c r="V949" s="74"/>
      <c r="W949" s="74"/>
      <c r="X949" s="74"/>
      <c r="Y949" s="74"/>
      <c r="Z949" s="74"/>
    </row>
    <row r="950" spans="1:26" x14ac:dyDescent="0.3">
      <c r="A950" s="66">
        <f t="shared" si="92"/>
        <v>2084.2999999999142</v>
      </c>
      <c r="B950" s="67">
        <f>LOOKUP(A950+0.01,AmountsB!$A$4:$A$103,AmountsB!$B$4:$B$103)*0.1*$A$2</f>
        <v>0</v>
      </c>
      <c r="C950" s="68">
        <f t="shared" si="91"/>
        <v>625969.29735898925</v>
      </c>
      <c r="D950" s="67">
        <f t="array" ref="D950">SUM($B$7:$B945*$F$1009*EXP(-$F$1009*($A950-$A$7:$A945)))*$F$1010</f>
        <v>710733.95690558862</v>
      </c>
      <c r="E950" s="67">
        <f t="shared" si="89"/>
        <v>1.3549515452035177</v>
      </c>
      <c r="F950" s="70">
        <f t="shared" si="93"/>
        <v>8.2272657824757581E-2</v>
      </c>
      <c r="G950" s="67">
        <f>E950/'Lookup Tables'!$C$48</f>
        <v>2.7099030904070354</v>
      </c>
      <c r="H950" s="70">
        <f t="shared" si="90"/>
        <v>1.1376956268680193E-3</v>
      </c>
      <c r="I950" s="71">
        <f t="shared" si="94"/>
        <v>3.9022604501861304E-3</v>
      </c>
      <c r="L950" s="74"/>
      <c r="M950" s="74"/>
      <c r="N950" s="74"/>
      <c r="O950" s="74"/>
      <c r="P950" s="74"/>
      <c r="Q950" s="74"/>
      <c r="R950" s="74"/>
      <c r="S950" s="74"/>
      <c r="T950" s="74"/>
      <c r="U950" s="74"/>
      <c r="V950" s="74"/>
      <c r="W950" s="74"/>
      <c r="X950" s="74"/>
      <c r="Y950" s="74"/>
      <c r="Z950" s="74"/>
    </row>
    <row r="951" spans="1:26" x14ac:dyDescent="0.3">
      <c r="A951" s="66">
        <f t="shared" si="92"/>
        <v>2084.3999999999141</v>
      </c>
      <c r="B951" s="67">
        <f>LOOKUP(A951+0.01,AmountsB!$A$4:$A$103,AmountsB!$B$4:$B$103)*0.1*$A$2</f>
        <v>0</v>
      </c>
      <c r="C951" s="68">
        <f t="shared" si="91"/>
        <v>625969.29735898925</v>
      </c>
      <c r="D951" s="67">
        <f t="array" ref="D951">SUM($B$7:$B946*$F$1009*EXP(-$F$1009*($A951-$A$7:$A946)))*$F$1010</f>
        <v>705776.19162991049</v>
      </c>
      <c r="E951" s="67">
        <f t="shared" si="89"/>
        <v>1.3455000033772577</v>
      </c>
      <c r="F951" s="70">
        <f t="shared" si="93"/>
        <v>8.1698760205067097E-2</v>
      </c>
      <c r="G951" s="67">
        <f>E951/'Lookup Tables'!$C$48</f>
        <v>2.6910000067545155</v>
      </c>
      <c r="H951" s="70">
        <f t="shared" si="90"/>
        <v>1.1297595660981997E-3</v>
      </c>
      <c r="I951" s="71">
        <f t="shared" si="94"/>
        <v>3.8750400097265023E-3</v>
      </c>
      <c r="L951" s="74"/>
      <c r="M951" s="74"/>
      <c r="N951" s="74"/>
      <c r="O951" s="74"/>
      <c r="P951" s="74"/>
      <c r="Q951" s="74"/>
      <c r="R951" s="74"/>
      <c r="S951" s="74"/>
      <c r="T951" s="74"/>
      <c r="U951" s="74"/>
      <c r="V951" s="74"/>
      <c r="W951" s="74"/>
      <c r="X951" s="74"/>
      <c r="Y951" s="74"/>
      <c r="Z951" s="74"/>
    </row>
    <row r="952" spans="1:26" x14ac:dyDescent="0.3">
      <c r="A952" s="66">
        <f t="shared" si="92"/>
        <v>2084.4999999999141</v>
      </c>
      <c r="B952" s="67">
        <f>LOOKUP(A952+0.01,AmountsB!$A$4:$A$103,AmountsB!$B$4:$B$103)*0.1*$A$2</f>
        <v>0</v>
      </c>
      <c r="C952" s="68">
        <f t="shared" si="91"/>
        <v>625969.29735898925</v>
      </c>
      <c r="D952" s="67">
        <f t="array" ref="D952">SUM($B$7:$B947*$F$1009*EXP(-$F$1009*($A952-$A$7:$A947)))*$F$1010</f>
        <v>700853.00952883658</v>
      </c>
      <c r="E952" s="67">
        <f t="shared" si="89"/>
        <v>1.3361143913203759</v>
      </c>
      <c r="F952" s="70">
        <f t="shared" si="93"/>
        <v>8.112886584097323E-2</v>
      </c>
      <c r="G952" s="67">
        <f>E952/'Lookup Tables'!$C$48</f>
        <v>2.6722287826407518</v>
      </c>
      <c r="H952" s="70">
        <f t="shared" si="90"/>
        <v>1.1218788637731654E-3</v>
      </c>
      <c r="I952" s="71">
        <f t="shared" si="94"/>
        <v>3.8480094470026826E-3</v>
      </c>
      <c r="L952" s="74"/>
      <c r="M952" s="74"/>
      <c r="N952" s="74"/>
      <c r="O952" s="74"/>
      <c r="P952" s="74"/>
      <c r="Q952" s="74"/>
      <c r="R952" s="74"/>
      <c r="S952" s="74"/>
      <c r="T952" s="74"/>
      <c r="U952" s="74"/>
      <c r="V952" s="74"/>
      <c r="W952" s="74"/>
      <c r="X952" s="74"/>
      <c r="Y952" s="74"/>
      <c r="Z952" s="74"/>
    </row>
    <row r="953" spans="1:26" x14ac:dyDescent="0.3">
      <c r="A953" s="66">
        <f t="shared" si="92"/>
        <v>2084.599999999914</v>
      </c>
      <c r="B953" s="67">
        <f>LOOKUP(A953+0.01,AmountsB!$A$4:$A$103,AmountsB!$B$4:$B$103)*0.1*$A$2</f>
        <v>0</v>
      </c>
      <c r="C953" s="68">
        <f t="shared" si="91"/>
        <v>625969.29735898925</v>
      </c>
      <c r="D953" s="67">
        <f t="array" ref="D953">SUM($B$7:$B948*$F$1009*EXP(-$F$1009*($A953-$A$7:$A948)))*$F$1010</f>
        <v>695964.16936545854</v>
      </c>
      <c r="E953" s="67">
        <f t="shared" si="89"/>
        <v>1.326794249136003</v>
      </c>
      <c r="F953" s="70">
        <f t="shared" si="93"/>
        <v>8.0562946807538102E-2</v>
      </c>
      <c r="G953" s="67">
        <f>E953/'Lookup Tables'!$C$48</f>
        <v>2.6535884982720059</v>
      </c>
      <c r="H953" s="70">
        <f t="shared" si="90"/>
        <v>1.1140531337369252E-3</v>
      </c>
      <c r="I953" s="71">
        <f t="shared" si="94"/>
        <v>3.8211674375116882E-3</v>
      </c>
      <c r="L953" s="74"/>
      <c r="M953" s="74"/>
      <c r="N953" s="74"/>
      <c r="O953" s="74"/>
      <c r="P953" s="74"/>
      <c r="Q953" s="74"/>
      <c r="R953" s="74"/>
      <c r="S953" s="74"/>
      <c r="T953" s="74"/>
      <c r="U953" s="74"/>
      <c r="V953" s="74"/>
      <c r="W953" s="74"/>
      <c r="X953" s="74"/>
      <c r="Y953" s="74"/>
      <c r="Z953" s="74"/>
    </row>
    <row r="954" spans="1:26" x14ac:dyDescent="0.3">
      <c r="A954" s="66">
        <f t="shared" si="92"/>
        <v>2084.6999999999139</v>
      </c>
      <c r="B954" s="67">
        <f>LOOKUP(A954+0.01,AmountsB!$A$4:$A$103,AmountsB!$B$4:$B$103)*0.1*$A$2</f>
        <v>0</v>
      </c>
      <c r="C954" s="68">
        <f t="shared" si="91"/>
        <v>625969.29735898925</v>
      </c>
      <c r="D954" s="67">
        <f t="array" ref="D954">SUM($B$7:$B949*$F$1009*EXP(-$F$1009*($A954-$A$7:$A949)))*$F$1010</f>
        <v>691109.43158563063</v>
      </c>
      <c r="E954" s="67">
        <f t="shared" si="89"/>
        <v>1.3175391201353077</v>
      </c>
      <c r="F954" s="70">
        <f t="shared" si="93"/>
        <v>8.0000975374615882E-2</v>
      </c>
      <c r="G954" s="67">
        <f>E954/'Lookup Tables'!$C$48</f>
        <v>2.6350782402706154</v>
      </c>
      <c r="H954" s="70">
        <f t="shared" si="90"/>
        <v>1.106281992527142E-3</v>
      </c>
      <c r="I954" s="71">
        <f t="shared" si="94"/>
        <v>3.794512665989686E-3</v>
      </c>
      <c r="L954" s="74"/>
      <c r="M954" s="74"/>
      <c r="N954" s="74"/>
      <c r="O954" s="74"/>
      <c r="P954" s="74"/>
      <c r="Q954" s="74"/>
      <c r="R954" s="74"/>
      <c r="S954" s="74"/>
      <c r="T954" s="74"/>
      <c r="U954" s="74"/>
      <c r="V954" s="74"/>
      <c r="W954" s="74"/>
      <c r="X954" s="74"/>
      <c r="Y954" s="74"/>
      <c r="Z954" s="74"/>
    </row>
    <row r="955" spans="1:26" x14ac:dyDescent="0.3">
      <c r="A955" s="66">
        <f t="shared" si="92"/>
        <v>2084.7999999999138</v>
      </c>
      <c r="B955" s="67">
        <f>LOOKUP(A955+0.01,AmountsB!$A$4:$A$103,AmountsB!$B$4:$B$103)*0.1*$A$2</f>
        <v>0</v>
      </c>
      <c r="C955" s="68">
        <f t="shared" si="91"/>
        <v>625969.29735898925</v>
      </c>
      <c r="D955" s="67">
        <f t="array" ref="D955">SUM($B$7:$B950*$F$1009*EXP(-$F$1009*($A955-$A$7:$A950)))*$F$1010</f>
        <v>686288.55830623012</v>
      </c>
      <c r="E955" s="67">
        <f t="shared" si="89"/>
        <v>1.3083485508151174</v>
      </c>
      <c r="F955" s="70">
        <f t="shared" si="93"/>
        <v>7.9442924005493909E-2</v>
      </c>
      <c r="G955" s="67">
        <f>E955/'Lookup Tables'!$C$48</f>
        <v>2.6166971016302347</v>
      </c>
      <c r="H955" s="70">
        <f t="shared" si="90"/>
        <v>1.0985650593563418E-3</v>
      </c>
      <c r="I955" s="71">
        <f t="shared" si="94"/>
        <v>3.7680438263475381E-3</v>
      </c>
      <c r="L955" s="74"/>
      <c r="M955" s="74"/>
      <c r="N955" s="74"/>
      <c r="O955" s="74"/>
      <c r="P955" s="74"/>
      <c r="Q955" s="74"/>
      <c r="R955" s="74"/>
      <c r="S955" s="74"/>
      <c r="T955" s="74"/>
      <c r="U955" s="74"/>
      <c r="V955" s="74"/>
      <c r="W955" s="74"/>
      <c r="X955" s="74"/>
      <c r="Y955" s="74"/>
      <c r="Z955" s="74"/>
    </row>
    <row r="956" spans="1:26" x14ac:dyDescent="0.3">
      <c r="A956" s="66">
        <f t="shared" si="92"/>
        <v>2084.8999999999137</v>
      </c>
      <c r="B956" s="67">
        <f>LOOKUP(A956+0.01,AmountsB!$A$4:$A$103,AmountsB!$B$4:$B$103)*0.1*$A$2</f>
        <v>0</v>
      </c>
      <c r="C956" s="68">
        <f t="shared" si="91"/>
        <v>625969.29735898925</v>
      </c>
      <c r="D956" s="67">
        <f t="array" ref="D956">SUM($B$7:$B951*$F$1009*EXP(-$F$1009*($A956-$A$7:$A951)))*$F$1010</f>
        <v>681501.31330350146</v>
      </c>
      <c r="E956" s="67">
        <f t="shared" si="89"/>
        <v>1.2992220908356955</v>
      </c>
      <c r="F956" s="70">
        <f t="shared" si="93"/>
        <v>7.8888765355543441E-2</v>
      </c>
      <c r="G956" s="67">
        <f>E956/'Lookup Tables'!$C$48</f>
        <v>2.598444181671391</v>
      </c>
      <c r="H956" s="70">
        <f t="shared" si="90"/>
        <v>1.0909019560932547E-3</v>
      </c>
      <c r="I956" s="71">
        <f t="shared" si="94"/>
        <v>3.7417596216068032E-3</v>
      </c>
      <c r="L956" s="74"/>
      <c r="M956" s="74"/>
      <c r="N956" s="74"/>
      <c r="O956" s="74"/>
      <c r="P956" s="74"/>
      <c r="Q956" s="74"/>
      <c r="R956" s="74"/>
      <c r="S956" s="74"/>
      <c r="T956" s="74"/>
      <c r="U956" s="74"/>
      <c r="V956" s="74"/>
      <c r="W956" s="74"/>
      <c r="X956" s="74"/>
      <c r="Y956" s="74"/>
      <c r="Z956" s="74"/>
    </row>
    <row r="957" spans="1:26" x14ac:dyDescent="0.3">
      <c r="A957" s="66">
        <f t="shared" si="92"/>
        <v>2084.9999999999136</v>
      </c>
      <c r="B957" s="67">
        <f>LOOKUP(A957+0.01,AmountsB!$A$4:$A$103,AmountsB!$B$4:$B$103)*0.1*$A$2</f>
        <v>0</v>
      </c>
      <c r="C957" s="68">
        <f t="shared" si="91"/>
        <v>625969.29735898925</v>
      </c>
      <c r="D957" s="67">
        <f t="array" ref="D957">SUM($B$7:$B952*$F$1009*EXP(-$F$1009*($A957-$A$7:$A952)))*$F$1010</f>
        <v>676747.46200148226</v>
      </c>
      <c r="E957" s="67">
        <f t="shared" si="89"/>
        <v>1.2901592929986783</v>
      </c>
      <c r="F957" s="70">
        <f t="shared" si="93"/>
        <v>7.8338472270879755E-2</v>
      </c>
      <c r="G957" s="67">
        <f>E957/'Lookup Tables'!$C$48</f>
        <v>2.5803185859973565</v>
      </c>
      <c r="H957" s="70">
        <f t="shared" si="90"/>
        <v>1.0832923072442882E-3</v>
      </c>
      <c r="I957" s="71">
        <f t="shared" si="94"/>
        <v>3.7156587638361932E-3</v>
      </c>
      <c r="L957" s="74"/>
      <c r="M957" s="74"/>
      <c r="N957" s="74"/>
      <c r="O957" s="74"/>
      <c r="P957" s="74"/>
      <c r="Q957" s="74"/>
      <c r="R957" s="74"/>
      <c r="S957" s="74"/>
      <c r="T957" s="74"/>
      <c r="U957" s="74"/>
      <c r="V957" s="74"/>
      <c r="W957" s="74"/>
      <c r="X957" s="74"/>
      <c r="Y957" s="74"/>
      <c r="Z957" s="74"/>
    </row>
    <row r="958" spans="1:26" x14ac:dyDescent="0.3">
      <c r="A958" s="66">
        <f t="shared" si="92"/>
        <v>2085.0999999999135</v>
      </c>
      <c r="B958" s="67">
        <f>LOOKUP(A958+0.01,AmountsB!$A$4:$A$103,AmountsB!$B$4:$B$103)*0.1*$A$2</f>
        <v>0</v>
      </c>
      <c r="C958" s="68">
        <f t="shared" si="91"/>
        <v>625969.29735898925</v>
      </c>
      <c r="D958" s="67">
        <f t="array" ref="D958">SUM($B$7:$B953*$F$1009*EXP(-$F$1009*($A958-$A$7:$A953)))*$F$1010</f>
        <v>672026.77146050672</v>
      </c>
      <c r="E958" s="67">
        <f t="shared" si="89"/>
        <v>1.2811597132251566</v>
      </c>
      <c r="F958" s="70">
        <f t="shared" si="93"/>
        <v>7.7792017787031514E-2</v>
      </c>
      <c r="G958" s="67">
        <f>E958/'Lookup Tables'!$C$48</f>
        <v>2.5623194264503133</v>
      </c>
      <c r="H958" s="70">
        <f t="shared" si="90"/>
        <v>1.0757357399351246E-3</v>
      </c>
      <c r="I958" s="71">
        <f t="shared" si="94"/>
        <v>3.689739974088451E-3</v>
      </c>
      <c r="L958" s="74"/>
      <c r="M958" s="74"/>
      <c r="N958" s="74"/>
      <c r="O958" s="74"/>
      <c r="P958" s="74"/>
      <c r="Q958" s="74"/>
      <c r="R958" s="74"/>
      <c r="S958" s="74"/>
      <c r="T958" s="74"/>
      <c r="U958" s="74"/>
      <c r="V958" s="74"/>
      <c r="W958" s="74"/>
      <c r="X958" s="74"/>
      <c r="Y958" s="74"/>
      <c r="Z958" s="74"/>
    </row>
    <row r="959" spans="1:26" x14ac:dyDescent="0.3">
      <c r="A959" s="66">
        <f t="shared" si="92"/>
        <v>2085.1999999999134</v>
      </c>
      <c r="B959" s="67">
        <f>LOOKUP(A959+0.01,AmountsB!$A$4:$A$103,AmountsB!$B$4:$B$103)*0.1*$A$2</f>
        <v>0</v>
      </c>
      <c r="C959" s="68">
        <f t="shared" si="91"/>
        <v>625969.29735898925</v>
      </c>
      <c r="D959" s="67">
        <f t="array" ref="D959">SUM($B$7:$B954*$F$1009*EXP(-$F$1009*($A959-$A$7:$A954)))*$F$1010</f>
        <v>667339.01036579441</v>
      </c>
      <c r="E959" s="67">
        <f t="shared" si="89"/>
        <v>1.2722229105339227</v>
      </c>
      <c r="F959" s="70">
        <f t="shared" si="93"/>
        <v>7.7249375127619785E-2</v>
      </c>
      <c r="G959" s="67">
        <f>E959/'Lookup Tables'!$C$48</f>
        <v>2.5444458210678453</v>
      </c>
      <c r="H959" s="70">
        <f t="shared" si="90"/>
        <v>1.0682318838924553E-3</v>
      </c>
      <c r="I959" s="71">
        <f t="shared" si="94"/>
        <v>3.6640019823376969E-3</v>
      </c>
      <c r="L959" s="74"/>
      <c r="M959" s="74"/>
      <c r="N959" s="74"/>
      <c r="O959" s="74"/>
      <c r="P959" s="74"/>
      <c r="Q959" s="74"/>
      <c r="R959" s="74"/>
      <c r="S959" s="74"/>
      <c r="T959" s="74"/>
      <c r="U959" s="74"/>
      <c r="V959" s="74"/>
      <c r="W959" s="74"/>
      <c r="X959" s="74"/>
      <c r="Y959" s="74"/>
      <c r="Z959" s="74"/>
    </row>
    <row r="960" spans="1:26" x14ac:dyDescent="0.3">
      <c r="A960" s="66">
        <f t="shared" si="92"/>
        <v>2085.2999999999133</v>
      </c>
      <c r="B960" s="67">
        <f>LOOKUP(A960+0.01,AmountsB!$A$4:$A$103,AmountsB!$B$4:$B$103)*0.1*$A$2</f>
        <v>0</v>
      </c>
      <c r="C960" s="68">
        <f t="shared" si="91"/>
        <v>625969.29735898925</v>
      </c>
      <c r="D960" s="67">
        <f t="array" ref="D960">SUM($B$7:$B955*$F$1009*EXP(-$F$1009*($A960-$A$7:$A955)))*$F$1010</f>
        <v>662683.94901611365</v>
      </c>
      <c r="E960" s="67">
        <f t="shared" si="89"/>
        <v>1.2633484470198555</v>
      </c>
      <c r="F960" s="70">
        <f t="shared" si="93"/>
        <v>7.6710517703045628E-2</v>
      </c>
      <c r="G960" s="67">
        <f>E960/'Lookup Tables'!$C$48</f>
        <v>2.526696894039711</v>
      </c>
      <c r="H960" s="70">
        <f t="shared" si="90"/>
        <v>1.0607803714258327E-3</v>
      </c>
      <c r="I960" s="71">
        <f t="shared" si="94"/>
        <v>3.6384435274171836E-3</v>
      </c>
      <c r="L960" s="74"/>
      <c r="M960" s="74"/>
      <c r="N960" s="74"/>
      <c r="O960" s="74"/>
      <c r="P960" s="74"/>
      <c r="Q960" s="74"/>
      <c r="R960" s="74"/>
      <c r="S960" s="74"/>
      <c r="T960" s="74"/>
      <c r="U960" s="74"/>
      <c r="V960" s="74"/>
      <c r="W960" s="74"/>
      <c r="X960" s="74"/>
      <c r="Y960" s="74"/>
      <c r="Z960" s="74"/>
    </row>
    <row r="961" spans="1:26" x14ac:dyDescent="0.3">
      <c r="A961" s="66">
        <f t="shared" si="92"/>
        <v>2085.3999999999132</v>
      </c>
      <c r="B961" s="67">
        <f>LOOKUP(A961+0.01,AmountsB!$A$4:$A$103,AmountsB!$B$4:$B$103)*0.1*$A$2</f>
        <v>0</v>
      </c>
      <c r="C961" s="68">
        <f t="shared" si="91"/>
        <v>625969.29735898925</v>
      </c>
      <c r="D961" s="67">
        <f t="array" ref="D961">SUM($B$7:$B956*$F$1009*EXP(-$F$1009*($A961-$A$7:$A956)))*$F$1010</f>
        <v>658061.35931252688</v>
      </c>
      <c r="E961" s="67">
        <f t="shared" si="89"/>
        <v>1.2545358878324679</v>
      </c>
      <c r="F961" s="70">
        <f t="shared" si="93"/>
        <v>7.6175419109187459E-2</v>
      </c>
      <c r="G961" s="67">
        <f>E961/'Lookup Tables'!$C$48</f>
        <v>2.5090717756649359</v>
      </c>
      <c r="H961" s="70">
        <f t="shared" si="90"/>
        <v>1.0533808374096545E-3</v>
      </c>
      <c r="I961" s="71">
        <f t="shared" si="94"/>
        <v>3.6130633569575075E-3</v>
      </c>
      <c r="L961" s="74"/>
      <c r="M961" s="74"/>
      <c r="N961" s="74"/>
      <c r="O961" s="74"/>
      <c r="P961" s="74"/>
      <c r="Q961" s="74"/>
      <c r="R961" s="74"/>
      <c r="S961" s="74"/>
      <c r="T961" s="74"/>
      <c r="U961" s="74"/>
      <c r="V961" s="74"/>
      <c r="W961" s="74"/>
      <c r="X961" s="74"/>
      <c r="Y961" s="74"/>
      <c r="Z961" s="74"/>
    </row>
    <row r="962" spans="1:26" x14ac:dyDescent="0.3">
      <c r="A962" s="66">
        <f t="shared" si="92"/>
        <v>2085.4999999999131</v>
      </c>
      <c r="B962" s="67">
        <f>LOOKUP(A962+0.01,AmountsB!$A$4:$A$103,AmountsB!$B$4:$B$103)*0.1*$A$2</f>
        <v>0</v>
      </c>
      <c r="C962" s="68">
        <f t="shared" si="91"/>
        <v>625969.29735898925</v>
      </c>
      <c r="D962" s="67">
        <f t="array" ref="D962">SUM($B$7:$B957*$F$1009*EXP(-$F$1009*($A962-$A$7:$A957)))*$F$1010</f>
        <v>653471.01474721381</v>
      </c>
      <c r="E962" s="67">
        <f t="shared" si="89"/>
        <v>1.2457848011545962</v>
      </c>
      <c r="F962" s="70">
        <f t="shared" si="93"/>
        <v>7.5644053126107086E-2</v>
      </c>
      <c r="G962" s="67">
        <f>E962/'Lookup Tables'!$C$48</f>
        <v>2.4915696023091924</v>
      </c>
      <c r="H962" s="70">
        <f t="shared" si="90"/>
        <v>1.0460329192652738E-3</v>
      </c>
      <c r="I962" s="71">
        <f t="shared" si="94"/>
        <v>3.5878602273252372E-3</v>
      </c>
      <c r="L962" s="74"/>
      <c r="M962" s="74"/>
      <c r="N962" s="74"/>
      <c r="O962" s="74"/>
      <c r="P962" s="74"/>
      <c r="Q962" s="74"/>
      <c r="R962" s="74"/>
      <c r="S962" s="74"/>
      <c r="T962" s="74"/>
      <c r="U962" s="74"/>
      <c r="V962" s="74"/>
      <c r="W962" s="74"/>
      <c r="X962" s="74"/>
      <c r="Y962" s="74"/>
      <c r="Z962" s="74"/>
    </row>
    <row r="963" spans="1:26" x14ac:dyDescent="0.3">
      <c r="A963" s="66">
        <f t="shared" si="92"/>
        <v>2085.5999999999131</v>
      </c>
      <c r="B963" s="67">
        <f>LOOKUP(A963+0.01,AmountsB!$A$4:$A$103,AmountsB!$B$4:$B$103)*0.1*$A$2</f>
        <v>0</v>
      </c>
      <c r="C963" s="68">
        <f t="shared" si="91"/>
        <v>625969.29735898925</v>
      </c>
      <c r="D963" s="67">
        <f t="array" ref="D963">SUM($B$7:$B958*$F$1009*EXP(-$F$1009*($A963-$A$7:$A958)))*$F$1010</f>
        <v>648912.69039237185</v>
      </c>
      <c r="E963" s="67">
        <f t="shared" si="89"/>
        <v>1.2370947581812417</v>
      </c>
      <c r="F963" s="70">
        <f t="shared" si="93"/>
        <v>7.5116393716764984E-2</v>
      </c>
      <c r="G963" s="67">
        <f>E963/'Lookup Tables'!$C$48</f>
        <v>2.4741895163624834</v>
      </c>
      <c r="H963" s="70">
        <f t="shared" si="90"/>
        <v>1.0387362569432305E-3</v>
      </c>
      <c r="I963" s="71">
        <f t="shared" si="94"/>
        <v>3.5628329035619758E-3</v>
      </c>
      <c r="L963" s="74"/>
      <c r="M963" s="74"/>
      <c r="N963" s="74"/>
      <c r="O963" s="74"/>
      <c r="P963" s="74"/>
      <c r="Q963" s="74"/>
      <c r="R963" s="74"/>
      <c r="S963" s="74"/>
      <c r="T963" s="74"/>
      <c r="U963" s="74"/>
      <c r="V963" s="74"/>
      <c r="W963" s="74"/>
      <c r="X963" s="74"/>
      <c r="Y963" s="74"/>
      <c r="Z963" s="74"/>
    </row>
    <row r="964" spans="1:26" x14ac:dyDescent="0.3">
      <c r="A964" s="66">
        <f t="shared" si="92"/>
        <v>2085.699999999913</v>
      </c>
      <c r="B964" s="67">
        <f>LOOKUP(A964+0.01,AmountsB!$A$4:$A$103,AmountsB!$B$4:$B$103)*0.1*$A$2</f>
        <v>0</v>
      </c>
      <c r="C964" s="68">
        <f t="shared" si="91"/>
        <v>625969.29735898925</v>
      </c>
      <c r="D964" s="67">
        <f t="array" ref="D964">SUM($B$7:$B959*$F$1009*EXP(-$F$1009*($A964-$A$7:$A959)))*$F$1010</f>
        <v>644386.16288919596</v>
      </c>
      <c r="E964" s="67">
        <f t="shared" si="89"/>
        <v>1.2284653330985602</v>
      </c>
      <c r="F964" s="70">
        <f t="shared" si="93"/>
        <v>7.4592415025744568E-2</v>
      </c>
      <c r="G964" s="67">
        <f>E964/'Lookup Tables'!$C$48</f>
        <v>2.4569306661971204</v>
      </c>
      <c r="H964" s="70">
        <f t="shared" si="90"/>
        <v>1.0314904929056117E-3</v>
      </c>
      <c r="I964" s="71">
        <f t="shared" si="94"/>
        <v>3.5379801593238532E-3</v>
      </c>
      <c r="L964" s="74"/>
      <c r="M964" s="74"/>
      <c r="N964" s="74"/>
      <c r="O964" s="74"/>
      <c r="P964" s="74"/>
      <c r="Q964" s="74"/>
      <c r="R964" s="74"/>
      <c r="S964" s="74"/>
      <c r="T964" s="74"/>
      <c r="U964" s="74"/>
      <c r="V964" s="74"/>
      <c r="W964" s="74"/>
      <c r="X964" s="74"/>
      <c r="Y964" s="74"/>
      <c r="Z964" s="74"/>
    </row>
    <row r="965" spans="1:26" x14ac:dyDescent="0.3">
      <c r="A965" s="66">
        <f t="shared" si="92"/>
        <v>2085.7999999999129</v>
      </c>
      <c r="B965" s="67">
        <f>LOOKUP(A965+0.01,AmountsB!$A$4:$A$103,AmountsB!$B$4:$B$103)*0.1*$A$2</f>
        <v>0</v>
      </c>
      <c r="C965" s="68">
        <f t="shared" si="91"/>
        <v>625969.29735898925</v>
      </c>
      <c r="D965" s="67">
        <f t="array" ref="D965">SUM($B$7:$B960*$F$1009*EXP(-$F$1009*($A965-$A$7:$A960)))*$F$1010</f>
        <v>639891.21043693286</v>
      </c>
      <c r="E965" s="67">
        <f t="shared" si="89"/>
        <v>1.2198961030629969</v>
      </c>
      <c r="F965" s="70">
        <f t="shared" si="93"/>
        <v>7.4072091377985164E-2</v>
      </c>
      <c r="G965" s="67">
        <f>E965/'Lookup Tables'!$C$48</f>
        <v>2.4397922061259938</v>
      </c>
      <c r="H965" s="70">
        <f t="shared" si="90"/>
        <v>1.0242952721085299E-3</v>
      </c>
      <c r="I965" s="71">
        <f t="shared" si="94"/>
        <v>3.513300776821431E-3</v>
      </c>
      <c r="L965" s="74"/>
      <c r="M965" s="74"/>
      <c r="N965" s="74"/>
      <c r="O965" s="74"/>
      <c r="P965" s="74"/>
      <c r="Q965" s="74"/>
      <c r="R965" s="74"/>
      <c r="S965" s="74"/>
      <c r="T965" s="74"/>
      <c r="U965" s="74"/>
      <c r="V965" s="74"/>
      <c r="W965" s="74"/>
      <c r="X965" s="74"/>
      <c r="Y965" s="74"/>
      <c r="Z965" s="74"/>
    </row>
    <row r="966" spans="1:26" x14ac:dyDescent="0.3">
      <c r="A966" s="66">
        <f t="shared" si="92"/>
        <v>2085.8999999999128</v>
      </c>
      <c r="B966" s="67">
        <f>LOOKUP(A966+0.01,AmountsB!$A$4:$A$103,AmountsB!$B$4:$B$103)*0.1*$A$2</f>
        <v>0</v>
      </c>
      <c r="C966" s="68">
        <f t="shared" si="91"/>
        <v>625969.29735898925</v>
      </c>
      <c r="D966" s="67">
        <f t="array" ref="D966">SUM($B$7:$B961*$F$1009*EXP(-$F$1009*($A966-$A$7:$A961)))*$F$1010</f>
        <v>635427.61278201279</v>
      </c>
      <c r="E966" s="67">
        <f t="shared" si="89"/>
        <v>1.2113866481805644</v>
      </c>
      <c r="F966" s="70">
        <f t="shared" si="93"/>
        <v>7.355539727752386E-2</v>
      </c>
      <c r="G966" s="67">
        <f>E966/'Lookup Tables'!$C$48</f>
        <v>2.4227732963611288</v>
      </c>
      <c r="H966" s="70">
        <f t="shared" si="90"/>
        <v>1.0171502419847257E-3</v>
      </c>
      <c r="I966" s="71">
        <f t="shared" si="94"/>
        <v>3.4887935467600253E-3</v>
      </c>
      <c r="L966" s="74"/>
      <c r="M966" s="74"/>
      <c r="N966" s="74"/>
      <c r="O966" s="74"/>
      <c r="P966" s="74"/>
      <c r="Q966" s="74"/>
      <c r="R966" s="74"/>
      <c r="S966" s="74"/>
      <c r="T966" s="74"/>
      <c r="U966" s="74"/>
      <c r="V966" s="74"/>
      <c r="W966" s="74"/>
      <c r="X966" s="74"/>
      <c r="Y966" s="74"/>
      <c r="Z966" s="74"/>
    </row>
    <row r="967" spans="1:26" x14ac:dyDescent="0.3">
      <c r="A967" s="66">
        <f t="shared" si="92"/>
        <v>2085.9999999999127</v>
      </c>
      <c r="B967" s="67">
        <f>LOOKUP(A967+0.01,AmountsB!$A$4:$A$103,AmountsB!$B$4:$B$103)*0.1*$A$2</f>
        <v>0</v>
      </c>
      <c r="C967" s="68">
        <f t="shared" si="91"/>
        <v>625969.29735898925</v>
      </c>
      <c r="D967" s="67">
        <f t="array" ref="D967">SUM($B$7:$B962*$F$1009*EXP(-$F$1009*($A967-$A$7:$A962)))*$F$1010</f>
        <v>630995.15120725753</v>
      </c>
      <c r="E967" s="67">
        <f t="shared" ref="E967:E1007" si="95">D967/(365*24*60)*1.00201</f>
        <v>1.2029365514862713</v>
      </c>
      <c r="F967" s="70">
        <f t="shared" si="93"/>
        <v>7.3042307406246398E-2</v>
      </c>
      <c r="G967" s="67">
        <f>E967/'Lookup Tables'!$C$48</f>
        <v>2.4058731029725426</v>
      </c>
      <c r="H967" s="70">
        <f t="shared" ref="H967:H1007" si="96">G967*60*24*365/(C967*2000)</f>
        <v>1.0100550524262939E-3</v>
      </c>
      <c r="I967" s="71">
        <f t="shared" si="94"/>
        <v>3.4644572682804614E-3</v>
      </c>
      <c r="L967" s="74"/>
      <c r="M967" s="74"/>
      <c r="N967" s="74"/>
      <c r="O967" s="74"/>
      <c r="P967" s="74"/>
      <c r="Q967" s="74"/>
      <c r="R967" s="74"/>
      <c r="S967" s="74"/>
      <c r="T967" s="74"/>
      <c r="U967" s="74"/>
      <c r="V967" s="74"/>
      <c r="W967" s="74"/>
      <c r="X967" s="74"/>
      <c r="Y967" s="74"/>
      <c r="Z967" s="74"/>
    </row>
    <row r="968" spans="1:26" x14ac:dyDescent="0.3">
      <c r="A968" s="66">
        <f t="shared" si="92"/>
        <v>2086.0999999999126</v>
      </c>
      <c r="B968" s="67">
        <f>LOOKUP(A968+0.01,AmountsB!$A$4:$A$103,AmountsB!$B$4:$B$103)*0.1*$A$2</f>
        <v>0</v>
      </c>
      <c r="C968" s="68">
        <f t="shared" si="91"/>
        <v>625969.29735898925</v>
      </c>
      <c r="D968" s="67">
        <f t="array" ref="D968">SUM($B$7:$B963*$F$1009*EXP(-$F$1009*($A968-$A$7:$A963)))*$F$1010</f>
        <v>626593.60852116335</v>
      </c>
      <c r="E968" s="67">
        <f t="shared" si="95"/>
        <v>1.1945453989236889</v>
      </c>
      <c r="F968" s="70">
        <f t="shared" si="93"/>
        <v>7.2532796622646389E-2</v>
      </c>
      <c r="G968" s="67">
        <f>E968/'Lookup Tables'!$C$48</f>
        <v>2.3890907978473779</v>
      </c>
      <c r="H968" s="70">
        <f t="shared" si="96"/>
        <v>1.0030093557675261E-3</v>
      </c>
      <c r="I968" s="71">
        <f t="shared" si="94"/>
        <v>3.4402907489002234E-3</v>
      </c>
      <c r="L968" s="74"/>
      <c r="M968" s="74"/>
      <c r="N968" s="74"/>
      <c r="O968" s="74"/>
      <c r="P968" s="74"/>
      <c r="Q968" s="74"/>
      <c r="R968" s="74"/>
      <c r="S968" s="74"/>
      <c r="T968" s="74"/>
      <c r="U968" s="74"/>
      <c r="V968" s="74"/>
      <c r="W968" s="74"/>
      <c r="X968" s="74"/>
      <c r="Y968" s="74"/>
      <c r="Z968" s="74"/>
    </row>
    <row r="969" spans="1:26" x14ac:dyDescent="0.3">
      <c r="A969" s="66">
        <f t="shared" si="92"/>
        <v>2086.1999999999125</v>
      </c>
      <c r="B969" s="67">
        <f>LOOKUP(A969+0.01,AmountsB!$A$4:$A$103,AmountsB!$B$4:$B$103)*0.1*$A$2</f>
        <v>0</v>
      </c>
      <c r="C969" s="68">
        <f t="shared" ref="C969:C1006" si="97">C968+B969</f>
        <v>625969.29735898925</v>
      </c>
      <c r="D969" s="67">
        <f t="array" ref="D969">SUM($B$7:$B964*$F$1009*EXP(-$F$1009*($A969-$A$7:$A964)))*$F$1010</f>
        <v>622222.76904725784</v>
      </c>
      <c r="E969" s="67">
        <f t="shared" si="95"/>
        <v>1.1862127793246631</v>
      </c>
      <c r="F969" s="70">
        <f t="shared" si="93"/>
        <v>7.2026839960593544E-2</v>
      </c>
      <c r="G969" s="67">
        <f>E969/'Lookup Tables'!$C$48</f>
        <v>2.3724255586493261</v>
      </c>
      <c r="H969" s="70">
        <f t="shared" si="96"/>
        <v>9.9601280676787744E-4</v>
      </c>
      <c r="I969" s="71">
        <f t="shared" si="94"/>
        <v>3.41629280445503E-3</v>
      </c>
      <c r="L969" s="74"/>
      <c r="M969" s="74"/>
      <c r="N969" s="74"/>
      <c r="O969" s="74"/>
      <c r="P969" s="74"/>
      <c r="Q969" s="74"/>
      <c r="R969" s="74"/>
      <c r="S969" s="74"/>
      <c r="T969" s="74"/>
      <c r="U969" s="74"/>
      <c r="V969" s="74"/>
      <c r="W969" s="74"/>
      <c r="X969" s="74"/>
      <c r="Y969" s="74"/>
      <c r="Z969" s="74"/>
    </row>
    <row r="970" spans="1:26" x14ac:dyDescent="0.3">
      <c r="A970" s="66">
        <f t="shared" si="92"/>
        <v>2086.2999999999124</v>
      </c>
      <c r="B970" s="67">
        <f>LOOKUP(A970+0.01,AmountsB!$A$4:$A$103,AmountsB!$B$4:$B$103)*0.1*$A$2</f>
        <v>0</v>
      </c>
      <c r="C970" s="68">
        <f t="shared" si="97"/>
        <v>625969.29735898925</v>
      </c>
      <c r="D970" s="67">
        <f t="array" ref="D970">SUM($B$7:$B965*$F$1009*EXP(-$F$1009*($A970-$A$7:$A965)))*$F$1010</f>
        <v>617882.41861353198</v>
      </c>
      <c r="E970" s="67">
        <f t="shared" si="95"/>
        <v>1.177938284389165</v>
      </c>
      <c r="F970" s="70">
        <f t="shared" si="93"/>
        <v>7.1524412628110101E-2</v>
      </c>
      <c r="G970" s="67">
        <f>E970/'Lookup Tables'!$C$48</f>
        <v>2.3558765687783301</v>
      </c>
      <c r="H970" s="70">
        <f t="shared" si="96"/>
        <v>9.8906506259504516E-4</v>
      </c>
      <c r="I970" s="71">
        <f t="shared" si="94"/>
        <v>3.3924622590407955E-3</v>
      </c>
      <c r="L970" s="74"/>
      <c r="M970" s="74"/>
      <c r="N970" s="74"/>
      <c r="O970" s="74"/>
      <c r="P970" s="74"/>
      <c r="Q970" s="74"/>
      <c r="R970" s="74"/>
      <c r="S970" s="74"/>
      <c r="T970" s="74"/>
      <c r="U970" s="74"/>
      <c r="V970" s="74"/>
      <c r="W970" s="74"/>
      <c r="X970" s="74"/>
      <c r="Y970" s="74"/>
      <c r="Z970" s="74"/>
    </row>
    <row r="971" spans="1:26" x14ac:dyDescent="0.3">
      <c r="A971" s="66">
        <f t="shared" si="92"/>
        <v>2086.3999999999123</v>
      </c>
      <c r="B971" s="67">
        <f>LOOKUP(A971+0.01,AmountsB!$A$4:$A$103,AmountsB!$B$4:$B$103)*0.1*$A$2</f>
        <v>0</v>
      </c>
      <c r="C971" s="68">
        <f t="shared" si="97"/>
        <v>625969.29735898925</v>
      </c>
      <c r="D971" s="67">
        <f t="array" ref="D971">SUM($B$7:$B966*$F$1009*EXP(-$F$1009*($A971-$A$7:$A966)))*$F$1010</f>
        <v>613572.34454194643</v>
      </c>
      <c r="E971" s="67">
        <f t="shared" si="95"/>
        <v>1.1697215086652888</v>
      </c>
      <c r="F971" s="70">
        <f t="shared" si="93"/>
        <v>7.1025490006156322E-2</v>
      </c>
      <c r="G971" s="67">
        <f>E971/'Lookup Tables'!$C$48</f>
        <v>2.3394430173305776</v>
      </c>
      <c r="H971" s="70">
        <f t="shared" si="96"/>
        <v>9.8216578280817626E-4</v>
      </c>
      <c r="I971" s="71">
        <f t="shared" si="94"/>
        <v>3.3687979449560316E-3</v>
      </c>
      <c r="L971" s="74"/>
      <c r="M971" s="74"/>
      <c r="N971" s="74"/>
      <c r="O971" s="74"/>
      <c r="P971" s="74"/>
      <c r="Q971" s="74"/>
      <c r="R971" s="74"/>
      <c r="S971" s="74"/>
      <c r="T971" s="74"/>
      <c r="U971" s="74"/>
      <c r="V971" s="74"/>
      <c r="W971" s="74"/>
      <c r="X971" s="74"/>
      <c r="Y971" s="74"/>
      <c r="Z971" s="74"/>
    </row>
    <row r="972" spans="1:26" x14ac:dyDescent="0.3">
      <c r="A972" s="66">
        <f t="shared" si="92"/>
        <v>2086.4999999999122</v>
      </c>
      <c r="B972" s="67">
        <f>LOOKUP(A972+0.01,AmountsB!$A$4:$A$103,AmountsB!$B$4:$B$103)*0.1*$A$2</f>
        <v>0</v>
      </c>
      <c r="C972" s="68">
        <f t="shared" si="97"/>
        <v>625969.29735898925</v>
      </c>
      <c r="D972" s="67">
        <f t="array" ref="D972">SUM($B$7:$B967*$F$1009*EXP(-$F$1009*($A972-$A$7:$A967)))*$F$1010</f>
        <v>609292.33563800913</v>
      </c>
      <c r="E972" s="67">
        <f t="shared" si="95"/>
        <v>1.161562049529379</v>
      </c>
      <c r="F972" s="70">
        <f t="shared" si="93"/>
        <v>7.0530047647423891E-2</v>
      </c>
      <c r="G972" s="67">
        <f>E972/'Lookup Tables'!$C$48</f>
        <v>2.3231240990587581</v>
      </c>
      <c r="H972" s="70">
        <f t="shared" si="96"/>
        <v>9.7531462934118021E-4</v>
      </c>
      <c r="I972" s="71">
        <f t="shared" si="94"/>
        <v>3.3452987026446118E-3</v>
      </c>
      <c r="L972" s="74"/>
      <c r="M972" s="74"/>
      <c r="N972" s="74"/>
      <c r="O972" s="74"/>
      <c r="P972" s="74"/>
      <c r="Q972" s="74"/>
      <c r="R972" s="74"/>
      <c r="S972" s="74"/>
      <c r="T972" s="74"/>
      <c r="U972" s="74"/>
      <c r="V972" s="74"/>
      <c r="W972" s="74"/>
      <c r="X972" s="74"/>
      <c r="Y972" s="74"/>
      <c r="Z972" s="74"/>
    </row>
    <row r="973" spans="1:26" x14ac:dyDescent="0.3">
      <c r="A973" s="66">
        <f t="shared" si="92"/>
        <v>2086.5999999999121</v>
      </c>
      <c r="B973" s="67">
        <f>LOOKUP(A973+0.01,AmountsB!$A$4:$A$103,AmountsB!$B$4:$B$103)*0.1*$A$2</f>
        <v>0</v>
      </c>
      <c r="C973" s="68">
        <f t="shared" si="97"/>
        <v>625969.29735898925</v>
      </c>
      <c r="D973" s="67">
        <f t="array" ref="D973">SUM($B$7:$B968*$F$1009*EXP(-$F$1009*($A973-$A$7:$A968)))*$F$1010</f>
        <v>605042.1821804276</v>
      </c>
      <c r="E973" s="67">
        <f t="shared" si="95"/>
        <v>1.1534595071663059</v>
      </c>
      <c r="F973" s="70">
        <f t="shared" si="93"/>
        <v>7.0038061275138078E-2</v>
      </c>
      <c r="G973" s="67">
        <f>E973/'Lookup Tables'!$C$48</f>
        <v>2.3069190143326117</v>
      </c>
      <c r="H973" s="70">
        <f t="shared" si="96"/>
        <v>9.6851126648616627E-4</v>
      </c>
      <c r="I973" s="71">
        <f t="shared" si="94"/>
        <v>3.3219633806389607E-3</v>
      </c>
      <c r="L973" s="74"/>
      <c r="M973" s="74"/>
      <c r="N973" s="74"/>
      <c r="O973" s="74"/>
      <c r="P973" s="74"/>
      <c r="Q973" s="74"/>
      <c r="R973" s="74"/>
      <c r="S973" s="74"/>
      <c r="T973" s="74"/>
      <c r="U973" s="74"/>
      <c r="V973" s="74"/>
      <c r="W973" s="74"/>
      <c r="X973" s="74"/>
      <c r="Y973" s="74"/>
      <c r="Z973" s="74"/>
    </row>
    <row r="974" spans="1:26" x14ac:dyDescent="0.3">
      <c r="A974" s="66">
        <f t="shared" si="92"/>
        <v>2086.6999999999121</v>
      </c>
      <c r="B974" s="67">
        <f>LOOKUP(A974+0.01,AmountsB!$A$4:$A$103,AmountsB!$B$4:$B$103)*0.1*$A$2</f>
        <v>0</v>
      </c>
      <c r="C974" s="68">
        <f t="shared" si="97"/>
        <v>625969.29735898925</v>
      </c>
      <c r="D974" s="67">
        <f t="array" ref="D974">SUM($B$7:$B969*$F$1009*EXP(-$F$1009*($A974-$A$7:$A969)))*$F$1010</f>
        <v>600821.67591083189</v>
      </c>
      <c r="E974" s="67">
        <f t="shared" si="95"/>
        <v>1.145413484549872</v>
      </c>
      <c r="F974" s="70">
        <f t="shared" si="93"/>
        <v>6.9549506781868234E-2</v>
      </c>
      <c r="G974" s="67">
        <f>E974/'Lookup Tables'!$C$48</f>
        <v>2.290826969099744</v>
      </c>
      <c r="H974" s="70">
        <f t="shared" si="96"/>
        <v>9.6175536087699334E-4</v>
      </c>
      <c r="I974" s="71">
        <f t="shared" si="94"/>
        <v>3.2987908355036309E-3</v>
      </c>
      <c r="L974" s="74"/>
      <c r="M974" s="74"/>
      <c r="N974" s="74"/>
      <c r="O974" s="74"/>
      <c r="P974" s="74"/>
      <c r="Q974" s="74"/>
      <c r="R974" s="74"/>
      <c r="S974" s="74"/>
      <c r="T974" s="74"/>
      <c r="U974" s="74"/>
      <c r="V974" s="74"/>
      <c r="W974" s="74"/>
      <c r="X974" s="74"/>
      <c r="Y974" s="74"/>
      <c r="Z974" s="74"/>
    </row>
    <row r="975" spans="1:26" x14ac:dyDescent="0.3">
      <c r="A975" s="66">
        <f t="shared" si="92"/>
        <v>2086.799999999912</v>
      </c>
      <c r="B975" s="67">
        <f>LOOKUP(A975+0.01,AmountsB!$A$4:$A$103,AmountsB!$B$4:$B$103)*0.1*$A$2</f>
        <v>0</v>
      </c>
      <c r="C975" s="68">
        <f t="shared" si="97"/>
        <v>625969.29735898925</v>
      </c>
      <c r="D975" s="67">
        <f t="array" ref="D975">SUM($B$7:$B970*$F$1009*EXP(-$F$1009*($A975-$A$7:$A970)))*$F$1010</f>
        <v>596630.61002357025</v>
      </c>
      <c r="E975" s="67">
        <f t="shared" si="95"/>
        <v>1.1374235874233594</v>
      </c>
      <c r="F975" s="70">
        <f t="shared" si="93"/>
        <v>6.9064360228346389E-2</v>
      </c>
      <c r="G975" s="67">
        <f>E975/'Lookup Tables'!$C$48</f>
        <v>2.2748471748467187</v>
      </c>
      <c r="H975" s="70">
        <f t="shared" si="96"/>
        <v>9.5504658147293488E-4</v>
      </c>
      <c r="I975" s="71">
        <f t="shared" si="94"/>
        <v>3.2757799317792752E-3</v>
      </c>
      <c r="L975" s="74"/>
      <c r="M975" s="74"/>
      <c r="N975" s="74"/>
      <c r="O975" s="74"/>
      <c r="P975" s="74"/>
      <c r="Q975" s="74"/>
      <c r="R975" s="74"/>
      <c r="S975" s="74"/>
      <c r="T975" s="74"/>
      <c r="U975" s="74"/>
      <c r="V975" s="74"/>
      <c r="W975" s="74"/>
      <c r="X975" s="74"/>
      <c r="Y975" s="74"/>
      <c r="Z975" s="74"/>
    </row>
    <row r="976" spans="1:26" x14ac:dyDescent="0.3">
      <c r="A976" s="66">
        <f t="shared" si="92"/>
        <v>2086.8999999999119</v>
      </c>
      <c r="B976" s="67">
        <f>LOOKUP(A976+0.01,AmountsB!$A$4:$A$103,AmountsB!$B$4:$B$103)*0.1*$A$2</f>
        <v>0</v>
      </c>
      <c r="C976" s="68">
        <f t="shared" si="97"/>
        <v>625969.29735898925</v>
      </c>
      <c r="D976" s="67">
        <f t="array" ref="D976">SUM($B$7:$B971*$F$1009*EXP(-$F$1009*($A976-$A$7:$A971)))*$F$1010</f>
        <v>592468.77915557602</v>
      </c>
      <c r="E976" s="67">
        <f t="shared" si="95"/>
        <v>1.1294894242802107</v>
      </c>
      <c r="F976" s="70">
        <f t="shared" si="93"/>
        <v>6.8582597842294382E-2</v>
      </c>
      <c r="G976" s="67">
        <f>E976/'Lookup Tables'!$C$48</f>
        <v>2.2589788485604214</v>
      </c>
      <c r="H976" s="70">
        <f t="shared" si="96"/>
        <v>9.4838459954245781E-4</v>
      </c>
      <c r="I976" s="71">
        <f t="shared" si="94"/>
        <v>3.2529295419270066E-3</v>
      </c>
      <c r="L976" s="74"/>
      <c r="M976" s="74"/>
      <c r="N976" s="74"/>
      <c r="O976" s="74"/>
      <c r="P976" s="74"/>
      <c r="Q976" s="74"/>
      <c r="R976" s="74"/>
      <c r="S976" s="74"/>
      <c r="T976" s="74"/>
      <c r="U976" s="74"/>
      <c r="V976" s="74"/>
      <c r="W976" s="74"/>
      <c r="X976" s="74"/>
      <c r="Y976" s="74"/>
      <c r="Z976" s="74"/>
    </row>
    <row r="977" spans="1:26" x14ac:dyDescent="0.3">
      <c r="A977" s="66">
        <f t="shared" si="92"/>
        <v>2086.9999999999118</v>
      </c>
      <c r="B977" s="67">
        <f>LOOKUP(A977+0.01,AmountsB!$A$4:$A$103,AmountsB!$B$4:$B$103)*0.1*$A$2</f>
        <v>0</v>
      </c>
      <c r="C977" s="68">
        <f t="shared" si="97"/>
        <v>625969.29735898925</v>
      </c>
      <c r="D977" s="67">
        <f t="array" ref="D977">SUM($B$7:$B972*$F$1009*EXP(-$F$1009*($A977-$A$7:$A972)))*$F$1010</f>
        <v>588335.97937630385</v>
      </c>
      <c r="E977" s="67">
        <f t="shared" si="95"/>
        <v>1.1216106063448443</v>
      </c>
      <c r="F977" s="70">
        <f t="shared" si="93"/>
        <v>6.810419601725895E-2</v>
      </c>
      <c r="G977" s="67">
        <f>E977/'Lookup Tables'!$C$48</f>
        <v>2.2432212126896887</v>
      </c>
      <c r="H977" s="70">
        <f t="shared" si="96"/>
        <v>9.41769088647115E-4</v>
      </c>
      <c r="I977" s="71">
        <f t="shared" si="94"/>
        <v>3.2302385462731516E-3</v>
      </c>
      <c r="L977" s="74"/>
      <c r="M977" s="74"/>
      <c r="N977" s="74"/>
      <c r="O977" s="74"/>
      <c r="P977" s="74"/>
      <c r="Q977" s="74"/>
      <c r="R977" s="74"/>
      <c r="S977" s="74"/>
      <c r="T977" s="74"/>
      <c r="U977" s="74"/>
      <c r="V977" s="74"/>
      <c r="W977" s="74"/>
      <c r="X977" s="74"/>
      <c r="Y977" s="74"/>
      <c r="Z977" s="74"/>
    </row>
    <row r="978" spans="1:26" x14ac:dyDescent="0.3">
      <c r="A978" s="66">
        <f t="shared" si="92"/>
        <v>2087.0999999999117</v>
      </c>
      <c r="B978" s="67">
        <f>LOOKUP(A978+0.01,AmountsB!$A$4:$A$103,AmountsB!$B$4:$B$103)*0.1*$A$2</f>
        <v>0</v>
      </c>
      <c r="C978" s="68">
        <f t="shared" si="97"/>
        <v>625969.29735898925</v>
      </c>
      <c r="D978" s="67">
        <f t="array" ref="D978">SUM($B$7:$B973*$F$1009*EXP(-$F$1009*($A978-$A$7:$A973)))*$F$1010</f>
        <v>584232.00817773724</v>
      </c>
      <c r="E978" s="67">
        <f t="shared" si="95"/>
        <v>1.1137867475536045</v>
      </c>
      <c r="F978" s="70">
        <f t="shared" si="93"/>
        <v>6.7629131311454871E-2</v>
      </c>
      <c r="G978" s="67">
        <f>E978/'Lookup Tables'!$C$48</f>
        <v>2.227573495107209</v>
      </c>
      <c r="H978" s="70">
        <f t="shared" si="96"/>
        <v>9.351997246255481E-4</v>
      </c>
      <c r="I978" s="71">
        <f t="shared" si="94"/>
        <v>3.2077058329543812E-3</v>
      </c>
      <c r="L978" s="74"/>
      <c r="M978" s="74"/>
      <c r="N978" s="74"/>
      <c r="O978" s="74"/>
      <c r="P978" s="74"/>
      <c r="Q978" s="74"/>
      <c r="R978" s="74"/>
      <c r="S978" s="74"/>
      <c r="T978" s="74"/>
      <c r="U978" s="74"/>
      <c r="V978" s="74"/>
      <c r="W978" s="74"/>
      <c r="X978" s="74"/>
      <c r="Y978" s="74"/>
      <c r="Z978" s="74"/>
    </row>
    <row r="979" spans="1:26" x14ac:dyDescent="0.3">
      <c r="A979" s="66">
        <f t="shared" ref="A979:A1006" si="98">A978+0.1</f>
        <v>2087.1999999999116</v>
      </c>
      <c r="B979" s="67">
        <f>LOOKUP(A979+0.01,AmountsB!$A$4:$A$103,AmountsB!$B$4:$B$103)*0.1*$A$2</f>
        <v>0</v>
      </c>
      <c r="C979" s="68">
        <f t="shared" si="97"/>
        <v>625969.29735898925</v>
      </c>
      <c r="D979" s="67">
        <f t="array" ref="D979">SUM($B$7:$B974*$F$1009*EXP(-$F$1009*($A979-$A$7:$A974)))*$F$1010</f>
        <v>580156.66446446651</v>
      </c>
      <c r="E979" s="67">
        <f t="shared" si="95"/>
        <v>1.1060174645358449</v>
      </c>
      <c r="F979" s="70">
        <f t="shared" ref="F979:F1007" si="99">E979*60*1012/1000000</f>
        <v>6.7157380446616496E-2</v>
      </c>
      <c r="G979" s="67">
        <f>E979/'Lookup Tables'!$C$48</f>
        <v>2.2120349290716899</v>
      </c>
      <c r="H979" s="70">
        <f t="shared" si="96"/>
        <v>9.2867618557760561E-4</v>
      </c>
      <c r="I979" s="71">
        <f t="shared" ref="I979:I1006" si="100">G979*60*24/1000000</f>
        <v>3.1853302978632333E-3</v>
      </c>
      <c r="L979" s="74"/>
      <c r="M979" s="74"/>
      <c r="N979" s="74"/>
      <c r="O979" s="74"/>
      <c r="P979" s="74"/>
      <c r="Q979" s="74"/>
      <c r="R979" s="74"/>
      <c r="S979" s="74"/>
      <c r="T979" s="74"/>
      <c r="U979" s="74"/>
      <c r="V979" s="74"/>
      <c r="W979" s="74"/>
      <c r="X979" s="74"/>
      <c r="Y979" s="74"/>
      <c r="Z979" s="74"/>
    </row>
    <row r="980" spans="1:26" x14ac:dyDescent="0.3">
      <c r="A980" s="66">
        <f t="shared" si="98"/>
        <v>2087.2999999999115</v>
      </c>
      <c r="B980" s="67">
        <f>LOOKUP(A980+0.01,AmountsB!$A$4:$A$103,AmountsB!$B$4:$B$103)*0.1*$A$2</f>
        <v>0</v>
      </c>
      <c r="C980" s="68">
        <f t="shared" si="97"/>
        <v>625969.29735898925</v>
      </c>
      <c r="D980" s="67">
        <f t="array" ref="D980">SUM($B$7:$B975*$F$1009*EXP(-$F$1009*($A980-$A$7:$A975)))*$F$1010</f>
        <v>576109.74854383443</v>
      </c>
      <c r="E980" s="67">
        <f t="shared" si="95"/>
        <v>1.0983023765951438</v>
      </c>
      <c r="F980" s="70">
        <f t="shared" si="99"/>
        <v>6.6688920306857136E-2</v>
      </c>
      <c r="G980" s="67">
        <f>E980/'Lookup Tables'!$C$48</f>
        <v>2.1966047531902877</v>
      </c>
      <c r="H980" s="70">
        <f t="shared" si="96"/>
        <v>9.2219815184856968E-4</v>
      </c>
      <c r="I980" s="71">
        <f t="shared" si="100"/>
        <v>3.1631108445940143E-3</v>
      </c>
      <c r="L980" s="74"/>
      <c r="M980" s="74"/>
      <c r="N980" s="74"/>
      <c r="O980" s="74"/>
      <c r="P980" s="74"/>
      <c r="Q980" s="74"/>
      <c r="R980" s="74"/>
      <c r="S980" s="74"/>
      <c r="T980" s="74"/>
      <c r="U980" s="74"/>
      <c r="V980" s="74"/>
      <c r="W980" s="74"/>
      <c r="X980" s="74"/>
      <c r="Y980" s="74"/>
      <c r="Z980" s="74"/>
    </row>
    <row r="981" spans="1:26" x14ac:dyDescent="0.3">
      <c r="A981" s="66">
        <f t="shared" si="98"/>
        <v>2087.3999999999114</v>
      </c>
      <c r="B981" s="67">
        <f>LOOKUP(A981+0.01,AmountsB!$A$4:$A$103,AmountsB!$B$4:$B$103)*0.1*$A$2</f>
        <v>0</v>
      </c>
      <c r="C981" s="68">
        <f t="shared" si="97"/>
        <v>625969.29735898925</v>
      </c>
      <c r="D981" s="67">
        <f t="array" ref="D981">SUM($B$7:$B976*$F$1009*EXP(-$F$1009*($A981-$A$7:$A976)))*$F$1010</f>
        <v>572091.06211615109</v>
      </c>
      <c r="E981" s="67">
        <f t="shared" si="95"/>
        <v>1.0906411056906482</v>
      </c>
      <c r="F981" s="70">
        <f t="shared" si="99"/>
        <v>6.622372793753617E-2</v>
      </c>
      <c r="G981" s="67">
        <f>E981/'Lookup Tables'!$C$48</f>
        <v>2.1812822113812964</v>
      </c>
      <c r="H981" s="70">
        <f t="shared" si="96"/>
        <v>9.1576530601349105E-4</v>
      </c>
      <c r="I981" s="71">
        <f t="shared" si="100"/>
        <v>3.1410463843890672E-3</v>
      </c>
      <c r="L981" s="74"/>
      <c r="M981" s="74"/>
      <c r="N981" s="74"/>
      <c r="O981" s="74"/>
      <c r="P981" s="74"/>
      <c r="Q981" s="74"/>
      <c r="R981" s="74"/>
      <c r="S981" s="74"/>
      <c r="T981" s="74"/>
      <c r="U981" s="74"/>
      <c r="V981" s="74"/>
      <c r="W981" s="74"/>
      <c r="X981" s="74"/>
      <c r="Y981" s="74"/>
      <c r="Z981" s="74"/>
    </row>
    <row r="982" spans="1:26" x14ac:dyDescent="0.3">
      <c r="A982" s="66">
        <f t="shared" si="98"/>
        <v>2087.4999999999113</v>
      </c>
      <c r="B982" s="67">
        <f>LOOKUP(A982+0.01,AmountsB!$A$4:$A$103,AmountsB!$B$4:$B$103)*0.1*$A$2</f>
        <v>0</v>
      </c>
      <c r="C982" s="68">
        <f t="shared" si="97"/>
        <v>625969.29735898925</v>
      </c>
      <c r="D982" s="67">
        <f t="array" ref="D982">SUM($B$7:$B977*$F$1009*EXP(-$F$1009*($A982-$A$7:$A977)))*$F$1010</f>
        <v>568100.40826497728</v>
      </c>
      <c r="E982" s="67">
        <f t="shared" si="95"/>
        <v>1.08303327641855</v>
      </c>
      <c r="F982" s="70">
        <f t="shared" si="99"/>
        <v>6.5761780544134354E-2</v>
      </c>
      <c r="G982" s="67">
        <f>E982/'Lookup Tables'!$C$48</f>
        <v>2.1660665528370999</v>
      </c>
      <c r="H982" s="70">
        <f t="shared" si="96"/>
        <v>9.0937733286163588E-4</v>
      </c>
      <c r="I982" s="71">
        <f t="shared" si="100"/>
        <v>3.1191358360854239E-3</v>
      </c>
      <c r="L982" s="74"/>
      <c r="M982" s="74"/>
      <c r="N982" s="74"/>
      <c r="O982" s="74"/>
      <c r="P982" s="74"/>
      <c r="Q982" s="74"/>
      <c r="R982" s="74"/>
      <c r="S982" s="74"/>
      <c r="T982" s="74"/>
      <c r="U982" s="74"/>
      <c r="V982" s="74"/>
      <c r="W982" s="74"/>
      <c r="X982" s="74"/>
      <c r="Y982" s="74"/>
      <c r="Z982" s="74"/>
    </row>
    <row r="983" spans="1:26" x14ac:dyDescent="0.3">
      <c r="A983" s="66">
        <f t="shared" si="98"/>
        <v>2087.5999999999112</v>
      </c>
      <c r="B983" s="67">
        <f>LOOKUP(A983+0.01,AmountsB!$A$4:$A$103,AmountsB!$B$4:$B$103)*0.1*$A$2</f>
        <v>0</v>
      </c>
      <c r="C983" s="68">
        <f t="shared" si="97"/>
        <v>625969.29735898925</v>
      </c>
      <c r="D983" s="67">
        <f t="array" ref="D983">SUM($B$7:$B978*$F$1009*EXP(-$F$1009*($A983-$A$7:$A978)))*$F$1010</f>
        <v>564137.59144747618</v>
      </c>
      <c r="E983" s="67">
        <f t="shared" si="95"/>
        <v>1.0754785159936942</v>
      </c>
      <c r="F983" s="70">
        <f t="shared" si="99"/>
        <v>6.5303055491137102E-2</v>
      </c>
      <c r="G983" s="67">
        <f>E983/'Lookup Tables'!$C$48</f>
        <v>2.1509570319873883</v>
      </c>
      <c r="H983" s="70">
        <f t="shared" si="96"/>
        <v>9.03033919381043E-4</v>
      </c>
      <c r="I983" s="71">
        <f t="shared" si="100"/>
        <v>3.0973781260618389E-3</v>
      </c>
      <c r="L983" s="74"/>
      <c r="M983" s="74"/>
      <c r="N983" s="74"/>
      <c r="O983" s="74"/>
      <c r="P983" s="74"/>
      <c r="Q983" s="74"/>
      <c r="R983" s="74"/>
      <c r="S983" s="74"/>
      <c r="T983" s="74"/>
      <c r="U983" s="74"/>
      <c r="V983" s="74"/>
      <c r="W983" s="74"/>
      <c r="X983" s="74"/>
      <c r="Y983" s="74"/>
      <c r="Z983" s="74"/>
    </row>
    <row r="984" spans="1:26" x14ac:dyDescent="0.3">
      <c r="A984" s="66">
        <f t="shared" si="98"/>
        <v>2087.6999999999111</v>
      </c>
      <c r="B984" s="67">
        <f>LOOKUP(A984+0.01,AmountsB!$A$4:$A$103,AmountsB!$B$4:$B$103)*0.1*$A$2</f>
        <v>0</v>
      </c>
      <c r="C984" s="68">
        <f t="shared" si="97"/>
        <v>625969.29735898925</v>
      </c>
      <c r="D984" s="67">
        <f t="array" ref="D984">SUM($B$7:$B979*$F$1009*EXP(-$F$1009*($A984-$A$7:$A979)))*$F$1010</f>
        <v>560202.41748483072</v>
      </c>
      <c r="E984" s="67">
        <f t="shared" si="95"/>
        <v>1.0679764542313075</v>
      </c>
      <c r="F984" s="70">
        <f t="shared" si="99"/>
        <v>6.4847530300924994E-2</v>
      </c>
      <c r="G984" s="67">
        <f>E984/'Lookup Tables'!$C$48</f>
        <v>2.135952908462615</v>
      </c>
      <c r="H984" s="70">
        <f t="shared" si="96"/>
        <v>8.9673475474318217E-4</v>
      </c>
      <c r="I984" s="71">
        <f t="shared" si="100"/>
        <v>3.0757721881861659E-3</v>
      </c>
      <c r="L984" s="74"/>
      <c r="M984" s="74"/>
      <c r="N984" s="74"/>
      <c r="O984" s="74"/>
      <c r="P984" s="74"/>
      <c r="Q984" s="74"/>
      <c r="R984" s="74"/>
      <c r="S984" s="74"/>
      <c r="T984" s="74"/>
      <c r="U984" s="74"/>
      <c r="V984" s="74"/>
      <c r="W984" s="74"/>
      <c r="X984" s="74"/>
      <c r="Y984" s="74"/>
      <c r="Z984" s="74"/>
    </row>
    <row r="985" spans="1:26" x14ac:dyDescent="0.3">
      <c r="A985" s="66">
        <f t="shared" si="98"/>
        <v>2087.7999999999111</v>
      </c>
      <c r="B985" s="67">
        <f>LOOKUP(A985+0.01,AmountsB!$A$4:$A$103,AmountsB!$B$4:$B$103)*0.1*$A$2</f>
        <v>0</v>
      </c>
      <c r="C985" s="68">
        <f t="shared" si="97"/>
        <v>625969.29735898925</v>
      </c>
      <c r="D985" s="67">
        <f t="array" ref="D985">SUM($B$7:$B980*$F$1009*EXP(-$F$1009*($A985-$A$7:$A980)))*$F$1010</f>
        <v>556294.69355272932</v>
      </c>
      <c r="E985" s="67">
        <f t="shared" si="95"/>
        <v>1.0605267235288629</v>
      </c>
      <c r="F985" s="70">
        <f t="shared" si="99"/>
        <v>6.439518265267255E-2</v>
      </c>
      <c r="G985" s="67">
        <f>E985/'Lookup Tables'!$C$48</f>
        <v>2.1210534470577258</v>
      </c>
      <c r="H985" s="70">
        <f t="shared" si="96"/>
        <v>8.9047953028772563E-4</v>
      </c>
      <c r="I985" s="71">
        <f t="shared" si="100"/>
        <v>3.0543169637631254E-3</v>
      </c>
      <c r="L985" s="74"/>
      <c r="M985" s="74"/>
      <c r="N985" s="74"/>
      <c r="O985" s="74"/>
      <c r="P985" s="74"/>
      <c r="Q985" s="74"/>
      <c r="R985" s="74"/>
      <c r="S985" s="74"/>
      <c r="T985" s="74"/>
      <c r="U985" s="74"/>
      <c r="V985" s="74"/>
      <c r="W985" s="74"/>
      <c r="X985" s="74"/>
      <c r="Y985" s="74"/>
      <c r="Z985" s="74"/>
    </row>
    <row r="986" spans="1:26" x14ac:dyDescent="0.3">
      <c r="A986" s="66">
        <f t="shared" si="98"/>
        <v>2087.899999999911</v>
      </c>
      <c r="B986" s="67">
        <f>LOOKUP(A986+0.01,AmountsB!$A$4:$A$103,AmountsB!$B$4:$B$103)*0.1*$A$2</f>
        <v>0</v>
      </c>
      <c r="C986" s="68">
        <f t="shared" si="97"/>
        <v>625969.29735898925</v>
      </c>
      <c r="D986" s="67">
        <f t="array" ref="D986">SUM($B$7:$B981*$F$1009*EXP(-$F$1009*($A986-$A$7:$A981)))*$F$1010</f>
        <v>552414.22817191703</v>
      </c>
      <c r="E986" s="67">
        <f t="shared" si="95"/>
        <v>1.0531289588480643</v>
      </c>
      <c r="F986" s="70">
        <f t="shared" si="99"/>
        <v>6.3945990381254467E-2</v>
      </c>
      <c r="G986" s="67">
        <f>E986/'Lookup Tables'!$C$48</f>
        <v>2.1062579176961287</v>
      </c>
      <c r="H986" s="70">
        <f t="shared" si="96"/>
        <v>8.842679395074227E-4</v>
      </c>
      <c r="I986" s="71">
        <f t="shared" si="100"/>
        <v>3.0330114014824254E-3</v>
      </c>
      <c r="L986" s="74"/>
      <c r="M986" s="74"/>
      <c r="N986" s="74"/>
      <c r="O986" s="74"/>
      <c r="P986" s="74"/>
      <c r="Q986" s="74"/>
      <c r="R986" s="74"/>
      <c r="S986" s="74"/>
      <c r="T986" s="74"/>
      <c r="U986" s="74"/>
      <c r="V986" s="74"/>
      <c r="W986" s="74"/>
      <c r="X986" s="74"/>
      <c r="Y986" s="74"/>
      <c r="Z986" s="74"/>
    </row>
    <row r="987" spans="1:26" x14ac:dyDescent="0.3">
      <c r="A987" s="66">
        <f t="shared" si="98"/>
        <v>2087.9999999999109</v>
      </c>
      <c r="B987" s="67">
        <f>LOOKUP(A987+0.01,AmountsB!$A$4:$A$103,AmountsB!$B$4:$B$103)*0.1*$A$2</f>
        <v>0</v>
      </c>
      <c r="C987" s="68">
        <f t="shared" si="97"/>
        <v>625969.29735898925</v>
      </c>
      <c r="D987" s="67">
        <f t="array" ref="D987">SUM($B$7:$B982*$F$1009*EXP(-$F$1009*($A987-$A$7:$A982)))*$F$1010</f>
        <v>548560.83119881456</v>
      </c>
      <c r="E987" s="67">
        <f t="shared" si="95"/>
        <v>1.0457827976969638</v>
      </c>
      <c r="F987" s="70">
        <f t="shared" si="99"/>
        <v>6.3499931476159635E-2</v>
      </c>
      <c r="G987" s="67">
        <f>E987/'Lookup Tables'!$C$48</f>
        <v>2.0915655953939276</v>
      </c>
      <c r="H987" s="70">
        <f t="shared" si="96"/>
        <v>8.780996780330838E-4</v>
      </c>
      <c r="I987" s="71">
        <f t="shared" si="100"/>
        <v>3.0118544573672556E-3</v>
      </c>
      <c r="L987" s="74"/>
      <c r="M987" s="74"/>
      <c r="N987" s="74"/>
      <c r="O987" s="74"/>
      <c r="P987" s="74"/>
      <c r="Q987" s="74"/>
      <c r="R987" s="74"/>
      <c r="S987" s="74"/>
      <c r="T987" s="74"/>
      <c r="U987" s="74"/>
      <c r="V987" s="74"/>
      <c r="W987" s="74"/>
      <c r="X987" s="74"/>
      <c r="Y987" s="74"/>
      <c r="Z987" s="74"/>
    </row>
    <row r="988" spans="1:26" x14ac:dyDescent="0.3">
      <c r="A988" s="66">
        <f t="shared" si="98"/>
        <v>2088.0999999999108</v>
      </c>
      <c r="B988" s="67">
        <f>LOOKUP(A988+0.01,AmountsB!$A$4:$A$103,AmountsB!$B$4:$B$103)*0.1*$A$2</f>
        <v>0</v>
      </c>
      <c r="C988" s="68">
        <f t="shared" si="97"/>
        <v>625969.29735898925</v>
      </c>
      <c r="D988" s="67">
        <f t="array" ref="D988">SUM($B$7:$B983*$F$1009*EXP(-$F$1009*($A988-$A$7:$A983)))*$F$1010</f>
        <v>544734.3138161985</v>
      </c>
      <c r="E988" s="67">
        <f t="shared" si="95"/>
        <v>1.0384878801121937</v>
      </c>
      <c r="F988" s="70">
        <f t="shared" si="99"/>
        <v>6.3056984080412409E-2</v>
      </c>
      <c r="G988" s="67">
        <f>E988/'Lookup Tables'!$C$48</f>
        <v>2.0769757602243875</v>
      </c>
      <c r="H988" s="70">
        <f t="shared" si="96"/>
        <v>8.7197444361866131E-4</v>
      </c>
      <c r="I988" s="71">
        <f t="shared" si="100"/>
        <v>2.990845094723118E-3</v>
      </c>
      <c r="L988" s="74"/>
      <c r="M988" s="74"/>
      <c r="N988" s="74"/>
      <c r="O988" s="74"/>
      <c r="P988" s="74"/>
      <c r="Q988" s="74"/>
      <c r="R988" s="74"/>
      <c r="S988" s="74"/>
      <c r="T988" s="74"/>
      <c r="U988" s="74"/>
      <c r="V988" s="74"/>
      <c r="W988" s="74"/>
      <c r="X988" s="74"/>
      <c r="Y988" s="74"/>
      <c r="Z988" s="74"/>
    </row>
    <row r="989" spans="1:26" x14ac:dyDescent="0.3">
      <c r="A989" s="66">
        <f t="shared" si="98"/>
        <v>2088.1999999999107</v>
      </c>
      <c r="B989" s="67">
        <f>LOOKUP(A989+0.01,AmountsB!$A$4:$A$103,AmountsB!$B$4:$B$103)*0.1*$A$2</f>
        <v>0</v>
      </c>
      <c r="C989" s="68">
        <f t="shared" si="97"/>
        <v>625969.29735898925</v>
      </c>
      <c r="D989" s="67">
        <f t="array" ref="D989">SUM($B$7:$B984*$F$1009*EXP(-$F$1009*($A989-$A$7:$A984)))*$F$1010</f>
        <v>540934.48852395208</v>
      </c>
      <c r="E989" s="67">
        <f t="shared" si="95"/>
        <v>1.0312438486413342</v>
      </c>
      <c r="F989" s="70">
        <f t="shared" si="99"/>
        <v>6.2617126489501809E-2</v>
      </c>
      <c r="G989" s="67">
        <f>E989/'Lookup Tables'!$C$48</f>
        <v>2.0624876972826685</v>
      </c>
      <c r="H989" s="70">
        <f t="shared" si="96"/>
        <v>8.6589193612644441E-4</v>
      </c>
      <c r="I989" s="71">
        <f t="shared" si="100"/>
        <v>2.9699822840870424E-3</v>
      </c>
      <c r="L989" s="74"/>
      <c r="M989" s="74"/>
      <c r="N989" s="74"/>
      <c r="O989" s="74"/>
      <c r="P989" s="74"/>
      <c r="Q989" s="74"/>
      <c r="R989" s="74"/>
      <c r="S989" s="74"/>
      <c r="T989" s="74"/>
      <c r="U989" s="74"/>
      <c r="V989" s="74"/>
      <c r="W989" s="74"/>
      <c r="X989" s="74"/>
      <c r="Y989" s="74"/>
      <c r="Z989" s="74"/>
    </row>
    <row r="990" spans="1:26" x14ac:dyDescent="0.3">
      <c r="A990" s="66">
        <f t="shared" si="98"/>
        <v>2088.2999999999106</v>
      </c>
      <c r="B990" s="67">
        <f>LOOKUP(A990+0.01,AmountsB!$A$4:$A$103,AmountsB!$B$4:$B$103)*0.1*$A$2</f>
        <v>0</v>
      </c>
      <c r="C990" s="68">
        <f t="shared" si="97"/>
        <v>625969.29735898925</v>
      </c>
      <c r="D990" s="67">
        <f t="array" ref="D990">SUM($B$7:$B985*$F$1009*EXP(-$F$1009*($A990-$A$7:$A985)))*$F$1010</f>
        <v>537161.16912987537</v>
      </c>
      <c r="E990" s="67">
        <f t="shared" si="95"/>
        <v>1.0240503483253929</v>
      </c>
      <c r="F990" s="70">
        <f t="shared" si="99"/>
        <v>6.2180337150317858E-2</v>
      </c>
      <c r="G990" s="67">
        <f>E990/'Lookup Tables'!$C$48</f>
        <v>2.0481006966507858</v>
      </c>
      <c r="H990" s="70">
        <f t="shared" si="96"/>
        <v>8.5985185751234858E-4</v>
      </c>
      <c r="I990" s="71">
        <f t="shared" si="100"/>
        <v>2.9492650031771317E-3</v>
      </c>
      <c r="L990" s="74"/>
      <c r="M990" s="74"/>
      <c r="N990" s="74"/>
      <c r="O990" s="74"/>
      <c r="P990" s="74"/>
      <c r="Q990" s="74"/>
      <c r="R990" s="74"/>
      <c r="S990" s="74"/>
      <c r="T990" s="74"/>
      <c r="U990" s="74"/>
      <c r="V990" s="74"/>
      <c r="W990" s="74"/>
      <c r="X990" s="74"/>
      <c r="Y990" s="74"/>
      <c r="Z990" s="74"/>
    </row>
    <row r="991" spans="1:26" x14ac:dyDescent="0.3">
      <c r="A991" s="66">
        <f t="shared" si="98"/>
        <v>2088.3999999999105</v>
      </c>
      <c r="B991" s="67">
        <f>LOOKUP(A991+0.01,AmountsB!$A$4:$A$103,AmountsB!$B$4:$B$103)*0.1*$A$2</f>
        <v>0</v>
      </c>
      <c r="C991" s="68">
        <f t="shared" si="97"/>
        <v>625969.29735898925</v>
      </c>
      <c r="D991" s="67">
        <f t="array" ref="D991">SUM($B$7:$B986*$F$1009*EXP(-$F$1009*($A991-$A$7:$A986)))*$F$1010</f>
        <v>533414.17074056319</v>
      </c>
      <c r="E991" s="67">
        <f t="shared" si="95"/>
        <v>1.0169070266814151</v>
      </c>
      <c r="F991" s="70">
        <f t="shared" si="99"/>
        <v>6.1746594660095522E-2</v>
      </c>
      <c r="G991" s="67">
        <f>E991/'Lookup Tables'!$C$48</f>
        <v>2.0338140533628302</v>
      </c>
      <c r="H991" s="70">
        <f t="shared" si="96"/>
        <v>8.5385391181131266E-4</v>
      </c>
      <c r="I991" s="71">
        <f t="shared" si="100"/>
        <v>2.9286922368424754E-3</v>
      </c>
      <c r="L991" s="74"/>
      <c r="M991" s="74"/>
      <c r="N991" s="74"/>
      <c r="O991" s="74"/>
      <c r="P991" s="74"/>
      <c r="Q991" s="74"/>
      <c r="R991" s="74"/>
      <c r="S991" s="74"/>
      <c r="T991" s="74"/>
      <c r="U991" s="74"/>
      <c r="V991" s="74"/>
      <c r="W991" s="74"/>
      <c r="X991" s="74"/>
      <c r="Y991" s="74"/>
      <c r="Z991" s="74"/>
    </row>
    <row r="992" spans="1:26" x14ac:dyDescent="0.3">
      <c r="A992" s="66">
        <f t="shared" si="98"/>
        <v>2088.4999999999104</v>
      </c>
      <c r="B992" s="67">
        <f>LOOKUP(A992+0.01,AmountsB!$A$4:$A$103,AmountsB!$B$4:$B$103)*0.1*$A$2</f>
        <v>0</v>
      </c>
      <c r="C992" s="68">
        <f t="shared" si="97"/>
        <v>625969.29735898925</v>
      </c>
      <c r="D992" s="67">
        <f t="array" ref="D992">SUM($B$7:$B987*$F$1009*EXP(-$F$1009*($A992-$A$7:$A987)))*$F$1010</f>
        <v>529693.30975234474</v>
      </c>
      <c r="E992" s="67">
        <f t="shared" si="95"/>
        <v>1.0098135336852112</v>
      </c>
      <c r="F992" s="70">
        <f t="shared" si="99"/>
        <v>6.1315877765366018E-2</v>
      </c>
      <c r="G992" s="67">
        <f>E992/'Lookup Tables'!$C$48</f>
        <v>2.0196270673704224</v>
      </c>
      <c r="H992" s="70">
        <f t="shared" si="96"/>
        <v>8.4789780512279777E-4</v>
      </c>
      <c r="I992" s="71">
        <f t="shared" si="100"/>
        <v>2.9082629770134081E-3</v>
      </c>
      <c r="L992" s="74"/>
      <c r="M992" s="74"/>
      <c r="N992" s="74"/>
      <c r="O992" s="74"/>
      <c r="P992" s="74"/>
      <c r="Q992" s="74"/>
      <c r="R992" s="74"/>
      <c r="S992" s="74"/>
      <c r="T992" s="74"/>
      <c r="U992" s="74"/>
      <c r="V992" s="74"/>
      <c r="W992" s="74"/>
      <c r="X992" s="74"/>
      <c r="Y992" s="74"/>
      <c r="Z992" s="74"/>
    </row>
    <row r="993" spans="1:26" x14ac:dyDescent="0.3">
      <c r="A993" s="66">
        <f t="shared" si="98"/>
        <v>2088.5999999999103</v>
      </c>
      <c r="B993" s="67">
        <f>LOOKUP(A993+0.01,AmountsB!$A$4:$A$103,AmountsB!$B$4:$B$103)*0.1*$A$2</f>
        <v>0</v>
      </c>
      <c r="C993" s="68">
        <f t="shared" si="97"/>
        <v>625969.29735898925</v>
      </c>
      <c r="D993" s="67">
        <f t="array" ref="D993">SUM($B$7:$B988*$F$1009*EXP(-$F$1009*($A993-$A$7:$A988)))*$F$1010</f>
        <v>525998.40384228691</v>
      </c>
      <c r="E993" s="67">
        <f t="shared" si="95"/>
        <v>1.0027695217542045</v>
      </c>
      <c r="F993" s="70">
        <f t="shared" si="99"/>
        <v>6.0888165360915299E-2</v>
      </c>
      <c r="G993" s="67">
        <f>E993/'Lookup Tables'!$C$48</f>
        <v>2.0055390435084091</v>
      </c>
      <c r="H993" s="70">
        <f t="shared" si="96"/>
        <v>8.4198324559638419E-4</v>
      </c>
      <c r="I993" s="71">
        <f t="shared" si="100"/>
        <v>2.887976222652109E-3</v>
      </c>
      <c r="L993" s="74"/>
      <c r="M993" s="74"/>
      <c r="N993" s="74"/>
      <c r="O993" s="74"/>
      <c r="P993" s="74"/>
      <c r="Q993" s="74"/>
      <c r="R993" s="74"/>
      <c r="S993" s="74"/>
      <c r="T993" s="74"/>
      <c r="U993" s="74"/>
      <c r="V993" s="74"/>
      <c r="W993" s="74"/>
      <c r="X993" s="74"/>
      <c r="Y993" s="74"/>
      <c r="Z993" s="74"/>
    </row>
    <row r="994" spans="1:26" x14ac:dyDescent="0.3">
      <c r="A994" s="66">
        <f t="shared" si="98"/>
        <v>2088.6999999999102</v>
      </c>
      <c r="B994" s="67">
        <f>LOOKUP(A994+0.01,AmountsB!$A$4:$A$103,AmountsB!$B$4:$B$103)*0.1*$A$2</f>
        <v>0</v>
      </c>
      <c r="C994" s="68">
        <f t="shared" si="97"/>
        <v>625969.29735898925</v>
      </c>
      <c r="D994" s="67">
        <f t="array" ref="D994">SUM($B$7:$B989*$F$1009*EXP(-$F$1009*($A994-$A$7:$A989)))*$F$1010</f>
        <v>522329.27195926092</v>
      </c>
      <c r="E994" s="67">
        <f t="shared" si="95"/>
        <v>0.99577464573040153</v>
      </c>
      <c r="F994" s="70">
        <f t="shared" si="99"/>
        <v>6.046343648874998E-2</v>
      </c>
      <c r="G994" s="67">
        <f>E994/'Lookup Tables'!$C$48</f>
        <v>1.9915492914608031</v>
      </c>
      <c r="H994" s="70">
        <f t="shared" si="96"/>
        <v>8.3610994341747167E-4</v>
      </c>
      <c r="I994" s="71">
        <f t="shared" si="100"/>
        <v>2.8678309797035562E-3</v>
      </c>
      <c r="L994" s="74"/>
      <c r="M994" s="74"/>
      <c r="N994" s="74"/>
      <c r="O994" s="74"/>
      <c r="P994" s="74"/>
      <c r="Q994" s="74"/>
      <c r="R994" s="74"/>
      <c r="S994" s="74"/>
      <c r="T994" s="74"/>
      <c r="U994" s="74"/>
      <c r="V994" s="74"/>
      <c r="W994" s="74"/>
      <c r="X994" s="74"/>
      <c r="Y994" s="74"/>
      <c r="Z994" s="74"/>
    </row>
    <row r="995" spans="1:26" x14ac:dyDescent="0.3">
      <c r="A995" s="66">
        <f t="shared" si="98"/>
        <v>2088.7999999999101</v>
      </c>
      <c r="B995" s="67">
        <f>LOOKUP(A995+0.01,AmountsB!$A$4:$A$103,AmountsB!$B$4:$B$103)*0.1*$A$2</f>
        <v>0</v>
      </c>
      <c r="C995" s="68">
        <f t="shared" si="97"/>
        <v>625969.29735898925</v>
      </c>
      <c r="D995" s="67">
        <f t="array" ref="D995">SUM($B$7:$B990*$F$1009*EXP(-$F$1009*($A995-$A$7:$A990)))*$F$1010</f>
        <v>518685.73431507061</v>
      </c>
      <c r="E995" s="67">
        <f t="shared" si="95"/>
        <v>0.98882856286347776</v>
      </c>
      <c r="F995" s="70">
        <f t="shared" si="99"/>
        <v>6.004167033707037E-2</v>
      </c>
      <c r="G995" s="67">
        <f>E995/'Lookup Tables'!$C$48</f>
        <v>1.9776571257269555</v>
      </c>
      <c r="H995" s="70">
        <f t="shared" si="96"/>
        <v>8.302776107930788E-4</v>
      </c>
      <c r="I995" s="71">
        <f t="shared" si="100"/>
        <v>2.847826261046816E-3</v>
      </c>
      <c r="L995" s="74"/>
      <c r="M995" s="74"/>
      <c r="N995" s="74"/>
      <c r="O995" s="74"/>
      <c r="P995" s="74"/>
      <c r="Q995" s="74"/>
      <c r="R995" s="74"/>
      <c r="S995" s="74"/>
      <c r="T995" s="74"/>
      <c r="U995" s="74"/>
      <c r="V995" s="74"/>
      <c r="W995" s="74"/>
      <c r="X995" s="74"/>
      <c r="Y995" s="74"/>
      <c r="Z995" s="74"/>
    </row>
    <row r="996" spans="1:26" x14ac:dyDescent="0.3">
      <c r="A996" s="66">
        <f t="shared" si="98"/>
        <v>2088.8999999999101</v>
      </c>
      <c r="B996" s="67">
        <f>LOOKUP(A996+0.01,AmountsB!$A$4:$A$103,AmountsB!$B$4:$B$103)*0.1*$A$2</f>
        <v>0</v>
      </c>
      <c r="C996" s="68">
        <f t="shared" si="97"/>
        <v>625969.29735898925</v>
      </c>
      <c r="D996" s="67">
        <f t="array" ref="D996">SUM($B$7:$B991*$F$1009*EXP(-$F$1009*($A996-$A$7:$A991)))*$F$1010</f>
        <v>515067.61237564235</v>
      </c>
      <c r="E996" s="67">
        <f t="shared" si="95"/>
        <v>0.98193093279398291</v>
      </c>
      <c r="F996" s="70">
        <f t="shared" si="99"/>
        <v>5.962284623925064E-2</v>
      </c>
      <c r="G996" s="67">
        <f>E996/'Lookup Tables'!$C$48</f>
        <v>1.9638618655879658</v>
      </c>
      <c r="H996" s="70">
        <f t="shared" si="96"/>
        <v>8.2448596193773988E-4</v>
      </c>
      <c r="I996" s="71">
        <f t="shared" si="100"/>
        <v>2.8279610864466709E-3</v>
      </c>
      <c r="L996" s="74"/>
      <c r="M996" s="74"/>
      <c r="N996" s="74"/>
      <c r="O996" s="74"/>
      <c r="P996" s="74"/>
      <c r="Q996" s="74"/>
      <c r="R996" s="74"/>
      <c r="S996" s="74"/>
      <c r="T996" s="74"/>
      <c r="U996" s="74"/>
      <c r="V996" s="74"/>
      <c r="W996" s="74"/>
      <c r="X996" s="74"/>
      <c r="Y996" s="74"/>
      <c r="Z996" s="74"/>
    </row>
    <row r="997" spans="1:26" x14ac:dyDescent="0.3">
      <c r="A997" s="66">
        <f t="shared" si="98"/>
        <v>2088.99999999991</v>
      </c>
      <c r="B997" s="67">
        <f>LOOKUP(A997+0.01,AmountsB!$A$4:$A$103,AmountsB!$B$4:$B$103)*0.1*$A$2</f>
        <v>0</v>
      </c>
      <c r="C997" s="68">
        <f t="shared" si="97"/>
        <v>625969.29735898925</v>
      </c>
      <c r="D997" s="67">
        <f t="array" ref="D997">SUM($B$7:$B992*$F$1009*EXP(-$F$1009*($A997-$A$7:$A992)))*$F$1010</f>
        <v>511474.72885227704</v>
      </c>
      <c r="E997" s="67">
        <f t="shared" si="95"/>
        <v>0.97508141753666311</v>
      </c>
      <c r="F997" s="70">
        <f t="shared" si="99"/>
        <v>5.9206943672826189E-2</v>
      </c>
      <c r="G997" s="67">
        <f>E997/'Lookup Tables'!$C$48</f>
        <v>1.9501628350733262</v>
      </c>
      <c r="H997" s="70">
        <f t="shared" si="96"/>
        <v>8.1873471305950196E-4</v>
      </c>
      <c r="I997" s="71">
        <f t="shared" si="100"/>
        <v>2.8082344825055899E-3</v>
      </c>
      <c r="L997" s="74"/>
      <c r="M997" s="74"/>
      <c r="N997" s="74"/>
      <c r="O997" s="74"/>
      <c r="P997" s="74"/>
      <c r="Q997" s="74"/>
      <c r="R997" s="74"/>
      <c r="S997" s="74"/>
      <c r="T997" s="74"/>
      <c r="U997" s="74"/>
      <c r="V997" s="74"/>
      <c r="W997" s="74"/>
      <c r="X997" s="74"/>
      <c r="Y997" s="74"/>
      <c r="Z997" s="74"/>
    </row>
    <row r="998" spans="1:26" x14ac:dyDescent="0.3">
      <c r="A998" s="66">
        <f t="shared" si="98"/>
        <v>2089.0999999999099</v>
      </c>
      <c r="B998" s="67">
        <f>LOOKUP(A998+0.01,AmountsB!$A$4:$A$103,AmountsB!$B$4:$B$103)*0.1*$A$2</f>
        <v>0</v>
      </c>
      <c r="C998" s="68">
        <f t="shared" si="97"/>
        <v>625969.29735898925</v>
      </c>
      <c r="D998" s="67">
        <f t="array" ref="D998">SUM($B$7:$B993*$F$1009*EXP(-$F$1009*($A998-$A$7:$A993)))*$F$1010</f>
        <v>507906.90769296314</v>
      </c>
      <c r="E998" s="67">
        <f t="shared" si="95"/>
        <v>0.96827968146390042</v>
      </c>
      <c r="F998" s="70">
        <f t="shared" si="99"/>
        <v>5.8793942258488031E-2</v>
      </c>
      <c r="G998" s="67">
        <f>E998/'Lookup Tables'!$C$48</f>
        <v>1.9365593629278008</v>
      </c>
      <c r="H998" s="70">
        <f t="shared" si="96"/>
        <v>8.1302358234601935E-4</v>
      </c>
      <c r="I998" s="71">
        <f t="shared" si="100"/>
        <v>2.7886454826160328E-3</v>
      </c>
      <c r="L998" s="74"/>
      <c r="M998" s="74"/>
      <c r="N998" s="74"/>
      <c r="O998" s="74"/>
      <c r="P998" s="74"/>
      <c r="Q998" s="74"/>
      <c r="R998" s="74"/>
      <c r="S998" s="74"/>
      <c r="T998" s="74"/>
      <c r="U998" s="74"/>
      <c r="V998" s="74"/>
      <c r="W998" s="74"/>
      <c r="X998" s="74"/>
      <c r="Y998" s="74"/>
      <c r="Z998" s="74"/>
    </row>
    <row r="999" spans="1:26" x14ac:dyDescent="0.3">
      <c r="A999" s="66">
        <f t="shared" si="98"/>
        <v>2089.1999999999098</v>
      </c>
      <c r="B999" s="67">
        <f>LOOKUP(A999+0.01,AmountsB!$A$4:$A$103,AmountsB!$B$4:$B$103)*0.1*$A$2</f>
        <v>0</v>
      </c>
      <c r="C999" s="68">
        <f t="shared" si="97"/>
        <v>625969.29735898925</v>
      </c>
      <c r="D999" s="67">
        <f t="array" ref="D999">SUM($B$7:$B994*$F$1009*EXP(-$F$1009*($A999-$A$7:$A994)))*$F$1010</f>
        <v>504363.97407374997</v>
      </c>
      <c r="E999" s="67">
        <f t="shared" si="95"/>
        <v>0.96152539128926606</v>
      </c>
      <c r="F999" s="70">
        <f t="shared" si="99"/>
        <v>5.8383821759084242E-2</v>
      </c>
      <c r="G999" s="67">
        <f>E999/'Lookup Tables'!$C$48</f>
        <v>1.9230507825785321</v>
      </c>
      <c r="H999" s="70">
        <f t="shared" si="96"/>
        <v>8.0735228995074419E-4</v>
      </c>
      <c r="I999" s="71">
        <f t="shared" si="100"/>
        <v>2.7691931269130865E-3</v>
      </c>
      <c r="L999" s="74"/>
      <c r="M999" s="74"/>
      <c r="N999" s="74"/>
      <c r="O999" s="74"/>
      <c r="P999" s="74"/>
      <c r="Q999" s="74"/>
      <c r="R999" s="74"/>
      <c r="S999" s="74"/>
      <c r="T999" s="74"/>
      <c r="U999" s="74"/>
      <c r="V999" s="74"/>
      <c r="W999" s="74"/>
      <c r="X999" s="74"/>
      <c r="Y999" s="74"/>
      <c r="Z999" s="74"/>
    </row>
    <row r="1000" spans="1:26" x14ac:dyDescent="0.3">
      <c r="A1000" s="66">
        <f t="shared" si="98"/>
        <v>2089.2999999999097</v>
      </c>
      <c r="B1000" s="67">
        <f>LOOKUP(A1000+0.01,AmountsB!$A$4:$A$103,AmountsB!$B$4:$B$103)*0.1*$A$2</f>
        <v>0</v>
      </c>
      <c r="C1000" s="68">
        <f t="shared" si="97"/>
        <v>625969.29735898925</v>
      </c>
      <c r="D1000" s="67">
        <f t="array" ref="D1000">SUM($B$7:$B995*$F$1009*EXP(-$F$1009*($A1000-$A$7:$A995)))*$F$1010</f>
        <v>500845.75439018128</v>
      </c>
      <c r="E1000" s="67">
        <f t="shared" si="95"/>
        <v>0.95481821605119011</v>
      </c>
      <c r="F1000" s="70">
        <f t="shared" si="99"/>
        <v>5.7976562078628259E-2</v>
      </c>
      <c r="G1000" s="67">
        <f>E1000/'Lookup Tables'!$C$48</f>
        <v>1.9096364321023802</v>
      </c>
      <c r="H1000" s="70">
        <f t="shared" si="96"/>
        <v>8.0172055797921428E-4</v>
      </c>
      <c r="I1000" s="71">
        <f t="shared" si="100"/>
        <v>2.7498764622274274E-3</v>
      </c>
      <c r="L1000" s="74"/>
      <c r="M1000" s="74"/>
      <c r="N1000" s="74"/>
      <c r="O1000" s="74"/>
      <c r="P1000" s="74"/>
      <c r="Q1000" s="74"/>
      <c r="R1000" s="74"/>
      <c r="S1000" s="74"/>
      <c r="T1000" s="74"/>
      <c r="U1000" s="74"/>
      <c r="V1000" s="74"/>
      <c r="W1000" s="74"/>
      <c r="X1000" s="74"/>
      <c r="Y1000" s="74"/>
      <c r="Z1000" s="74"/>
    </row>
    <row r="1001" spans="1:26" x14ac:dyDescent="0.3">
      <c r="A1001" s="66">
        <f t="shared" si="98"/>
        <v>2089.3999999999096</v>
      </c>
      <c r="B1001" s="67">
        <f>LOOKUP(A1001+0.01,AmountsB!$A$4:$A$103,AmountsB!$B$4:$B$103)*0.1*$A$2</f>
        <v>0</v>
      </c>
      <c r="C1001" s="68">
        <f t="shared" si="97"/>
        <v>625969.29735898925</v>
      </c>
      <c r="D1001" s="67">
        <f t="array" ref="D1001">SUM($B$7:$B996*$F$1009*EXP(-$F$1009*($A1001-$A$7:$A996)))*$F$1010</f>
        <v>497352.0762487888</v>
      </c>
      <c r="E1001" s="67">
        <f t="shared" si="95"/>
        <v>0.94815782709674445</v>
      </c>
      <c r="F1001" s="70">
        <f t="shared" si="99"/>
        <v>5.7572143261314317E-2</v>
      </c>
      <c r="G1001" s="67">
        <f>E1001/'Lookup Tables'!$C$48</f>
        <v>1.8963156541934889</v>
      </c>
      <c r="H1001" s="70">
        <f t="shared" si="96"/>
        <v>7.9612811047543664E-4</v>
      </c>
      <c r="I1001" s="71">
        <f t="shared" si="100"/>
        <v>2.7306945420386237E-3</v>
      </c>
      <c r="L1001" s="74"/>
      <c r="M1001" s="74"/>
      <c r="N1001" s="74"/>
      <c r="O1001" s="74"/>
      <c r="P1001" s="74"/>
      <c r="Q1001" s="74"/>
      <c r="R1001" s="74"/>
      <c r="S1001" s="74"/>
      <c r="T1001" s="74"/>
      <c r="U1001" s="74"/>
      <c r="V1001" s="74"/>
      <c r="W1001" s="74"/>
      <c r="X1001" s="74"/>
      <c r="Y1001" s="74"/>
      <c r="Z1001" s="74"/>
    </row>
    <row r="1002" spans="1:26" x14ac:dyDescent="0.3">
      <c r="A1002" s="66">
        <f t="shared" si="98"/>
        <v>2089.4999999999095</v>
      </c>
      <c r="B1002" s="67">
        <f>LOOKUP(A1002+0.01,AmountsB!$A$4:$A$103,AmountsB!$B$4:$B$103)*0.1*$A$2</f>
        <v>0</v>
      </c>
      <c r="C1002" s="68">
        <f t="shared" si="97"/>
        <v>625969.29735898925</v>
      </c>
      <c r="D1002" s="67">
        <f t="array" ref="D1002">SUM($B$7:$B997*$F$1009*EXP(-$F$1009*($A1002-$A$7:$A997)))*$F$1010</f>
        <v>493882.76845864434</v>
      </c>
      <c r="E1002" s="67">
        <f t="shared" si="95"/>
        <v>0.94154389806553695</v>
      </c>
      <c r="F1002" s="70">
        <f t="shared" si="99"/>
        <v>5.7170545490539397E-2</v>
      </c>
      <c r="G1002" s="67">
        <f>E1002/'Lookup Tables'!$C$48</f>
        <v>1.8830877961310739</v>
      </c>
      <c r="H1002" s="70">
        <f t="shared" si="96"/>
        <v>7.9057467340836428E-4</v>
      </c>
      <c r="I1002" s="71">
        <f t="shared" si="100"/>
        <v>2.7116464264287459E-3</v>
      </c>
      <c r="L1002" s="74"/>
      <c r="M1002" s="74"/>
      <c r="N1002" s="74"/>
      <c r="O1002" s="74"/>
      <c r="P1002" s="74"/>
      <c r="Q1002" s="74"/>
      <c r="R1002" s="74"/>
      <c r="S1002" s="74"/>
      <c r="T1002" s="74"/>
      <c r="U1002" s="74"/>
      <c r="V1002" s="74"/>
      <c r="W1002" s="74"/>
      <c r="X1002" s="74"/>
      <c r="Y1002" s="74"/>
      <c r="Z1002" s="74"/>
    </row>
    <row r="1003" spans="1:26" x14ac:dyDescent="0.3">
      <c r="A1003" s="66">
        <f t="shared" si="98"/>
        <v>2089.5999999999094</v>
      </c>
      <c r="B1003" s="67">
        <f>LOOKUP(A1003+0.01,AmountsB!$A$4:$A$103,AmountsB!$B$4:$B$103)*0.1*$A$2</f>
        <v>0</v>
      </c>
      <c r="C1003" s="68">
        <f t="shared" si="97"/>
        <v>625969.29735898925</v>
      </c>
      <c r="D1003" s="67">
        <f t="array" ref="D1003">SUM($B$7:$B998*$F$1009*EXP(-$F$1009*($A1003-$A$7:$A998)))*$F$1010</f>
        <v>490437.66102297237</v>
      </c>
      <c r="E1003" s="67">
        <f t="shared" si="95"/>
        <v>0.93497610487372262</v>
      </c>
      <c r="F1003" s="70">
        <f t="shared" si="99"/>
        <v>5.6771749087932442E-2</v>
      </c>
      <c r="G1003" s="67">
        <f>E1003/'Lookup Tables'!$C$48</f>
        <v>1.8699522097474452</v>
      </c>
      <c r="H1003" s="70">
        <f t="shared" si="96"/>
        <v>7.8505997465847042E-4</v>
      </c>
      <c r="I1003" s="71">
        <f t="shared" si="100"/>
        <v>2.6927311820363212E-3</v>
      </c>
      <c r="L1003" s="74"/>
      <c r="M1003" s="74"/>
      <c r="N1003" s="74"/>
      <c r="O1003" s="74"/>
      <c r="P1003" s="74"/>
      <c r="Q1003" s="74"/>
      <c r="R1003" s="74"/>
      <c r="S1003" s="74"/>
      <c r="T1003" s="74"/>
      <c r="U1003" s="74"/>
      <c r="V1003" s="74"/>
      <c r="W1003" s="74"/>
      <c r="X1003" s="74"/>
      <c r="Y1003" s="74"/>
      <c r="Z1003" s="74"/>
    </row>
    <row r="1004" spans="1:26" x14ac:dyDescent="0.3">
      <c r="A1004" s="66">
        <f t="shared" si="98"/>
        <v>2089.6999999999093</v>
      </c>
      <c r="B1004" s="67">
        <f>LOOKUP(A1004+0.01,AmountsB!$A$4:$A$103,AmountsB!$B$4:$B$103)*0.1*$A$2</f>
        <v>0</v>
      </c>
      <c r="C1004" s="68">
        <f t="shared" si="97"/>
        <v>625969.29735898925</v>
      </c>
      <c r="D1004" s="67">
        <f t="array" ref="D1004">SUM($B$7:$B999*$F$1009*EXP(-$F$1009*($A1004-$A$7:$A999)))*$F$1010</f>
        <v>487016.58513081906</v>
      </c>
      <c r="E1004" s="67">
        <f t="shared" si="95"/>
        <v>0.92845412569812025</v>
      </c>
      <c r="F1004" s="70">
        <f t="shared" si="99"/>
        <v>5.6375734512389863E-2</v>
      </c>
      <c r="G1004" s="67">
        <f>E1004/'Lookup Tables'!$C$48</f>
        <v>1.8569082513962405</v>
      </c>
      <c r="H1004" s="70">
        <f t="shared" si="96"/>
        <v>7.7958374400441204E-4</v>
      </c>
      <c r="I1004" s="71">
        <f t="shared" si="100"/>
        <v>2.673947882010586E-3</v>
      </c>
      <c r="L1004" s="74"/>
      <c r="M1004" s="74"/>
      <c r="N1004" s="74"/>
      <c r="O1004" s="74"/>
      <c r="P1004" s="74"/>
      <c r="Q1004" s="74"/>
      <c r="R1004" s="74"/>
      <c r="S1004" s="74"/>
      <c r="T1004" s="74"/>
      <c r="U1004" s="74"/>
      <c r="V1004" s="74"/>
      <c r="W1004" s="74"/>
      <c r="X1004" s="74"/>
      <c r="Y1004" s="74"/>
      <c r="Z1004" s="74"/>
    </row>
    <row r="1005" spans="1:26" x14ac:dyDescent="0.3">
      <c r="A1005" s="66">
        <f t="shared" si="98"/>
        <v>2089.7999999999092</v>
      </c>
      <c r="B1005" s="67">
        <f>LOOKUP(A1005+0.01,AmountsB!$A$4:$A$103,AmountsB!$B$4:$B$103)*0.1*$A$2</f>
        <v>0</v>
      </c>
      <c r="C1005" s="68">
        <f t="shared" si="97"/>
        <v>625969.29735898925</v>
      </c>
      <c r="D1005" s="67">
        <f t="array" ref="D1005">SUM($B$7:$B1000*$F$1009*EXP(-$F$1009*($A1005-$A$7:$A1000)))*$F$1010</f>
        <v>483619.37314878107</v>
      </c>
      <c r="E1005" s="67">
        <f t="shared" si="95"/>
        <v>0.92197764096044543</v>
      </c>
      <c r="F1005" s="70">
        <f t="shared" si="99"/>
        <v>5.5982482359118242E-2</v>
      </c>
      <c r="G1005" s="67">
        <f>E1005/'Lookup Tables'!$C$48</f>
        <v>1.8439552819208909</v>
      </c>
      <c r="H1005" s="70">
        <f t="shared" si="96"/>
        <v>7.7414571310979198E-4</v>
      </c>
      <c r="I1005" s="71">
        <f t="shared" si="100"/>
        <v>2.6552956059660827E-3</v>
      </c>
      <c r="L1005" s="74"/>
      <c r="M1005" s="74"/>
      <c r="N1005" s="74"/>
      <c r="O1005" s="74"/>
      <c r="P1005" s="74"/>
      <c r="Q1005" s="74"/>
      <c r="R1005" s="74"/>
      <c r="S1005" s="74"/>
      <c r="T1005" s="74"/>
      <c r="U1005" s="74"/>
      <c r="V1005" s="74"/>
      <c r="W1005" s="74"/>
      <c r="X1005" s="74"/>
      <c r="Y1005" s="74"/>
      <c r="Z1005" s="74"/>
    </row>
    <row r="1006" spans="1:26" x14ac:dyDescent="0.3">
      <c r="A1006" s="66">
        <f t="shared" si="98"/>
        <v>2089.8999999999091</v>
      </c>
      <c r="B1006" s="67">
        <f>LOOKUP(A1006+0.01,AmountsB!$A$4:$A$103,AmountsB!$B$4:$B$103)*0.1*$A$2</f>
        <v>0</v>
      </c>
      <c r="C1006" s="68">
        <f t="shared" si="97"/>
        <v>625969.29735898925</v>
      </c>
      <c r="D1006" s="67">
        <f t="array" ref="D1006">SUM($B$7:$B1001*$F$1009*EXP(-$F$1009*($A1006-$A$7:$A1001)))*$F$1010</f>
        <v>480245.85861279169</v>
      </c>
      <c r="E1006" s="67">
        <f t="shared" si="95"/>
        <v>0.91554633331165047</v>
      </c>
      <c r="F1006" s="70">
        <f t="shared" si="99"/>
        <v>5.5591973358683412E-2</v>
      </c>
      <c r="G1006" s="67">
        <f>E1006/'Lookup Tables'!$C$48</f>
        <v>1.8310926666233009</v>
      </c>
      <c r="H1006" s="70">
        <f t="shared" si="96"/>
        <v>7.6874561551000802E-4</v>
      </c>
      <c r="I1006" s="71">
        <f t="shared" si="100"/>
        <v>2.6367734399375532E-3</v>
      </c>
      <c r="L1006" s="74"/>
      <c r="M1006" s="74"/>
      <c r="N1006" s="74"/>
      <c r="O1006" s="74"/>
      <c r="P1006" s="74"/>
      <c r="Q1006" s="74"/>
      <c r="R1006" s="74"/>
      <c r="S1006" s="74"/>
      <c r="T1006" s="74"/>
      <c r="U1006" s="74"/>
      <c r="V1006" s="74"/>
      <c r="W1006" s="74"/>
      <c r="X1006" s="74"/>
      <c r="Y1006" s="74"/>
      <c r="Z1006" s="74"/>
    </row>
    <row r="1007" spans="1:26" x14ac:dyDescent="0.3">
      <c r="A1007" s="66">
        <f>A1006+0.1</f>
        <v>2089.9999999999091</v>
      </c>
      <c r="B1007" s="67">
        <f>LOOKUP(A1007+0.01,AmountsB!$A$4:$A$103,AmountsB!$B$4:$B$103)*0.1*$A$2</f>
        <v>0</v>
      </c>
      <c r="C1007" s="68">
        <f>C1006+B1007</f>
        <v>625969.29735898925</v>
      </c>
      <c r="D1007" s="67">
        <f t="array" ref="D1007">SUM($B$7:$B1002*$F$1009*EXP(-$F$1009*($A1007-$A$7:$A1002)))*$F$1010</f>
        <v>476895.87621996365</v>
      </c>
      <c r="E1007" s="67">
        <f t="shared" si="95"/>
        <v>0.90915988761637334</v>
      </c>
      <c r="F1007" s="70">
        <f t="shared" si="99"/>
        <v>5.5204188376066186E-2</v>
      </c>
      <c r="G1007" s="67">
        <f>E1007/'Lookup Tables'!$C$48</f>
        <v>1.8183197752327467</v>
      </c>
      <c r="H1007" s="70">
        <f t="shared" si="96"/>
        <v>7.6338318659919743E-4</v>
      </c>
      <c r="I1007" s="71">
        <f>G1007*60*24/1000000</f>
        <v>2.6183804763351549E-3</v>
      </c>
      <c r="L1007" s="74"/>
      <c r="M1007" s="74"/>
      <c r="N1007" s="74"/>
      <c r="O1007" s="74"/>
      <c r="P1007" s="74"/>
      <c r="Q1007" s="74"/>
      <c r="R1007" s="74"/>
      <c r="S1007" s="74"/>
      <c r="T1007" s="74"/>
      <c r="U1007" s="74"/>
      <c r="V1007" s="74"/>
      <c r="W1007" s="74"/>
      <c r="X1007" s="74"/>
      <c r="Y1007" s="74"/>
      <c r="Z1007" s="74"/>
    </row>
    <row r="1008" spans="1:26" x14ac:dyDescent="0.3">
      <c r="A1008" s="65" t="s">
        <v>11</v>
      </c>
      <c r="E1008" s="78"/>
      <c r="F1008" s="79">
        <f>'Lookup Tables'!C48</f>
        <v>0.5</v>
      </c>
    </row>
    <row r="1009" spans="1:10" x14ac:dyDescent="0.3">
      <c r="A1009" s="65" t="s">
        <v>36</v>
      </c>
      <c r="E1009" s="78"/>
      <c r="F1009" s="86">
        <f>'Lookup Tables'!F37</f>
        <v>7.0000000000000007E-2</v>
      </c>
    </row>
    <row r="1010" spans="1:10" x14ac:dyDescent="0.3">
      <c r="A1010" s="65" t="s">
        <v>35</v>
      </c>
      <c r="E1010" s="78"/>
      <c r="F1010" s="81">
        <f>'Lookup Tables'!H37/F1011</f>
        <v>2979.6230018886522</v>
      </c>
      <c r="G1010" s="65" t="s">
        <v>12</v>
      </c>
    </row>
    <row r="1011" spans="1:10" x14ac:dyDescent="0.3">
      <c r="F1011" s="82">
        <v>3.1213999999999999E-2</v>
      </c>
      <c r="G1011" s="35" t="s">
        <v>13</v>
      </c>
    </row>
    <row r="1014" spans="1:10" x14ac:dyDescent="0.3">
      <c r="E1014" s="83"/>
      <c r="H1014" s="84"/>
      <c r="I1014" s="84"/>
      <c r="J1014" s="84"/>
    </row>
    <row r="1015" spans="1:10" x14ac:dyDescent="0.3">
      <c r="E1015" s="83"/>
      <c r="H1015" s="84"/>
      <c r="I1015" s="84"/>
      <c r="J1015" s="84"/>
    </row>
  </sheetData>
  <sheetProtection password="8BBD" sheet="1" objects="1" scenarios="1"/>
  <mergeCells count="1">
    <mergeCell ref="D4:F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15"/>
  <sheetViews>
    <sheetView zoomScale="75" zoomScaleNormal="75" workbookViewId="0">
      <selection activeCell="K34" sqref="K34:M34"/>
    </sheetView>
  </sheetViews>
  <sheetFormatPr defaultColWidth="9" defaultRowHeight="13.5" x14ac:dyDescent="0.3"/>
  <cols>
    <col min="1" max="1" width="8.08203125" style="35" customWidth="1"/>
    <col min="2" max="2" width="14" style="35" customWidth="1"/>
    <col min="3" max="3" width="13.83203125" style="35" customWidth="1"/>
    <col min="4" max="4" width="13.75" style="35" customWidth="1"/>
    <col min="5" max="5" width="9.75" style="35" customWidth="1"/>
    <col min="6" max="6" width="10.33203125" style="35" customWidth="1"/>
    <col min="7" max="7" width="14.08203125" style="35" customWidth="1"/>
    <col min="8" max="104" width="13.58203125" style="35" customWidth="1"/>
    <col min="105" max="16384" width="9" style="35"/>
  </cols>
  <sheetData>
    <row r="1" spans="1:26" x14ac:dyDescent="0.3">
      <c r="A1" s="34">
        <v>0.5</v>
      </c>
      <c r="B1" s="35" t="s">
        <v>16</v>
      </c>
      <c r="F1" s="34">
        <f>A1</f>
        <v>0.5</v>
      </c>
      <c r="G1" s="35" t="s">
        <v>37</v>
      </c>
    </row>
    <row r="2" spans="1:26" ht="14" thickBot="1" x14ac:dyDescent="0.35">
      <c r="A2" s="36">
        <f>Amounts!F2</f>
        <v>0.20229999999999998</v>
      </c>
      <c r="B2" s="37"/>
      <c r="C2" s="37"/>
    </row>
    <row r="3" spans="1:26" ht="14" thickTop="1" x14ac:dyDescent="0.3">
      <c r="A3" s="38"/>
      <c r="B3" s="39"/>
      <c r="C3" s="39"/>
      <c r="D3" s="40"/>
      <c r="E3" s="41"/>
      <c r="F3" s="42"/>
      <c r="G3" s="43"/>
      <c r="H3" s="41"/>
      <c r="I3" s="44"/>
      <c r="J3" s="35">
        <f>A7</f>
        <v>1990</v>
      </c>
      <c r="K3" s="73">
        <v>0</v>
      </c>
    </row>
    <row r="4" spans="1:26" x14ac:dyDescent="0.3">
      <c r="A4" s="45"/>
      <c r="B4" s="46"/>
      <c r="C4" s="47" t="s">
        <v>1</v>
      </c>
      <c r="D4" s="452" t="s">
        <v>33</v>
      </c>
      <c r="E4" s="453"/>
      <c r="F4" s="454"/>
      <c r="G4" s="48" t="s">
        <v>6</v>
      </c>
      <c r="H4" s="49"/>
      <c r="I4" s="50"/>
      <c r="J4" s="35">
        <f t="shared" ref="J4:J67" si="0">J3+1</f>
        <v>1991</v>
      </c>
      <c r="K4" s="75">
        <f>$G21</f>
        <v>0</v>
      </c>
    </row>
    <row r="5" spans="1:26" x14ac:dyDescent="0.3">
      <c r="A5" s="45"/>
      <c r="B5" s="51" t="s">
        <v>2</v>
      </c>
      <c r="C5" s="52" t="s">
        <v>3</v>
      </c>
      <c r="D5" s="53"/>
      <c r="E5" s="54"/>
      <c r="F5" s="55"/>
      <c r="G5" s="56" t="s">
        <v>34</v>
      </c>
      <c r="H5" s="49"/>
      <c r="I5" s="57"/>
      <c r="J5" s="35">
        <f t="shared" si="0"/>
        <v>1992</v>
      </c>
      <c r="K5" s="75">
        <f>$G31</f>
        <v>0</v>
      </c>
    </row>
    <row r="6" spans="1:26" x14ac:dyDescent="0.3">
      <c r="A6" s="58" t="s">
        <v>0</v>
      </c>
      <c r="B6" s="59" t="s">
        <v>4</v>
      </c>
      <c r="C6" s="59" t="s">
        <v>5</v>
      </c>
      <c r="D6" s="60" t="s">
        <v>14</v>
      </c>
      <c r="E6" s="60" t="s">
        <v>7</v>
      </c>
      <c r="F6" s="61" t="s">
        <v>8</v>
      </c>
      <c r="G6" s="85" t="s">
        <v>7</v>
      </c>
      <c r="H6" s="63" t="s">
        <v>9</v>
      </c>
      <c r="I6" s="64" t="s">
        <v>10</v>
      </c>
      <c r="J6" s="35">
        <f t="shared" si="0"/>
        <v>1993</v>
      </c>
      <c r="K6" s="75">
        <f>$G41</f>
        <v>0</v>
      </c>
      <c r="L6" s="65"/>
    </row>
    <row r="7" spans="1:26" x14ac:dyDescent="0.3">
      <c r="A7" s="66">
        <f>Amounts!A4</f>
        <v>1990</v>
      </c>
      <c r="B7" s="67">
        <f>LOOKUP(A7+0.01,AmountsB!$A$4:$A$103,AmountsB!$B$4:$B$103)*0.1*$A$2</f>
        <v>0</v>
      </c>
      <c r="C7" s="68">
        <f>B7</f>
        <v>0</v>
      </c>
      <c r="D7" s="69">
        <v>0</v>
      </c>
      <c r="E7" s="67">
        <f t="shared" ref="E7:E70" si="1">D7/(365*24*60)*1.00201</f>
        <v>0</v>
      </c>
      <c r="F7" s="70">
        <f>E7*60*1012/1000000</f>
        <v>0</v>
      </c>
      <c r="G7" s="67">
        <f>E7/'Lookup Tables'!$C$48</f>
        <v>0</v>
      </c>
      <c r="H7" s="70" t="e">
        <f t="shared" ref="H7:H70" si="2">G7*60*24*365/(C7*2000)</f>
        <v>#DIV/0!</v>
      </c>
      <c r="I7" s="71">
        <f>G7*60*24/1000000</f>
        <v>0</v>
      </c>
      <c r="J7" s="35">
        <f t="shared" si="0"/>
        <v>1994</v>
      </c>
      <c r="K7" s="75">
        <f>$G51</f>
        <v>0</v>
      </c>
      <c r="L7" s="65"/>
    </row>
    <row r="8" spans="1:26" x14ac:dyDescent="0.3">
      <c r="A8" s="66">
        <f>A7+0.1</f>
        <v>1990.1</v>
      </c>
      <c r="B8" s="67">
        <f>LOOKUP(A8+0.01,AmountsB!$A$4:$A$103,AmountsB!$B$4:$B$103)*0.1*$A$2</f>
        <v>0</v>
      </c>
      <c r="C8" s="68">
        <f>C7+B8</f>
        <v>0</v>
      </c>
      <c r="D8" s="69">
        <v>0</v>
      </c>
      <c r="E8" s="67">
        <f t="shared" si="1"/>
        <v>0</v>
      </c>
      <c r="F8" s="70">
        <f>E8*60*1012/1000000</f>
        <v>0</v>
      </c>
      <c r="G8" s="67">
        <f>E8/'Lookup Tables'!$C$48</f>
        <v>0</v>
      </c>
      <c r="H8" s="70" t="e">
        <f t="shared" si="2"/>
        <v>#DIV/0!</v>
      </c>
      <c r="I8" s="71">
        <f>G8*60*24/1000000</f>
        <v>0</v>
      </c>
      <c r="J8" s="35">
        <f t="shared" si="0"/>
        <v>1995</v>
      </c>
      <c r="K8" s="75">
        <f>$G61</f>
        <v>0</v>
      </c>
      <c r="L8" s="74"/>
      <c r="M8" s="74"/>
      <c r="N8" s="74"/>
      <c r="O8" s="74"/>
      <c r="P8" s="74"/>
      <c r="Q8" s="74"/>
      <c r="R8" s="74"/>
      <c r="S8" s="74"/>
      <c r="T8" s="74"/>
      <c r="U8" s="74"/>
      <c r="V8" s="74"/>
      <c r="W8" s="74"/>
      <c r="X8" s="74"/>
      <c r="Y8" s="74"/>
      <c r="Z8" s="74"/>
    </row>
    <row r="9" spans="1:26" x14ac:dyDescent="0.3">
      <c r="A9" s="66">
        <f t="shared" ref="A9:A15" si="3">A8+0.1</f>
        <v>1990.1999999999998</v>
      </c>
      <c r="B9" s="67">
        <f>LOOKUP(A9+0.01,AmountsB!$A$4:$A$103,AmountsB!$B$4:$B$103)*0.1*$A$2</f>
        <v>0</v>
      </c>
      <c r="C9" s="68">
        <f t="shared" ref="C9:C72" si="4">C8+B9</f>
        <v>0</v>
      </c>
      <c r="D9" s="69">
        <v>0</v>
      </c>
      <c r="E9" s="67">
        <f t="shared" si="1"/>
        <v>0</v>
      </c>
      <c r="F9" s="70">
        <f t="shared" ref="F9:F16" si="5">E9*60*1012/1000000</f>
        <v>0</v>
      </c>
      <c r="G9" s="67">
        <f>E9/'Lookup Tables'!$C$48</f>
        <v>0</v>
      </c>
      <c r="H9" s="70" t="e">
        <f t="shared" si="2"/>
        <v>#DIV/0!</v>
      </c>
      <c r="I9" s="71">
        <f t="shared" ref="I9:I15" si="6">G9*60*24/1000000</f>
        <v>0</v>
      </c>
      <c r="J9" s="35">
        <f t="shared" si="0"/>
        <v>1996</v>
      </c>
      <c r="K9" s="75">
        <f>$G71</f>
        <v>0</v>
      </c>
      <c r="L9" s="74"/>
      <c r="M9" s="74"/>
      <c r="N9" s="74"/>
      <c r="O9" s="74"/>
      <c r="P9" s="74"/>
      <c r="Q9" s="74"/>
      <c r="R9" s="74"/>
      <c r="S9" s="74"/>
      <c r="T9" s="74"/>
      <c r="U9" s="74"/>
      <c r="V9" s="74"/>
      <c r="W9" s="74"/>
      <c r="X9" s="74"/>
      <c r="Y9" s="74"/>
      <c r="Z9" s="74"/>
    </row>
    <row r="10" spans="1:26" x14ac:dyDescent="0.3">
      <c r="A10" s="66">
        <f t="shared" si="3"/>
        <v>1990.2999999999997</v>
      </c>
      <c r="B10" s="67">
        <f>LOOKUP(A10+0.01,AmountsB!$A$4:$A$103,AmountsB!$B$4:$B$103)*0.1*$A$2</f>
        <v>0</v>
      </c>
      <c r="C10" s="68">
        <f t="shared" si="4"/>
        <v>0</v>
      </c>
      <c r="D10" s="69">
        <v>0</v>
      </c>
      <c r="E10" s="67">
        <f t="shared" si="1"/>
        <v>0</v>
      </c>
      <c r="F10" s="70">
        <f t="shared" si="5"/>
        <v>0</v>
      </c>
      <c r="G10" s="67">
        <f>E10/'Lookup Tables'!$C$48</f>
        <v>0</v>
      </c>
      <c r="H10" s="70" t="e">
        <f t="shared" si="2"/>
        <v>#DIV/0!</v>
      </c>
      <c r="I10" s="71">
        <f t="shared" si="6"/>
        <v>0</v>
      </c>
      <c r="J10" s="35">
        <f t="shared" si="0"/>
        <v>1997</v>
      </c>
      <c r="K10" s="75">
        <f>$G81</f>
        <v>0</v>
      </c>
      <c r="L10" s="74"/>
      <c r="M10" s="74"/>
      <c r="N10" s="74"/>
      <c r="O10" s="74"/>
      <c r="P10" s="74"/>
      <c r="Q10" s="74"/>
      <c r="R10" s="74"/>
      <c r="S10" s="74"/>
      <c r="T10" s="74"/>
      <c r="U10" s="74"/>
      <c r="V10" s="74"/>
      <c r="W10" s="74"/>
      <c r="X10" s="74"/>
      <c r="Y10" s="74"/>
      <c r="Z10" s="74"/>
    </row>
    <row r="11" spans="1:26" x14ac:dyDescent="0.3">
      <c r="A11" s="66">
        <f t="shared" si="3"/>
        <v>1990.3999999999996</v>
      </c>
      <c r="B11" s="67">
        <f>LOOKUP(A11+0.01,AmountsB!$A$4:$A$103,AmountsB!$B$4:$B$103)*0.1*$A$2</f>
        <v>0</v>
      </c>
      <c r="C11" s="68">
        <f t="shared" si="4"/>
        <v>0</v>
      </c>
      <c r="D11" s="69">
        <v>0</v>
      </c>
      <c r="E11" s="67">
        <f t="shared" si="1"/>
        <v>0</v>
      </c>
      <c r="F11" s="70">
        <f t="shared" si="5"/>
        <v>0</v>
      </c>
      <c r="G11" s="67">
        <f>E11/'Lookup Tables'!$C$48</f>
        <v>0</v>
      </c>
      <c r="H11" s="70" t="e">
        <f t="shared" si="2"/>
        <v>#DIV/0!</v>
      </c>
      <c r="I11" s="71">
        <f t="shared" si="6"/>
        <v>0</v>
      </c>
      <c r="J11" s="35">
        <f t="shared" si="0"/>
        <v>1998</v>
      </c>
      <c r="K11" s="75">
        <f>$G91</f>
        <v>0</v>
      </c>
      <c r="L11" s="74"/>
      <c r="M11" s="74"/>
      <c r="N11" s="74"/>
      <c r="O11" s="74"/>
      <c r="P11" s="74"/>
      <c r="Q11" s="74"/>
      <c r="R11" s="74"/>
      <c r="S11" s="74"/>
      <c r="T11" s="74"/>
      <c r="U11" s="74"/>
      <c r="V11" s="74"/>
      <c r="W11" s="74"/>
      <c r="X11" s="74"/>
      <c r="Y11" s="74"/>
      <c r="Z11" s="74"/>
    </row>
    <row r="12" spans="1:26" x14ac:dyDescent="0.3">
      <c r="A12" s="66">
        <f t="shared" si="3"/>
        <v>1990.4999999999995</v>
      </c>
      <c r="B12" s="67">
        <f>LOOKUP(A12+0.01,AmountsB!$A$4:$A$103,AmountsB!$B$4:$B$103)*0.1*$A$2</f>
        <v>0</v>
      </c>
      <c r="C12" s="68">
        <f t="shared" si="4"/>
        <v>0</v>
      </c>
      <c r="D12" s="67">
        <f t="array" ref="D12">SUM($B$7:$B7*$F$1009*EXP(-$F$1009*($A12-$A$7:$A7)))*$F$1010</f>
        <v>0</v>
      </c>
      <c r="E12" s="67">
        <f t="shared" si="1"/>
        <v>0</v>
      </c>
      <c r="F12" s="70">
        <f t="shared" si="5"/>
        <v>0</v>
      </c>
      <c r="G12" s="67">
        <f>E12/'Lookup Tables'!$C$48</f>
        <v>0</v>
      </c>
      <c r="H12" s="70" t="e">
        <f t="shared" si="2"/>
        <v>#DIV/0!</v>
      </c>
      <c r="I12" s="71">
        <f t="shared" si="6"/>
        <v>0</v>
      </c>
      <c r="J12" s="35">
        <f t="shared" si="0"/>
        <v>1999</v>
      </c>
      <c r="K12" s="75">
        <f>$G101</f>
        <v>0</v>
      </c>
      <c r="L12" s="74"/>
      <c r="M12" s="74"/>
      <c r="N12" s="74"/>
      <c r="O12" s="74"/>
      <c r="P12" s="74"/>
      <c r="Q12" s="74"/>
      <c r="R12" s="74"/>
      <c r="S12" s="74"/>
      <c r="T12" s="74"/>
      <c r="U12" s="74"/>
      <c r="V12" s="74"/>
      <c r="W12" s="74"/>
      <c r="X12" s="74"/>
      <c r="Y12" s="74"/>
      <c r="Z12" s="74"/>
    </row>
    <row r="13" spans="1:26" x14ac:dyDescent="0.3">
      <c r="A13" s="66">
        <f t="shared" si="3"/>
        <v>1990.5999999999995</v>
      </c>
      <c r="B13" s="67">
        <f>LOOKUP(A13+0.01,AmountsB!$A$4:$A$103,AmountsB!$B$4:$B$103)*0.1*$A$2</f>
        <v>0</v>
      </c>
      <c r="C13" s="68">
        <f t="shared" si="4"/>
        <v>0</v>
      </c>
      <c r="D13" s="67">
        <f t="array" ref="D13">SUM($B$7:$B8*$F$1009*EXP(-$F$1009*($A13-$A$7:$A8)))*$F$1010</f>
        <v>0</v>
      </c>
      <c r="E13" s="67">
        <f t="shared" si="1"/>
        <v>0</v>
      </c>
      <c r="F13" s="70">
        <f t="shared" si="5"/>
        <v>0</v>
      </c>
      <c r="G13" s="67">
        <f>E13/'Lookup Tables'!$C$48</f>
        <v>0</v>
      </c>
      <c r="H13" s="70" t="e">
        <f t="shared" si="2"/>
        <v>#DIV/0!</v>
      </c>
      <c r="I13" s="71">
        <f t="shared" si="6"/>
        <v>0</v>
      </c>
      <c r="J13" s="35">
        <f t="shared" si="0"/>
        <v>2000</v>
      </c>
      <c r="K13" s="75">
        <f>$G111</f>
        <v>0</v>
      </c>
      <c r="L13" s="74"/>
      <c r="M13" s="74"/>
      <c r="N13" s="74"/>
      <c r="O13" s="74"/>
      <c r="P13" s="74"/>
      <c r="Q13" s="74"/>
      <c r="R13" s="74"/>
      <c r="S13" s="74"/>
      <c r="T13" s="74"/>
      <c r="U13" s="74"/>
      <c r="V13" s="74"/>
      <c r="W13" s="74"/>
      <c r="X13" s="74"/>
      <c r="Y13" s="74"/>
      <c r="Z13" s="74"/>
    </row>
    <row r="14" spans="1:26" x14ac:dyDescent="0.3">
      <c r="A14" s="66">
        <f t="shared" si="3"/>
        <v>1990.6999999999994</v>
      </c>
      <c r="B14" s="67">
        <f>LOOKUP(A14+0.01,AmountsB!$A$4:$A$103,AmountsB!$B$4:$B$103)*0.1*$A$2</f>
        <v>0</v>
      </c>
      <c r="C14" s="68">
        <f t="shared" si="4"/>
        <v>0</v>
      </c>
      <c r="D14" s="67">
        <f t="array" ref="D14">SUM($B$7:$B9*$F$1009*EXP(-$F$1009*($A14-$A$7:$A9)))*$F$1010</f>
        <v>0</v>
      </c>
      <c r="E14" s="67">
        <f t="shared" si="1"/>
        <v>0</v>
      </c>
      <c r="F14" s="70">
        <f t="shared" si="5"/>
        <v>0</v>
      </c>
      <c r="G14" s="67">
        <f>E14/'Lookup Tables'!$C$48</f>
        <v>0</v>
      </c>
      <c r="H14" s="70" t="e">
        <f t="shared" si="2"/>
        <v>#DIV/0!</v>
      </c>
      <c r="I14" s="71">
        <f t="shared" si="6"/>
        <v>0</v>
      </c>
      <c r="J14" s="35">
        <f t="shared" si="0"/>
        <v>2001</v>
      </c>
      <c r="K14" s="75">
        <f>$G121</f>
        <v>45.885510064437952</v>
      </c>
      <c r="L14" s="74"/>
      <c r="M14" s="74"/>
      <c r="N14" s="74"/>
      <c r="O14" s="74"/>
      <c r="P14" s="74"/>
      <c r="Q14" s="74"/>
      <c r="R14" s="74"/>
      <c r="S14" s="74"/>
      <c r="T14" s="74"/>
      <c r="U14" s="74"/>
      <c r="V14" s="74"/>
      <c r="W14" s="74"/>
      <c r="X14" s="74"/>
      <c r="Y14" s="74"/>
      <c r="Z14" s="74"/>
    </row>
    <row r="15" spans="1:26" x14ac:dyDescent="0.3">
      <c r="A15" s="66">
        <f t="shared" si="3"/>
        <v>1990.7999999999993</v>
      </c>
      <c r="B15" s="67">
        <f>LOOKUP(A15+0.01,AmountsB!$A$4:$A$103,AmountsB!$B$4:$B$103)*0.1*$A$2</f>
        <v>0</v>
      </c>
      <c r="C15" s="68">
        <f t="shared" si="4"/>
        <v>0</v>
      </c>
      <c r="D15" s="67">
        <f t="array" ref="D15">SUM($B$7:$B10*$F$1009*EXP(-$F$1009*($A15-$A$7:$A10)))*$F$1010</f>
        <v>0</v>
      </c>
      <c r="E15" s="67">
        <f t="shared" si="1"/>
        <v>0</v>
      </c>
      <c r="F15" s="70">
        <f t="shared" si="5"/>
        <v>0</v>
      </c>
      <c r="G15" s="67">
        <f>E15/'Lookup Tables'!$C$48</f>
        <v>0</v>
      </c>
      <c r="H15" s="70" t="e">
        <f t="shared" si="2"/>
        <v>#DIV/0!</v>
      </c>
      <c r="I15" s="71">
        <f t="shared" si="6"/>
        <v>0</v>
      </c>
      <c r="J15" s="35">
        <f t="shared" si="0"/>
        <v>2002</v>
      </c>
      <c r="K15" s="75">
        <f>$G131</f>
        <v>91.42229660439267</v>
      </c>
      <c r="L15" s="74"/>
      <c r="M15" s="74"/>
      <c r="N15" s="74"/>
      <c r="O15" s="74"/>
      <c r="P15" s="74"/>
      <c r="Q15" s="74"/>
      <c r="R15" s="74"/>
      <c r="S15" s="74"/>
      <c r="T15" s="74"/>
      <c r="U15" s="74"/>
      <c r="V15" s="74"/>
      <c r="W15" s="74"/>
      <c r="X15" s="74"/>
      <c r="Y15" s="74"/>
      <c r="Z15" s="74"/>
    </row>
    <row r="16" spans="1:26" x14ac:dyDescent="0.3">
      <c r="A16" s="66">
        <f>A15+0.1</f>
        <v>1990.8999999999992</v>
      </c>
      <c r="B16" s="67">
        <f>LOOKUP(A16+0.01,AmountsB!$A$4:$A$103,AmountsB!$B$4:$B$103)*0.1*$A$2</f>
        <v>0</v>
      </c>
      <c r="C16" s="68">
        <f t="shared" si="4"/>
        <v>0</v>
      </c>
      <c r="D16" s="67">
        <f t="array" ref="D16">SUM($B$7:$B11*$F$1009*EXP(-$F$1009*($A16-$A$7:$A11)))*$F$1010</f>
        <v>0</v>
      </c>
      <c r="E16" s="67">
        <f t="shared" si="1"/>
        <v>0</v>
      </c>
      <c r="F16" s="70">
        <f t="shared" si="5"/>
        <v>0</v>
      </c>
      <c r="G16" s="67">
        <f>E16/'Lookup Tables'!$C$48</f>
        <v>0</v>
      </c>
      <c r="H16" s="70" t="e">
        <f t="shared" si="2"/>
        <v>#DIV/0!</v>
      </c>
      <c r="I16" s="71">
        <f>G16*60*24/1000000</f>
        <v>0</v>
      </c>
      <c r="J16" s="35">
        <f t="shared" si="0"/>
        <v>2003</v>
      </c>
      <c r="K16" s="75">
        <f>$G141</f>
        <v>136.63754323198529</v>
      </c>
      <c r="L16" s="74"/>
      <c r="M16" s="74"/>
      <c r="N16" s="74"/>
      <c r="O16" s="74"/>
      <c r="P16" s="74"/>
      <c r="Q16" s="74"/>
      <c r="R16" s="74"/>
      <c r="S16" s="74"/>
      <c r="T16" s="74"/>
      <c r="U16" s="74"/>
      <c r="V16" s="74"/>
      <c r="W16" s="74"/>
      <c r="X16" s="74"/>
      <c r="Y16" s="74"/>
      <c r="Z16" s="74"/>
    </row>
    <row r="17" spans="1:26" x14ac:dyDescent="0.3">
      <c r="A17" s="66">
        <f>A16+0.1</f>
        <v>1990.9999999999991</v>
      </c>
      <c r="B17" s="67">
        <f>LOOKUP(A17+0.01,AmountsB!$A$4:$A$103,AmountsB!$B$4:$B$103)*0.1*$A$2</f>
        <v>0</v>
      </c>
      <c r="C17" s="68">
        <f t="shared" si="4"/>
        <v>0</v>
      </c>
      <c r="D17" s="67">
        <f t="array" ref="D17">SUM($B$7:$B12*$F$1009*EXP(-$F$1009*($A17-$A$7:$A12)))*$F$1010</f>
        <v>0</v>
      </c>
      <c r="E17" s="67">
        <f t="shared" si="1"/>
        <v>0</v>
      </c>
      <c r="F17" s="70">
        <f>E17*60*1012/1000000</f>
        <v>0</v>
      </c>
      <c r="G17" s="67">
        <f>E17/'Lookup Tables'!$C$48</f>
        <v>0</v>
      </c>
      <c r="H17" s="70" t="e">
        <f t="shared" si="2"/>
        <v>#DIV/0!</v>
      </c>
      <c r="I17" s="71">
        <f>G17*60*24/1000000</f>
        <v>0</v>
      </c>
      <c r="J17" s="35">
        <f t="shared" si="0"/>
        <v>2004</v>
      </c>
      <c r="K17" s="75">
        <f>$G151</f>
        <v>181.55903334356958</v>
      </c>
      <c r="L17" s="74"/>
      <c r="M17" s="74"/>
      <c r="N17" s="74"/>
      <c r="O17" s="74"/>
      <c r="P17" s="74"/>
      <c r="Q17" s="74"/>
      <c r="R17" s="74"/>
      <c r="S17" s="74"/>
      <c r="T17" s="74"/>
      <c r="U17" s="74"/>
      <c r="V17" s="74"/>
      <c r="W17" s="74"/>
      <c r="X17" s="74"/>
      <c r="Y17" s="74"/>
      <c r="Z17" s="74"/>
    </row>
    <row r="18" spans="1:26" x14ac:dyDescent="0.3">
      <c r="A18" s="66">
        <f>A17+0.1</f>
        <v>1991.099999999999</v>
      </c>
      <c r="B18" s="67">
        <f>LOOKUP(A18+0.01,AmountsB!$A$4:$A$103,AmountsB!$B$4:$B$103)*0.1*$A$2</f>
        <v>0</v>
      </c>
      <c r="C18" s="68">
        <f t="shared" si="4"/>
        <v>0</v>
      </c>
      <c r="D18" s="67">
        <f t="array" ref="D18">SUM($B$7:$B13*$F$1009*EXP(-$F$1009*($A18-$A$7:$A13)))*$F$1010</f>
        <v>0</v>
      </c>
      <c r="E18" s="67">
        <f t="shared" si="1"/>
        <v>0</v>
      </c>
      <c r="F18" s="70">
        <f>E18*60*1012/1000000</f>
        <v>0</v>
      </c>
      <c r="G18" s="67">
        <f>E18/'Lookup Tables'!$C$48</f>
        <v>0</v>
      </c>
      <c r="H18" s="70" t="e">
        <f t="shared" si="2"/>
        <v>#DIV/0!</v>
      </c>
      <c r="I18" s="71">
        <f>G18*60*24/1000000</f>
        <v>0</v>
      </c>
      <c r="J18" s="35">
        <f t="shared" si="0"/>
        <v>2005</v>
      </c>
      <c r="K18" s="75">
        <f>$G161</f>
        <v>226.2137831905502</v>
      </c>
      <c r="L18" s="74"/>
      <c r="M18" s="74"/>
      <c r="N18" s="74"/>
      <c r="O18" s="74"/>
      <c r="P18" s="74"/>
      <c r="Q18" s="74"/>
      <c r="R18" s="74"/>
      <c r="S18" s="74"/>
      <c r="T18" s="74"/>
      <c r="U18" s="74"/>
      <c r="V18" s="74"/>
      <c r="W18" s="74"/>
      <c r="X18" s="74"/>
      <c r="Y18" s="74"/>
      <c r="Z18" s="74"/>
    </row>
    <row r="19" spans="1:26" x14ac:dyDescent="0.3">
      <c r="A19" s="66">
        <f t="shared" ref="A19:A82" si="7">A18+0.1</f>
        <v>1991.1999999999989</v>
      </c>
      <c r="B19" s="67">
        <f>LOOKUP(A19+0.01,AmountsB!$A$4:$A$103,AmountsB!$B$4:$B$103)*0.1*$A$2</f>
        <v>0</v>
      </c>
      <c r="C19" s="68">
        <f t="shared" si="4"/>
        <v>0</v>
      </c>
      <c r="D19" s="67">
        <f t="array" ref="D19">SUM($B$7:$B14*$F$1009*EXP(-$F$1009*($A19-$A$7:$A14)))*$F$1010</f>
        <v>0</v>
      </c>
      <c r="E19" s="67">
        <f t="shared" si="1"/>
        <v>0</v>
      </c>
      <c r="F19" s="70">
        <f t="shared" ref="F19:F82" si="8">E19*60*1012/1000000</f>
        <v>0</v>
      </c>
      <c r="G19" s="67">
        <f>E19/'Lookup Tables'!$C$48</f>
        <v>0</v>
      </c>
      <c r="H19" s="70" t="e">
        <f t="shared" si="2"/>
        <v>#DIV/0!</v>
      </c>
      <c r="I19" s="71">
        <f t="shared" ref="I19:I82" si="9">G19*60*24/1000000</f>
        <v>0</v>
      </c>
      <c r="J19" s="35">
        <f t="shared" si="0"/>
        <v>2006</v>
      </c>
      <c r="K19" s="75">
        <f>$G171</f>
        <v>270.62941342966718</v>
      </c>
      <c r="L19" s="74"/>
      <c r="M19" s="74"/>
      <c r="N19" s="74"/>
      <c r="O19" s="74"/>
      <c r="P19" s="74"/>
      <c r="Q19" s="74"/>
      <c r="R19" s="74"/>
      <c r="S19" s="74"/>
      <c r="T19" s="74"/>
      <c r="U19" s="74"/>
      <c r="V19" s="74"/>
      <c r="W19" s="74"/>
      <c r="X19" s="74"/>
      <c r="Y19" s="74"/>
      <c r="Z19" s="74"/>
    </row>
    <row r="20" spans="1:26" x14ac:dyDescent="0.3">
      <c r="A20" s="66">
        <f t="shared" si="7"/>
        <v>1991.2999999999988</v>
      </c>
      <c r="B20" s="67">
        <f>LOOKUP(A20+0.01,AmountsB!$A$4:$A$103,AmountsB!$B$4:$B$103)*0.1*$A$2</f>
        <v>0</v>
      </c>
      <c r="C20" s="68">
        <f t="shared" si="4"/>
        <v>0</v>
      </c>
      <c r="D20" s="67">
        <f t="array" ref="D20">SUM($B$7:$B15*$F$1009*EXP(-$F$1009*($A20-$A$7:$A15)))*$F$1010</f>
        <v>0</v>
      </c>
      <c r="E20" s="67">
        <f t="shared" si="1"/>
        <v>0</v>
      </c>
      <c r="F20" s="70">
        <f t="shared" si="8"/>
        <v>0</v>
      </c>
      <c r="G20" s="67">
        <f>E20/'Lookup Tables'!$C$48</f>
        <v>0</v>
      </c>
      <c r="H20" s="70" t="e">
        <f t="shared" si="2"/>
        <v>#DIV/0!</v>
      </c>
      <c r="I20" s="71">
        <f t="shared" si="9"/>
        <v>0</v>
      </c>
      <c r="J20" s="35">
        <f t="shared" si="0"/>
        <v>2007</v>
      </c>
      <c r="K20" s="75">
        <f>$G181</f>
        <v>314.83143169805868</v>
      </c>
      <c r="L20" s="74"/>
      <c r="M20" s="74"/>
      <c r="N20" s="74"/>
      <c r="O20" s="74"/>
      <c r="P20" s="74"/>
      <c r="Q20" s="74"/>
      <c r="R20" s="74"/>
      <c r="S20" s="74"/>
      <c r="T20" s="74"/>
      <c r="U20" s="74"/>
      <c r="V20" s="74"/>
      <c r="W20" s="74"/>
      <c r="X20" s="74"/>
      <c r="Y20" s="74"/>
      <c r="Z20" s="74"/>
    </row>
    <row r="21" spans="1:26" x14ac:dyDescent="0.3">
      <c r="A21" s="66">
        <f t="shared" si="7"/>
        <v>1991.3999999999987</v>
      </c>
      <c r="B21" s="67">
        <f>LOOKUP(A21+0.01,AmountsB!$A$4:$A$103,AmountsB!$B$4:$B$103)*0.1*$A$2</f>
        <v>0</v>
      </c>
      <c r="C21" s="68">
        <f t="shared" si="4"/>
        <v>0</v>
      </c>
      <c r="D21" s="67">
        <f t="array" ref="D21">SUM($B$7:$B16*$F$1009*EXP(-$F$1009*($A21-$A$7:$A16)))*$F$1010</f>
        <v>0</v>
      </c>
      <c r="E21" s="67">
        <f t="shared" si="1"/>
        <v>0</v>
      </c>
      <c r="F21" s="70">
        <f t="shared" si="8"/>
        <v>0</v>
      </c>
      <c r="G21" s="67">
        <f>E21/'Lookup Tables'!$C$48</f>
        <v>0</v>
      </c>
      <c r="H21" s="70" t="e">
        <f t="shared" si="2"/>
        <v>#DIV/0!</v>
      </c>
      <c r="I21" s="71">
        <f t="shared" si="9"/>
        <v>0</v>
      </c>
      <c r="J21" s="35">
        <f t="shared" si="0"/>
        <v>2008</v>
      </c>
      <c r="K21" s="75">
        <f>$G191</f>
        <v>358.84599169350111</v>
      </c>
      <c r="L21" s="74"/>
      <c r="M21" s="74"/>
      <c r="N21" s="74"/>
      <c r="O21" s="74"/>
      <c r="P21" s="74"/>
      <c r="Q21" s="74"/>
      <c r="R21" s="74"/>
      <c r="S21" s="74"/>
      <c r="T21" s="74"/>
      <c r="U21" s="74"/>
      <c r="V21" s="74"/>
      <c r="W21" s="74"/>
      <c r="X21" s="74"/>
      <c r="Y21" s="74"/>
      <c r="Z21" s="74"/>
    </row>
    <row r="22" spans="1:26" x14ac:dyDescent="0.3">
      <c r="A22" s="66">
        <f t="shared" si="7"/>
        <v>1991.4999999999986</v>
      </c>
      <c r="B22" s="67">
        <f>LOOKUP(A22+0.01,AmountsB!$A$4:$A$103,AmountsB!$B$4:$B$103)*0.1*$A$2</f>
        <v>0</v>
      </c>
      <c r="C22" s="68">
        <f t="shared" si="4"/>
        <v>0</v>
      </c>
      <c r="D22" s="67">
        <f t="array" ref="D22">SUM($B$7:$B17*$F$1009*EXP(-$F$1009*($A22-$A$7:$A17)))*$F$1010</f>
        <v>0</v>
      </c>
      <c r="E22" s="67">
        <f t="shared" si="1"/>
        <v>0</v>
      </c>
      <c r="F22" s="70">
        <f t="shared" si="8"/>
        <v>0</v>
      </c>
      <c r="G22" s="67">
        <f>E22/'Lookup Tables'!$C$48</f>
        <v>0</v>
      </c>
      <c r="H22" s="70" t="e">
        <f t="shared" si="2"/>
        <v>#DIV/0!</v>
      </c>
      <c r="I22" s="71">
        <f t="shared" si="9"/>
        <v>0</v>
      </c>
      <c r="J22" s="35">
        <f t="shared" si="0"/>
        <v>2009</v>
      </c>
      <c r="K22" s="75">
        <f>$G201</f>
        <v>402.69987533562244</v>
      </c>
      <c r="L22" s="74"/>
      <c r="M22" s="74"/>
      <c r="N22" s="74"/>
      <c r="O22" s="74"/>
      <c r="P22" s="74"/>
      <c r="Q22" s="74"/>
      <c r="R22" s="74"/>
      <c r="S22" s="74"/>
      <c r="T22" s="74"/>
      <c r="U22" s="74"/>
      <c r="V22" s="74"/>
      <c r="W22" s="74"/>
      <c r="X22" s="74"/>
      <c r="Y22" s="74"/>
      <c r="Z22" s="74"/>
    </row>
    <row r="23" spans="1:26" x14ac:dyDescent="0.3">
      <c r="A23" s="66">
        <f t="shared" si="7"/>
        <v>1991.5999999999985</v>
      </c>
      <c r="B23" s="67">
        <f>LOOKUP(A23+0.01,AmountsB!$A$4:$A$103,AmountsB!$B$4:$B$103)*0.1*$A$2</f>
        <v>0</v>
      </c>
      <c r="C23" s="68">
        <f t="shared" si="4"/>
        <v>0</v>
      </c>
      <c r="D23" s="67">
        <f t="array" ref="D23">SUM($B$7:$B18*$F$1009*EXP(-$F$1009*($A23-$A$7:$A18)))*$F$1010</f>
        <v>0</v>
      </c>
      <c r="E23" s="67">
        <f t="shared" si="1"/>
        <v>0</v>
      </c>
      <c r="F23" s="70">
        <f t="shared" si="8"/>
        <v>0</v>
      </c>
      <c r="G23" s="67">
        <f>E23/'Lookup Tables'!$C$48</f>
        <v>0</v>
      </c>
      <c r="H23" s="70" t="e">
        <f t="shared" si="2"/>
        <v>#DIV/0!</v>
      </c>
      <c r="I23" s="71">
        <f t="shared" si="9"/>
        <v>0</v>
      </c>
      <c r="J23" s="35">
        <f t="shared" si="0"/>
        <v>2010</v>
      </c>
      <c r="K23" s="75">
        <f>$G211</f>
        <v>446.41777468334777</v>
      </c>
      <c r="L23" s="74"/>
      <c r="M23" s="74"/>
      <c r="N23" s="74"/>
      <c r="O23" s="74"/>
      <c r="P23" s="74"/>
      <c r="Q23" s="74"/>
      <c r="R23" s="74"/>
      <c r="S23" s="74"/>
      <c r="T23" s="74"/>
      <c r="U23" s="74"/>
      <c r="V23" s="74"/>
      <c r="W23" s="74"/>
      <c r="X23" s="74"/>
      <c r="Y23" s="74"/>
      <c r="Z23" s="74"/>
    </row>
    <row r="24" spans="1:26" x14ac:dyDescent="0.3">
      <c r="A24" s="66">
        <f t="shared" si="7"/>
        <v>1991.6999999999985</v>
      </c>
      <c r="B24" s="67">
        <f>LOOKUP(A24+0.01,AmountsB!$A$4:$A$103,AmountsB!$B$4:$B$103)*0.1*$A$2</f>
        <v>0</v>
      </c>
      <c r="C24" s="68">
        <f t="shared" si="4"/>
        <v>0</v>
      </c>
      <c r="D24" s="67">
        <f t="array" ref="D24">SUM($B$7:$B19*$F$1009*EXP(-$F$1009*($A24-$A$7:$A19)))*$F$1010</f>
        <v>0</v>
      </c>
      <c r="E24" s="67">
        <f t="shared" si="1"/>
        <v>0</v>
      </c>
      <c r="F24" s="70">
        <f t="shared" si="8"/>
        <v>0</v>
      </c>
      <c r="G24" s="67">
        <f>E24/'Lookup Tables'!$C$48</f>
        <v>0</v>
      </c>
      <c r="H24" s="70" t="e">
        <f t="shared" si="2"/>
        <v>#DIV/0!</v>
      </c>
      <c r="I24" s="71">
        <f t="shared" si="9"/>
        <v>0</v>
      </c>
      <c r="J24" s="35">
        <f t="shared" si="0"/>
        <v>2011</v>
      </c>
      <c r="K24" s="75">
        <f>$G221</f>
        <v>490.02505037568937</v>
      </c>
      <c r="L24" s="74"/>
      <c r="M24" s="74"/>
      <c r="N24" s="74"/>
      <c r="O24" s="74"/>
      <c r="P24" s="74"/>
      <c r="Q24" s="74"/>
      <c r="R24" s="74"/>
      <c r="S24" s="74"/>
      <c r="T24" s="74"/>
      <c r="U24" s="74"/>
      <c r="V24" s="74"/>
      <c r="W24" s="74"/>
      <c r="X24" s="74"/>
      <c r="Y24" s="74"/>
      <c r="Z24" s="74"/>
    </row>
    <row r="25" spans="1:26" x14ac:dyDescent="0.3">
      <c r="A25" s="66">
        <f t="shared" si="7"/>
        <v>1991.7999999999984</v>
      </c>
      <c r="B25" s="67">
        <f>LOOKUP(A25+0.01,AmountsB!$A$4:$A$103,AmountsB!$B$4:$B$103)*0.1*$A$2</f>
        <v>0</v>
      </c>
      <c r="C25" s="68">
        <f t="shared" si="4"/>
        <v>0</v>
      </c>
      <c r="D25" s="67">
        <f t="array" ref="D25">SUM($B$7:$B20*$F$1009*EXP(-$F$1009*($A25-$A$7:$A20)))*$F$1010</f>
        <v>0</v>
      </c>
      <c r="E25" s="67">
        <f t="shared" si="1"/>
        <v>0</v>
      </c>
      <c r="F25" s="70">
        <f t="shared" si="8"/>
        <v>0</v>
      </c>
      <c r="G25" s="67">
        <f>E25/'Lookup Tables'!$C$48</f>
        <v>0</v>
      </c>
      <c r="H25" s="70" t="e">
        <f t="shared" si="2"/>
        <v>#DIV/0!</v>
      </c>
      <c r="I25" s="71">
        <f t="shared" si="9"/>
        <v>0</v>
      </c>
      <c r="J25" s="35">
        <f t="shared" si="0"/>
        <v>2012</v>
      </c>
      <c r="K25" s="75">
        <f>$G231</f>
        <v>533.54636280299701</v>
      </c>
      <c r="L25" s="74"/>
      <c r="M25" s="74"/>
      <c r="N25" s="74"/>
      <c r="O25" s="74"/>
      <c r="P25" s="74"/>
      <c r="Q25" s="74"/>
      <c r="R25" s="74"/>
      <c r="S25" s="74"/>
      <c r="T25" s="74"/>
      <c r="U25" s="74"/>
      <c r="V25" s="74"/>
      <c r="W25" s="74"/>
      <c r="X25" s="74"/>
      <c r="Y25" s="74"/>
      <c r="Z25" s="74"/>
    </row>
    <row r="26" spans="1:26" x14ac:dyDescent="0.3">
      <c r="A26" s="66">
        <f t="shared" si="7"/>
        <v>1991.8999999999983</v>
      </c>
      <c r="B26" s="67">
        <f>LOOKUP(A26+0.01,AmountsB!$A$4:$A$103,AmountsB!$B$4:$B$103)*0.1*$A$2</f>
        <v>0</v>
      </c>
      <c r="C26" s="68">
        <f t="shared" si="4"/>
        <v>0</v>
      </c>
      <c r="D26" s="67">
        <f t="array" ref="D26">SUM($B$7:$B21*$F$1009*EXP(-$F$1009*($A26-$A$7:$A21)))*$F$1010</f>
        <v>0</v>
      </c>
      <c r="E26" s="67">
        <f t="shared" si="1"/>
        <v>0</v>
      </c>
      <c r="F26" s="70">
        <f t="shared" si="8"/>
        <v>0</v>
      </c>
      <c r="G26" s="67">
        <f>E26/'Lookup Tables'!$C$48</f>
        <v>0</v>
      </c>
      <c r="H26" s="70" t="e">
        <f t="shared" si="2"/>
        <v>#DIV/0!</v>
      </c>
      <c r="I26" s="71">
        <f t="shared" si="9"/>
        <v>0</v>
      </c>
      <c r="J26" s="35">
        <f t="shared" si="0"/>
        <v>2013</v>
      </c>
      <c r="K26" s="75">
        <f>$G241</f>
        <v>579.58084352239405</v>
      </c>
      <c r="L26" s="74"/>
      <c r="M26" s="74"/>
      <c r="N26" s="74"/>
      <c r="O26" s="74"/>
      <c r="P26" s="74"/>
      <c r="Q26" s="74"/>
      <c r="R26" s="74"/>
      <c r="S26" s="74"/>
      <c r="T26" s="74"/>
      <c r="U26" s="74"/>
      <c r="V26" s="74"/>
      <c r="W26" s="74"/>
      <c r="X26" s="74"/>
      <c r="Y26" s="74"/>
      <c r="Z26" s="74"/>
    </row>
    <row r="27" spans="1:26" x14ac:dyDescent="0.3">
      <c r="A27" s="66">
        <f t="shared" si="7"/>
        <v>1991.9999999999982</v>
      </c>
      <c r="B27" s="67">
        <f>LOOKUP(A27+0.01,AmountsB!$A$4:$A$103,AmountsB!$B$4:$B$103)*0.1*$A$2</f>
        <v>0</v>
      </c>
      <c r="C27" s="68">
        <f t="shared" si="4"/>
        <v>0</v>
      </c>
      <c r="D27" s="67">
        <f t="array" ref="D27">SUM($B$7:$B22*$F$1009*EXP(-$F$1009*($A27-$A$7:$A22)))*$F$1010</f>
        <v>0</v>
      </c>
      <c r="E27" s="67">
        <f t="shared" si="1"/>
        <v>0</v>
      </c>
      <c r="F27" s="70">
        <f t="shared" si="8"/>
        <v>0</v>
      </c>
      <c r="G27" s="67">
        <f>E27/'Lookup Tables'!$C$48</f>
        <v>0</v>
      </c>
      <c r="H27" s="70" t="e">
        <f t="shared" si="2"/>
        <v>#DIV/0!</v>
      </c>
      <c r="I27" s="71">
        <f t="shared" si="9"/>
        <v>0</v>
      </c>
      <c r="J27" s="35">
        <f t="shared" si="0"/>
        <v>2014</v>
      </c>
      <c r="K27" s="75">
        <f>$G251</f>
        <v>625.55956838934549</v>
      </c>
      <c r="L27" s="74"/>
      <c r="M27" s="74"/>
      <c r="N27" s="74"/>
      <c r="O27" s="74"/>
      <c r="P27" s="74"/>
      <c r="Q27" s="74"/>
      <c r="R27" s="74"/>
      <c r="S27" s="74"/>
      <c r="T27" s="74"/>
      <c r="U27" s="74"/>
      <c r="V27" s="74"/>
      <c r="W27" s="74"/>
      <c r="X27" s="74"/>
      <c r="Y27" s="74"/>
      <c r="Z27" s="74"/>
    </row>
    <row r="28" spans="1:26" x14ac:dyDescent="0.3">
      <c r="A28" s="66">
        <f t="shared" si="7"/>
        <v>1992.0999999999981</v>
      </c>
      <c r="B28" s="67">
        <f>LOOKUP(A28+0.01,AmountsB!$A$4:$A$103,AmountsB!$B$4:$B$103)*0.1*$A$2</f>
        <v>0</v>
      </c>
      <c r="C28" s="68">
        <f t="shared" si="4"/>
        <v>0</v>
      </c>
      <c r="D28" s="67">
        <f t="array" ref="D28">SUM($B$7:$B23*$F$1009*EXP(-$F$1009*($A28-$A$7:$A23)))*$F$1010</f>
        <v>0</v>
      </c>
      <c r="E28" s="67">
        <f t="shared" si="1"/>
        <v>0</v>
      </c>
      <c r="F28" s="70">
        <f t="shared" si="8"/>
        <v>0</v>
      </c>
      <c r="G28" s="67">
        <f>E28/'Lookup Tables'!$C$48</f>
        <v>0</v>
      </c>
      <c r="H28" s="70" t="e">
        <f t="shared" si="2"/>
        <v>#DIV/0!</v>
      </c>
      <c r="I28" s="71">
        <f t="shared" si="9"/>
        <v>0</v>
      </c>
      <c r="J28" s="35">
        <f t="shared" si="0"/>
        <v>2015</v>
      </c>
      <c r="K28" s="75">
        <f>$G261</f>
        <v>671.50838354087136</v>
      </c>
      <c r="L28" s="74"/>
      <c r="M28" s="74"/>
      <c r="N28" s="74"/>
      <c r="O28" s="74"/>
      <c r="P28" s="74"/>
      <c r="Q28" s="74"/>
      <c r="R28" s="74"/>
      <c r="S28" s="74"/>
      <c r="T28" s="74"/>
      <c r="U28" s="74"/>
      <c r="V28" s="74"/>
      <c r="W28" s="74"/>
      <c r="X28" s="74"/>
      <c r="Y28" s="74"/>
      <c r="Z28" s="74"/>
    </row>
    <row r="29" spans="1:26" x14ac:dyDescent="0.3">
      <c r="A29" s="66">
        <f t="shared" si="7"/>
        <v>1992.199999999998</v>
      </c>
      <c r="B29" s="67">
        <f>LOOKUP(A29+0.01,AmountsB!$A$4:$A$103,AmountsB!$B$4:$B$103)*0.1*$A$2</f>
        <v>0</v>
      </c>
      <c r="C29" s="68">
        <f t="shared" si="4"/>
        <v>0</v>
      </c>
      <c r="D29" s="67">
        <f t="array" ref="D29">SUM($B$7:$B24*$F$1009*EXP(-$F$1009*($A29-$A$7:$A24)))*$F$1010</f>
        <v>0</v>
      </c>
      <c r="E29" s="67">
        <f t="shared" si="1"/>
        <v>0</v>
      </c>
      <c r="F29" s="70">
        <f t="shared" si="8"/>
        <v>0</v>
      </c>
      <c r="G29" s="67">
        <f>E29/'Lookup Tables'!$C$48</f>
        <v>0</v>
      </c>
      <c r="H29" s="70" t="e">
        <f t="shared" si="2"/>
        <v>#DIV/0!</v>
      </c>
      <c r="I29" s="71">
        <f t="shared" si="9"/>
        <v>0</v>
      </c>
      <c r="J29" s="35">
        <f t="shared" si="0"/>
        <v>2016</v>
      </c>
      <c r="K29" s="75">
        <f>$G271</f>
        <v>717.45242145993711</v>
      </c>
      <c r="L29" s="74"/>
      <c r="M29" s="74"/>
      <c r="N29" s="74"/>
      <c r="O29" s="74"/>
      <c r="P29" s="74"/>
      <c r="Q29" s="74"/>
      <c r="R29" s="74"/>
      <c r="S29" s="74"/>
      <c r="T29" s="74"/>
      <c r="U29" s="74"/>
      <c r="V29" s="74"/>
      <c r="W29" s="74"/>
      <c r="X29" s="74"/>
      <c r="Y29" s="74"/>
      <c r="Z29" s="74"/>
    </row>
    <row r="30" spans="1:26" x14ac:dyDescent="0.3">
      <c r="A30" s="66">
        <f t="shared" si="7"/>
        <v>1992.2999999999979</v>
      </c>
      <c r="B30" s="67">
        <f>LOOKUP(A30+0.01,AmountsB!$A$4:$A$103,AmountsB!$B$4:$B$103)*0.1*$A$2</f>
        <v>0</v>
      </c>
      <c r="C30" s="68">
        <f t="shared" si="4"/>
        <v>0</v>
      </c>
      <c r="D30" s="67">
        <f t="array" ref="D30">SUM($B$7:$B25*$F$1009*EXP(-$F$1009*($A30-$A$7:$A25)))*$F$1010</f>
        <v>0</v>
      </c>
      <c r="E30" s="67">
        <f t="shared" si="1"/>
        <v>0</v>
      </c>
      <c r="F30" s="70">
        <f t="shared" si="8"/>
        <v>0</v>
      </c>
      <c r="G30" s="67">
        <f>E30/'Lookup Tables'!$C$48</f>
        <v>0</v>
      </c>
      <c r="H30" s="70" t="e">
        <f t="shared" si="2"/>
        <v>#DIV/0!</v>
      </c>
      <c r="I30" s="71">
        <f t="shared" si="9"/>
        <v>0</v>
      </c>
      <c r="J30" s="35">
        <f t="shared" si="0"/>
        <v>2017</v>
      </c>
      <c r="K30" s="75">
        <f>$G281</f>
        <v>763.41747104876504</v>
      </c>
      <c r="L30" s="74"/>
      <c r="M30" s="74"/>
      <c r="N30" s="74"/>
      <c r="O30" s="74"/>
      <c r="P30" s="74"/>
      <c r="Q30" s="74"/>
      <c r="R30" s="74"/>
      <c r="S30" s="74"/>
      <c r="T30" s="74"/>
      <c r="U30" s="74"/>
      <c r="V30" s="74"/>
      <c r="W30" s="74"/>
      <c r="X30" s="74"/>
      <c r="Y30" s="74"/>
      <c r="Z30" s="74"/>
    </row>
    <row r="31" spans="1:26" x14ac:dyDescent="0.3">
      <c r="A31" s="66">
        <f t="shared" si="7"/>
        <v>1992.3999999999978</v>
      </c>
      <c r="B31" s="67">
        <f>LOOKUP(A31+0.01,AmountsB!$A$4:$A$103,AmountsB!$B$4:$B$103)*0.1*$A$2</f>
        <v>0</v>
      </c>
      <c r="C31" s="68">
        <f t="shared" si="4"/>
        <v>0</v>
      </c>
      <c r="D31" s="67">
        <f t="array" ref="D31">SUM($B$7:$B26*$F$1009*EXP(-$F$1009*($A31-$A$7:$A26)))*$F$1010</f>
        <v>0</v>
      </c>
      <c r="E31" s="67">
        <f t="shared" si="1"/>
        <v>0</v>
      </c>
      <c r="F31" s="70">
        <f t="shared" si="8"/>
        <v>0</v>
      </c>
      <c r="G31" s="67">
        <f>E31/'Lookup Tables'!$C$48</f>
        <v>0</v>
      </c>
      <c r="H31" s="70" t="e">
        <f t="shared" si="2"/>
        <v>#DIV/0!</v>
      </c>
      <c r="I31" s="71">
        <f t="shared" si="9"/>
        <v>0</v>
      </c>
      <c r="J31" s="35">
        <f t="shared" si="0"/>
        <v>2018</v>
      </c>
      <c r="K31" s="75">
        <f>$G291</f>
        <v>742.33826786066572</v>
      </c>
      <c r="L31" s="74"/>
      <c r="M31" s="74"/>
      <c r="N31" s="74"/>
      <c r="O31" s="74"/>
      <c r="P31" s="74"/>
      <c r="Q31" s="74"/>
      <c r="R31" s="74"/>
      <c r="S31" s="74"/>
      <c r="T31" s="74"/>
      <c r="U31" s="74"/>
      <c r="V31" s="74"/>
      <c r="W31" s="74"/>
      <c r="X31" s="74"/>
      <c r="Y31" s="74"/>
      <c r="Z31" s="74"/>
    </row>
    <row r="32" spans="1:26" x14ac:dyDescent="0.3">
      <c r="A32" s="66">
        <f t="shared" si="7"/>
        <v>1992.4999999999977</v>
      </c>
      <c r="B32" s="67">
        <f>LOOKUP(A32+0.01,AmountsB!$A$4:$A$103,AmountsB!$B$4:$B$103)*0.1*$A$2</f>
        <v>0</v>
      </c>
      <c r="C32" s="68">
        <f t="shared" si="4"/>
        <v>0</v>
      </c>
      <c r="D32" s="67">
        <f t="array" ref="D32">SUM($B$7:$B27*$F$1009*EXP(-$F$1009*($A32-$A$7:$A27)))*$F$1010</f>
        <v>0</v>
      </c>
      <c r="E32" s="67">
        <f t="shared" si="1"/>
        <v>0</v>
      </c>
      <c r="F32" s="70">
        <f t="shared" si="8"/>
        <v>0</v>
      </c>
      <c r="G32" s="67">
        <f>E32/'Lookup Tables'!$C$48</f>
        <v>0</v>
      </c>
      <c r="H32" s="70" t="e">
        <f t="shared" si="2"/>
        <v>#DIV/0!</v>
      </c>
      <c r="I32" s="71">
        <f t="shared" si="9"/>
        <v>0</v>
      </c>
      <c r="J32" s="35">
        <f t="shared" si="0"/>
        <v>2019</v>
      </c>
      <c r="K32" s="75">
        <f>$G301</f>
        <v>721.84109589911782</v>
      </c>
      <c r="L32" s="74"/>
      <c r="M32" s="74"/>
      <c r="N32" s="74"/>
      <c r="O32" s="74"/>
      <c r="P32" s="74"/>
      <c r="Q32" s="74"/>
      <c r="R32" s="74"/>
      <c r="S32" s="74"/>
      <c r="T32" s="74"/>
      <c r="U32" s="74"/>
      <c r="V32" s="74"/>
      <c r="W32" s="74"/>
      <c r="X32" s="74"/>
      <c r="Y32" s="74"/>
      <c r="Z32" s="74"/>
    </row>
    <row r="33" spans="1:26" x14ac:dyDescent="0.3">
      <c r="A33" s="66">
        <f t="shared" si="7"/>
        <v>1992.5999999999976</v>
      </c>
      <c r="B33" s="67">
        <f>LOOKUP(A33+0.01,AmountsB!$A$4:$A$103,AmountsB!$B$4:$B$103)*0.1*$A$2</f>
        <v>0</v>
      </c>
      <c r="C33" s="68">
        <f t="shared" si="4"/>
        <v>0</v>
      </c>
      <c r="D33" s="67">
        <f t="array" ref="D33">SUM($B$7:$B28*$F$1009*EXP(-$F$1009*($A33-$A$7:$A28)))*$F$1010</f>
        <v>0</v>
      </c>
      <c r="E33" s="67">
        <f t="shared" si="1"/>
        <v>0</v>
      </c>
      <c r="F33" s="70">
        <f t="shared" si="8"/>
        <v>0</v>
      </c>
      <c r="G33" s="67">
        <f>E33/'Lookup Tables'!$C$48</f>
        <v>0</v>
      </c>
      <c r="H33" s="70" t="e">
        <f t="shared" si="2"/>
        <v>#DIV/0!</v>
      </c>
      <c r="I33" s="71">
        <f t="shared" si="9"/>
        <v>0</v>
      </c>
      <c r="J33" s="35">
        <f t="shared" si="0"/>
        <v>2020</v>
      </c>
      <c r="K33" s="75">
        <f>$G311</f>
        <v>701.90988433138307</v>
      </c>
      <c r="L33" s="74"/>
      <c r="M33" s="74"/>
      <c r="N33" s="74"/>
      <c r="O33" s="74"/>
      <c r="P33" s="74"/>
      <c r="Q33" s="74"/>
      <c r="R33" s="74"/>
      <c r="S33" s="74"/>
      <c r="T33" s="74"/>
      <c r="U33" s="74"/>
      <c r="V33" s="74"/>
      <c r="W33" s="74"/>
      <c r="X33" s="74"/>
      <c r="Y33" s="74"/>
      <c r="Z33" s="74"/>
    </row>
    <row r="34" spans="1:26" x14ac:dyDescent="0.3">
      <c r="A34" s="66">
        <f t="shared" si="7"/>
        <v>1992.6999999999975</v>
      </c>
      <c r="B34" s="67">
        <f>LOOKUP(A34+0.01,AmountsB!$A$4:$A$103,AmountsB!$B$4:$B$103)*0.1*$A$2</f>
        <v>0</v>
      </c>
      <c r="C34" s="68">
        <f t="shared" si="4"/>
        <v>0</v>
      </c>
      <c r="D34" s="67">
        <f t="array" ref="D34">SUM($B$7:$B29*$F$1009*EXP(-$F$1009*($A34-$A$7:$A29)))*$F$1010</f>
        <v>0</v>
      </c>
      <c r="E34" s="67">
        <f t="shared" si="1"/>
        <v>0</v>
      </c>
      <c r="F34" s="70">
        <f t="shared" si="8"/>
        <v>0</v>
      </c>
      <c r="G34" s="67">
        <f>E34/'Lookup Tables'!$C$48</f>
        <v>0</v>
      </c>
      <c r="H34" s="70" t="e">
        <f t="shared" si="2"/>
        <v>#DIV/0!</v>
      </c>
      <c r="I34" s="71">
        <f t="shared" si="9"/>
        <v>0</v>
      </c>
      <c r="J34" s="35">
        <f t="shared" si="0"/>
        <v>2021</v>
      </c>
      <c r="K34" s="75">
        <f>$G321</f>
        <v>682.5290060666631</v>
      </c>
      <c r="L34" s="74"/>
      <c r="M34" s="74"/>
      <c r="N34" s="74"/>
      <c r="O34" s="74"/>
      <c r="P34" s="74"/>
      <c r="Q34" s="74"/>
      <c r="R34" s="74"/>
      <c r="S34" s="74"/>
      <c r="T34" s="74"/>
      <c r="U34" s="74"/>
      <c r="V34" s="74"/>
      <c r="W34" s="74"/>
      <c r="X34" s="74"/>
      <c r="Y34" s="74"/>
      <c r="Z34" s="74"/>
    </row>
    <row r="35" spans="1:26" x14ac:dyDescent="0.3">
      <c r="A35" s="66">
        <f t="shared" si="7"/>
        <v>1992.7999999999975</v>
      </c>
      <c r="B35" s="67">
        <f>LOOKUP(A35+0.01,AmountsB!$A$4:$A$103,AmountsB!$B$4:$B$103)*0.1*$A$2</f>
        <v>0</v>
      </c>
      <c r="C35" s="68">
        <f t="shared" si="4"/>
        <v>0</v>
      </c>
      <c r="D35" s="67">
        <f t="array" ref="D35">SUM($B$7:$B30*$F$1009*EXP(-$F$1009*($A35-$A$7:$A30)))*$F$1010</f>
        <v>0</v>
      </c>
      <c r="E35" s="67">
        <f t="shared" si="1"/>
        <v>0</v>
      </c>
      <c r="F35" s="70">
        <f t="shared" si="8"/>
        <v>0</v>
      </c>
      <c r="G35" s="67">
        <f>E35/'Lookup Tables'!$C$48</f>
        <v>0</v>
      </c>
      <c r="H35" s="70" t="e">
        <f t="shared" si="2"/>
        <v>#DIV/0!</v>
      </c>
      <c r="I35" s="71">
        <f t="shared" si="9"/>
        <v>0</v>
      </c>
      <c r="J35" s="35">
        <f t="shared" si="0"/>
        <v>2022</v>
      </c>
      <c r="K35" s="75">
        <f>$G331</f>
        <v>663.68326550365737</v>
      </c>
      <c r="L35" s="74"/>
      <c r="M35" s="74"/>
      <c r="N35" s="74"/>
      <c r="O35" s="74"/>
      <c r="P35" s="74"/>
      <c r="Q35" s="74"/>
      <c r="R35" s="74"/>
      <c r="S35" s="74"/>
      <c r="T35" s="74"/>
      <c r="U35" s="74"/>
      <c r="V35" s="74"/>
      <c r="W35" s="74"/>
      <c r="X35" s="74"/>
      <c r="Y35" s="74"/>
      <c r="Z35" s="74"/>
    </row>
    <row r="36" spans="1:26" x14ac:dyDescent="0.3">
      <c r="A36" s="66">
        <f t="shared" si="7"/>
        <v>1992.8999999999974</v>
      </c>
      <c r="B36" s="67">
        <f>LOOKUP(A36+0.01,AmountsB!$A$4:$A$103,AmountsB!$B$4:$B$103)*0.1*$A$2</f>
        <v>0</v>
      </c>
      <c r="C36" s="68">
        <f t="shared" si="4"/>
        <v>0</v>
      </c>
      <c r="D36" s="67">
        <f t="array" ref="D36">SUM($B$7:$B31*$F$1009*EXP(-$F$1009*($A36-$A$7:$A31)))*$F$1010</f>
        <v>0</v>
      </c>
      <c r="E36" s="67">
        <f t="shared" si="1"/>
        <v>0</v>
      </c>
      <c r="F36" s="70">
        <f t="shared" si="8"/>
        <v>0</v>
      </c>
      <c r="G36" s="67">
        <f>E36/'Lookup Tables'!$C$48</f>
        <v>0</v>
      </c>
      <c r="H36" s="70" t="e">
        <f t="shared" si="2"/>
        <v>#DIV/0!</v>
      </c>
      <c r="I36" s="71">
        <f t="shared" si="9"/>
        <v>0</v>
      </c>
      <c r="J36" s="35">
        <f t="shared" si="0"/>
        <v>2023</v>
      </c>
      <c r="K36" s="75">
        <f>$G341</f>
        <v>645.35788661643642</v>
      </c>
      <c r="L36" s="74"/>
      <c r="M36" s="74"/>
      <c r="N36" s="74"/>
      <c r="O36" s="74"/>
      <c r="P36" s="74"/>
      <c r="Q36" s="74"/>
      <c r="R36" s="74"/>
      <c r="S36" s="74"/>
      <c r="T36" s="74"/>
      <c r="U36" s="74"/>
      <c r="V36" s="74"/>
      <c r="W36" s="74"/>
      <c r="X36" s="74"/>
      <c r="Y36" s="74"/>
      <c r="Z36" s="74"/>
    </row>
    <row r="37" spans="1:26" x14ac:dyDescent="0.3">
      <c r="A37" s="66">
        <f t="shared" si="7"/>
        <v>1992.9999999999973</v>
      </c>
      <c r="B37" s="67">
        <f>LOOKUP(A37+0.01,AmountsB!$A$4:$A$103,AmountsB!$B$4:$B$103)*0.1*$A$2</f>
        <v>0</v>
      </c>
      <c r="C37" s="68">
        <f t="shared" si="4"/>
        <v>0</v>
      </c>
      <c r="D37" s="67">
        <f t="array" ref="D37">SUM($B$7:$B32*$F$1009*EXP(-$F$1009*($A37-$A$7:$A32)))*$F$1010</f>
        <v>0</v>
      </c>
      <c r="E37" s="67">
        <f t="shared" si="1"/>
        <v>0</v>
      </c>
      <c r="F37" s="70">
        <f t="shared" si="8"/>
        <v>0</v>
      </c>
      <c r="G37" s="67">
        <f>E37/'Lookup Tables'!$C$48</f>
        <v>0</v>
      </c>
      <c r="H37" s="70" t="e">
        <f t="shared" si="2"/>
        <v>#DIV/0!</v>
      </c>
      <c r="I37" s="71">
        <f t="shared" si="9"/>
        <v>0</v>
      </c>
      <c r="J37" s="35">
        <f t="shared" si="0"/>
        <v>2024</v>
      </c>
      <c r="K37" s="75">
        <f>$G351</f>
        <v>627.53850136927713</v>
      </c>
      <c r="L37" s="74"/>
      <c r="M37" s="74"/>
      <c r="N37" s="74"/>
      <c r="O37" s="74"/>
      <c r="P37" s="74"/>
      <c r="Q37" s="74"/>
      <c r="R37" s="74"/>
      <c r="S37" s="74"/>
      <c r="T37" s="74"/>
      <c r="U37" s="74"/>
      <c r="V37" s="74"/>
      <c r="W37" s="74"/>
      <c r="X37" s="74"/>
      <c r="Y37" s="74"/>
      <c r="Z37" s="74"/>
    </row>
    <row r="38" spans="1:26" x14ac:dyDescent="0.3">
      <c r="A38" s="66">
        <f t="shared" si="7"/>
        <v>1993.0999999999972</v>
      </c>
      <c r="B38" s="67">
        <f>LOOKUP(A38+0.01,AmountsB!$A$4:$A$103,AmountsB!$B$4:$B$103)*0.1*$A$2</f>
        <v>0</v>
      </c>
      <c r="C38" s="68">
        <f t="shared" si="4"/>
        <v>0</v>
      </c>
      <c r="D38" s="67">
        <f t="array" ref="D38">SUM($B$7:$B33*$F$1009*EXP(-$F$1009*($A38-$A$7:$A33)))*$F$1010</f>
        <v>0</v>
      </c>
      <c r="E38" s="67">
        <f t="shared" si="1"/>
        <v>0</v>
      </c>
      <c r="F38" s="70">
        <f t="shared" si="8"/>
        <v>0</v>
      </c>
      <c r="G38" s="67">
        <f>E38/'Lookup Tables'!$C$48</f>
        <v>0</v>
      </c>
      <c r="H38" s="70" t="e">
        <f t="shared" si="2"/>
        <v>#DIV/0!</v>
      </c>
      <c r="I38" s="71">
        <f t="shared" si="9"/>
        <v>0</v>
      </c>
      <c r="J38" s="35">
        <f t="shared" si="0"/>
        <v>2025</v>
      </c>
      <c r="K38" s="75">
        <f>$G361</f>
        <v>610.21113845138927</v>
      </c>
      <c r="L38" s="74"/>
      <c r="M38" s="74"/>
      <c r="N38" s="74"/>
      <c r="O38" s="74"/>
      <c r="P38" s="74"/>
      <c r="Q38" s="74"/>
      <c r="R38" s="74"/>
      <c r="S38" s="74"/>
      <c r="T38" s="74"/>
      <c r="U38" s="74"/>
      <c r="V38" s="74"/>
      <c r="W38" s="74"/>
      <c r="X38" s="74"/>
      <c r="Y38" s="74"/>
      <c r="Z38" s="74"/>
    </row>
    <row r="39" spans="1:26" x14ac:dyDescent="0.3">
      <c r="A39" s="66">
        <f t="shared" si="7"/>
        <v>1993.1999999999971</v>
      </c>
      <c r="B39" s="67">
        <f>LOOKUP(A39+0.01,AmountsB!$A$4:$A$103,AmountsB!$B$4:$B$103)*0.1*$A$2</f>
        <v>0</v>
      </c>
      <c r="C39" s="68">
        <f t="shared" si="4"/>
        <v>0</v>
      </c>
      <c r="D39" s="67">
        <f t="array" ref="D39">SUM($B$7:$B34*$F$1009*EXP(-$F$1009*($A39-$A$7:$A34)))*$F$1010</f>
        <v>0</v>
      </c>
      <c r="E39" s="67">
        <f t="shared" si="1"/>
        <v>0</v>
      </c>
      <c r="F39" s="70">
        <f t="shared" si="8"/>
        <v>0</v>
      </c>
      <c r="G39" s="67">
        <f>E39/'Lookup Tables'!$C$48</f>
        <v>0</v>
      </c>
      <c r="H39" s="70" t="e">
        <f t="shared" si="2"/>
        <v>#DIV/0!</v>
      </c>
      <c r="I39" s="71">
        <f t="shared" si="9"/>
        <v>0</v>
      </c>
      <c r="J39" s="35">
        <f t="shared" si="0"/>
        <v>2026</v>
      </c>
      <c r="K39" s="75">
        <f>$G371</f>
        <v>593.36221232269043</v>
      </c>
      <c r="L39" s="74"/>
      <c r="M39" s="74"/>
      <c r="N39" s="74"/>
      <c r="O39" s="74"/>
      <c r="P39" s="74"/>
      <c r="Q39" s="74"/>
      <c r="R39" s="74"/>
      <c r="S39" s="74"/>
      <c r="T39" s="74"/>
      <c r="U39" s="74"/>
      <c r="V39" s="74"/>
      <c r="W39" s="74"/>
      <c r="X39" s="74"/>
      <c r="Y39" s="74"/>
      <c r="Z39" s="74"/>
    </row>
    <row r="40" spans="1:26" x14ac:dyDescent="0.3">
      <c r="A40" s="66">
        <f t="shared" si="7"/>
        <v>1993.299999999997</v>
      </c>
      <c r="B40" s="67">
        <f>LOOKUP(A40+0.01,AmountsB!$A$4:$A$103,AmountsB!$B$4:$B$103)*0.1*$A$2</f>
        <v>0</v>
      </c>
      <c r="C40" s="68">
        <f t="shared" si="4"/>
        <v>0</v>
      </c>
      <c r="D40" s="67">
        <f t="array" ref="D40">SUM($B$7:$B35*$F$1009*EXP(-$F$1009*($A40-$A$7:$A35)))*$F$1010</f>
        <v>0</v>
      </c>
      <c r="E40" s="67">
        <f t="shared" si="1"/>
        <v>0</v>
      </c>
      <c r="F40" s="70">
        <f t="shared" si="8"/>
        <v>0</v>
      </c>
      <c r="G40" s="67">
        <f>E40/'Lookup Tables'!$C$48</f>
        <v>0</v>
      </c>
      <c r="H40" s="70" t="e">
        <f t="shared" si="2"/>
        <v>#DIV/0!</v>
      </c>
      <c r="I40" s="71">
        <f t="shared" si="9"/>
        <v>0</v>
      </c>
      <c r="J40" s="35">
        <f t="shared" si="0"/>
        <v>2027</v>
      </c>
      <c r="K40" s="75">
        <f>$G381</f>
        <v>576.97851256205092</v>
      </c>
      <c r="L40" s="74"/>
      <c r="M40" s="74"/>
      <c r="N40" s="74"/>
      <c r="O40" s="74"/>
      <c r="P40" s="74"/>
      <c r="Q40" s="74"/>
      <c r="R40" s="74"/>
      <c r="S40" s="74"/>
      <c r="T40" s="74"/>
      <c r="U40" s="74"/>
      <c r="V40" s="74"/>
      <c r="W40" s="74"/>
      <c r="X40" s="74"/>
      <c r="Y40" s="74"/>
      <c r="Z40" s="74"/>
    </row>
    <row r="41" spans="1:26" x14ac:dyDescent="0.3">
      <c r="A41" s="66">
        <f t="shared" si="7"/>
        <v>1993.3999999999969</v>
      </c>
      <c r="B41" s="67">
        <f>LOOKUP(A41+0.01,AmountsB!$A$4:$A$103,AmountsB!$B$4:$B$103)*0.1*$A$2</f>
        <v>0</v>
      </c>
      <c r="C41" s="68">
        <f t="shared" si="4"/>
        <v>0</v>
      </c>
      <c r="D41" s="67">
        <f t="array" ref="D41">SUM($B$7:$B36*$F$1009*EXP(-$F$1009*($A41-$A$7:$A36)))*$F$1010</f>
        <v>0</v>
      </c>
      <c r="E41" s="67">
        <f t="shared" si="1"/>
        <v>0</v>
      </c>
      <c r="F41" s="70">
        <f t="shared" si="8"/>
        <v>0</v>
      </c>
      <c r="G41" s="67">
        <f>E41/'Lookup Tables'!$C$48</f>
        <v>0</v>
      </c>
      <c r="H41" s="70" t="e">
        <f t="shared" si="2"/>
        <v>#DIV/0!</v>
      </c>
      <c r="I41" s="71">
        <f t="shared" si="9"/>
        <v>0</v>
      </c>
      <c r="J41" s="35">
        <f t="shared" si="0"/>
        <v>2028</v>
      </c>
      <c r="K41" s="75">
        <f>$G391</f>
        <v>561.04719350963967</v>
      </c>
      <c r="L41" s="74"/>
      <c r="M41" s="74"/>
      <c r="N41" s="74"/>
      <c r="O41" s="74"/>
      <c r="P41" s="74"/>
      <c r="Q41" s="74"/>
      <c r="R41" s="74"/>
      <c r="S41" s="74"/>
      <c r="T41" s="74"/>
      <c r="U41" s="74"/>
      <c r="V41" s="74"/>
      <c r="W41" s="74"/>
      <c r="X41" s="74"/>
      <c r="Y41" s="74"/>
      <c r="Z41" s="74"/>
    </row>
    <row r="42" spans="1:26" x14ac:dyDescent="0.3">
      <c r="A42" s="66">
        <f t="shared" si="7"/>
        <v>1993.4999999999968</v>
      </c>
      <c r="B42" s="67">
        <f>LOOKUP(A42+0.01,AmountsB!$A$4:$A$103,AmountsB!$B$4:$B$103)*0.1*$A$2</f>
        <v>0</v>
      </c>
      <c r="C42" s="68">
        <f t="shared" si="4"/>
        <v>0</v>
      </c>
      <c r="D42" s="67">
        <f t="array" ref="D42">SUM($B$7:$B37*$F$1009*EXP(-$F$1009*($A42-$A$7:$A37)))*$F$1010</f>
        <v>0</v>
      </c>
      <c r="E42" s="67">
        <f t="shared" si="1"/>
        <v>0</v>
      </c>
      <c r="F42" s="70">
        <f t="shared" si="8"/>
        <v>0</v>
      </c>
      <c r="G42" s="67">
        <f>E42/'Lookup Tables'!$C$48</f>
        <v>0</v>
      </c>
      <c r="H42" s="70" t="e">
        <f t="shared" si="2"/>
        <v>#DIV/0!</v>
      </c>
      <c r="I42" s="71">
        <f t="shared" si="9"/>
        <v>0</v>
      </c>
      <c r="J42" s="35">
        <f t="shared" si="0"/>
        <v>2029</v>
      </c>
      <c r="K42" s="75">
        <f>$G401</f>
        <v>545.5557641952754</v>
      </c>
      <c r="L42" s="74"/>
      <c r="M42" s="74"/>
      <c r="N42" s="74"/>
      <c r="O42" s="74"/>
      <c r="P42" s="74"/>
      <c r="Q42" s="74"/>
      <c r="R42" s="74"/>
      <c r="S42" s="74"/>
      <c r="T42" s="74"/>
      <c r="U42" s="74"/>
      <c r="V42" s="74"/>
      <c r="W42" s="74"/>
      <c r="X42" s="74"/>
      <c r="Y42" s="74"/>
      <c r="Z42" s="74"/>
    </row>
    <row r="43" spans="1:26" x14ac:dyDescent="0.3">
      <c r="A43" s="66">
        <f t="shared" si="7"/>
        <v>1993.5999999999967</v>
      </c>
      <c r="B43" s="67">
        <f>LOOKUP(A43+0.01,AmountsB!$A$4:$A$103,AmountsB!$B$4:$B$103)*0.1*$A$2</f>
        <v>0</v>
      </c>
      <c r="C43" s="68">
        <f t="shared" si="4"/>
        <v>0</v>
      </c>
      <c r="D43" s="67">
        <f t="array" ref="D43">SUM($B$7:$B38*$F$1009*EXP(-$F$1009*($A43-$A$7:$A38)))*$F$1010</f>
        <v>0</v>
      </c>
      <c r="E43" s="67">
        <f t="shared" si="1"/>
        <v>0</v>
      </c>
      <c r="F43" s="70">
        <f t="shared" si="8"/>
        <v>0</v>
      </c>
      <c r="G43" s="67">
        <f>E43/'Lookup Tables'!$C$48</f>
        <v>0</v>
      </c>
      <c r="H43" s="70" t="e">
        <f t="shared" si="2"/>
        <v>#DIV/0!</v>
      </c>
      <c r="I43" s="71">
        <f t="shared" si="9"/>
        <v>0</v>
      </c>
      <c r="J43" s="35">
        <f t="shared" si="0"/>
        <v>2030</v>
      </c>
      <c r="K43" s="75">
        <f>$G411</f>
        <v>530.49207854486349</v>
      </c>
      <c r="L43" s="74"/>
      <c r="M43" s="74"/>
      <c r="N43" s="74"/>
      <c r="O43" s="74"/>
      <c r="P43" s="74"/>
      <c r="Q43" s="74"/>
      <c r="R43" s="74"/>
      <c r="S43" s="74"/>
      <c r="T43" s="74"/>
      <c r="U43" s="74"/>
      <c r="V43" s="74"/>
      <c r="W43" s="74"/>
      <c r="X43" s="74"/>
      <c r="Y43" s="74"/>
      <c r="Z43" s="74"/>
    </row>
    <row r="44" spans="1:26" x14ac:dyDescent="0.3">
      <c r="A44" s="66">
        <f t="shared" si="7"/>
        <v>1993.6999999999966</v>
      </c>
      <c r="B44" s="67">
        <f>LOOKUP(A44+0.01,AmountsB!$A$4:$A$103,AmountsB!$B$4:$B$103)*0.1*$A$2</f>
        <v>0</v>
      </c>
      <c r="C44" s="68">
        <f t="shared" si="4"/>
        <v>0</v>
      </c>
      <c r="D44" s="67">
        <f t="array" ref="D44">SUM($B$7:$B39*$F$1009*EXP(-$F$1009*($A44-$A$7:$A39)))*$F$1010</f>
        <v>0</v>
      </c>
      <c r="E44" s="67">
        <f t="shared" si="1"/>
        <v>0</v>
      </c>
      <c r="F44" s="70">
        <f t="shared" si="8"/>
        <v>0</v>
      </c>
      <c r="G44" s="67">
        <f>E44/'Lookup Tables'!$C$48</f>
        <v>0</v>
      </c>
      <c r="H44" s="70" t="e">
        <f t="shared" si="2"/>
        <v>#DIV/0!</v>
      </c>
      <c r="I44" s="71">
        <f t="shared" si="9"/>
        <v>0</v>
      </c>
      <c r="J44" s="35">
        <f t="shared" si="0"/>
        <v>2031</v>
      </c>
      <c r="K44" s="75">
        <f>$G421</f>
        <v>515.84432585725153</v>
      </c>
      <c r="L44" s="74"/>
      <c r="M44" s="74"/>
      <c r="N44" s="74"/>
      <c r="O44" s="74"/>
      <c r="P44" s="74"/>
      <c r="Q44" s="74"/>
      <c r="R44" s="74"/>
      <c r="S44" s="74"/>
      <c r="T44" s="74"/>
      <c r="U44" s="74"/>
      <c r="V44" s="74"/>
      <c r="W44" s="74"/>
      <c r="X44" s="74"/>
      <c r="Y44" s="74"/>
      <c r="Z44" s="74"/>
    </row>
    <row r="45" spans="1:26" x14ac:dyDescent="0.3">
      <c r="A45" s="66">
        <f t="shared" si="7"/>
        <v>1993.7999999999965</v>
      </c>
      <c r="B45" s="67">
        <f>LOOKUP(A45+0.01,AmountsB!$A$4:$A$103,AmountsB!$B$4:$B$103)*0.1*$A$2</f>
        <v>0</v>
      </c>
      <c r="C45" s="68">
        <f t="shared" si="4"/>
        <v>0</v>
      </c>
      <c r="D45" s="67">
        <f t="array" ref="D45">SUM($B$7:$B40*$F$1009*EXP(-$F$1009*($A45-$A$7:$A40)))*$F$1010</f>
        <v>0</v>
      </c>
      <c r="E45" s="67">
        <f t="shared" si="1"/>
        <v>0</v>
      </c>
      <c r="F45" s="70">
        <f t="shared" si="8"/>
        <v>0</v>
      </c>
      <c r="G45" s="67">
        <f>E45/'Lookup Tables'!$C$48</f>
        <v>0</v>
      </c>
      <c r="H45" s="70" t="e">
        <f t="shared" si="2"/>
        <v>#DIV/0!</v>
      </c>
      <c r="I45" s="71">
        <f t="shared" si="9"/>
        <v>0</v>
      </c>
      <c r="J45" s="35">
        <f t="shared" si="0"/>
        <v>2032</v>
      </c>
      <c r="K45" s="75">
        <f>$G431</f>
        <v>501.60102154403597</v>
      </c>
      <c r="L45" s="74"/>
      <c r="M45" s="74"/>
      <c r="N45" s="74"/>
      <c r="O45" s="74"/>
      <c r="P45" s="74"/>
      <c r="Q45" s="74"/>
      <c r="R45" s="74"/>
      <c r="S45" s="74"/>
      <c r="T45" s="74"/>
      <c r="U45" s="74"/>
      <c r="V45" s="74"/>
      <c r="W45" s="74"/>
      <c r="X45" s="74"/>
      <c r="Y45" s="74"/>
      <c r="Z45" s="74"/>
    </row>
    <row r="46" spans="1:26" x14ac:dyDescent="0.3">
      <c r="A46" s="66">
        <f t="shared" si="7"/>
        <v>1993.8999999999965</v>
      </c>
      <c r="B46" s="67">
        <f>LOOKUP(A46+0.01,AmountsB!$A$4:$A$103,AmountsB!$B$4:$B$103)*0.1*$A$2</f>
        <v>0</v>
      </c>
      <c r="C46" s="68">
        <f t="shared" si="4"/>
        <v>0</v>
      </c>
      <c r="D46" s="67">
        <f t="array" ref="D46">SUM($B$7:$B41*$F$1009*EXP(-$F$1009*($A46-$A$7:$A41)))*$F$1010</f>
        <v>0</v>
      </c>
      <c r="E46" s="67">
        <f t="shared" si="1"/>
        <v>0</v>
      </c>
      <c r="F46" s="70">
        <f t="shared" si="8"/>
        <v>0</v>
      </c>
      <c r="G46" s="67">
        <f>E46/'Lookup Tables'!$C$48</f>
        <v>0</v>
      </c>
      <c r="H46" s="70" t="e">
        <f t="shared" si="2"/>
        <v>#DIV/0!</v>
      </c>
      <c r="I46" s="71">
        <f t="shared" si="9"/>
        <v>0</v>
      </c>
      <c r="J46" s="35">
        <f t="shared" si="0"/>
        <v>2033</v>
      </c>
      <c r="K46" s="75">
        <f>$G441</f>
        <v>487.75099812505471</v>
      </c>
      <c r="L46" s="74"/>
      <c r="M46" s="74"/>
      <c r="N46" s="74"/>
      <c r="O46" s="74"/>
      <c r="P46" s="74"/>
      <c r="Q46" s="74"/>
      <c r="R46" s="74"/>
      <c r="S46" s="74"/>
      <c r="T46" s="74"/>
      <c r="U46" s="74"/>
      <c r="V46" s="74"/>
      <c r="W46" s="74"/>
      <c r="X46" s="74"/>
      <c r="Y46" s="74"/>
      <c r="Z46" s="74"/>
    </row>
    <row r="47" spans="1:26" x14ac:dyDescent="0.3">
      <c r="A47" s="66">
        <f t="shared" si="7"/>
        <v>1993.9999999999964</v>
      </c>
      <c r="B47" s="67">
        <f>LOOKUP(A47+0.01,AmountsB!$A$4:$A$103,AmountsB!$B$4:$B$103)*0.1*$A$2</f>
        <v>0</v>
      </c>
      <c r="C47" s="68">
        <f t="shared" si="4"/>
        <v>0</v>
      </c>
      <c r="D47" s="67">
        <f t="array" ref="D47">SUM($B$7:$B42*$F$1009*EXP(-$F$1009*($A47-$A$7:$A42)))*$F$1010</f>
        <v>0</v>
      </c>
      <c r="E47" s="67">
        <f t="shared" si="1"/>
        <v>0</v>
      </c>
      <c r="F47" s="70">
        <f t="shared" si="8"/>
        <v>0</v>
      </c>
      <c r="G47" s="67">
        <f>E47/'Lookup Tables'!$C$48</f>
        <v>0</v>
      </c>
      <c r="H47" s="70" t="e">
        <f t="shared" si="2"/>
        <v>#DIV/0!</v>
      </c>
      <c r="I47" s="71">
        <f t="shared" si="9"/>
        <v>0</v>
      </c>
      <c r="J47" s="35">
        <f t="shared" si="0"/>
        <v>2034</v>
      </c>
      <c r="K47" s="75">
        <f>$G451</f>
        <v>474.28339647251187</v>
      </c>
      <c r="L47" s="74"/>
      <c r="M47" s="74"/>
      <c r="N47" s="74"/>
      <c r="O47" s="74"/>
      <c r="P47" s="74"/>
      <c r="Q47" s="74"/>
      <c r="R47" s="74"/>
      <c r="S47" s="74"/>
      <c r="T47" s="74"/>
      <c r="U47" s="74"/>
      <c r="V47" s="74"/>
      <c r="W47" s="74"/>
      <c r="X47" s="74"/>
      <c r="Y47" s="74"/>
      <c r="Z47" s="74"/>
    </row>
    <row r="48" spans="1:26" x14ac:dyDescent="0.3">
      <c r="A48" s="66">
        <f t="shared" si="7"/>
        <v>1994.0999999999963</v>
      </c>
      <c r="B48" s="67">
        <f>LOOKUP(A48+0.01,AmountsB!$A$4:$A$103,AmountsB!$B$4:$B$103)*0.1*$A$2</f>
        <v>0</v>
      </c>
      <c r="C48" s="68">
        <f t="shared" si="4"/>
        <v>0</v>
      </c>
      <c r="D48" s="67">
        <f t="array" ref="D48">SUM($B$7:$B43*$F$1009*EXP(-$F$1009*($A48-$A$7:$A43)))*$F$1010</f>
        <v>0</v>
      </c>
      <c r="E48" s="67">
        <f t="shared" si="1"/>
        <v>0</v>
      </c>
      <c r="F48" s="70">
        <f t="shared" si="8"/>
        <v>0</v>
      </c>
      <c r="G48" s="67">
        <f>E48/'Lookup Tables'!$C$48</f>
        <v>0</v>
      </c>
      <c r="H48" s="70" t="e">
        <f t="shared" si="2"/>
        <v>#DIV/0!</v>
      </c>
      <c r="I48" s="71">
        <f t="shared" si="9"/>
        <v>0</v>
      </c>
      <c r="J48" s="35">
        <f t="shared" si="0"/>
        <v>2035</v>
      </c>
      <c r="K48" s="75">
        <f>$G461</f>
        <v>461.18765729686601</v>
      </c>
      <c r="L48" s="74"/>
      <c r="M48" s="74"/>
      <c r="N48" s="74"/>
      <c r="O48" s="74"/>
      <c r="P48" s="74"/>
      <c r="Q48" s="74"/>
      <c r="R48" s="74"/>
      <c r="S48" s="74"/>
      <c r="T48" s="74"/>
      <c r="U48" s="74"/>
      <c r="V48" s="74"/>
      <c r="W48" s="74"/>
      <c r="X48" s="74"/>
      <c r="Y48" s="74"/>
      <c r="Z48" s="74"/>
    </row>
    <row r="49" spans="1:26" x14ac:dyDescent="0.3">
      <c r="A49" s="66">
        <f t="shared" si="7"/>
        <v>1994.1999999999962</v>
      </c>
      <c r="B49" s="67">
        <f>LOOKUP(A49+0.01,AmountsB!$A$4:$A$103,AmountsB!$B$4:$B$103)*0.1*$A$2</f>
        <v>0</v>
      </c>
      <c r="C49" s="68">
        <f t="shared" si="4"/>
        <v>0</v>
      </c>
      <c r="D49" s="67">
        <f t="array" ref="D49">SUM($B$7:$B44*$F$1009*EXP(-$F$1009*($A49-$A$7:$A44)))*$F$1010</f>
        <v>0</v>
      </c>
      <c r="E49" s="67">
        <f t="shared" si="1"/>
        <v>0</v>
      </c>
      <c r="F49" s="70">
        <f t="shared" si="8"/>
        <v>0</v>
      </c>
      <c r="G49" s="67">
        <f>E49/'Lookup Tables'!$C$48</f>
        <v>0</v>
      </c>
      <c r="H49" s="70" t="e">
        <f t="shared" si="2"/>
        <v>#DIV/0!</v>
      </c>
      <c r="I49" s="71">
        <f t="shared" si="9"/>
        <v>0</v>
      </c>
      <c r="J49" s="35">
        <f t="shared" si="0"/>
        <v>2036</v>
      </c>
      <c r="K49" s="75">
        <f>$G471</f>
        <v>448.45351286780385</v>
      </c>
      <c r="L49" s="74"/>
      <c r="M49" s="74"/>
      <c r="N49" s="74"/>
      <c r="O49" s="74"/>
      <c r="P49" s="74"/>
      <c r="Q49" s="74"/>
      <c r="R49" s="74"/>
      <c r="S49" s="74"/>
      <c r="T49" s="74"/>
      <c r="U49" s="74"/>
      <c r="V49" s="74"/>
      <c r="W49" s="74"/>
      <c r="X49" s="74"/>
      <c r="Y49" s="74"/>
      <c r="Z49" s="74"/>
    </row>
    <row r="50" spans="1:26" x14ac:dyDescent="0.3">
      <c r="A50" s="66">
        <f t="shared" si="7"/>
        <v>1994.2999999999961</v>
      </c>
      <c r="B50" s="67">
        <f>LOOKUP(A50+0.01,AmountsB!$A$4:$A$103,AmountsB!$B$4:$B$103)*0.1*$A$2</f>
        <v>0</v>
      </c>
      <c r="C50" s="68">
        <f t="shared" si="4"/>
        <v>0</v>
      </c>
      <c r="D50" s="67">
        <f t="array" ref="D50">SUM($B$7:$B45*$F$1009*EXP(-$F$1009*($A50-$A$7:$A45)))*$F$1010</f>
        <v>0</v>
      </c>
      <c r="E50" s="67">
        <f t="shared" si="1"/>
        <v>0</v>
      </c>
      <c r="F50" s="70">
        <f t="shared" si="8"/>
        <v>0</v>
      </c>
      <c r="G50" s="67">
        <f>E50/'Lookup Tables'!$C$48</f>
        <v>0</v>
      </c>
      <c r="H50" s="70" t="e">
        <f t="shared" si="2"/>
        <v>#DIV/0!</v>
      </c>
      <c r="I50" s="71">
        <f t="shared" si="9"/>
        <v>0</v>
      </c>
      <c r="J50" s="35">
        <f t="shared" si="0"/>
        <v>2037</v>
      </c>
      <c r="K50" s="75">
        <f>$G481</f>
        <v>436.07097896381714</v>
      </c>
      <c r="L50" s="74"/>
      <c r="M50" s="74"/>
      <c r="N50" s="74"/>
      <c r="O50" s="74"/>
      <c r="P50" s="74"/>
      <c r="Q50" s="74"/>
      <c r="R50" s="74"/>
      <c r="S50" s="74"/>
      <c r="T50" s="74"/>
      <c r="U50" s="74"/>
      <c r="V50" s="74"/>
      <c r="W50" s="74"/>
      <c r="X50" s="74"/>
      <c r="Y50" s="74"/>
      <c r="Z50" s="74"/>
    </row>
    <row r="51" spans="1:26" x14ac:dyDescent="0.3">
      <c r="A51" s="66">
        <f t="shared" si="7"/>
        <v>1994.399999999996</v>
      </c>
      <c r="B51" s="67">
        <f>LOOKUP(A51+0.01,AmountsB!$A$4:$A$103,AmountsB!$B$4:$B$103)*0.1*$A$2</f>
        <v>0</v>
      </c>
      <c r="C51" s="68">
        <f t="shared" si="4"/>
        <v>0</v>
      </c>
      <c r="D51" s="67">
        <f t="array" ref="D51">SUM($B$7:$B46*$F$1009*EXP(-$F$1009*($A51-$A$7:$A46)))*$F$1010</f>
        <v>0</v>
      </c>
      <c r="E51" s="67">
        <f t="shared" si="1"/>
        <v>0</v>
      </c>
      <c r="F51" s="70">
        <f t="shared" si="8"/>
        <v>0</v>
      </c>
      <c r="G51" s="67">
        <f>E51/'Lookup Tables'!$C$48</f>
        <v>0</v>
      </c>
      <c r="H51" s="70" t="e">
        <f t="shared" si="2"/>
        <v>#DIV/0!</v>
      </c>
      <c r="I51" s="71">
        <f t="shared" si="9"/>
        <v>0</v>
      </c>
      <c r="J51" s="35">
        <f t="shared" si="0"/>
        <v>2038</v>
      </c>
      <c r="K51" s="75">
        <f>$G491</f>
        <v>424.03034704405752</v>
      </c>
      <c r="L51" s="74"/>
      <c r="M51" s="74"/>
      <c r="N51" s="74"/>
      <c r="O51" s="74"/>
      <c r="P51" s="74"/>
      <c r="Q51" s="74"/>
      <c r="R51" s="74"/>
      <c r="S51" s="74"/>
      <c r="T51" s="74"/>
      <c r="U51" s="74"/>
      <c r="V51" s="74"/>
      <c r="W51" s="74"/>
      <c r="X51" s="74"/>
      <c r="Y51" s="74"/>
      <c r="Z51" s="74"/>
    </row>
    <row r="52" spans="1:26" x14ac:dyDescent="0.3">
      <c r="A52" s="66">
        <f t="shared" si="7"/>
        <v>1994.4999999999959</v>
      </c>
      <c r="B52" s="67">
        <f>LOOKUP(A52+0.01,AmountsB!$A$4:$A$103,AmountsB!$B$4:$B$103)*0.1*$A$2</f>
        <v>0</v>
      </c>
      <c r="C52" s="68">
        <f t="shared" si="4"/>
        <v>0</v>
      </c>
      <c r="D52" s="67">
        <f t="array" ref="D52">SUM($B$7:$B47*$F$1009*EXP(-$F$1009*($A52-$A$7:$A47)))*$F$1010</f>
        <v>0</v>
      </c>
      <c r="E52" s="67">
        <f t="shared" si="1"/>
        <v>0</v>
      </c>
      <c r="F52" s="70">
        <f t="shared" si="8"/>
        <v>0</v>
      </c>
      <c r="G52" s="67">
        <f>E52/'Lookup Tables'!$C$48</f>
        <v>0</v>
      </c>
      <c r="H52" s="70" t="e">
        <f t="shared" si="2"/>
        <v>#DIV/0!</v>
      </c>
      <c r="I52" s="71">
        <f t="shared" si="9"/>
        <v>0</v>
      </c>
      <c r="J52" s="35">
        <f t="shared" si="0"/>
        <v>2039</v>
      </c>
      <c r="K52" s="75">
        <f>$G501</f>
        <v>412.32217663634765</v>
      </c>
      <c r="L52" s="74"/>
      <c r="M52" s="74"/>
      <c r="N52" s="74"/>
      <c r="O52" s="74"/>
      <c r="P52" s="74"/>
      <c r="Q52" s="74"/>
      <c r="R52" s="74"/>
      <c r="S52" s="74"/>
      <c r="T52" s="74"/>
      <c r="U52" s="74"/>
      <c r="V52" s="74"/>
      <c r="W52" s="74"/>
      <c r="X52" s="74"/>
      <c r="Y52" s="74"/>
      <c r="Z52" s="74"/>
    </row>
    <row r="53" spans="1:26" x14ac:dyDescent="0.3">
      <c r="A53" s="66">
        <f t="shared" si="7"/>
        <v>1994.5999999999958</v>
      </c>
      <c r="B53" s="67">
        <f>LOOKUP(A53+0.01,AmountsB!$A$4:$A$103,AmountsB!$B$4:$B$103)*0.1*$A$2</f>
        <v>0</v>
      </c>
      <c r="C53" s="68">
        <f t="shared" si="4"/>
        <v>0</v>
      </c>
      <c r="D53" s="67">
        <f t="array" ref="D53">SUM($B$7:$B48*$F$1009*EXP(-$F$1009*($A53-$A$7:$A48)))*$F$1010</f>
        <v>0</v>
      </c>
      <c r="E53" s="67">
        <f t="shared" si="1"/>
        <v>0</v>
      </c>
      <c r="F53" s="70">
        <f t="shared" si="8"/>
        <v>0</v>
      </c>
      <c r="G53" s="67">
        <f>E53/'Lookup Tables'!$C$48</f>
        <v>0</v>
      </c>
      <c r="H53" s="70" t="e">
        <f t="shared" si="2"/>
        <v>#DIV/0!</v>
      </c>
      <c r="I53" s="71">
        <f t="shared" si="9"/>
        <v>0</v>
      </c>
      <c r="J53" s="35">
        <f t="shared" si="0"/>
        <v>2040</v>
      </c>
      <c r="K53" s="75">
        <f>$G511</f>
        <v>400.93728793536354</v>
      </c>
      <c r="L53" s="74"/>
      <c r="M53" s="74"/>
      <c r="N53" s="74"/>
      <c r="O53" s="74"/>
      <c r="P53" s="74"/>
      <c r="Q53" s="74"/>
      <c r="R53" s="74"/>
      <c r="S53" s="74"/>
      <c r="T53" s="74"/>
      <c r="U53" s="74"/>
      <c r="V53" s="74"/>
      <c r="W53" s="74"/>
      <c r="X53" s="74"/>
      <c r="Y53" s="74"/>
      <c r="Z53" s="74"/>
    </row>
    <row r="54" spans="1:26" x14ac:dyDescent="0.3">
      <c r="A54" s="66">
        <f t="shared" si="7"/>
        <v>1994.6999999999957</v>
      </c>
      <c r="B54" s="67">
        <f>LOOKUP(A54+0.01,AmountsB!$A$4:$A$103,AmountsB!$B$4:$B$103)*0.1*$A$2</f>
        <v>0</v>
      </c>
      <c r="C54" s="68">
        <f t="shared" si="4"/>
        <v>0</v>
      </c>
      <c r="D54" s="67">
        <f t="array" ref="D54">SUM($B$7:$B49*$F$1009*EXP(-$F$1009*($A54-$A$7:$A49)))*$F$1010</f>
        <v>0</v>
      </c>
      <c r="E54" s="67">
        <f t="shared" si="1"/>
        <v>0</v>
      </c>
      <c r="F54" s="70">
        <f t="shared" si="8"/>
        <v>0</v>
      </c>
      <c r="G54" s="67">
        <f>E54/'Lookup Tables'!$C$48</f>
        <v>0</v>
      </c>
      <c r="H54" s="70" t="e">
        <f t="shared" si="2"/>
        <v>#DIV/0!</v>
      </c>
      <c r="I54" s="71">
        <f t="shared" si="9"/>
        <v>0</v>
      </c>
      <c r="J54" s="35">
        <f t="shared" si="0"/>
        <v>2041</v>
      </c>
      <c r="K54" s="77">
        <f>$G521</f>
        <v>389.86675460519933</v>
      </c>
      <c r="L54" s="74"/>
      <c r="M54" s="74"/>
      <c r="N54" s="74"/>
      <c r="O54" s="74"/>
      <c r="P54" s="74"/>
      <c r="Q54" s="74"/>
      <c r="R54" s="74"/>
      <c r="S54" s="74"/>
      <c r="T54" s="74"/>
      <c r="U54" s="74"/>
      <c r="V54" s="74"/>
      <c r="W54" s="74"/>
      <c r="X54" s="74"/>
      <c r="Y54" s="74"/>
      <c r="Z54" s="74"/>
    </row>
    <row r="55" spans="1:26" x14ac:dyDescent="0.3">
      <c r="A55" s="66">
        <f t="shared" si="7"/>
        <v>1994.7999999999956</v>
      </c>
      <c r="B55" s="67">
        <f>LOOKUP(A55+0.01,AmountsB!$A$4:$A$103,AmountsB!$B$4:$B$103)*0.1*$A$2</f>
        <v>0</v>
      </c>
      <c r="C55" s="68">
        <f t="shared" si="4"/>
        <v>0</v>
      </c>
      <c r="D55" s="67">
        <f t="array" ref="D55">SUM($B$7:$B50*$F$1009*EXP(-$F$1009*($A55-$A$7:$A50)))*$F$1010</f>
        <v>0</v>
      </c>
      <c r="E55" s="67">
        <f t="shared" si="1"/>
        <v>0</v>
      </c>
      <c r="F55" s="70">
        <f t="shared" si="8"/>
        <v>0</v>
      </c>
      <c r="G55" s="67">
        <f>E55/'Lookup Tables'!$C$48</f>
        <v>0</v>
      </c>
      <c r="H55" s="70" t="e">
        <f t="shared" si="2"/>
        <v>#DIV/0!</v>
      </c>
      <c r="I55" s="71">
        <f t="shared" si="9"/>
        <v>0</v>
      </c>
      <c r="J55" s="35">
        <f t="shared" si="0"/>
        <v>2042</v>
      </c>
      <c r="K55" s="77">
        <f>$G531</f>
        <v>379.10189678066178</v>
      </c>
      <c r="L55" s="74"/>
      <c r="M55" s="74"/>
      <c r="N55" s="74"/>
      <c r="O55" s="74"/>
      <c r="P55" s="74"/>
      <c r="Q55" s="74"/>
      <c r="R55" s="74"/>
      <c r="S55" s="74"/>
      <c r="T55" s="74"/>
      <c r="U55" s="74"/>
      <c r="V55" s="74"/>
      <c r="W55" s="74"/>
      <c r="X55" s="74"/>
      <c r="Y55" s="74"/>
      <c r="Z55" s="74"/>
    </row>
    <row r="56" spans="1:26" x14ac:dyDescent="0.3">
      <c r="A56" s="66">
        <f t="shared" si="7"/>
        <v>1994.8999999999955</v>
      </c>
      <c r="B56" s="67">
        <f>LOOKUP(A56+0.01,AmountsB!$A$4:$A$103,AmountsB!$B$4:$B$103)*0.1*$A$2</f>
        <v>0</v>
      </c>
      <c r="C56" s="68">
        <f t="shared" si="4"/>
        <v>0</v>
      </c>
      <c r="D56" s="67">
        <f t="array" ref="D56">SUM($B$7:$B51*$F$1009*EXP(-$F$1009*($A56-$A$7:$A51)))*$F$1010</f>
        <v>0</v>
      </c>
      <c r="E56" s="67">
        <f t="shared" si="1"/>
        <v>0</v>
      </c>
      <c r="F56" s="70">
        <f t="shared" si="8"/>
        <v>0</v>
      </c>
      <c r="G56" s="67">
        <f>E56/'Lookup Tables'!$C$48</f>
        <v>0</v>
      </c>
      <c r="H56" s="70" t="e">
        <f t="shared" si="2"/>
        <v>#DIV/0!</v>
      </c>
      <c r="I56" s="71">
        <f t="shared" si="9"/>
        <v>0</v>
      </c>
      <c r="J56" s="35">
        <f t="shared" si="0"/>
        <v>2043</v>
      </c>
      <c r="K56" s="77">
        <f>$G541</f>
        <v>368.63427426181221</v>
      </c>
      <c r="L56" s="74"/>
      <c r="M56" s="74"/>
      <c r="N56" s="74"/>
      <c r="O56" s="74"/>
      <c r="P56" s="74"/>
      <c r="Q56" s="74"/>
      <c r="R56" s="74"/>
      <c r="S56" s="74"/>
      <c r="T56" s="74"/>
      <c r="U56" s="74"/>
      <c r="V56" s="74"/>
      <c r="W56" s="74"/>
      <c r="X56" s="74"/>
      <c r="Y56" s="74"/>
      <c r="Z56" s="74"/>
    </row>
    <row r="57" spans="1:26" x14ac:dyDescent="0.3">
      <c r="A57" s="66">
        <f t="shared" si="7"/>
        <v>1994.9999999999955</v>
      </c>
      <c r="B57" s="67">
        <f>LOOKUP(A57+0.01,AmountsB!$A$4:$A$103,AmountsB!$B$4:$B$103)*0.1*$A$2</f>
        <v>0</v>
      </c>
      <c r="C57" s="68">
        <f t="shared" si="4"/>
        <v>0</v>
      </c>
      <c r="D57" s="67">
        <f t="array" ref="D57">SUM($B$7:$B52*$F$1009*EXP(-$F$1009*($A57-$A$7:$A52)))*$F$1010</f>
        <v>0</v>
      </c>
      <c r="E57" s="67">
        <f t="shared" si="1"/>
        <v>0</v>
      </c>
      <c r="F57" s="70">
        <f t="shared" si="8"/>
        <v>0</v>
      </c>
      <c r="G57" s="67">
        <f>E57/'Lookup Tables'!$C$48</f>
        <v>0</v>
      </c>
      <c r="H57" s="70" t="e">
        <f t="shared" si="2"/>
        <v>#DIV/0!</v>
      </c>
      <c r="I57" s="71">
        <f t="shared" si="9"/>
        <v>0</v>
      </c>
      <c r="J57" s="35">
        <f t="shared" si="0"/>
        <v>2044</v>
      </c>
      <c r="K57" s="77">
        <f>$G551</f>
        <v>358.45567989641569</v>
      </c>
      <c r="L57" s="74"/>
      <c r="M57" s="74"/>
      <c r="N57" s="74"/>
      <c r="O57" s="74"/>
      <c r="P57" s="74"/>
      <c r="Q57" s="74"/>
      <c r="R57" s="74"/>
      <c r="S57" s="74"/>
      <c r="T57" s="74"/>
      <c r="U57" s="74"/>
      <c r="V57" s="74"/>
      <c r="W57" s="74"/>
      <c r="X57" s="74"/>
      <c r="Y57" s="74"/>
      <c r="Z57" s="74"/>
    </row>
    <row r="58" spans="1:26" x14ac:dyDescent="0.3">
      <c r="A58" s="66">
        <f t="shared" si="7"/>
        <v>1995.0999999999954</v>
      </c>
      <c r="B58" s="67">
        <f>LOOKUP(A58+0.01,AmountsB!$A$4:$A$103,AmountsB!$B$4:$B$103)*0.1*$A$2</f>
        <v>0</v>
      </c>
      <c r="C58" s="68">
        <f t="shared" si="4"/>
        <v>0</v>
      </c>
      <c r="D58" s="67">
        <f t="array" ref="D58">SUM($B$7:$B53*$F$1009*EXP(-$F$1009*($A58-$A$7:$A53)))*$F$1010</f>
        <v>0</v>
      </c>
      <c r="E58" s="67">
        <f t="shared" si="1"/>
        <v>0</v>
      </c>
      <c r="F58" s="70">
        <f t="shared" si="8"/>
        <v>0</v>
      </c>
      <c r="G58" s="67">
        <f>E58/'Lookup Tables'!$C$48</f>
        <v>0</v>
      </c>
      <c r="H58" s="70" t="e">
        <f t="shared" si="2"/>
        <v>#DIV/0!</v>
      </c>
      <c r="I58" s="71">
        <f t="shared" si="9"/>
        <v>0</v>
      </c>
      <c r="J58" s="35">
        <f t="shared" si="0"/>
        <v>2045</v>
      </c>
      <c r="K58" s="77">
        <f>$G561</f>
        <v>348.55813314511488</v>
      </c>
      <c r="L58" s="74"/>
      <c r="M58" s="74"/>
      <c r="N58" s="74"/>
      <c r="O58" s="74"/>
      <c r="P58" s="74"/>
      <c r="Q58" s="74"/>
      <c r="R58" s="74"/>
      <c r="S58" s="74"/>
      <c r="T58" s="74"/>
      <c r="U58" s="74"/>
      <c r="V58" s="74"/>
      <c r="W58" s="74"/>
      <c r="X58" s="74"/>
      <c r="Y58" s="74"/>
      <c r="Z58" s="74"/>
    </row>
    <row r="59" spans="1:26" x14ac:dyDescent="0.3">
      <c r="A59" s="66">
        <f t="shared" si="7"/>
        <v>1995.1999999999953</v>
      </c>
      <c r="B59" s="67">
        <f>LOOKUP(A59+0.01,AmountsB!$A$4:$A$103,AmountsB!$B$4:$B$103)*0.1*$A$2</f>
        <v>0</v>
      </c>
      <c r="C59" s="68">
        <f t="shared" si="4"/>
        <v>0</v>
      </c>
      <c r="D59" s="67">
        <f t="array" ref="D59">SUM($B$7:$B54*$F$1009*EXP(-$F$1009*($A59-$A$7:$A54)))*$F$1010</f>
        <v>0</v>
      </c>
      <c r="E59" s="67">
        <f t="shared" si="1"/>
        <v>0</v>
      </c>
      <c r="F59" s="70">
        <f t="shared" si="8"/>
        <v>0</v>
      </c>
      <c r="G59" s="67">
        <f>E59/'Lookup Tables'!$C$48</f>
        <v>0</v>
      </c>
      <c r="H59" s="70" t="e">
        <f t="shared" si="2"/>
        <v>#DIV/0!</v>
      </c>
      <c r="I59" s="71">
        <f t="shared" si="9"/>
        <v>0</v>
      </c>
      <c r="J59" s="35">
        <f t="shared" si="0"/>
        <v>2046</v>
      </c>
      <c r="K59" s="77">
        <f>$G571</f>
        <v>338.93387382427841</v>
      </c>
      <c r="L59" s="74"/>
      <c r="M59" s="74"/>
      <c r="N59" s="74"/>
      <c r="O59" s="74"/>
      <c r="P59" s="74"/>
      <c r="Q59" s="74"/>
      <c r="R59" s="74"/>
      <c r="S59" s="74"/>
      <c r="T59" s="74"/>
      <c r="U59" s="74"/>
      <c r="V59" s="74"/>
      <c r="W59" s="74"/>
      <c r="X59" s="74"/>
      <c r="Y59" s="74"/>
      <c r="Z59" s="74"/>
    </row>
    <row r="60" spans="1:26" x14ac:dyDescent="0.3">
      <c r="A60" s="66">
        <f t="shared" si="7"/>
        <v>1995.2999999999952</v>
      </c>
      <c r="B60" s="67">
        <f>LOOKUP(A60+0.01,AmountsB!$A$4:$A$103,AmountsB!$B$4:$B$103)*0.1*$A$2</f>
        <v>0</v>
      </c>
      <c r="C60" s="68">
        <f t="shared" si="4"/>
        <v>0</v>
      </c>
      <c r="D60" s="67">
        <f t="array" ref="D60">SUM($B$7:$B55*$F$1009*EXP(-$F$1009*($A60-$A$7:$A55)))*$F$1010</f>
        <v>0</v>
      </c>
      <c r="E60" s="67">
        <f t="shared" si="1"/>
        <v>0</v>
      </c>
      <c r="F60" s="70">
        <f t="shared" si="8"/>
        <v>0</v>
      </c>
      <c r="G60" s="67">
        <f>E60/'Lookup Tables'!$C$48</f>
        <v>0</v>
      </c>
      <c r="H60" s="70" t="e">
        <f t="shared" si="2"/>
        <v>#DIV/0!</v>
      </c>
      <c r="I60" s="71">
        <f t="shared" si="9"/>
        <v>0</v>
      </c>
      <c r="J60" s="35">
        <f t="shared" si="0"/>
        <v>2047</v>
      </c>
      <c r="K60" s="77">
        <f>$G581</f>
        <v>329.57535602161852</v>
      </c>
      <c r="L60" s="74"/>
      <c r="M60" s="74"/>
      <c r="N60" s="74"/>
      <c r="O60" s="74"/>
      <c r="P60" s="74"/>
      <c r="Q60" s="74"/>
      <c r="R60" s="74"/>
      <c r="S60" s="74"/>
      <c r="T60" s="74"/>
      <c r="U60" s="74"/>
      <c r="V60" s="74"/>
      <c r="W60" s="74"/>
      <c r="X60" s="74"/>
      <c r="Y60" s="74"/>
      <c r="Z60" s="74"/>
    </row>
    <row r="61" spans="1:26" x14ac:dyDescent="0.3">
      <c r="A61" s="66">
        <f t="shared" si="7"/>
        <v>1995.3999999999951</v>
      </c>
      <c r="B61" s="67">
        <f>LOOKUP(A61+0.01,AmountsB!$A$4:$A$103,AmountsB!$B$4:$B$103)*0.1*$A$2</f>
        <v>0</v>
      </c>
      <c r="C61" s="68">
        <f t="shared" si="4"/>
        <v>0</v>
      </c>
      <c r="D61" s="67">
        <f t="array" ref="D61">SUM($B$7:$B56*$F$1009*EXP(-$F$1009*($A61-$A$7:$A56)))*$F$1010</f>
        <v>0</v>
      </c>
      <c r="E61" s="67">
        <f t="shared" si="1"/>
        <v>0</v>
      </c>
      <c r="F61" s="70">
        <f t="shared" si="8"/>
        <v>0</v>
      </c>
      <c r="G61" s="67">
        <f>E61/'Lookup Tables'!$C$48</f>
        <v>0</v>
      </c>
      <c r="H61" s="70" t="e">
        <f t="shared" si="2"/>
        <v>#DIV/0!</v>
      </c>
      <c r="I61" s="71">
        <f t="shared" si="9"/>
        <v>0</v>
      </c>
      <c r="J61" s="35">
        <f t="shared" si="0"/>
        <v>2048</v>
      </c>
      <c r="K61" s="77">
        <f>$G591</f>
        <v>320.47524217980919</v>
      </c>
      <c r="L61" s="74"/>
      <c r="M61" s="74"/>
      <c r="N61" s="74"/>
      <c r="O61" s="74"/>
      <c r="P61" s="74"/>
      <c r="Q61" s="74"/>
      <c r="R61" s="74"/>
      <c r="S61" s="74"/>
      <c r="T61" s="74"/>
      <c r="U61" s="74"/>
      <c r="V61" s="74"/>
      <c r="W61" s="74"/>
      <c r="X61" s="74"/>
      <c r="Y61" s="74"/>
      <c r="Z61" s="74"/>
    </row>
    <row r="62" spans="1:26" x14ac:dyDescent="0.3">
      <c r="A62" s="66">
        <f t="shared" si="7"/>
        <v>1995.499999999995</v>
      </c>
      <c r="B62" s="67">
        <f>LOOKUP(A62+0.01,AmountsB!$A$4:$A$103,AmountsB!$B$4:$B$103)*0.1*$A$2</f>
        <v>0</v>
      </c>
      <c r="C62" s="68">
        <f t="shared" si="4"/>
        <v>0</v>
      </c>
      <c r="D62" s="67">
        <f t="array" ref="D62">SUM($B$7:$B57*$F$1009*EXP(-$F$1009*($A62-$A$7:$A57)))*$F$1010</f>
        <v>0</v>
      </c>
      <c r="E62" s="67">
        <f t="shared" si="1"/>
        <v>0</v>
      </c>
      <c r="F62" s="70">
        <f t="shared" si="8"/>
        <v>0</v>
      </c>
      <c r="G62" s="67">
        <f>E62/'Lookup Tables'!$C$48</f>
        <v>0</v>
      </c>
      <c r="H62" s="70" t="e">
        <f t="shared" si="2"/>
        <v>#DIV/0!</v>
      </c>
      <c r="I62" s="71">
        <f t="shared" si="9"/>
        <v>0</v>
      </c>
      <c r="J62" s="35">
        <f t="shared" si="0"/>
        <v>2049</v>
      </c>
      <c r="K62" s="77">
        <f>$G601</f>
        <v>311.62639734346664</v>
      </c>
      <c r="L62" s="74"/>
      <c r="M62" s="74"/>
      <c r="N62" s="74"/>
      <c r="O62" s="74"/>
      <c r="P62" s="74"/>
      <c r="Q62" s="74"/>
      <c r="R62" s="74"/>
      <c r="S62" s="74"/>
      <c r="T62" s="74"/>
      <c r="U62" s="74"/>
      <c r="V62" s="74"/>
      <c r="W62" s="74"/>
      <c r="X62" s="74"/>
      <c r="Y62" s="74"/>
      <c r="Z62" s="74"/>
    </row>
    <row r="63" spans="1:26" x14ac:dyDescent="0.3">
      <c r="A63" s="66">
        <f t="shared" si="7"/>
        <v>1995.5999999999949</v>
      </c>
      <c r="B63" s="67">
        <f>LOOKUP(A63+0.01,AmountsB!$A$4:$A$103,AmountsB!$B$4:$B$103)*0.1*$A$2</f>
        <v>0</v>
      </c>
      <c r="C63" s="68">
        <f t="shared" si="4"/>
        <v>0</v>
      </c>
      <c r="D63" s="67">
        <f t="array" ref="D63">SUM($B$7:$B58*$F$1009*EXP(-$F$1009*($A63-$A$7:$A58)))*$F$1010</f>
        <v>0</v>
      </c>
      <c r="E63" s="67">
        <f t="shared" si="1"/>
        <v>0</v>
      </c>
      <c r="F63" s="70">
        <f t="shared" si="8"/>
        <v>0</v>
      </c>
      <c r="G63" s="67">
        <f>E63/'Lookup Tables'!$C$48</f>
        <v>0</v>
      </c>
      <c r="H63" s="70" t="e">
        <f t="shared" si="2"/>
        <v>#DIV/0!</v>
      </c>
      <c r="I63" s="71">
        <f t="shared" si="9"/>
        <v>0</v>
      </c>
      <c r="J63" s="35">
        <f t="shared" si="0"/>
        <v>2050</v>
      </c>
      <c r="K63" s="77">
        <f>$G611</f>
        <v>303.02188356497766</v>
      </c>
      <c r="L63" s="74"/>
      <c r="M63" s="74"/>
      <c r="N63" s="74"/>
      <c r="O63" s="74"/>
      <c r="P63" s="74"/>
      <c r="Q63" s="74"/>
      <c r="R63" s="74"/>
      <c r="S63" s="74"/>
      <c r="T63" s="74"/>
      <c r="U63" s="74"/>
      <c r="V63" s="74"/>
      <c r="W63" s="74"/>
      <c r="X63" s="74"/>
      <c r="Y63" s="74"/>
      <c r="Z63" s="74"/>
    </row>
    <row r="64" spans="1:26" x14ac:dyDescent="0.3">
      <c r="A64" s="66">
        <f t="shared" si="7"/>
        <v>1995.6999999999948</v>
      </c>
      <c r="B64" s="67">
        <f>LOOKUP(A64+0.01,AmountsB!$A$4:$A$103,AmountsB!$B$4:$B$103)*0.1*$A$2</f>
        <v>0</v>
      </c>
      <c r="C64" s="68">
        <f t="shared" si="4"/>
        <v>0</v>
      </c>
      <c r="D64" s="67">
        <f t="array" ref="D64">SUM($B$7:$B59*$F$1009*EXP(-$F$1009*($A64-$A$7:$A59)))*$F$1010</f>
        <v>0</v>
      </c>
      <c r="E64" s="67">
        <f t="shared" si="1"/>
        <v>0</v>
      </c>
      <c r="F64" s="70">
        <f t="shared" si="8"/>
        <v>0</v>
      </c>
      <c r="G64" s="67">
        <f>E64/'Lookup Tables'!$C$48</f>
        <v>0</v>
      </c>
      <c r="H64" s="70" t="e">
        <f t="shared" si="2"/>
        <v>#DIV/0!</v>
      </c>
      <c r="I64" s="71">
        <f t="shared" si="9"/>
        <v>0</v>
      </c>
      <c r="J64" s="35">
        <f t="shared" si="0"/>
        <v>2051</v>
      </c>
      <c r="K64" s="77">
        <f>$G621</f>
        <v>294.65495446479383</v>
      </c>
      <c r="L64" s="74"/>
      <c r="M64" s="74"/>
      <c r="N64" s="74"/>
      <c r="O64" s="74"/>
      <c r="P64" s="74"/>
      <c r="Q64" s="74"/>
      <c r="R64" s="74"/>
      <c r="S64" s="74"/>
      <c r="T64" s="74"/>
      <c r="U64" s="74"/>
      <c r="V64" s="74"/>
      <c r="W64" s="74"/>
      <c r="X64" s="74"/>
      <c r="Y64" s="74"/>
      <c r="Z64" s="74"/>
    </row>
    <row r="65" spans="1:26" x14ac:dyDescent="0.3">
      <c r="A65" s="66">
        <f t="shared" si="7"/>
        <v>1995.7999999999947</v>
      </c>
      <c r="B65" s="67">
        <f>LOOKUP(A65+0.01,AmountsB!$A$4:$A$103,AmountsB!$B$4:$B$103)*0.1*$A$2</f>
        <v>0</v>
      </c>
      <c r="C65" s="68">
        <f t="shared" si="4"/>
        <v>0</v>
      </c>
      <c r="D65" s="67">
        <f t="array" ref="D65">SUM($B$7:$B60*$F$1009*EXP(-$F$1009*($A65-$A$7:$A60)))*$F$1010</f>
        <v>0</v>
      </c>
      <c r="E65" s="67">
        <f t="shared" si="1"/>
        <v>0</v>
      </c>
      <c r="F65" s="70">
        <f t="shared" si="8"/>
        <v>0</v>
      </c>
      <c r="G65" s="67">
        <f>E65/'Lookup Tables'!$C$48</f>
        <v>0</v>
      </c>
      <c r="H65" s="70" t="e">
        <f t="shared" si="2"/>
        <v>#DIV/0!</v>
      </c>
      <c r="I65" s="71">
        <f t="shared" si="9"/>
        <v>0</v>
      </c>
      <c r="J65" s="35">
        <f t="shared" si="0"/>
        <v>2052</v>
      </c>
      <c r="K65" s="77">
        <f>$G631</f>
        <v>286.51904994192398</v>
      </c>
      <c r="L65" s="74"/>
      <c r="M65" s="74"/>
      <c r="N65" s="74"/>
      <c r="O65" s="74"/>
      <c r="P65" s="74"/>
      <c r="Q65" s="74"/>
      <c r="R65" s="74"/>
      <c r="S65" s="74"/>
      <c r="T65" s="74"/>
      <c r="U65" s="74"/>
      <c r="V65" s="74"/>
      <c r="W65" s="74"/>
      <c r="X65" s="74"/>
      <c r="Y65" s="74"/>
      <c r="Z65" s="74"/>
    </row>
    <row r="66" spans="1:26" x14ac:dyDescent="0.3">
      <c r="A66" s="66">
        <f t="shared" si="7"/>
        <v>1995.8999999999946</v>
      </c>
      <c r="B66" s="67">
        <f>LOOKUP(A66+0.01,AmountsB!$A$4:$A$103,AmountsB!$B$4:$B$103)*0.1*$A$2</f>
        <v>0</v>
      </c>
      <c r="C66" s="68">
        <f t="shared" si="4"/>
        <v>0</v>
      </c>
      <c r="D66" s="67">
        <f t="array" ref="D66">SUM($B$7:$B61*$F$1009*EXP(-$F$1009*($A66-$A$7:$A61)))*$F$1010</f>
        <v>0</v>
      </c>
      <c r="E66" s="67">
        <f t="shared" si="1"/>
        <v>0</v>
      </c>
      <c r="F66" s="70">
        <f t="shared" si="8"/>
        <v>0</v>
      </c>
      <c r="G66" s="67">
        <f>E66/'Lookup Tables'!$C$48</f>
        <v>0</v>
      </c>
      <c r="H66" s="70" t="e">
        <f t="shared" si="2"/>
        <v>#DIV/0!</v>
      </c>
      <c r="I66" s="71">
        <f t="shared" si="9"/>
        <v>0</v>
      </c>
      <c r="J66" s="35">
        <f t="shared" si="0"/>
        <v>2053</v>
      </c>
      <c r="K66" s="77">
        <f>$G641</f>
        <v>278.60779103047946</v>
      </c>
      <c r="L66" s="74"/>
      <c r="M66" s="74"/>
      <c r="N66" s="74"/>
      <c r="O66" s="74"/>
      <c r="P66" s="74"/>
      <c r="Q66" s="74"/>
      <c r="R66" s="74"/>
      <c r="S66" s="74"/>
      <c r="T66" s="74"/>
      <c r="U66" s="74"/>
      <c r="V66" s="74"/>
      <c r="W66" s="74"/>
      <c r="X66" s="74"/>
      <c r="Y66" s="74"/>
      <c r="Z66" s="74"/>
    </row>
    <row r="67" spans="1:26" x14ac:dyDescent="0.3">
      <c r="A67" s="66">
        <f t="shared" si="7"/>
        <v>1995.9999999999945</v>
      </c>
      <c r="B67" s="67">
        <f>LOOKUP(A67+0.01,AmountsB!$A$4:$A$103,AmountsB!$B$4:$B$103)*0.1*$A$2</f>
        <v>0</v>
      </c>
      <c r="C67" s="68">
        <f t="shared" si="4"/>
        <v>0</v>
      </c>
      <c r="D67" s="67">
        <f t="array" ref="D67">SUM($B$7:$B62*$F$1009*EXP(-$F$1009*($A67-$A$7:$A62)))*$F$1010</f>
        <v>0</v>
      </c>
      <c r="E67" s="67">
        <f t="shared" si="1"/>
        <v>0</v>
      </c>
      <c r="F67" s="70">
        <f t="shared" si="8"/>
        <v>0</v>
      </c>
      <c r="G67" s="67">
        <f>E67/'Lookup Tables'!$C$48</f>
        <v>0</v>
      </c>
      <c r="H67" s="70" t="e">
        <f t="shared" si="2"/>
        <v>#DIV/0!</v>
      </c>
      <c r="I67" s="71">
        <f t="shared" si="9"/>
        <v>0</v>
      </c>
      <c r="J67" s="35">
        <f t="shared" si="0"/>
        <v>2054</v>
      </c>
      <c r="K67" s="77">
        <f>$G651</f>
        <v>270.91497489823786</v>
      </c>
      <c r="L67" s="74"/>
      <c r="M67" s="74"/>
      <c r="N67" s="74"/>
      <c r="O67" s="74"/>
      <c r="P67" s="74"/>
      <c r="Q67" s="74"/>
      <c r="R67" s="74"/>
      <c r="S67" s="74"/>
      <c r="T67" s="74"/>
      <c r="U67" s="74"/>
      <c r="V67" s="74"/>
      <c r="W67" s="74"/>
      <c r="X67" s="74"/>
      <c r="Y67" s="74"/>
      <c r="Z67" s="74"/>
    </row>
    <row r="68" spans="1:26" x14ac:dyDescent="0.3">
      <c r="A68" s="66">
        <f t="shared" si="7"/>
        <v>1996.0999999999945</v>
      </c>
      <c r="B68" s="67">
        <f>LOOKUP(A68+0.01,AmountsB!$A$4:$A$103,AmountsB!$B$4:$B$103)*0.1*$A$2</f>
        <v>0</v>
      </c>
      <c r="C68" s="68">
        <f t="shared" si="4"/>
        <v>0</v>
      </c>
      <c r="D68" s="67">
        <f t="array" ref="D68">SUM($B$7:$B63*$F$1009*EXP(-$F$1009*($A68-$A$7:$A63)))*$F$1010</f>
        <v>0</v>
      </c>
      <c r="E68" s="67">
        <f t="shared" si="1"/>
        <v>0</v>
      </c>
      <c r="F68" s="70">
        <f t="shared" si="8"/>
        <v>0</v>
      </c>
      <c r="G68" s="67">
        <f>E68/'Lookup Tables'!$C$48</f>
        <v>0</v>
      </c>
      <c r="H68" s="70" t="e">
        <f t="shared" si="2"/>
        <v>#DIV/0!</v>
      </c>
      <c r="I68" s="71">
        <f t="shared" si="9"/>
        <v>0</v>
      </c>
      <c r="J68" s="35">
        <f t="shared" ref="J68:J102" si="10">J67+1</f>
        <v>2055</v>
      </c>
      <c r="K68" s="77">
        <f>$G661</f>
        <v>263.43456998330493</v>
      </c>
      <c r="L68" s="74"/>
      <c r="M68" s="74"/>
      <c r="N68" s="74"/>
      <c r="O68" s="74"/>
      <c r="P68" s="74"/>
      <c r="Q68" s="74"/>
      <c r="R68" s="74"/>
      <c r="S68" s="74"/>
      <c r="T68" s="74"/>
      <c r="U68" s="74"/>
      <c r="V68" s="74"/>
      <c r="W68" s="74"/>
      <c r="X68" s="74"/>
      <c r="Y68" s="74"/>
      <c r="Z68" s="74"/>
    </row>
    <row r="69" spans="1:26" x14ac:dyDescent="0.3">
      <c r="A69" s="66">
        <f t="shared" si="7"/>
        <v>1996.1999999999944</v>
      </c>
      <c r="B69" s="67">
        <f>LOOKUP(A69+0.01,AmountsB!$A$4:$A$103,AmountsB!$B$4:$B$103)*0.1*$A$2</f>
        <v>0</v>
      </c>
      <c r="C69" s="68">
        <f t="shared" si="4"/>
        <v>0</v>
      </c>
      <c r="D69" s="67">
        <f t="array" ref="D69">SUM($B$7:$B64*$F$1009*EXP(-$F$1009*($A69-$A$7:$A64)))*$F$1010</f>
        <v>0</v>
      </c>
      <c r="E69" s="67">
        <f t="shared" si="1"/>
        <v>0</v>
      </c>
      <c r="F69" s="70">
        <f t="shared" si="8"/>
        <v>0</v>
      </c>
      <c r="G69" s="67">
        <f>E69/'Lookup Tables'!$C$48</f>
        <v>0</v>
      </c>
      <c r="H69" s="70" t="e">
        <f t="shared" si="2"/>
        <v>#DIV/0!</v>
      </c>
      <c r="I69" s="71">
        <f t="shared" si="9"/>
        <v>0</v>
      </c>
      <c r="J69" s="35">
        <f t="shared" si="10"/>
        <v>2056</v>
      </c>
      <c r="K69" s="77">
        <f>$G671</f>
        <v>256.16071126506125</v>
      </c>
      <c r="L69" s="74"/>
      <c r="M69" s="74"/>
      <c r="N69" s="74"/>
      <c r="O69" s="74"/>
      <c r="P69" s="74"/>
      <c r="Q69" s="74"/>
      <c r="R69" s="74"/>
      <c r="S69" s="74"/>
      <c r="T69" s="74"/>
      <c r="U69" s="74"/>
      <c r="V69" s="74"/>
      <c r="W69" s="74"/>
      <c r="X69" s="74"/>
      <c r="Y69" s="74"/>
      <c r="Z69" s="74"/>
    </row>
    <row r="70" spans="1:26" x14ac:dyDescent="0.3">
      <c r="A70" s="66">
        <f t="shared" si="7"/>
        <v>1996.2999999999943</v>
      </c>
      <c r="B70" s="67">
        <f>LOOKUP(A70+0.01,AmountsB!$A$4:$A$103,AmountsB!$B$4:$B$103)*0.1*$A$2</f>
        <v>0</v>
      </c>
      <c r="C70" s="68">
        <f t="shared" si="4"/>
        <v>0</v>
      </c>
      <c r="D70" s="67">
        <f t="array" ref="D70">SUM($B$7:$B65*$F$1009*EXP(-$F$1009*($A70-$A$7:$A65)))*$F$1010</f>
        <v>0</v>
      </c>
      <c r="E70" s="67">
        <f t="shared" si="1"/>
        <v>0</v>
      </c>
      <c r="F70" s="70">
        <f t="shared" si="8"/>
        <v>0</v>
      </c>
      <c r="G70" s="67">
        <f>E70/'Lookup Tables'!$C$48</f>
        <v>0</v>
      </c>
      <c r="H70" s="70" t="e">
        <f t="shared" si="2"/>
        <v>#DIV/0!</v>
      </c>
      <c r="I70" s="71">
        <f t="shared" si="9"/>
        <v>0</v>
      </c>
      <c r="J70" s="35">
        <f t="shared" si="10"/>
        <v>2057</v>
      </c>
      <c r="K70" s="77">
        <f>$G681</f>
        <v>249.08769566568503</v>
      </c>
      <c r="L70" s="74"/>
      <c r="M70" s="74"/>
      <c r="N70" s="74"/>
      <c r="O70" s="74"/>
      <c r="P70" s="74"/>
      <c r="Q70" s="74"/>
      <c r="R70" s="74"/>
      <c r="S70" s="74"/>
      <c r="T70" s="74"/>
      <c r="U70" s="74"/>
      <c r="V70" s="74"/>
      <c r="W70" s="74"/>
      <c r="X70" s="74"/>
      <c r="Y70" s="74"/>
      <c r="Z70" s="74"/>
    </row>
    <row r="71" spans="1:26" x14ac:dyDescent="0.3">
      <c r="A71" s="66">
        <f t="shared" si="7"/>
        <v>1996.3999999999942</v>
      </c>
      <c r="B71" s="67">
        <f>LOOKUP(A71+0.01,AmountsB!$A$4:$A$103,AmountsB!$B$4:$B$103)*0.1*$A$2</f>
        <v>0</v>
      </c>
      <c r="C71" s="68">
        <f t="shared" si="4"/>
        <v>0</v>
      </c>
      <c r="D71" s="67">
        <f t="array" ref="D71">SUM($B$7:$B66*$F$1009*EXP(-$F$1009*($A71-$A$7:$A66)))*$F$1010</f>
        <v>0</v>
      </c>
      <c r="E71" s="67">
        <f t="shared" ref="E71:E134" si="11">D71/(365*24*60)*1.00201</f>
        <v>0</v>
      </c>
      <c r="F71" s="70">
        <f t="shared" si="8"/>
        <v>0</v>
      </c>
      <c r="G71" s="67">
        <f>E71/'Lookup Tables'!$C$48</f>
        <v>0</v>
      </c>
      <c r="H71" s="70" t="e">
        <f t="shared" ref="H71:H134" si="12">G71*60*24*365/(C71*2000)</f>
        <v>#DIV/0!</v>
      </c>
      <c r="I71" s="71">
        <f t="shared" si="9"/>
        <v>0</v>
      </c>
      <c r="J71" s="35">
        <f t="shared" si="10"/>
        <v>2058</v>
      </c>
      <c r="K71" s="77">
        <f>$G691</f>
        <v>242.20997757864771</v>
      </c>
      <c r="L71" s="74"/>
      <c r="M71" s="74"/>
      <c r="N71" s="74"/>
      <c r="O71" s="74"/>
      <c r="P71" s="74"/>
      <c r="Q71" s="74"/>
      <c r="R71" s="74"/>
      <c r="S71" s="74"/>
      <c r="T71" s="74"/>
      <c r="U71" s="74"/>
      <c r="V71" s="74"/>
      <c r="W71" s="74"/>
      <c r="X71" s="74"/>
      <c r="Y71" s="74"/>
      <c r="Z71" s="74"/>
    </row>
    <row r="72" spans="1:26" x14ac:dyDescent="0.3">
      <c r="A72" s="66">
        <f t="shared" si="7"/>
        <v>1996.4999999999941</v>
      </c>
      <c r="B72" s="67">
        <f>LOOKUP(A72+0.01,AmountsB!$A$4:$A$103,AmountsB!$B$4:$B$103)*0.1*$A$2</f>
        <v>0</v>
      </c>
      <c r="C72" s="68">
        <f t="shared" si="4"/>
        <v>0</v>
      </c>
      <c r="D72" s="67">
        <f t="array" ref="D72">SUM($B$7:$B67*$F$1009*EXP(-$F$1009*($A72-$A$7:$A67)))*$F$1010</f>
        <v>0</v>
      </c>
      <c r="E72" s="67">
        <f t="shared" si="11"/>
        <v>0</v>
      </c>
      <c r="F72" s="70">
        <f t="shared" si="8"/>
        <v>0</v>
      </c>
      <c r="G72" s="67">
        <f>E72/'Lookup Tables'!$C$48</f>
        <v>0</v>
      </c>
      <c r="H72" s="70" t="e">
        <f t="shared" si="12"/>
        <v>#DIV/0!</v>
      </c>
      <c r="I72" s="71">
        <f t="shared" si="9"/>
        <v>0</v>
      </c>
      <c r="J72" s="35">
        <f t="shared" si="10"/>
        <v>2059</v>
      </c>
      <c r="K72" s="77">
        <f>$G701</f>
        <v>235.52216452067358</v>
      </c>
      <c r="L72" s="74"/>
      <c r="M72" s="74"/>
      <c r="N72" s="74"/>
      <c r="O72" s="74"/>
      <c r="P72" s="74"/>
      <c r="Q72" s="74"/>
      <c r="R72" s="74"/>
      <c r="S72" s="74"/>
      <c r="T72" s="74"/>
      <c r="U72" s="74"/>
      <c r="V72" s="74"/>
      <c r="W72" s="74"/>
      <c r="X72" s="74"/>
      <c r="Y72" s="74"/>
      <c r="Z72" s="74"/>
    </row>
    <row r="73" spans="1:26" x14ac:dyDescent="0.3">
      <c r="A73" s="66">
        <f t="shared" si="7"/>
        <v>1996.599999999994</v>
      </c>
      <c r="B73" s="67">
        <f>LOOKUP(A73+0.01,AmountsB!$A$4:$A$103,AmountsB!$B$4:$B$103)*0.1*$A$2</f>
        <v>0</v>
      </c>
      <c r="C73" s="68">
        <f t="shared" ref="C73:C136" si="13">C72+B73</f>
        <v>0</v>
      </c>
      <c r="D73" s="67">
        <f t="array" ref="D73">SUM($B$7:$B68*$F$1009*EXP(-$F$1009*($A73-$A$7:$A68)))*$F$1010</f>
        <v>0</v>
      </c>
      <c r="E73" s="67">
        <f t="shared" si="11"/>
        <v>0</v>
      </c>
      <c r="F73" s="70">
        <f t="shared" si="8"/>
        <v>0</v>
      </c>
      <c r="G73" s="67">
        <f>E73/'Lookup Tables'!$C$48</f>
        <v>0</v>
      </c>
      <c r="H73" s="70" t="e">
        <f t="shared" si="12"/>
        <v>#DIV/0!</v>
      </c>
      <c r="I73" s="71">
        <f t="shared" si="9"/>
        <v>0</v>
      </c>
      <c r="J73" s="35">
        <f t="shared" si="10"/>
        <v>2060</v>
      </c>
      <c r="K73" s="77">
        <f>$G711</f>
        <v>229.01901290375827</v>
      </c>
      <c r="L73" s="74"/>
      <c r="M73" s="74"/>
      <c r="N73" s="74"/>
      <c r="O73" s="74"/>
      <c r="P73" s="74"/>
      <c r="Q73" s="74"/>
      <c r="R73" s="74"/>
      <c r="S73" s="74"/>
      <c r="T73" s="74"/>
      <c r="U73" s="74"/>
      <c r="V73" s="74"/>
      <c r="W73" s="74"/>
      <c r="X73" s="74"/>
      <c r="Y73" s="74"/>
      <c r="Z73" s="74"/>
    </row>
    <row r="74" spans="1:26" x14ac:dyDescent="0.3">
      <c r="A74" s="66">
        <f t="shared" si="7"/>
        <v>1996.6999999999939</v>
      </c>
      <c r="B74" s="67">
        <f>LOOKUP(A74+0.01,AmountsB!$A$4:$A$103,AmountsB!$B$4:$B$103)*0.1*$A$2</f>
        <v>0</v>
      </c>
      <c r="C74" s="68">
        <f t="shared" si="13"/>
        <v>0</v>
      </c>
      <c r="D74" s="67">
        <f t="array" ref="D74">SUM($B$7:$B69*$F$1009*EXP(-$F$1009*($A74-$A$7:$A69)))*$F$1010</f>
        <v>0</v>
      </c>
      <c r="E74" s="67">
        <f t="shared" si="11"/>
        <v>0</v>
      </c>
      <c r="F74" s="70">
        <f t="shared" si="8"/>
        <v>0</v>
      </c>
      <c r="G74" s="67">
        <f>E74/'Lookup Tables'!$C$48</f>
        <v>0</v>
      </c>
      <c r="H74" s="70" t="e">
        <f t="shared" si="12"/>
        <v>#DIV/0!</v>
      </c>
      <c r="I74" s="71">
        <f t="shared" si="9"/>
        <v>0</v>
      </c>
      <c r="J74" s="35">
        <f t="shared" si="10"/>
        <v>2061</v>
      </c>
      <c r="K74" s="77">
        <f>$G721</f>
        <v>222.69542392392498</v>
      </c>
      <c r="L74" s="74"/>
      <c r="M74" s="74"/>
      <c r="N74" s="74"/>
      <c r="O74" s="74"/>
      <c r="P74" s="74"/>
      <c r="Q74" s="74"/>
      <c r="R74" s="74"/>
      <c r="S74" s="74"/>
      <c r="T74" s="74"/>
      <c r="U74" s="74"/>
      <c r="V74" s="74"/>
      <c r="W74" s="74"/>
      <c r="X74" s="74"/>
      <c r="Y74" s="74"/>
      <c r="Z74" s="74"/>
    </row>
    <row r="75" spans="1:26" x14ac:dyDescent="0.3">
      <c r="A75" s="66">
        <f t="shared" si="7"/>
        <v>1996.7999999999938</v>
      </c>
      <c r="B75" s="67">
        <f>LOOKUP(A75+0.01,AmountsB!$A$4:$A$103,AmountsB!$B$4:$B$103)*0.1*$A$2</f>
        <v>0</v>
      </c>
      <c r="C75" s="68">
        <f t="shared" si="13"/>
        <v>0</v>
      </c>
      <c r="D75" s="67">
        <f t="array" ref="D75">SUM($B$7:$B70*$F$1009*EXP(-$F$1009*($A75-$A$7:$A70)))*$F$1010</f>
        <v>0</v>
      </c>
      <c r="E75" s="67">
        <f t="shared" si="11"/>
        <v>0</v>
      </c>
      <c r="F75" s="70">
        <f t="shared" si="8"/>
        <v>0</v>
      </c>
      <c r="G75" s="67">
        <f>E75/'Lookup Tables'!$C$48</f>
        <v>0</v>
      </c>
      <c r="H75" s="70" t="e">
        <f t="shared" si="12"/>
        <v>#DIV/0!</v>
      </c>
      <c r="I75" s="71">
        <f t="shared" si="9"/>
        <v>0</v>
      </c>
      <c r="J75" s="35">
        <f t="shared" si="10"/>
        <v>2062</v>
      </c>
      <c r="K75" s="77">
        <f>$G731</f>
        <v>216.54643956350225</v>
      </c>
      <c r="L75" s="74"/>
      <c r="M75" s="74"/>
      <c r="N75" s="74"/>
      <c r="O75" s="74"/>
      <c r="P75" s="74"/>
      <c r="Q75" s="74"/>
      <c r="R75" s="74"/>
      <c r="S75" s="74"/>
      <c r="T75" s="74"/>
      <c r="U75" s="74"/>
      <c r="V75" s="74"/>
      <c r="W75" s="74"/>
      <c r="X75" s="74"/>
      <c r="Y75" s="74"/>
      <c r="Z75" s="74"/>
    </row>
    <row r="76" spans="1:26" x14ac:dyDescent="0.3">
      <c r="A76" s="66">
        <f t="shared" si="7"/>
        <v>1996.8999999999937</v>
      </c>
      <c r="B76" s="67">
        <f>LOOKUP(A76+0.01,AmountsB!$A$4:$A$103,AmountsB!$B$4:$B$103)*0.1*$A$2</f>
        <v>0</v>
      </c>
      <c r="C76" s="68">
        <f t="shared" si="13"/>
        <v>0</v>
      </c>
      <c r="D76" s="67">
        <f t="array" ref="D76">SUM($B$7:$B71*$F$1009*EXP(-$F$1009*($A76-$A$7:$A71)))*$F$1010</f>
        <v>0</v>
      </c>
      <c r="E76" s="67">
        <f t="shared" si="11"/>
        <v>0</v>
      </c>
      <c r="F76" s="70">
        <f t="shared" si="8"/>
        <v>0</v>
      </c>
      <c r="G76" s="67">
        <f>E76/'Lookup Tables'!$C$48</f>
        <v>0</v>
      </c>
      <c r="H76" s="70" t="e">
        <f t="shared" si="12"/>
        <v>#DIV/0!</v>
      </c>
      <c r="I76" s="71">
        <f t="shared" si="9"/>
        <v>0</v>
      </c>
      <c r="J76" s="35">
        <f t="shared" si="10"/>
        <v>2063</v>
      </c>
      <c r="K76" s="77">
        <f>$G741</f>
        <v>210.5672387037842</v>
      </c>
      <c r="L76" s="74"/>
      <c r="M76" s="74"/>
      <c r="N76" s="74"/>
      <c r="O76" s="74"/>
      <c r="P76" s="74"/>
      <c r="Q76" s="74"/>
      <c r="R76" s="74"/>
      <c r="S76" s="74"/>
      <c r="T76" s="74"/>
      <c r="U76" s="74"/>
      <c r="V76" s="74"/>
      <c r="W76" s="74"/>
      <c r="X76" s="74"/>
      <c r="Y76" s="74"/>
      <c r="Z76" s="74"/>
    </row>
    <row r="77" spans="1:26" x14ac:dyDescent="0.3">
      <c r="A77" s="66">
        <f t="shared" si="7"/>
        <v>1996.9999999999936</v>
      </c>
      <c r="B77" s="67">
        <f>LOOKUP(A77+0.01,AmountsB!$A$4:$A$103,AmountsB!$B$4:$B$103)*0.1*$A$2</f>
        <v>0</v>
      </c>
      <c r="C77" s="68">
        <f t="shared" si="13"/>
        <v>0</v>
      </c>
      <c r="D77" s="67">
        <f t="array" ref="D77">SUM($B$7:$B72*$F$1009*EXP(-$F$1009*($A77-$A$7:$A72)))*$F$1010</f>
        <v>0</v>
      </c>
      <c r="E77" s="67">
        <f t="shared" si="11"/>
        <v>0</v>
      </c>
      <c r="F77" s="70">
        <f t="shared" si="8"/>
        <v>0</v>
      </c>
      <c r="G77" s="67">
        <f>E77/'Lookup Tables'!$C$48</f>
        <v>0</v>
      </c>
      <c r="H77" s="70" t="e">
        <f t="shared" si="12"/>
        <v>#DIV/0!</v>
      </c>
      <c r="I77" s="71">
        <f t="shared" si="9"/>
        <v>0</v>
      </c>
      <c r="J77" s="35">
        <f t="shared" si="10"/>
        <v>2064</v>
      </c>
      <c r="K77" s="77">
        <f>$G751</f>
        <v>204.75313334502627</v>
      </c>
      <c r="L77" s="74"/>
      <c r="M77" s="74"/>
      <c r="N77" s="74"/>
      <c r="O77" s="74"/>
      <c r="P77" s="74"/>
      <c r="Q77" s="74"/>
      <c r="R77" s="74"/>
      <c r="S77" s="74"/>
      <c r="T77" s="74"/>
      <c r="U77" s="74"/>
      <c r="V77" s="74"/>
      <c r="W77" s="74"/>
      <c r="X77" s="74"/>
      <c r="Y77" s="74"/>
      <c r="Z77" s="74"/>
    </row>
    <row r="78" spans="1:26" x14ac:dyDescent="0.3">
      <c r="A78" s="66">
        <f t="shared" si="7"/>
        <v>1997.0999999999935</v>
      </c>
      <c r="B78" s="67">
        <f>LOOKUP(A78+0.01,AmountsB!$A$4:$A$103,AmountsB!$B$4:$B$103)*0.1*$A$2</f>
        <v>0</v>
      </c>
      <c r="C78" s="68">
        <f t="shared" si="13"/>
        <v>0</v>
      </c>
      <c r="D78" s="67">
        <f t="array" ref="D78">SUM($B$7:$B73*$F$1009*EXP(-$F$1009*($A78-$A$7:$A73)))*$F$1010</f>
        <v>0</v>
      </c>
      <c r="E78" s="67">
        <f t="shared" si="11"/>
        <v>0</v>
      </c>
      <c r="F78" s="70">
        <f t="shared" si="8"/>
        <v>0</v>
      </c>
      <c r="G78" s="67">
        <f>E78/'Lookup Tables'!$C$48</f>
        <v>0</v>
      </c>
      <c r="H78" s="70" t="e">
        <f t="shared" si="12"/>
        <v>#DIV/0!</v>
      </c>
      <c r="I78" s="71">
        <f t="shared" si="9"/>
        <v>0</v>
      </c>
      <c r="J78" s="35">
        <f t="shared" si="10"/>
        <v>2065</v>
      </c>
      <c r="K78" s="77">
        <f>$G761</f>
        <v>199.09956493081324</v>
      </c>
      <c r="L78" s="74"/>
      <c r="M78" s="74"/>
      <c r="N78" s="74"/>
      <c r="O78" s="74"/>
      <c r="P78" s="74"/>
      <c r="Q78" s="74"/>
      <c r="R78" s="74"/>
      <c r="S78" s="74"/>
      <c r="T78" s="74"/>
      <c r="U78" s="74"/>
      <c r="V78" s="74"/>
      <c r="W78" s="74"/>
      <c r="X78" s="74"/>
      <c r="Y78" s="74"/>
      <c r="Z78" s="74"/>
    </row>
    <row r="79" spans="1:26" x14ac:dyDescent="0.3">
      <c r="A79" s="66">
        <f t="shared" si="7"/>
        <v>1997.1999999999935</v>
      </c>
      <c r="B79" s="67">
        <f>LOOKUP(A79+0.01,AmountsB!$A$4:$A$103,AmountsB!$B$4:$B$103)*0.1*$A$2</f>
        <v>0</v>
      </c>
      <c r="C79" s="68">
        <f t="shared" si="13"/>
        <v>0</v>
      </c>
      <c r="D79" s="67">
        <f t="array" ref="D79">SUM($B$7:$B74*$F$1009*EXP(-$F$1009*($A79-$A$7:$A74)))*$F$1010</f>
        <v>0</v>
      </c>
      <c r="E79" s="67">
        <f t="shared" si="11"/>
        <v>0</v>
      </c>
      <c r="F79" s="70">
        <f t="shared" si="8"/>
        <v>0</v>
      </c>
      <c r="G79" s="67">
        <f>E79/'Lookup Tables'!$C$48</f>
        <v>0</v>
      </c>
      <c r="H79" s="70" t="e">
        <f t="shared" si="12"/>
        <v>#DIV/0!</v>
      </c>
      <c r="I79" s="71">
        <f t="shared" si="9"/>
        <v>0</v>
      </c>
      <c r="J79" s="35">
        <f t="shared" si="10"/>
        <v>2066</v>
      </c>
      <c r="K79" s="77">
        <f>$G771</f>
        <v>193.60210077391707</v>
      </c>
      <c r="L79" s="74"/>
      <c r="M79" s="74"/>
      <c r="N79" s="74"/>
      <c r="O79" s="74"/>
      <c r="P79" s="74"/>
      <c r="Q79" s="74"/>
      <c r="R79" s="74"/>
      <c r="S79" s="74"/>
      <c r="T79" s="74"/>
      <c r="U79" s="74"/>
      <c r="V79" s="74"/>
      <c r="W79" s="74"/>
      <c r="X79" s="74"/>
      <c r="Y79" s="74"/>
      <c r="Z79" s="74"/>
    </row>
    <row r="80" spans="1:26" x14ac:dyDescent="0.3">
      <c r="A80" s="66">
        <f t="shared" si="7"/>
        <v>1997.2999999999934</v>
      </c>
      <c r="B80" s="67">
        <f>LOOKUP(A80+0.01,AmountsB!$A$4:$A$103,AmountsB!$B$4:$B$103)*0.1*$A$2</f>
        <v>0</v>
      </c>
      <c r="C80" s="68">
        <f t="shared" si="13"/>
        <v>0</v>
      </c>
      <c r="D80" s="67">
        <f t="array" ref="D80">SUM($B$7:$B75*$F$1009*EXP(-$F$1009*($A80-$A$7:$A75)))*$F$1010</f>
        <v>0</v>
      </c>
      <c r="E80" s="67">
        <f t="shared" si="11"/>
        <v>0</v>
      </c>
      <c r="F80" s="70">
        <f t="shared" si="8"/>
        <v>0</v>
      </c>
      <c r="G80" s="67">
        <f>E80/'Lookup Tables'!$C$48</f>
        <v>0</v>
      </c>
      <c r="H80" s="70" t="e">
        <f t="shared" si="12"/>
        <v>#DIV/0!</v>
      </c>
      <c r="I80" s="71">
        <f t="shared" si="9"/>
        <v>0</v>
      </c>
      <c r="J80" s="35">
        <f t="shared" si="10"/>
        <v>2067</v>
      </c>
      <c r="K80" s="77">
        <f>$G781</f>
        <v>188.25643058084444</v>
      </c>
      <c r="L80" s="74"/>
      <c r="M80" s="74"/>
      <c r="N80" s="74"/>
      <c r="O80" s="74"/>
      <c r="P80" s="74"/>
      <c r="Q80" s="74"/>
      <c r="R80" s="74"/>
      <c r="S80" s="74"/>
      <c r="T80" s="74"/>
      <c r="U80" s="74"/>
      <c r="V80" s="74"/>
      <c r="W80" s="74"/>
      <c r="X80" s="74"/>
      <c r="Y80" s="74"/>
      <c r="Z80" s="74"/>
    </row>
    <row r="81" spans="1:26" x14ac:dyDescent="0.3">
      <c r="A81" s="66">
        <f t="shared" si="7"/>
        <v>1997.3999999999933</v>
      </c>
      <c r="B81" s="67">
        <f>LOOKUP(A81+0.01,AmountsB!$A$4:$A$103,AmountsB!$B$4:$B$103)*0.1*$A$2</f>
        <v>0</v>
      </c>
      <c r="C81" s="68">
        <f t="shared" si="13"/>
        <v>0</v>
      </c>
      <c r="D81" s="67">
        <f t="array" ref="D81">SUM($B$7:$B76*$F$1009*EXP(-$F$1009*($A81-$A$7:$A76)))*$F$1010</f>
        <v>0</v>
      </c>
      <c r="E81" s="67">
        <f t="shared" si="11"/>
        <v>0</v>
      </c>
      <c r="F81" s="70">
        <f t="shared" si="8"/>
        <v>0</v>
      </c>
      <c r="G81" s="67">
        <f>E81/'Lookup Tables'!$C$48</f>
        <v>0</v>
      </c>
      <c r="H81" s="70" t="e">
        <f t="shared" si="12"/>
        <v>#DIV/0!</v>
      </c>
      <c r="I81" s="71">
        <f t="shared" si="9"/>
        <v>0</v>
      </c>
      <c r="J81" s="35">
        <f t="shared" si="10"/>
        <v>2068</v>
      </c>
      <c r="K81" s="77">
        <f>$G791</f>
        <v>183.05836307234421</v>
      </c>
      <c r="L81" s="74"/>
      <c r="M81" s="74"/>
      <c r="N81" s="74"/>
      <c r="O81" s="74"/>
      <c r="P81" s="74"/>
      <c r="Q81" s="74"/>
      <c r="R81" s="74"/>
      <c r="S81" s="74"/>
      <c r="T81" s="74"/>
      <c r="U81" s="74"/>
      <c r="V81" s="74"/>
      <c r="W81" s="74"/>
      <c r="X81" s="74"/>
      <c r="Y81" s="74"/>
      <c r="Z81" s="74"/>
    </row>
    <row r="82" spans="1:26" x14ac:dyDescent="0.3">
      <c r="A82" s="66">
        <f t="shared" si="7"/>
        <v>1997.4999999999932</v>
      </c>
      <c r="B82" s="67">
        <f>LOOKUP(A82+0.01,AmountsB!$A$4:$A$103,AmountsB!$B$4:$B$103)*0.1*$A$2</f>
        <v>0</v>
      </c>
      <c r="C82" s="68">
        <f t="shared" si="13"/>
        <v>0</v>
      </c>
      <c r="D82" s="67">
        <f t="array" ref="D82">SUM($B$7:$B77*$F$1009*EXP(-$F$1009*($A82-$A$7:$A77)))*$F$1010</f>
        <v>0</v>
      </c>
      <c r="E82" s="67">
        <f t="shared" si="11"/>
        <v>0</v>
      </c>
      <c r="F82" s="70">
        <f t="shared" si="8"/>
        <v>0</v>
      </c>
      <c r="G82" s="67">
        <f>E82/'Lookup Tables'!$C$48</f>
        <v>0</v>
      </c>
      <c r="H82" s="70" t="e">
        <f t="shared" si="12"/>
        <v>#DIV/0!</v>
      </c>
      <c r="I82" s="71">
        <f t="shared" si="9"/>
        <v>0</v>
      </c>
      <c r="J82" s="35">
        <f t="shared" si="10"/>
        <v>2069</v>
      </c>
      <c r="K82" s="77">
        <f>$G801</f>
        <v>178.00382269723107</v>
      </c>
      <c r="L82" s="74"/>
      <c r="M82" s="74"/>
      <c r="N82" s="74"/>
      <c r="O82" s="74"/>
      <c r="P82" s="74"/>
      <c r="Q82" s="74"/>
      <c r="R82" s="74"/>
      <c r="S82" s="74"/>
      <c r="T82" s="74"/>
      <c r="U82" s="74"/>
      <c r="V82" s="74"/>
      <c r="W82" s="74"/>
      <c r="X82" s="74"/>
      <c r="Y82" s="74"/>
      <c r="Z82" s="74"/>
    </row>
    <row r="83" spans="1:26" x14ac:dyDescent="0.3">
      <c r="A83" s="66">
        <f t="shared" ref="A83:A146" si="14">A82+0.1</f>
        <v>1997.5999999999931</v>
      </c>
      <c r="B83" s="67">
        <f>LOOKUP(A83+0.01,AmountsB!$A$4:$A$103,AmountsB!$B$4:$B$103)*0.1*$A$2</f>
        <v>0</v>
      </c>
      <c r="C83" s="68">
        <f t="shared" si="13"/>
        <v>0</v>
      </c>
      <c r="D83" s="67">
        <f t="array" ref="D83">SUM($B$7:$B78*$F$1009*EXP(-$F$1009*($A83-$A$7:$A78)))*$F$1010</f>
        <v>0</v>
      </c>
      <c r="E83" s="67">
        <f t="shared" si="11"/>
        <v>0</v>
      </c>
      <c r="F83" s="70">
        <f t="shared" ref="F83:F146" si="15">E83*60*1012/1000000</f>
        <v>0</v>
      </c>
      <c r="G83" s="67">
        <f>E83/'Lookup Tables'!$C$48</f>
        <v>0</v>
      </c>
      <c r="H83" s="70" t="e">
        <f t="shared" si="12"/>
        <v>#DIV/0!</v>
      </c>
      <c r="I83" s="71">
        <f t="shared" ref="I83:I146" si="16">G83*60*24/1000000</f>
        <v>0</v>
      </c>
      <c r="J83" s="35">
        <f t="shared" si="10"/>
        <v>2070</v>
      </c>
      <c r="K83" s="77">
        <f>$G811</f>
        <v>173.0888464369437</v>
      </c>
      <c r="L83" s="74"/>
      <c r="M83" s="74"/>
      <c r="N83" s="74"/>
      <c r="O83" s="74"/>
      <c r="P83" s="74"/>
      <c r="Q83" s="74"/>
      <c r="R83" s="74"/>
      <c r="S83" s="74"/>
      <c r="T83" s="74"/>
      <c r="U83" s="74"/>
      <c r="V83" s="74"/>
      <c r="W83" s="74"/>
      <c r="X83" s="74"/>
      <c r="Y83" s="74"/>
      <c r="Z83" s="74"/>
    </row>
    <row r="84" spans="1:26" x14ac:dyDescent="0.3">
      <c r="A84" s="66">
        <f t="shared" si="14"/>
        <v>1997.699999999993</v>
      </c>
      <c r="B84" s="67">
        <f>LOOKUP(A84+0.01,AmountsB!$A$4:$A$103,AmountsB!$B$4:$B$103)*0.1*$A$2</f>
        <v>0</v>
      </c>
      <c r="C84" s="68">
        <f t="shared" si="13"/>
        <v>0</v>
      </c>
      <c r="D84" s="67">
        <f t="array" ref="D84">SUM($B$7:$B79*$F$1009*EXP(-$F$1009*($A84-$A$7:$A79)))*$F$1010</f>
        <v>0</v>
      </c>
      <c r="E84" s="67">
        <f t="shared" si="11"/>
        <v>0</v>
      </c>
      <c r="F84" s="70">
        <f t="shared" si="15"/>
        <v>0</v>
      </c>
      <c r="G84" s="67">
        <f>E84/'Lookup Tables'!$C$48</f>
        <v>0</v>
      </c>
      <c r="H84" s="70" t="e">
        <f t="shared" si="12"/>
        <v>#DIV/0!</v>
      </c>
      <c r="I84" s="71">
        <f t="shared" si="16"/>
        <v>0</v>
      </c>
      <c r="J84" s="35">
        <f t="shared" si="10"/>
        <v>2071</v>
      </c>
      <c r="K84" s="77">
        <f>$G821</f>
        <v>168.30958069833579</v>
      </c>
      <c r="L84" s="74"/>
      <c r="M84" s="74"/>
      <c r="N84" s="74"/>
      <c r="O84" s="74"/>
      <c r="P84" s="74"/>
      <c r="Q84" s="74"/>
      <c r="R84" s="74"/>
      <c r="S84" s="74"/>
      <c r="T84" s="74"/>
      <c r="U84" s="74"/>
      <c r="V84" s="74"/>
      <c r="W84" s="74"/>
      <c r="X84" s="74"/>
      <c r="Y84" s="74"/>
      <c r="Z84" s="74"/>
    </row>
    <row r="85" spans="1:26" x14ac:dyDescent="0.3">
      <c r="A85" s="66">
        <f t="shared" si="14"/>
        <v>1997.7999999999929</v>
      </c>
      <c r="B85" s="67">
        <f>LOOKUP(A85+0.01,AmountsB!$A$4:$A$103,AmountsB!$B$4:$B$103)*0.1*$A$2</f>
        <v>0</v>
      </c>
      <c r="C85" s="68">
        <f t="shared" si="13"/>
        <v>0</v>
      </c>
      <c r="D85" s="67">
        <f t="array" ref="D85">SUM($B$7:$B80*$F$1009*EXP(-$F$1009*($A85-$A$7:$A80)))*$F$1010</f>
        <v>0</v>
      </c>
      <c r="E85" s="67">
        <f t="shared" si="11"/>
        <v>0</v>
      </c>
      <c r="F85" s="70">
        <f t="shared" si="15"/>
        <v>0</v>
      </c>
      <c r="G85" s="67">
        <f>E85/'Lookup Tables'!$C$48</f>
        <v>0</v>
      </c>
      <c r="H85" s="70" t="e">
        <f t="shared" si="12"/>
        <v>#DIV/0!</v>
      </c>
      <c r="I85" s="71">
        <f t="shared" si="16"/>
        <v>0</v>
      </c>
      <c r="J85" s="35">
        <f t="shared" si="10"/>
        <v>2072</v>
      </c>
      <c r="K85" s="77">
        <f>$G831</f>
        <v>163.6622782922615</v>
      </c>
      <c r="L85" s="74"/>
      <c r="M85" s="74"/>
      <c r="N85" s="74"/>
      <c r="O85" s="74"/>
      <c r="P85" s="74"/>
      <c r="Q85" s="74"/>
      <c r="R85" s="74"/>
      <c r="S85" s="74"/>
      <c r="T85" s="74"/>
      <c r="U85" s="74"/>
      <c r="V85" s="74"/>
      <c r="W85" s="74"/>
      <c r="X85" s="74"/>
      <c r="Y85" s="74"/>
      <c r="Z85" s="74"/>
    </row>
    <row r="86" spans="1:26" x14ac:dyDescent="0.3">
      <c r="A86" s="66">
        <f t="shared" si="14"/>
        <v>1997.8999999999928</v>
      </c>
      <c r="B86" s="67">
        <f>LOOKUP(A86+0.01,AmountsB!$A$4:$A$103,AmountsB!$B$4:$B$103)*0.1*$A$2</f>
        <v>0</v>
      </c>
      <c r="C86" s="68">
        <f t="shared" si="13"/>
        <v>0</v>
      </c>
      <c r="D86" s="67">
        <f t="array" ref="D86">SUM($B$7:$B81*$F$1009*EXP(-$F$1009*($A86-$A$7:$A81)))*$F$1010</f>
        <v>0</v>
      </c>
      <c r="E86" s="67">
        <f t="shared" si="11"/>
        <v>0</v>
      </c>
      <c r="F86" s="70">
        <f t="shared" si="15"/>
        <v>0</v>
      </c>
      <c r="G86" s="67">
        <f>E86/'Lookup Tables'!$C$48</f>
        <v>0</v>
      </c>
      <c r="H86" s="70" t="e">
        <f t="shared" si="12"/>
        <v>#DIV/0!</v>
      </c>
      <c r="I86" s="71">
        <f t="shared" si="16"/>
        <v>0</v>
      </c>
      <c r="J86" s="35">
        <f t="shared" si="10"/>
        <v>2073</v>
      </c>
      <c r="K86" s="77">
        <f>$G841</f>
        <v>159.14329549558738</v>
      </c>
      <c r="L86" s="74"/>
      <c r="M86" s="74"/>
      <c r="N86" s="74"/>
      <c r="O86" s="74"/>
      <c r="P86" s="74"/>
      <c r="Q86" s="74"/>
      <c r="R86" s="74"/>
      <c r="S86" s="74"/>
      <c r="T86" s="74"/>
      <c r="U86" s="74"/>
      <c r="V86" s="74"/>
      <c r="W86" s="74"/>
      <c r="X86" s="74"/>
      <c r="Y86" s="74"/>
      <c r="Z86" s="74"/>
    </row>
    <row r="87" spans="1:26" x14ac:dyDescent="0.3">
      <c r="A87" s="66">
        <f t="shared" si="14"/>
        <v>1997.9999999999927</v>
      </c>
      <c r="B87" s="67">
        <f>LOOKUP(A87+0.01,AmountsB!$A$4:$A$103,AmountsB!$B$4:$B$103)*0.1*$A$2</f>
        <v>0</v>
      </c>
      <c r="C87" s="68">
        <f t="shared" si="13"/>
        <v>0</v>
      </c>
      <c r="D87" s="67">
        <f t="array" ref="D87">SUM($B$7:$B82*$F$1009*EXP(-$F$1009*($A87-$A$7:$A82)))*$F$1010</f>
        <v>0</v>
      </c>
      <c r="E87" s="67">
        <f t="shared" si="11"/>
        <v>0</v>
      </c>
      <c r="F87" s="70">
        <f t="shared" si="15"/>
        <v>0</v>
      </c>
      <c r="G87" s="67">
        <f>E87/'Lookup Tables'!$C$48</f>
        <v>0</v>
      </c>
      <c r="H87" s="70" t="e">
        <f t="shared" si="12"/>
        <v>#DIV/0!</v>
      </c>
      <c r="I87" s="71">
        <f t="shared" si="16"/>
        <v>0</v>
      </c>
      <c r="J87" s="35">
        <f t="shared" si="10"/>
        <v>2074</v>
      </c>
      <c r="K87" s="77">
        <f>$G851</f>
        <v>154.7490891943263</v>
      </c>
      <c r="L87" s="74"/>
      <c r="M87" s="74"/>
      <c r="N87" s="74"/>
      <c r="O87" s="74"/>
      <c r="P87" s="74"/>
      <c r="Q87" s="74"/>
      <c r="R87" s="74"/>
      <c r="S87" s="74"/>
      <c r="T87" s="74"/>
      <c r="U87" s="74"/>
      <c r="V87" s="74"/>
      <c r="W87" s="74"/>
      <c r="X87" s="74"/>
      <c r="Y87" s="74"/>
      <c r="Z87" s="74"/>
    </row>
    <row r="88" spans="1:26" x14ac:dyDescent="0.3">
      <c r="A88" s="66">
        <f t="shared" si="14"/>
        <v>1998.0999999999926</v>
      </c>
      <c r="B88" s="67">
        <f>LOOKUP(A88+0.01,AmountsB!$A$4:$A$103,AmountsB!$B$4:$B$103)*0.1*$A$2</f>
        <v>0</v>
      </c>
      <c r="C88" s="68">
        <f t="shared" si="13"/>
        <v>0</v>
      </c>
      <c r="D88" s="67">
        <f t="array" ref="D88">SUM($B$7:$B83*$F$1009*EXP(-$F$1009*($A88-$A$7:$A83)))*$F$1010</f>
        <v>0</v>
      </c>
      <c r="E88" s="67">
        <f t="shared" si="11"/>
        <v>0</v>
      </c>
      <c r="F88" s="70">
        <f t="shared" si="15"/>
        <v>0</v>
      </c>
      <c r="G88" s="67">
        <f>E88/'Lookup Tables'!$C$48</f>
        <v>0</v>
      </c>
      <c r="H88" s="70" t="e">
        <f t="shared" si="12"/>
        <v>#DIV/0!</v>
      </c>
      <c r="I88" s="71">
        <f t="shared" si="16"/>
        <v>0</v>
      </c>
      <c r="J88" s="35">
        <f t="shared" si="10"/>
        <v>2075</v>
      </c>
      <c r="K88" s="77">
        <f>$G861</f>
        <v>150.4762141056554</v>
      </c>
      <c r="L88" s="74"/>
      <c r="M88" s="74"/>
      <c r="N88" s="74"/>
      <c r="O88" s="74"/>
      <c r="P88" s="74"/>
      <c r="Q88" s="74"/>
      <c r="R88" s="74"/>
      <c r="S88" s="74"/>
      <c r="T88" s="74"/>
      <c r="U88" s="74"/>
      <c r="V88" s="74"/>
      <c r="W88" s="74"/>
      <c r="X88" s="74"/>
      <c r="Y88" s="74"/>
      <c r="Z88" s="74"/>
    </row>
    <row r="89" spans="1:26" x14ac:dyDescent="0.3">
      <c r="A89" s="66">
        <f t="shared" si="14"/>
        <v>1998.1999999999925</v>
      </c>
      <c r="B89" s="67">
        <f>LOOKUP(A89+0.01,AmountsB!$A$4:$A$103,AmountsB!$B$4:$B$103)*0.1*$A$2</f>
        <v>0</v>
      </c>
      <c r="C89" s="68">
        <f t="shared" si="13"/>
        <v>0</v>
      </c>
      <c r="D89" s="67">
        <f t="array" ref="D89">SUM($B$7:$B84*$F$1009*EXP(-$F$1009*($A89-$A$7:$A84)))*$F$1010</f>
        <v>0</v>
      </c>
      <c r="E89" s="67">
        <f t="shared" si="11"/>
        <v>0</v>
      </c>
      <c r="F89" s="70">
        <f t="shared" si="15"/>
        <v>0</v>
      </c>
      <c r="G89" s="67">
        <f>E89/'Lookup Tables'!$C$48</f>
        <v>0</v>
      </c>
      <c r="H89" s="70" t="e">
        <f t="shared" si="12"/>
        <v>#DIV/0!</v>
      </c>
      <c r="I89" s="71">
        <f t="shared" si="16"/>
        <v>0</v>
      </c>
      <c r="J89" s="35">
        <f t="shared" si="10"/>
        <v>2076</v>
      </c>
      <c r="K89" s="77">
        <f>$G871</f>
        <v>146.32132007663677</v>
      </c>
      <c r="L89" s="74"/>
      <c r="M89" s="74"/>
      <c r="N89" s="74"/>
      <c r="O89" s="74"/>
      <c r="P89" s="74"/>
      <c r="Q89" s="74"/>
      <c r="R89" s="74"/>
      <c r="S89" s="74"/>
      <c r="T89" s="74"/>
      <c r="U89" s="74"/>
      <c r="V89" s="74"/>
      <c r="W89" s="74"/>
      <c r="X89" s="74"/>
      <c r="Y89" s="74"/>
      <c r="Z89" s="74"/>
    </row>
    <row r="90" spans="1:26" x14ac:dyDescent="0.3">
      <c r="A90" s="66">
        <f t="shared" si="14"/>
        <v>1998.2999999999925</v>
      </c>
      <c r="B90" s="67">
        <f>LOOKUP(A90+0.01,AmountsB!$A$4:$A$103,AmountsB!$B$4:$B$103)*0.1*$A$2</f>
        <v>0</v>
      </c>
      <c r="C90" s="68">
        <f t="shared" si="13"/>
        <v>0</v>
      </c>
      <c r="D90" s="67">
        <f t="array" ref="D90">SUM($B$7:$B85*$F$1009*EXP(-$F$1009*($A90-$A$7:$A85)))*$F$1010</f>
        <v>0</v>
      </c>
      <c r="E90" s="67">
        <f t="shared" si="11"/>
        <v>0</v>
      </c>
      <c r="F90" s="70">
        <f t="shared" si="15"/>
        <v>0</v>
      </c>
      <c r="G90" s="67">
        <f>E90/'Lookup Tables'!$C$48</f>
        <v>0</v>
      </c>
      <c r="H90" s="70" t="e">
        <f t="shared" si="12"/>
        <v>#DIV/0!</v>
      </c>
      <c r="I90" s="71">
        <f t="shared" si="16"/>
        <v>0</v>
      </c>
      <c r="J90" s="35">
        <f t="shared" si="10"/>
        <v>2077</v>
      </c>
      <c r="K90" s="77">
        <f>$G881</f>
        <v>142.28114945752691</v>
      </c>
      <c r="L90" s="74"/>
      <c r="M90" s="74"/>
      <c r="N90" s="74"/>
      <c r="O90" s="74"/>
      <c r="P90" s="74"/>
      <c r="Q90" s="74"/>
      <c r="R90" s="74"/>
      <c r="S90" s="74"/>
      <c r="T90" s="74"/>
      <c r="U90" s="74"/>
      <c r="V90" s="74"/>
      <c r="W90" s="74"/>
      <c r="X90" s="74"/>
      <c r="Y90" s="74"/>
      <c r="Z90" s="74"/>
    </row>
    <row r="91" spans="1:26" x14ac:dyDescent="0.3">
      <c r="A91" s="66">
        <f t="shared" si="14"/>
        <v>1998.3999999999924</v>
      </c>
      <c r="B91" s="67">
        <f>LOOKUP(A91+0.01,AmountsB!$A$4:$A$103,AmountsB!$B$4:$B$103)*0.1*$A$2</f>
        <v>0</v>
      </c>
      <c r="C91" s="68">
        <f t="shared" si="13"/>
        <v>0</v>
      </c>
      <c r="D91" s="67">
        <f t="array" ref="D91">SUM($B$7:$B86*$F$1009*EXP(-$F$1009*($A91-$A$7:$A86)))*$F$1010</f>
        <v>0</v>
      </c>
      <c r="E91" s="67">
        <f t="shared" si="11"/>
        <v>0</v>
      </c>
      <c r="F91" s="70">
        <f t="shared" si="15"/>
        <v>0</v>
      </c>
      <c r="G91" s="67">
        <f>E91/'Lookup Tables'!$C$48</f>
        <v>0</v>
      </c>
      <c r="H91" s="70" t="e">
        <f t="shared" si="12"/>
        <v>#DIV/0!</v>
      </c>
      <c r="I91" s="71">
        <f t="shared" si="16"/>
        <v>0</v>
      </c>
      <c r="J91" s="35">
        <f t="shared" si="10"/>
        <v>2078</v>
      </c>
      <c r="K91" s="77">
        <f>$G891</f>
        <v>138.35253454761218</v>
      </c>
      <c r="L91" s="74"/>
      <c r="M91" s="74"/>
      <c r="N91" s="74"/>
      <c r="O91" s="74"/>
      <c r="P91" s="74"/>
      <c r="Q91" s="74"/>
      <c r="R91" s="74"/>
      <c r="S91" s="74"/>
      <c r="T91" s="74"/>
      <c r="U91" s="74"/>
      <c r="V91" s="74"/>
      <c r="W91" s="74"/>
      <c r="X91" s="74"/>
      <c r="Y91" s="74"/>
      <c r="Z91" s="74"/>
    </row>
    <row r="92" spans="1:26" x14ac:dyDescent="0.3">
      <c r="A92" s="66">
        <f t="shared" si="14"/>
        <v>1998.4999999999923</v>
      </c>
      <c r="B92" s="67">
        <f>LOOKUP(A92+0.01,AmountsB!$A$4:$A$103,AmountsB!$B$4:$B$103)*0.1*$A$2</f>
        <v>0</v>
      </c>
      <c r="C92" s="68">
        <f t="shared" si="13"/>
        <v>0</v>
      </c>
      <c r="D92" s="67">
        <f t="array" ref="D92">SUM($B$7:$B87*$F$1009*EXP(-$F$1009*($A92-$A$7:$A87)))*$F$1010</f>
        <v>0</v>
      </c>
      <c r="E92" s="67">
        <f t="shared" si="11"/>
        <v>0</v>
      </c>
      <c r="F92" s="70">
        <f t="shared" si="15"/>
        <v>0</v>
      </c>
      <c r="G92" s="67">
        <f>E92/'Lookup Tables'!$C$48</f>
        <v>0</v>
      </c>
      <c r="H92" s="70" t="e">
        <f t="shared" si="12"/>
        <v>#DIV/0!</v>
      </c>
      <c r="I92" s="71">
        <f t="shared" si="16"/>
        <v>0</v>
      </c>
      <c r="J92" s="35">
        <f t="shared" si="10"/>
        <v>2079</v>
      </c>
      <c r="K92" s="77">
        <f>$G901</f>
        <v>134.53239511156914</v>
      </c>
      <c r="L92" s="74"/>
      <c r="M92" s="74"/>
      <c r="N92" s="74"/>
      <c r="O92" s="74"/>
      <c r="P92" s="74"/>
      <c r="Q92" s="74"/>
      <c r="R92" s="74"/>
      <c r="S92" s="74"/>
      <c r="T92" s="74"/>
      <c r="U92" s="74"/>
      <c r="V92" s="74"/>
      <c r="W92" s="74"/>
      <c r="X92" s="74"/>
      <c r="Y92" s="74"/>
      <c r="Z92" s="74"/>
    </row>
    <row r="93" spans="1:26" x14ac:dyDescent="0.3">
      <c r="A93" s="66">
        <f t="shared" si="14"/>
        <v>1998.5999999999922</v>
      </c>
      <c r="B93" s="67">
        <f>LOOKUP(A93+0.01,AmountsB!$A$4:$A$103,AmountsB!$B$4:$B$103)*0.1*$A$2</f>
        <v>0</v>
      </c>
      <c r="C93" s="68">
        <f t="shared" si="13"/>
        <v>0</v>
      </c>
      <c r="D93" s="67">
        <f t="array" ref="D93">SUM($B$7:$B88*$F$1009*EXP(-$F$1009*($A93-$A$7:$A88)))*$F$1010</f>
        <v>0</v>
      </c>
      <c r="E93" s="67">
        <f t="shared" si="11"/>
        <v>0</v>
      </c>
      <c r="F93" s="70">
        <f t="shared" si="15"/>
        <v>0</v>
      </c>
      <c r="G93" s="67">
        <f>E93/'Lookup Tables'!$C$48</f>
        <v>0</v>
      </c>
      <c r="H93" s="70" t="e">
        <f t="shared" si="12"/>
        <v>#DIV/0!</v>
      </c>
      <c r="I93" s="71">
        <f t="shared" si="16"/>
        <v>0</v>
      </c>
      <c r="J93" s="35">
        <f t="shared" si="10"/>
        <v>2080</v>
      </c>
      <c r="K93" s="77">
        <f>$G911</f>
        <v>130.81773596440215</v>
      </c>
      <c r="L93" s="74"/>
      <c r="M93" s="74"/>
      <c r="N93" s="74"/>
      <c r="O93" s="74"/>
      <c r="P93" s="74"/>
      <c r="Q93" s="74"/>
      <c r="R93" s="74"/>
      <c r="S93" s="74"/>
      <c r="T93" s="74"/>
      <c r="U93" s="74"/>
      <c r="V93" s="74"/>
      <c r="W93" s="74"/>
      <c r="X93" s="74"/>
      <c r="Y93" s="74"/>
      <c r="Z93" s="74"/>
    </row>
    <row r="94" spans="1:26" x14ac:dyDescent="0.3">
      <c r="A94" s="66">
        <f t="shared" si="14"/>
        <v>1998.6999999999921</v>
      </c>
      <c r="B94" s="67">
        <f>LOOKUP(A94+0.01,AmountsB!$A$4:$A$103,AmountsB!$B$4:$B$103)*0.1*$A$2</f>
        <v>0</v>
      </c>
      <c r="C94" s="68">
        <f t="shared" si="13"/>
        <v>0</v>
      </c>
      <c r="D94" s="67">
        <f t="array" ref="D94">SUM($B$7:$B89*$F$1009*EXP(-$F$1009*($A94-$A$7:$A89)))*$F$1010</f>
        <v>0</v>
      </c>
      <c r="E94" s="67">
        <f t="shared" si="11"/>
        <v>0</v>
      </c>
      <c r="F94" s="70">
        <f t="shared" si="15"/>
        <v>0</v>
      </c>
      <c r="G94" s="67">
        <f>E94/'Lookup Tables'!$C$48</f>
        <v>0</v>
      </c>
      <c r="H94" s="70" t="e">
        <f t="shared" si="12"/>
        <v>#DIV/0!</v>
      </c>
      <c r="I94" s="71">
        <f t="shared" si="16"/>
        <v>0</v>
      </c>
      <c r="J94" s="35">
        <f t="shared" si="10"/>
        <v>2081</v>
      </c>
      <c r="K94" s="77">
        <f>$G921</f>
        <v>127.20564462306498</v>
      </c>
      <c r="L94" s="74"/>
      <c r="M94" s="74"/>
      <c r="N94" s="74"/>
      <c r="O94" s="74"/>
      <c r="P94" s="74"/>
      <c r="Q94" s="74"/>
      <c r="R94" s="74"/>
      <c r="S94" s="74"/>
      <c r="T94" s="74"/>
      <c r="U94" s="74"/>
      <c r="V94" s="74"/>
      <c r="W94" s="74"/>
      <c r="X94" s="74"/>
      <c r="Y94" s="74"/>
      <c r="Z94" s="74"/>
    </row>
    <row r="95" spans="1:26" x14ac:dyDescent="0.3">
      <c r="A95" s="66">
        <f t="shared" si="14"/>
        <v>1998.799999999992</v>
      </c>
      <c r="B95" s="67">
        <f>LOOKUP(A95+0.01,AmountsB!$A$4:$A$103,AmountsB!$B$4:$B$103)*0.1*$A$2</f>
        <v>0</v>
      </c>
      <c r="C95" s="68">
        <f t="shared" si="13"/>
        <v>0</v>
      </c>
      <c r="D95" s="67">
        <f t="array" ref="D95">SUM($B$7:$B90*$F$1009*EXP(-$F$1009*($A95-$A$7:$A90)))*$F$1010</f>
        <v>0</v>
      </c>
      <c r="E95" s="67">
        <f t="shared" si="11"/>
        <v>0</v>
      </c>
      <c r="F95" s="70">
        <f t="shared" si="15"/>
        <v>0</v>
      </c>
      <c r="G95" s="67">
        <f>E95/'Lookup Tables'!$C$48</f>
        <v>0</v>
      </c>
      <c r="H95" s="70" t="e">
        <f t="shared" si="12"/>
        <v>#DIV/0!</v>
      </c>
      <c r="I95" s="71">
        <f t="shared" si="16"/>
        <v>0</v>
      </c>
      <c r="J95" s="35">
        <f t="shared" si="10"/>
        <v>2082</v>
      </c>
      <c r="K95" s="77">
        <f>$G931</f>
        <v>123.69328902292504</v>
      </c>
      <c r="L95" s="74"/>
      <c r="M95" s="74"/>
      <c r="N95" s="74"/>
      <c r="O95" s="74"/>
      <c r="P95" s="74"/>
      <c r="Q95" s="74"/>
      <c r="R95" s="74"/>
      <c r="S95" s="74"/>
      <c r="T95" s="74"/>
      <c r="U95" s="74"/>
      <c r="V95" s="74"/>
      <c r="W95" s="74"/>
      <c r="X95" s="74"/>
      <c r="Y95" s="74"/>
      <c r="Z95" s="74"/>
    </row>
    <row r="96" spans="1:26" x14ac:dyDescent="0.3">
      <c r="A96" s="66">
        <f t="shared" si="14"/>
        <v>1998.8999999999919</v>
      </c>
      <c r="B96" s="67">
        <f>LOOKUP(A96+0.01,AmountsB!$A$4:$A$103,AmountsB!$B$4:$B$103)*0.1*$A$2</f>
        <v>0</v>
      </c>
      <c r="C96" s="68">
        <f t="shared" si="13"/>
        <v>0</v>
      </c>
      <c r="D96" s="67">
        <f t="array" ref="D96">SUM($B$7:$B91*$F$1009*EXP(-$F$1009*($A96-$A$7:$A91)))*$F$1010</f>
        <v>0</v>
      </c>
      <c r="E96" s="67">
        <f t="shared" si="11"/>
        <v>0</v>
      </c>
      <c r="F96" s="70">
        <f t="shared" si="15"/>
        <v>0</v>
      </c>
      <c r="G96" s="67">
        <f>E96/'Lookup Tables'!$C$48</f>
        <v>0</v>
      </c>
      <c r="H96" s="70" t="e">
        <f t="shared" si="12"/>
        <v>#DIV/0!</v>
      </c>
      <c r="I96" s="71">
        <f t="shared" si="16"/>
        <v>0</v>
      </c>
      <c r="J96" s="35">
        <f t="shared" si="10"/>
        <v>2083</v>
      </c>
      <c r="K96" s="77">
        <f>$G941</f>
        <v>120.2779152972797</v>
      </c>
      <c r="L96" s="74"/>
      <c r="M96" s="74"/>
      <c r="N96" s="74"/>
      <c r="O96" s="74"/>
      <c r="P96" s="74"/>
      <c r="Q96" s="74"/>
      <c r="R96" s="74"/>
      <c r="S96" s="74"/>
      <c r="T96" s="74"/>
      <c r="U96" s="74"/>
      <c r="V96" s="74"/>
      <c r="W96" s="74"/>
      <c r="X96" s="74"/>
      <c r="Y96" s="74"/>
      <c r="Z96" s="74"/>
    </row>
    <row r="97" spans="1:26" x14ac:dyDescent="0.3">
      <c r="A97" s="66">
        <f t="shared" si="14"/>
        <v>1998.9999999999918</v>
      </c>
      <c r="B97" s="67">
        <f>LOOKUP(A97+0.01,AmountsB!$A$4:$A$103,AmountsB!$B$4:$B$103)*0.1*$A$2</f>
        <v>0</v>
      </c>
      <c r="C97" s="68">
        <f t="shared" si="13"/>
        <v>0</v>
      </c>
      <c r="D97" s="67">
        <f t="array" ref="D97">SUM($B$7:$B92*$F$1009*EXP(-$F$1009*($A97-$A$7:$A92)))*$F$1010</f>
        <v>0</v>
      </c>
      <c r="E97" s="67">
        <f t="shared" si="11"/>
        <v>0</v>
      </c>
      <c r="F97" s="70">
        <f t="shared" si="15"/>
        <v>0</v>
      </c>
      <c r="G97" s="67">
        <f>E97/'Lookup Tables'!$C$48</f>
        <v>0</v>
      </c>
      <c r="H97" s="70" t="e">
        <f t="shared" si="12"/>
        <v>#DIV/0!</v>
      </c>
      <c r="I97" s="71">
        <f t="shared" si="16"/>
        <v>0</v>
      </c>
      <c r="J97" s="35">
        <f t="shared" si="10"/>
        <v>2084</v>
      </c>
      <c r="K97" s="77">
        <f>$G951</f>
        <v>116.95684561818362</v>
      </c>
      <c r="L97" s="74"/>
      <c r="M97" s="74"/>
      <c r="N97" s="74"/>
      <c r="O97" s="74"/>
      <c r="P97" s="74"/>
      <c r="Q97" s="74"/>
      <c r="R97" s="74"/>
      <c r="S97" s="74"/>
      <c r="T97" s="74"/>
      <c r="U97" s="74"/>
      <c r="V97" s="74"/>
      <c r="W97" s="74"/>
      <c r="X97" s="74"/>
      <c r="Y97" s="74"/>
      <c r="Z97" s="74"/>
    </row>
    <row r="98" spans="1:26" x14ac:dyDescent="0.3">
      <c r="A98" s="66">
        <f t="shared" si="14"/>
        <v>1999.0999999999917</v>
      </c>
      <c r="B98" s="67">
        <f>LOOKUP(A98+0.01,AmountsB!$A$4:$A$103,AmountsB!$B$4:$B$103)*0.1*$A$2</f>
        <v>0</v>
      </c>
      <c r="C98" s="68">
        <f t="shared" si="13"/>
        <v>0</v>
      </c>
      <c r="D98" s="67">
        <f t="array" ref="D98">SUM($B$7:$B93*$F$1009*EXP(-$F$1009*($A98-$A$7:$A93)))*$F$1010</f>
        <v>0</v>
      </c>
      <c r="E98" s="67">
        <f t="shared" si="11"/>
        <v>0</v>
      </c>
      <c r="F98" s="70">
        <f t="shared" si="15"/>
        <v>0</v>
      </c>
      <c r="G98" s="67">
        <f>E98/'Lookup Tables'!$C$48</f>
        <v>0</v>
      </c>
      <c r="H98" s="70" t="e">
        <f t="shared" si="12"/>
        <v>#DIV/0!</v>
      </c>
      <c r="I98" s="71">
        <f t="shared" si="16"/>
        <v>0</v>
      </c>
      <c r="J98" s="35">
        <f t="shared" si="10"/>
        <v>2085</v>
      </c>
      <c r="K98" s="77">
        <f>$G961</f>
        <v>113.72747609689401</v>
      </c>
      <c r="L98" s="74"/>
      <c r="M98" s="74"/>
      <c r="N98" s="74"/>
      <c r="O98" s="74"/>
      <c r="P98" s="74"/>
      <c r="Q98" s="74"/>
      <c r="R98" s="74"/>
      <c r="S98" s="74"/>
      <c r="T98" s="74"/>
      <c r="U98" s="74"/>
      <c r="V98" s="74"/>
      <c r="W98" s="74"/>
      <c r="X98" s="74"/>
      <c r="Y98" s="74"/>
      <c r="Z98" s="74"/>
    </row>
    <row r="99" spans="1:26" x14ac:dyDescent="0.3">
      <c r="A99" s="66">
        <f t="shared" si="14"/>
        <v>1999.1999999999916</v>
      </c>
      <c r="B99" s="67">
        <f>LOOKUP(A99+0.01,AmountsB!$A$4:$A$103,AmountsB!$B$4:$B$103)*0.1*$A$2</f>
        <v>0</v>
      </c>
      <c r="C99" s="68">
        <f t="shared" si="13"/>
        <v>0</v>
      </c>
      <c r="D99" s="67">
        <f t="array" ref="D99">SUM($B$7:$B94*$F$1009*EXP(-$F$1009*($A99-$A$7:$A94)))*$F$1010</f>
        <v>0</v>
      </c>
      <c r="E99" s="67">
        <f t="shared" si="11"/>
        <v>0</v>
      </c>
      <c r="F99" s="70">
        <f t="shared" si="15"/>
        <v>0</v>
      </c>
      <c r="G99" s="67">
        <f>E99/'Lookup Tables'!$C$48</f>
        <v>0</v>
      </c>
      <c r="H99" s="70" t="e">
        <f t="shared" si="12"/>
        <v>#DIV/0!</v>
      </c>
      <c r="I99" s="71">
        <f t="shared" si="16"/>
        <v>0</v>
      </c>
      <c r="J99" s="35">
        <f t="shared" si="10"/>
        <v>2086</v>
      </c>
      <c r="K99" s="77">
        <f>$G971</f>
        <v>110.5872747422894</v>
      </c>
      <c r="L99" s="74"/>
      <c r="M99" s="74"/>
      <c r="N99" s="74"/>
      <c r="O99" s="74"/>
      <c r="P99" s="74"/>
      <c r="Q99" s="74"/>
      <c r="R99" s="74"/>
      <c r="S99" s="74"/>
      <c r="T99" s="74"/>
      <c r="U99" s="74"/>
      <c r="V99" s="74"/>
      <c r="W99" s="74"/>
      <c r="X99" s="74"/>
      <c r="Y99" s="74"/>
      <c r="Z99" s="74"/>
    </row>
    <row r="100" spans="1:26" x14ac:dyDescent="0.3">
      <c r="A100" s="66">
        <f t="shared" si="14"/>
        <v>1999.2999999999915</v>
      </c>
      <c r="B100" s="67">
        <f>LOOKUP(A100+0.01,AmountsB!$A$4:$A$103,AmountsB!$B$4:$B$103)*0.1*$A$2</f>
        <v>0</v>
      </c>
      <c r="C100" s="68">
        <f t="shared" si="13"/>
        <v>0</v>
      </c>
      <c r="D100" s="67">
        <f t="array" ref="D100">SUM($B$7:$B95*$F$1009*EXP(-$F$1009*($A100-$A$7:$A95)))*$F$1010</f>
        <v>0</v>
      </c>
      <c r="E100" s="67">
        <f t="shared" si="11"/>
        <v>0</v>
      </c>
      <c r="F100" s="70">
        <f t="shared" si="15"/>
        <v>0</v>
      </c>
      <c r="G100" s="67">
        <f>E100/'Lookup Tables'!$C$48</f>
        <v>0</v>
      </c>
      <c r="H100" s="70" t="e">
        <f t="shared" si="12"/>
        <v>#DIV/0!</v>
      </c>
      <c r="I100" s="71">
        <f t="shared" si="16"/>
        <v>0</v>
      </c>
      <c r="J100" s="35">
        <f t="shared" si="10"/>
        <v>2087</v>
      </c>
      <c r="K100" s="77">
        <f>$G981</f>
        <v>107.53377947565832</v>
      </c>
      <c r="L100" s="74"/>
      <c r="M100" s="74"/>
      <c r="N100" s="74"/>
      <c r="O100" s="74"/>
      <c r="P100" s="74"/>
      <c r="Q100" s="74"/>
      <c r="R100" s="74"/>
      <c r="S100" s="74"/>
      <c r="T100" s="74"/>
      <c r="U100" s="74"/>
      <c r="V100" s="74"/>
      <c r="W100" s="74"/>
      <c r="X100" s="74"/>
      <c r="Y100" s="74"/>
      <c r="Z100" s="74"/>
    </row>
    <row r="101" spans="1:26" x14ac:dyDescent="0.3">
      <c r="A101" s="66">
        <f t="shared" si="14"/>
        <v>1999.3999999999915</v>
      </c>
      <c r="B101" s="67">
        <f>LOOKUP(A101+0.01,AmountsB!$A$4:$A$103,AmountsB!$B$4:$B$103)*0.1*$A$2</f>
        <v>0</v>
      </c>
      <c r="C101" s="68">
        <f t="shared" si="13"/>
        <v>0</v>
      </c>
      <c r="D101" s="67">
        <f t="array" ref="D101">SUM($B$7:$B96*$F$1009*EXP(-$F$1009*($A101-$A$7:$A96)))*$F$1010</f>
        <v>0</v>
      </c>
      <c r="E101" s="67">
        <f t="shared" si="11"/>
        <v>0</v>
      </c>
      <c r="F101" s="70">
        <f t="shared" si="15"/>
        <v>0</v>
      </c>
      <c r="G101" s="67">
        <f>E101/'Lookup Tables'!$C$48</f>
        <v>0</v>
      </c>
      <c r="H101" s="70" t="e">
        <f t="shared" si="12"/>
        <v>#DIV/0!</v>
      </c>
      <c r="I101" s="71">
        <f t="shared" si="16"/>
        <v>0</v>
      </c>
      <c r="J101" s="35">
        <f t="shared" si="10"/>
        <v>2088</v>
      </c>
      <c r="K101" s="77">
        <f>$G991</f>
        <v>104.56459620030353</v>
      </c>
      <c r="L101" s="74"/>
      <c r="M101" s="74"/>
      <c r="N101" s="74"/>
      <c r="O101" s="74"/>
      <c r="P101" s="74"/>
      <c r="Q101" s="74"/>
      <c r="R101" s="74"/>
      <c r="S101" s="74"/>
      <c r="T101" s="74"/>
      <c r="U101" s="74"/>
      <c r="V101" s="74"/>
      <c r="W101" s="74"/>
      <c r="X101" s="74"/>
      <c r="Y101" s="74"/>
      <c r="Z101" s="74"/>
    </row>
    <row r="102" spans="1:26" x14ac:dyDescent="0.3">
      <c r="A102" s="66">
        <f t="shared" si="14"/>
        <v>1999.4999999999914</v>
      </c>
      <c r="B102" s="67">
        <f>LOOKUP(A102+0.01,AmountsB!$A$4:$A$103,AmountsB!$B$4:$B$103)*0.1*$A$2</f>
        <v>0</v>
      </c>
      <c r="C102" s="68">
        <f t="shared" si="13"/>
        <v>0</v>
      </c>
      <c r="D102" s="67">
        <f t="array" ref="D102">SUM($B$7:$B97*$F$1009*EXP(-$F$1009*($A102-$A$7:$A97)))*$F$1010</f>
        <v>0</v>
      </c>
      <c r="E102" s="67">
        <f t="shared" si="11"/>
        <v>0</v>
      </c>
      <c r="F102" s="70">
        <f t="shared" si="15"/>
        <v>0</v>
      </c>
      <c r="G102" s="67">
        <f>E102/'Lookup Tables'!$C$48</f>
        <v>0</v>
      </c>
      <c r="H102" s="70" t="e">
        <f t="shared" si="12"/>
        <v>#DIV/0!</v>
      </c>
      <c r="I102" s="71">
        <f t="shared" si="16"/>
        <v>0</v>
      </c>
      <c r="J102" s="35">
        <f t="shared" si="10"/>
        <v>2089</v>
      </c>
      <c r="K102" s="77">
        <f>$G1001</f>
        <v>101.67739692444761</v>
      </c>
      <c r="L102" s="74"/>
      <c r="M102" s="74"/>
      <c r="N102" s="74"/>
      <c r="O102" s="74"/>
      <c r="P102" s="74"/>
      <c r="Q102" s="74"/>
      <c r="R102" s="74"/>
      <c r="S102" s="74"/>
      <c r="T102" s="74"/>
      <c r="U102" s="74"/>
      <c r="V102" s="74"/>
      <c r="W102" s="74"/>
      <c r="X102" s="74"/>
      <c r="Y102" s="74"/>
      <c r="Z102" s="74"/>
    </row>
    <row r="103" spans="1:26" x14ac:dyDescent="0.3">
      <c r="A103" s="66">
        <f t="shared" si="14"/>
        <v>1999.5999999999913</v>
      </c>
      <c r="B103" s="67">
        <f>LOOKUP(A103+0.01,AmountsB!$A$4:$A$103,AmountsB!$B$4:$B$103)*0.1*$A$2</f>
        <v>0</v>
      </c>
      <c r="C103" s="68">
        <f t="shared" si="13"/>
        <v>0</v>
      </c>
      <c r="D103" s="67">
        <f t="array" ref="D103">SUM($B$7:$B98*$F$1009*EXP(-$F$1009*($A103-$A$7:$A98)))*$F$1010</f>
        <v>0</v>
      </c>
      <c r="E103" s="67">
        <f t="shared" si="11"/>
        <v>0</v>
      </c>
      <c r="F103" s="70">
        <f t="shared" si="15"/>
        <v>0</v>
      </c>
      <c r="G103" s="67">
        <f>E103/'Lookup Tables'!$C$48</f>
        <v>0</v>
      </c>
      <c r="H103" s="70" t="e">
        <f t="shared" si="12"/>
        <v>#DIV/0!</v>
      </c>
      <c r="I103" s="71">
        <f t="shared" si="16"/>
        <v>0</v>
      </c>
      <c r="K103" s="77"/>
      <c r="L103" s="74"/>
      <c r="M103" s="74"/>
      <c r="N103" s="74"/>
      <c r="O103" s="74"/>
      <c r="P103" s="74"/>
      <c r="Q103" s="74"/>
      <c r="R103" s="74"/>
      <c r="S103" s="74"/>
      <c r="T103" s="74"/>
      <c r="U103" s="74"/>
      <c r="V103" s="74"/>
      <c r="W103" s="74"/>
      <c r="X103" s="74"/>
      <c r="Y103" s="74"/>
      <c r="Z103" s="74"/>
    </row>
    <row r="104" spans="1:26" x14ac:dyDescent="0.3">
      <c r="A104" s="66">
        <f t="shared" si="14"/>
        <v>1999.6999999999912</v>
      </c>
      <c r="B104" s="67">
        <f>LOOKUP(A104+0.01,AmountsB!$A$4:$A$103,AmountsB!$B$4:$B$103)*0.1*$A$2</f>
        <v>0</v>
      </c>
      <c r="C104" s="68">
        <f t="shared" si="13"/>
        <v>0</v>
      </c>
      <c r="D104" s="67">
        <f t="array" ref="D104">SUM($B$7:$B99*$F$1009*EXP(-$F$1009*($A104-$A$7:$A99)))*$F$1010</f>
        <v>0</v>
      </c>
      <c r="E104" s="67">
        <f t="shared" si="11"/>
        <v>0</v>
      </c>
      <c r="F104" s="70">
        <f t="shared" si="15"/>
        <v>0</v>
      </c>
      <c r="G104" s="67">
        <f>E104/'Lookup Tables'!$C$48</f>
        <v>0</v>
      </c>
      <c r="H104" s="70" t="e">
        <f t="shared" si="12"/>
        <v>#DIV/0!</v>
      </c>
      <c r="I104" s="71">
        <f t="shared" si="16"/>
        <v>0</v>
      </c>
      <c r="K104" s="77"/>
      <c r="L104" s="74"/>
      <c r="M104" s="74"/>
      <c r="N104" s="74"/>
      <c r="O104" s="74"/>
      <c r="P104" s="74"/>
      <c r="Q104" s="74"/>
      <c r="R104" s="74"/>
      <c r="S104" s="74"/>
      <c r="T104" s="74"/>
      <c r="U104" s="74"/>
      <c r="V104" s="74"/>
      <c r="W104" s="74"/>
      <c r="X104" s="74"/>
      <c r="Y104" s="74"/>
      <c r="Z104" s="74"/>
    </row>
    <row r="105" spans="1:26" x14ac:dyDescent="0.3">
      <c r="A105" s="66">
        <f t="shared" si="14"/>
        <v>1999.7999999999911</v>
      </c>
      <c r="B105" s="67">
        <f>LOOKUP(A105+0.01,AmountsB!$A$4:$A$103,AmountsB!$B$4:$B$103)*0.1*$A$2</f>
        <v>0</v>
      </c>
      <c r="C105" s="68">
        <f t="shared" si="13"/>
        <v>0</v>
      </c>
      <c r="D105" s="67">
        <f t="array" ref="D105">SUM($B$7:$B100*$F$1009*EXP(-$F$1009*($A105-$A$7:$A100)))*$F$1010</f>
        <v>0</v>
      </c>
      <c r="E105" s="67">
        <f t="shared" si="11"/>
        <v>0</v>
      </c>
      <c r="F105" s="70">
        <f t="shared" si="15"/>
        <v>0</v>
      </c>
      <c r="G105" s="67">
        <f>E105/'Lookup Tables'!$C$48</f>
        <v>0</v>
      </c>
      <c r="H105" s="70" t="e">
        <f t="shared" si="12"/>
        <v>#DIV/0!</v>
      </c>
      <c r="I105" s="71">
        <f t="shared" si="16"/>
        <v>0</v>
      </c>
      <c r="K105" s="77"/>
      <c r="L105" s="74"/>
      <c r="M105" s="74"/>
      <c r="N105" s="74"/>
      <c r="O105" s="74"/>
      <c r="P105" s="74"/>
      <c r="Q105" s="74"/>
      <c r="R105" s="74"/>
      <c r="S105" s="74"/>
      <c r="T105" s="74"/>
      <c r="U105" s="74"/>
      <c r="V105" s="74"/>
      <c r="W105" s="74"/>
      <c r="X105" s="74"/>
      <c r="Y105" s="74"/>
      <c r="Z105" s="74"/>
    </row>
    <row r="106" spans="1:26" x14ac:dyDescent="0.3">
      <c r="A106" s="66">
        <f t="shared" si="14"/>
        <v>1999.899999999991</v>
      </c>
      <c r="B106" s="67">
        <f>LOOKUP(A106+0.01,AmountsB!$A$4:$A$103,AmountsB!$B$4:$B$103)*0.1*$A$2</f>
        <v>0</v>
      </c>
      <c r="C106" s="68">
        <f t="shared" si="13"/>
        <v>0</v>
      </c>
      <c r="D106" s="67">
        <f t="array" ref="D106">SUM($B$7:$B101*$F$1009*EXP(-$F$1009*($A106-$A$7:$A101)))*$F$1010</f>
        <v>0</v>
      </c>
      <c r="E106" s="67">
        <f t="shared" si="11"/>
        <v>0</v>
      </c>
      <c r="F106" s="70">
        <f t="shared" si="15"/>
        <v>0</v>
      </c>
      <c r="G106" s="67">
        <f>E106/'Lookup Tables'!$C$48</f>
        <v>0</v>
      </c>
      <c r="H106" s="70" t="e">
        <f t="shared" si="12"/>
        <v>#DIV/0!</v>
      </c>
      <c r="I106" s="71">
        <f t="shared" si="16"/>
        <v>0</v>
      </c>
      <c r="K106" s="77"/>
      <c r="L106" s="74"/>
      <c r="M106" s="74"/>
      <c r="N106" s="74"/>
      <c r="O106" s="74"/>
      <c r="P106" s="74"/>
      <c r="Q106" s="74"/>
      <c r="R106" s="74"/>
      <c r="S106" s="74"/>
      <c r="T106" s="74"/>
      <c r="U106" s="74"/>
      <c r="V106" s="74"/>
      <c r="W106" s="74"/>
      <c r="X106" s="74"/>
      <c r="Y106" s="74"/>
      <c r="Z106" s="74"/>
    </row>
    <row r="107" spans="1:26" x14ac:dyDescent="0.3">
      <c r="A107" s="66">
        <f t="shared" si="14"/>
        <v>1999.9999999999909</v>
      </c>
      <c r="B107" s="67">
        <f>LOOKUP(A107+0.01,AmountsB!$A$4:$A$103,AmountsB!$B$4:$B$103)*0.1*$A$2</f>
        <v>7577.3799541999997</v>
      </c>
      <c r="C107" s="68">
        <f t="shared" si="13"/>
        <v>7577.3799541999997</v>
      </c>
      <c r="D107" s="67">
        <f t="array" ref="D107">SUM($B$7:$B102*$F$1009*EXP(-$F$1009*($A107-$A$7:$A102)))*$F$1010</f>
        <v>0</v>
      </c>
      <c r="E107" s="67">
        <f t="shared" si="11"/>
        <v>0</v>
      </c>
      <c r="F107" s="70">
        <f t="shared" si="15"/>
        <v>0</v>
      </c>
      <c r="G107" s="67">
        <f>E107/'Lookup Tables'!$C$48</f>
        <v>0</v>
      </c>
      <c r="H107" s="70">
        <f t="shared" si="12"/>
        <v>0</v>
      </c>
      <c r="I107" s="71">
        <f t="shared" si="16"/>
        <v>0</v>
      </c>
      <c r="K107" s="77"/>
      <c r="L107" s="74"/>
      <c r="M107" s="74"/>
      <c r="N107" s="74"/>
      <c r="O107" s="74"/>
      <c r="P107" s="74"/>
      <c r="Q107" s="74"/>
      <c r="R107" s="74"/>
      <c r="S107" s="74"/>
      <c r="T107" s="74"/>
      <c r="U107" s="74"/>
      <c r="V107" s="74"/>
      <c r="W107" s="74"/>
      <c r="X107" s="74"/>
      <c r="Y107" s="74"/>
      <c r="Z107" s="74"/>
    </row>
    <row r="108" spans="1:26" x14ac:dyDescent="0.3">
      <c r="A108" s="66">
        <f t="shared" si="14"/>
        <v>2000.0999999999908</v>
      </c>
      <c r="B108" s="67">
        <f>LOOKUP(A108+0.01,AmountsB!$A$4:$A$103,AmountsB!$B$4:$B$103)*0.1*$A$2</f>
        <v>7577.3799541999997</v>
      </c>
      <c r="C108" s="68">
        <f t="shared" si="13"/>
        <v>15154.759908399999</v>
      </c>
      <c r="D108" s="67">
        <f t="array" ref="D108">SUM($B$7:$B103*$F$1009*EXP(-$F$1009*($A108-$A$7:$A103)))*$F$1010</f>
        <v>0</v>
      </c>
      <c r="E108" s="67">
        <f t="shared" si="11"/>
        <v>0</v>
      </c>
      <c r="F108" s="70">
        <f t="shared" si="15"/>
        <v>0</v>
      </c>
      <c r="G108" s="67">
        <f>E108/'Lookup Tables'!$C$48</f>
        <v>0</v>
      </c>
      <c r="H108" s="70">
        <f t="shared" si="12"/>
        <v>0</v>
      </c>
      <c r="I108" s="71">
        <f t="shared" si="16"/>
        <v>0</v>
      </c>
      <c r="K108" s="77"/>
      <c r="L108" s="74"/>
      <c r="M108" s="74"/>
      <c r="N108" s="74"/>
      <c r="O108" s="74"/>
      <c r="P108" s="74"/>
      <c r="Q108" s="74"/>
      <c r="R108" s="74"/>
      <c r="S108" s="74"/>
      <c r="T108" s="74"/>
      <c r="U108" s="74"/>
      <c r="V108" s="74"/>
      <c r="W108" s="74"/>
      <c r="X108" s="74"/>
      <c r="Y108" s="74"/>
      <c r="Z108" s="74"/>
    </row>
    <row r="109" spans="1:26" x14ac:dyDescent="0.3">
      <c r="A109" s="66">
        <f t="shared" si="14"/>
        <v>2000.1999999999907</v>
      </c>
      <c r="B109" s="67">
        <f>LOOKUP(A109+0.01,AmountsB!$A$4:$A$103,AmountsB!$B$4:$B$103)*0.1*$A$2</f>
        <v>7577.3799541999997</v>
      </c>
      <c r="C109" s="68">
        <f t="shared" si="13"/>
        <v>22732.139862600001</v>
      </c>
      <c r="D109" s="67">
        <f t="array" ref="D109">SUM($B$7:$B104*$F$1009*EXP(-$F$1009*($A109-$A$7:$A104)))*$F$1010</f>
        <v>0</v>
      </c>
      <c r="E109" s="67">
        <f t="shared" si="11"/>
        <v>0</v>
      </c>
      <c r="F109" s="70">
        <f t="shared" si="15"/>
        <v>0</v>
      </c>
      <c r="G109" s="67">
        <f>E109/'Lookup Tables'!$C$48</f>
        <v>0</v>
      </c>
      <c r="H109" s="70">
        <f t="shared" si="12"/>
        <v>0</v>
      </c>
      <c r="I109" s="71">
        <f t="shared" si="16"/>
        <v>0</v>
      </c>
      <c r="K109" s="77"/>
      <c r="L109" s="74"/>
      <c r="M109" s="74"/>
      <c r="N109" s="74"/>
      <c r="O109" s="74"/>
      <c r="P109" s="74"/>
      <c r="Q109" s="74"/>
      <c r="R109" s="74"/>
      <c r="S109" s="74"/>
      <c r="T109" s="74"/>
      <c r="U109" s="74"/>
      <c r="V109" s="74"/>
      <c r="W109" s="74"/>
      <c r="X109" s="74"/>
      <c r="Y109" s="74"/>
      <c r="Z109" s="74"/>
    </row>
    <row r="110" spans="1:26" x14ac:dyDescent="0.3">
      <c r="A110" s="66">
        <f t="shared" si="14"/>
        <v>2000.2999999999906</v>
      </c>
      <c r="B110" s="67">
        <f>LOOKUP(A110+0.01,AmountsB!$A$4:$A$103,AmountsB!$B$4:$B$103)*0.1*$A$2</f>
        <v>7577.3799541999997</v>
      </c>
      <c r="C110" s="68">
        <f t="shared" si="13"/>
        <v>30309.519816799999</v>
      </c>
      <c r="D110" s="67">
        <f t="array" ref="D110">SUM($B$7:$B105*$F$1009*EXP(-$F$1009*($A110-$A$7:$A105)))*$F$1010</f>
        <v>0</v>
      </c>
      <c r="E110" s="67">
        <f t="shared" si="11"/>
        <v>0</v>
      </c>
      <c r="F110" s="70">
        <f t="shared" si="15"/>
        <v>0</v>
      </c>
      <c r="G110" s="67">
        <f>E110/'Lookup Tables'!$C$48</f>
        <v>0</v>
      </c>
      <c r="H110" s="70">
        <f t="shared" si="12"/>
        <v>0</v>
      </c>
      <c r="I110" s="71">
        <f t="shared" si="16"/>
        <v>0</v>
      </c>
      <c r="L110" s="74"/>
      <c r="M110" s="74"/>
      <c r="N110" s="74"/>
      <c r="O110" s="74"/>
      <c r="P110" s="74"/>
      <c r="Q110" s="74"/>
      <c r="R110" s="74"/>
      <c r="S110" s="74"/>
      <c r="T110" s="74"/>
      <c r="U110" s="74"/>
      <c r="V110" s="74"/>
      <c r="W110" s="74"/>
      <c r="X110" s="74"/>
      <c r="Y110" s="74"/>
      <c r="Z110" s="74"/>
    </row>
    <row r="111" spans="1:26" x14ac:dyDescent="0.3">
      <c r="A111" s="66">
        <f t="shared" si="14"/>
        <v>2000.3999999999905</v>
      </c>
      <c r="B111" s="67">
        <f>LOOKUP(A111+0.01,AmountsB!$A$4:$A$103,AmountsB!$B$4:$B$103)*0.1*$A$2</f>
        <v>7577.3799541999997</v>
      </c>
      <c r="C111" s="68">
        <f t="shared" si="13"/>
        <v>37886.899770999997</v>
      </c>
      <c r="D111" s="67">
        <f t="array" ref="D111">SUM($B$7:$B106*$F$1009*EXP(-$F$1009*($A111-$A$7:$A106)))*$F$1010</f>
        <v>0</v>
      </c>
      <c r="E111" s="67">
        <f t="shared" si="11"/>
        <v>0</v>
      </c>
      <c r="F111" s="70">
        <f t="shared" si="15"/>
        <v>0</v>
      </c>
      <c r="G111" s="67">
        <f>E111/'Lookup Tables'!$C$48</f>
        <v>0</v>
      </c>
      <c r="H111" s="70">
        <f t="shared" si="12"/>
        <v>0</v>
      </c>
      <c r="I111" s="71">
        <f t="shared" si="16"/>
        <v>0</v>
      </c>
      <c r="L111" s="74"/>
      <c r="M111" s="74"/>
      <c r="N111" s="74"/>
      <c r="O111" s="74"/>
      <c r="P111" s="74"/>
      <c r="Q111" s="74"/>
      <c r="R111" s="74"/>
      <c r="S111" s="74"/>
      <c r="T111" s="74"/>
      <c r="U111" s="74"/>
      <c r="V111" s="74"/>
      <c r="W111" s="74"/>
      <c r="X111" s="74"/>
      <c r="Y111" s="74"/>
      <c r="Z111" s="74"/>
    </row>
    <row r="112" spans="1:26" x14ac:dyDescent="0.3">
      <c r="A112" s="66">
        <f t="shared" si="14"/>
        <v>2000.4999999999905</v>
      </c>
      <c r="B112" s="67">
        <f>LOOKUP(A112+0.01,AmountsB!$A$4:$A$103,AmountsB!$B$4:$B$103)*0.1*$A$2</f>
        <v>7577.3799541999997</v>
      </c>
      <c r="C112" s="68">
        <f t="shared" si="13"/>
        <v>45464.279725199995</v>
      </c>
      <c r="D112" s="67">
        <f t="array" ref="D112">SUM($B$7:$B107*$F$1009*EXP(-$F$1009*($A112-$A$7:$A107)))*$F$1010</f>
        <v>1218672.2842795805</v>
      </c>
      <c r="E112" s="67">
        <f t="shared" si="11"/>
        <v>2.3232911255155679</v>
      </c>
      <c r="F112" s="70">
        <f t="shared" si="15"/>
        <v>0.14107023714130529</v>
      </c>
      <c r="G112" s="67">
        <f>E112/'Lookup Tables'!$C$48</f>
        <v>4.6465822510311359</v>
      </c>
      <c r="H112" s="70">
        <f t="shared" si="12"/>
        <v>2.6858927996920134E-2</v>
      </c>
      <c r="I112" s="71">
        <f t="shared" si="16"/>
        <v>6.6910784414848361E-3</v>
      </c>
      <c r="L112" s="74"/>
      <c r="M112" s="74"/>
      <c r="N112" s="74"/>
      <c r="O112" s="74"/>
      <c r="P112" s="74"/>
      <c r="Q112" s="74"/>
      <c r="R112" s="74"/>
      <c r="S112" s="74"/>
      <c r="T112" s="74"/>
      <c r="U112" s="74"/>
      <c r="V112" s="74"/>
      <c r="W112" s="74"/>
      <c r="X112" s="74"/>
      <c r="Y112" s="74"/>
      <c r="Z112" s="74"/>
    </row>
    <row r="113" spans="1:26" x14ac:dyDescent="0.3">
      <c r="A113" s="66">
        <f t="shared" si="14"/>
        <v>2000.5999999999904</v>
      </c>
      <c r="B113" s="67">
        <f>LOOKUP(A113+0.01,AmountsB!$A$4:$A$103,AmountsB!$B$4:$B$103)*0.1*$A$2</f>
        <v>7577.3799541999997</v>
      </c>
      <c r="C113" s="68">
        <f t="shared" si="13"/>
        <v>53041.659679399992</v>
      </c>
      <c r="D113" s="67">
        <f t="array" ref="D113">SUM($B$7:$B108*$F$1009*EXP(-$F$1009*($A113-$A$7:$A108)))*$F$1010</f>
        <v>2433937.0589029393</v>
      </c>
      <c r="E113" s="67">
        <f t="shared" si="11"/>
        <v>4.6400861346867091</v>
      </c>
      <c r="F113" s="70">
        <f t="shared" si="15"/>
        <v>0.28174603009817695</v>
      </c>
      <c r="G113" s="67">
        <f>E113/'Lookup Tables'!$C$48</f>
        <v>9.2801722693734181</v>
      </c>
      <c r="H113" s="70">
        <f t="shared" si="12"/>
        <v>4.5979505300783652E-2</v>
      </c>
      <c r="I113" s="71">
        <f t="shared" si="16"/>
        <v>1.3363448067897722E-2</v>
      </c>
      <c r="L113" s="74"/>
      <c r="M113" s="74"/>
      <c r="N113" s="74"/>
      <c r="O113" s="74"/>
      <c r="P113" s="74"/>
      <c r="Q113" s="74"/>
      <c r="R113" s="74"/>
      <c r="S113" s="74"/>
      <c r="T113" s="74"/>
      <c r="U113" s="74"/>
      <c r="V113" s="74"/>
      <c r="W113" s="74"/>
      <c r="X113" s="74"/>
      <c r="Y113" s="74"/>
      <c r="Z113" s="74"/>
    </row>
    <row r="114" spans="1:26" x14ac:dyDescent="0.3">
      <c r="A114" s="66">
        <f t="shared" si="14"/>
        <v>2000.6999999999903</v>
      </c>
      <c r="B114" s="67">
        <f>LOOKUP(A114+0.01,AmountsB!$A$4:$A$103,AmountsB!$B$4:$B$103)*0.1*$A$2</f>
        <v>7577.3799541999997</v>
      </c>
      <c r="C114" s="68">
        <f t="shared" si="13"/>
        <v>60619.03963359999</v>
      </c>
      <c r="D114" s="67">
        <f t="array" ref="D114">SUM($B$7:$B109*$F$1009*EXP(-$F$1009*($A114-$A$7:$A109)))*$F$1010</f>
        <v>3645803.8515521344</v>
      </c>
      <c r="E114" s="67">
        <f t="shared" si="11"/>
        <v>6.9504031911981627</v>
      </c>
      <c r="F114" s="70">
        <f t="shared" si="15"/>
        <v>0.42202848176955243</v>
      </c>
      <c r="G114" s="67">
        <f>E114/'Lookup Tables'!$C$48</f>
        <v>13.900806382396325</v>
      </c>
      <c r="H114" s="70">
        <f t="shared" si="12"/>
        <v>6.026377091049942E-2</v>
      </c>
      <c r="I114" s="71">
        <f t="shared" si="16"/>
        <v>2.0017161190650709E-2</v>
      </c>
      <c r="L114" s="74"/>
      <c r="M114" s="74"/>
      <c r="N114" s="74"/>
      <c r="O114" s="74"/>
      <c r="P114" s="74"/>
      <c r="Q114" s="74"/>
      <c r="R114" s="74"/>
      <c r="S114" s="74"/>
      <c r="T114" s="74"/>
      <c r="U114" s="74"/>
      <c r="V114" s="74"/>
      <c r="W114" s="74"/>
      <c r="X114" s="74"/>
      <c r="Y114" s="74"/>
      <c r="Z114" s="74"/>
    </row>
    <row r="115" spans="1:26" x14ac:dyDescent="0.3">
      <c r="A115" s="66">
        <f t="shared" si="14"/>
        <v>2000.7999999999902</v>
      </c>
      <c r="B115" s="67">
        <f>LOOKUP(A115+0.01,AmountsB!$A$4:$A$103,AmountsB!$B$4:$B$103)*0.1*$A$2</f>
        <v>7577.3799541999997</v>
      </c>
      <c r="C115" s="68">
        <f t="shared" si="13"/>
        <v>68196.419587799988</v>
      </c>
      <c r="D115" s="67">
        <f t="array" ref="D115">SUM($B$7:$B110*$F$1009*EXP(-$F$1009*($A115-$A$7:$A110)))*$F$1010</f>
        <v>4854282.1632690271</v>
      </c>
      <c r="E115" s="67">
        <f t="shared" si="11"/>
        <v>9.2542604079474842</v>
      </c>
      <c r="F115" s="70">
        <f t="shared" si="15"/>
        <v>0.56191869197057132</v>
      </c>
      <c r="G115" s="67">
        <f>E115/'Lookup Tables'!$C$48</f>
        <v>18.508520815894968</v>
      </c>
      <c r="H115" s="70">
        <f t="shared" si="12"/>
        <v>7.1323968322925743E-2</v>
      </c>
      <c r="I115" s="71">
        <f t="shared" si="16"/>
        <v>2.6652269974888756E-2</v>
      </c>
      <c r="L115" s="74"/>
      <c r="M115" s="74"/>
      <c r="N115" s="74"/>
      <c r="O115" s="74"/>
      <c r="P115" s="74"/>
      <c r="Q115" s="74"/>
      <c r="R115" s="74"/>
      <c r="S115" s="74"/>
      <c r="T115" s="74"/>
      <c r="U115" s="74"/>
      <c r="V115" s="74"/>
      <c r="W115" s="74"/>
      <c r="X115" s="74"/>
      <c r="Y115" s="74"/>
      <c r="Z115" s="74"/>
    </row>
    <row r="116" spans="1:26" x14ac:dyDescent="0.3">
      <c r="A116" s="66">
        <f t="shared" si="14"/>
        <v>2000.8999999999901</v>
      </c>
      <c r="B116" s="67">
        <f>LOOKUP(A116+0.01,AmountsB!$A$4:$A$103,AmountsB!$B$4:$B$103)*0.1*$A$2</f>
        <v>7577.3799541999997</v>
      </c>
      <c r="C116" s="68">
        <f t="shared" si="13"/>
        <v>75773.799541999993</v>
      </c>
      <c r="D116" s="67">
        <f t="array" ref="D116">SUM($B$7:$B111*$F$1009*EXP(-$F$1009*($A116-$A$7:$A111)))*$F$1010</f>
        <v>6059381.4685297702</v>
      </c>
      <c r="E116" s="67">
        <f t="shared" si="11"/>
        <v>11.551675847187054</v>
      </c>
      <c r="F116" s="70">
        <f t="shared" si="15"/>
        <v>0.70141775744119783</v>
      </c>
      <c r="G116" s="67">
        <f>E116/'Lookup Tables'!$C$48</f>
        <v>23.103351694374108</v>
      </c>
      <c r="H116" s="70">
        <f t="shared" si="12"/>
        <v>8.0127443284880598E-2</v>
      </c>
      <c r="I116" s="71">
        <f t="shared" si="16"/>
        <v>3.3268826439898716E-2</v>
      </c>
      <c r="L116" s="74"/>
      <c r="M116" s="74"/>
      <c r="N116" s="74"/>
      <c r="O116" s="74"/>
      <c r="P116" s="74"/>
      <c r="Q116" s="74"/>
      <c r="R116" s="74"/>
      <c r="S116" s="74"/>
      <c r="T116" s="74"/>
      <c r="U116" s="74"/>
      <c r="V116" s="74"/>
      <c r="W116" s="74"/>
      <c r="X116" s="74"/>
      <c r="Y116" s="74"/>
      <c r="Z116" s="74"/>
    </row>
    <row r="117" spans="1:26" x14ac:dyDescent="0.3">
      <c r="A117" s="66">
        <f t="shared" si="14"/>
        <v>2000.99999999999</v>
      </c>
      <c r="B117" s="67">
        <f>LOOKUP(A117+0.01,AmountsB!$A$4:$A$103,AmountsB!$B$4:$B$103)*0.1*$A$2</f>
        <v>7729.0167513999995</v>
      </c>
      <c r="C117" s="68">
        <f t="shared" si="13"/>
        <v>83502.816293399999</v>
      </c>
      <c r="D117" s="67">
        <f t="array" ref="D117">SUM($B$7:$B112*$F$1009*EXP(-$F$1009*($A117-$A$7:$A112)))*$F$1010</f>
        <v>7261111.2153190933</v>
      </c>
      <c r="E117" s="67">
        <f t="shared" si="11"/>
        <v>13.842667520665687</v>
      </c>
      <c r="F117" s="70">
        <f t="shared" si="15"/>
        <v>0.8405267718548205</v>
      </c>
      <c r="G117" s="67">
        <f>E117/'Lookup Tables'!$C$48</f>
        <v>27.685335041331374</v>
      </c>
      <c r="H117" s="70">
        <f t="shared" si="12"/>
        <v>8.7131265409032085E-2</v>
      </c>
      <c r="I117" s="71">
        <f t="shared" si="16"/>
        <v>3.9866882459517174E-2</v>
      </c>
      <c r="L117" s="74"/>
      <c r="M117" s="74"/>
      <c r="N117" s="74"/>
      <c r="O117" s="74"/>
      <c r="P117" s="74"/>
      <c r="Q117" s="74"/>
      <c r="R117" s="74"/>
      <c r="S117" s="74"/>
      <c r="T117" s="74"/>
      <c r="U117" s="74"/>
      <c r="V117" s="74"/>
      <c r="W117" s="74"/>
      <c r="X117" s="74"/>
      <c r="Y117" s="74"/>
      <c r="Z117" s="74"/>
    </row>
    <row r="118" spans="1:26" x14ac:dyDescent="0.3">
      <c r="A118" s="66">
        <f t="shared" si="14"/>
        <v>2001.0999999999899</v>
      </c>
      <c r="B118" s="67">
        <f>LOOKUP(A118+0.01,AmountsB!$A$4:$A$103,AmountsB!$B$4:$B$103)*0.1*$A$2</f>
        <v>7729.0167513999995</v>
      </c>
      <c r="C118" s="68">
        <f t="shared" si="13"/>
        <v>91231.833044800005</v>
      </c>
      <c r="D118" s="67">
        <f t="array" ref="D118">SUM($B$7:$B113*$F$1009*EXP(-$F$1009*($A118-$A$7:$A113)))*$F$1010</f>
        <v>8459480.8252043631</v>
      </c>
      <c r="E118" s="67">
        <f t="shared" si="11"/>
        <v>16.127253389769834</v>
      </c>
      <c r="F118" s="70">
        <f t="shared" si="15"/>
        <v>0.97924682582682432</v>
      </c>
      <c r="G118" s="67">
        <f>E118/'Lookup Tables'!$C$48</f>
        <v>32.254506779539668</v>
      </c>
      <c r="H118" s="70">
        <f t="shared" si="12"/>
        <v>9.2911477263649747E-2</v>
      </c>
      <c r="I118" s="71">
        <f t="shared" si="16"/>
        <v>4.6446489762537124E-2</v>
      </c>
      <c r="L118" s="74"/>
      <c r="M118" s="74"/>
      <c r="N118" s="74"/>
      <c r="O118" s="74"/>
      <c r="P118" s="74"/>
      <c r="Q118" s="74"/>
      <c r="R118" s="74"/>
      <c r="S118" s="74"/>
      <c r="T118" s="74"/>
      <c r="U118" s="74"/>
      <c r="V118" s="74"/>
      <c r="W118" s="74"/>
      <c r="X118" s="74"/>
      <c r="Y118" s="74"/>
      <c r="Z118" s="74"/>
    </row>
    <row r="119" spans="1:26" x14ac:dyDescent="0.3">
      <c r="A119" s="66">
        <f t="shared" si="14"/>
        <v>2001.1999999999898</v>
      </c>
      <c r="B119" s="67">
        <f>LOOKUP(A119+0.01,AmountsB!$A$4:$A$103,AmountsB!$B$4:$B$103)*0.1*$A$2</f>
        <v>7729.0167513999995</v>
      </c>
      <c r="C119" s="68">
        <f t="shared" si="13"/>
        <v>98960.849796200011</v>
      </c>
      <c r="D119" s="67">
        <f t="array" ref="D119">SUM($B$7:$B114*$F$1009*EXP(-$F$1009*($A119-$A$7:$A114)))*$F$1010</f>
        <v>9654499.6934094597</v>
      </c>
      <c r="E119" s="67">
        <f t="shared" si="11"/>
        <v>18.405451365664408</v>
      </c>
      <c r="F119" s="70">
        <f t="shared" si="15"/>
        <v>1.1175790069231428</v>
      </c>
      <c r="G119" s="67">
        <f>E119/'Lookup Tables'!$C$48</f>
        <v>36.810902731328817</v>
      </c>
      <c r="H119" s="70">
        <f t="shared" si="12"/>
        <v>9.7754872333004977E-2</v>
      </c>
      <c r="I119" s="71">
        <f t="shared" si="16"/>
        <v>5.3007699933113495E-2</v>
      </c>
      <c r="L119" s="74"/>
      <c r="M119" s="74"/>
      <c r="N119" s="74"/>
      <c r="O119" s="74"/>
      <c r="P119" s="74"/>
      <c r="Q119" s="74"/>
      <c r="R119" s="74"/>
      <c r="S119" s="74"/>
      <c r="T119" s="74"/>
      <c r="U119" s="74"/>
      <c r="V119" s="74"/>
      <c r="W119" s="74"/>
      <c r="X119" s="74"/>
      <c r="Y119" s="74"/>
      <c r="Z119" s="74"/>
    </row>
    <row r="120" spans="1:26" x14ac:dyDescent="0.3">
      <c r="A120" s="66">
        <f t="shared" si="14"/>
        <v>2001.2999999999897</v>
      </c>
      <c r="B120" s="67">
        <f>LOOKUP(A120+0.01,AmountsB!$A$4:$A$103,AmountsB!$B$4:$B$103)*0.1*$A$2</f>
        <v>7729.0167513999995</v>
      </c>
      <c r="C120" s="68">
        <f t="shared" si="13"/>
        <v>106689.86654760002</v>
      </c>
      <c r="D120" s="67">
        <f t="array" ref="D120">SUM($B$7:$B115*$F$1009*EXP(-$F$1009*($A120-$A$7:$A115)))*$F$1010</f>
        <v>10846177.188888432</v>
      </c>
      <c r="E120" s="67">
        <f t="shared" si="11"/>
        <v>20.677279309433217</v>
      </c>
      <c r="F120" s="70">
        <f t="shared" si="15"/>
        <v>1.2555243996687848</v>
      </c>
      <c r="G120" s="67">
        <f>E120/'Lookup Tables'!$C$48</f>
        <v>41.354558618866434</v>
      </c>
      <c r="H120" s="70">
        <f t="shared" si="12"/>
        <v>0.10186513824337119</v>
      </c>
      <c r="I120" s="71">
        <f t="shared" si="16"/>
        <v>5.955056441116767E-2</v>
      </c>
      <c r="L120" s="74"/>
      <c r="M120" s="74"/>
      <c r="N120" s="74"/>
      <c r="O120" s="74"/>
      <c r="P120" s="74"/>
      <c r="Q120" s="74"/>
      <c r="R120" s="74"/>
      <c r="S120" s="74"/>
      <c r="T120" s="74"/>
      <c r="U120" s="74"/>
      <c r="V120" s="74"/>
      <c r="W120" s="74"/>
      <c r="X120" s="74"/>
      <c r="Y120" s="74"/>
      <c r="Z120" s="74"/>
    </row>
    <row r="121" spans="1:26" x14ac:dyDescent="0.3">
      <c r="A121" s="66">
        <f t="shared" si="14"/>
        <v>2001.3999999999896</v>
      </c>
      <c r="B121" s="67">
        <f>LOOKUP(A121+0.01,AmountsB!$A$4:$A$103,AmountsB!$B$4:$B$103)*0.1*$A$2</f>
        <v>7729.0167513999995</v>
      </c>
      <c r="C121" s="68">
        <f t="shared" si="13"/>
        <v>114418.88329900002</v>
      </c>
      <c r="D121" s="67">
        <f t="array" ref="D121">SUM($B$7:$B116*$F$1009*EXP(-$F$1009*($A121-$A$7:$A116)))*$F$1010</f>
        <v>12034522.65439895</v>
      </c>
      <c r="E121" s="67">
        <f t="shared" si="11"/>
        <v>22.942755032218976</v>
      </c>
      <c r="F121" s="70">
        <f t="shared" si="15"/>
        <v>1.3930840855563362</v>
      </c>
      <c r="G121" s="67">
        <f>E121/'Lookup Tables'!$C$48</f>
        <v>45.885510064437952</v>
      </c>
      <c r="H121" s="70">
        <f t="shared" si="12"/>
        <v>0.10539092584414064</v>
      </c>
      <c r="I121" s="71">
        <f t="shared" si="16"/>
        <v>6.6075134492790649E-2</v>
      </c>
      <c r="L121" s="74"/>
      <c r="M121" s="74"/>
      <c r="N121" s="74"/>
      <c r="O121" s="74"/>
      <c r="P121" s="74"/>
      <c r="Q121" s="74"/>
      <c r="R121" s="74"/>
      <c r="S121" s="74"/>
      <c r="T121" s="74"/>
      <c r="U121" s="74"/>
      <c r="V121" s="74"/>
      <c r="W121" s="74"/>
      <c r="X121" s="74"/>
      <c r="Y121" s="74"/>
      <c r="Z121" s="74"/>
    </row>
    <row r="122" spans="1:26" x14ac:dyDescent="0.3">
      <c r="A122" s="66">
        <f t="shared" si="14"/>
        <v>2001.4999999999895</v>
      </c>
      <c r="B122" s="67">
        <f>LOOKUP(A122+0.01,AmountsB!$A$4:$A$103,AmountsB!$B$4:$B$103)*0.1*$A$2</f>
        <v>7729.0167513999995</v>
      </c>
      <c r="C122" s="68">
        <f t="shared" si="13"/>
        <v>122147.90005040003</v>
      </c>
      <c r="D122" s="67">
        <f t="array" ref="D122">SUM($B$7:$B117*$F$1009*EXP(-$F$1009*($A122-$A$7:$A117)))*$F$1010</f>
        <v>13243933.198020812</v>
      </c>
      <c r="E122" s="67">
        <f t="shared" si="11"/>
        <v>25.248389466797629</v>
      </c>
      <c r="F122" s="70">
        <f t="shared" si="15"/>
        <v>1.5330822084239522</v>
      </c>
      <c r="G122" s="67">
        <f>E122/'Lookup Tables'!$C$48</f>
        <v>50.496778933595259</v>
      </c>
      <c r="H122" s="70">
        <f t="shared" si="12"/>
        <v>0.10864332091074189</v>
      </c>
      <c r="I122" s="71">
        <f t="shared" si="16"/>
        <v>7.2715361664377184E-2</v>
      </c>
      <c r="L122" s="74"/>
      <c r="M122" s="74"/>
      <c r="N122" s="74"/>
      <c r="O122" s="74"/>
      <c r="P122" s="74"/>
      <c r="Q122" s="74"/>
      <c r="R122" s="74"/>
      <c r="S122" s="74"/>
      <c r="T122" s="74"/>
      <c r="U122" s="74"/>
      <c r="V122" s="74"/>
      <c r="W122" s="74"/>
      <c r="X122" s="74"/>
      <c r="Y122" s="74"/>
      <c r="Z122" s="74"/>
    </row>
    <row r="123" spans="1:26" x14ac:dyDescent="0.3">
      <c r="A123" s="66">
        <f t="shared" si="14"/>
        <v>2001.5999999999894</v>
      </c>
      <c r="B123" s="67">
        <f>LOOKUP(A123+0.01,AmountsB!$A$4:$A$103,AmountsB!$B$4:$B$103)*0.1*$A$2</f>
        <v>7729.0167513999995</v>
      </c>
      <c r="C123" s="68">
        <f t="shared" si="13"/>
        <v>129876.91680180003</v>
      </c>
      <c r="D123" s="67">
        <f t="array" ref="D123">SUM($B$7:$B118*$F$1009*EXP(-$F$1009*($A123-$A$7:$A118)))*$F$1010</f>
        <v>14449962.128588129</v>
      </c>
      <c r="E123" s="67">
        <f t="shared" si="11"/>
        <v>27.547577154616803</v>
      </c>
      <c r="F123" s="70">
        <f t="shared" si="15"/>
        <v>1.6726888848283323</v>
      </c>
      <c r="G123" s="67">
        <f>E123/'Lookup Tables'!$C$48</f>
        <v>55.095154309233607</v>
      </c>
      <c r="H123" s="70">
        <f t="shared" si="12"/>
        <v>0.1114825244470688</v>
      </c>
      <c r="I123" s="71">
        <f t="shared" si="16"/>
        <v>7.9337022205296398E-2</v>
      </c>
      <c r="L123" s="74"/>
      <c r="M123" s="74"/>
      <c r="N123" s="74"/>
      <c r="O123" s="74"/>
      <c r="P123" s="74"/>
      <c r="Q123" s="74"/>
      <c r="R123" s="74"/>
      <c r="S123" s="74"/>
      <c r="T123" s="74"/>
      <c r="U123" s="74"/>
      <c r="V123" s="74"/>
      <c r="W123" s="74"/>
      <c r="X123" s="74"/>
      <c r="Y123" s="74"/>
      <c r="Z123" s="74"/>
    </row>
    <row r="124" spans="1:26" x14ac:dyDescent="0.3">
      <c r="A124" s="66">
        <f t="shared" si="14"/>
        <v>2001.6999999999894</v>
      </c>
      <c r="B124" s="67">
        <f>LOOKUP(A124+0.01,AmountsB!$A$4:$A$103,AmountsB!$B$4:$B$103)*0.1*$A$2</f>
        <v>7729.0167513999995</v>
      </c>
      <c r="C124" s="68">
        <f t="shared" si="13"/>
        <v>137605.93355320004</v>
      </c>
      <c r="D124" s="67">
        <f t="array" ref="D124">SUM($B$7:$B119*$F$1009*EXP(-$F$1009*($A124-$A$7:$A119)))*$F$1010</f>
        <v>15652618.901373902</v>
      </c>
      <c r="E124" s="67">
        <f t="shared" si="11"/>
        <v>29.840336121319755</v>
      </c>
      <c r="F124" s="70">
        <f t="shared" si="15"/>
        <v>1.8119052092865355</v>
      </c>
      <c r="G124" s="67">
        <f>E124/'Lookup Tables'!$C$48</f>
        <v>59.68067224263951</v>
      </c>
      <c r="H124" s="70">
        <f t="shared" si="12"/>
        <v>0.11397822942934374</v>
      </c>
      <c r="I124" s="71">
        <f t="shared" si="16"/>
        <v>8.5940168029400896E-2</v>
      </c>
      <c r="L124" s="74"/>
      <c r="M124" s="74"/>
      <c r="N124" s="74"/>
      <c r="O124" s="74"/>
      <c r="P124" s="74"/>
      <c r="Q124" s="74"/>
      <c r="R124" s="74"/>
      <c r="S124" s="74"/>
      <c r="T124" s="74"/>
      <c r="U124" s="74"/>
      <c r="V124" s="74"/>
      <c r="W124" s="74"/>
      <c r="X124" s="74"/>
      <c r="Y124" s="74"/>
      <c r="Z124" s="74"/>
    </row>
    <row r="125" spans="1:26" x14ac:dyDescent="0.3">
      <c r="A125" s="66">
        <f t="shared" si="14"/>
        <v>2001.7999999999893</v>
      </c>
      <c r="B125" s="67">
        <f>LOOKUP(A125+0.01,AmountsB!$A$4:$A$103,AmountsB!$B$4:$B$103)*0.1*$A$2</f>
        <v>7729.0167513999995</v>
      </c>
      <c r="C125" s="68">
        <f t="shared" si="13"/>
        <v>145334.95030460003</v>
      </c>
      <c r="D125" s="67">
        <f t="array" ref="D125">SUM($B$7:$B120*$F$1009*EXP(-$F$1009*($A125-$A$7:$A120)))*$F$1010</f>
        <v>16851912.945213385</v>
      </c>
      <c r="E125" s="67">
        <f t="shared" si="11"/>
        <v>32.126684342148529</v>
      </c>
      <c r="F125" s="70">
        <f t="shared" si="15"/>
        <v>1.9507322732552588</v>
      </c>
      <c r="G125" s="67">
        <f>E125/'Lookup Tables'!$C$48</f>
        <v>64.253368684297058</v>
      </c>
      <c r="H125" s="70">
        <f t="shared" si="12"/>
        <v>0.11618530336194575</v>
      </c>
      <c r="I125" s="71">
        <f t="shared" si="16"/>
        <v>9.252485090538777E-2</v>
      </c>
      <c r="L125" s="74"/>
      <c r="M125" s="74"/>
      <c r="N125" s="74"/>
      <c r="O125" s="74"/>
      <c r="P125" s="74"/>
      <c r="Q125" s="74"/>
      <c r="R125" s="74"/>
      <c r="S125" s="74"/>
      <c r="T125" s="74"/>
      <c r="U125" s="74"/>
      <c r="V125" s="74"/>
      <c r="W125" s="74"/>
      <c r="X125" s="74"/>
      <c r="Y125" s="74"/>
      <c r="Z125" s="74"/>
    </row>
    <row r="126" spans="1:26" x14ac:dyDescent="0.3">
      <c r="A126" s="66">
        <f t="shared" si="14"/>
        <v>2001.8999999999892</v>
      </c>
      <c r="B126" s="67">
        <f>LOOKUP(A126+0.01,AmountsB!$A$4:$A$103,AmountsB!$B$4:$B$103)*0.1*$A$2</f>
        <v>7729.0167513999995</v>
      </c>
      <c r="C126" s="68">
        <f t="shared" si="13"/>
        <v>153063.96705600002</v>
      </c>
      <c r="D126" s="67">
        <f t="array" ref="D126">SUM($B$7:$B121*$F$1009*EXP(-$F$1009*($A126-$A$7:$A121)))*$F$1010</f>
        <v>18047853.662578024</v>
      </c>
      <c r="E126" s="67">
        <f t="shared" si="11"/>
        <v>34.40663974208487</v>
      </c>
      <c r="F126" s="70">
        <f t="shared" si="15"/>
        <v>2.0891711651393936</v>
      </c>
      <c r="G126" s="67">
        <f>E126/'Lookup Tables'!$C$48</f>
        <v>68.81327948416974</v>
      </c>
      <c r="H126" s="70">
        <f t="shared" si="12"/>
        <v>0.11814753136395285</v>
      </c>
      <c r="I126" s="71">
        <f t="shared" si="16"/>
        <v>9.9091122457204431E-2</v>
      </c>
      <c r="L126" s="74"/>
      <c r="M126" s="74"/>
      <c r="N126" s="74"/>
      <c r="O126" s="74"/>
      <c r="P126" s="74"/>
      <c r="Q126" s="74"/>
      <c r="R126" s="74"/>
      <c r="S126" s="74"/>
      <c r="T126" s="74"/>
      <c r="U126" s="74"/>
      <c r="V126" s="74"/>
      <c r="W126" s="74"/>
      <c r="X126" s="74"/>
      <c r="Y126" s="74"/>
      <c r="Z126" s="74"/>
    </row>
    <row r="127" spans="1:26" x14ac:dyDescent="0.3">
      <c r="A127" s="66">
        <f t="shared" si="14"/>
        <v>2001.9999999999891</v>
      </c>
      <c r="B127" s="67">
        <f>LOOKUP(A127+0.01,AmountsB!$A$4:$A$103,AmountsB!$B$4:$B$103)*0.1*$A$2</f>
        <v>7883.5524873699997</v>
      </c>
      <c r="C127" s="68">
        <f t="shared" si="13"/>
        <v>160947.51954337003</v>
      </c>
      <c r="D127" s="67">
        <f t="array" ref="D127">SUM($B$7:$B122*$F$1009*EXP(-$F$1009*($A127-$A$7:$A122)))*$F$1010</f>
        <v>19240450.429649167</v>
      </c>
      <c r="E127" s="67">
        <f t="shared" si="11"/>
        <v>36.680220195990799</v>
      </c>
      <c r="F127" s="70">
        <f t="shared" si="15"/>
        <v>2.2272229703005615</v>
      </c>
      <c r="G127" s="67">
        <f>E127/'Lookup Tables'!$C$48</f>
        <v>73.360440391981598</v>
      </c>
      <c r="H127" s="70">
        <f t="shared" si="12"/>
        <v>0.11978515599190502</v>
      </c>
      <c r="I127" s="71">
        <f t="shared" si="16"/>
        <v>0.1056390341644535</v>
      </c>
      <c r="L127" s="74"/>
      <c r="M127" s="74"/>
      <c r="N127" s="74"/>
      <c r="O127" s="74"/>
      <c r="P127" s="74"/>
      <c r="Q127" s="74"/>
      <c r="R127" s="74"/>
      <c r="S127" s="74"/>
      <c r="T127" s="74"/>
      <c r="U127" s="74"/>
      <c r="V127" s="74"/>
      <c r="W127" s="74"/>
      <c r="X127" s="74"/>
      <c r="Y127" s="74"/>
      <c r="Z127" s="74"/>
    </row>
    <row r="128" spans="1:26" x14ac:dyDescent="0.3">
      <c r="A128" s="66">
        <f t="shared" si="14"/>
        <v>2002.099999999989</v>
      </c>
      <c r="B128" s="67">
        <f>LOOKUP(A128+0.01,AmountsB!$A$4:$A$103,AmountsB!$B$4:$B$103)*0.1*$A$2</f>
        <v>7883.5524873699997</v>
      </c>
      <c r="C128" s="68">
        <f t="shared" si="13"/>
        <v>168831.07203074003</v>
      </c>
      <c r="D128" s="67">
        <f t="array" ref="D128">SUM($B$7:$B123*$F$1009*EXP(-$F$1009*($A128-$A$7:$A123)))*$F$1010</f>
        <v>20429712.596391585</v>
      </c>
      <c r="E128" s="67">
        <f t="shared" si="11"/>
        <v>38.947443528748735</v>
      </c>
      <c r="F128" s="70">
        <f t="shared" si="15"/>
        <v>2.364888771065623</v>
      </c>
      <c r="G128" s="67">
        <f>E128/'Lookup Tables'!$C$48</f>
        <v>77.894887057497471</v>
      </c>
      <c r="H128" s="70">
        <f t="shared" si="12"/>
        <v>0.12125005233031456</v>
      </c>
      <c r="I128" s="71">
        <f t="shared" si="16"/>
        <v>0.11216863736279635</v>
      </c>
      <c r="L128" s="74"/>
      <c r="M128" s="74"/>
      <c r="N128" s="74"/>
      <c r="O128" s="74"/>
      <c r="P128" s="74"/>
      <c r="Q128" s="74"/>
      <c r="R128" s="74"/>
      <c r="S128" s="74"/>
      <c r="T128" s="74"/>
      <c r="U128" s="74"/>
      <c r="V128" s="74"/>
      <c r="W128" s="74"/>
      <c r="X128" s="74"/>
      <c r="Y128" s="74"/>
      <c r="Z128" s="74"/>
    </row>
    <row r="129" spans="1:26" x14ac:dyDescent="0.3">
      <c r="A129" s="66">
        <f t="shared" si="14"/>
        <v>2002.1999999999889</v>
      </c>
      <c r="B129" s="67">
        <f>LOOKUP(A129+0.01,AmountsB!$A$4:$A$103,AmountsB!$B$4:$B$103)*0.1*$A$2</f>
        <v>7883.5524873699997</v>
      </c>
      <c r="C129" s="68">
        <f t="shared" si="13"/>
        <v>176714.62451811004</v>
      </c>
      <c r="D129" s="67">
        <f t="array" ref="D129">SUM($B$7:$B124*$F$1009*EXP(-$F$1009*($A129-$A$7:$A124)))*$F$1010</f>
        <v>21615649.486626744</v>
      </c>
      <c r="E129" s="67">
        <f t="shared" si="11"/>
        <v>41.208327515401187</v>
      </c>
      <c r="F129" s="70">
        <f t="shared" si="15"/>
        <v>2.50216964673516</v>
      </c>
      <c r="G129" s="67">
        <f>E129/'Lookup Tables'!$C$48</f>
        <v>82.416655030802374</v>
      </c>
      <c r="H129" s="70">
        <f t="shared" si="12"/>
        <v>0.12256539039232262</v>
      </c>
      <c r="I129" s="71">
        <f t="shared" si="16"/>
        <v>0.11867998324435541</v>
      </c>
      <c r="L129" s="74"/>
      <c r="M129" s="74"/>
      <c r="N129" s="74"/>
      <c r="O129" s="74"/>
      <c r="P129" s="74"/>
      <c r="Q129" s="74"/>
      <c r="R129" s="74"/>
      <c r="S129" s="74"/>
      <c r="T129" s="74"/>
      <c r="U129" s="74"/>
      <c r="V129" s="74"/>
      <c r="W129" s="74"/>
      <c r="X129" s="74"/>
      <c r="Y129" s="74"/>
      <c r="Z129" s="74"/>
    </row>
    <row r="130" spans="1:26" x14ac:dyDescent="0.3">
      <c r="A130" s="66">
        <f t="shared" si="14"/>
        <v>2002.2999999999888</v>
      </c>
      <c r="B130" s="67">
        <f>LOOKUP(A130+0.01,AmountsB!$A$4:$A$103,AmountsB!$B$4:$B$103)*0.1*$A$2</f>
        <v>7883.5524873699997</v>
      </c>
      <c r="C130" s="68">
        <f t="shared" si="13"/>
        <v>184598.17700548004</v>
      </c>
      <c r="D130" s="67">
        <f t="array" ref="D130">SUM($B$7:$B125*$F$1009*EXP(-$F$1009*($A130-$A$7:$A125)))*$F$1010</f>
        <v>22798270.398105949</v>
      </c>
      <c r="E130" s="67">
        <f t="shared" si="11"/>
        <v>43.462889881290231</v>
      </c>
      <c r="F130" s="70">
        <f t="shared" si="15"/>
        <v>2.6390666735919424</v>
      </c>
      <c r="G130" s="67">
        <f>E130/'Lookup Tables'!$C$48</f>
        <v>86.925779762580461</v>
      </c>
      <c r="H130" s="70">
        <f t="shared" si="12"/>
        <v>0.12375038200365318</v>
      </c>
      <c r="I130" s="71">
        <f t="shared" si="16"/>
        <v>0.12517312285811585</v>
      </c>
      <c r="L130" s="74"/>
      <c r="M130" s="74"/>
      <c r="N130" s="74"/>
      <c r="O130" s="74"/>
      <c r="P130" s="74"/>
      <c r="Q130" s="74"/>
      <c r="R130" s="74"/>
      <c r="S130" s="74"/>
      <c r="T130" s="74"/>
      <c r="U130" s="74"/>
      <c r="V130" s="74"/>
      <c r="W130" s="74"/>
      <c r="X130" s="74"/>
      <c r="Y130" s="74"/>
      <c r="Z130" s="74"/>
    </row>
    <row r="131" spans="1:26" x14ac:dyDescent="0.3">
      <c r="A131" s="66">
        <f t="shared" si="14"/>
        <v>2002.3999999999887</v>
      </c>
      <c r="B131" s="67">
        <f>LOOKUP(A131+0.01,AmountsB!$A$4:$A$103,AmountsB!$B$4:$B$103)*0.1*$A$2</f>
        <v>7883.5524873699997</v>
      </c>
      <c r="C131" s="68">
        <f t="shared" si="13"/>
        <v>192481.72949285005</v>
      </c>
      <c r="D131" s="67">
        <f t="array" ref="D131">SUM($B$7:$B126*$F$1009*EXP(-$F$1009*($A131-$A$7:$A126)))*$F$1010</f>
        <v>23977584.6025832</v>
      </c>
      <c r="E131" s="67">
        <f t="shared" si="11"/>
        <v>45.711148302196335</v>
      </c>
      <c r="F131" s="70">
        <f t="shared" si="15"/>
        <v>2.7755809249093617</v>
      </c>
      <c r="G131" s="67">
        <f>E131/'Lookup Tables'!$C$48</f>
        <v>91.42229660439267</v>
      </c>
      <c r="H131" s="70">
        <f t="shared" si="12"/>
        <v>0.12482109138845232</v>
      </c>
      <c r="I131" s="71">
        <f t="shared" si="16"/>
        <v>0.13164810711032546</v>
      </c>
      <c r="L131" s="74"/>
      <c r="M131" s="74"/>
      <c r="N131" s="74"/>
      <c r="O131" s="74"/>
      <c r="P131" s="74"/>
      <c r="Q131" s="74"/>
      <c r="R131" s="74"/>
      <c r="S131" s="74"/>
      <c r="T131" s="74"/>
      <c r="U131" s="74"/>
      <c r="V131" s="74"/>
      <c r="W131" s="74"/>
      <c r="X131" s="74"/>
      <c r="Y131" s="74"/>
      <c r="Z131" s="74"/>
    </row>
    <row r="132" spans="1:26" x14ac:dyDescent="0.3">
      <c r="A132" s="66">
        <f t="shared" si="14"/>
        <v>2002.4999999999886</v>
      </c>
      <c r="B132" s="67">
        <f>LOOKUP(A132+0.01,AmountsB!$A$4:$A$103,AmountsB!$B$4:$B$103)*0.1*$A$2</f>
        <v>7883.5524873699997</v>
      </c>
      <c r="C132" s="68">
        <f t="shared" si="13"/>
        <v>200365.28198022005</v>
      </c>
      <c r="D132" s="67">
        <f t="array" ref="D132">SUM($B$7:$B127*$F$1009*EXP(-$F$1009*($A132-$A$7:$A127)))*$F$1010</f>
        <v>25178455.374522563</v>
      </c>
      <c r="E132" s="67">
        <f t="shared" si="11"/>
        <v>48.000502415953875</v>
      </c>
      <c r="F132" s="70">
        <f t="shared" si="15"/>
        <v>2.9145905066967193</v>
      </c>
      <c r="G132" s="67">
        <f>E132/'Lookup Tables'!$C$48</f>
        <v>96.00100483190775</v>
      </c>
      <c r="H132" s="70">
        <f t="shared" si="12"/>
        <v>0.1259153473120955</v>
      </c>
      <c r="I132" s="71">
        <f t="shared" si="16"/>
        <v>0.13824144695794716</v>
      </c>
      <c r="L132" s="74"/>
      <c r="M132" s="74"/>
      <c r="N132" s="74"/>
      <c r="O132" s="74"/>
      <c r="P132" s="74"/>
      <c r="Q132" s="74"/>
      <c r="R132" s="74"/>
      <c r="S132" s="74"/>
      <c r="T132" s="74"/>
      <c r="U132" s="74"/>
      <c r="V132" s="74"/>
      <c r="W132" s="74"/>
      <c r="X132" s="74"/>
      <c r="Y132" s="74"/>
      <c r="Z132" s="74"/>
    </row>
    <row r="133" spans="1:26" x14ac:dyDescent="0.3">
      <c r="A133" s="66">
        <f t="shared" si="14"/>
        <v>2002.5999999999885</v>
      </c>
      <c r="B133" s="67">
        <f>LOOKUP(A133+0.01,AmountsB!$A$4:$A$103,AmountsB!$B$4:$B$103)*0.1*$A$2</f>
        <v>7883.5524873699997</v>
      </c>
      <c r="C133" s="68">
        <f t="shared" si="13"/>
        <v>208248.83446759006</v>
      </c>
      <c r="D133" s="67">
        <f t="array" ref="D133">SUM($B$7:$B128*$F$1009*EXP(-$F$1009*($A133-$A$7:$A128)))*$F$1010</f>
        <v>26375968.411323406</v>
      </c>
      <c r="E133" s="67">
        <f t="shared" si="11"/>
        <v>50.283455304090879</v>
      </c>
      <c r="F133" s="70">
        <f t="shared" si="15"/>
        <v>3.0532114060643982</v>
      </c>
      <c r="G133" s="67">
        <f>E133/'Lookup Tables'!$C$48</f>
        <v>100.56691060818176</v>
      </c>
      <c r="H133" s="70">
        <f t="shared" si="12"/>
        <v>0.1269105979651633</v>
      </c>
      <c r="I133" s="71">
        <f t="shared" si="16"/>
        <v>0.14481635127578171</v>
      </c>
      <c r="L133" s="74"/>
      <c r="M133" s="74"/>
      <c r="N133" s="74"/>
      <c r="O133" s="74"/>
      <c r="P133" s="74"/>
      <c r="Q133" s="74"/>
      <c r="R133" s="74"/>
      <c r="S133" s="74"/>
      <c r="T133" s="74"/>
      <c r="U133" s="74"/>
      <c r="V133" s="74"/>
      <c r="W133" s="74"/>
      <c r="X133" s="74"/>
      <c r="Y133" s="74"/>
      <c r="Z133" s="74"/>
    </row>
    <row r="134" spans="1:26" x14ac:dyDescent="0.3">
      <c r="A134" s="66">
        <f t="shared" si="14"/>
        <v>2002.6999999999884</v>
      </c>
      <c r="B134" s="67">
        <f>LOOKUP(A134+0.01,AmountsB!$A$4:$A$103,AmountsB!$B$4:$B$103)*0.1*$A$2</f>
        <v>7883.5524873699997</v>
      </c>
      <c r="C134" s="68">
        <f t="shared" si="13"/>
        <v>216132.38695496006</v>
      </c>
      <c r="D134" s="67">
        <f t="array" ref="D134">SUM($B$7:$B129*$F$1009*EXP(-$F$1009*($A134-$A$7:$A129)))*$F$1010</f>
        <v>27570133.101494089</v>
      </c>
      <c r="E134" s="67">
        <f t="shared" si="11"/>
        <v>52.560024864969741</v>
      </c>
      <c r="F134" s="70">
        <f t="shared" si="15"/>
        <v>3.1914447098009626</v>
      </c>
      <c r="G134" s="67">
        <f>E134/'Lookup Tables'!$C$48</f>
        <v>105.12004972993948</v>
      </c>
      <c r="H134" s="70">
        <f t="shared" si="12"/>
        <v>0.12781772069534861</v>
      </c>
      <c r="I134" s="71">
        <f t="shared" si="16"/>
        <v>0.15137287161111285</v>
      </c>
      <c r="L134" s="74"/>
      <c r="M134" s="74"/>
      <c r="N134" s="74"/>
      <c r="O134" s="74"/>
      <c r="P134" s="74"/>
      <c r="Q134" s="74"/>
      <c r="R134" s="74"/>
      <c r="S134" s="74"/>
      <c r="T134" s="74"/>
      <c r="U134" s="74"/>
      <c r="V134" s="74"/>
      <c r="W134" s="74"/>
      <c r="X134" s="74"/>
      <c r="Y134" s="74"/>
      <c r="Z134" s="74"/>
    </row>
    <row r="135" spans="1:26" x14ac:dyDescent="0.3">
      <c r="A135" s="66">
        <f t="shared" si="14"/>
        <v>2002.7999999999884</v>
      </c>
      <c r="B135" s="67">
        <f>LOOKUP(A135+0.01,AmountsB!$A$4:$A$103,AmountsB!$B$4:$B$103)*0.1*$A$2</f>
        <v>7883.5524873699997</v>
      </c>
      <c r="C135" s="68">
        <f t="shared" si="13"/>
        <v>224015.93944233007</v>
      </c>
      <c r="D135" s="67">
        <f t="array" ref="D135">SUM($B$7:$B130*$F$1009*EXP(-$F$1009*($A135-$A$7:$A130)))*$F$1010</f>
        <v>28760958.80729188</v>
      </c>
      <c r="E135" s="67">
        <f t="shared" ref="E135:E198" si="17">D135/(365*24*60)*1.00201</f>
        <v>54.830228946907418</v>
      </c>
      <c r="F135" s="70">
        <f t="shared" si="15"/>
        <v>3.3292915016562183</v>
      </c>
      <c r="G135" s="67">
        <f>E135/'Lookup Tables'!$C$48</f>
        <v>109.66045789381484</v>
      </c>
      <c r="H135" s="70">
        <f t="shared" ref="H135:H198" si="18">G135*60*24*365/(C135*2000)</f>
        <v>0.12864606155364025</v>
      </c>
      <c r="I135" s="71">
        <f t="shared" si="16"/>
        <v>0.15791105936709338</v>
      </c>
      <c r="L135" s="74"/>
      <c r="M135" s="74"/>
      <c r="N135" s="74"/>
      <c r="O135" s="74"/>
      <c r="P135" s="74"/>
      <c r="Q135" s="74"/>
      <c r="R135" s="74"/>
      <c r="S135" s="74"/>
      <c r="T135" s="74"/>
      <c r="U135" s="74"/>
      <c r="V135" s="74"/>
      <c r="W135" s="74"/>
      <c r="X135" s="74"/>
      <c r="Y135" s="74"/>
      <c r="Z135" s="74"/>
    </row>
    <row r="136" spans="1:26" x14ac:dyDescent="0.3">
      <c r="A136" s="66">
        <f t="shared" si="14"/>
        <v>2002.8999999999883</v>
      </c>
      <c r="B136" s="67">
        <f>LOOKUP(A136+0.01,AmountsB!$A$4:$A$103,AmountsB!$B$4:$B$103)*0.1*$A$2</f>
        <v>7883.5524873699997</v>
      </c>
      <c r="C136" s="68">
        <f t="shared" si="13"/>
        <v>231899.49192970007</v>
      </c>
      <c r="D136" s="67">
        <f t="array" ref="D136">SUM($B$7:$B131*$F$1009*EXP(-$F$1009*($A136-$A$7:$A131)))*$F$1010</f>
        <v>29948454.864796419</v>
      </c>
      <c r="E136" s="67">
        <f t="shared" si="17"/>
        <v>57.094085348315566</v>
      </c>
      <c r="F136" s="70">
        <f t="shared" si="15"/>
        <v>3.466752862349721</v>
      </c>
      <c r="G136" s="67">
        <f>E136/'Lookup Tables'!$C$48</f>
        <v>114.18817069663113</v>
      </c>
      <c r="H136" s="70">
        <f t="shared" si="18"/>
        <v>0.12940369558106549</v>
      </c>
      <c r="I136" s="71">
        <f t="shared" si="16"/>
        <v>0.16443096580314881</v>
      </c>
      <c r="L136" s="74"/>
      <c r="M136" s="74"/>
      <c r="N136" s="74"/>
      <c r="O136" s="74"/>
      <c r="P136" s="74"/>
      <c r="Q136" s="74"/>
      <c r="R136" s="74"/>
      <c r="S136" s="74"/>
      <c r="T136" s="74"/>
      <c r="U136" s="74"/>
      <c r="V136" s="74"/>
      <c r="W136" s="74"/>
      <c r="X136" s="74"/>
      <c r="Y136" s="74"/>
      <c r="Z136" s="74"/>
    </row>
    <row r="137" spans="1:26" x14ac:dyDescent="0.3">
      <c r="A137" s="66">
        <f t="shared" si="14"/>
        <v>2002.9999999999882</v>
      </c>
      <c r="B137" s="67">
        <f>LOOKUP(A137+0.01,AmountsB!$A$4:$A$103,AmountsB!$B$4:$B$103)*0.1*$A$2</f>
        <v>8041.2101573999998</v>
      </c>
      <c r="C137" s="68">
        <f t="shared" ref="C137:C200" si="19">C136+B137</f>
        <v>239940.70208710007</v>
      </c>
      <c r="D137" s="67">
        <f t="array" ref="D137">SUM($B$7:$B132*$F$1009*EXP(-$F$1009*($A137-$A$7:$A132)))*$F$1010</f>
        <v>31132630.583982885</v>
      </c>
      <c r="E137" s="67">
        <f t="shared" si="17"/>
        <v>59.351611817839974</v>
      </c>
      <c r="F137" s="70">
        <f t="shared" si="15"/>
        <v>3.603829869579243</v>
      </c>
      <c r="G137" s="67">
        <f>E137/'Lookup Tables'!$C$48</f>
        <v>118.70322363567995</v>
      </c>
      <c r="H137" s="70">
        <f t="shared" si="18"/>
        <v>0.13001215258648624</v>
      </c>
      <c r="I137" s="71">
        <f t="shared" si="16"/>
        <v>0.17093264203537914</v>
      </c>
      <c r="L137" s="74"/>
      <c r="M137" s="74"/>
      <c r="N137" s="74"/>
      <c r="O137" s="74"/>
      <c r="P137" s="74"/>
      <c r="Q137" s="74"/>
      <c r="R137" s="74"/>
      <c r="S137" s="74"/>
      <c r="T137" s="74"/>
      <c r="U137" s="74"/>
      <c r="V137" s="74"/>
      <c r="W137" s="74"/>
      <c r="X137" s="74"/>
      <c r="Y137" s="74"/>
      <c r="Z137" s="74"/>
    </row>
    <row r="138" spans="1:26" x14ac:dyDescent="0.3">
      <c r="A138" s="66">
        <f t="shared" si="14"/>
        <v>2003.0999999999881</v>
      </c>
      <c r="B138" s="67">
        <f>LOOKUP(A138+0.01,AmountsB!$A$4:$A$103,AmountsB!$B$4:$B$103)*0.1*$A$2</f>
        <v>8041.2101573999998</v>
      </c>
      <c r="C138" s="68">
        <f t="shared" si="19"/>
        <v>247981.91224450007</v>
      </c>
      <c r="D138" s="67">
        <f t="array" ref="D138">SUM($B$7:$B133*$F$1009*EXP(-$F$1009*($A138-$A$7:$A133)))*$F$1010</f>
        <v>32313495.24879498</v>
      </c>
      <c r="E138" s="67">
        <f t="shared" si="17"/>
        <v>61.602826054499737</v>
      </c>
      <c r="F138" s="70">
        <f t="shared" si="15"/>
        <v>3.7405235980292244</v>
      </c>
      <c r="G138" s="67">
        <f>E138/'Lookup Tables'!$C$48</f>
        <v>123.20565210899947</v>
      </c>
      <c r="H138" s="70">
        <f t="shared" si="18"/>
        <v>0.13056777037157949</v>
      </c>
      <c r="I138" s="71">
        <f t="shared" si="16"/>
        <v>0.17741613903695924</v>
      </c>
      <c r="L138" s="74"/>
      <c r="M138" s="74"/>
      <c r="N138" s="74"/>
      <c r="O138" s="74"/>
      <c r="P138" s="74"/>
      <c r="Q138" s="74"/>
      <c r="R138" s="74"/>
      <c r="S138" s="74"/>
      <c r="T138" s="74"/>
      <c r="U138" s="74"/>
      <c r="V138" s="74"/>
      <c r="W138" s="74"/>
      <c r="X138" s="74"/>
      <c r="Y138" s="74"/>
      <c r="Z138" s="74"/>
    </row>
    <row r="139" spans="1:26" x14ac:dyDescent="0.3">
      <c r="A139" s="66">
        <f t="shared" si="14"/>
        <v>2003.199999999988</v>
      </c>
      <c r="B139" s="67">
        <f>LOOKUP(A139+0.01,AmountsB!$A$4:$A$103,AmountsB!$B$4:$B$103)*0.1*$A$2</f>
        <v>8041.2101573999998</v>
      </c>
      <c r="C139" s="68">
        <f t="shared" si="19"/>
        <v>256023.12240190007</v>
      </c>
      <c r="D139" s="67">
        <f t="array" ref="D139">SUM($B$7:$B134*$F$1009*EXP(-$F$1009*($A139-$A$7:$A134)))*$F$1010</f>
        <v>33491058.11721772</v>
      </c>
      <c r="E139" s="67">
        <f t="shared" si="17"/>
        <v>63.847745707825972</v>
      </c>
      <c r="F139" s="70">
        <f t="shared" si="15"/>
        <v>3.876835119379193</v>
      </c>
      <c r="G139" s="67">
        <f>E139/'Lookup Tables'!$C$48</f>
        <v>127.69549141565194</v>
      </c>
      <c r="H139" s="70">
        <f t="shared" si="18"/>
        <v>0.13107556391470787</v>
      </c>
      <c r="I139" s="71">
        <f t="shared" si="16"/>
        <v>0.18388150763853878</v>
      </c>
      <c r="L139" s="74"/>
      <c r="M139" s="74"/>
      <c r="N139" s="74"/>
      <c r="O139" s="74"/>
      <c r="P139" s="74"/>
      <c r="Q139" s="74"/>
      <c r="R139" s="74"/>
      <c r="S139" s="74"/>
      <c r="T139" s="74"/>
      <c r="U139" s="74"/>
      <c r="V139" s="74"/>
      <c r="W139" s="74"/>
      <c r="X139" s="74"/>
      <c r="Y139" s="74"/>
      <c r="Z139" s="74"/>
    </row>
    <row r="140" spans="1:26" x14ac:dyDescent="0.3">
      <c r="A140" s="66">
        <f t="shared" si="14"/>
        <v>2003.2999999999879</v>
      </c>
      <c r="B140" s="67">
        <f>LOOKUP(A140+0.01,AmountsB!$A$4:$A$103,AmountsB!$B$4:$B$103)*0.1*$A$2</f>
        <v>8041.2101573999998</v>
      </c>
      <c r="C140" s="68">
        <f t="shared" si="19"/>
        <v>264064.33255930006</v>
      </c>
      <c r="D140" s="67">
        <f t="array" ref="D140">SUM($B$7:$B135*$F$1009*EXP(-$F$1009*($A140-$A$7:$A135)))*$F$1010</f>
        <v>34665328.421350025</v>
      </c>
      <c r="E140" s="67">
        <f t="shared" si="17"/>
        <v>66.086388378000265</v>
      </c>
      <c r="F140" s="70">
        <f t="shared" si="15"/>
        <v>4.0127655023121758</v>
      </c>
      <c r="G140" s="67">
        <f>E140/'Lookup Tables'!$C$48</f>
        <v>132.17277675600053</v>
      </c>
      <c r="H140" s="70">
        <f t="shared" si="18"/>
        <v>0.13153993723736473</v>
      </c>
      <c r="I140" s="71">
        <f t="shared" si="16"/>
        <v>0.19032879852864076</v>
      </c>
      <c r="L140" s="74"/>
      <c r="M140" s="74"/>
      <c r="N140" s="74"/>
      <c r="O140" s="74"/>
      <c r="P140" s="74"/>
      <c r="Q140" s="74"/>
      <c r="R140" s="74"/>
      <c r="S140" s="74"/>
      <c r="T140" s="74"/>
      <c r="U140" s="74"/>
      <c r="V140" s="74"/>
      <c r="W140" s="74"/>
      <c r="X140" s="74"/>
      <c r="Y140" s="74"/>
      <c r="Z140" s="74"/>
    </row>
    <row r="141" spans="1:26" x14ac:dyDescent="0.3">
      <c r="A141" s="66">
        <f t="shared" si="14"/>
        <v>2003.3999999999878</v>
      </c>
      <c r="B141" s="67">
        <f>LOOKUP(A141+0.01,AmountsB!$A$4:$A$103,AmountsB!$B$4:$B$103)*0.1*$A$2</f>
        <v>8041.2101573999998</v>
      </c>
      <c r="C141" s="68">
        <f t="shared" si="19"/>
        <v>272105.54271670006</v>
      </c>
      <c r="D141" s="67">
        <f t="array" ref="D141">SUM($B$7:$B136*$F$1009*EXP(-$F$1009*($A141-$A$7:$A136)))*$F$1010</f>
        <v>35836315.367477104</v>
      </c>
      <c r="E141" s="67">
        <f t="shared" si="17"/>
        <v>68.318771615992645</v>
      </c>
      <c r="F141" s="70">
        <f t="shared" si="15"/>
        <v>4.1483158125230739</v>
      </c>
      <c r="G141" s="67">
        <f>E141/'Lookup Tables'!$C$48</f>
        <v>136.63754323198529</v>
      </c>
      <c r="H141" s="70">
        <f t="shared" si="18"/>
        <v>0.13196477367883441</v>
      </c>
      <c r="I141" s="71">
        <f t="shared" si="16"/>
        <v>0.19675806225405884</v>
      </c>
      <c r="L141" s="74"/>
      <c r="M141" s="74"/>
      <c r="N141" s="74"/>
      <c r="O141" s="74"/>
      <c r="P141" s="74"/>
      <c r="Q141" s="74"/>
      <c r="R141" s="74"/>
      <c r="S141" s="74"/>
      <c r="T141" s="74"/>
      <c r="U141" s="74"/>
      <c r="V141" s="74"/>
      <c r="W141" s="74"/>
      <c r="X141" s="74"/>
      <c r="Y141" s="74"/>
      <c r="Z141" s="74"/>
    </row>
    <row r="142" spans="1:26" x14ac:dyDescent="0.3">
      <c r="A142" s="66">
        <f t="shared" si="14"/>
        <v>2003.4999999999877</v>
      </c>
      <c r="B142" s="67">
        <f>LOOKUP(A142+0.01,AmountsB!$A$4:$A$103,AmountsB!$B$4:$B$103)*0.1*$A$2</f>
        <v>8041.2101573999998</v>
      </c>
      <c r="C142" s="68">
        <f t="shared" si="19"/>
        <v>280146.75287410006</v>
      </c>
      <c r="D142" s="67">
        <f t="array" ref="D142">SUM($B$7:$B137*$F$1009*EXP(-$F$1009*($A142-$A$7:$A137)))*$F$1010</f>
        <v>37029384.266365841</v>
      </c>
      <c r="E142" s="67">
        <f t="shared" si="17"/>
        <v>70.593252147529</v>
      </c>
      <c r="F142" s="70">
        <f t="shared" si="15"/>
        <v>4.2864222703979609</v>
      </c>
      <c r="G142" s="67">
        <f>E142/'Lookup Tables'!$C$48</f>
        <v>141.186504295058</v>
      </c>
      <c r="H142" s="70">
        <f t="shared" si="18"/>
        <v>0.13244420271905122</v>
      </c>
      <c r="I142" s="71">
        <f t="shared" si="16"/>
        <v>0.20330856618488352</v>
      </c>
      <c r="L142" s="74"/>
      <c r="M142" s="74"/>
      <c r="N142" s="74"/>
      <c r="O142" s="74"/>
      <c r="P142" s="74"/>
      <c r="Q142" s="74"/>
      <c r="R142" s="74"/>
      <c r="S142" s="74"/>
      <c r="T142" s="74"/>
      <c r="U142" s="74"/>
      <c r="V142" s="74"/>
      <c r="W142" s="74"/>
      <c r="X142" s="74"/>
      <c r="Y142" s="74"/>
      <c r="Z142" s="74"/>
    </row>
    <row r="143" spans="1:26" x14ac:dyDescent="0.3">
      <c r="A143" s="66">
        <f t="shared" si="14"/>
        <v>2003.5999999999876</v>
      </c>
      <c r="B143" s="67">
        <f>LOOKUP(A143+0.01,AmountsB!$A$4:$A$103,AmountsB!$B$4:$B$103)*0.1*$A$2</f>
        <v>8041.2101573999998</v>
      </c>
      <c r="C143" s="68">
        <f t="shared" si="19"/>
        <v>288187.96303150005</v>
      </c>
      <c r="D143" s="67">
        <f t="array" ref="D143">SUM($B$7:$B138*$F$1009*EXP(-$F$1009*($A143-$A$7:$A138)))*$F$1010</f>
        <v>38219117.244805783</v>
      </c>
      <c r="E143" s="67">
        <f t="shared" si="17"/>
        <v>72.861373041224965</v>
      </c>
      <c r="F143" s="70">
        <f t="shared" si="15"/>
        <v>4.4241425710631805</v>
      </c>
      <c r="G143" s="67">
        <f>E143/'Lookup Tables'!$C$48</f>
        <v>145.72274608244993</v>
      </c>
      <c r="H143" s="70">
        <f t="shared" si="18"/>
        <v>0.13288527830109947</v>
      </c>
      <c r="I143" s="71">
        <f t="shared" si="16"/>
        <v>0.20984075435872793</v>
      </c>
      <c r="L143" s="74"/>
      <c r="M143" s="74"/>
      <c r="N143" s="74"/>
      <c r="O143" s="74"/>
      <c r="P143" s="74"/>
      <c r="Q143" s="74"/>
      <c r="R143" s="74"/>
      <c r="S143" s="74"/>
      <c r="T143" s="74"/>
      <c r="U143" s="74"/>
      <c r="V143" s="74"/>
      <c r="W143" s="74"/>
      <c r="X143" s="74"/>
      <c r="Y143" s="74"/>
      <c r="Z143" s="74"/>
    </row>
    <row r="144" spans="1:26" x14ac:dyDescent="0.3">
      <c r="A144" s="66">
        <f t="shared" si="14"/>
        <v>2003.6999999999875</v>
      </c>
      <c r="B144" s="67">
        <f>LOOKUP(A144+0.01,AmountsB!$A$4:$A$103,AmountsB!$B$4:$B$103)*0.1*$A$2</f>
        <v>8041.2101573999998</v>
      </c>
      <c r="C144" s="68">
        <f t="shared" si="19"/>
        <v>296229.17318890005</v>
      </c>
      <c r="D144" s="67">
        <f t="array" ref="D144">SUM($B$7:$B139*$F$1009*EXP(-$F$1009*($A144-$A$7:$A139)))*$F$1010</f>
        <v>39405523.630309589</v>
      </c>
      <c r="E144" s="67">
        <f t="shared" si="17"/>
        <v>75.123152079160036</v>
      </c>
      <c r="F144" s="70">
        <f t="shared" si="15"/>
        <v>4.5614777942465974</v>
      </c>
      <c r="G144" s="67">
        <f>E144/'Lookup Tables'!$C$48</f>
        <v>150.24630415832007</v>
      </c>
      <c r="H144" s="70">
        <f t="shared" si="18"/>
        <v>0.1332911553165218</v>
      </c>
      <c r="I144" s="71">
        <f t="shared" si="16"/>
        <v>0.21635467798798089</v>
      </c>
      <c r="L144" s="74"/>
      <c r="M144" s="74"/>
      <c r="N144" s="74"/>
      <c r="O144" s="74"/>
      <c r="P144" s="74"/>
      <c r="Q144" s="74"/>
      <c r="R144" s="74"/>
      <c r="S144" s="74"/>
      <c r="T144" s="74"/>
      <c r="U144" s="74"/>
      <c r="V144" s="74"/>
      <c r="W144" s="74"/>
      <c r="X144" s="74"/>
      <c r="Y144" s="74"/>
      <c r="Z144" s="74"/>
    </row>
    <row r="145" spans="1:26" x14ac:dyDescent="0.3">
      <c r="A145" s="66">
        <f t="shared" si="14"/>
        <v>2003.7999999999874</v>
      </c>
      <c r="B145" s="67">
        <f>LOOKUP(A145+0.01,AmountsB!$A$4:$A$103,AmountsB!$B$4:$B$103)*0.1*$A$2</f>
        <v>8041.2101573999998</v>
      </c>
      <c r="C145" s="68">
        <f t="shared" si="19"/>
        <v>304270.38334630005</v>
      </c>
      <c r="D145" s="67">
        <f t="array" ref="D145">SUM($B$7:$B140*$F$1009*EXP(-$F$1009*($A145-$A$7:$A140)))*$F$1010</f>
        <v>40588612.724309385</v>
      </c>
      <c r="E145" s="67">
        <f t="shared" si="17"/>
        <v>77.37860699369341</v>
      </c>
      <c r="F145" s="70">
        <f t="shared" si="15"/>
        <v>4.6984290166570641</v>
      </c>
      <c r="G145" s="67">
        <f>E145/'Lookup Tables'!$C$48</f>
        <v>154.75721398738682</v>
      </c>
      <c r="H145" s="70">
        <f t="shared" si="18"/>
        <v>0.13366465506305023</v>
      </c>
      <c r="I145" s="71">
        <f t="shared" si="16"/>
        <v>0.22285038814183702</v>
      </c>
      <c r="L145" s="74"/>
      <c r="M145" s="74"/>
      <c r="N145" s="74"/>
      <c r="O145" s="74"/>
      <c r="P145" s="74"/>
      <c r="Q145" s="74"/>
      <c r="R145" s="74"/>
      <c r="S145" s="74"/>
      <c r="T145" s="74"/>
      <c r="U145" s="74"/>
      <c r="V145" s="74"/>
      <c r="W145" s="74"/>
      <c r="X145" s="74"/>
      <c r="Y145" s="74"/>
      <c r="Z145" s="74"/>
    </row>
    <row r="146" spans="1:26" x14ac:dyDescent="0.3">
      <c r="A146" s="66">
        <f t="shared" si="14"/>
        <v>2003.8999999999874</v>
      </c>
      <c r="B146" s="67">
        <f>LOOKUP(A146+0.01,AmountsB!$A$4:$A$103,AmountsB!$B$4:$B$103)*0.1*$A$2</f>
        <v>8041.2101573999998</v>
      </c>
      <c r="C146" s="68">
        <f t="shared" si="19"/>
        <v>312311.59350370005</v>
      </c>
      <c r="D146" s="67">
        <f t="array" ref="D146">SUM($B$7:$B141*$F$1009*EXP(-$F$1009*($A146-$A$7:$A141)))*$F$1010</f>
        <v>41768393.802229732</v>
      </c>
      <c r="E146" s="67">
        <f t="shared" si="17"/>
        <v>79.627755467603166</v>
      </c>
      <c r="F146" s="70">
        <f t="shared" si="15"/>
        <v>4.834997311992864</v>
      </c>
      <c r="G146" s="67">
        <f>E146/'Lookup Tables'!$C$48</f>
        <v>159.25551093520633</v>
      </c>
      <c r="H146" s="70">
        <f t="shared" si="18"/>
        <v>0.13400830819069925</v>
      </c>
      <c r="I146" s="71">
        <f t="shared" si="16"/>
        <v>0.2293279357466971</v>
      </c>
      <c r="L146" s="74"/>
      <c r="M146" s="74"/>
      <c r="N146" s="74"/>
      <c r="O146" s="74"/>
      <c r="P146" s="74"/>
      <c r="Q146" s="74"/>
      <c r="R146" s="74"/>
      <c r="S146" s="74"/>
      <c r="T146" s="74"/>
      <c r="U146" s="74"/>
      <c r="V146" s="74"/>
      <c r="W146" s="74"/>
      <c r="X146" s="74"/>
      <c r="Y146" s="74"/>
      <c r="Z146" s="74"/>
    </row>
    <row r="147" spans="1:26" x14ac:dyDescent="0.3">
      <c r="A147" s="66">
        <f t="shared" ref="A147:A210" si="20">A146+0.1</f>
        <v>2003.9999999999873</v>
      </c>
      <c r="B147" s="67">
        <f>LOOKUP(A147+0.01,AmountsB!$A$4:$A$103,AmountsB!$B$4:$B$103)*0.1*$A$2</f>
        <v>8201.9897614900019</v>
      </c>
      <c r="C147" s="68">
        <f t="shared" si="19"/>
        <v>320513.58326519007</v>
      </c>
      <c r="D147" s="67">
        <f t="array" ref="D147">SUM($B$7:$B142*$F$1009*EXP(-$F$1009*($A147-$A$7:$A142)))*$F$1010</f>
        <v>42944876.113560326</v>
      </c>
      <c r="E147" s="67">
        <f t="shared" si="17"/>
        <v>81.870615134224849</v>
      </c>
      <c r="F147" s="70">
        <f t="shared" ref="F147:F210" si="21">E147*60*1012/1000000</f>
        <v>4.9711837509501322</v>
      </c>
      <c r="G147" s="67">
        <f>E147/'Lookup Tables'!$C$48</f>
        <v>163.7412302684497</v>
      </c>
      <c r="H147" s="70">
        <f t="shared" si="18"/>
        <v>0.13425700987825201</v>
      </c>
      <c r="I147" s="71">
        <f t="shared" ref="I147:I210" si="22">G147*60*24/1000000</f>
        <v>0.23578737158656754</v>
      </c>
      <c r="L147" s="74"/>
      <c r="M147" s="74"/>
      <c r="N147" s="74"/>
      <c r="O147" s="74"/>
      <c r="P147" s="74"/>
      <c r="Q147" s="74"/>
      <c r="R147" s="74"/>
      <c r="S147" s="74"/>
      <c r="T147" s="74"/>
      <c r="U147" s="74"/>
      <c r="V147" s="74"/>
      <c r="W147" s="74"/>
      <c r="X147" s="74"/>
      <c r="Y147" s="74"/>
      <c r="Z147" s="74"/>
    </row>
    <row r="148" spans="1:26" x14ac:dyDescent="0.3">
      <c r="A148" s="66">
        <f t="shared" si="20"/>
        <v>2004.0999999999872</v>
      </c>
      <c r="B148" s="67">
        <f>LOOKUP(A148+0.01,AmountsB!$A$4:$A$103,AmountsB!$B$4:$B$103)*0.1*$A$2</f>
        <v>8201.9897614900019</v>
      </c>
      <c r="C148" s="68">
        <f t="shared" si="19"/>
        <v>328715.5730266801</v>
      </c>
      <c r="D148" s="67">
        <f t="array" ref="D148">SUM($B$7:$B143*$F$1009*EXP(-$F$1009*($A148-$A$7:$A143)))*$F$1010</f>
        <v>44118068.881928511</v>
      </c>
      <c r="E148" s="67">
        <f t="shared" si="17"/>
        <v>84.107203577589786</v>
      </c>
      <c r="F148" s="70">
        <f t="shared" si="21"/>
        <v>5.1069894012312513</v>
      </c>
      <c r="G148" s="67">
        <f>E148/'Lookup Tables'!$C$48</f>
        <v>168.21440715517957</v>
      </c>
      <c r="H148" s="70">
        <f t="shared" si="18"/>
        <v>0.13448327316331057</v>
      </c>
      <c r="I148" s="71">
        <f t="shared" si="22"/>
        <v>0.24222874630345859</v>
      </c>
      <c r="L148" s="74"/>
      <c r="M148" s="74"/>
      <c r="N148" s="74"/>
      <c r="O148" s="74"/>
      <c r="P148" s="74"/>
      <c r="Q148" s="74"/>
      <c r="R148" s="74"/>
      <c r="S148" s="74"/>
      <c r="T148" s="74"/>
      <c r="U148" s="74"/>
      <c r="V148" s="74"/>
      <c r="W148" s="74"/>
      <c r="X148" s="74"/>
      <c r="Y148" s="74"/>
      <c r="Z148" s="74"/>
    </row>
    <row r="149" spans="1:26" x14ac:dyDescent="0.3">
      <c r="A149" s="66">
        <f t="shared" si="20"/>
        <v>2004.1999999999871</v>
      </c>
      <c r="B149" s="67">
        <f>LOOKUP(A149+0.01,AmountsB!$A$4:$A$103,AmountsB!$B$4:$B$103)*0.1*$A$2</f>
        <v>8201.9897614900019</v>
      </c>
      <c r="C149" s="68">
        <f t="shared" si="19"/>
        <v>336917.56278817012</v>
      </c>
      <c r="D149" s="67">
        <f t="array" ref="D149">SUM($B$7:$B144*$F$1009*EXP(-$F$1009*($A149-$A$7:$A144)))*$F$1010</f>
        <v>45287981.305171601</v>
      </c>
      <c r="E149" s="67">
        <f t="shared" si="17"/>
        <v>86.337538332562787</v>
      </c>
      <c r="F149" s="70">
        <f t="shared" si="21"/>
        <v>5.2424153275532115</v>
      </c>
      <c r="G149" s="67">
        <f>E149/'Lookup Tables'!$C$48</f>
        <v>172.67507666512557</v>
      </c>
      <c r="H149" s="70">
        <f t="shared" si="18"/>
        <v>0.13468876413583136</v>
      </c>
      <c r="I149" s="71">
        <f t="shared" si="22"/>
        <v>0.24865211039778082</v>
      </c>
      <c r="L149" s="74"/>
      <c r="M149" s="74"/>
      <c r="N149" s="74"/>
      <c r="O149" s="74"/>
      <c r="P149" s="74"/>
      <c r="Q149" s="74"/>
      <c r="R149" s="74"/>
      <c r="S149" s="74"/>
      <c r="T149" s="74"/>
      <c r="U149" s="74"/>
      <c r="V149" s="74"/>
      <c r="W149" s="74"/>
      <c r="X149" s="74"/>
      <c r="Y149" s="74"/>
      <c r="Z149" s="74"/>
    </row>
    <row r="150" spans="1:26" x14ac:dyDescent="0.3">
      <c r="A150" s="66">
        <f t="shared" si="20"/>
        <v>2004.299999999987</v>
      </c>
      <c r="B150" s="67">
        <f>LOOKUP(A150+0.01,AmountsB!$A$4:$A$103,AmountsB!$B$4:$B$103)*0.1*$A$2</f>
        <v>8201.9897614900019</v>
      </c>
      <c r="C150" s="68">
        <f t="shared" si="19"/>
        <v>345119.55254966015</v>
      </c>
      <c r="D150" s="67">
        <f t="array" ref="D150">SUM($B$7:$B145*$F$1009*EXP(-$F$1009*($A150-$A$7:$A145)))*$F$1010</f>
        <v>46454622.555408992</v>
      </c>
      <c r="E150" s="67">
        <f t="shared" si="17"/>
        <v>88.561636884979762</v>
      </c>
      <c r="F150" s="70">
        <f t="shared" si="21"/>
        <v>5.3774625916559708</v>
      </c>
      <c r="G150" s="67">
        <f>E150/'Lookup Tables'!$C$48</f>
        <v>177.12327376995952</v>
      </c>
      <c r="H150" s="70">
        <f t="shared" si="18"/>
        <v>0.13487499042827325</v>
      </c>
      <c r="I150" s="71">
        <f t="shared" si="22"/>
        <v>0.25505751422874168</v>
      </c>
      <c r="L150" s="74"/>
      <c r="M150" s="74"/>
      <c r="N150" s="74"/>
      <c r="O150" s="74"/>
      <c r="P150" s="74"/>
      <c r="Q150" s="74"/>
      <c r="R150" s="74"/>
      <c r="S150" s="74"/>
      <c r="T150" s="74"/>
      <c r="U150" s="74"/>
      <c r="V150" s="74"/>
      <c r="W150" s="74"/>
      <c r="X150" s="74"/>
      <c r="Y150" s="74"/>
      <c r="Z150" s="74"/>
    </row>
    <row r="151" spans="1:26" x14ac:dyDescent="0.3">
      <c r="A151" s="66">
        <f t="shared" si="20"/>
        <v>2004.3999999999869</v>
      </c>
      <c r="B151" s="67">
        <f>LOOKUP(A151+0.01,AmountsB!$A$4:$A$103,AmountsB!$B$4:$B$103)*0.1*$A$2</f>
        <v>8201.9897614900019</v>
      </c>
      <c r="C151" s="68">
        <f t="shared" si="19"/>
        <v>353321.54231115017</v>
      </c>
      <c r="D151" s="67">
        <f t="array" ref="D151">SUM($B$7:$B146*$F$1009*EXP(-$F$1009*($A151-$A$7:$A146)))*$F$1010</f>
        <v>47618001.77911406</v>
      </c>
      <c r="E151" s="67">
        <f t="shared" si="17"/>
        <v>90.779516671784791</v>
      </c>
      <c r="F151" s="70">
        <f t="shared" si="21"/>
        <v>5.5121322523107734</v>
      </c>
      <c r="G151" s="67">
        <f>E151/'Lookup Tables'!$C$48</f>
        <v>181.55903334356958</v>
      </c>
      <c r="H151" s="70">
        <f t="shared" si="18"/>
        <v>0.13504331960792626</v>
      </c>
      <c r="I151" s="71">
        <f t="shared" si="22"/>
        <v>0.26144500801474024</v>
      </c>
      <c r="L151" s="74"/>
      <c r="M151" s="74"/>
      <c r="N151" s="74"/>
      <c r="O151" s="74"/>
      <c r="P151" s="74"/>
      <c r="Q151" s="74"/>
      <c r="R151" s="74"/>
      <c r="S151" s="74"/>
      <c r="T151" s="74"/>
      <c r="U151" s="74"/>
      <c r="V151" s="74"/>
      <c r="W151" s="74"/>
      <c r="X151" s="74"/>
      <c r="Y151" s="74"/>
      <c r="Z151" s="74"/>
    </row>
    <row r="152" spans="1:26" x14ac:dyDescent="0.3">
      <c r="A152" s="66">
        <f t="shared" si="20"/>
        <v>2004.4999999999868</v>
      </c>
      <c r="B152" s="67">
        <f>LOOKUP(A152+0.01,AmountsB!$A$4:$A$103,AmountsB!$B$4:$B$103)*0.1*$A$2</f>
        <v>8201.9897614900019</v>
      </c>
      <c r="C152" s="68">
        <f t="shared" si="19"/>
        <v>361523.5320726402</v>
      </c>
      <c r="D152" s="67">
        <f t="array" ref="D152">SUM($B$7:$B147*$F$1009*EXP(-$F$1009*($A152-$A$7:$A147)))*$F$1010</f>
        <v>48803986.328997687</v>
      </c>
      <c r="E152" s="67">
        <f t="shared" si="17"/>
        <v>93.040491517349636</v>
      </c>
      <c r="F152" s="70">
        <f t="shared" si="21"/>
        <v>5.64941864493347</v>
      </c>
      <c r="G152" s="67">
        <f>E152/'Lookup Tables'!$C$48</f>
        <v>186.08098303469927</v>
      </c>
      <c r="H152" s="70">
        <f t="shared" si="18"/>
        <v>0.13526666455475206</v>
      </c>
      <c r="I152" s="71">
        <f t="shared" si="22"/>
        <v>0.26795661556996697</v>
      </c>
      <c r="L152" s="74"/>
      <c r="M152" s="74"/>
      <c r="N152" s="74"/>
      <c r="O152" s="74"/>
      <c r="P152" s="74"/>
      <c r="Q152" s="74"/>
      <c r="R152" s="74"/>
      <c r="S152" s="74"/>
      <c r="T152" s="74"/>
      <c r="U152" s="74"/>
      <c r="V152" s="74"/>
      <c r="W152" s="74"/>
      <c r="X152" s="74"/>
      <c r="Y152" s="74"/>
      <c r="Z152" s="74"/>
    </row>
    <row r="153" spans="1:26" x14ac:dyDescent="0.3">
      <c r="A153" s="66">
        <f t="shared" si="20"/>
        <v>2004.5999999999867</v>
      </c>
      <c r="B153" s="67">
        <f>LOOKUP(A153+0.01,AmountsB!$A$4:$A$103,AmountsB!$B$4:$B$103)*0.1*$A$2</f>
        <v>8201.9897614900019</v>
      </c>
      <c r="C153" s="68">
        <f t="shared" si="19"/>
        <v>369725.52183413022</v>
      </c>
      <c r="D153" s="67">
        <f t="array" ref="D153">SUM($B$7:$B148*$F$1009*EXP(-$F$1009*($A153-$A$7:$A148)))*$F$1010</f>
        <v>49986654.766864978</v>
      </c>
      <c r="E153" s="67">
        <f t="shared" si="17"/>
        <v>95.29514448810194</v>
      </c>
      <c r="F153" s="70">
        <f t="shared" si="21"/>
        <v>5.7863211733175497</v>
      </c>
      <c r="G153" s="67">
        <f>E153/'Lookup Tables'!$C$48</f>
        <v>190.59028897620388</v>
      </c>
      <c r="H153" s="70">
        <f t="shared" si="18"/>
        <v>0.13547111298802073</v>
      </c>
      <c r="I153" s="71">
        <f t="shared" si="22"/>
        <v>0.27445001612573361</v>
      </c>
      <c r="L153" s="74"/>
      <c r="M153" s="74"/>
      <c r="N153" s="74"/>
      <c r="O153" s="74"/>
      <c r="P153" s="74"/>
      <c r="Q153" s="74"/>
      <c r="R153" s="74"/>
      <c r="S153" s="74"/>
      <c r="T153" s="74"/>
      <c r="U153" s="74"/>
      <c r="V153" s="74"/>
      <c r="W153" s="74"/>
      <c r="X153" s="74"/>
      <c r="Y153" s="74"/>
      <c r="Z153" s="74"/>
    </row>
    <row r="154" spans="1:26" x14ac:dyDescent="0.3">
      <c r="A154" s="66">
        <f t="shared" si="20"/>
        <v>2004.6999999999866</v>
      </c>
      <c r="B154" s="67">
        <f>LOOKUP(A154+0.01,AmountsB!$A$4:$A$103,AmountsB!$B$4:$B$103)*0.1*$A$2</f>
        <v>8201.9897614900019</v>
      </c>
      <c r="C154" s="68">
        <f t="shared" si="19"/>
        <v>377927.51159562025</v>
      </c>
      <c r="D154" s="67">
        <f t="array" ref="D154">SUM($B$7:$B149*$F$1009*EXP(-$F$1009*($A154-$A$7:$A149)))*$F$1010</f>
        <v>51166016.364842586</v>
      </c>
      <c r="E154" s="67">
        <f t="shared" si="17"/>
        <v>97.543493260532571</v>
      </c>
      <c r="F154" s="70">
        <f t="shared" si="21"/>
        <v>5.9228409107795379</v>
      </c>
      <c r="G154" s="67">
        <f>E154/'Lookup Tables'!$C$48</f>
        <v>195.08698652106514</v>
      </c>
      <c r="H154" s="70">
        <f t="shared" si="18"/>
        <v>0.13565791979863384</v>
      </c>
      <c r="I154" s="71">
        <f t="shared" si="22"/>
        <v>0.28092526059033379</v>
      </c>
      <c r="L154" s="74"/>
      <c r="M154" s="74"/>
      <c r="N154" s="74"/>
      <c r="O154" s="74"/>
      <c r="P154" s="74"/>
      <c r="Q154" s="74"/>
      <c r="R154" s="74"/>
      <c r="S154" s="74"/>
      <c r="T154" s="74"/>
      <c r="U154" s="74"/>
      <c r="V154" s="74"/>
      <c r="W154" s="74"/>
      <c r="X154" s="74"/>
      <c r="Y154" s="74"/>
      <c r="Z154" s="74"/>
    </row>
    <row r="155" spans="1:26" x14ac:dyDescent="0.3">
      <c r="A155" s="66">
        <f t="shared" si="20"/>
        <v>2004.7999999999865</v>
      </c>
      <c r="B155" s="67">
        <f>LOOKUP(A155+0.01,AmountsB!$A$4:$A$103,AmountsB!$B$4:$B$103)*0.1*$A$2</f>
        <v>8201.9897614900019</v>
      </c>
      <c r="C155" s="68">
        <f t="shared" si="19"/>
        <v>386129.50135711028</v>
      </c>
      <c r="D155" s="67">
        <f t="array" ref="D155">SUM($B$7:$B150*$F$1009*EXP(-$F$1009*($A155-$A$7:$A150)))*$F$1010</f>
        <v>52342080.369131431</v>
      </c>
      <c r="E155" s="67">
        <f t="shared" si="17"/>
        <v>99.785555461707361</v>
      </c>
      <c r="F155" s="70">
        <f t="shared" si="21"/>
        <v>6.0589789276348709</v>
      </c>
      <c r="G155" s="67">
        <f>E155/'Lookup Tables'!$C$48</f>
        <v>199.57111092341472</v>
      </c>
      <c r="H155" s="70">
        <f t="shared" si="18"/>
        <v>0.13582823318689585</v>
      </c>
      <c r="I155" s="71">
        <f t="shared" si="22"/>
        <v>0.28738239972971719</v>
      </c>
      <c r="L155" s="74"/>
      <c r="M155" s="74"/>
      <c r="N155" s="74"/>
      <c r="O155" s="74"/>
      <c r="P155" s="74"/>
      <c r="Q155" s="74"/>
      <c r="R155" s="74"/>
      <c r="S155" s="74"/>
      <c r="T155" s="74"/>
      <c r="U155" s="74"/>
      <c r="V155" s="74"/>
      <c r="W155" s="74"/>
      <c r="X155" s="74"/>
      <c r="Y155" s="74"/>
      <c r="Z155" s="74"/>
    </row>
    <row r="156" spans="1:26" x14ac:dyDescent="0.3">
      <c r="A156" s="66">
        <f t="shared" si="20"/>
        <v>2004.8999999999864</v>
      </c>
      <c r="B156" s="67">
        <f>LOOKUP(A156+0.01,AmountsB!$A$4:$A$103,AmountsB!$B$4:$B$103)*0.1*$A$2</f>
        <v>8201.9897614900019</v>
      </c>
      <c r="C156" s="68">
        <f t="shared" si="19"/>
        <v>394331.4911186003</v>
      </c>
      <c r="D156" s="67">
        <f t="array" ref="D156">SUM($B$7:$B151*$F$1009*EXP(-$F$1009*($A156-$A$7:$A151)))*$F$1010</f>
        <v>53514856.000079364</v>
      </c>
      <c r="E156" s="67">
        <f t="shared" si="17"/>
        <v>102.02134866940548</v>
      </c>
      <c r="F156" s="70">
        <f t="shared" si="21"/>
        <v>6.1947362912063006</v>
      </c>
      <c r="G156" s="67">
        <f>E156/'Lookup Tables'!$C$48</f>
        <v>204.04269733881097</v>
      </c>
      <c r="H156" s="70">
        <f t="shared" si="18"/>
        <v>0.13598310575837799</v>
      </c>
      <c r="I156" s="71">
        <f t="shared" si="22"/>
        <v>0.29382148416788778</v>
      </c>
      <c r="L156" s="74"/>
      <c r="M156" s="74"/>
      <c r="N156" s="74"/>
      <c r="O156" s="74"/>
      <c r="P156" s="74"/>
      <c r="Q156" s="74"/>
      <c r="R156" s="74"/>
      <c r="S156" s="74"/>
      <c r="T156" s="74"/>
      <c r="U156" s="74"/>
      <c r="V156" s="74"/>
      <c r="W156" s="74"/>
      <c r="X156" s="74"/>
      <c r="Y156" s="74"/>
      <c r="Z156" s="74"/>
    </row>
    <row r="157" spans="1:26" x14ac:dyDescent="0.3">
      <c r="A157" s="66">
        <f t="shared" si="20"/>
        <v>2004.9999999999864</v>
      </c>
      <c r="B157" s="67">
        <f>LOOKUP(A157+0.01,AmountsB!$A$4:$A$103,AmountsB!$B$4:$B$103)*0.1*$A$2</f>
        <v>8366.1142949300011</v>
      </c>
      <c r="C157" s="68">
        <f t="shared" si="19"/>
        <v>402697.60541353031</v>
      </c>
      <c r="D157" s="67">
        <f t="array" ref="D157">SUM($B$7:$B152*$F$1009*EXP(-$F$1009*($A157-$A$7:$A152)))*$F$1010</f>
        <v>54684352.452253312</v>
      </c>
      <c r="E157" s="67">
        <f t="shared" si="17"/>
        <v>104.25089041225714</v>
      </c>
      <c r="F157" s="70">
        <f t="shared" si="21"/>
        <v>6.3301140658322534</v>
      </c>
      <c r="G157" s="67">
        <f>E157/'Lookup Tables'!$C$48</f>
        <v>208.50178082451427</v>
      </c>
      <c r="H157" s="70">
        <f t="shared" si="18"/>
        <v>0.13606802539690818</v>
      </c>
      <c r="I157" s="71">
        <f t="shared" si="22"/>
        <v>0.30024256438730051</v>
      </c>
      <c r="L157" s="74"/>
      <c r="M157" s="74"/>
      <c r="N157" s="74"/>
      <c r="O157" s="74"/>
      <c r="P157" s="74"/>
      <c r="Q157" s="74"/>
      <c r="R157" s="74"/>
      <c r="S157" s="74"/>
      <c r="T157" s="74"/>
      <c r="U157" s="74"/>
      <c r="V157" s="74"/>
      <c r="W157" s="74"/>
      <c r="X157" s="74"/>
      <c r="Y157" s="74"/>
      <c r="Z157" s="74"/>
    </row>
    <row r="158" spans="1:26" x14ac:dyDescent="0.3">
      <c r="A158" s="66">
        <f t="shared" si="20"/>
        <v>2005.0999999999863</v>
      </c>
      <c r="B158" s="67">
        <f>LOOKUP(A158+0.01,AmountsB!$A$4:$A$103,AmountsB!$B$4:$B$103)*0.1*$A$2</f>
        <v>8366.1142949300011</v>
      </c>
      <c r="C158" s="68">
        <f t="shared" si="19"/>
        <v>411063.71970846032</v>
      </c>
      <c r="D158" s="67">
        <f t="array" ref="D158">SUM($B$7:$B153*$F$1009*EXP(-$F$1009*($A158-$A$7:$A153)))*$F$1010</f>
        <v>55850578.894511469</v>
      </c>
      <c r="E158" s="67">
        <f t="shared" si="17"/>
        <v>106.47419816988098</v>
      </c>
      <c r="F158" s="70">
        <f t="shared" si="21"/>
        <v>6.4651133128751734</v>
      </c>
      <c r="G158" s="67">
        <f>E158/'Lookup Tables'!$C$48</f>
        <v>212.94839633976196</v>
      </c>
      <c r="H158" s="70">
        <f t="shared" si="18"/>
        <v>0.13614151742163014</v>
      </c>
      <c r="I158" s="71">
        <f t="shared" si="22"/>
        <v>0.30664569072925718</v>
      </c>
      <c r="L158" s="74"/>
      <c r="M158" s="74"/>
      <c r="N158" s="74"/>
      <c r="O158" s="74"/>
      <c r="P158" s="74"/>
      <c r="Q158" s="74"/>
      <c r="R158" s="74"/>
      <c r="S158" s="74"/>
      <c r="T158" s="74"/>
      <c r="U158" s="74"/>
      <c r="V158" s="74"/>
      <c r="W158" s="74"/>
      <c r="X158" s="74"/>
      <c r="Y158" s="74"/>
      <c r="Z158" s="74"/>
    </row>
    <row r="159" spans="1:26" x14ac:dyDescent="0.3">
      <c r="A159" s="66">
        <f t="shared" si="20"/>
        <v>2005.1999999999862</v>
      </c>
      <c r="B159" s="67">
        <f>LOOKUP(A159+0.01,AmountsB!$A$4:$A$103,AmountsB!$B$4:$B$103)*0.1*$A$2</f>
        <v>8366.1142949300011</v>
      </c>
      <c r="C159" s="68">
        <f t="shared" si="19"/>
        <v>419429.83400339034</v>
      </c>
      <c r="D159" s="67">
        <f t="array" ref="D159">SUM($B$7:$B154*$F$1009*EXP(-$F$1009*($A159-$A$7:$A154)))*$F$1010</f>
        <v>57013544.470075116</v>
      </c>
      <c r="E159" s="67">
        <f t="shared" si="17"/>
        <v>108.69128937302125</v>
      </c>
      <c r="F159" s="70">
        <f t="shared" si="21"/>
        <v>6.5997350907298502</v>
      </c>
      <c r="G159" s="67">
        <f>E159/'Lookup Tables'!$C$48</f>
        <v>217.3825787460425</v>
      </c>
      <c r="H159" s="70">
        <f t="shared" si="18"/>
        <v>0.13620428749471883</v>
      </c>
      <c r="I159" s="71">
        <f t="shared" si="22"/>
        <v>0.31303091339430122</v>
      </c>
      <c r="L159" s="74"/>
      <c r="M159" s="74"/>
      <c r="N159" s="74"/>
      <c r="O159" s="74"/>
      <c r="P159" s="74"/>
      <c r="Q159" s="74"/>
      <c r="R159" s="74"/>
      <c r="S159" s="74"/>
      <c r="T159" s="74"/>
      <c r="U159" s="74"/>
      <c r="V159" s="74"/>
      <c r="W159" s="74"/>
      <c r="X159" s="74"/>
      <c r="Y159" s="74"/>
      <c r="Z159" s="74"/>
    </row>
    <row r="160" spans="1:26" x14ac:dyDescent="0.3">
      <c r="A160" s="66">
        <f t="shared" si="20"/>
        <v>2005.2999999999861</v>
      </c>
      <c r="B160" s="67">
        <f>LOOKUP(A160+0.01,AmountsB!$A$4:$A$103,AmountsB!$B$4:$B$103)*0.1*$A$2</f>
        <v>8366.1142949300011</v>
      </c>
      <c r="C160" s="68">
        <f t="shared" si="19"/>
        <v>427795.94829832035</v>
      </c>
      <c r="D160" s="67">
        <f t="array" ref="D160">SUM($B$7:$B155*$F$1009*EXP(-$F$1009*($A160-$A$7:$A155)))*$F$1010</f>
        <v>58173258.296600334</v>
      </c>
      <c r="E160" s="67">
        <f t="shared" si="17"/>
        <v>110.90218140368437</v>
      </c>
      <c r="F160" s="70">
        <f t="shared" si="21"/>
        <v>6.7339804548317144</v>
      </c>
      <c r="G160" s="67">
        <f>E160/'Lookup Tables'!$C$48</f>
        <v>221.80436280736873</v>
      </c>
      <c r="H160" s="70">
        <f t="shared" si="18"/>
        <v>0.13625698601784855</v>
      </c>
      <c r="I160" s="71">
        <f t="shared" si="22"/>
        <v>0.31939828244261093</v>
      </c>
      <c r="L160" s="74"/>
      <c r="M160" s="74"/>
      <c r="N160" s="74"/>
      <c r="O160" s="74"/>
      <c r="P160" s="74"/>
      <c r="Q160" s="74"/>
      <c r="R160" s="74"/>
      <c r="S160" s="74"/>
      <c r="T160" s="74"/>
      <c r="U160" s="74"/>
      <c r="V160" s="74"/>
      <c r="W160" s="74"/>
      <c r="X160" s="74"/>
      <c r="Y160" s="74"/>
      <c r="Z160" s="74"/>
    </row>
    <row r="161" spans="1:26" x14ac:dyDescent="0.3">
      <c r="A161" s="66">
        <f t="shared" si="20"/>
        <v>2005.399999999986</v>
      </c>
      <c r="B161" s="67">
        <f>LOOKUP(A161+0.01,AmountsB!$A$4:$A$103,AmountsB!$B$4:$B$103)*0.1*$A$2</f>
        <v>8366.1142949300011</v>
      </c>
      <c r="C161" s="68">
        <f t="shared" si="19"/>
        <v>436162.06259325036</v>
      </c>
      <c r="D161" s="67">
        <f t="array" ref="D161">SUM($B$7:$B156*$F$1009*EXP(-$F$1009*($A161-$A$7:$A156)))*$F$1010</f>
        <v>59329729.466249421</v>
      </c>
      <c r="E161" s="67">
        <f t="shared" si="17"/>
        <v>113.1068915952751</v>
      </c>
      <c r="F161" s="70">
        <f t="shared" si="21"/>
        <v>6.8678504576651047</v>
      </c>
      <c r="G161" s="67">
        <f>E161/'Lookup Tables'!$C$48</f>
        <v>226.2137831905502</v>
      </c>
      <c r="H161" s="70">
        <f t="shared" si="18"/>
        <v>0.13630021343217247</v>
      </c>
      <c r="I161" s="71">
        <f t="shared" si="22"/>
        <v>0.32574784779439225</v>
      </c>
      <c r="L161" s="74"/>
      <c r="M161" s="74"/>
      <c r="N161" s="74"/>
      <c r="O161" s="74"/>
      <c r="P161" s="74"/>
      <c r="Q161" s="74"/>
      <c r="R161" s="74"/>
      <c r="S161" s="74"/>
      <c r="T161" s="74"/>
      <c r="U161" s="74"/>
      <c r="V161" s="74"/>
      <c r="W161" s="74"/>
      <c r="X161" s="74"/>
      <c r="Y161" s="74"/>
      <c r="Z161" s="74"/>
    </row>
    <row r="162" spans="1:26" x14ac:dyDescent="0.3">
      <c r="A162" s="66">
        <f t="shared" si="20"/>
        <v>2005.4999999999859</v>
      </c>
      <c r="B162" s="67">
        <f>LOOKUP(A162+0.01,AmountsB!$A$4:$A$103,AmountsB!$B$4:$B$103)*0.1*$A$2</f>
        <v>8366.1142949300011</v>
      </c>
      <c r="C162" s="68">
        <f t="shared" si="19"/>
        <v>444528.17688818037</v>
      </c>
      <c r="D162" s="67">
        <f t="array" ref="D162">SUM($B$7:$B157*$F$1009*EXP(-$F$1009*($A162-$A$7:$A157)))*$F$1010</f>
        <v>60509363.243561894</v>
      </c>
      <c r="E162" s="67">
        <f t="shared" si="17"/>
        <v>115.35575925357963</v>
      </c>
      <c r="F162" s="70">
        <f t="shared" si="21"/>
        <v>7.0044017018773559</v>
      </c>
      <c r="G162" s="67">
        <f>E162/'Lookup Tables'!$C$48</f>
        <v>230.71151850715927</v>
      </c>
      <c r="H162" s="70">
        <f t="shared" si="18"/>
        <v>0.13639402453206692</v>
      </c>
      <c r="I162" s="71">
        <f t="shared" si="22"/>
        <v>0.33222458665030935</v>
      </c>
      <c r="L162" s="74"/>
      <c r="M162" s="74"/>
      <c r="N162" s="74"/>
      <c r="O162" s="74"/>
      <c r="P162" s="74"/>
      <c r="Q162" s="74"/>
      <c r="R162" s="74"/>
      <c r="S162" s="74"/>
      <c r="T162" s="74"/>
      <c r="U162" s="74"/>
      <c r="V162" s="74"/>
      <c r="W162" s="74"/>
      <c r="X162" s="74"/>
      <c r="Y162" s="74"/>
      <c r="Z162" s="74"/>
    </row>
    <row r="163" spans="1:26" x14ac:dyDescent="0.3">
      <c r="A163" s="66">
        <f t="shared" si="20"/>
        <v>2005.5999999999858</v>
      </c>
      <c r="B163" s="67">
        <f>LOOKUP(A163+0.01,AmountsB!$A$4:$A$103,AmountsB!$B$4:$B$103)*0.1*$A$2</f>
        <v>8366.1142949300011</v>
      </c>
      <c r="C163" s="68">
        <f t="shared" si="19"/>
        <v>452894.29118311038</v>
      </c>
      <c r="D163" s="67">
        <f t="array" ref="D163">SUM($B$7:$B158*$F$1009*EXP(-$F$1009*($A163-$A$7:$A158)))*$F$1010</f>
        <v>61685698.666149423</v>
      </c>
      <c r="E163" s="67">
        <f t="shared" si="17"/>
        <v>117.59833888978004</v>
      </c>
      <c r="F163" s="70">
        <f t="shared" si="21"/>
        <v>7.1405711373874441</v>
      </c>
      <c r="G163" s="67">
        <f>E163/'Lookup Tables'!$C$48</f>
        <v>235.19667777956008</v>
      </c>
      <c r="H163" s="70">
        <f t="shared" si="18"/>
        <v>0.13647707229649761</v>
      </c>
      <c r="I163" s="71">
        <f t="shared" si="22"/>
        <v>0.33868321600256651</v>
      </c>
      <c r="L163" s="74"/>
      <c r="M163" s="74"/>
      <c r="N163" s="74"/>
      <c r="O163" s="74"/>
      <c r="P163" s="74"/>
      <c r="Q163" s="74"/>
      <c r="R163" s="74"/>
      <c r="S163" s="74"/>
      <c r="T163" s="74"/>
      <c r="U163" s="74"/>
      <c r="V163" s="74"/>
      <c r="W163" s="74"/>
      <c r="X163" s="74"/>
      <c r="Y163" s="74"/>
      <c r="Z163" s="74"/>
    </row>
    <row r="164" spans="1:26" x14ac:dyDescent="0.3">
      <c r="A164" s="66">
        <f t="shared" si="20"/>
        <v>2005.6999999999857</v>
      </c>
      <c r="B164" s="67">
        <f>LOOKUP(A164+0.01,AmountsB!$A$4:$A$103,AmountsB!$B$4:$B$103)*0.1*$A$2</f>
        <v>8366.1142949300011</v>
      </c>
      <c r="C164" s="68">
        <f t="shared" si="19"/>
        <v>461260.4054780404</v>
      </c>
      <c r="D164" s="67">
        <f t="array" ref="D164">SUM($B$7:$B159*$F$1009*EXP(-$F$1009*($A164-$A$7:$A159)))*$F$1010</f>
        <v>62858744.95648776</v>
      </c>
      <c r="E164" s="67">
        <f t="shared" si="17"/>
        <v>119.83464808571215</v>
      </c>
      <c r="F164" s="70">
        <f t="shared" si="21"/>
        <v>7.2763598317644416</v>
      </c>
      <c r="G164" s="67">
        <f>E164/'Lookup Tables'!$C$48</f>
        <v>239.66929617142429</v>
      </c>
      <c r="H164" s="70">
        <f t="shared" si="18"/>
        <v>0.13654996241997816</v>
      </c>
      <c r="I164" s="71">
        <f t="shared" si="22"/>
        <v>0.34512378648685099</v>
      </c>
      <c r="L164" s="74"/>
      <c r="M164" s="74"/>
      <c r="N164" s="74"/>
      <c r="O164" s="74"/>
      <c r="P164" s="74"/>
      <c r="Q164" s="74"/>
      <c r="R164" s="74"/>
      <c r="S164" s="74"/>
      <c r="T164" s="74"/>
      <c r="U164" s="74"/>
      <c r="V164" s="74"/>
      <c r="W164" s="74"/>
      <c r="X164" s="74"/>
      <c r="Y164" s="74"/>
      <c r="Z164" s="74"/>
    </row>
    <row r="165" spans="1:26" x14ac:dyDescent="0.3">
      <c r="A165" s="66">
        <f t="shared" si="20"/>
        <v>2005.7999999999856</v>
      </c>
      <c r="B165" s="67">
        <f>LOOKUP(A165+0.01,AmountsB!$A$4:$A$103,AmountsB!$B$4:$B$103)*0.1*$A$2</f>
        <v>8366.1142949300011</v>
      </c>
      <c r="C165" s="68">
        <f t="shared" si="19"/>
        <v>469626.51977297041</v>
      </c>
      <c r="D165" s="67">
        <f t="array" ref="D165">SUM($B$7:$B160*$F$1009*EXP(-$F$1009*($A165-$A$7:$A160)))*$F$1010</f>
        <v>64028511.311265811</v>
      </c>
      <c r="E165" s="67">
        <f t="shared" si="17"/>
        <v>122.06470437405147</v>
      </c>
      <c r="F165" s="70">
        <f t="shared" si="21"/>
        <v>7.4117688495924057</v>
      </c>
      <c r="G165" s="67">
        <f>E165/'Lookup Tables'!$C$48</f>
        <v>244.12940874810295</v>
      </c>
      <c r="H165" s="70">
        <f t="shared" si="18"/>
        <v>0.13661325738166724</v>
      </c>
      <c r="I165" s="71">
        <f t="shared" si="22"/>
        <v>0.35154634859726824</v>
      </c>
      <c r="L165" s="74"/>
      <c r="M165" s="74"/>
      <c r="N165" s="74"/>
      <c r="O165" s="74"/>
      <c r="P165" s="74"/>
      <c r="Q165" s="74"/>
      <c r="R165" s="74"/>
      <c r="S165" s="74"/>
      <c r="T165" s="74"/>
      <c r="U165" s="74"/>
      <c r="V165" s="74"/>
      <c r="W165" s="74"/>
      <c r="X165" s="74"/>
      <c r="Y165" s="74"/>
      <c r="Z165" s="74"/>
    </row>
    <row r="166" spans="1:26" x14ac:dyDescent="0.3">
      <c r="A166" s="66">
        <f t="shared" si="20"/>
        <v>2005.8999999999855</v>
      </c>
      <c r="B166" s="67">
        <f>LOOKUP(A166+0.01,AmountsB!$A$4:$A$103,AmountsB!$B$4:$B$103)*0.1*$A$2</f>
        <v>8366.1142949300011</v>
      </c>
      <c r="C166" s="68">
        <f t="shared" si="19"/>
        <v>477992.63406790042</v>
      </c>
      <c r="D166" s="67">
        <f t="array" ref="D166">SUM($B$7:$B161*$F$1009*EXP(-$F$1009*($A166-$A$7:$A161)))*$F$1010</f>
        <v>65195006.901457839</v>
      </c>
      <c r="E166" s="67">
        <f t="shared" si="17"/>
        <v>124.28852523845086</v>
      </c>
      <c r="F166" s="70">
        <f t="shared" si="21"/>
        <v>7.5467992524787366</v>
      </c>
      <c r="G166" s="67">
        <f>E166/'Lookup Tables'!$C$48</f>
        <v>248.57705047690172</v>
      </c>
      <c r="H166" s="70">
        <f t="shared" si="18"/>
        <v>0.13666748022742539</v>
      </c>
      <c r="I166" s="71">
        <f t="shared" si="22"/>
        <v>0.35795095268673843</v>
      </c>
      <c r="L166" s="74"/>
      <c r="M166" s="74"/>
      <c r="N166" s="74"/>
      <c r="O166" s="74"/>
      <c r="P166" s="74"/>
      <c r="Q166" s="74"/>
      <c r="R166" s="74"/>
      <c r="S166" s="74"/>
      <c r="T166" s="74"/>
      <c r="U166" s="74"/>
      <c r="V166" s="74"/>
      <c r="W166" s="74"/>
      <c r="X166" s="74"/>
      <c r="Y166" s="74"/>
      <c r="Z166" s="74"/>
    </row>
    <row r="167" spans="1:26" x14ac:dyDescent="0.3">
      <c r="A167" s="66">
        <f t="shared" si="20"/>
        <v>2005.9999999999854</v>
      </c>
      <c r="B167" s="67">
        <f>LOOKUP(A167+0.01,AmountsB!$A$4:$A$103,AmountsB!$B$4:$B$103)*0.1*$A$2</f>
        <v>8533.3607624300002</v>
      </c>
      <c r="C167" s="68">
        <f t="shared" si="19"/>
        <v>486525.99483033043</v>
      </c>
      <c r="D167" s="67">
        <f t="array" ref="D167">SUM($B$7:$B162*$F$1009*EXP(-$F$1009*($A167-$A$7:$A162)))*$F$1010</f>
        <v>66358240.872395195</v>
      </c>
      <c r="E167" s="67">
        <f t="shared" si="17"/>
        <v>126.50612811367716</v>
      </c>
      <c r="F167" s="70">
        <f t="shared" si="21"/>
        <v>7.6814520990624775</v>
      </c>
      <c r="G167" s="67">
        <f>E167/'Lookup Tables'!$C$48</f>
        <v>253.01225622735433</v>
      </c>
      <c r="H167" s="70">
        <f t="shared" si="18"/>
        <v>0.13666612194017874</v>
      </c>
      <c r="I167" s="71">
        <f t="shared" si="22"/>
        <v>0.36433764896739018</v>
      </c>
      <c r="L167" s="74"/>
      <c r="M167" s="74"/>
      <c r="N167" s="74"/>
      <c r="O167" s="74"/>
      <c r="P167" s="74"/>
      <c r="Q167" s="74"/>
      <c r="R167" s="74"/>
      <c r="S167" s="74"/>
      <c r="T167" s="74"/>
      <c r="U167" s="74"/>
      <c r="V167" s="74"/>
      <c r="W167" s="74"/>
      <c r="X167" s="74"/>
      <c r="Y167" s="74"/>
      <c r="Z167" s="74"/>
    </row>
    <row r="168" spans="1:26" x14ac:dyDescent="0.3">
      <c r="A168" s="66">
        <f t="shared" si="20"/>
        <v>2006.0999999999854</v>
      </c>
      <c r="B168" s="67">
        <f>LOOKUP(A168+0.01,AmountsB!$A$4:$A$103,AmountsB!$B$4:$B$103)*0.1*$A$2</f>
        <v>8533.3607624300002</v>
      </c>
      <c r="C168" s="68">
        <f t="shared" si="19"/>
        <v>495059.35559276043</v>
      </c>
      <c r="D168" s="67">
        <f t="array" ref="D168">SUM($B$7:$B163*$F$1009*EXP(-$F$1009*($A168-$A$7:$A163)))*$F$1010</f>
        <v>67518222.3438382</v>
      </c>
      <c r="E168" s="67">
        <f t="shared" si="17"/>
        <v>128.71753038574832</v>
      </c>
      <c r="F168" s="70">
        <f t="shared" si="21"/>
        <v>7.8157284450226374</v>
      </c>
      <c r="G168" s="67">
        <f>E168/'Lookup Tables'!$C$48</f>
        <v>257.43506077149664</v>
      </c>
      <c r="H168" s="70">
        <f t="shared" si="18"/>
        <v>0.13665822735486682</v>
      </c>
      <c r="I168" s="71">
        <f t="shared" si="22"/>
        <v>0.37070648751095514</v>
      </c>
      <c r="L168" s="74"/>
      <c r="M168" s="74"/>
      <c r="N168" s="74"/>
      <c r="O168" s="74"/>
      <c r="P168" s="74"/>
      <c r="Q168" s="74"/>
      <c r="R168" s="74"/>
      <c r="S168" s="74"/>
      <c r="T168" s="74"/>
      <c r="U168" s="74"/>
      <c r="V168" s="74"/>
      <c r="W168" s="74"/>
      <c r="X168" s="74"/>
      <c r="Y168" s="74"/>
      <c r="Z168" s="74"/>
    </row>
    <row r="169" spans="1:26" x14ac:dyDescent="0.3">
      <c r="A169" s="66">
        <f t="shared" si="20"/>
        <v>2006.1999999999853</v>
      </c>
      <c r="B169" s="67">
        <f>LOOKUP(A169+0.01,AmountsB!$A$4:$A$103,AmountsB!$B$4:$B$103)*0.1*$A$2</f>
        <v>8533.3607624300002</v>
      </c>
      <c r="C169" s="68">
        <f t="shared" si="19"/>
        <v>503592.71635519044</v>
      </c>
      <c r="D169" s="67">
        <f t="array" ref="D169">SUM($B$7:$B164*$F$1009*EXP(-$F$1009*($A169-$A$7:$A164)))*$F$1010</f>
        <v>68674960.410047516</v>
      </c>
      <c r="E169" s="67">
        <f t="shared" si="17"/>
        <v>130.92274939206948</v>
      </c>
      <c r="F169" s="70">
        <f t="shared" si="21"/>
        <v>7.9496293430864586</v>
      </c>
      <c r="G169" s="67">
        <f>E169/'Lookup Tables'!$C$48</f>
        <v>261.84549878413895</v>
      </c>
      <c r="H169" s="70">
        <f t="shared" si="18"/>
        <v>0.13664414683856752</v>
      </c>
      <c r="I169" s="71">
        <f t="shared" si="22"/>
        <v>0.37705751824916012</v>
      </c>
      <c r="L169" s="74"/>
      <c r="M169" s="74"/>
      <c r="N169" s="74"/>
      <c r="O169" s="74"/>
      <c r="P169" s="74"/>
      <c r="Q169" s="74"/>
      <c r="R169" s="74"/>
      <c r="S169" s="74"/>
      <c r="T169" s="74"/>
      <c r="U169" s="74"/>
      <c r="V169" s="74"/>
      <c r="W169" s="74"/>
      <c r="X169" s="74"/>
      <c r="Y169" s="74"/>
      <c r="Z169" s="74"/>
    </row>
    <row r="170" spans="1:26" x14ac:dyDescent="0.3">
      <c r="A170" s="66">
        <f t="shared" si="20"/>
        <v>2006.2999999999852</v>
      </c>
      <c r="B170" s="67">
        <f>LOOKUP(A170+0.01,AmountsB!$A$4:$A$103,AmountsB!$B$4:$B$103)*0.1*$A$2</f>
        <v>8533.3607624300002</v>
      </c>
      <c r="C170" s="68">
        <f t="shared" si="19"/>
        <v>512126.07711762044</v>
      </c>
      <c r="D170" s="67">
        <f t="array" ref="D170">SUM($B$7:$B165*$F$1009*EXP(-$F$1009*($A170-$A$7:$A165)))*$F$1010</f>
        <v>69828464.139855489</v>
      </c>
      <c r="E170" s="67">
        <f t="shared" si="17"/>
        <v>133.12180242156887</v>
      </c>
      <c r="F170" s="70">
        <f t="shared" si="21"/>
        <v>8.0831558430376624</v>
      </c>
      <c r="G170" s="67">
        <f>E170/'Lookup Tables'!$C$48</f>
        <v>266.24360484313775</v>
      </c>
      <c r="H170" s="70">
        <f t="shared" si="18"/>
        <v>0.1366242073564764</v>
      </c>
      <c r="I170" s="71">
        <f t="shared" si="22"/>
        <v>0.38339079097411832</v>
      </c>
      <c r="L170" s="74"/>
      <c r="M170" s="74"/>
      <c r="N170" s="74"/>
      <c r="O170" s="74"/>
      <c r="P170" s="74"/>
      <c r="Q170" s="74"/>
      <c r="R170" s="74"/>
      <c r="S170" s="74"/>
      <c r="T170" s="74"/>
      <c r="U170" s="74"/>
      <c r="V170" s="74"/>
      <c r="W170" s="74"/>
      <c r="X170" s="74"/>
      <c r="Y170" s="74"/>
      <c r="Z170" s="74"/>
    </row>
    <row r="171" spans="1:26" x14ac:dyDescent="0.3">
      <c r="A171" s="66">
        <f t="shared" si="20"/>
        <v>2006.3999999999851</v>
      </c>
      <c r="B171" s="67">
        <f>LOOKUP(A171+0.01,AmountsB!$A$4:$A$103,AmountsB!$B$4:$B$103)*0.1*$A$2</f>
        <v>8533.3607624300002</v>
      </c>
      <c r="C171" s="68">
        <f t="shared" si="19"/>
        <v>520659.43788005045</v>
      </c>
      <c r="D171" s="67">
        <f t="array" ref="D171">SUM($B$7:$B166*$F$1009*EXP(-$F$1009*($A171-$A$7:$A166)))*$F$1010</f>
        <v>70978742.5767373</v>
      </c>
      <c r="E171" s="67">
        <f t="shared" si="17"/>
        <v>135.31470671483359</v>
      </c>
      <c r="F171" s="70">
        <f t="shared" si="21"/>
        <v>8.216308991724695</v>
      </c>
      <c r="G171" s="67">
        <f>E171/'Lookup Tables'!$C$48</f>
        <v>270.62941342966718</v>
      </c>
      <c r="H171" s="70">
        <f t="shared" si="18"/>
        <v>0.13659871438977256</v>
      </c>
      <c r="I171" s="71">
        <f t="shared" si="22"/>
        <v>0.38970635533872072</v>
      </c>
      <c r="L171" s="74"/>
      <c r="M171" s="74"/>
      <c r="N171" s="74"/>
      <c r="O171" s="74"/>
      <c r="P171" s="74"/>
      <c r="Q171" s="74"/>
      <c r="R171" s="74"/>
      <c r="S171" s="74"/>
      <c r="T171" s="74"/>
      <c r="U171" s="74"/>
      <c r="V171" s="74"/>
      <c r="W171" s="74"/>
      <c r="X171" s="74"/>
      <c r="Y171" s="74"/>
      <c r="Z171" s="74"/>
    </row>
    <row r="172" spans="1:26" x14ac:dyDescent="0.3">
      <c r="A172" s="66">
        <f t="shared" si="20"/>
        <v>2006.499999999985</v>
      </c>
      <c r="B172" s="67">
        <f>LOOKUP(A172+0.01,AmountsB!$A$4:$A$103,AmountsB!$B$4:$B$103)*0.1*$A$2</f>
        <v>8533.3607624300002</v>
      </c>
      <c r="C172" s="68">
        <f t="shared" si="19"/>
        <v>529192.7986424804</v>
      </c>
      <c r="D172" s="67">
        <f t="array" ref="D172">SUM($B$7:$B167*$F$1009*EXP(-$F$1009*($A172-$A$7:$A167)))*$F$1010</f>
        <v>72152703.038269952</v>
      </c>
      <c r="E172" s="67">
        <f t="shared" si="17"/>
        <v>137.55275869744457</v>
      </c>
      <c r="F172" s="70">
        <f t="shared" si="21"/>
        <v>8.3522035081088344</v>
      </c>
      <c r="G172" s="67">
        <f>E172/'Lookup Tables'!$C$48</f>
        <v>275.10551739488915</v>
      </c>
      <c r="H172" s="70">
        <f t="shared" si="18"/>
        <v>0.13661888475587666</v>
      </c>
      <c r="I172" s="71">
        <f t="shared" si="22"/>
        <v>0.39615194504864037</v>
      </c>
      <c r="L172" s="74"/>
      <c r="M172" s="74"/>
      <c r="N172" s="74"/>
      <c r="O172" s="74"/>
      <c r="P172" s="74"/>
      <c r="Q172" s="74"/>
      <c r="R172" s="74"/>
      <c r="S172" s="74"/>
      <c r="T172" s="74"/>
      <c r="U172" s="74"/>
      <c r="V172" s="74"/>
      <c r="W172" s="74"/>
      <c r="X172" s="74"/>
      <c r="Y172" s="74"/>
      <c r="Z172" s="74"/>
    </row>
    <row r="173" spans="1:26" x14ac:dyDescent="0.3">
      <c r="A173" s="66">
        <f t="shared" si="20"/>
        <v>2006.5999999999849</v>
      </c>
      <c r="B173" s="67">
        <f>LOOKUP(A173+0.01,AmountsB!$A$4:$A$103,AmountsB!$B$4:$B$103)*0.1*$A$2</f>
        <v>8533.3607624300002</v>
      </c>
      <c r="C173" s="68">
        <f t="shared" si="19"/>
        <v>537726.1594049104</v>
      </c>
      <c r="D173" s="67">
        <f t="array" ref="D173">SUM($B$7:$B168*$F$1009*EXP(-$F$1009*($A173-$A$7:$A168)))*$F$1010</f>
        <v>73323381.008143201</v>
      </c>
      <c r="E173" s="67">
        <f t="shared" si="17"/>
        <v>139.78455289948548</v>
      </c>
      <c r="F173" s="70">
        <f t="shared" si="21"/>
        <v>8.4877180520567599</v>
      </c>
      <c r="G173" s="67">
        <f>E173/'Lookup Tables'!$C$48</f>
        <v>279.56910579897095</v>
      </c>
      <c r="H173" s="70">
        <f t="shared" si="18"/>
        <v>0.13663229827851042</v>
      </c>
      <c r="I173" s="71">
        <f t="shared" si="22"/>
        <v>0.4025795123505182</v>
      </c>
      <c r="L173" s="74"/>
      <c r="M173" s="74"/>
      <c r="N173" s="74"/>
      <c r="O173" s="74"/>
      <c r="P173" s="74"/>
      <c r="Q173" s="74"/>
      <c r="R173" s="74"/>
      <c r="S173" s="74"/>
      <c r="T173" s="74"/>
      <c r="U173" s="74"/>
      <c r="V173" s="74"/>
      <c r="W173" s="74"/>
      <c r="X173" s="74"/>
      <c r="Y173" s="74"/>
      <c r="Z173" s="74"/>
    </row>
    <row r="174" spans="1:26" x14ac:dyDescent="0.3">
      <c r="A174" s="66">
        <f t="shared" si="20"/>
        <v>2006.6999999999848</v>
      </c>
      <c r="B174" s="67">
        <f>LOOKUP(A174+0.01,AmountsB!$A$4:$A$103,AmountsB!$B$4:$B$103)*0.1*$A$2</f>
        <v>8533.3607624300002</v>
      </c>
      <c r="C174" s="68">
        <f t="shared" si="19"/>
        <v>546259.52016734041</v>
      </c>
      <c r="D174" s="67">
        <f t="array" ref="D174">SUM($B$7:$B169*$F$1009*EXP(-$F$1009*($A174-$A$7:$A169)))*$F$1010</f>
        <v>74490785.664478317</v>
      </c>
      <c r="E174" s="67">
        <f t="shared" si="17"/>
        <v>142.01010681823425</v>
      </c>
      <c r="F174" s="70">
        <f t="shared" si="21"/>
        <v>8.6228536860031841</v>
      </c>
      <c r="G174" s="67">
        <f>E174/'Lookup Tables'!$C$48</f>
        <v>284.0202136364685</v>
      </c>
      <c r="H174" s="70">
        <f t="shared" si="18"/>
        <v>0.13663928844809631</v>
      </c>
      <c r="I174" s="71">
        <f t="shared" si="22"/>
        <v>0.40898910763651458</v>
      </c>
      <c r="L174" s="74"/>
      <c r="M174" s="74"/>
      <c r="N174" s="74"/>
      <c r="O174" s="74"/>
      <c r="P174" s="74"/>
      <c r="Q174" s="74"/>
      <c r="R174" s="74"/>
      <c r="S174" s="74"/>
      <c r="T174" s="74"/>
      <c r="U174" s="74"/>
      <c r="V174" s="74"/>
      <c r="W174" s="74"/>
      <c r="X174" s="74"/>
      <c r="Y174" s="74"/>
      <c r="Z174" s="74"/>
    </row>
    <row r="175" spans="1:26" x14ac:dyDescent="0.3">
      <c r="A175" s="66">
        <f t="shared" si="20"/>
        <v>2006.7999999999847</v>
      </c>
      <c r="B175" s="67">
        <f>LOOKUP(A175+0.01,AmountsB!$A$4:$A$103,AmountsB!$B$4:$B$103)*0.1*$A$2</f>
        <v>8533.3607624300002</v>
      </c>
      <c r="C175" s="68">
        <f t="shared" si="19"/>
        <v>554792.88092977041</v>
      </c>
      <c r="D175" s="67">
        <f t="array" ref="D175">SUM($B$7:$B170*$F$1009*EXP(-$F$1009*($A175-$A$7:$A170)))*$F$1010</f>
        <v>75654926.159733772</v>
      </c>
      <c r="E175" s="67">
        <f t="shared" si="17"/>
        <v>144.22943790204496</v>
      </c>
      <c r="F175" s="70">
        <f t="shared" si="21"/>
        <v>8.7576114694121703</v>
      </c>
      <c r="G175" s="67">
        <f>E175/'Lookup Tables'!$C$48</f>
        <v>288.45887580408993</v>
      </c>
      <c r="H175" s="70">
        <f t="shared" si="18"/>
        <v>0.13664016819082256</v>
      </c>
      <c r="I175" s="71">
        <f t="shared" si="22"/>
        <v>0.41538078115788951</v>
      </c>
      <c r="L175" s="74"/>
      <c r="M175" s="74"/>
      <c r="N175" s="74"/>
      <c r="O175" s="74"/>
      <c r="P175" s="74"/>
      <c r="Q175" s="74"/>
      <c r="R175" s="74"/>
      <c r="S175" s="74"/>
      <c r="T175" s="74"/>
      <c r="U175" s="74"/>
      <c r="V175" s="74"/>
      <c r="W175" s="74"/>
      <c r="X175" s="74"/>
      <c r="Y175" s="74"/>
      <c r="Z175" s="74"/>
    </row>
    <row r="176" spans="1:26" x14ac:dyDescent="0.3">
      <c r="A176" s="66">
        <f t="shared" si="20"/>
        <v>2006.8999999999846</v>
      </c>
      <c r="B176" s="67">
        <f>LOOKUP(A176+0.01,AmountsB!$A$4:$A$103,AmountsB!$B$4:$B$103)*0.1*$A$2</f>
        <v>8533.3607624300002</v>
      </c>
      <c r="C176" s="68">
        <f t="shared" si="19"/>
        <v>563326.24169220042</v>
      </c>
      <c r="D176" s="67">
        <f t="array" ref="D176">SUM($B$7:$B171*$F$1009*EXP(-$F$1009*($A176-$A$7:$A171)))*$F$1010</f>
        <v>76815811.620777056</v>
      </c>
      <c r="E176" s="67">
        <f t="shared" si="17"/>
        <v>146.44256355048483</v>
      </c>
      <c r="F176" s="70">
        <f t="shared" si="21"/>
        <v>8.8919924587854382</v>
      </c>
      <c r="G176" s="67">
        <f>E176/'Lookup Tables'!$C$48</f>
        <v>292.88512710096967</v>
      </c>
      <c r="H176" s="70">
        <f t="shared" si="18"/>
        <v>0.13663523142632347</v>
      </c>
      <c r="I176" s="71">
        <f t="shared" si="22"/>
        <v>0.42175458302539631</v>
      </c>
      <c r="L176" s="74"/>
      <c r="M176" s="74"/>
      <c r="N176" s="74"/>
      <c r="O176" s="74"/>
      <c r="P176" s="74"/>
      <c r="Q176" s="74"/>
      <c r="R176" s="74"/>
      <c r="S176" s="74"/>
      <c r="T176" s="74"/>
      <c r="U176" s="74"/>
      <c r="V176" s="74"/>
      <c r="W176" s="74"/>
      <c r="X176" s="74"/>
      <c r="Y176" s="74"/>
      <c r="Z176" s="74"/>
    </row>
    <row r="177" spans="1:26" x14ac:dyDescent="0.3">
      <c r="A177" s="66">
        <f t="shared" si="20"/>
        <v>2006.9999999999845</v>
      </c>
      <c r="B177" s="67">
        <f>LOOKUP(A177+0.01,AmountsB!$A$4:$A$103,AmountsB!$B$4:$B$103)*0.1*$A$2</f>
        <v>8703.9521592799993</v>
      </c>
      <c r="C177" s="68">
        <f t="shared" si="19"/>
        <v>572030.19385148038</v>
      </c>
      <c r="D177" s="67">
        <f t="array" ref="D177">SUM($B$7:$B172*$F$1009*EXP(-$F$1009*($A177-$A$7:$A172)))*$F$1010</f>
        <v>77973451.148956105</v>
      </c>
      <c r="E177" s="67">
        <f t="shared" si="17"/>
        <v>148.64950111447013</v>
      </c>
      <c r="F177" s="70">
        <f t="shared" si="21"/>
        <v>9.0259977076706246</v>
      </c>
      <c r="G177" s="67">
        <f>E177/'Lookup Tables'!$C$48</f>
        <v>297.29900222894025</v>
      </c>
      <c r="H177" s="70">
        <f t="shared" si="18"/>
        <v>0.1365840101196667</v>
      </c>
      <c r="I177" s="71">
        <f t="shared" si="22"/>
        <v>0.42811056320967394</v>
      </c>
      <c r="L177" s="74"/>
      <c r="M177" s="74"/>
      <c r="N177" s="74"/>
      <c r="O177" s="74"/>
      <c r="P177" s="74"/>
      <c r="Q177" s="74"/>
      <c r="R177" s="74"/>
      <c r="S177" s="74"/>
      <c r="T177" s="74"/>
      <c r="U177" s="74"/>
      <c r="V177" s="74"/>
      <c r="W177" s="74"/>
      <c r="X177" s="74"/>
      <c r="Y177" s="74"/>
      <c r="Z177" s="74"/>
    </row>
    <row r="178" spans="1:26" x14ac:dyDescent="0.3">
      <c r="A178" s="66">
        <f t="shared" si="20"/>
        <v>2007.0999999999844</v>
      </c>
      <c r="B178" s="67">
        <f>LOOKUP(A178+0.01,AmountsB!$A$4:$A$103,AmountsB!$B$4:$B$103)*0.1*$A$2</f>
        <v>8703.9521592799993</v>
      </c>
      <c r="C178" s="68">
        <f t="shared" si="19"/>
        <v>580734.14601076033</v>
      </c>
      <c r="D178" s="67">
        <f t="array" ref="D178">SUM($B$7:$B173*$F$1009*EXP(-$F$1009*($A178-$A$7:$A173)))*$F$1010</f>
        <v>79127853.820170745</v>
      </c>
      <c r="E178" s="67">
        <f t="shared" si="17"/>
        <v>150.85026789640278</v>
      </c>
      <c r="F178" s="70">
        <f t="shared" si="21"/>
        <v>9.1596282666695767</v>
      </c>
      <c r="G178" s="67">
        <f>E178/'Lookup Tables'!$C$48</f>
        <v>301.70053579280557</v>
      </c>
      <c r="H178" s="70">
        <f t="shared" si="18"/>
        <v>0.13652873927079229</v>
      </c>
      <c r="I178" s="71">
        <f t="shared" si="22"/>
        <v>0.43444877154164002</v>
      </c>
      <c r="L178" s="74"/>
      <c r="M178" s="74"/>
      <c r="N178" s="74"/>
      <c r="O178" s="74"/>
      <c r="P178" s="74"/>
      <c r="Q178" s="74"/>
      <c r="R178" s="74"/>
      <c r="S178" s="74"/>
      <c r="T178" s="74"/>
      <c r="U178" s="74"/>
      <c r="V178" s="74"/>
      <c r="W178" s="74"/>
      <c r="X178" s="74"/>
      <c r="Y178" s="74"/>
      <c r="Z178" s="74"/>
    </row>
    <row r="179" spans="1:26" x14ac:dyDescent="0.3">
      <c r="A179" s="66">
        <f t="shared" si="20"/>
        <v>2007.1999999999844</v>
      </c>
      <c r="B179" s="67">
        <f>LOOKUP(A179+0.01,AmountsB!$A$4:$A$103,AmountsB!$B$4:$B$103)*0.1*$A$2</f>
        <v>8703.9521592799993</v>
      </c>
      <c r="C179" s="68">
        <f t="shared" si="19"/>
        <v>589438.09817004029</v>
      </c>
      <c r="D179" s="67">
        <f t="array" ref="D179">SUM($B$7:$B174*$F$1009*EXP(-$F$1009*($A179-$A$7:$A174)))*$F$1010</f>
        <v>80279028.684943855</v>
      </c>
      <c r="E179" s="67">
        <f t="shared" si="17"/>
        <v>153.04488115030554</v>
      </c>
      <c r="F179" s="70">
        <f t="shared" si="21"/>
        <v>9.2928851834465522</v>
      </c>
      <c r="G179" s="67">
        <f>E179/'Lookup Tables'!$C$48</f>
        <v>306.08976230061108</v>
      </c>
      <c r="H179" s="70">
        <f t="shared" si="18"/>
        <v>0.13646961365804905</v>
      </c>
      <c r="I179" s="71">
        <f t="shared" si="22"/>
        <v>0.44076925771287989</v>
      </c>
      <c r="L179" s="74"/>
      <c r="M179" s="74"/>
      <c r="N179" s="74"/>
      <c r="O179" s="74"/>
      <c r="P179" s="74"/>
      <c r="Q179" s="74"/>
      <c r="R179" s="74"/>
      <c r="S179" s="74"/>
      <c r="T179" s="74"/>
      <c r="U179" s="74"/>
      <c r="V179" s="74"/>
      <c r="W179" s="74"/>
      <c r="X179" s="74"/>
      <c r="Y179" s="74"/>
      <c r="Z179" s="74"/>
    </row>
    <row r="180" spans="1:26" x14ac:dyDescent="0.3">
      <c r="A180" s="66">
        <f t="shared" si="20"/>
        <v>2007.2999999999843</v>
      </c>
      <c r="B180" s="67">
        <f>LOOKUP(A180+0.01,AmountsB!$A$4:$A$103,AmountsB!$B$4:$B$103)*0.1*$A$2</f>
        <v>8703.9521592799993</v>
      </c>
      <c r="C180" s="68">
        <f t="shared" si="19"/>
        <v>598142.05032932025</v>
      </c>
      <c r="D180" s="67">
        <f t="array" ref="D180">SUM($B$7:$B175*$F$1009*EXP(-$F$1009*($A180-$A$7:$A175)))*$F$1010</f>
        <v>81426984.768492237</v>
      </c>
      <c r="E180" s="67">
        <f t="shared" si="17"/>
        <v>155.23335808195759</v>
      </c>
      <c r="F180" s="70">
        <f t="shared" si="21"/>
        <v>9.4257695027364647</v>
      </c>
      <c r="G180" s="67">
        <f>E180/'Lookup Tables'!$C$48</f>
        <v>310.46671616391518</v>
      </c>
      <c r="H180" s="70">
        <f t="shared" si="18"/>
        <v>0.13640681668001001</v>
      </c>
      <c r="I180" s="71">
        <f t="shared" si="22"/>
        <v>0.44707207127603782</v>
      </c>
      <c r="L180" s="74"/>
      <c r="M180" s="74"/>
      <c r="N180" s="74"/>
      <c r="O180" s="74"/>
      <c r="P180" s="74"/>
      <c r="Q180" s="74"/>
      <c r="R180" s="74"/>
      <c r="S180" s="74"/>
      <c r="T180" s="74"/>
      <c r="U180" s="74"/>
      <c r="V180" s="74"/>
      <c r="W180" s="74"/>
      <c r="X180" s="74"/>
      <c r="Y180" s="74"/>
      <c r="Z180" s="74"/>
    </row>
    <row r="181" spans="1:26" x14ac:dyDescent="0.3">
      <c r="A181" s="66">
        <f t="shared" si="20"/>
        <v>2007.3999999999842</v>
      </c>
      <c r="B181" s="67">
        <f>LOOKUP(A181+0.01,AmountsB!$A$4:$A$103,AmountsB!$B$4:$B$103)*0.1*$A$2</f>
        <v>8703.9521592799993</v>
      </c>
      <c r="C181" s="68">
        <f t="shared" si="19"/>
        <v>606846.00248860021</v>
      </c>
      <c r="D181" s="67">
        <f t="array" ref="D181">SUM($B$7:$B176*$F$1009*EXP(-$F$1009*($A181-$A$7:$A176)))*$F$1010</f>
        <v>82571731.070797503</v>
      </c>
      <c r="E181" s="67">
        <f t="shared" si="17"/>
        <v>157.41571584902934</v>
      </c>
      <c r="F181" s="70">
        <f t="shared" si="21"/>
        <v>9.5582822663530607</v>
      </c>
      <c r="G181" s="67">
        <f>E181/'Lookup Tables'!$C$48</f>
        <v>314.83143169805868</v>
      </c>
      <c r="H181" s="70">
        <f t="shared" si="18"/>
        <v>0.13634052117168566</v>
      </c>
      <c r="I181" s="71">
        <f t="shared" si="22"/>
        <v>0.45335726164520451</v>
      </c>
      <c r="L181" s="74"/>
      <c r="M181" s="74"/>
      <c r="N181" s="74"/>
      <c r="O181" s="74"/>
      <c r="P181" s="74"/>
      <c r="Q181" s="74"/>
      <c r="R181" s="74"/>
      <c r="S181" s="74"/>
      <c r="T181" s="74"/>
      <c r="U181" s="74"/>
      <c r="V181" s="74"/>
      <c r="W181" s="74"/>
      <c r="X181" s="74"/>
      <c r="Y181" s="74"/>
      <c r="Z181" s="74"/>
    </row>
    <row r="182" spans="1:26" x14ac:dyDescent="0.3">
      <c r="A182" s="66">
        <f t="shared" si="20"/>
        <v>2007.4999999999841</v>
      </c>
      <c r="B182" s="67">
        <f>LOOKUP(A182+0.01,AmountsB!$A$4:$A$103,AmountsB!$B$4:$B$103)*0.1*$A$2</f>
        <v>8703.9521592799993</v>
      </c>
      <c r="C182" s="68">
        <f t="shared" si="19"/>
        <v>615549.95464788016</v>
      </c>
      <c r="D182" s="67">
        <f t="array" ref="D182">SUM($B$7:$B177*$F$1009*EXP(-$F$1009*($A182-$A$7:$A177)))*$F$1010</f>
        <v>83740712.832052395</v>
      </c>
      <c r="E182" s="67">
        <f t="shared" si="17"/>
        <v>159.64427637908074</v>
      </c>
      <c r="F182" s="70">
        <f t="shared" si="21"/>
        <v>9.693600461737784</v>
      </c>
      <c r="G182" s="67">
        <f>E182/'Lookup Tables'!$C$48</f>
        <v>319.28855275816147</v>
      </c>
      <c r="H182" s="70">
        <f t="shared" si="18"/>
        <v>0.13631555169692808</v>
      </c>
      <c r="I182" s="71">
        <f t="shared" si="22"/>
        <v>0.45977551597175259</v>
      </c>
      <c r="L182" s="74"/>
      <c r="M182" s="74"/>
      <c r="N182" s="74"/>
      <c r="O182" s="74"/>
      <c r="P182" s="74"/>
      <c r="Q182" s="74"/>
      <c r="R182" s="74"/>
      <c r="S182" s="74"/>
      <c r="T182" s="74"/>
      <c r="U182" s="74"/>
      <c r="V182" s="74"/>
      <c r="W182" s="74"/>
      <c r="X182" s="74"/>
      <c r="Y182" s="74"/>
      <c r="Z182" s="74"/>
    </row>
    <row r="183" spans="1:26" x14ac:dyDescent="0.3">
      <c r="A183" s="66">
        <f t="shared" si="20"/>
        <v>2007.599999999984</v>
      </c>
      <c r="B183" s="67">
        <f>LOOKUP(A183+0.01,AmountsB!$A$4:$A$103,AmountsB!$B$4:$B$103)*0.1*$A$2</f>
        <v>8703.9521592799993</v>
      </c>
      <c r="C183" s="68">
        <f t="shared" si="19"/>
        <v>624253.90680716012</v>
      </c>
      <c r="D183" s="67">
        <f t="array" ref="D183">SUM($B$7:$B178*$F$1009*EXP(-$F$1009*($A183-$A$7:$A178)))*$F$1010</f>
        <v>84906426.022510365</v>
      </c>
      <c r="E183" s="67">
        <f t="shared" si="17"/>
        <v>161.86660566745741</v>
      </c>
      <c r="F183" s="70">
        <f t="shared" si="21"/>
        <v>9.8285402961280148</v>
      </c>
      <c r="G183" s="67">
        <f>E183/'Lookup Tables'!$C$48</f>
        <v>323.73321133491481</v>
      </c>
      <c r="H183" s="70">
        <f t="shared" si="18"/>
        <v>0.13628603203134937</v>
      </c>
      <c r="I183" s="71">
        <f t="shared" si="22"/>
        <v>0.46617582432227733</v>
      </c>
      <c r="L183" s="74"/>
      <c r="M183" s="74"/>
      <c r="N183" s="74"/>
      <c r="O183" s="74"/>
      <c r="P183" s="74"/>
      <c r="Q183" s="74"/>
      <c r="R183" s="74"/>
      <c r="S183" s="74"/>
      <c r="T183" s="74"/>
      <c r="U183" s="74"/>
      <c r="V183" s="74"/>
      <c r="W183" s="74"/>
      <c r="X183" s="74"/>
      <c r="Y183" s="74"/>
      <c r="Z183" s="74"/>
    </row>
    <row r="184" spans="1:26" x14ac:dyDescent="0.3">
      <c r="A184" s="66">
        <f t="shared" si="20"/>
        <v>2007.6999999999839</v>
      </c>
      <c r="B184" s="67">
        <f>LOOKUP(A184+0.01,AmountsB!$A$4:$A$103,AmountsB!$B$4:$B$103)*0.1*$A$2</f>
        <v>8703.9521592799993</v>
      </c>
      <c r="C184" s="68">
        <f t="shared" si="19"/>
        <v>632957.85896644008</v>
      </c>
      <c r="D184" s="67">
        <f t="array" ref="D184">SUM($B$7:$B179*$F$1009*EXP(-$F$1009*($A184-$A$7:$A179)))*$F$1010</f>
        <v>86068879.781368807</v>
      </c>
      <c r="E184" s="67">
        <f t="shared" si="17"/>
        <v>164.08272113723243</v>
      </c>
      <c r="F184" s="70">
        <f t="shared" si="21"/>
        <v>9.9631028274527527</v>
      </c>
      <c r="G184" s="67">
        <f>E184/'Lookup Tables'!$C$48</f>
        <v>328.16544227446485</v>
      </c>
      <c r="H184" s="70">
        <f t="shared" si="18"/>
        <v>0.1362521643550712</v>
      </c>
      <c r="I184" s="71">
        <f t="shared" si="22"/>
        <v>0.47255823687522941</v>
      </c>
      <c r="L184" s="74"/>
      <c r="M184" s="74"/>
      <c r="N184" s="74"/>
      <c r="O184" s="74"/>
      <c r="P184" s="74"/>
      <c r="Q184" s="74"/>
      <c r="R184" s="74"/>
      <c r="S184" s="74"/>
      <c r="T184" s="74"/>
      <c r="U184" s="74"/>
      <c r="V184" s="74"/>
      <c r="W184" s="74"/>
      <c r="X184" s="74"/>
      <c r="Y184" s="74"/>
      <c r="Z184" s="74"/>
    </row>
    <row r="185" spans="1:26" x14ac:dyDescent="0.3">
      <c r="A185" s="66">
        <f t="shared" si="20"/>
        <v>2007.7999999999838</v>
      </c>
      <c r="B185" s="67">
        <f>LOOKUP(A185+0.01,AmountsB!$A$4:$A$103,AmountsB!$B$4:$B$103)*0.1*$A$2</f>
        <v>8703.9521592799993</v>
      </c>
      <c r="C185" s="68">
        <f t="shared" si="19"/>
        <v>641661.81112572004</v>
      </c>
      <c r="D185" s="67">
        <f t="array" ref="D185">SUM($B$7:$B180*$F$1009*EXP(-$F$1009*($A185-$A$7:$A180)))*$F$1010</f>
        <v>87228083.222271115</v>
      </c>
      <c r="E185" s="67">
        <f t="shared" si="17"/>
        <v>166.29264016276232</v>
      </c>
      <c r="F185" s="70">
        <f t="shared" si="21"/>
        <v>10.097289110682929</v>
      </c>
      <c r="G185" s="67">
        <f>E185/'Lookup Tables'!$C$48</f>
        <v>332.58528032552465</v>
      </c>
      <c r="H185" s="70">
        <f t="shared" si="18"/>
        <v>0.13621413983825667</v>
      </c>
      <c r="I185" s="71">
        <f t="shared" si="22"/>
        <v>0.47892280366875545</v>
      </c>
      <c r="L185" s="74"/>
      <c r="M185" s="74"/>
      <c r="N185" s="74"/>
      <c r="O185" s="74"/>
      <c r="P185" s="74"/>
      <c r="Q185" s="74"/>
      <c r="R185" s="74"/>
      <c r="S185" s="74"/>
      <c r="T185" s="74"/>
      <c r="U185" s="74"/>
      <c r="V185" s="74"/>
      <c r="W185" s="74"/>
      <c r="X185" s="74"/>
      <c r="Y185" s="74"/>
      <c r="Z185" s="74"/>
    </row>
    <row r="186" spans="1:26" x14ac:dyDescent="0.3">
      <c r="A186" s="66">
        <f t="shared" si="20"/>
        <v>2007.8999999999837</v>
      </c>
      <c r="B186" s="67">
        <f>LOOKUP(A186+0.01,AmountsB!$A$4:$A$103,AmountsB!$B$4:$B$103)*0.1*$A$2</f>
        <v>8703.9521592799993</v>
      </c>
      <c r="C186" s="68">
        <f t="shared" si="19"/>
        <v>650365.76328499999</v>
      </c>
      <c r="D186" s="67">
        <f t="array" ref="D186">SUM($B$7:$B181*$F$1009*EXP(-$F$1009*($A186-$A$7:$A181)))*$F$1010</f>
        <v>88384045.433378249</v>
      </c>
      <c r="E186" s="67">
        <f t="shared" si="17"/>
        <v>168.49638006982372</v>
      </c>
      <c r="F186" s="70">
        <f t="shared" si="21"/>
        <v>10.231100197839696</v>
      </c>
      <c r="G186" s="67">
        <f>E186/'Lookup Tables'!$C$48</f>
        <v>336.99276013964743</v>
      </c>
      <c r="H186" s="70">
        <f t="shared" si="18"/>
        <v>0.13617213937796149</v>
      </c>
      <c r="I186" s="71">
        <f t="shared" si="22"/>
        <v>0.48526957460109227</v>
      </c>
      <c r="L186" s="74"/>
      <c r="M186" s="74"/>
      <c r="N186" s="74"/>
      <c r="O186" s="74"/>
      <c r="P186" s="74"/>
      <c r="Q186" s="74"/>
      <c r="R186" s="74"/>
      <c r="S186" s="74"/>
      <c r="T186" s="74"/>
      <c r="U186" s="74"/>
      <c r="V186" s="74"/>
      <c r="W186" s="74"/>
      <c r="X186" s="74"/>
      <c r="Y186" s="74"/>
      <c r="Z186" s="74"/>
    </row>
    <row r="187" spans="1:26" x14ac:dyDescent="0.3">
      <c r="A187" s="66">
        <f t="shared" si="20"/>
        <v>2007.9999999999836</v>
      </c>
      <c r="B187" s="67">
        <f>LOOKUP(A187+0.01,AmountsB!$A$4:$A$103,AmountsB!$B$4:$B$103)*0.1*$A$2</f>
        <v>8878.1114807699996</v>
      </c>
      <c r="C187" s="68">
        <f t="shared" si="19"/>
        <v>659243.87476577004</v>
      </c>
      <c r="D187" s="67">
        <f t="array" ref="D187">SUM($B$7:$B182*$F$1009*EXP(-$F$1009*($A187-$A$7:$A182)))*$F$1010</f>
        <v>89536775.477439791</v>
      </c>
      <c r="E187" s="67">
        <f t="shared" si="17"/>
        <v>170.69395813574857</v>
      </c>
      <c r="F187" s="70">
        <f t="shared" si="21"/>
        <v>10.364537138002653</v>
      </c>
      <c r="G187" s="67">
        <f>E187/'Lookup Tables'!$C$48</f>
        <v>341.38791627149715</v>
      </c>
      <c r="H187" s="70">
        <f t="shared" si="18"/>
        <v>0.13609037236489438</v>
      </c>
      <c r="I187" s="71">
        <f t="shared" si="22"/>
        <v>0.49159859943095585</v>
      </c>
      <c r="L187" s="74"/>
      <c r="M187" s="74"/>
      <c r="N187" s="74"/>
      <c r="O187" s="74"/>
      <c r="P187" s="74"/>
      <c r="Q187" s="74"/>
      <c r="R187" s="74"/>
      <c r="S187" s="74"/>
      <c r="T187" s="74"/>
      <c r="U187" s="74"/>
      <c r="V187" s="74"/>
      <c r="W187" s="74"/>
      <c r="X187" s="74"/>
      <c r="Y187" s="74"/>
      <c r="Z187" s="74"/>
    </row>
    <row r="188" spans="1:26" x14ac:dyDescent="0.3">
      <c r="A188" s="66">
        <f t="shared" si="20"/>
        <v>2008.0999999999835</v>
      </c>
      <c r="B188" s="67">
        <f>LOOKUP(A188+0.01,AmountsB!$A$4:$A$103,AmountsB!$B$4:$B$103)*0.1*$A$2</f>
        <v>8878.1114807699996</v>
      </c>
      <c r="C188" s="68">
        <f t="shared" si="19"/>
        <v>668121.98624654009</v>
      </c>
      <c r="D188" s="67">
        <f t="array" ref="D188">SUM($B$7:$B183*$F$1009*EXP(-$F$1009*($A188-$A$7:$A183)))*$F$1010</f>
        <v>90686282.391865239</v>
      </c>
      <c r="E188" s="67">
        <f t="shared" si="17"/>
        <v>172.8853915895603</v>
      </c>
      <c r="F188" s="70">
        <f t="shared" si="21"/>
        <v>10.497600977318102</v>
      </c>
      <c r="G188" s="67">
        <f>E188/'Lookup Tables'!$C$48</f>
        <v>345.7707831791206</v>
      </c>
      <c r="H188" s="70">
        <f t="shared" si="18"/>
        <v>0.13600594455806755</v>
      </c>
      <c r="I188" s="71">
        <f t="shared" si="22"/>
        <v>0.49790992777793364</v>
      </c>
      <c r="L188" s="74"/>
      <c r="M188" s="74"/>
      <c r="N188" s="74"/>
      <c r="O188" s="74"/>
      <c r="P188" s="74"/>
      <c r="Q188" s="74"/>
      <c r="R188" s="74"/>
      <c r="S188" s="74"/>
      <c r="T188" s="74"/>
      <c r="U188" s="74"/>
      <c r="V188" s="74"/>
      <c r="W188" s="74"/>
      <c r="X188" s="74"/>
      <c r="Y188" s="74"/>
      <c r="Z188" s="74"/>
    </row>
    <row r="189" spans="1:26" x14ac:dyDescent="0.3">
      <c r="A189" s="66">
        <f t="shared" si="20"/>
        <v>2008.1999999999834</v>
      </c>
      <c r="B189" s="67">
        <f>LOOKUP(A189+0.01,AmountsB!$A$4:$A$103,AmountsB!$B$4:$B$103)*0.1*$A$2</f>
        <v>8878.1114807699996</v>
      </c>
      <c r="C189" s="68">
        <f t="shared" si="19"/>
        <v>677000.09772731015</v>
      </c>
      <c r="D189" s="67">
        <f t="array" ref="D189">SUM($B$7:$B184*$F$1009*EXP(-$F$1009*($A189-$A$7:$A184)))*$F$1010</f>
        <v>91832575.188794702</v>
      </c>
      <c r="E189" s="67">
        <f t="shared" si="17"/>
        <v>175.0706976121084</v>
      </c>
      <c r="F189" s="70">
        <f t="shared" si="21"/>
        <v>10.630292759007222</v>
      </c>
      <c r="G189" s="67">
        <f>E189/'Lookup Tables'!$C$48</f>
        <v>350.14139522421681</v>
      </c>
      <c r="H189" s="70">
        <f t="shared" si="18"/>
        <v>0.13591897397626065</v>
      </c>
      <c r="I189" s="71">
        <f t="shared" si="22"/>
        <v>0.50420360912287221</v>
      </c>
      <c r="L189" s="74"/>
      <c r="M189" s="74"/>
      <c r="N189" s="74"/>
      <c r="O189" s="74"/>
      <c r="P189" s="74"/>
      <c r="Q189" s="74"/>
      <c r="R189" s="74"/>
      <c r="S189" s="74"/>
      <c r="T189" s="74"/>
      <c r="U189" s="74"/>
      <c r="V189" s="74"/>
      <c r="W189" s="74"/>
      <c r="X189" s="74"/>
      <c r="Y189" s="74"/>
      <c r="Z189" s="74"/>
    </row>
    <row r="190" spans="1:26" x14ac:dyDescent="0.3">
      <c r="A190" s="66">
        <f t="shared" si="20"/>
        <v>2008.2999999999834</v>
      </c>
      <c r="B190" s="67">
        <f>LOOKUP(A190+0.01,AmountsB!$A$4:$A$103,AmountsB!$B$4:$B$103)*0.1*$A$2</f>
        <v>8878.1114807699996</v>
      </c>
      <c r="C190" s="68">
        <f t="shared" si="19"/>
        <v>685878.2092080802</v>
      </c>
      <c r="D190" s="67">
        <f t="array" ref="D190">SUM($B$7:$B185*$F$1009*EXP(-$F$1009*($A190-$A$7:$A185)))*$F$1010</f>
        <v>92975662.85516955</v>
      </c>
      <c r="E190" s="67">
        <f t="shared" si="17"/>
        <v>177.24989333620329</v>
      </c>
      <c r="F190" s="70">
        <f t="shared" si="21"/>
        <v>10.762613523374265</v>
      </c>
      <c r="G190" s="67">
        <f>E190/'Lookup Tables'!$C$48</f>
        <v>354.49978667240657</v>
      </c>
      <c r="H190" s="70">
        <f t="shared" si="18"/>
        <v>0.13582957249082833</v>
      </c>
      <c r="I190" s="71">
        <f t="shared" si="22"/>
        <v>0.51047969280826555</v>
      </c>
      <c r="L190" s="74"/>
      <c r="M190" s="74"/>
      <c r="N190" s="74"/>
      <c r="O190" s="74"/>
      <c r="P190" s="74"/>
      <c r="Q190" s="74"/>
      <c r="R190" s="74"/>
      <c r="S190" s="74"/>
      <c r="T190" s="74"/>
      <c r="U190" s="74"/>
      <c r="V190" s="74"/>
      <c r="W190" s="74"/>
      <c r="X190" s="74"/>
      <c r="Y190" s="74"/>
      <c r="Z190" s="74"/>
    </row>
    <row r="191" spans="1:26" x14ac:dyDescent="0.3">
      <c r="A191" s="66">
        <f t="shared" si="20"/>
        <v>2008.3999999999833</v>
      </c>
      <c r="B191" s="67">
        <f>LOOKUP(A191+0.01,AmountsB!$A$4:$A$103,AmountsB!$B$4:$B$103)*0.1*$A$2</f>
        <v>8878.1114807699996</v>
      </c>
      <c r="C191" s="68">
        <f t="shared" si="19"/>
        <v>694756.32068885025</v>
      </c>
      <c r="D191" s="67">
        <f t="array" ref="D191">SUM($B$7:$B186*$F$1009*EXP(-$F$1009*($A191-$A$7:$A186)))*$F$1010</f>
        <v>94115554.352802947</v>
      </c>
      <c r="E191" s="67">
        <f t="shared" si="17"/>
        <v>179.42299584675055</v>
      </c>
      <c r="F191" s="70">
        <f t="shared" si="21"/>
        <v>10.894564307814695</v>
      </c>
      <c r="G191" s="67">
        <f>E191/'Lookup Tables'!$C$48</f>
        <v>358.84599169350111</v>
      </c>
      <c r="H191" s="70">
        <f t="shared" si="18"/>
        <v>0.13573784621858356</v>
      </c>
      <c r="I191" s="71">
        <f t="shared" si="22"/>
        <v>0.51673822803864167</v>
      </c>
      <c r="L191" s="74"/>
      <c r="M191" s="74"/>
      <c r="N191" s="74"/>
      <c r="O191" s="74"/>
      <c r="P191" s="74"/>
      <c r="Q191" s="74"/>
      <c r="R191" s="74"/>
      <c r="S191" s="74"/>
      <c r="T191" s="74"/>
      <c r="U191" s="74"/>
      <c r="V191" s="74"/>
      <c r="W191" s="74"/>
      <c r="X191" s="74"/>
      <c r="Y191" s="74"/>
      <c r="Z191" s="74"/>
    </row>
    <row r="192" spans="1:26" x14ac:dyDescent="0.3">
      <c r="A192" s="66">
        <f t="shared" si="20"/>
        <v>2008.4999999999832</v>
      </c>
      <c r="B192" s="67">
        <f>LOOKUP(A192+0.01,AmountsB!$A$4:$A$103,AmountsB!$B$4:$B$103)*0.1*$A$2</f>
        <v>8878.1114807699996</v>
      </c>
      <c r="C192" s="68">
        <f t="shared" si="19"/>
        <v>703634.4321696203</v>
      </c>
      <c r="D192" s="67">
        <f t="array" ref="D192">SUM($B$7:$B187*$F$1009*EXP(-$F$1009*($A192-$A$7:$A187)))*$F$1010</f>
        <v>95280268.714212969</v>
      </c>
      <c r="E192" s="67">
        <f t="shared" si="17"/>
        <v>181.64342095572403</v>
      </c>
      <c r="F192" s="70">
        <f t="shared" si="21"/>
        <v>11.029388520431562</v>
      </c>
      <c r="G192" s="67">
        <f>E192/'Lookup Tables'!$C$48</f>
        <v>363.28684191144805</v>
      </c>
      <c r="H192" s="70">
        <f t="shared" si="18"/>
        <v>0.13568378363740138</v>
      </c>
      <c r="I192" s="71">
        <f t="shared" si="22"/>
        <v>0.52313305235248508</v>
      </c>
      <c r="L192" s="74"/>
      <c r="M192" s="74"/>
      <c r="N192" s="74"/>
      <c r="O192" s="74"/>
      <c r="P192" s="74"/>
      <c r="Q192" s="74"/>
      <c r="R192" s="74"/>
      <c r="S192" s="74"/>
      <c r="T192" s="74"/>
      <c r="U192" s="74"/>
      <c r="V192" s="74"/>
      <c r="W192" s="74"/>
      <c r="X192" s="74"/>
      <c r="Y192" s="74"/>
      <c r="Z192" s="74"/>
    </row>
    <row r="193" spans="1:26" x14ac:dyDescent="0.3">
      <c r="A193" s="66">
        <f t="shared" si="20"/>
        <v>2008.5999999999831</v>
      </c>
      <c r="B193" s="67">
        <f>LOOKUP(A193+0.01,AmountsB!$A$4:$A$103,AmountsB!$B$4:$B$103)*0.1*$A$2</f>
        <v>8878.1114807699996</v>
      </c>
      <c r="C193" s="68">
        <f t="shared" si="19"/>
        <v>712512.54365039035</v>
      </c>
      <c r="D193" s="67">
        <f t="array" ref="D193">SUM($B$7:$B188*$F$1009*EXP(-$F$1009*($A193-$A$7:$A188)))*$F$1010</f>
        <v>96441726.436833009</v>
      </c>
      <c r="E193" s="67">
        <f t="shared" si="17"/>
        <v>183.85763757034067</v>
      </c>
      <c r="F193" s="70">
        <f t="shared" si="21"/>
        <v>11.163835753271087</v>
      </c>
      <c r="G193" s="67">
        <f>E193/'Lookup Tables'!$C$48</f>
        <v>367.71527514068134</v>
      </c>
      <c r="H193" s="70">
        <f t="shared" si="18"/>
        <v>0.13562648849925002</v>
      </c>
      <c r="I193" s="71">
        <f t="shared" si="22"/>
        <v>0.5295099962025811</v>
      </c>
      <c r="L193" s="74"/>
      <c r="M193" s="74"/>
      <c r="N193" s="74"/>
      <c r="O193" s="74"/>
      <c r="P193" s="74"/>
      <c r="Q193" s="74"/>
      <c r="R193" s="74"/>
      <c r="S193" s="74"/>
      <c r="T193" s="74"/>
      <c r="U193" s="74"/>
      <c r="V193" s="74"/>
      <c r="W193" s="74"/>
      <c r="X193" s="74"/>
      <c r="Y193" s="74"/>
      <c r="Z193" s="74"/>
    </row>
    <row r="194" spans="1:26" x14ac:dyDescent="0.3">
      <c r="A194" s="66">
        <f t="shared" si="20"/>
        <v>2008.699999999983</v>
      </c>
      <c r="B194" s="67">
        <f>LOOKUP(A194+0.01,AmountsB!$A$4:$A$103,AmountsB!$B$4:$B$103)*0.1*$A$2</f>
        <v>8878.1114807699996</v>
      </c>
      <c r="C194" s="68">
        <f t="shared" si="19"/>
        <v>721390.6551311604</v>
      </c>
      <c r="D194" s="67">
        <f t="array" ref="D194">SUM($B$7:$B189*$F$1009*EXP(-$F$1009*($A194-$A$7:$A189)))*$F$1010</f>
        <v>97599936.626497567</v>
      </c>
      <c r="E194" s="67">
        <f t="shared" si="17"/>
        <v>186.06566305007007</v>
      </c>
      <c r="F194" s="70">
        <f t="shared" si="21"/>
        <v>11.297907060400252</v>
      </c>
      <c r="G194" s="67">
        <f>E194/'Lookup Tables'!$C$48</f>
        <v>372.13132610014014</v>
      </c>
      <c r="H194" s="70">
        <f t="shared" si="18"/>
        <v>0.13556609280076679</v>
      </c>
      <c r="I194" s="71">
        <f t="shared" si="22"/>
        <v>0.53586910958420186</v>
      </c>
      <c r="L194" s="74"/>
      <c r="M194" s="74"/>
      <c r="N194" s="74"/>
      <c r="O194" s="74"/>
      <c r="P194" s="74"/>
      <c r="Q194" s="74"/>
      <c r="R194" s="74"/>
      <c r="S194" s="74"/>
      <c r="T194" s="74"/>
      <c r="U194" s="74"/>
      <c r="V194" s="74"/>
      <c r="W194" s="74"/>
      <c r="X194" s="74"/>
      <c r="Y194" s="74"/>
      <c r="Z194" s="74"/>
    </row>
    <row r="195" spans="1:26" x14ac:dyDescent="0.3">
      <c r="A195" s="66">
        <f t="shared" si="20"/>
        <v>2008.7999999999829</v>
      </c>
      <c r="B195" s="67">
        <f>LOOKUP(A195+0.01,AmountsB!$A$4:$A$103,AmountsB!$B$4:$B$103)*0.1*$A$2</f>
        <v>8878.1114807699996</v>
      </c>
      <c r="C195" s="68">
        <f t="shared" si="19"/>
        <v>730268.76661193045</v>
      </c>
      <c r="D195" s="67">
        <f t="array" ref="D195">SUM($B$7:$B190*$F$1009*EXP(-$F$1009*($A195-$A$7:$A190)))*$F$1010</f>
        <v>98754908.36358051</v>
      </c>
      <c r="E195" s="67">
        <f t="shared" si="17"/>
        <v>188.26751470584344</v>
      </c>
      <c r="F195" s="70">
        <f t="shared" si="21"/>
        <v>11.431603492938812</v>
      </c>
      <c r="G195" s="67">
        <f>E195/'Lookup Tables'!$C$48</f>
        <v>376.53502941168688</v>
      </c>
      <c r="H195" s="70">
        <f t="shared" si="18"/>
        <v>0.13550272208475234</v>
      </c>
      <c r="I195" s="71">
        <f t="shared" si="22"/>
        <v>0.542210442352829</v>
      </c>
      <c r="L195" s="74"/>
      <c r="M195" s="74"/>
      <c r="N195" s="74"/>
      <c r="O195" s="74"/>
      <c r="P195" s="74"/>
      <c r="Q195" s="74"/>
      <c r="R195" s="74"/>
      <c r="S195" s="74"/>
      <c r="T195" s="74"/>
      <c r="U195" s="74"/>
      <c r="V195" s="74"/>
      <c r="W195" s="74"/>
      <c r="X195" s="74"/>
      <c r="Y195" s="74"/>
      <c r="Z195" s="74"/>
    </row>
    <row r="196" spans="1:26" x14ac:dyDescent="0.3">
      <c r="A196" s="66">
        <f t="shared" si="20"/>
        <v>2008.8999999999828</v>
      </c>
      <c r="B196" s="67">
        <f>LOOKUP(A196+0.01,AmountsB!$A$4:$A$103,AmountsB!$B$4:$B$103)*0.1*$A$2</f>
        <v>8878.1114807699996</v>
      </c>
      <c r="C196" s="68">
        <f t="shared" si="19"/>
        <v>739146.8780927005</v>
      </c>
      <c r="D196" s="67">
        <f t="array" ref="D196">SUM($B$7:$B191*$F$1009*EXP(-$F$1009*($A196-$A$7:$A191)))*$F$1010</f>
        <v>99906650.703066126</v>
      </c>
      <c r="E196" s="67">
        <f t="shared" si="17"/>
        <v>190.46320980018891</v>
      </c>
      <c r="F196" s="70">
        <f t="shared" si="21"/>
        <v>11.56492609906747</v>
      </c>
      <c r="G196" s="67">
        <f>E196/'Lookup Tables'!$C$48</f>
        <v>380.92641960037781</v>
      </c>
      <c r="H196" s="70">
        <f t="shared" si="18"/>
        <v>0.13543649582786207</v>
      </c>
      <c r="I196" s="71">
        <f t="shared" si="22"/>
        <v>0.5485340442245441</v>
      </c>
      <c r="L196" s="74"/>
      <c r="M196" s="74"/>
      <c r="N196" s="74"/>
      <c r="O196" s="74"/>
      <c r="P196" s="74"/>
      <c r="Q196" s="74"/>
      <c r="R196" s="74"/>
      <c r="S196" s="74"/>
      <c r="T196" s="74"/>
      <c r="U196" s="74"/>
      <c r="V196" s="74"/>
      <c r="W196" s="74"/>
      <c r="X196" s="74"/>
      <c r="Y196" s="74"/>
      <c r="Z196" s="74"/>
    </row>
    <row r="197" spans="1:26" x14ac:dyDescent="0.3">
      <c r="A197" s="66">
        <f t="shared" si="20"/>
        <v>2008.9999999999827</v>
      </c>
      <c r="B197" s="67">
        <f>LOOKUP(A197+0.01,AmountsB!$A$4:$A$103,AmountsB!$B$4:$B$103)*0.1*$A$2</f>
        <v>9055.6157316099998</v>
      </c>
      <c r="C197" s="68">
        <f t="shared" si="19"/>
        <v>748202.49382431048</v>
      </c>
      <c r="D197" s="67">
        <f t="array" ref="D197">SUM($B$7:$B192*$F$1009*EXP(-$F$1009*($A197-$A$7:$A192)))*$F$1010</f>
        <v>101055172.67462024</v>
      </c>
      <c r="E197" s="67">
        <f t="shared" si="17"/>
        <v>192.65276554736727</v>
      </c>
      <c r="F197" s="70">
        <f t="shared" si="21"/>
        <v>11.69787592403614</v>
      </c>
      <c r="G197" s="67">
        <f>E197/'Lookup Tables'!$C$48</f>
        <v>385.30553109473453</v>
      </c>
      <c r="H197" s="70">
        <f t="shared" si="18"/>
        <v>0.13533541308333735</v>
      </c>
      <c r="I197" s="71">
        <f t="shared" si="22"/>
        <v>0.55483996477641773</v>
      </c>
      <c r="L197" s="74"/>
      <c r="M197" s="74"/>
      <c r="N197" s="74"/>
      <c r="O197" s="74"/>
      <c r="P197" s="74"/>
      <c r="Q197" s="74"/>
      <c r="R197" s="74"/>
      <c r="S197" s="74"/>
      <c r="T197" s="74"/>
      <c r="U197" s="74"/>
      <c r="V197" s="74"/>
      <c r="W197" s="74"/>
      <c r="X197" s="74"/>
      <c r="Y197" s="74"/>
      <c r="Z197" s="74"/>
    </row>
    <row r="198" spans="1:26" x14ac:dyDescent="0.3">
      <c r="A198" s="66">
        <f t="shared" si="20"/>
        <v>2009.0999999999826</v>
      </c>
      <c r="B198" s="67">
        <f>LOOKUP(A198+0.01,AmountsB!$A$4:$A$103,AmountsB!$B$4:$B$103)*0.1*$A$2</f>
        <v>9055.6157316099998</v>
      </c>
      <c r="C198" s="68">
        <f t="shared" si="19"/>
        <v>757258.10955592047</v>
      </c>
      <c r="D198" s="67">
        <f t="array" ref="D198">SUM($B$7:$B193*$F$1009*EXP(-$F$1009*($A198-$A$7:$A193)))*$F$1010</f>
        <v>102200483.28266105</v>
      </c>
      <c r="E198" s="67">
        <f t="shared" si="17"/>
        <v>194.83619911350686</v>
      </c>
      <c r="F198" s="70">
        <f t="shared" si="21"/>
        <v>11.830454010172136</v>
      </c>
      <c r="G198" s="67">
        <f>E198/'Lookup Tables'!$C$48</f>
        <v>389.67239822701373</v>
      </c>
      <c r="H198" s="70">
        <f t="shared" si="18"/>
        <v>0.13523249861809097</v>
      </c>
      <c r="I198" s="71">
        <f t="shared" si="22"/>
        <v>0.56112825344689965</v>
      </c>
      <c r="L198" s="74"/>
      <c r="M198" s="74"/>
      <c r="N198" s="74"/>
      <c r="O198" s="74"/>
      <c r="P198" s="74"/>
      <c r="Q198" s="74"/>
      <c r="R198" s="74"/>
      <c r="S198" s="74"/>
      <c r="T198" s="74"/>
      <c r="U198" s="74"/>
      <c r="V198" s="74"/>
      <c r="W198" s="74"/>
      <c r="X198" s="74"/>
      <c r="Y198" s="74"/>
      <c r="Z198" s="74"/>
    </row>
    <row r="199" spans="1:26" x14ac:dyDescent="0.3">
      <c r="A199" s="66">
        <f t="shared" si="20"/>
        <v>2009.1999999999825</v>
      </c>
      <c r="B199" s="67">
        <f>LOOKUP(A199+0.01,AmountsB!$A$4:$A$103,AmountsB!$B$4:$B$103)*0.1*$A$2</f>
        <v>9055.6157316099998</v>
      </c>
      <c r="C199" s="68">
        <f t="shared" si="19"/>
        <v>766313.72528753045</v>
      </c>
      <c r="D199" s="67">
        <f t="array" ref="D199">SUM($B$7:$B194*$F$1009*EXP(-$F$1009*($A199-$A$7:$A194)))*$F$1010</f>
        <v>103342591.50642951</v>
      </c>
      <c r="E199" s="67">
        <f t="shared" ref="E199:E262" si="23">D199/(365*24*60)*1.00201</f>
        <v>197.01352761673789</v>
      </c>
      <c r="F199" s="70">
        <f t="shared" si="21"/>
        <v>11.962661396888326</v>
      </c>
      <c r="G199" s="67">
        <f>E199/'Lookup Tables'!$C$48</f>
        <v>394.02705523347578</v>
      </c>
      <c r="H199" s="70">
        <f t="shared" ref="H199:H262" si="24">G199*60*24*365/(C199*2000)</f>
        <v>0.13512782911007376</v>
      </c>
      <c r="I199" s="71">
        <f t="shared" si="22"/>
        <v>0.56739895953620501</v>
      </c>
      <c r="L199" s="74"/>
      <c r="M199" s="74"/>
      <c r="N199" s="74"/>
      <c r="O199" s="74"/>
      <c r="P199" s="74"/>
      <c r="Q199" s="74"/>
      <c r="R199" s="74"/>
      <c r="S199" s="74"/>
      <c r="T199" s="74"/>
      <c r="U199" s="74"/>
      <c r="V199" s="74"/>
      <c r="W199" s="74"/>
      <c r="X199" s="74"/>
      <c r="Y199" s="74"/>
      <c r="Z199" s="74"/>
    </row>
    <row r="200" spans="1:26" x14ac:dyDescent="0.3">
      <c r="A200" s="66">
        <f t="shared" si="20"/>
        <v>2009.2999999999824</v>
      </c>
      <c r="B200" s="67">
        <f>LOOKUP(A200+0.01,AmountsB!$A$4:$A$103,AmountsB!$B$4:$B$103)*0.1*$A$2</f>
        <v>9055.6157316099998</v>
      </c>
      <c r="C200" s="68">
        <f t="shared" si="19"/>
        <v>775369.34101914044</v>
      </c>
      <c r="D200" s="67">
        <f t="array" ref="D200">SUM($B$7:$B195*$F$1009*EXP(-$F$1009*($A200-$A$7:$A195)))*$F$1010</f>
        <v>104481506.30006002</v>
      </c>
      <c r="E200" s="67">
        <f t="shared" si="23"/>
        <v>199.18476812732715</v>
      </c>
      <c r="F200" s="70">
        <f t="shared" si="21"/>
        <v>12.094499120691305</v>
      </c>
      <c r="G200" s="67">
        <f>E200/'Lookup Tables'!$C$48</f>
        <v>398.36953625465429</v>
      </c>
      <c r="H200" s="70">
        <f t="shared" si="24"/>
        <v>0.13502147762267372</v>
      </c>
      <c r="I200" s="71">
        <f t="shared" si="22"/>
        <v>0.57365213220670219</v>
      </c>
      <c r="L200" s="74"/>
      <c r="M200" s="74"/>
      <c r="N200" s="74"/>
      <c r="O200" s="74"/>
      <c r="P200" s="74"/>
      <c r="Q200" s="74"/>
      <c r="R200" s="74"/>
      <c r="S200" s="74"/>
      <c r="T200" s="74"/>
      <c r="U200" s="74"/>
      <c r="V200" s="74"/>
      <c r="W200" s="74"/>
      <c r="X200" s="74"/>
      <c r="Y200" s="74"/>
      <c r="Z200" s="74"/>
    </row>
    <row r="201" spans="1:26" x14ac:dyDescent="0.3">
      <c r="A201" s="66">
        <f t="shared" si="20"/>
        <v>2009.3999999999824</v>
      </c>
      <c r="B201" s="67">
        <f>LOOKUP(A201+0.01,AmountsB!$A$4:$A$103,AmountsB!$B$4:$B$103)*0.1*$A$2</f>
        <v>9055.6157316099998</v>
      </c>
      <c r="C201" s="68">
        <f t="shared" ref="C201:C264" si="25">C200+B201</f>
        <v>784424.95675075043</v>
      </c>
      <c r="D201" s="67">
        <f t="array" ref="D201">SUM($B$7:$B196*$F$1009*EXP(-$F$1009*($A201-$A$7:$A196)))*$F$1010</f>
        <v>105617236.59265034</v>
      </c>
      <c r="E201" s="67">
        <f t="shared" si="23"/>
        <v>201.34993766781122</v>
      </c>
      <c r="F201" s="70">
        <f t="shared" si="21"/>
        <v>12.225968215189498</v>
      </c>
      <c r="G201" s="67">
        <f>E201/'Lookup Tables'!$C$48</f>
        <v>402.69987533562244</v>
      </c>
      <c r="H201" s="70">
        <f t="shared" si="24"/>
        <v>0.13491351381344274</v>
      </c>
      <c r="I201" s="71">
        <f t="shared" si="22"/>
        <v>0.57988782048329646</v>
      </c>
      <c r="L201" s="74"/>
      <c r="M201" s="74"/>
      <c r="N201" s="74"/>
      <c r="O201" s="74"/>
      <c r="P201" s="74"/>
      <c r="Q201" s="74"/>
      <c r="R201" s="74"/>
      <c r="S201" s="74"/>
      <c r="T201" s="74"/>
      <c r="U201" s="74"/>
      <c r="V201" s="74"/>
      <c r="W201" s="74"/>
      <c r="X201" s="74"/>
      <c r="Y201" s="74"/>
      <c r="Z201" s="74"/>
    </row>
    <row r="202" spans="1:26" x14ac:dyDescent="0.3">
      <c r="A202" s="66">
        <f t="shared" si="20"/>
        <v>2009.4999999999823</v>
      </c>
      <c r="B202" s="67">
        <f>LOOKUP(A202+0.01,AmountsB!$A$4:$A$103,AmountsB!$B$4:$B$103)*0.1*$A$2</f>
        <v>9055.6157316099998</v>
      </c>
      <c r="C202" s="68">
        <f t="shared" si="25"/>
        <v>793480.57248236041</v>
      </c>
      <c r="D202" s="67">
        <f t="array" ref="D202">SUM($B$7:$B197*$F$1009*EXP(-$F$1009*($A202-$A$7:$A197)))*$F$1010</f>
        <v>106778339.35008244</v>
      </c>
      <c r="E202" s="67">
        <f t="shared" si="23"/>
        <v>203.56347757263342</v>
      </c>
      <c r="F202" s="70">
        <f t="shared" si="21"/>
        <v>12.360374358210301</v>
      </c>
      <c r="G202" s="67">
        <f>E202/'Lookup Tables'!$C$48</f>
        <v>407.12695514526683</v>
      </c>
      <c r="H202" s="70">
        <f t="shared" si="24"/>
        <v>0.13484005471924096</v>
      </c>
      <c r="I202" s="71">
        <f t="shared" si="22"/>
        <v>0.58626281540918423</v>
      </c>
      <c r="L202" s="74"/>
      <c r="M202" s="74"/>
      <c r="N202" s="74"/>
      <c r="O202" s="74"/>
      <c r="P202" s="74"/>
      <c r="Q202" s="74"/>
      <c r="R202" s="74"/>
      <c r="S202" s="74"/>
      <c r="T202" s="74"/>
      <c r="U202" s="74"/>
      <c r="V202" s="74"/>
      <c r="W202" s="74"/>
      <c r="X202" s="74"/>
      <c r="Y202" s="74"/>
      <c r="Z202" s="74"/>
    </row>
    <row r="203" spans="1:26" x14ac:dyDescent="0.3">
      <c r="A203" s="66">
        <f t="shared" si="20"/>
        <v>2009.5999999999822</v>
      </c>
      <c r="B203" s="67">
        <f>LOOKUP(A203+0.01,AmountsB!$A$4:$A$103,AmountsB!$B$4:$B$103)*0.1*$A$2</f>
        <v>9055.6157316099998</v>
      </c>
      <c r="C203" s="68">
        <f t="shared" si="25"/>
        <v>802536.1882139704</v>
      </c>
      <c r="D203" s="67">
        <f t="array" ref="D203">SUM($B$7:$B198*$F$1009*EXP(-$F$1009*($A203-$A$7:$A198)))*$F$1010</f>
        <v>107936195.56707141</v>
      </c>
      <c r="E203" s="67">
        <f t="shared" si="23"/>
        <v>205.77082823470553</v>
      </c>
      <c r="F203" s="70">
        <f t="shared" si="21"/>
        <v>12.49440469041132</v>
      </c>
      <c r="G203" s="67">
        <f>E203/'Lookup Tables'!$C$48</f>
        <v>411.54165646941107</v>
      </c>
      <c r="H203" s="70">
        <f t="shared" si="24"/>
        <v>0.13476419993078947</v>
      </c>
      <c r="I203" s="71">
        <f t="shared" si="22"/>
        <v>0.59261998531595184</v>
      </c>
      <c r="L203" s="74"/>
      <c r="M203" s="74"/>
      <c r="N203" s="74"/>
      <c r="O203" s="74"/>
      <c r="P203" s="74"/>
      <c r="Q203" s="74"/>
      <c r="R203" s="74"/>
      <c r="S203" s="74"/>
      <c r="T203" s="74"/>
      <c r="U203" s="74"/>
      <c r="V203" s="74"/>
      <c r="W203" s="74"/>
      <c r="X203" s="74"/>
      <c r="Y203" s="74"/>
      <c r="Z203" s="74"/>
    </row>
    <row r="204" spans="1:26" x14ac:dyDescent="0.3">
      <c r="A204" s="66">
        <f t="shared" si="20"/>
        <v>2009.6999999999821</v>
      </c>
      <c r="B204" s="67">
        <f>LOOKUP(A204+0.01,AmountsB!$A$4:$A$103,AmountsB!$B$4:$B$103)*0.1*$A$2</f>
        <v>9055.6157316099998</v>
      </c>
      <c r="C204" s="68">
        <f t="shared" si="25"/>
        <v>811591.80394558038</v>
      </c>
      <c r="D204" s="67">
        <f t="array" ref="D204">SUM($B$7:$B199*$F$1009*EXP(-$F$1009*($A204-$A$7:$A199)))*$F$1010</f>
        <v>109090814.32121594</v>
      </c>
      <c r="E204" s="67">
        <f t="shared" si="23"/>
        <v>207.97200695966819</v>
      </c>
      <c r="F204" s="70">
        <f t="shared" si="21"/>
        <v>12.628060262591053</v>
      </c>
      <c r="G204" s="67">
        <f>E204/'Lookup Tables'!$C$48</f>
        <v>415.94401391933638</v>
      </c>
      <c r="H204" s="70">
        <f t="shared" si="24"/>
        <v>0.13468604084785848</v>
      </c>
      <c r="I204" s="71">
        <f t="shared" si="22"/>
        <v>0.5989593800438443</v>
      </c>
      <c r="L204" s="74"/>
      <c r="M204" s="74"/>
      <c r="N204" s="74"/>
      <c r="O204" s="74"/>
      <c r="P204" s="74"/>
      <c r="Q204" s="74"/>
      <c r="R204" s="74"/>
      <c r="S204" s="74"/>
      <c r="T204" s="74"/>
      <c r="U204" s="74"/>
      <c r="V204" s="74"/>
      <c r="W204" s="74"/>
      <c r="X204" s="74"/>
      <c r="Y204" s="74"/>
      <c r="Z204" s="74"/>
    </row>
    <row r="205" spans="1:26" x14ac:dyDescent="0.3">
      <c r="A205" s="66">
        <f t="shared" si="20"/>
        <v>2009.799999999982</v>
      </c>
      <c r="B205" s="67">
        <f>LOOKUP(A205+0.01,AmountsB!$A$4:$A$103,AmountsB!$B$4:$B$103)*0.1*$A$2</f>
        <v>9055.6157316099998</v>
      </c>
      <c r="C205" s="68">
        <f t="shared" si="25"/>
        <v>820647.41967719037</v>
      </c>
      <c r="D205" s="67">
        <f t="array" ref="D205">SUM($B$7:$B200*$F$1009*EXP(-$F$1009*($A205-$A$7:$A200)))*$F$1010</f>
        <v>110242204.66473301</v>
      </c>
      <c r="E205" s="67">
        <f t="shared" si="23"/>
        <v>210.16703100477386</v>
      </c>
      <c r="F205" s="70">
        <f t="shared" si="21"/>
        <v>12.761342122609868</v>
      </c>
      <c r="G205" s="67">
        <f>E205/'Lookup Tables'!$C$48</f>
        <v>420.33406200954772</v>
      </c>
      <c r="H205" s="70">
        <f t="shared" si="24"/>
        <v>0.13460566480494282</v>
      </c>
      <c r="I205" s="71">
        <f t="shared" si="22"/>
        <v>0.60528104929374871</v>
      </c>
      <c r="L205" s="74"/>
      <c r="M205" s="74"/>
      <c r="N205" s="74"/>
      <c r="O205" s="74"/>
      <c r="P205" s="74"/>
      <c r="Q205" s="74"/>
      <c r="R205" s="74"/>
      <c r="S205" s="74"/>
      <c r="T205" s="74"/>
      <c r="U205" s="74"/>
      <c r="V205" s="74"/>
      <c r="W205" s="74"/>
      <c r="X205" s="74"/>
      <c r="Y205" s="74"/>
      <c r="Z205" s="74"/>
    </row>
    <row r="206" spans="1:26" x14ac:dyDescent="0.3">
      <c r="A206" s="66">
        <f t="shared" si="20"/>
        <v>2009.8999999999819</v>
      </c>
      <c r="B206" s="67">
        <f>LOOKUP(A206+0.01,AmountsB!$A$4:$A$103,AmountsB!$B$4:$B$103)*0.1*$A$2</f>
        <v>9055.6157316099998</v>
      </c>
      <c r="C206" s="68">
        <f t="shared" si="25"/>
        <v>829703.03540880035</v>
      </c>
      <c r="D206" s="67">
        <f t="array" ref="D206">SUM($B$7:$B201*$F$1009*EXP(-$F$1009*($A206-$A$7:$A201)))*$F$1010</f>
        <v>111390375.62452875</v>
      </c>
      <c r="E206" s="67">
        <f t="shared" si="23"/>
        <v>212.35591757902219</v>
      </c>
      <c r="F206" s="70">
        <f t="shared" si="21"/>
        <v>12.894251315398227</v>
      </c>
      <c r="G206" s="67">
        <f>E206/'Lookup Tables'!$C$48</f>
        <v>424.71183515804438</v>
      </c>
      <c r="H206" s="70">
        <f t="shared" si="24"/>
        <v>0.13452315529319589</v>
      </c>
      <c r="I206" s="71">
        <f t="shared" si="22"/>
        <v>0.61158504262758384</v>
      </c>
      <c r="L206" s="74"/>
      <c r="M206" s="74"/>
      <c r="N206" s="74"/>
      <c r="O206" s="74"/>
      <c r="P206" s="74"/>
      <c r="Q206" s="74"/>
      <c r="R206" s="74"/>
      <c r="S206" s="74"/>
      <c r="T206" s="74"/>
      <c r="U206" s="74"/>
      <c r="V206" s="74"/>
      <c r="W206" s="74"/>
      <c r="X206" s="74"/>
      <c r="Y206" s="74"/>
      <c r="Z206" s="74"/>
    </row>
    <row r="207" spans="1:26" x14ac:dyDescent="0.3">
      <c r="A207" s="66">
        <f t="shared" si="20"/>
        <v>2009.9999999999818</v>
      </c>
      <c r="B207" s="67">
        <f>LOOKUP(A207+0.01,AmountsB!$A$4:$A$103,AmountsB!$B$4:$B$103)*0.1*$A$2</f>
        <v>9236.6879070899995</v>
      </c>
      <c r="C207" s="68">
        <f t="shared" si="25"/>
        <v>838939.7233158903</v>
      </c>
      <c r="D207" s="67">
        <f t="array" ref="D207">SUM($B$7:$B202*$F$1009*EXP(-$F$1009*($A207-$A$7:$A202)))*$F$1010</f>
        <v>112535336.20226938</v>
      </c>
      <c r="E207" s="67">
        <f t="shared" si="23"/>
        <v>214.53868384329516</v>
      </c>
      <c r="F207" s="70">
        <f t="shared" si="21"/>
        <v>13.026788882964883</v>
      </c>
      <c r="G207" s="67">
        <f>E207/'Lookup Tables'!$C$48</f>
        <v>429.07736768659032</v>
      </c>
      <c r="H207" s="70">
        <f t="shared" si="24"/>
        <v>0.13440957567529227</v>
      </c>
      <c r="I207" s="71">
        <f t="shared" si="22"/>
        <v>0.61787140946869001</v>
      </c>
      <c r="L207" s="74"/>
      <c r="M207" s="74"/>
      <c r="N207" s="74"/>
      <c r="O207" s="74"/>
      <c r="P207" s="74"/>
      <c r="Q207" s="74"/>
      <c r="R207" s="74"/>
      <c r="S207" s="74"/>
      <c r="T207" s="74"/>
      <c r="U207" s="74"/>
      <c r="V207" s="74"/>
      <c r="W207" s="74"/>
      <c r="X207" s="74"/>
      <c r="Y207" s="74"/>
      <c r="Z207" s="74"/>
    </row>
    <row r="208" spans="1:26" x14ac:dyDescent="0.3">
      <c r="A208" s="66">
        <f t="shared" si="20"/>
        <v>2010.0999999999817</v>
      </c>
      <c r="B208" s="67">
        <f>LOOKUP(A208+0.01,AmountsB!$A$4:$A$103,AmountsB!$B$4:$B$103)*0.1*$A$2</f>
        <v>9236.6879070899995</v>
      </c>
      <c r="C208" s="68">
        <f t="shared" si="25"/>
        <v>848176.41122298024</v>
      </c>
      <c r="D208" s="67">
        <f t="array" ref="D208">SUM($B$7:$B203*$F$1009*EXP(-$F$1009*($A208-$A$7:$A203)))*$F$1010</f>
        <v>113677095.37445173</v>
      </c>
      <c r="E208" s="67">
        <f t="shared" si="23"/>
        <v>216.7153469104916</v>
      </c>
      <c r="F208" s="70">
        <f t="shared" si="21"/>
        <v>13.158955864405051</v>
      </c>
      <c r="G208" s="67">
        <f>E208/'Lookup Tables'!$C$48</f>
        <v>433.43069382098321</v>
      </c>
      <c r="H208" s="70">
        <f t="shared" si="24"/>
        <v>0.13429468779014336</v>
      </c>
      <c r="I208" s="71">
        <f t="shared" si="22"/>
        <v>0.62414019910221585</v>
      </c>
      <c r="L208" s="74"/>
      <c r="M208" s="74"/>
      <c r="N208" s="74"/>
      <c r="O208" s="74"/>
      <c r="P208" s="74"/>
      <c r="Q208" s="74"/>
      <c r="R208" s="74"/>
      <c r="S208" s="74"/>
      <c r="T208" s="74"/>
      <c r="U208" s="74"/>
      <c r="V208" s="74"/>
      <c r="W208" s="74"/>
      <c r="X208" s="74"/>
      <c r="Y208" s="74"/>
      <c r="Z208" s="74"/>
    </row>
    <row r="209" spans="1:26" x14ac:dyDescent="0.3">
      <c r="A209" s="66">
        <f t="shared" si="20"/>
        <v>2010.1999999999816</v>
      </c>
      <c r="B209" s="67">
        <f>LOOKUP(A209+0.01,AmountsB!$A$4:$A$103,AmountsB!$B$4:$B$103)*0.1*$A$2</f>
        <v>9236.6879070899995</v>
      </c>
      <c r="C209" s="68">
        <f t="shared" si="25"/>
        <v>857413.09913007019</v>
      </c>
      <c r="D209" s="67">
        <f t="array" ref="D209">SUM($B$7:$B204*$F$1009*EXP(-$F$1009*($A209-$A$7:$A204)))*$F$1010</f>
        <v>114815662.09247355</v>
      </c>
      <c r="E209" s="67">
        <f t="shared" si="23"/>
        <v>218.88592384566101</v>
      </c>
      <c r="F209" s="70">
        <f t="shared" si="21"/>
        <v>13.290753295908537</v>
      </c>
      <c r="G209" s="67">
        <f>E209/'Lookup Tables'!$C$48</f>
        <v>437.77184769132202</v>
      </c>
      <c r="H209" s="70">
        <f t="shared" si="24"/>
        <v>0.13417854437960575</v>
      </c>
      <c r="I209" s="71">
        <f t="shared" si="22"/>
        <v>0.63039146067550367</v>
      </c>
      <c r="L209" s="74"/>
      <c r="M209" s="74"/>
      <c r="N209" s="74"/>
      <c r="O209" s="74"/>
      <c r="P209" s="74"/>
      <c r="Q209" s="74"/>
      <c r="R209" s="74"/>
      <c r="S209" s="74"/>
      <c r="T209" s="74"/>
      <c r="U209" s="74"/>
      <c r="V209" s="74"/>
      <c r="W209" s="74"/>
      <c r="X209" s="74"/>
      <c r="Y209" s="74"/>
      <c r="Z209" s="74"/>
    </row>
    <row r="210" spans="1:26" x14ac:dyDescent="0.3">
      <c r="A210" s="66">
        <f t="shared" si="20"/>
        <v>2010.2999999999815</v>
      </c>
      <c r="B210" s="67">
        <f>LOOKUP(A210+0.01,AmountsB!$A$4:$A$103,AmountsB!$B$4:$B$103)*0.1*$A$2</f>
        <v>9236.6879070899995</v>
      </c>
      <c r="C210" s="68">
        <f t="shared" si="25"/>
        <v>866649.78703716013</v>
      </c>
      <c r="D210" s="67">
        <f t="array" ref="D210">SUM($B$7:$B205*$F$1009*EXP(-$F$1009*($A210-$A$7:$A205)))*$F$1010</f>
        <v>115951045.28270368</v>
      </c>
      <c r="E210" s="67">
        <f t="shared" si="23"/>
        <v>221.0504316661376</v>
      </c>
      <c r="F210" s="70">
        <f t="shared" si="21"/>
        <v>13.422182210767874</v>
      </c>
      <c r="G210" s="67">
        <f>E210/'Lookup Tables'!$C$48</f>
        <v>442.1008633322752</v>
      </c>
      <c r="H210" s="70">
        <f t="shared" si="24"/>
        <v>0.13406119590812313</v>
      </c>
      <c r="I210" s="71">
        <f t="shared" si="22"/>
        <v>0.63662524319847624</v>
      </c>
      <c r="L210" s="74"/>
      <c r="M210" s="74"/>
      <c r="N210" s="74"/>
      <c r="O210" s="74"/>
      <c r="P210" s="74"/>
      <c r="Q210" s="74"/>
      <c r="R210" s="74"/>
      <c r="S210" s="74"/>
      <c r="T210" s="74"/>
      <c r="U210" s="74"/>
      <c r="V210" s="74"/>
      <c r="W210" s="74"/>
      <c r="X210" s="74"/>
      <c r="Y210" s="74"/>
      <c r="Z210" s="74"/>
    </row>
    <row r="211" spans="1:26" x14ac:dyDescent="0.3">
      <c r="A211" s="66">
        <f t="shared" ref="A211:A274" si="26">A210+0.1</f>
        <v>2010.3999999999814</v>
      </c>
      <c r="B211" s="67">
        <f>LOOKUP(A211+0.01,AmountsB!$A$4:$A$103,AmountsB!$B$4:$B$103)*0.1*$A$2</f>
        <v>9236.6879070899995</v>
      </c>
      <c r="C211" s="68">
        <f t="shared" si="25"/>
        <v>875886.47494425008</v>
      </c>
      <c r="D211" s="67">
        <f t="array" ref="D211">SUM($B$7:$B206*$F$1009*EXP(-$F$1009*($A211-$A$7:$A206)))*$F$1010</f>
        <v>117083253.84655221</v>
      </c>
      <c r="E211" s="67">
        <f t="shared" si="23"/>
        <v>223.20888734167389</v>
      </c>
      <c r="F211" s="70">
        <f t="shared" ref="F211:F274" si="27">E211*60*1012/1000000</f>
        <v>13.553243639386439</v>
      </c>
      <c r="G211" s="67">
        <f>E211/'Lookup Tables'!$C$48</f>
        <v>446.41777468334777</v>
      </c>
      <c r="H211" s="70">
        <f t="shared" si="24"/>
        <v>0.13394269068288911</v>
      </c>
      <c r="I211" s="71">
        <f t="shared" ref="I211:I274" si="28">G211*60*24/1000000</f>
        <v>0.64284159554402087</v>
      </c>
      <c r="L211" s="74"/>
      <c r="M211" s="74"/>
      <c r="N211" s="74"/>
      <c r="O211" s="74"/>
      <c r="P211" s="74"/>
      <c r="Q211" s="74"/>
      <c r="R211" s="74"/>
      <c r="S211" s="74"/>
      <c r="T211" s="74"/>
      <c r="U211" s="74"/>
      <c r="V211" s="74"/>
      <c r="W211" s="74"/>
      <c r="X211" s="74"/>
      <c r="Y211" s="74"/>
      <c r="Z211" s="74"/>
    </row>
    <row r="212" spans="1:26" x14ac:dyDescent="0.3">
      <c r="A212" s="66">
        <f t="shared" si="26"/>
        <v>2010.4999999999814</v>
      </c>
      <c r="B212" s="67">
        <f>LOOKUP(A212+0.01,AmountsB!$A$4:$A$103,AmountsB!$B$4:$B$103)*0.1*$A$2</f>
        <v>9236.6879070899995</v>
      </c>
      <c r="C212" s="68">
        <f t="shared" si="25"/>
        <v>885123.16285134002</v>
      </c>
      <c r="D212" s="67">
        <f t="array" ref="D212">SUM($B$7:$B207*$F$1009*EXP(-$F$1009*($A212-$A$7:$A207)))*$F$1010</f>
        <v>118241418.55267765</v>
      </c>
      <c r="E212" s="67">
        <f t="shared" si="23"/>
        <v>225.41682611105125</v>
      </c>
      <c r="F212" s="70">
        <f t="shared" si="27"/>
        <v>13.687309681463031</v>
      </c>
      <c r="G212" s="67">
        <f>E212/'Lookup Tables'!$C$48</f>
        <v>450.8336522221025</v>
      </c>
      <c r="H212" s="70">
        <f t="shared" si="24"/>
        <v>0.13385604261253253</v>
      </c>
      <c r="I212" s="71">
        <f t="shared" si="28"/>
        <v>0.64920045919982761</v>
      </c>
      <c r="L212" s="74"/>
      <c r="M212" s="74"/>
      <c r="N212" s="74"/>
      <c r="O212" s="74"/>
      <c r="P212" s="74"/>
      <c r="Q212" s="74"/>
      <c r="R212" s="74"/>
      <c r="S212" s="74"/>
      <c r="T212" s="74"/>
      <c r="U212" s="74"/>
      <c r="V212" s="74"/>
      <c r="W212" s="74"/>
      <c r="X212" s="74"/>
      <c r="Y212" s="74"/>
      <c r="Z212" s="74"/>
    </row>
    <row r="213" spans="1:26" x14ac:dyDescent="0.3">
      <c r="A213" s="66">
        <f t="shared" si="26"/>
        <v>2010.5999999999813</v>
      </c>
      <c r="B213" s="67">
        <f>LOOKUP(A213+0.01,AmountsB!$A$4:$A$103,AmountsB!$B$4:$B$103)*0.1*$A$2</f>
        <v>9236.6879070899995</v>
      </c>
      <c r="C213" s="68">
        <f t="shared" si="25"/>
        <v>894359.85075842997</v>
      </c>
      <c r="D213" s="67">
        <f t="array" ref="D213">SUM($B$7:$B208*$F$1009*EXP(-$F$1009*($A213-$A$7:$A208)))*$F$1010</f>
        <v>119396344.9333972</v>
      </c>
      <c r="E213" s="67">
        <f t="shared" si="23"/>
        <v>227.61859129892187</v>
      </c>
      <c r="F213" s="70">
        <f t="shared" si="27"/>
        <v>13.821000863670537</v>
      </c>
      <c r="G213" s="67">
        <f>E213/'Lookup Tables'!$C$48</f>
        <v>455.23718259784374</v>
      </c>
      <c r="H213" s="70">
        <f t="shared" si="24"/>
        <v>0.13376755618586861</v>
      </c>
      <c r="I213" s="71">
        <f t="shared" si="28"/>
        <v>0.65554154294089506</v>
      </c>
      <c r="L213" s="74"/>
      <c r="M213" s="74"/>
      <c r="N213" s="74"/>
      <c r="O213" s="74"/>
      <c r="P213" s="74"/>
      <c r="Q213" s="74"/>
      <c r="R213" s="74"/>
      <c r="S213" s="74"/>
      <c r="T213" s="74"/>
      <c r="U213" s="74"/>
      <c r="V213" s="74"/>
      <c r="W213" s="74"/>
      <c r="X213" s="74"/>
      <c r="Y213" s="74"/>
      <c r="Z213" s="74"/>
    </row>
    <row r="214" spans="1:26" x14ac:dyDescent="0.3">
      <c r="A214" s="66">
        <f t="shared" si="26"/>
        <v>2010.6999999999812</v>
      </c>
      <c r="B214" s="67">
        <f>LOOKUP(A214+0.01,AmountsB!$A$4:$A$103,AmountsB!$B$4:$B$103)*0.1*$A$2</f>
        <v>9236.6879070899995</v>
      </c>
      <c r="C214" s="68">
        <f t="shared" si="25"/>
        <v>903596.53866551991</v>
      </c>
      <c r="D214" s="67">
        <f t="array" ref="D214">SUM($B$7:$B209*$F$1009*EXP(-$F$1009*($A214-$A$7:$A209)))*$F$1010</f>
        <v>120548042.04333963</v>
      </c>
      <c r="E214" s="67">
        <f t="shared" si="23"/>
        <v>229.81420016713611</v>
      </c>
      <c r="F214" s="70">
        <f t="shared" si="27"/>
        <v>13.954318234148504</v>
      </c>
      <c r="G214" s="67">
        <f>E214/'Lookup Tables'!$C$48</f>
        <v>459.62840033427221</v>
      </c>
      <c r="H214" s="70">
        <f t="shared" si="24"/>
        <v>0.13367729781948523</v>
      </c>
      <c r="I214" s="71">
        <f t="shared" si="28"/>
        <v>0.66186489648135194</v>
      </c>
      <c r="L214" s="74"/>
      <c r="M214" s="74"/>
      <c r="N214" s="74"/>
      <c r="O214" s="74"/>
      <c r="P214" s="74"/>
      <c r="Q214" s="74"/>
      <c r="R214" s="74"/>
      <c r="S214" s="74"/>
      <c r="T214" s="74"/>
      <c r="U214" s="74"/>
      <c r="V214" s="74"/>
      <c r="W214" s="74"/>
      <c r="X214" s="74"/>
      <c r="Y214" s="74"/>
      <c r="Z214" s="74"/>
    </row>
    <row r="215" spans="1:26" x14ac:dyDescent="0.3">
      <c r="A215" s="66">
        <f t="shared" si="26"/>
        <v>2010.7999999999811</v>
      </c>
      <c r="B215" s="67">
        <f>LOOKUP(A215+0.01,AmountsB!$A$4:$A$103,AmountsB!$B$4:$B$103)*0.1*$A$2</f>
        <v>9236.6879070899995</v>
      </c>
      <c r="C215" s="68">
        <f t="shared" si="25"/>
        <v>912833.22657260986</v>
      </c>
      <c r="D215" s="67">
        <f t="array" ref="D215">SUM($B$7:$B210*$F$1009*EXP(-$F$1009*($A215-$A$7:$A210)))*$F$1010</f>
        <v>121696518.91181615</v>
      </c>
      <c r="E215" s="67">
        <f t="shared" si="23"/>
        <v>232.00366992927874</v>
      </c>
      <c r="F215" s="70">
        <f t="shared" si="27"/>
        <v>14.087262838105806</v>
      </c>
      <c r="G215" s="67">
        <f>E215/'Lookup Tables'!$C$48</f>
        <v>464.00733985855749</v>
      </c>
      <c r="H215" s="70">
        <f t="shared" si="24"/>
        <v>0.13358533121398083</v>
      </c>
      <c r="I215" s="71">
        <f t="shared" si="28"/>
        <v>0.6681705693963228</v>
      </c>
      <c r="L215" s="74"/>
      <c r="M215" s="74"/>
      <c r="N215" s="74"/>
      <c r="O215" s="74"/>
      <c r="P215" s="74"/>
      <c r="Q215" s="74"/>
      <c r="R215" s="74"/>
      <c r="S215" s="74"/>
      <c r="T215" s="74"/>
      <c r="U215" s="74"/>
      <c r="V215" s="74"/>
      <c r="W215" s="74"/>
      <c r="X215" s="74"/>
      <c r="Y215" s="74"/>
      <c r="Z215" s="74"/>
    </row>
    <row r="216" spans="1:26" x14ac:dyDescent="0.3">
      <c r="A216" s="66">
        <f t="shared" si="26"/>
        <v>2010.899999999981</v>
      </c>
      <c r="B216" s="67">
        <f>LOOKUP(A216+0.01,AmountsB!$A$4:$A$103,AmountsB!$B$4:$B$103)*0.1*$A$2</f>
        <v>9236.6879070899995</v>
      </c>
      <c r="C216" s="68">
        <f t="shared" si="25"/>
        <v>922069.9144796998</v>
      </c>
      <c r="D216" s="67">
        <f t="array" ref="D216">SUM($B$7:$B211*$F$1009*EXP(-$F$1009*($A216-$A$7:$A211)))*$F$1010</f>
        <v>122841784.54289128</v>
      </c>
      <c r="E216" s="67">
        <f t="shared" si="23"/>
        <v>234.18701775080385</v>
      </c>
      <c r="F216" s="70">
        <f t="shared" si="27"/>
        <v>14.219835717828808</v>
      </c>
      <c r="G216" s="67">
        <f>E216/'Lookup Tables'!$C$48</f>
        <v>468.37403550160769</v>
      </c>
      <c r="H216" s="70">
        <f t="shared" si="24"/>
        <v>0.13349171749007585</v>
      </c>
      <c r="I216" s="71">
        <f t="shared" si="28"/>
        <v>0.67445861112231509</v>
      </c>
      <c r="L216" s="74"/>
      <c r="M216" s="74"/>
      <c r="N216" s="74"/>
      <c r="O216" s="74"/>
      <c r="P216" s="74"/>
      <c r="Q216" s="74"/>
      <c r="R216" s="74"/>
      <c r="S216" s="74"/>
      <c r="T216" s="74"/>
      <c r="U216" s="74"/>
      <c r="V216" s="74"/>
      <c r="W216" s="74"/>
      <c r="X216" s="74"/>
      <c r="Y216" s="74"/>
      <c r="Z216" s="74"/>
    </row>
    <row r="217" spans="1:26" x14ac:dyDescent="0.3">
      <c r="A217" s="66">
        <f t="shared" si="26"/>
        <v>2010.9999999999809</v>
      </c>
      <c r="B217" s="67">
        <f>LOOKUP(A217+0.01,AmountsB!$A$4:$A$103,AmountsB!$B$4:$B$103)*0.1*$A$2</f>
        <v>9421.3280072100006</v>
      </c>
      <c r="C217" s="68">
        <f t="shared" si="25"/>
        <v>931491.24248690985</v>
      </c>
      <c r="D217" s="67">
        <f t="array" ref="D217">SUM($B$7:$B212*$F$1009*EXP(-$F$1009*($A217-$A$7:$A212)))*$F$1010</f>
        <v>123983847.91545354</v>
      </c>
      <c r="E217" s="67">
        <f t="shared" si="23"/>
        <v>236.36426074916972</v>
      </c>
      <c r="F217" s="70">
        <f t="shared" si="27"/>
        <v>14.352037912689585</v>
      </c>
      <c r="G217" s="67">
        <f>E217/'Lookup Tables'!$C$48</f>
        <v>472.72852149833943</v>
      </c>
      <c r="H217" s="70">
        <f t="shared" si="24"/>
        <v>0.13337007347281574</v>
      </c>
      <c r="I217" s="71">
        <f t="shared" si="28"/>
        <v>0.68072907095760871</v>
      </c>
      <c r="L217" s="74"/>
      <c r="M217" s="74"/>
      <c r="N217" s="74"/>
      <c r="O217" s="74"/>
      <c r="P217" s="74"/>
      <c r="Q217" s="74"/>
      <c r="R217" s="74"/>
      <c r="S217" s="74"/>
      <c r="T217" s="74"/>
      <c r="U217" s="74"/>
      <c r="V217" s="74"/>
      <c r="W217" s="74"/>
      <c r="X217" s="74"/>
      <c r="Y217" s="74"/>
      <c r="Z217" s="74"/>
    </row>
    <row r="218" spans="1:26" x14ac:dyDescent="0.3">
      <c r="A218" s="66">
        <f t="shared" si="26"/>
        <v>2011.0999999999808</v>
      </c>
      <c r="B218" s="67">
        <f>LOOKUP(A218+0.01,AmountsB!$A$4:$A$103,AmountsB!$B$4:$B$103)*0.1*$A$2</f>
        <v>9421.3280072100006</v>
      </c>
      <c r="C218" s="68">
        <f t="shared" si="25"/>
        <v>940912.57049411989</v>
      </c>
      <c r="D218" s="67">
        <f t="array" ref="D218">SUM($B$7:$B213*$F$1009*EXP(-$F$1009*($A218-$A$7:$A213)))*$F$1010</f>
        <v>125122717.98328549</v>
      </c>
      <c r="E218" s="67">
        <f t="shared" si="23"/>
        <v>238.53541599397241</v>
      </c>
      <c r="F218" s="70">
        <f t="shared" si="27"/>
        <v>14.483870459154005</v>
      </c>
      <c r="G218" s="67">
        <f>E218/'Lookup Tables'!$C$48</f>
        <v>477.07083198794481</v>
      </c>
      <c r="H218" s="70">
        <f t="shared" si="24"/>
        <v>0.13324746483150041</v>
      </c>
      <c r="I218" s="71">
        <f t="shared" si="28"/>
        <v>0.6869819980626406</v>
      </c>
      <c r="L218" s="74"/>
      <c r="M218" s="74"/>
      <c r="N218" s="74"/>
      <c r="O218" s="74"/>
      <c r="P218" s="74"/>
      <c r="Q218" s="74"/>
      <c r="R218" s="74"/>
      <c r="S218" s="74"/>
      <c r="T218" s="74"/>
      <c r="U218" s="74"/>
      <c r="V218" s="74"/>
      <c r="W218" s="74"/>
      <c r="X218" s="74"/>
      <c r="Y218" s="74"/>
      <c r="Z218" s="74"/>
    </row>
    <row r="219" spans="1:26" x14ac:dyDescent="0.3">
      <c r="A219" s="66">
        <f t="shared" si="26"/>
        <v>2011.1999999999807</v>
      </c>
      <c r="B219" s="67">
        <f>LOOKUP(A219+0.01,AmountsB!$A$4:$A$103,AmountsB!$B$4:$B$103)*0.1*$A$2</f>
        <v>9421.3280072100006</v>
      </c>
      <c r="C219" s="68">
        <f t="shared" si="25"/>
        <v>950333.89850132994</v>
      </c>
      <c r="D219" s="67">
        <f t="array" ref="D219">SUM($B$7:$B214*$F$1009*EXP(-$F$1009*($A219-$A$7:$A214)))*$F$1010</f>
        <v>126258403.67513435</v>
      </c>
      <c r="E219" s="67">
        <f t="shared" si="23"/>
        <v>240.70050050708025</v>
      </c>
      <c r="F219" s="70">
        <f t="shared" si="27"/>
        <v>14.615334390789913</v>
      </c>
      <c r="G219" s="67">
        <f>E219/'Lookup Tables'!$C$48</f>
        <v>481.4010010141605</v>
      </c>
      <c r="H219" s="70">
        <f t="shared" si="24"/>
        <v>0.13312392966938277</v>
      </c>
      <c r="I219" s="71">
        <f t="shared" si="28"/>
        <v>0.6932174414603911</v>
      </c>
      <c r="L219" s="74"/>
      <c r="M219" s="74"/>
      <c r="N219" s="74"/>
      <c r="O219" s="74"/>
      <c r="P219" s="74"/>
      <c r="Q219" s="74"/>
      <c r="R219" s="74"/>
      <c r="S219" s="74"/>
      <c r="T219" s="74"/>
      <c r="U219" s="74"/>
      <c r="V219" s="74"/>
      <c r="W219" s="74"/>
      <c r="X219" s="74"/>
      <c r="Y219" s="74"/>
      <c r="Z219" s="74"/>
    </row>
    <row r="220" spans="1:26" x14ac:dyDescent="0.3">
      <c r="A220" s="66">
        <f t="shared" si="26"/>
        <v>2011.2999999999806</v>
      </c>
      <c r="B220" s="67">
        <f>LOOKUP(A220+0.01,AmountsB!$A$4:$A$103,AmountsB!$B$4:$B$103)*0.1*$A$2</f>
        <v>9421.3280072100006</v>
      </c>
      <c r="C220" s="68">
        <f t="shared" si="25"/>
        <v>959755.22650853998</v>
      </c>
      <c r="D220" s="67">
        <f t="array" ref="D220">SUM($B$7:$B215*$F$1009*EXP(-$F$1009*($A220-$A$7:$A215)))*$F$1010</f>
        <v>127390913.89478181</v>
      </c>
      <c r="E220" s="67">
        <f t="shared" si="23"/>
        <v>242.85953126276698</v>
      </c>
      <c r="F220" s="70">
        <f t="shared" si="27"/>
        <v>14.74643073827521</v>
      </c>
      <c r="G220" s="67">
        <f>E220/'Lookup Tables'!$C$48</f>
        <v>485.71906252553396</v>
      </c>
      <c r="H220" s="70">
        <f t="shared" si="24"/>
        <v>0.13299950456750598</v>
      </c>
      <c r="I220" s="71">
        <f t="shared" si="28"/>
        <v>0.69943545003676877</v>
      </c>
      <c r="L220" s="74"/>
      <c r="M220" s="74"/>
      <c r="N220" s="74"/>
      <c r="O220" s="74"/>
      <c r="P220" s="74"/>
      <c r="Q220" s="74"/>
      <c r="R220" s="74"/>
      <c r="S220" s="74"/>
      <c r="T220" s="74"/>
      <c r="U220" s="74"/>
      <c r="V220" s="74"/>
      <c r="W220" s="74"/>
      <c r="X220" s="74"/>
      <c r="Y220" s="74"/>
      <c r="Z220" s="74"/>
    </row>
    <row r="221" spans="1:26" x14ac:dyDescent="0.3">
      <c r="A221" s="66">
        <f t="shared" si="26"/>
        <v>2011.3999999999805</v>
      </c>
      <c r="B221" s="67">
        <f>LOOKUP(A221+0.01,AmountsB!$A$4:$A$103,AmountsB!$B$4:$B$103)*0.1*$A$2</f>
        <v>9421.3280072100006</v>
      </c>
      <c r="C221" s="68">
        <f t="shared" si="25"/>
        <v>969176.55451575003</v>
      </c>
      <c r="D221" s="67">
        <f t="array" ref="D221">SUM($B$7:$B216*$F$1009*EXP(-$F$1009*($A221-$A$7:$A216)))*$F$1010</f>
        <v>128520257.52111372</v>
      </c>
      <c r="E221" s="67">
        <f t="shared" si="23"/>
        <v>245.01252518784469</v>
      </c>
      <c r="F221" s="70">
        <f t="shared" si="27"/>
        <v>14.877160529405929</v>
      </c>
      <c r="G221" s="67">
        <f>E221/'Lookup Tables'!$C$48</f>
        <v>490.02505037568937</v>
      </c>
      <c r="H221" s="70">
        <f t="shared" si="24"/>
        <v>0.1328742246587625</v>
      </c>
      <c r="I221" s="71">
        <f t="shared" si="28"/>
        <v>0.70563607254099259</v>
      </c>
      <c r="L221" s="74"/>
      <c r="M221" s="74"/>
      <c r="N221" s="74"/>
      <c r="O221" s="74"/>
      <c r="P221" s="74"/>
      <c r="Q221" s="74"/>
      <c r="R221" s="74"/>
      <c r="S221" s="74"/>
      <c r="T221" s="74"/>
      <c r="U221" s="74"/>
      <c r="V221" s="74"/>
      <c r="W221" s="74"/>
      <c r="X221" s="74"/>
      <c r="Y221" s="74"/>
      <c r="Z221" s="74"/>
    </row>
    <row r="222" spans="1:26" x14ac:dyDescent="0.3">
      <c r="A222" s="66">
        <f t="shared" si="26"/>
        <v>2011.4999999999804</v>
      </c>
      <c r="B222" s="67">
        <f>LOOKUP(A222+0.01,AmountsB!$A$4:$A$103,AmountsB!$B$4:$B$103)*0.1*$A$2</f>
        <v>9421.3280072100006</v>
      </c>
      <c r="C222" s="68">
        <f t="shared" si="25"/>
        <v>978597.88252296008</v>
      </c>
      <c r="D222" s="67">
        <f t="array" ref="D222">SUM($B$7:$B217*$F$1009*EXP(-$F$1009*($A222-$A$7:$A217)))*$F$1010</f>
        <v>129676139.13071443</v>
      </c>
      <c r="E222" s="67">
        <f t="shared" si="23"/>
        <v>247.21611143524959</v>
      </c>
      <c r="F222" s="70">
        <f t="shared" si="27"/>
        <v>15.010962286348354</v>
      </c>
      <c r="G222" s="67">
        <f>E222/'Lookup Tables'!$C$48</f>
        <v>494.43222287049917</v>
      </c>
      <c r="H222" s="70">
        <f t="shared" si="24"/>
        <v>0.13277852986496583</v>
      </c>
      <c r="I222" s="71">
        <f t="shared" si="28"/>
        <v>0.71198240093351872</v>
      </c>
      <c r="L222" s="74"/>
      <c r="M222" s="74"/>
      <c r="N222" s="74"/>
      <c r="O222" s="74"/>
      <c r="P222" s="74"/>
      <c r="Q222" s="74"/>
      <c r="R222" s="74"/>
      <c r="S222" s="74"/>
      <c r="T222" s="74"/>
      <c r="U222" s="74"/>
      <c r="V222" s="74"/>
      <c r="W222" s="74"/>
      <c r="X222" s="74"/>
      <c r="Y222" s="74"/>
      <c r="Z222" s="74"/>
    </row>
    <row r="223" spans="1:26" x14ac:dyDescent="0.3">
      <c r="A223" s="66">
        <f t="shared" si="26"/>
        <v>2011.5999999999804</v>
      </c>
      <c r="B223" s="67">
        <f>LOOKUP(A223+0.01,AmountsB!$A$4:$A$103,AmountsB!$B$4:$B$103)*0.1*$A$2</f>
        <v>9421.3280072100006</v>
      </c>
      <c r="C223" s="68">
        <f t="shared" si="25"/>
        <v>988019.21053017012</v>
      </c>
      <c r="D223" s="67">
        <f t="array" ref="D223">SUM($B$7:$B218*$F$1009*EXP(-$F$1009*($A223-$A$7:$A218)))*$F$1010</f>
        <v>130828788.79863818</v>
      </c>
      <c r="E223" s="67">
        <f t="shared" si="23"/>
        <v>249.41353627116334</v>
      </c>
      <c r="F223" s="70">
        <f t="shared" si="27"/>
        <v>15.144389922385038</v>
      </c>
      <c r="G223" s="67">
        <f>E223/'Lookup Tables'!$C$48</f>
        <v>498.82707254232668</v>
      </c>
      <c r="H223" s="70">
        <f t="shared" si="24"/>
        <v>0.13268138237289917</v>
      </c>
      <c r="I223" s="71">
        <f t="shared" si="28"/>
        <v>0.71831098446095043</v>
      </c>
      <c r="L223" s="74"/>
      <c r="M223" s="74"/>
      <c r="N223" s="74"/>
      <c r="O223" s="74"/>
      <c r="P223" s="74"/>
      <c r="Q223" s="74"/>
      <c r="R223" s="74"/>
      <c r="S223" s="74"/>
      <c r="T223" s="74"/>
      <c r="U223" s="74"/>
      <c r="V223" s="74"/>
      <c r="W223" s="74"/>
      <c r="X223" s="74"/>
      <c r="Y223" s="74"/>
      <c r="Z223" s="74"/>
    </row>
    <row r="224" spans="1:26" x14ac:dyDescent="0.3">
      <c r="A224" s="66">
        <f t="shared" si="26"/>
        <v>2011.6999999999803</v>
      </c>
      <c r="B224" s="67">
        <f>LOOKUP(A224+0.01,AmountsB!$A$4:$A$103,AmountsB!$B$4:$B$103)*0.1*$A$2</f>
        <v>9421.3280072100006</v>
      </c>
      <c r="C224" s="68">
        <f t="shared" si="25"/>
        <v>997440.53853738017</v>
      </c>
      <c r="D224" s="67">
        <f t="array" ref="D224">SUM($B$7:$B219*$F$1009*EXP(-$F$1009*($A224-$A$7:$A219)))*$F$1010</f>
        <v>131978215.56166424</v>
      </c>
      <c r="E224" s="67">
        <f t="shared" si="23"/>
        <v>251.6048169234079</v>
      </c>
      <c r="F224" s="70">
        <f t="shared" si="27"/>
        <v>15.277444483589329</v>
      </c>
      <c r="G224" s="67">
        <f>E224/'Lookup Tables'!$C$48</f>
        <v>503.20963384681579</v>
      </c>
      <c r="H224" s="70">
        <f t="shared" si="24"/>
        <v>0.13258283242514032</v>
      </c>
      <c r="I224" s="71">
        <f t="shared" si="28"/>
        <v>0.72462187273941481</v>
      </c>
      <c r="L224" s="74"/>
      <c r="M224" s="74"/>
      <c r="N224" s="74"/>
      <c r="O224" s="74"/>
      <c r="P224" s="74"/>
      <c r="Q224" s="74"/>
      <c r="R224" s="74"/>
      <c r="S224" s="74"/>
      <c r="T224" s="74"/>
      <c r="U224" s="74"/>
      <c r="V224" s="74"/>
      <c r="W224" s="74"/>
      <c r="X224" s="74"/>
      <c r="Y224" s="74"/>
      <c r="Z224" s="74"/>
    </row>
    <row r="225" spans="1:26" x14ac:dyDescent="0.3">
      <c r="A225" s="66">
        <f t="shared" si="26"/>
        <v>2011.7999999999802</v>
      </c>
      <c r="B225" s="67">
        <f>LOOKUP(A225+0.01,AmountsB!$A$4:$A$103,AmountsB!$B$4:$B$103)*0.1*$A$2</f>
        <v>9421.3280072100006</v>
      </c>
      <c r="C225" s="68">
        <f t="shared" si="25"/>
        <v>1006861.8665445902</v>
      </c>
      <c r="D225" s="67">
        <f t="array" ref="D225">SUM($B$7:$B220*$F$1009*EXP(-$F$1009*($A225-$A$7:$A220)))*$F$1010</f>
        <v>133124428.43130423</v>
      </c>
      <c r="E225" s="67">
        <f t="shared" si="23"/>
        <v>253.78997057163463</v>
      </c>
      <c r="F225" s="70">
        <f t="shared" si="27"/>
        <v>15.410127013109655</v>
      </c>
      <c r="G225" s="67">
        <f>E225/'Lookup Tables'!$C$48</f>
        <v>507.57994114326925</v>
      </c>
      <c r="H225" s="70">
        <f t="shared" si="24"/>
        <v>0.13248292835861783</v>
      </c>
      <c r="I225" s="71">
        <f t="shared" si="28"/>
        <v>0.73091511524630781</v>
      </c>
      <c r="L225" s="74"/>
      <c r="M225" s="74"/>
      <c r="N225" s="74"/>
      <c r="O225" s="74"/>
      <c r="P225" s="74"/>
      <c r="Q225" s="74"/>
      <c r="R225" s="74"/>
      <c r="S225" s="74"/>
      <c r="T225" s="74"/>
      <c r="U225" s="74"/>
      <c r="V225" s="74"/>
      <c r="W225" s="74"/>
      <c r="X225" s="74"/>
      <c r="Y225" s="74"/>
      <c r="Z225" s="74"/>
    </row>
    <row r="226" spans="1:26" x14ac:dyDescent="0.3">
      <c r="A226" s="66">
        <f t="shared" si="26"/>
        <v>2011.8999999999801</v>
      </c>
      <c r="B226" s="67">
        <f>LOOKUP(A226+0.01,AmountsB!$A$4:$A$103,AmountsB!$B$4:$B$103)*0.1*$A$2</f>
        <v>9421.3280072100006</v>
      </c>
      <c r="C226" s="68">
        <f t="shared" si="25"/>
        <v>1016283.1945518003</v>
      </c>
      <c r="D226" s="67">
        <f t="array" ref="D226">SUM($B$7:$B221*$F$1009*EXP(-$F$1009*($A226-$A$7:$A221)))*$F$1010</f>
        <v>134267436.39387307</v>
      </c>
      <c r="E226" s="67">
        <f t="shared" si="23"/>
        <v>255.96901434745959</v>
      </c>
      <c r="F226" s="70">
        <f t="shared" si="27"/>
        <v>15.542438551177748</v>
      </c>
      <c r="G226" s="67">
        <f>E226/'Lookup Tables'!$C$48</f>
        <v>511.93802869491918</v>
      </c>
      <c r="H226" s="70">
        <f t="shared" si="24"/>
        <v>0.13238171669301116</v>
      </c>
      <c r="I226" s="71">
        <f t="shared" si="28"/>
        <v>0.73719076132068362</v>
      </c>
      <c r="L226" s="74"/>
      <c r="M226" s="74"/>
      <c r="N226" s="74"/>
      <c r="O226" s="74"/>
      <c r="P226" s="74"/>
      <c r="Q226" s="74"/>
      <c r="R226" s="74"/>
      <c r="S226" s="74"/>
      <c r="T226" s="74"/>
      <c r="U226" s="74"/>
      <c r="V226" s="74"/>
      <c r="W226" s="74"/>
      <c r="X226" s="74"/>
      <c r="Y226" s="74"/>
      <c r="Z226" s="74"/>
    </row>
    <row r="227" spans="1:26" x14ac:dyDescent="0.3">
      <c r="A227" s="66">
        <f t="shared" si="26"/>
        <v>2011.99999999998</v>
      </c>
      <c r="B227" s="67">
        <f>LOOKUP(A227+0.01,AmountsB!$A$4:$A$103,AmountsB!$B$4:$B$103)*0.1*$A$2</f>
        <v>10034.788049999999</v>
      </c>
      <c r="C227" s="68">
        <f t="shared" si="25"/>
        <v>1026317.9826018002</v>
      </c>
      <c r="D227" s="67">
        <f t="array" ref="D227">SUM($B$7:$B222*$F$1009*EXP(-$F$1009*($A227-$A$7:$A222)))*$F$1010</f>
        <v>135407248.41055897</v>
      </c>
      <c r="E227" s="67">
        <f t="shared" si="23"/>
        <v>258.14196533459705</v>
      </c>
      <c r="F227" s="70">
        <f t="shared" si="27"/>
        <v>15.674380135116733</v>
      </c>
      <c r="G227" s="67">
        <f>E227/'Lookup Tables'!$C$48</f>
        <v>516.28393066919409</v>
      </c>
      <c r="H227" s="70">
        <f t="shared" si="24"/>
        <v>0.13220017507235504</v>
      </c>
      <c r="I227" s="71">
        <f t="shared" si="28"/>
        <v>0.74344886016363954</v>
      </c>
      <c r="L227" s="74"/>
      <c r="M227" s="74"/>
      <c r="N227" s="74"/>
      <c r="O227" s="74"/>
      <c r="P227" s="74"/>
      <c r="Q227" s="74"/>
      <c r="R227" s="74"/>
      <c r="S227" s="74"/>
      <c r="T227" s="74"/>
      <c r="U227" s="74"/>
      <c r="V227" s="74"/>
      <c r="W227" s="74"/>
      <c r="X227" s="74"/>
      <c r="Y227" s="74"/>
      <c r="Z227" s="74"/>
    </row>
    <row r="228" spans="1:26" x14ac:dyDescent="0.3">
      <c r="A228" s="66">
        <f t="shared" si="26"/>
        <v>2012.0999999999799</v>
      </c>
      <c r="B228" s="67">
        <f>LOOKUP(A228+0.01,AmountsB!$A$4:$A$103,AmountsB!$B$4:$B$103)*0.1*$A$2</f>
        <v>10034.788049999999</v>
      </c>
      <c r="C228" s="68">
        <f t="shared" si="25"/>
        <v>1036352.7706518002</v>
      </c>
      <c r="D228" s="67">
        <f t="array" ref="D228">SUM($B$7:$B223*$F$1009*EXP(-$F$1009*($A228-$A$7:$A223)))*$F$1010</f>
        <v>136543873.41749397</v>
      </c>
      <c r="E228" s="67">
        <f t="shared" si="23"/>
        <v>260.30884056899384</v>
      </c>
      <c r="F228" s="70">
        <f t="shared" si="27"/>
        <v>15.805952799349306</v>
      </c>
      <c r="G228" s="67">
        <f>E228/'Lookup Tables'!$C$48</f>
        <v>520.61768113798769</v>
      </c>
      <c r="H228" s="70">
        <f t="shared" si="24"/>
        <v>0.13201906771283403</v>
      </c>
      <c r="I228" s="71">
        <f t="shared" si="28"/>
        <v>0.74968946083870225</v>
      </c>
      <c r="L228" s="74"/>
      <c r="M228" s="74"/>
      <c r="N228" s="74"/>
      <c r="O228" s="74"/>
      <c r="P228" s="74"/>
      <c r="Q228" s="74"/>
      <c r="R228" s="74"/>
      <c r="S228" s="74"/>
      <c r="T228" s="74"/>
      <c r="U228" s="74"/>
      <c r="V228" s="74"/>
      <c r="W228" s="74"/>
      <c r="X228" s="74"/>
      <c r="Y228" s="74"/>
      <c r="Z228" s="74"/>
    </row>
    <row r="229" spans="1:26" x14ac:dyDescent="0.3">
      <c r="A229" s="66">
        <f t="shared" si="26"/>
        <v>2012.1999999999798</v>
      </c>
      <c r="B229" s="67">
        <f>LOOKUP(A229+0.01,AmountsB!$A$4:$A$103,AmountsB!$B$4:$B$103)*0.1*$A$2</f>
        <v>10034.788049999999</v>
      </c>
      <c r="C229" s="68">
        <f t="shared" si="25"/>
        <v>1046387.5587018002</v>
      </c>
      <c r="D229" s="67">
        <f t="array" ref="D229">SUM($B$7:$B224*$F$1009*EXP(-$F$1009*($A229-$A$7:$A224)))*$F$1010</f>
        <v>137677320.3258239</v>
      </c>
      <c r="E229" s="67">
        <f t="shared" si="23"/>
        <v>262.46965703896274</v>
      </c>
      <c r="F229" s="70">
        <f t="shared" si="27"/>
        <v>15.937157575405818</v>
      </c>
      <c r="G229" s="67">
        <f>E229/'Lookup Tables'!$C$48</f>
        <v>524.93931407792547</v>
      </c>
      <c r="H229" s="70">
        <f t="shared" si="24"/>
        <v>0.13183839065406261</v>
      </c>
      <c r="I229" s="71">
        <f t="shared" si="28"/>
        <v>0.75591261227221263</v>
      </c>
      <c r="L229" s="74"/>
      <c r="M229" s="74"/>
      <c r="N229" s="74"/>
      <c r="O229" s="74"/>
      <c r="P229" s="74"/>
      <c r="Q229" s="74"/>
      <c r="R229" s="74"/>
      <c r="S229" s="74"/>
      <c r="T229" s="74"/>
      <c r="U229" s="74"/>
      <c r="V229" s="74"/>
      <c r="W229" s="74"/>
      <c r="X229" s="74"/>
      <c r="Y229" s="74"/>
      <c r="Z229" s="74"/>
    </row>
    <row r="230" spans="1:26" x14ac:dyDescent="0.3">
      <c r="A230" s="66">
        <f t="shared" si="26"/>
        <v>2012.2999999999797</v>
      </c>
      <c r="B230" s="67">
        <f>LOOKUP(A230+0.01,AmountsB!$A$4:$A$103,AmountsB!$B$4:$B$103)*0.1*$A$2</f>
        <v>10034.788049999999</v>
      </c>
      <c r="C230" s="68">
        <f t="shared" si="25"/>
        <v>1056422.3467518003</v>
      </c>
      <c r="D230" s="67">
        <f t="array" ref="D230">SUM($B$7:$B225*$F$1009*EXP(-$F$1009*($A230-$A$7:$A225)))*$F$1010</f>
        <v>138807598.0217784</v>
      </c>
      <c r="E230" s="67">
        <f t="shared" si="23"/>
        <v>264.62443168531621</v>
      </c>
      <c r="F230" s="70">
        <f t="shared" si="27"/>
        <v>16.0679954919324</v>
      </c>
      <c r="G230" s="67">
        <f>E230/'Lookup Tables'!$C$48</f>
        <v>529.24886337063242</v>
      </c>
      <c r="H230" s="70">
        <f t="shared" si="24"/>
        <v>0.13165814006249879</v>
      </c>
      <c r="I230" s="71">
        <f t="shared" si="28"/>
        <v>0.76211836325371063</v>
      </c>
      <c r="L230" s="74"/>
      <c r="M230" s="74"/>
      <c r="N230" s="74"/>
      <c r="O230" s="74"/>
      <c r="P230" s="74"/>
      <c r="Q230" s="74"/>
      <c r="R230" s="74"/>
      <c r="S230" s="74"/>
      <c r="T230" s="74"/>
      <c r="U230" s="74"/>
      <c r="V230" s="74"/>
      <c r="W230" s="74"/>
      <c r="X230" s="74"/>
      <c r="Y230" s="74"/>
      <c r="Z230" s="74"/>
    </row>
    <row r="231" spans="1:26" x14ac:dyDescent="0.3">
      <c r="A231" s="66">
        <f t="shared" si="26"/>
        <v>2012.3999999999796</v>
      </c>
      <c r="B231" s="67">
        <f>LOOKUP(A231+0.01,AmountsB!$A$4:$A$103,AmountsB!$B$4:$B$103)*0.1*$A$2</f>
        <v>10034.788049999999</v>
      </c>
      <c r="C231" s="68">
        <f t="shared" si="25"/>
        <v>1066457.1348018004</v>
      </c>
      <c r="D231" s="67">
        <f t="array" ref="D231">SUM($B$7:$B226*$F$1009*EXP(-$F$1009*($A231-$A$7:$A226)))*$F$1010</f>
        <v>139934715.36674047</v>
      </c>
      <c r="E231" s="67">
        <f t="shared" si="23"/>
        <v>266.7731814014985</v>
      </c>
      <c r="F231" s="70">
        <f t="shared" si="27"/>
        <v>16.198467574698988</v>
      </c>
      <c r="G231" s="67">
        <f>E231/'Lookup Tables'!$C$48</f>
        <v>533.54636280299701</v>
      </c>
      <c r="H231" s="70">
        <f t="shared" si="24"/>
        <v>0.1314783122255416</v>
      </c>
      <c r="I231" s="71">
        <f t="shared" si="28"/>
        <v>0.76830676243631568</v>
      </c>
      <c r="L231" s="74"/>
      <c r="M231" s="74"/>
      <c r="N231" s="74"/>
      <c r="O231" s="74"/>
      <c r="P231" s="74"/>
      <c r="Q231" s="74"/>
      <c r="R231" s="74"/>
      <c r="S231" s="74"/>
      <c r="T231" s="74"/>
      <c r="U231" s="74"/>
      <c r="V231" s="74"/>
      <c r="W231" s="74"/>
      <c r="X231" s="74"/>
      <c r="Y231" s="74"/>
      <c r="Z231" s="74"/>
    </row>
    <row r="232" spans="1:26" x14ac:dyDescent="0.3">
      <c r="A232" s="66">
        <f t="shared" si="26"/>
        <v>2012.4999999999795</v>
      </c>
      <c r="B232" s="67">
        <f>LOOKUP(A232+0.01,AmountsB!$A$4:$A$103,AmountsB!$B$4:$B$103)*0.1*$A$2</f>
        <v>10034.788049999999</v>
      </c>
      <c r="C232" s="68">
        <f t="shared" si="25"/>
        <v>1076491.9228518005</v>
      </c>
      <c r="D232" s="67">
        <f t="array" ref="D232">SUM($B$7:$B227*$F$1009*EXP(-$F$1009*($A232-$A$7:$A227)))*$F$1010</f>
        <v>141157344.15947151</v>
      </c>
      <c r="E232" s="67">
        <f t="shared" si="23"/>
        <v>269.10401526109604</v>
      </c>
      <c r="F232" s="70">
        <f t="shared" si="27"/>
        <v>16.339995806653754</v>
      </c>
      <c r="G232" s="67">
        <f>E232/'Lookup Tables'!$C$48</f>
        <v>538.20803052219208</v>
      </c>
      <c r="H232" s="70">
        <f t="shared" si="24"/>
        <v>0.13139074006847343</v>
      </c>
      <c r="I232" s="71">
        <f t="shared" si="28"/>
        <v>0.77501956395195659</v>
      </c>
      <c r="L232" s="74"/>
      <c r="M232" s="74"/>
      <c r="N232" s="74"/>
      <c r="O232" s="74"/>
      <c r="P232" s="74"/>
      <c r="Q232" s="74"/>
      <c r="R232" s="74"/>
      <c r="S232" s="74"/>
      <c r="T232" s="74"/>
      <c r="U232" s="74"/>
      <c r="V232" s="74"/>
      <c r="W232" s="74"/>
      <c r="X232" s="74"/>
      <c r="Y232" s="74"/>
      <c r="Z232" s="74"/>
    </row>
    <row r="233" spans="1:26" x14ac:dyDescent="0.3">
      <c r="A233" s="66">
        <f t="shared" si="26"/>
        <v>2012.5999999999794</v>
      </c>
      <c r="B233" s="67">
        <f>LOOKUP(A233+0.01,AmountsB!$A$4:$A$103,AmountsB!$B$4:$B$103)*0.1*$A$2</f>
        <v>10034.788049999999</v>
      </c>
      <c r="C233" s="68">
        <f t="shared" si="25"/>
        <v>1086526.7109018005</v>
      </c>
      <c r="D233" s="67">
        <f t="array" ref="D233">SUM($B$7:$B228*$F$1009*EXP(-$F$1009*($A233-$A$7:$A228)))*$F$1010</f>
        <v>142376554.37981769</v>
      </c>
      <c r="E233" s="67">
        <f t="shared" si="23"/>
        <v>271.42833191423352</v>
      </c>
      <c r="F233" s="70">
        <f t="shared" si="27"/>
        <v>16.481128313832258</v>
      </c>
      <c r="G233" s="67">
        <f>E233/'Lookup Tables'!$C$48</f>
        <v>542.85666382846705</v>
      </c>
      <c r="H233" s="70">
        <f t="shared" si="24"/>
        <v>0.13130163282936066</v>
      </c>
      <c r="I233" s="71">
        <f t="shared" si="28"/>
        <v>0.7817135959129925</v>
      </c>
      <c r="L233" s="74"/>
      <c r="M233" s="74"/>
      <c r="N233" s="74"/>
      <c r="O233" s="74"/>
      <c r="P233" s="74"/>
      <c r="Q233" s="74"/>
      <c r="R233" s="74"/>
      <c r="S233" s="74"/>
      <c r="T233" s="74"/>
      <c r="U233" s="74"/>
      <c r="V233" s="74"/>
      <c r="W233" s="74"/>
      <c r="X233" s="74"/>
      <c r="Y233" s="74"/>
      <c r="Z233" s="74"/>
    </row>
    <row r="234" spans="1:26" x14ac:dyDescent="0.3">
      <c r="A234" s="66">
        <f t="shared" si="26"/>
        <v>2012.6999999999794</v>
      </c>
      <c r="B234" s="67">
        <f>LOOKUP(A234+0.01,AmountsB!$A$4:$A$103,AmountsB!$B$4:$B$103)*0.1*$A$2</f>
        <v>10034.788049999999</v>
      </c>
      <c r="C234" s="68">
        <f t="shared" si="25"/>
        <v>1096561.4989518006</v>
      </c>
      <c r="D234" s="67">
        <f t="array" ref="D234">SUM($B$7:$B229*$F$1009*EXP(-$F$1009*($A234-$A$7:$A229)))*$F$1010</f>
        <v>143592355.58639342</v>
      </c>
      <c r="E234" s="67">
        <f t="shared" si="23"/>
        <v>273.74614958356557</v>
      </c>
      <c r="F234" s="70">
        <f t="shared" si="27"/>
        <v>16.621866202714102</v>
      </c>
      <c r="G234" s="67">
        <f>E234/'Lookup Tables'!$C$48</f>
        <v>547.49229916713114</v>
      </c>
      <c r="H234" s="70">
        <f t="shared" si="24"/>
        <v>0.13121104138587519</v>
      </c>
      <c r="I234" s="71">
        <f t="shared" si="28"/>
        <v>0.78838891080066875</v>
      </c>
      <c r="L234" s="74"/>
      <c r="M234" s="74"/>
      <c r="N234" s="74"/>
      <c r="O234" s="74"/>
      <c r="P234" s="74"/>
      <c r="Q234" s="74"/>
      <c r="R234" s="74"/>
      <c r="S234" s="74"/>
      <c r="T234" s="74"/>
      <c r="U234" s="74"/>
      <c r="V234" s="74"/>
      <c r="W234" s="74"/>
      <c r="X234" s="74"/>
      <c r="Y234" s="74"/>
      <c r="Z234" s="74"/>
    </row>
    <row r="235" spans="1:26" x14ac:dyDescent="0.3">
      <c r="A235" s="66">
        <f t="shared" si="26"/>
        <v>2012.7999999999793</v>
      </c>
      <c r="B235" s="67">
        <f>LOOKUP(A235+0.01,AmountsB!$A$4:$A$103,AmountsB!$B$4:$B$103)*0.1*$A$2</f>
        <v>10034.788049999999</v>
      </c>
      <c r="C235" s="68">
        <f t="shared" si="25"/>
        <v>1106596.2870018007</v>
      </c>
      <c r="D235" s="67">
        <f t="array" ref="D235">SUM($B$7:$B230*$F$1009*EXP(-$F$1009*($A235-$A$7:$A230)))*$F$1010</f>
        <v>144804757.31108636</v>
      </c>
      <c r="E235" s="67">
        <f t="shared" si="23"/>
        <v>276.05748644079461</v>
      </c>
      <c r="F235" s="70">
        <f t="shared" si="27"/>
        <v>16.76221057668505</v>
      </c>
      <c r="G235" s="67">
        <f>E235/'Lookup Tables'!$C$48</f>
        <v>552.11497288158921</v>
      </c>
      <c r="H235" s="70">
        <f t="shared" si="24"/>
        <v>0.13111901474602142</v>
      </c>
      <c r="I235" s="71">
        <f t="shared" si="28"/>
        <v>0.79504556094948853</v>
      </c>
      <c r="L235" s="74"/>
      <c r="M235" s="74"/>
      <c r="N235" s="74"/>
      <c r="O235" s="74"/>
      <c r="P235" s="74"/>
      <c r="Q235" s="74"/>
      <c r="R235" s="74"/>
      <c r="S235" s="74"/>
      <c r="T235" s="74"/>
      <c r="U235" s="74"/>
      <c r="V235" s="74"/>
      <c r="W235" s="74"/>
      <c r="X235" s="74"/>
      <c r="Y235" s="74"/>
      <c r="Z235" s="74"/>
    </row>
    <row r="236" spans="1:26" x14ac:dyDescent="0.3">
      <c r="A236" s="66">
        <f t="shared" si="26"/>
        <v>2012.8999999999792</v>
      </c>
      <c r="B236" s="67">
        <f>LOOKUP(A236+0.01,AmountsB!$A$4:$A$103,AmountsB!$B$4:$B$103)*0.1*$A$2</f>
        <v>10034.788049999999</v>
      </c>
      <c r="C236" s="68">
        <f t="shared" si="25"/>
        <v>1116631.0750518008</v>
      </c>
      <c r="D236" s="67">
        <f t="array" ref="D236">SUM($B$7:$B231*$F$1009*EXP(-$F$1009*($A236-$A$7:$A231)))*$F$1010</f>
        <v>146013769.05913225</v>
      </c>
      <c r="E236" s="67">
        <f t="shared" si="23"/>
        <v>278.36236060681335</v>
      </c>
      <c r="F236" s="70">
        <f t="shared" si="27"/>
        <v>16.902162536045708</v>
      </c>
      <c r="G236" s="67">
        <f>E236/'Lookup Tables'!$C$48</f>
        <v>556.72472121362671</v>
      </c>
      <c r="H236" s="70">
        <f t="shared" si="24"/>
        <v>0.13102560013221368</v>
      </c>
      <c r="I236" s="71">
        <f t="shared" si="28"/>
        <v>0.80168359854762261</v>
      </c>
      <c r="L236" s="74"/>
      <c r="M236" s="74"/>
      <c r="N236" s="74"/>
      <c r="O236" s="74"/>
      <c r="P236" s="74"/>
      <c r="Q236" s="74"/>
      <c r="R236" s="74"/>
      <c r="S236" s="74"/>
      <c r="T236" s="74"/>
      <c r="U236" s="74"/>
      <c r="V236" s="74"/>
      <c r="W236" s="74"/>
      <c r="X236" s="74"/>
      <c r="Y236" s="74"/>
      <c r="Z236" s="74"/>
    </row>
    <row r="237" spans="1:26" x14ac:dyDescent="0.3">
      <c r="A237" s="66">
        <f t="shared" si="26"/>
        <v>2012.9999999999791</v>
      </c>
      <c r="B237" s="67">
        <f>LOOKUP(A237+0.01,AmountsB!$A$4:$A$103,AmountsB!$B$4:$B$103)*0.1*$A$2</f>
        <v>10235.483811</v>
      </c>
      <c r="C237" s="68">
        <f t="shared" si="25"/>
        <v>1126866.5588628007</v>
      </c>
      <c r="D237" s="67">
        <f t="array" ref="D237">SUM($B$7:$B232*$F$1009*EXP(-$F$1009*($A237-$A$7:$A232)))*$F$1010</f>
        <v>147219400.30918944</v>
      </c>
      <c r="E237" s="67">
        <f t="shared" si="23"/>
        <v>280.66079015184727</v>
      </c>
      <c r="F237" s="70">
        <f t="shared" si="27"/>
        <v>17.041723178020163</v>
      </c>
      <c r="G237" s="67">
        <f>E237/'Lookup Tables'!$C$48</f>
        <v>561.32158030369453</v>
      </c>
      <c r="H237" s="70">
        <f t="shared" si="24"/>
        <v>0.1309075241816377</v>
      </c>
      <c r="I237" s="71">
        <f t="shared" si="28"/>
        <v>0.80830307563732007</v>
      </c>
      <c r="L237" s="74"/>
      <c r="M237" s="74"/>
      <c r="N237" s="74"/>
      <c r="O237" s="74"/>
      <c r="P237" s="74"/>
      <c r="Q237" s="74"/>
      <c r="R237" s="74"/>
      <c r="S237" s="74"/>
      <c r="T237" s="74"/>
      <c r="U237" s="74"/>
      <c r="V237" s="74"/>
      <c r="W237" s="74"/>
      <c r="X237" s="74"/>
      <c r="Y237" s="74"/>
      <c r="Z237" s="74"/>
    </row>
    <row r="238" spans="1:26" x14ac:dyDescent="0.3">
      <c r="A238" s="66">
        <f t="shared" si="26"/>
        <v>2013.099999999979</v>
      </c>
      <c r="B238" s="67">
        <f>LOOKUP(A238+0.01,AmountsB!$A$4:$A$103,AmountsB!$B$4:$B$103)*0.1*$A$2</f>
        <v>10235.483811</v>
      </c>
      <c r="C238" s="68">
        <f t="shared" si="25"/>
        <v>1137102.0426738006</v>
      </c>
      <c r="D238" s="67">
        <f t="array" ref="D238">SUM($B$7:$B233*$F$1009*EXP(-$F$1009*($A238-$A$7:$A233)))*$F$1010</f>
        <v>148421660.51341301</v>
      </c>
      <c r="E238" s="67">
        <f t="shared" si="23"/>
        <v>282.9527930955955</v>
      </c>
      <c r="F238" s="70">
        <f t="shared" si="27"/>
        <v>17.180893596764555</v>
      </c>
      <c r="G238" s="67">
        <f>E238/'Lookup Tables'!$C$48</f>
        <v>565.90558619119099</v>
      </c>
      <c r="H238" s="70">
        <f t="shared" si="24"/>
        <v>0.13078860337049639</v>
      </c>
      <c r="I238" s="71">
        <f t="shared" si="28"/>
        <v>0.81490404411531492</v>
      </c>
      <c r="L238" s="74"/>
      <c r="M238" s="74"/>
      <c r="N238" s="74"/>
      <c r="O238" s="74"/>
      <c r="P238" s="74"/>
      <c r="Q238" s="74"/>
      <c r="R238" s="74"/>
      <c r="S238" s="74"/>
      <c r="T238" s="74"/>
      <c r="U238" s="74"/>
      <c r="V238" s="74"/>
      <c r="W238" s="74"/>
      <c r="X238" s="74"/>
      <c r="Y238" s="74"/>
      <c r="Z238" s="74"/>
    </row>
    <row r="239" spans="1:26" x14ac:dyDescent="0.3">
      <c r="A239" s="66">
        <f t="shared" si="26"/>
        <v>2013.1999999999789</v>
      </c>
      <c r="B239" s="67">
        <f>LOOKUP(A239+0.01,AmountsB!$A$4:$A$103,AmountsB!$B$4:$B$103)*0.1*$A$2</f>
        <v>10235.483811</v>
      </c>
      <c r="C239" s="68">
        <f t="shared" si="25"/>
        <v>1147337.5264848005</v>
      </c>
      <c r="D239" s="67">
        <f t="array" ref="D239">SUM($B$7:$B234*$F$1009*EXP(-$F$1009*($A239-$A$7:$A234)))*$F$1010</f>
        <v>149620559.09752923</v>
      </c>
      <c r="E239" s="67">
        <f t="shared" si="23"/>
        <v>285.23838740737307</v>
      </c>
      <c r="F239" s="70">
        <f t="shared" si="27"/>
        <v>17.319674883375693</v>
      </c>
      <c r="G239" s="67">
        <f>E239/'Lookup Tables'!$C$48</f>
        <v>570.47677481474614</v>
      </c>
      <c r="H239" s="70">
        <f t="shared" si="24"/>
        <v>0.13066886854179904</v>
      </c>
      <c r="I239" s="71">
        <f t="shared" si="28"/>
        <v>0.82148655573323437</v>
      </c>
      <c r="L239" s="74"/>
      <c r="M239" s="74"/>
      <c r="N239" s="74"/>
      <c r="O239" s="74"/>
      <c r="P239" s="74"/>
      <c r="Q239" s="74"/>
      <c r="R239" s="74"/>
      <c r="S239" s="74"/>
      <c r="T239" s="74"/>
      <c r="U239" s="74"/>
      <c r="V239" s="74"/>
      <c r="W239" s="74"/>
      <c r="X239" s="74"/>
      <c r="Y239" s="74"/>
      <c r="Z239" s="74"/>
    </row>
    <row r="240" spans="1:26" x14ac:dyDescent="0.3">
      <c r="A240" s="66">
        <f t="shared" si="26"/>
        <v>2013.2999999999788</v>
      </c>
      <c r="B240" s="67">
        <f>LOOKUP(A240+0.01,AmountsB!$A$4:$A$103,AmountsB!$B$4:$B$103)*0.1*$A$2</f>
        <v>10235.483811</v>
      </c>
      <c r="C240" s="68">
        <f t="shared" si="25"/>
        <v>1157573.0102958004</v>
      </c>
      <c r="D240" s="67">
        <f t="array" ref="D240">SUM($B$7:$B235*$F$1009*EXP(-$F$1009*($A240-$A$7:$A235)))*$F$1010</f>
        <v>150816105.46090907</v>
      </c>
      <c r="E240" s="67">
        <f t="shared" si="23"/>
        <v>287.517591006251</v>
      </c>
      <c r="F240" s="70">
        <f t="shared" si="27"/>
        <v>17.458068125899562</v>
      </c>
      <c r="G240" s="67">
        <f>E240/'Lookup Tables'!$C$48</f>
        <v>575.03518201250199</v>
      </c>
      <c r="H240" s="70">
        <f t="shared" si="24"/>
        <v>0.13054834942486199</v>
      </c>
      <c r="I240" s="71">
        <f t="shared" si="28"/>
        <v>0.82805066209800282</v>
      </c>
      <c r="L240" s="74"/>
      <c r="M240" s="74"/>
      <c r="N240" s="74"/>
      <c r="O240" s="74"/>
      <c r="P240" s="74"/>
      <c r="Q240" s="74"/>
      <c r="R240" s="74"/>
      <c r="S240" s="74"/>
      <c r="T240" s="74"/>
      <c r="U240" s="74"/>
      <c r="V240" s="74"/>
      <c r="W240" s="74"/>
      <c r="X240" s="74"/>
      <c r="Y240" s="74"/>
      <c r="Z240" s="74"/>
    </row>
    <row r="241" spans="1:26" x14ac:dyDescent="0.3">
      <c r="A241" s="66">
        <f t="shared" si="26"/>
        <v>2013.3999999999787</v>
      </c>
      <c r="B241" s="67">
        <f>LOOKUP(A241+0.01,AmountsB!$A$4:$A$103,AmountsB!$B$4:$B$103)*0.1*$A$2</f>
        <v>10235.483811</v>
      </c>
      <c r="C241" s="68">
        <f t="shared" si="25"/>
        <v>1167808.4941068003</v>
      </c>
      <c r="D241" s="67">
        <f t="array" ref="D241">SUM($B$7:$B236*$F$1009*EXP(-$F$1009*($A241-$A$7:$A236)))*$F$1010</f>
        <v>152008308.9766421</v>
      </c>
      <c r="E241" s="67">
        <f t="shared" si="23"/>
        <v>289.79042176119702</v>
      </c>
      <c r="F241" s="70">
        <f t="shared" si="27"/>
        <v>17.596074409339884</v>
      </c>
      <c r="G241" s="67">
        <f>E241/'Lookup Tables'!$C$48</f>
        <v>579.58084352239405</v>
      </c>
      <c r="H241" s="70">
        <f t="shared" si="24"/>
        <v>0.13042707468417808</v>
      </c>
      <c r="I241" s="71">
        <f t="shared" si="28"/>
        <v>0.83459641467224743</v>
      </c>
      <c r="L241" s="74"/>
      <c r="M241" s="74"/>
      <c r="N241" s="74"/>
      <c r="O241" s="74"/>
      <c r="P241" s="74"/>
      <c r="Q241" s="74"/>
      <c r="R241" s="74"/>
      <c r="S241" s="74"/>
      <c r="T241" s="74"/>
      <c r="U241" s="74"/>
      <c r="V241" s="74"/>
      <c r="W241" s="74"/>
      <c r="X241" s="74"/>
      <c r="Y241" s="74"/>
      <c r="Z241" s="74"/>
    </row>
    <row r="242" spans="1:26" x14ac:dyDescent="0.3">
      <c r="A242" s="66">
        <f t="shared" si="26"/>
        <v>2013.4999999999786</v>
      </c>
      <c r="B242" s="67">
        <f>LOOKUP(A242+0.01,AmountsB!$A$4:$A$103,AmountsB!$B$4:$B$103)*0.1*$A$2</f>
        <v>10235.483811</v>
      </c>
      <c r="C242" s="68">
        <f t="shared" si="25"/>
        <v>1178043.9779178002</v>
      </c>
      <c r="D242" s="67">
        <f t="array" ref="D242">SUM($B$7:$B237*$F$1009*EXP(-$F$1009*($A242-$A$7:$A237)))*$F$1010</f>
        <v>153229456.95087588</v>
      </c>
      <c r="E242" s="67">
        <f t="shared" si="23"/>
        <v>292.11843257105619</v>
      </c>
      <c r="F242" s="70">
        <f t="shared" si="27"/>
        <v>17.737431225714531</v>
      </c>
      <c r="G242" s="67">
        <f>E242/'Lookup Tables'!$C$48</f>
        <v>584.23686514211238</v>
      </c>
      <c r="H242" s="70">
        <f t="shared" si="24"/>
        <v>0.13033252666061371</v>
      </c>
      <c r="I242" s="71">
        <f t="shared" si="28"/>
        <v>0.84130108580464169</v>
      </c>
      <c r="L242" s="74"/>
      <c r="M242" s="74"/>
      <c r="N242" s="74"/>
      <c r="O242" s="74"/>
      <c r="P242" s="74"/>
      <c r="Q242" s="74"/>
      <c r="R242" s="74"/>
      <c r="S242" s="74"/>
      <c r="T242" s="74"/>
      <c r="U242" s="74"/>
      <c r="V242" s="74"/>
      <c r="W242" s="74"/>
      <c r="X242" s="74"/>
      <c r="Y242" s="74"/>
      <c r="Z242" s="74"/>
    </row>
    <row r="243" spans="1:26" x14ac:dyDescent="0.3">
      <c r="A243" s="66">
        <f t="shared" si="26"/>
        <v>2013.5999999999785</v>
      </c>
      <c r="B243" s="67">
        <f>LOOKUP(A243+0.01,AmountsB!$A$4:$A$103,AmountsB!$B$4:$B$103)*0.1*$A$2</f>
        <v>10235.483811</v>
      </c>
      <c r="C243" s="68">
        <f t="shared" si="25"/>
        <v>1188279.4617288001</v>
      </c>
      <c r="D243" s="67">
        <f t="array" ref="D243">SUM($B$7:$B238*$F$1009*EXP(-$F$1009*($A243-$A$7:$A238)))*$F$1010</f>
        <v>154447190.49321714</v>
      </c>
      <c r="E243" s="67">
        <f t="shared" si="23"/>
        <v>294.43993406793857</v>
      </c>
      <c r="F243" s="70">
        <f t="shared" si="27"/>
        <v>17.87839279660523</v>
      </c>
      <c r="G243" s="67">
        <f>E243/'Lookup Tables'!$C$48</f>
        <v>588.87986813587713</v>
      </c>
      <c r="H243" s="70">
        <f t="shared" si="24"/>
        <v>0.13023672825326396</v>
      </c>
      <c r="I243" s="71">
        <f t="shared" si="28"/>
        <v>0.84798701011566302</v>
      </c>
      <c r="L243" s="74"/>
      <c r="M243" s="74"/>
      <c r="N243" s="74"/>
      <c r="O243" s="74"/>
      <c r="P243" s="74"/>
      <c r="Q243" s="74"/>
      <c r="R243" s="74"/>
      <c r="S243" s="74"/>
      <c r="T243" s="74"/>
      <c r="U243" s="74"/>
      <c r="V243" s="74"/>
      <c r="W243" s="74"/>
      <c r="X243" s="74"/>
      <c r="Y243" s="74"/>
      <c r="Z243" s="74"/>
    </row>
    <row r="244" spans="1:26" x14ac:dyDescent="0.3">
      <c r="A244" s="66">
        <f t="shared" si="26"/>
        <v>2013.6999999999784</v>
      </c>
      <c r="B244" s="67">
        <f>LOOKUP(A244+0.01,AmountsB!$A$4:$A$103,AmountsB!$B$4:$B$103)*0.1*$A$2</f>
        <v>10235.483811</v>
      </c>
      <c r="C244" s="68">
        <f t="shared" si="25"/>
        <v>1198514.9455398</v>
      </c>
      <c r="D244" s="67">
        <f t="array" ref="D244">SUM($B$7:$B239*$F$1009*EXP(-$F$1009*($A244-$A$7:$A239)))*$F$1010</f>
        <v>155661519.15070322</v>
      </c>
      <c r="E244" s="67">
        <f t="shared" si="23"/>
        <v>296.75494445242799</v>
      </c>
      <c r="F244" s="70">
        <f t="shared" si="27"/>
        <v>18.018960227151428</v>
      </c>
      <c r="G244" s="67">
        <f>E244/'Lookup Tables'!$C$48</f>
        <v>593.50988890485598</v>
      </c>
      <c r="H244" s="70">
        <f t="shared" si="24"/>
        <v>0.13013971947921493</v>
      </c>
      <c r="I244" s="71">
        <f t="shared" si="28"/>
        <v>0.85465424002299251</v>
      </c>
      <c r="L244" s="74"/>
      <c r="M244" s="74"/>
      <c r="N244" s="74"/>
      <c r="O244" s="74"/>
      <c r="P244" s="74"/>
      <c r="Q244" s="74"/>
      <c r="R244" s="74"/>
      <c r="S244" s="74"/>
      <c r="T244" s="74"/>
      <c r="U244" s="74"/>
      <c r="V244" s="74"/>
      <c r="W244" s="74"/>
      <c r="X244" s="74"/>
      <c r="Y244" s="74"/>
      <c r="Z244" s="74"/>
    </row>
    <row r="245" spans="1:26" x14ac:dyDescent="0.3">
      <c r="A245" s="66">
        <f t="shared" si="26"/>
        <v>2013.7999999999784</v>
      </c>
      <c r="B245" s="67">
        <f>LOOKUP(A245+0.01,AmountsB!$A$4:$A$103,AmountsB!$B$4:$B$103)*0.1*$A$2</f>
        <v>10235.483811</v>
      </c>
      <c r="C245" s="68">
        <f t="shared" si="25"/>
        <v>1208750.4293507999</v>
      </c>
      <c r="D245" s="67">
        <f t="array" ref="D245">SUM($B$7:$B240*$F$1009*EXP(-$F$1009*($A245-$A$7:$A240)))*$F$1010</f>
        <v>156872452.44367698</v>
      </c>
      <c r="E245" s="67">
        <f t="shared" si="23"/>
        <v>299.06348187421759</v>
      </c>
      <c r="F245" s="70">
        <f t="shared" si="27"/>
        <v>18.159134619402494</v>
      </c>
      <c r="G245" s="67">
        <f>E245/'Lookup Tables'!$C$48</f>
        <v>598.12696374843517</v>
      </c>
      <c r="H245" s="70">
        <f t="shared" si="24"/>
        <v>0.13004153897799381</v>
      </c>
      <c r="I245" s="71">
        <f t="shared" si="28"/>
        <v>0.86130282779774681</v>
      </c>
      <c r="L245" s="74"/>
      <c r="M245" s="74"/>
      <c r="N245" s="74"/>
      <c r="O245" s="74"/>
      <c r="P245" s="74"/>
      <c r="Q245" s="74"/>
      <c r="R245" s="74"/>
      <c r="S245" s="74"/>
      <c r="T245" s="74"/>
      <c r="U245" s="74"/>
      <c r="V245" s="74"/>
      <c r="W245" s="74"/>
      <c r="X245" s="74"/>
      <c r="Y245" s="74"/>
      <c r="Z245" s="74"/>
    </row>
    <row r="246" spans="1:26" x14ac:dyDescent="0.3">
      <c r="A246" s="66">
        <f t="shared" si="26"/>
        <v>2013.8999999999783</v>
      </c>
      <c r="B246" s="67">
        <f>LOOKUP(A246+0.01,AmountsB!$A$4:$A$103,AmountsB!$B$4:$B$103)*0.1*$A$2</f>
        <v>10235.483811</v>
      </c>
      <c r="C246" s="68">
        <f t="shared" si="25"/>
        <v>1218985.9131617998</v>
      </c>
      <c r="D246" s="67">
        <f t="array" ref="D246">SUM($B$7:$B241*$F$1009*EXP(-$F$1009*($A246-$A$7:$A241)))*$F$1010</f>
        <v>158079999.86586156</v>
      </c>
      <c r="E246" s="67">
        <f t="shared" si="23"/>
        <v>301.3655644322526</v>
      </c>
      <c r="F246" s="70">
        <f t="shared" si="27"/>
        <v>18.298917072326375</v>
      </c>
      <c r="G246" s="67">
        <f>E246/'Lookup Tables'!$C$48</f>
        <v>602.73112886450519</v>
      </c>
      <c r="H246" s="70">
        <f t="shared" si="24"/>
        <v>0.12994222406946498</v>
      </c>
      <c r="I246" s="71">
        <f t="shared" si="28"/>
        <v>0.86793282556488749</v>
      </c>
      <c r="L246" s="74"/>
      <c r="M246" s="74"/>
      <c r="N246" s="74"/>
      <c r="O246" s="74"/>
      <c r="P246" s="74"/>
      <c r="Q246" s="74"/>
      <c r="R246" s="74"/>
      <c r="S246" s="74"/>
      <c r="T246" s="74"/>
      <c r="U246" s="74"/>
      <c r="V246" s="74"/>
      <c r="W246" s="74"/>
      <c r="X246" s="74"/>
      <c r="Y246" s="74"/>
      <c r="Z246" s="74"/>
    </row>
    <row r="247" spans="1:26" x14ac:dyDescent="0.3">
      <c r="A247" s="66">
        <f t="shared" si="26"/>
        <v>2013.9999999999782</v>
      </c>
      <c r="B247" s="67">
        <f>LOOKUP(A247+0.01,AmountsB!$A$4:$A$103,AmountsB!$B$4:$B$103)*0.1*$A$2</f>
        <v>10440.19348722</v>
      </c>
      <c r="C247" s="68">
        <f t="shared" si="25"/>
        <v>1229426.1066490198</v>
      </c>
      <c r="D247" s="67">
        <f t="array" ref="D247">SUM($B$7:$B242*$F$1009*EXP(-$F$1009*($A247-$A$7:$A242)))*$F$1010</f>
        <v>159284170.88443506</v>
      </c>
      <c r="E247" s="67">
        <f t="shared" si="23"/>
        <v>303.66121017487211</v>
      </c>
      <c r="F247" s="70">
        <f t="shared" si="27"/>
        <v>18.438308681818231</v>
      </c>
      <c r="G247" s="67">
        <f>E247/'Lookup Tables'!$C$48</f>
        <v>607.32242034974422</v>
      </c>
      <c r="H247" s="70">
        <f t="shared" si="24"/>
        <v>0.129820191066983</v>
      </c>
      <c r="I247" s="71">
        <f t="shared" si="28"/>
        <v>0.8745442853036316</v>
      </c>
      <c r="L247" s="74"/>
      <c r="M247" s="74"/>
      <c r="N247" s="74"/>
      <c r="O247" s="74"/>
      <c r="P247" s="74"/>
      <c r="Q247" s="74"/>
      <c r="R247" s="74"/>
      <c r="S247" s="74"/>
      <c r="T247" s="74"/>
      <c r="U247" s="74"/>
      <c r="V247" s="74"/>
      <c r="W247" s="74"/>
      <c r="X247" s="74"/>
      <c r="Y247" s="74"/>
      <c r="Z247" s="74"/>
    </row>
    <row r="248" spans="1:26" x14ac:dyDescent="0.3">
      <c r="A248" s="66">
        <f t="shared" si="26"/>
        <v>2014.0999999999781</v>
      </c>
      <c r="B248" s="67">
        <f>LOOKUP(A248+0.01,AmountsB!$A$4:$A$103,AmountsB!$B$4:$B$103)*0.1*$A$2</f>
        <v>10440.19348722</v>
      </c>
      <c r="C248" s="68">
        <f t="shared" si="25"/>
        <v>1239866.3001362397</v>
      </c>
      <c r="D248" s="67">
        <f t="array" ref="D248">SUM($B$7:$B243*$F$1009*EXP(-$F$1009*($A248-$A$7:$A243)))*$F$1010</f>
        <v>160484974.94010437</v>
      </c>
      <c r="E248" s="67">
        <f t="shared" si="23"/>
        <v>305.95043709995053</v>
      </c>
      <c r="F248" s="70">
        <f t="shared" si="27"/>
        <v>18.577310540708996</v>
      </c>
      <c r="G248" s="67">
        <f>E248/'Lookup Tables'!$C$48</f>
        <v>611.90087419990107</v>
      </c>
      <c r="H248" s="70">
        <f t="shared" si="24"/>
        <v>0.12969749215868201</v>
      </c>
      <c r="I248" s="71">
        <f t="shared" si="28"/>
        <v>0.88113725884785754</v>
      </c>
      <c r="L248" s="74"/>
      <c r="M248" s="74"/>
      <c r="N248" s="74"/>
      <c r="O248" s="74"/>
      <c r="P248" s="74"/>
      <c r="Q248" s="74"/>
      <c r="R248" s="74"/>
      <c r="S248" s="74"/>
      <c r="T248" s="74"/>
      <c r="U248" s="74"/>
      <c r="V248" s="74"/>
      <c r="W248" s="74"/>
      <c r="X248" s="74"/>
      <c r="Y248" s="74"/>
      <c r="Z248" s="74"/>
    </row>
    <row r="249" spans="1:26" x14ac:dyDescent="0.3">
      <c r="A249" s="66">
        <f t="shared" si="26"/>
        <v>2014.199999999978</v>
      </c>
      <c r="B249" s="67">
        <f>LOOKUP(A249+0.01,AmountsB!$A$4:$A$103,AmountsB!$B$4:$B$103)*0.1*$A$2</f>
        <v>10440.19348722</v>
      </c>
      <c r="C249" s="68">
        <f t="shared" si="25"/>
        <v>1250306.4936234597</v>
      </c>
      <c r="D249" s="67">
        <f t="array" ref="D249">SUM($B$7:$B244*$F$1009*EXP(-$F$1009*($A249-$A$7:$A244)))*$F$1010</f>
        <v>161682421.44717935</v>
      </c>
      <c r="E249" s="67">
        <f t="shared" si="23"/>
        <v>308.2332631550384</v>
      </c>
      <c r="F249" s="70">
        <f t="shared" si="27"/>
        <v>18.715923738773935</v>
      </c>
      <c r="G249" s="67">
        <f>E249/'Lookup Tables'!$C$48</f>
        <v>616.4665263100768</v>
      </c>
      <c r="H249" s="70">
        <f t="shared" si="24"/>
        <v>0.12957415157045329</v>
      </c>
      <c r="I249" s="71">
        <f t="shared" si="28"/>
        <v>0.88771179788651067</v>
      </c>
      <c r="L249" s="74"/>
      <c r="M249" s="74"/>
      <c r="N249" s="74"/>
      <c r="O249" s="74"/>
      <c r="P249" s="74"/>
      <c r="Q249" s="74"/>
      <c r="R249" s="74"/>
      <c r="S249" s="74"/>
      <c r="T249" s="74"/>
      <c r="U249" s="74"/>
      <c r="V249" s="74"/>
      <c r="W249" s="74"/>
      <c r="X249" s="74"/>
      <c r="Y249" s="74"/>
      <c r="Z249" s="74"/>
    </row>
    <row r="250" spans="1:26" x14ac:dyDescent="0.3">
      <c r="A250" s="66">
        <f t="shared" si="26"/>
        <v>2014.2999999999779</v>
      </c>
      <c r="B250" s="67">
        <f>LOOKUP(A250+0.01,AmountsB!$A$4:$A$103,AmountsB!$B$4:$B$103)*0.1*$A$2</f>
        <v>10440.19348722</v>
      </c>
      <c r="C250" s="68">
        <f t="shared" si="25"/>
        <v>1260746.6871106797</v>
      </c>
      <c r="D250" s="67">
        <f t="array" ref="D250">SUM($B$7:$B245*$F$1009*EXP(-$F$1009*($A250-$A$7:$A245)))*$F$1010</f>
        <v>162876519.79364687</v>
      </c>
      <c r="E250" s="67">
        <f t="shared" si="23"/>
        <v>310.50970623750402</v>
      </c>
      <c r="F250" s="70">
        <f t="shared" si="27"/>
        <v>18.854149362741243</v>
      </c>
      <c r="G250" s="67">
        <f>E250/'Lookup Tables'!$C$48</f>
        <v>621.01941247500804</v>
      </c>
      <c r="H250" s="70">
        <f t="shared" si="24"/>
        <v>0.12945019270481303</v>
      </c>
      <c r="I250" s="71">
        <f t="shared" si="28"/>
        <v>0.89426795396401149</v>
      </c>
      <c r="L250" s="74"/>
      <c r="M250" s="74"/>
      <c r="N250" s="74"/>
      <c r="O250" s="74"/>
      <c r="P250" s="74"/>
      <c r="Q250" s="74"/>
      <c r="R250" s="74"/>
      <c r="S250" s="74"/>
      <c r="T250" s="74"/>
      <c r="U250" s="74"/>
      <c r="V250" s="74"/>
      <c r="W250" s="74"/>
      <c r="X250" s="74"/>
      <c r="Y250" s="74"/>
      <c r="Z250" s="74"/>
    </row>
    <row r="251" spans="1:26" x14ac:dyDescent="0.3">
      <c r="A251" s="66">
        <f t="shared" si="26"/>
        <v>2014.3999999999778</v>
      </c>
      <c r="B251" s="67">
        <f>LOOKUP(A251+0.01,AmountsB!$A$4:$A$103,AmountsB!$B$4:$B$103)*0.1*$A$2</f>
        <v>10440.19348722</v>
      </c>
      <c r="C251" s="68">
        <f t="shared" si="25"/>
        <v>1271186.8805978997</v>
      </c>
      <c r="D251" s="67">
        <f t="array" ref="D251">SUM($B$7:$B246*$F$1009*EXP(-$F$1009*($A251-$A$7:$A246)))*$F$1010</f>
        <v>164067279.3412441</v>
      </c>
      <c r="E251" s="67">
        <f t="shared" si="23"/>
        <v>312.77978419467274</v>
      </c>
      <c r="F251" s="70">
        <f t="shared" si="27"/>
        <v>18.991988496300525</v>
      </c>
      <c r="G251" s="67">
        <f>E251/'Lookup Tables'!$C$48</f>
        <v>625.55956838934549</v>
      </c>
      <c r="H251" s="70">
        <f t="shared" si="24"/>
        <v>0.12932563817477113</v>
      </c>
      <c r="I251" s="71">
        <f t="shared" si="28"/>
        <v>0.90080577848065735</v>
      </c>
      <c r="L251" s="74"/>
      <c r="M251" s="74"/>
      <c r="N251" s="74"/>
      <c r="O251" s="74"/>
      <c r="P251" s="74"/>
      <c r="Q251" s="74"/>
      <c r="R251" s="74"/>
      <c r="S251" s="74"/>
      <c r="T251" s="74"/>
      <c r="U251" s="74"/>
      <c r="V251" s="74"/>
      <c r="W251" s="74"/>
      <c r="X251" s="74"/>
      <c r="Y251" s="74"/>
      <c r="Z251" s="74"/>
    </row>
    <row r="252" spans="1:26" x14ac:dyDescent="0.3">
      <c r="A252" s="66">
        <f t="shared" si="26"/>
        <v>2014.4999999999777</v>
      </c>
      <c r="B252" s="67">
        <f>LOOKUP(A252+0.01,AmountsB!$A$4:$A$103,AmountsB!$B$4:$B$103)*0.1*$A$2</f>
        <v>10440.19348722</v>
      </c>
      <c r="C252" s="68">
        <f t="shared" si="25"/>
        <v>1281627.0740851196</v>
      </c>
      <c r="D252" s="67">
        <f t="array" ref="D252">SUM($B$7:$B247*$F$1009*EXP(-$F$1009*($A252-$A$7:$A247)))*$F$1010</f>
        <v>165287632.94398299</v>
      </c>
      <c r="E252" s="67">
        <f t="shared" si="23"/>
        <v>315.10628060540409</v>
      </c>
      <c r="F252" s="70">
        <f t="shared" si="27"/>
        <v>19.133253358360136</v>
      </c>
      <c r="G252" s="67">
        <f>E252/'Lookup Tables'!$C$48</f>
        <v>630.21256121080819</v>
      </c>
      <c r="H252" s="70">
        <f t="shared" si="24"/>
        <v>0.1292262503149966</v>
      </c>
      <c r="I252" s="71">
        <f t="shared" si="28"/>
        <v>0.90750608814356382</v>
      </c>
      <c r="L252" s="74"/>
      <c r="M252" s="74"/>
      <c r="N252" s="74"/>
      <c r="O252" s="74"/>
      <c r="P252" s="74"/>
      <c r="Q252" s="74"/>
      <c r="R252" s="74"/>
      <c r="S252" s="74"/>
      <c r="T252" s="74"/>
      <c r="U252" s="74"/>
      <c r="V252" s="74"/>
      <c r="W252" s="74"/>
      <c r="X252" s="74"/>
      <c r="Y252" s="74"/>
      <c r="Z252" s="74"/>
    </row>
    <row r="253" spans="1:26" x14ac:dyDescent="0.3">
      <c r="A253" s="66">
        <f t="shared" si="26"/>
        <v>2014.5999999999776</v>
      </c>
      <c r="B253" s="67">
        <f>LOOKUP(A253+0.01,AmountsB!$A$4:$A$103,AmountsB!$B$4:$B$103)*0.1*$A$2</f>
        <v>10440.19348722</v>
      </c>
      <c r="C253" s="68">
        <f t="shared" si="25"/>
        <v>1292067.2675723396</v>
      </c>
      <c r="D253" s="67">
        <f t="array" ref="D253">SUM($B$7:$B248*$F$1009*EXP(-$F$1009*($A253-$A$7:$A248)))*$F$1010</f>
        <v>166504574.33595863</v>
      </c>
      <c r="E253" s="67">
        <f t="shared" si="23"/>
        <v>317.42627193754549</v>
      </c>
      <c r="F253" s="70">
        <f t="shared" si="27"/>
        <v>19.274123232047764</v>
      </c>
      <c r="G253" s="67">
        <f>E253/'Lookup Tables'!$C$48</f>
        <v>634.85254387509099</v>
      </c>
      <c r="H253" s="70">
        <f t="shared" si="24"/>
        <v>0.12912582240694601</v>
      </c>
      <c r="I253" s="71">
        <f t="shared" si="28"/>
        <v>0.914187663180131</v>
      </c>
      <c r="L253" s="74"/>
      <c r="M253" s="74"/>
      <c r="N253" s="74"/>
      <c r="O253" s="74"/>
      <c r="P253" s="74"/>
      <c r="Q253" s="74"/>
      <c r="R253" s="74"/>
      <c r="S253" s="74"/>
      <c r="T253" s="74"/>
      <c r="U253" s="74"/>
      <c r="V253" s="74"/>
      <c r="W253" s="74"/>
      <c r="X253" s="74"/>
      <c r="Y253" s="74"/>
      <c r="Z253" s="74"/>
    </row>
    <row r="254" spans="1:26" x14ac:dyDescent="0.3">
      <c r="A254" s="66">
        <f t="shared" si="26"/>
        <v>2014.6999999999775</v>
      </c>
      <c r="B254" s="67">
        <f>LOOKUP(A254+0.01,AmountsB!$A$4:$A$103,AmountsB!$B$4:$B$103)*0.1*$A$2</f>
        <v>10440.19348722</v>
      </c>
      <c r="C254" s="68">
        <f t="shared" si="25"/>
        <v>1302507.4610595596</v>
      </c>
      <c r="D254" s="67">
        <f t="array" ref="D254">SUM($B$7:$B249*$F$1009*EXP(-$F$1009*($A254-$A$7:$A249)))*$F$1010</f>
        <v>167718113.05799773</v>
      </c>
      <c r="E254" s="67">
        <f t="shared" si="23"/>
        <v>319.73977637984081</v>
      </c>
      <c r="F254" s="70">
        <f t="shared" si="27"/>
        <v>19.414599221783931</v>
      </c>
      <c r="G254" s="67">
        <f>E254/'Lookup Tables'!$C$48</f>
        <v>639.47955275968161</v>
      </c>
      <c r="H254" s="70">
        <f t="shared" si="24"/>
        <v>0.12902438679970041</v>
      </c>
      <c r="I254" s="71">
        <f t="shared" si="28"/>
        <v>0.9208505559739415</v>
      </c>
      <c r="L254" s="74"/>
      <c r="M254" s="74"/>
      <c r="N254" s="74"/>
      <c r="O254" s="74"/>
      <c r="P254" s="74"/>
      <c r="Q254" s="74"/>
      <c r="R254" s="74"/>
      <c r="S254" s="74"/>
      <c r="T254" s="74"/>
      <c r="U254" s="74"/>
      <c r="V254" s="74"/>
      <c r="W254" s="74"/>
      <c r="X254" s="74"/>
      <c r="Y254" s="74"/>
      <c r="Z254" s="74"/>
    </row>
    <row r="255" spans="1:26" x14ac:dyDescent="0.3">
      <c r="A255" s="66">
        <f t="shared" si="26"/>
        <v>2014.7999999999774</v>
      </c>
      <c r="B255" s="67">
        <f>LOOKUP(A255+0.01,AmountsB!$A$4:$A$103,AmountsB!$B$4:$B$103)*0.1*$A$2</f>
        <v>10440.19348722</v>
      </c>
      <c r="C255" s="68">
        <f t="shared" si="25"/>
        <v>1312947.6545467796</v>
      </c>
      <c r="D255" s="67">
        <f t="array" ref="D255">SUM($B$7:$B250*$F$1009*EXP(-$F$1009*($A255-$A$7:$A250)))*$F$1010</f>
        <v>168928258.62425011</v>
      </c>
      <c r="E255" s="67">
        <f t="shared" si="23"/>
        <v>322.04681207017666</v>
      </c>
      <c r="F255" s="70">
        <f t="shared" si="27"/>
        <v>19.554682428901124</v>
      </c>
      <c r="G255" s="67">
        <f>E255/'Lookup Tables'!$C$48</f>
        <v>644.09362414035331</v>
      </c>
      <c r="H255" s="70">
        <f t="shared" si="24"/>
        <v>0.12892197479305822</v>
      </c>
      <c r="I255" s="71">
        <f t="shared" si="28"/>
        <v>0.92749481876210871</v>
      </c>
      <c r="L255" s="74"/>
      <c r="M255" s="74"/>
      <c r="N255" s="74"/>
      <c r="O255" s="74"/>
      <c r="P255" s="74"/>
      <c r="Q255" s="74"/>
      <c r="R255" s="74"/>
      <c r="S255" s="74"/>
      <c r="T255" s="74"/>
      <c r="U255" s="74"/>
      <c r="V255" s="74"/>
      <c r="W255" s="74"/>
      <c r="X255" s="74"/>
      <c r="Y255" s="74"/>
      <c r="Z255" s="74"/>
    </row>
    <row r="256" spans="1:26" x14ac:dyDescent="0.3">
      <c r="A256" s="66">
        <f t="shared" si="26"/>
        <v>2014.8999999999774</v>
      </c>
      <c r="B256" s="67">
        <f>LOOKUP(A256+0.01,AmountsB!$A$4:$A$103,AmountsB!$B$4:$B$103)*0.1*$A$2</f>
        <v>10440.19348722</v>
      </c>
      <c r="C256" s="68">
        <f t="shared" si="25"/>
        <v>1323387.8480339996</v>
      </c>
      <c r="D256" s="67">
        <f t="array" ref="D256">SUM($B$7:$B251*$F$1009*EXP(-$F$1009*($A256-$A$7:$A251)))*$F$1010</f>
        <v>170135020.52226314</v>
      </c>
      <c r="E256" s="67">
        <f t="shared" si="23"/>
        <v>324.34739709572466</v>
      </c>
      <c r="F256" s="70">
        <f t="shared" si="27"/>
        <v>19.694373951652402</v>
      </c>
      <c r="G256" s="67">
        <f>E256/'Lookup Tables'!$C$48</f>
        <v>648.69479419144932</v>
      </c>
      <c r="H256" s="70">
        <f t="shared" si="24"/>
        <v>0.12881861667898067</v>
      </c>
      <c r="I256" s="71">
        <f t="shared" si="28"/>
        <v>0.9341205036356871</v>
      </c>
      <c r="L256" s="74"/>
      <c r="M256" s="74"/>
      <c r="N256" s="74"/>
      <c r="O256" s="74"/>
      <c r="P256" s="74"/>
      <c r="Q256" s="74"/>
      <c r="R256" s="74"/>
      <c r="S256" s="74"/>
      <c r="T256" s="74"/>
      <c r="U256" s="74"/>
      <c r="V256" s="74"/>
      <c r="W256" s="74"/>
      <c r="X256" s="74"/>
      <c r="Y256" s="74"/>
      <c r="Z256" s="74"/>
    </row>
    <row r="257" spans="1:26" x14ac:dyDescent="0.3">
      <c r="A257" s="66">
        <f t="shared" si="26"/>
        <v>2014.9999999999773</v>
      </c>
      <c r="B257" s="67">
        <f>LOOKUP(A257+0.01,AmountsB!$A$4:$A$103,AmountsB!$B$4:$B$103)*0.1*$A$2</f>
        <v>10648.917078660001</v>
      </c>
      <c r="C257" s="68">
        <f t="shared" si="25"/>
        <v>1334036.7651126597</v>
      </c>
      <c r="D257" s="67">
        <f t="array" ref="D257">SUM($B$7:$B252*$F$1009*EXP(-$F$1009*($A257-$A$7:$A252)))*$F$1010</f>
        <v>171338408.21305642</v>
      </c>
      <c r="E257" s="67">
        <f t="shared" si="23"/>
        <v>326.64154949308346</v>
      </c>
      <c r="F257" s="70">
        <f t="shared" si="27"/>
        <v>19.833674885220027</v>
      </c>
      <c r="G257" s="67">
        <f>E257/'Lookup Tables'!$C$48</f>
        <v>653.28309898616692</v>
      </c>
      <c r="H257" s="70">
        <f t="shared" si="24"/>
        <v>0.12869420311595839</v>
      </c>
      <c r="I257" s="71">
        <f t="shared" si="28"/>
        <v>0.94072766254008033</v>
      </c>
      <c r="L257" s="74"/>
      <c r="M257" s="74"/>
      <c r="N257" s="74"/>
      <c r="O257" s="74"/>
      <c r="P257" s="74"/>
      <c r="Q257" s="74"/>
      <c r="R257" s="74"/>
      <c r="S257" s="74"/>
      <c r="T257" s="74"/>
      <c r="U257" s="74"/>
      <c r="V257" s="74"/>
      <c r="W257" s="74"/>
      <c r="X257" s="74"/>
      <c r="Y257" s="74"/>
      <c r="Z257" s="74"/>
    </row>
    <row r="258" spans="1:26" x14ac:dyDescent="0.3">
      <c r="A258" s="66">
        <f t="shared" si="26"/>
        <v>2015.0999999999772</v>
      </c>
      <c r="B258" s="67">
        <f>LOOKUP(A258+0.01,AmountsB!$A$4:$A$103,AmountsB!$B$4:$B$103)*0.1*$A$2</f>
        <v>10648.917078660001</v>
      </c>
      <c r="C258" s="68">
        <f t="shared" si="25"/>
        <v>1344685.6821913198</v>
      </c>
      <c r="D258" s="67">
        <f t="array" ref="D258">SUM($B$7:$B253*$F$1009*EXP(-$F$1009*($A258-$A$7:$A253)))*$F$1010</f>
        <v>172538431.13119537</v>
      </c>
      <c r="E258" s="67">
        <f t="shared" si="23"/>
        <v>328.92928724841909</v>
      </c>
      <c r="F258" s="70">
        <f t="shared" si="27"/>
        <v>19.972586321724005</v>
      </c>
      <c r="G258" s="67">
        <f>E258/'Lookup Tables'!$C$48</f>
        <v>657.85857449683817</v>
      </c>
      <c r="H258" s="70">
        <f t="shared" si="24"/>
        <v>0.12856925277588493</v>
      </c>
      <c r="I258" s="71">
        <f t="shared" si="28"/>
        <v>0.94731634727544689</v>
      </c>
      <c r="L258" s="74"/>
      <c r="M258" s="74"/>
      <c r="N258" s="74"/>
      <c r="O258" s="74"/>
      <c r="P258" s="74"/>
      <c r="Q258" s="74"/>
      <c r="R258" s="74"/>
      <c r="S258" s="74"/>
      <c r="T258" s="74"/>
      <c r="U258" s="74"/>
      <c r="V258" s="74"/>
      <c r="W258" s="74"/>
      <c r="X258" s="74"/>
      <c r="Y258" s="74"/>
      <c r="Z258" s="74"/>
    </row>
    <row r="259" spans="1:26" x14ac:dyDescent="0.3">
      <c r="A259" s="66">
        <f t="shared" si="26"/>
        <v>2015.1999999999771</v>
      </c>
      <c r="B259" s="67">
        <f>LOOKUP(A259+0.01,AmountsB!$A$4:$A$103,AmountsB!$B$4:$B$103)*0.1*$A$2</f>
        <v>10648.917078660001</v>
      </c>
      <c r="C259" s="68">
        <f t="shared" si="25"/>
        <v>1355334.5992699799</v>
      </c>
      <c r="D259" s="67">
        <f t="array" ref="D259">SUM($B$7:$B254*$F$1009*EXP(-$F$1009*($A259-$A$7:$A254)))*$F$1010</f>
        <v>173735098.6848661</v>
      </c>
      <c r="E259" s="67">
        <f t="shared" si="23"/>
        <v>331.21062829760785</v>
      </c>
      <c r="F259" s="70">
        <f t="shared" si="27"/>
        <v>20.111109350230748</v>
      </c>
      <c r="G259" s="67">
        <f>E259/'Lookup Tables'!$C$48</f>
        <v>662.42125659521571</v>
      </c>
      <c r="H259" s="70">
        <f t="shared" si="24"/>
        <v>0.12844378526674463</v>
      </c>
      <c r="I259" s="71">
        <f t="shared" si="28"/>
        <v>0.95388660949711068</v>
      </c>
      <c r="L259" s="74"/>
      <c r="M259" s="74"/>
      <c r="N259" s="74"/>
      <c r="O259" s="74"/>
      <c r="P259" s="74"/>
      <c r="Q259" s="74"/>
      <c r="R259" s="74"/>
      <c r="S259" s="74"/>
      <c r="T259" s="74"/>
      <c r="U259" s="74"/>
      <c r="V259" s="74"/>
      <c r="W259" s="74"/>
      <c r="X259" s="74"/>
      <c r="Y259" s="74"/>
      <c r="Z259" s="74"/>
    </row>
    <row r="260" spans="1:26" x14ac:dyDescent="0.3">
      <c r="A260" s="66">
        <f t="shared" si="26"/>
        <v>2015.299999999977</v>
      </c>
      <c r="B260" s="67">
        <f>LOOKUP(A260+0.01,AmountsB!$A$4:$A$103,AmountsB!$B$4:$B$103)*0.1*$A$2</f>
        <v>10648.917078660001</v>
      </c>
      <c r="C260" s="68">
        <f t="shared" si="25"/>
        <v>1365983.51634864</v>
      </c>
      <c r="D260" s="67">
        <f t="array" ref="D260">SUM($B$7:$B255*$F$1009*EXP(-$F$1009*($A260-$A$7:$A255)))*$F$1010</f>
        <v>174928420.25594813</v>
      </c>
      <c r="E260" s="67">
        <f t="shared" si="23"/>
        <v>333.48559052637478</v>
      </c>
      <c r="F260" s="70">
        <f t="shared" si="27"/>
        <v>20.249245056761477</v>
      </c>
      <c r="G260" s="67">
        <f>E260/'Lookup Tables'!$C$48</f>
        <v>666.97118105274956</v>
      </c>
      <c r="H260" s="70">
        <f t="shared" si="24"/>
        <v>0.12831781956578595</v>
      </c>
      <c r="I260" s="71">
        <f t="shared" si="28"/>
        <v>0.96043850071595938</v>
      </c>
      <c r="L260" s="74"/>
      <c r="M260" s="74"/>
      <c r="N260" s="74"/>
      <c r="O260" s="74"/>
      <c r="P260" s="74"/>
      <c r="Q260" s="74"/>
      <c r="R260" s="74"/>
      <c r="S260" s="74"/>
      <c r="T260" s="74"/>
      <c r="U260" s="74"/>
      <c r="V260" s="74"/>
      <c r="W260" s="74"/>
      <c r="X260" s="74"/>
      <c r="Y260" s="74"/>
      <c r="Z260" s="74"/>
    </row>
    <row r="261" spans="1:26" x14ac:dyDescent="0.3">
      <c r="A261" s="66">
        <f t="shared" si="26"/>
        <v>2015.3999999999769</v>
      </c>
      <c r="B261" s="67">
        <f>LOOKUP(A261+0.01,AmountsB!$A$4:$A$103,AmountsB!$B$4:$B$103)*0.1*$A$2</f>
        <v>10648.917078660001</v>
      </c>
      <c r="C261" s="68">
        <f t="shared" si="25"/>
        <v>1376632.4334273001</v>
      </c>
      <c r="D261" s="67">
        <f t="array" ref="D261">SUM($B$7:$B256*$F$1009*EXP(-$F$1009*($A261-$A$7:$A256)))*$F$1010</f>
        <v>176118405.2000888</v>
      </c>
      <c r="E261" s="67">
        <f t="shared" si="23"/>
        <v>335.75419177043568</v>
      </c>
      <c r="F261" s="70">
        <f t="shared" si="27"/>
        <v>20.386994524300853</v>
      </c>
      <c r="G261" s="67">
        <f>E261/'Lookup Tables'!$C$48</f>
        <v>671.50838354087136</v>
      </c>
      <c r="H261" s="70">
        <f t="shared" si="24"/>
        <v>0.12819137404397099</v>
      </c>
      <c r="I261" s="71">
        <f t="shared" si="28"/>
        <v>0.96697207229885485</v>
      </c>
      <c r="L261" s="74"/>
      <c r="M261" s="74"/>
      <c r="N261" s="74"/>
      <c r="O261" s="74"/>
      <c r="P261" s="74"/>
      <c r="Q261" s="74"/>
      <c r="R261" s="74"/>
      <c r="S261" s="74"/>
      <c r="T261" s="74"/>
      <c r="U261" s="74"/>
      <c r="V261" s="74"/>
      <c r="W261" s="74"/>
      <c r="X261" s="74"/>
      <c r="Y261" s="74"/>
      <c r="Z261" s="74"/>
    </row>
    <row r="262" spans="1:26" x14ac:dyDescent="0.3">
      <c r="A262" s="66">
        <f t="shared" si="26"/>
        <v>2015.4999999999768</v>
      </c>
      <c r="B262" s="67">
        <f>LOOKUP(A262+0.01,AmountsB!$A$4:$A$103,AmountsB!$B$4:$B$103)*0.1*$A$2</f>
        <v>10648.917078660001</v>
      </c>
      <c r="C262" s="68">
        <f t="shared" si="25"/>
        <v>1387281.3505059602</v>
      </c>
      <c r="D262" s="67">
        <f t="array" ref="D262">SUM($B$7:$B257*$F$1009*EXP(-$F$1009*($A262-$A$7:$A257)))*$F$1010</f>
        <v>177338631.92441261</v>
      </c>
      <c r="E262" s="67">
        <f t="shared" si="23"/>
        <v>338.08044629866947</v>
      </c>
      <c r="F262" s="70">
        <f t="shared" si="27"/>
        <v>20.528244699255211</v>
      </c>
      <c r="G262" s="67">
        <f>E262/'Lookup Tables'!$C$48</f>
        <v>676.16089259733894</v>
      </c>
      <c r="H262" s="70">
        <f t="shared" si="24"/>
        <v>0.12808871286979592</v>
      </c>
      <c r="I262" s="71">
        <f t="shared" si="28"/>
        <v>0.9736716853401679</v>
      </c>
      <c r="L262" s="74"/>
      <c r="M262" s="74"/>
      <c r="N262" s="74"/>
      <c r="O262" s="74"/>
      <c r="P262" s="74"/>
      <c r="Q262" s="74"/>
      <c r="R262" s="74"/>
      <c r="S262" s="74"/>
      <c r="T262" s="74"/>
      <c r="U262" s="74"/>
      <c r="V262" s="74"/>
      <c r="W262" s="74"/>
      <c r="X262" s="74"/>
      <c r="Y262" s="74"/>
      <c r="Z262" s="74"/>
    </row>
    <row r="263" spans="1:26" x14ac:dyDescent="0.3">
      <c r="A263" s="66">
        <f t="shared" si="26"/>
        <v>2015.5999999999767</v>
      </c>
      <c r="B263" s="67">
        <f>LOOKUP(A263+0.01,AmountsB!$A$4:$A$103,AmountsB!$B$4:$B$103)*0.1*$A$2</f>
        <v>10648.917078660001</v>
      </c>
      <c r="C263" s="68">
        <f t="shared" si="25"/>
        <v>1397930.2675846203</v>
      </c>
      <c r="D263" s="67">
        <f t="array" ref="D263">SUM($B$7:$B258*$F$1009*EXP(-$F$1009*($A263-$A$7:$A258)))*$F$1010</f>
        <v>178555446.79273579</v>
      </c>
      <c r="E263" s="67">
        <f t="shared" ref="E263:E326" si="29">D263/(365*24*60)*1.00201</f>
        <v>340.40019642463699</v>
      </c>
      <c r="F263" s="70">
        <f t="shared" si="27"/>
        <v>20.669099926903957</v>
      </c>
      <c r="G263" s="67">
        <f>E263/'Lookup Tables'!$C$48</f>
        <v>680.80039284927398</v>
      </c>
      <c r="H263" s="70">
        <f t="shared" ref="H263:H326" si="30">G263*60*24*365/(C263*2000)</f>
        <v>0.12798517021161721</v>
      </c>
      <c r="I263" s="71">
        <f t="shared" si="28"/>
        <v>0.98035256570295459</v>
      </c>
      <c r="L263" s="74"/>
      <c r="M263" s="74"/>
      <c r="N263" s="74"/>
      <c r="O263" s="74"/>
      <c r="P263" s="74"/>
      <c r="Q263" s="74"/>
      <c r="R263" s="74"/>
      <c r="S263" s="74"/>
      <c r="T263" s="74"/>
      <c r="U263" s="74"/>
      <c r="V263" s="74"/>
      <c r="W263" s="74"/>
      <c r="X263" s="74"/>
      <c r="Y263" s="74"/>
      <c r="Z263" s="74"/>
    </row>
    <row r="264" spans="1:26" x14ac:dyDescent="0.3">
      <c r="A264" s="66">
        <f t="shared" si="26"/>
        <v>2015.6999999999766</v>
      </c>
      <c r="B264" s="67">
        <f>LOOKUP(A264+0.01,AmountsB!$A$4:$A$103,AmountsB!$B$4:$B$103)*0.1*$A$2</f>
        <v>10648.917078660001</v>
      </c>
      <c r="C264" s="68">
        <f t="shared" si="25"/>
        <v>1408579.1846632804</v>
      </c>
      <c r="D264" s="67">
        <f t="array" ref="D264">SUM($B$7:$B259*$F$1009*EXP(-$F$1009*($A264-$A$7:$A259)))*$F$1010</f>
        <v>179768859.34489313</v>
      </c>
      <c r="E264" s="67">
        <f t="shared" si="29"/>
        <v>342.71346033519097</v>
      </c>
      <c r="F264" s="70">
        <f t="shared" si="27"/>
        <v>20.809561311552798</v>
      </c>
      <c r="G264" s="67">
        <f>E264/'Lookup Tables'!$C$48</f>
        <v>685.42692067038195</v>
      </c>
      <c r="H264" s="70">
        <f t="shared" si="30"/>
        <v>0.12788077284787958</v>
      </c>
      <c r="I264" s="71">
        <f t="shared" si="28"/>
        <v>0.98701476576535008</v>
      </c>
      <c r="L264" s="74"/>
      <c r="M264" s="74"/>
      <c r="N264" s="74"/>
      <c r="O264" s="74"/>
      <c r="P264" s="74"/>
      <c r="Q264" s="74"/>
      <c r="R264" s="74"/>
      <c r="S264" s="74"/>
      <c r="T264" s="74"/>
      <c r="U264" s="74"/>
      <c r="V264" s="74"/>
      <c r="W264" s="74"/>
      <c r="X264" s="74"/>
      <c r="Y264" s="74"/>
      <c r="Z264" s="74"/>
    </row>
    <row r="265" spans="1:26" x14ac:dyDescent="0.3">
      <c r="A265" s="66">
        <f t="shared" si="26"/>
        <v>2015.7999999999765</v>
      </c>
      <c r="B265" s="67">
        <f>LOOKUP(A265+0.01,AmountsB!$A$4:$A$103,AmountsB!$B$4:$B$103)*0.1*$A$2</f>
        <v>10648.917078660001</v>
      </c>
      <c r="C265" s="68">
        <f t="shared" ref="C265:C328" si="31">C264+B265</f>
        <v>1419228.1017419405</v>
      </c>
      <c r="D265" s="67">
        <f t="array" ref="D265">SUM($B$7:$B260*$F$1009*EXP(-$F$1009*($A265-$A$7:$A260)))*$F$1010</f>
        <v>180978879.09404528</v>
      </c>
      <c r="E265" s="67">
        <f t="shared" si="29"/>
        <v>345.02025616633239</v>
      </c>
      <c r="F265" s="70">
        <f t="shared" si="27"/>
        <v>20.949629954419702</v>
      </c>
      <c r="G265" s="67">
        <f>E265/'Lookup Tables'!$C$48</f>
        <v>690.04051233266478</v>
      </c>
      <c r="H265" s="70">
        <f t="shared" si="30"/>
        <v>0.12777554673448679</v>
      </c>
      <c r="I265" s="71">
        <f t="shared" si="28"/>
        <v>0.99365833775903722</v>
      </c>
      <c r="L265" s="74"/>
      <c r="M265" s="74"/>
      <c r="N265" s="74"/>
      <c r="O265" s="74"/>
      <c r="P265" s="74"/>
      <c r="Q265" s="74"/>
      <c r="R265" s="74"/>
      <c r="S265" s="74"/>
      <c r="T265" s="74"/>
      <c r="U265" s="74"/>
      <c r="V265" s="74"/>
      <c r="W265" s="74"/>
      <c r="X265" s="74"/>
      <c r="Y265" s="74"/>
      <c r="Z265" s="74"/>
    </row>
    <row r="266" spans="1:26" x14ac:dyDescent="0.3">
      <c r="A266" s="66">
        <f t="shared" si="26"/>
        <v>2015.8999999999764</v>
      </c>
      <c r="B266" s="67">
        <f>LOOKUP(A266+0.01,AmountsB!$A$4:$A$103,AmountsB!$B$4:$B$103)*0.1*$A$2</f>
        <v>10648.917078660001</v>
      </c>
      <c r="C266" s="68">
        <f t="shared" si="31"/>
        <v>1429877.0188206006</v>
      </c>
      <c r="D266" s="67">
        <f t="array" ref="D266">SUM($B$7:$B261*$F$1009*EXP(-$F$1009*($A266-$A$7:$A261)))*$F$1010</f>
        <v>182185515.52675322</v>
      </c>
      <c r="E266" s="67">
        <f t="shared" si="29"/>
        <v>347.32060200335241</v>
      </c>
      <c r="F266" s="70">
        <f t="shared" si="27"/>
        <v>21.089306953643561</v>
      </c>
      <c r="G266" s="67">
        <f>E266/'Lookup Tables'!$C$48</f>
        <v>694.64120400670481</v>
      </c>
      <c r="H266" s="70">
        <f t="shared" si="30"/>
        <v>0.12766951703548279</v>
      </c>
      <c r="I266" s="71">
        <f t="shared" si="28"/>
        <v>1.0002833337696551</v>
      </c>
      <c r="L266" s="74"/>
      <c r="M266" s="74"/>
      <c r="N266" s="74"/>
      <c r="O266" s="74"/>
      <c r="P266" s="74"/>
      <c r="Q266" s="74"/>
      <c r="R266" s="74"/>
      <c r="S266" s="74"/>
      <c r="T266" s="74"/>
      <c r="U266" s="74"/>
      <c r="V266" s="74"/>
      <c r="W266" s="74"/>
      <c r="X266" s="74"/>
      <c r="Y266" s="74"/>
      <c r="Z266" s="74"/>
    </row>
    <row r="267" spans="1:26" x14ac:dyDescent="0.3">
      <c r="A267" s="66">
        <f t="shared" si="26"/>
        <v>2015.9999999999764</v>
      </c>
      <c r="B267" s="67">
        <f>LOOKUP(A267+0.01,AmountsB!$A$4:$A$103,AmountsB!$B$4:$B$103)*0.1*$A$2</f>
        <v>10861.87758061</v>
      </c>
      <c r="C267" s="68">
        <f t="shared" si="31"/>
        <v>1440738.8964012107</v>
      </c>
      <c r="D267" s="67">
        <f t="array" ref="D267">SUM($B$7:$B262*$F$1009*EXP(-$F$1009*($A267-$A$7:$A262)))*$F$1010</f>
        <v>183388778.10305285</v>
      </c>
      <c r="E267" s="67">
        <f t="shared" si="29"/>
        <v>349.61451588097412</v>
      </c>
      <c r="F267" s="70">
        <f t="shared" si="27"/>
        <v>21.228593404292749</v>
      </c>
      <c r="G267" s="67">
        <f>E267/'Lookup Tables'!$C$48</f>
        <v>699.22903176194825</v>
      </c>
      <c r="H267" s="70">
        <f t="shared" si="30"/>
        <v>0.12754385267590362</v>
      </c>
      <c r="I267" s="71">
        <f t="shared" si="28"/>
        <v>1.0068898057372055</v>
      </c>
      <c r="L267" s="74"/>
      <c r="M267" s="74"/>
      <c r="N267" s="74"/>
      <c r="O267" s="74"/>
      <c r="P267" s="74"/>
      <c r="Q267" s="74"/>
      <c r="R267" s="74"/>
      <c r="S267" s="74"/>
      <c r="T267" s="74"/>
      <c r="U267" s="74"/>
      <c r="V267" s="74"/>
      <c r="W267" s="74"/>
      <c r="X267" s="74"/>
      <c r="Y267" s="74"/>
      <c r="Z267" s="74"/>
    </row>
    <row r="268" spans="1:26" x14ac:dyDescent="0.3">
      <c r="A268" s="66">
        <f t="shared" si="26"/>
        <v>2016.0999999999763</v>
      </c>
      <c r="B268" s="67">
        <f>LOOKUP(A268+0.01,AmountsB!$A$4:$A$103,AmountsB!$B$4:$B$103)*0.1*$A$2</f>
        <v>10861.87758061</v>
      </c>
      <c r="C268" s="68">
        <f t="shared" si="31"/>
        <v>1451600.7739818208</v>
      </c>
      <c r="D268" s="67">
        <f t="array" ref="D268">SUM($B$7:$B263*$F$1009*EXP(-$F$1009*($A268-$A$7:$A263)))*$F$1010</f>
        <v>184588676.25652891</v>
      </c>
      <c r="E268" s="67">
        <f t="shared" si="29"/>
        <v>351.90201578349416</v>
      </c>
      <c r="F268" s="70">
        <f t="shared" si="27"/>
        <v>21.367490398373768</v>
      </c>
      <c r="G268" s="67">
        <f>E268/'Lookup Tables'!$C$48</f>
        <v>703.80403156698833</v>
      </c>
      <c r="H268" s="70">
        <f t="shared" si="30"/>
        <v>0.12741774653953231</v>
      </c>
      <c r="I268" s="71">
        <f t="shared" si="28"/>
        <v>1.0134778054564633</v>
      </c>
      <c r="L268" s="74"/>
      <c r="M268" s="74"/>
      <c r="N268" s="74"/>
      <c r="O268" s="74"/>
      <c r="P268" s="74"/>
      <c r="Q268" s="74"/>
      <c r="R268" s="74"/>
      <c r="S268" s="74"/>
      <c r="T268" s="74"/>
      <c r="U268" s="74"/>
      <c r="V268" s="74"/>
      <c r="W268" s="74"/>
      <c r="X268" s="74"/>
      <c r="Y268" s="74"/>
      <c r="Z268" s="74"/>
    </row>
    <row r="269" spans="1:26" x14ac:dyDescent="0.3">
      <c r="A269" s="66">
        <f t="shared" si="26"/>
        <v>2016.1999999999762</v>
      </c>
      <c r="B269" s="67">
        <f>LOOKUP(A269+0.01,AmountsB!$A$4:$A$103,AmountsB!$B$4:$B$103)*0.1*$A$2</f>
        <v>10861.87758061</v>
      </c>
      <c r="C269" s="68">
        <f t="shared" si="31"/>
        <v>1462462.6515624309</v>
      </c>
      <c r="D269" s="67">
        <f t="array" ref="D269">SUM($B$7:$B264*$F$1009*EXP(-$F$1009*($A269-$A$7:$A264)))*$F$1010</f>
        <v>185785219.39438903</v>
      </c>
      <c r="E269" s="67">
        <f t="shared" si="29"/>
        <v>354.18311964492347</v>
      </c>
      <c r="F269" s="70">
        <f t="shared" si="27"/>
        <v>21.505999024839753</v>
      </c>
      <c r="G269" s="67">
        <f>E269/'Lookup Tables'!$C$48</f>
        <v>708.36623928984693</v>
      </c>
      <c r="H269" s="70">
        <f t="shared" si="30"/>
        <v>0.12729121491512144</v>
      </c>
      <c r="I269" s="71">
        <f t="shared" si="28"/>
        <v>1.0200473845773796</v>
      </c>
      <c r="L269" s="74"/>
      <c r="M269" s="74"/>
      <c r="N269" s="74"/>
      <c r="O269" s="74"/>
      <c r="P269" s="74"/>
      <c r="Q269" s="74"/>
      <c r="R269" s="74"/>
      <c r="S269" s="74"/>
      <c r="T269" s="74"/>
      <c r="U269" s="74"/>
      <c r="V269" s="74"/>
      <c r="W269" s="74"/>
      <c r="X269" s="74"/>
      <c r="Y269" s="74"/>
      <c r="Z269" s="74"/>
    </row>
    <row r="270" spans="1:26" x14ac:dyDescent="0.3">
      <c r="A270" s="66">
        <f t="shared" si="26"/>
        <v>2016.2999999999761</v>
      </c>
      <c r="B270" s="67">
        <f>LOOKUP(A270+0.01,AmountsB!$A$4:$A$103,AmountsB!$B$4:$B$103)*0.1*$A$2</f>
        <v>10861.87758061</v>
      </c>
      <c r="C270" s="68">
        <f t="shared" si="31"/>
        <v>1473324.529143041</v>
      </c>
      <c r="D270" s="67">
        <f t="array" ref="D270">SUM($B$7:$B265*$F$1009*EXP(-$F$1009*($A270-$A$7:$A265)))*$F$1010</f>
        <v>186978416.8975375</v>
      </c>
      <c r="E270" s="67">
        <f t="shared" si="29"/>
        <v>356.45784534912775</v>
      </c>
      <c r="F270" s="70">
        <f t="shared" si="27"/>
        <v>21.644120369599037</v>
      </c>
      <c r="G270" s="67">
        <f>E270/'Lookup Tables'!$C$48</f>
        <v>712.9156906982555</v>
      </c>
      <c r="H270" s="70">
        <f t="shared" si="30"/>
        <v>0.12716427359318869</v>
      </c>
      <c r="I270" s="71">
        <f t="shared" si="28"/>
        <v>1.0265985946054881</v>
      </c>
      <c r="L270" s="74"/>
      <c r="M270" s="74"/>
      <c r="N270" s="74"/>
      <c r="O270" s="74"/>
      <c r="P270" s="74"/>
      <c r="Q270" s="74"/>
      <c r="R270" s="74"/>
      <c r="S270" s="74"/>
      <c r="T270" s="74"/>
      <c r="U270" s="74"/>
      <c r="V270" s="74"/>
      <c r="W270" s="74"/>
      <c r="X270" s="74"/>
      <c r="Y270" s="74"/>
      <c r="Z270" s="74"/>
    </row>
    <row r="271" spans="1:26" x14ac:dyDescent="0.3">
      <c r="A271" s="66">
        <f t="shared" si="26"/>
        <v>2016.399999999976</v>
      </c>
      <c r="B271" s="67">
        <f>LOOKUP(A271+0.01,AmountsB!$A$4:$A$103,AmountsB!$B$4:$B$103)*0.1*$A$2</f>
        <v>10861.87758061</v>
      </c>
      <c r="C271" s="68">
        <f t="shared" si="31"/>
        <v>1484186.4067236511</v>
      </c>
      <c r="D271" s="67">
        <f t="array" ref="D271">SUM($B$7:$B266*$F$1009*EXP(-$F$1009*($A271-$A$7:$A266)))*$F$1010</f>
        <v>188168278.12064895</v>
      </c>
      <c r="E271" s="67">
        <f t="shared" si="29"/>
        <v>358.72621072996856</v>
      </c>
      <c r="F271" s="70">
        <f t="shared" si="27"/>
        <v>21.781855515523691</v>
      </c>
      <c r="G271" s="67">
        <f>E271/'Lookup Tables'!$C$48</f>
        <v>717.45242145993711</v>
      </c>
      <c r="H271" s="70">
        <f t="shared" si="30"/>
        <v>0.12703693788429771</v>
      </c>
      <c r="I271" s="71">
        <f t="shared" si="28"/>
        <v>1.0331314869023094</v>
      </c>
      <c r="L271" s="74"/>
      <c r="M271" s="74"/>
      <c r="N271" s="74"/>
      <c r="O271" s="74"/>
      <c r="P271" s="74"/>
      <c r="Q271" s="74"/>
      <c r="R271" s="74"/>
      <c r="S271" s="74"/>
      <c r="T271" s="74"/>
      <c r="U271" s="74"/>
      <c r="V271" s="74"/>
      <c r="W271" s="74"/>
      <c r="X271" s="74"/>
      <c r="Y271" s="74"/>
      <c r="Z271" s="74"/>
    </row>
    <row r="272" spans="1:26" x14ac:dyDescent="0.3">
      <c r="A272" s="66">
        <f t="shared" si="26"/>
        <v>2016.4999999999759</v>
      </c>
      <c r="B272" s="67">
        <f>LOOKUP(A272+0.01,AmountsB!$A$4:$A$103,AmountsB!$B$4:$B$103)*0.1*$A$2</f>
        <v>10861.87758061</v>
      </c>
      <c r="C272" s="68">
        <f t="shared" si="31"/>
        <v>1495048.2843042612</v>
      </c>
      <c r="D272" s="67">
        <f t="array" ref="D272">SUM($B$7:$B267*$F$1009*EXP(-$F$1009*($A272-$A$7:$A267)))*$F$1010</f>
        <v>189389062.89346233</v>
      </c>
      <c r="E272" s="67">
        <f t="shared" si="29"/>
        <v>361.05352912838322</v>
      </c>
      <c r="F272" s="70">
        <f t="shared" si="27"/>
        <v>21.923170288675429</v>
      </c>
      <c r="G272" s="67">
        <f>E272/'Lookup Tables'!$C$48</f>
        <v>722.10705825676644</v>
      </c>
      <c r="H272" s="70">
        <f t="shared" si="30"/>
        <v>0.12693217797857936</v>
      </c>
      <c r="I272" s="71">
        <f t="shared" si="28"/>
        <v>1.0398341638897437</v>
      </c>
      <c r="L272" s="74"/>
      <c r="M272" s="74"/>
      <c r="N272" s="74"/>
      <c r="O272" s="74"/>
      <c r="P272" s="74"/>
      <c r="Q272" s="74"/>
      <c r="R272" s="74"/>
      <c r="S272" s="74"/>
      <c r="T272" s="74"/>
      <c r="U272" s="74"/>
      <c r="V272" s="74"/>
      <c r="W272" s="74"/>
      <c r="X272" s="74"/>
      <c r="Y272" s="74"/>
      <c r="Z272" s="74"/>
    </row>
    <row r="273" spans="1:26" x14ac:dyDescent="0.3">
      <c r="A273" s="66">
        <f t="shared" si="26"/>
        <v>2016.5999999999758</v>
      </c>
      <c r="B273" s="67">
        <f>LOOKUP(A273+0.01,AmountsB!$A$4:$A$103,AmountsB!$B$4:$B$103)*0.1*$A$2</f>
        <v>10861.87758061</v>
      </c>
      <c r="C273" s="68">
        <f t="shared" si="31"/>
        <v>1505910.1618848713</v>
      </c>
      <c r="D273" s="67">
        <f t="array" ref="D273">SUM($B$7:$B268*$F$1009*EXP(-$F$1009*($A273-$A$7:$A268)))*$F$1010</f>
        <v>190606434.24992481</v>
      </c>
      <c r="E273" s="67">
        <f t="shared" si="29"/>
        <v>363.37434014986144</v>
      </c>
      <c r="F273" s="70">
        <f t="shared" si="27"/>
        <v>22.064089933899584</v>
      </c>
      <c r="G273" s="67">
        <f>E273/'Lookup Tables'!$C$48</f>
        <v>726.74868029972288</v>
      </c>
      <c r="H273" s="70">
        <f t="shared" si="30"/>
        <v>0.12682665806817803</v>
      </c>
      <c r="I273" s="71">
        <f t="shared" si="28"/>
        <v>1.046518099631601</v>
      </c>
      <c r="L273" s="74"/>
      <c r="M273" s="74"/>
      <c r="N273" s="74"/>
      <c r="O273" s="74"/>
      <c r="P273" s="74"/>
      <c r="Q273" s="74"/>
      <c r="R273" s="74"/>
      <c r="S273" s="74"/>
      <c r="T273" s="74"/>
      <c r="U273" s="74"/>
      <c r="V273" s="74"/>
      <c r="W273" s="74"/>
      <c r="X273" s="74"/>
      <c r="Y273" s="74"/>
      <c r="Z273" s="74"/>
    </row>
    <row r="274" spans="1:26" x14ac:dyDescent="0.3">
      <c r="A274" s="66">
        <f t="shared" si="26"/>
        <v>2016.6999999999757</v>
      </c>
      <c r="B274" s="67">
        <f>LOOKUP(A274+0.01,AmountsB!$A$4:$A$103,AmountsB!$B$4:$B$103)*0.1*$A$2</f>
        <v>10861.87758061</v>
      </c>
      <c r="C274" s="68">
        <f t="shared" si="31"/>
        <v>1516772.0394654814</v>
      </c>
      <c r="D274" s="67">
        <f t="array" ref="D274">SUM($B$7:$B269*$F$1009*EXP(-$F$1009*($A274-$A$7:$A269)))*$F$1010</f>
        <v>191820401.73423412</v>
      </c>
      <c r="E274" s="67">
        <f t="shared" si="29"/>
        <v>365.68866198957375</v>
      </c>
      <c r="F274" s="70">
        <f t="shared" si="27"/>
        <v>22.204615556006917</v>
      </c>
      <c r="G274" s="67">
        <f>E274/'Lookup Tables'!$C$48</f>
        <v>731.37732397914749</v>
      </c>
      <c r="H274" s="70">
        <f t="shared" si="30"/>
        <v>0.12672040078577287</v>
      </c>
      <c r="I274" s="71">
        <f t="shared" si="28"/>
        <v>1.0531833465299723</v>
      </c>
      <c r="L274" s="74"/>
      <c r="M274" s="74"/>
      <c r="N274" s="74"/>
      <c r="O274" s="74"/>
      <c r="P274" s="74"/>
      <c r="Q274" s="74"/>
      <c r="R274" s="74"/>
      <c r="S274" s="74"/>
      <c r="T274" s="74"/>
      <c r="U274" s="74"/>
      <c r="V274" s="74"/>
      <c r="W274" s="74"/>
      <c r="X274" s="74"/>
      <c r="Y274" s="74"/>
      <c r="Z274" s="74"/>
    </row>
    <row r="275" spans="1:26" x14ac:dyDescent="0.3">
      <c r="A275" s="66">
        <f t="shared" ref="A275:A338" si="32">A274+0.1</f>
        <v>2016.7999999999756</v>
      </c>
      <c r="B275" s="67">
        <f>LOOKUP(A275+0.01,AmountsB!$A$4:$A$103,AmountsB!$B$4:$B$103)*0.1*$A$2</f>
        <v>10861.87758061</v>
      </c>
      <c r="C275" s="68">
        <f t="shared" si="31"/>
        <v>1527633.9170460915</v>
      </c>
      <c r="D275" s="67">
        <f t="array" ref="D275">SUM($B$7:$B270*$F$1009*EXP(-$F$1009*($A275-$A$7:$A270)))*$F$1010</f>
        <v>193030974.86390156</v>
      </c>
      <c r="E275" s="67">
        <f t="shared" si="29"/>
        <v>367.99651279181512</v>
      </c>
      <c r="F275" s="70">
        <f t="shared" ref="F275:F338" si="33">E275*60*1012/1000000</f>
        <v>22.344748256719015</v>
      </c>
      <c r="G275" s="67">
        <f>E275/'Lookup Tables'!$C$48</f>
        <v>735.99302558363024</v>
      </c>
      <c r="H275" s="70">
        <f t="shared" si="30"/>
        <v>0.12661342810284187</v>
      </c>
      <c r="I275" s="71">
        <f t="shared" ref="I275:I338" si="34">G275*60*24/1000000</f>
        <v>1.0598299568404277</v>
      </c>
      <c r="L275" s="74"/>
      <c r="M275" s="74"/>
      <c r="N275" s="74"/>
      <c r="O275" s="74"/>
      <c r="P275" s="74"/>
      <c r="Q275" s="74"/>
      <c r="R275" s="74"/>
      <c r="S275" s="74"/>
      <c r="T275" s="74"/>
      <c r="U275" s="74"/>
      <c r="V275" s="74"/>
      <c r="W275" s="74"/>
      <c r="X275" s="74"/>
      <c r="Y275" s="74"/>
      <c r="Z275" s="74"/>
    </row>
    <row r="276" spans="1:26" x14ac:dyDescent="0.3">
      <c r="A276" s="66">
        <f t="shared" si="32"/>
        <v>2016.8999999999755</v>
      </c>
      <c r="B276" s="67">
        <f>LOOKUP(A276+0.01,AmountsB!$A$4:$A$103,AmountsB!$B$4:$B$103)*0.1*$A$2</f>
        <v>10861.87758061</v>
      </c>
      <c r="C276" s="68">
        <f t="shared" si="31"/>
        <v>1538495.7946267016</v>
      </c>
      <c r="D276" s="67">
        <f t="array" ref="D276">SUM($B$7:$B271*$F$1009*EXP(-$F$1009*($A276-$A$7:$A271)))*$F$1010</f>
        <v>194238163.12982652</v>
      </c>
      <c r="E276" s="67">
        <f t="shared" si="29"/>
        <v>370.2979106501474</v>
      </c>
      <c r="F276" s="70">
        <f t="shared" si="33"/>
        <v>22.484489134676952</v>
      </c>
      <c r="G276" s="67">
        <f>E276/'Lookup Tables'!$C$48</f>
        <v>740.5958213002948</v>
      </c>
      <c r="H276" s="70">
        <f t="shared" si="30"/>
        <v>0.12650576135305061</v>
      </c>
      <c r="I276" s="71">
        <f t="shared" si="34"/>
        <v>1.0664579826724245</v>
      </c>
      <c r="L276" s="74"/>
      <c r="M276" s="74"/>
      <c r="N276" s="74"/>
      <c r="O276" s="74"/>
      <c r="P276" s="74"/>
      <c r="Q276" s="74"/>
      <c r="R276" s="74"/>
      <c r="S276" s="74"/>
      <c r="T276" s="74"/>
      <c r="U276" s="74"/>
      <c r="V276" s="74"/>
      <c r="W276" s="74"/>
      <c r="X276" s="74"/>
      <c r="Y276" s="74"/>
      <c r="Z276" s="74"/>
    </row>
    <row r="277" spans="1:26" x14ac:dyDescent="0.3">
      <c r="A277" s="66">
        <f t="shared" si="32"/>
        <v>2016.9999999999754</v>
      </c>
      <c r="B277" s="67">
        <f>LOOKUP(A277+0.01,AmountsB!$A$4:$A$103,AmountsB!$B$4:$B$103)*0.1*$A$2</f>
        <v>0</v>
      </c>
      <c r="C277" s="68">
        <f t="shared" si="31"/>
        <v>1538495.7946267016</v>
      </c>
      <c r="D277" s="67">
        <f t="array" ref="D277">SUM($B$7:$B272*$F$1009*EXP(-$F$1009*($A277-$A$7:$A272)))*$F$1010</f>
        <v>195441975.9963713</v>
      </c>
      <c r="E277" s="67">
        <f t="shared" si="29"/>
        <v>372.59287360754189</v>
      </c>
      <c r="F277" s="70">
        <f t="shared" si="33"/>
        <v>22.623839285449943</v>
      </c>
      <c r="G277" s="67">
        <f>E277/'Lookup Tables'!$C$48</f>
        <v>745.18574721508378</v>
      </c>
      <c r="H277" s="70">
        <f t="shared" si="30"/>
        <v>0.127289795040123</v>
      </c>
      <c r="I277" s="71">
        <f t="shared" si="34"/>
        <v>1.0730674759897205</v>
      </c>
      <c r="L277" s="74"/>
      <c r="M277" s="74"/>
      <c r="N277" s="74"/>
      <c r="O277" s="74"/>
      <c r="P277" s="74"/>
      <c r="Q277" s="74"/>
      <c r="R277" s="74"/>
      <c r="S277" s="74"/>
      <c r="T277" s="74"/>
      <c r="U277" s="74"/>
      <c r="V277" s="74"/>
      <c r="W277" s="74"/>
      <c r="X277" s="74"/>
      <c r="Y277" s="74"/>
      <c r="Z277" s="74"/>
    </row>
    <row r="278" spans="1:26" x14ac:dyDescent="0.3">
      <c r="A278" s="66">
        <f t="shared" si="32"/>
        <v>2017.0999999999754</v>
      </c>
      <c r="B278" s="67">
        <f>LOOKUP(A278+0.01,AmountsB!$A$4:$A$103,AmountsB!$B$4:$B$103)*0.1*$A$2</f>
        <v>0</v>
      </c>
      <c r="C278" s="68">
        <f t="shared" si="31"/>
        <v>1538495.7946267016</v>
      </c>
      <c r="D278" s="67">
        <f t="array" ref="D278">SUM($B$7:$B273*$F$1009*EXP(-$F$1009*($A278-$A$7:$A273)))*$F$1010</f>
        <v>196642422.90143493</v>
      </c>
      <c r="E278" s="67">
        <f t="shared" si="29"/>
        <v>374.88141965651988</v>
      </c>
      <c r="F278" s="70">
        <f t="shared" si="33"/>
        <v>22.762799801543888</v>
      </c>
      <c r="G278" s="67">
        <f>E278/'Lookup Tables'!$C$48</f>
        <v>749.76283931303976</v>
      </c>
      <c r="H278" s="70">
        <f t="shared" si="30"/>
        <v>0.12807163650341716</v>
      </c>
      <c r="I278" s="71">
        <f t="shared" si="34"/>
        <v>1.0796584886107774</v>
      </c>
      <c r="L278" s="74"/>
      <c r="M278" s="74"/>
      <c r="N278" s="74"/>
      <c r="O278" s="74"/>
      <c r="P278" s="74"/>
      <c r="Q278" s="74"/>
      <c r="R278" s="74"/>
      <c r="S278" s="74"/>
      <c r="T278" s="74"/>
      <c r="U278" s="74"/>
      <c r="V278" s="74"/>
      <c r="W278" s="74"/>
      <c r="X278" s="74"/>
      <c r="Y278" s="74"/>
      <c r="Z278" s="74"/>
    </row>
    <row r="279" spans="1:26" x14ac:dyDescent="0.3">
      <c r="A279" s="66">
        <f t="shared" si="32"/>
        <v>2017.1999999999753</v>
      </c>
      <c r="B279" s="67">
        <f>LOOKUP(A279+0.01,AmountsB!$A$4:$A$103,AmountsB!$B$4:$B$103)*0.1*$A$2</f>
        <v>0</v>
      </c>
      <c r="C279" s="68">
        <f t="shared" si="31"/>
        <v>1538495.7946267016</v>
      </c>
      <c r="D279" s="67">
        <f t="array" ref="D279">SUM($B$7:$B274*$F$1009*EXP(-$F$1009*($A279-$A$7:$A274)))*$F$1010</f>
        <v>197839513.25652727</v>
      </c>
      <c r="E279" s="67">
        <f t="shared" si="29"/>
        <v>377.16356673929397</v>
      </c>
      <c r="F279" s="70">
        <f t="shared" si="33"/>
        <v>22.901371772409931</v>
      </c>
      <c r="G279" s="67">
        <f>E279/'Lookup Tables'!$C$48</f>
        <v>754.32713347858794</v>
      </c>
      <c r="H279" s="70">
        <f t="shared" si="30"/>
        <v>0.12885129187257408</v>
      </c>
      <c r="I279" s="71">
        <f t="shared" si="34"/>
        <v>1.0862310722091666</v>
      </c>
      <c r="L279" s="74"/>
      <c r="M279" s="74"/>
      <c r="N279" s="74"/>
      <c r="O279" s="74"/>
      <c r="P279" s="74"/>
      <c r="Q279" s="74"/>
      <c r="R279" s="74"/>
      <c r="S279" s="74"/>
      <c r="T279" s="74"/>
      <c r="U279" s="74"/>
      <c r="V279" s="74"/>
      <c r="W279" s="74"/>
      <c r="X279" s="74"/>
      <c r="Y279" s="74"/>
      <c r="Z279" s="74"/>
    </row>
    <row r="280" spans="1:26" x14ac:dyDescent="0.3">
      <c r="A280" s="66">
        <f t="shared" si="32"/>
        <v>2017.2999999999752</v>
      </c>
      <c r="B280" s="67">
        <f>LOOKUP(A280+0.01,AmountsB!$A$4:$A$103,AmountsB!$B$4:$B$103)*0.1*$A$2</f>
        <v>0</v>
      </c>
      <c r="C280" s="68">
        <f t="shared" si="31"/>
        <v>1538495.7946267016</v>
      </c>
      <c r="D280" s="67">
        <f t="array" ref="D280">SUM($B$7:$B275*$F$1009*EXP(-$F$1009*($A280-$A$7:$A275)))*$F$1010</f>
        <v>199033256.44684291</v>
      </c>
      <c r="E280" s="67">
        <f t="shared" si="29"/>
        <v>379.43933274790919</v>
      </c>
      <c r="F280" s="70">
        <f t="shared" si="33"/>
        <v>23.039556284453045</v>
      </c>
      <c r="G280" s="67">
        <f>E280/'Lookup Tables'!$C$48</f>
        <v>758.87866549581838</v>
      </c>
      <c r="H280" s="70">
        <f t="shared" si="30"/>
        <v>0.12962876726009595</v>
      </c>
      <c r="I280" s="71">
        <f t="shared" si="34"/>
        <v>1.0927852783139786</v>
      </c>
      <c r="L280" s="74"/>
      <c r="M280" s="74"/>
      <c r="N280" s="74"/>
      <c r="O280" s="74"/>
      <c r="P280" s="74"/>
      <c r="Q280" s="74"/>
      <c r="R280" s="74"/>
      <c r="S280" s="74"/>
      <c r="T280" s="74"/>
      <c r="U280" s="74"/>
      <c r="V280" s="74"/>
      <c r="W280" s="74"/>
      <c r="X280" s="74"/>
      <c r="Y280" s="74"/>
      <c r="Z280" s="74"/>
    </row>
    <row r="281" spans="1:26" x14ac:dyDescent="0.3">
      <c r="A281" s="66">
        <f t="shared" si="32"/>
        <v>2017.3999999999751</v>
      </c>
      <c r="B281" s="67">
        <f>LOOKUP(A281+0.01,AmountsB!$A$4:$A$103,AmountsB!$B$4:$B$103)*0.1*$A$2</f>
        <v>0</v>
      </c>
      <c r="C281" s="68">
        <f t="shared" si="31"/>
        <v>1538495.7946267016</v>
      </c>
      <c r="D281" s="67">
        <f t="array" ref="D281">SUM($B$7:$B276*$F$1009*EXP(-$F$1009*($A281-$A$7:$A276)))*$F$1010</f>
        <v>200223661.83133444</v>
      </c>
      <c r="E281" s="67">
        <f t="shared" si="29"/>
        <v>381.70873552438252</v>
      </c>
      <c r="F281" s="70">
        <f t="shared" si="33"/>
        <v>23.177354421040508</v>
      </c>
      <c r="G281" s="67">
        <f>E281/'Lookup Tables'!$C$48</f>
        <v>763.41747104876504</v>
      </c>
      <c r="H281" s="70">
        <f t="shared" si="30"/>
        <v>0.13040406876139374</v>
      </c>
      <c r="I281" s="71">
        <f t="shared" si="34"/>
        <v>1.0993211583102218</v>
      </c>
      <c r="L281" s="74"/>
      <c r="M281" s="74"/>
      <c r="N281" s="74"/>
      <c r="O281" s="74"/>
      <c r="P281" s="74"/>
      <c r="Q281" s="74"/>
      <c r="R281" s="74"/>
      <c r="S281" s="74"/>
      <c r="T281" s="74"/>
      <c r="U281" s="74"/>
      <c r="V281" s="74"/>
      <c r="W281" s="74"/>
      <c r="X281" s="74"/>
      <c r="Y281" s="74"/>
      <c r="Z281" s="74"/>
    </row>
    <row r="282" spans="1:26" x14ac:dyDescent="0.3">
      <c r="A282" s="66">
        <f t="shared" si="32"/>
        <v>2017.499999999975</v>
      </c>
      <c r="B282" s="67">
        <f>LOOKUP(A282+0.01,AmountsB!$A$4:$A$103,AmountsB!$B$4:$B$103)*0.1*$A$2</f>
        <v>0</v>
      </c>
      <c r="C282" s="68">
        <f t="shared" si="31"/>
        <v>1538495.7946267016</v>
      </c>
      <c r="D282" s="67">
        <f t="array" ref="D282">SUM($B$7:$B277*$F$1009*EXP(-$F$1009*($A282-$A$7:$A277)))*$F$1010</f>
        <v>199663819.72292241</v>
      </c>
      <c r="E282" s="67">
        <f t="shared" si="29"/>
        <v>380.64144596759036</v>
      </c>
      <c r="F282" s="70">
        <f t="shared" si="33"/>
        <v>23.112548599152085</v>
      </c>
      <c r="G282" s="67">
        <f>E282/'Lookup Tables'!$C$48</f>
        <v>761.28289193518071</v>
      </c>
      <c r="H282" s="70">
        <f t="shared" si="30"/>
        <v>0.1300394480760404</v>
      </c>
      <c r="I282" s="71">
        <f t="shared" si="34"/>
        <v>1.0962473643866602</v>
      </c>
      <c r="L282" s="74"/>
      <c r="M282" s="74"/>
      <c r="N282" s="74"/>
      <c r="O282" s="74"/>
      <c r="P282" s="74"/>
      <c r="Q282" s="74"/>
      <c r="R282" s="74"/>
      <c r="S282" s="74"/>
      <c r="T282" s="74"/>
      <c r="U282" s="74"/>
      <c r="V282" s="74"/>
      <c r="W282" s="74"/>
      <c r="X282" s="74"/>
      <c r="Y282" s="74"/>
      <c r="Z282" s="74"/>
    </row>
    <row r="283" spans="1:26" x14ac:dyDescent="0.3">
      <c r="A283" s="66">
        <f t="shared" si="32"/>
        <v>2017.5999999999749</v>
      </c>
      <c r="B283" s="67">
        <f>LOOKUP(A283+0.01,AmountsB!$A$4:$A$103,AmountsB!$B$4:$B$103)*0.1*$A$2</f>
        <v>0</v>
      </c>
      <c r="C283" s="68">
        <f t="shared" si="31"/>
        <v>1538495.7946267016</v>
      </c>
      <c r="D283" s="67">
        <f t="array" ref="D283">SUM($B$7:$B278*$F$1009*EXP(-$F$1009*($A283-$A$7:$A278)))*$F$1010</f>
        <v>199105542.97987974</v>
      </c>
      <c r="E283" s="67">
        <f t="shared" si="29"/>
        <v>379.57714064168437</v>
      </c>
      <c r="F283" s="70">
        <f t="shared" si="33"/>
        <v>23.047923979763077</v>
      </c>
      <c r="G283" s="67">
        <f>E283/'Lookup Tables'!$C$48</f>
        <v>759.15428128336873</v>
      </c>
      <c r="H283" s="70">
        <f t="shared" si="30"/>
        <v>0.12967584690062611</v>
      </c>
      <c r="I283" s="71">
        <f t="shared" si="34"/>
        <v>1.0931821650480509</v>
      </c>
      <c r="L283" s="74"/>
      <c r="M283" s="74"/>
      <c r="N283" s="74"/>
      <c r="O283" s="74"/>
      <c r="P283" s="74"/>
      <c r="Q283" s="74"/>
      <c r="R283" s="74"/>
      <c r="S283" s="74"/>
      <c r="T283" s="74"/>
      <c r="U283" s="74"/>
      <c r="V283" s="74"/>
      <c r="W283" s="74"/>
      <c r="X283" s="74"/>
      <c r="Y283" s="74"/>
      <c r="Z283" s="74"/>
    </row>
    <row r="284" spans="1:26" x14ac:dyDescent="0.3">
      <c r="A284" s="66">
        <f t="shared" si="32"/>
        <v>2017.6999999999748</v>
      </c>
      <c r="B284" s="67">
        <f>LOOKUP(A284+0.01,AmountsB!$A$4:$A$103,AmountsB!$B$4:$B$103)*0.1*$A$2</f>
        <v>0</v>
      </c>
      <c r="C284" s="68">
        <f t="shared" si="31"/>
        <v>1538495.7946267016</v>
      </c>
      <c r="D284" s="67">
        <f t="array" ref="D284">SUM($B$7:$B279*$F$1009*EXP(-$F$1009*($A284-$A$7:$A279)))*$F$1010</f>
        <v>198548827.2253139</v>
      </c>
      <c r="E284" s="67">
        <f t="shared" si="29"/>
        <v>378.51581120250535</v>
      </c>
      <c r="F284" s="70">
        <f t="shared" si="33"/>
        <v>22.983480056216123</v>
      </c>
      <c r="G284" s="67">
        <f>E284/'Lookup Tables'!$C$48</f>
        <v>757.03162240501069</v>
      </c>
      <c r="H284" s="70">
        <f t="shared" si="30"/>
        <v>0.12931326238451582</v>
      </c>
      <c r="I284" s="71">
        <f t="shared" si="34"/>
        <v>1.0901255362632154</v>
      </c>
      <c r="L284" s="74"/>
      <c r="M284" s="74"/>
      <c r="N284" s="74"/>
      <c r="O284" s="74"/>
      <c r="P284" s="74"/>
      <c r="Q284" s="74"/>
      <c r="R284" s="74"/>
      <c r="S284" s="74"/>
      <c r="T284" s="74"/>
      <c r="U284" s="74"/>
      <c r="V284" s="74"/>
      <c r="W284" s="74"/>
      <c r="X284" s="74"/>
      <c r="Y284" s="74"/>
      <c r="Z284" s="74"/>
    </row>
    <row r="285" spans="1:26" x14ac:dyDescent="0.3">
      <c r="A285" s="66">
        <f t="shared" si="32"/>
        <v>2017.7999999999747</v>
      </c>
      <c r="B285" s="67">
        <f>LOOKUP(A285+0.01,AmountsB!$A$4:$A$103,AmountsB!$B$4:$B$103)*0.1*$A$2</f>
        <v>0</v>
      </c>
      <c r="C285" s="68">
        <f t="shared" si="31"/>
        <v>1538495.7946267016</v>
      </c>
      <c r="D285" s="67">
        <f t="array" ref="D285">SUM($B$7:$B280*$F$1009*EXP(-$F$1009*($A285-$A$7:$A280)))*$F$1010</f>
        <v>197993668.09457049</v>
      </c>
      <c r="E285" s="67">
        <f t="shared" si="29"/>
        <v>377.45744932922486</v>
      </c>
      <c r="F285" s="70">
        <f t="shared" si="33"/>
        <v>22.919216323270533</v>
      </c>
      <c r="G285" s="67">
        <f>E285/'Lookup Tables'!$C$48</f>
        <v>754.91489865844972</v>
      </c>
      <c r="H285" s="70">
        <f t="shared" si="30"/>
        <v>0.12895169168504489</v>
      </c>
      <c r="I285" s="71">
        <f t="shared" si="34"/>
        <v>1.0870774540681676</v>
      </c>
      <c r="L285" s="74"/>
      <c r="M285" s="74"/>
      <c r="N285" s="74"/>
      <c r="O285" s="74"/>
      <c r="P285" s="74"/>
      <c r="Q285" s="74"/>
      <c r="R285" s="74"/>
      <c r="S285" s="74"/>
      <c r="T285" s="74"/>
      <c r="U285" s="74"/>
      <c r="V285" s="74"/>
      <c r="W285" s="74"/>
      <c r="X285" s="74"/>
      <c r="Y285" s="74"/>
      <c r="Z285" s="74"/>
    </row>
    <row r="286" spans="1:26" x14ac:dyDescent="0.3">
      <c r="A286" s="66">
        <f t="shared" si="32"/>
        <v>2017.8999999999746</v>
      </c>
      <c r="B286" s="67">
        <f>LOOKUP(A286+0.01,AmountsB!$A$4:$A$103,AmountsB!$B$4:$B$103)*0.1*$A$2</f>
        <v>0</v>
      </c>
      <c r="C286" s="68">
        <f t="shared" si="31"/>
        <v>1538495.7946267016</v>
      </c>
      <c r="D286" s="67">
        <f t="array" ref="D286">SUM($B$7:$B281*$F$1009*EXP(-$F$1009*($A286-$A$7:$A281)))*$F$1010</f>
        <v>197440061.23519906</v>
      </c>
      <c r="E286" s="67">
        <f t="shared" si="29"/>
        <v>376.40204672428047</v>
      </c>
      <c r="F286" s="70">
        <f t="shared" si="33"/>
        <v>22.85513227709831</v>
      </c>
      <c r="G286" s="67">
        <f>E286/'Lookup Tables'!$C$48</f>
        <v>752.80409344856093</v>
      </c>
      <c r="H286" s="70">
        <f t="shared" si="30"/>
        <v>0.1285911319674973</v>
      </c>
      <c r="I286" s="71">
        <f t="shared" si="34"/>
        <v>1.0840378945659277</v>
      </c>
      <c r="L286" s="74"/>
      <c r="M286" s="74"/>
      <c r="N286" s="74"/>
      <c r="O286" s="74"/>
      <c r="P286" s="74"/>
      <c r="Q286" s="74"/>
      <c r="R286" s="74"/>
      <c r="S286" s="74"/>
      <c r="T286" s="74"/>
      <c r="U286" s="74"/>
      <c r="V286" s="74"/>
      <c r="W286" s="74"/>
      <c r="X286" s="74"/>
      <c r="Y286" s="74"/>
      <c r="Z286" s="74"/>
    </row>
    <row r="287" spans="1:26" x14ac:dyDescent="0.3">
      <c r="A287" s="66">
        <f t="shared" si="32"/>
        <v>2017.9999999999745</v>
      </c>
      <c r="B287" s="67">
        <f>LOOKUP(A287+0.01,AmountsB!$A$4:$A$103,AmountsB!$B$4:$B$103)*0.1*$A$2</f>
        <v>0</v>
      </c>
      <c r="C287" s="68">
        <f t="shared" si="31"/>
        <v>1538495.7946267016</v>
      </c>
      <c r="D287" s="67">
        <f t="array" ref="D287">SUM($B$7:$B282*$F$1009*EXP(-$F$1009*($A287-$A$7:$A282)))*$F$1010</f>
        <v>196888002.30691907</v>
      </c>
      <c r="E287" s="67">
        <f t="shared" si="29"/>
        <v>375.3495951133105</v>
      </c>
      <c r="F287" s="70">
        <f t="shared" si="33"/>
        <v>22.791227415280211</v>
      </c>
      <c r="G287" s="67">
        <f>E287/'Lookup Tables'!$C$48</f>
        <v>750.699190226621</v>
      </c>
      <c r="H287" s="70">
        <f t="shared" si="30"/>
        <v>0.12823158040508301</v>
      </c>
      <c r="I287" s="71">
        <f t="shared" si="34"/>
        <v>1.0810068339263341</v>
      </c>
      <c r="L287" s="74"/>
      <c r="M287" s="74"/>
      <c r="N287" s="74"/>
      <c r="O287" s="74"/>
      <c r="P287" s="74"/>
      <c r="Q287" s="74"/>
      <c r="R287" s="74"/>
      <c r="S287" s="74"/>
      <c r="T287" s="74"/>
      <c r="U287" s="74"/>
      <c r="V287" s="74"/>
      <c r="W287" s="74"/>
      <c r="X287" s="74"/>
      <c r="Y287" s="74"/>
      <c r="Z287" s="74"/>
    </row>
    <row r="288" spans="1:26" x14ac:dyDescent="0.3">
      <c r="A288" s="66">
        <f t="shared" si="32"/>
        <v>2018.0999999999744</v>
      </c>
      <c r="B288" s="67">
        <f>LOOKUP(A288+0.01,AmountsB!$A$4:$A$103,AmountsB!$B$4:$B$103)*0.1*$A$2</f>
        <v>0</v>
      </c>
      <c r="C288" s="68">
        <f t="shared" si="31"/>
        <v>1538495.7946267016</v>
      </c>
      <c r="D288" s="67">
        <f t="array" ref="D288">SUM($B$7:$B283*$F$1009*EXP(-$F$1009*($A288-$A$7:$A283)))*$F$1010</f>
        <v>196337486.98158571</v>
      </c>
      <c r="E288" s="67">
        <f t="shared" si="29"/>
        <v>374.30008624508889</v>
      </c>
      <c r="F288" s="70">
        <f t="shared" si="33"/>
        <v>22.727501236801796</v>
      </c>
      <c r="G288" s="67">
        <f>E288/'Lookup Tables'!$C$48</f>
        <v>748.60017249017778</v>
      </c>
      <c r="H288" s="70">
        <f t="shared" si="30"/>
        <v>0.12787303417891596</v>
      </c>
      <c r="I288" s="71">
        <f t="shared" si="34"/>
        <v>1.0779842483858559</v>
      </c>
      <c r="L288" s="74"/>
      <c r="M288" s="74"/>
      <c r="N288" s="74"/>
      <c r="O288" s="74"/>
      <c r="P288" s="74"/>
      <c r="Q288" s="74"/>
      <c r="R288" s="74"/>
      <c r="S288" s="74"/>
      <c r="T288" s="74"/>
      <c r="U288" s="74"/>
      <c r="V288" s="74"/>
      <c r="W288" s="74"/>
      <c r="X288" s="74"/>
      <c r="Y288" s="74"/>
      <c r="Z288" s="74"/>
    </row>
    <row r="289" spans="1:26" x14ac:dyDescent="0.3">
      <c r="A289" s="66">
        <f t="shared" si="32"/>
        <v>2018.1999999999744</v>
      </c>
      <c r="B289" s="67">
        <f>LOOKUP(A289+0.01,AmountsB!$A$4:$A$103,AmountsB!$B$4:$B$103)*0.1*$A$2</f>
        <v>0</v>
      </c>
      <c r="C289" s="68">
        <f t="shared" si="31"/>
        <v>1538495.7946267016</v>
      </c>
      <c r="D289" s="67">
        <f t="array" ref="D289">SUM($B$7:$B284*$F$1009*EXP(-$F$1009*($A289-$A$7:$A284)))*$F$1010</f>
        <v>195788510.94315588</v>
      </c>
      <c r="E289" s="67">
        <f t="shared" si="29"/>
        <v>373.25351189146051</v>
      </c>
      <c r="F289" s="70">
        <f t="shared" si="33"/>
        <v>22.66395324204948</v>
      </c>
      <c r="G289" s="67">
        <f>E289/'Lookup Tables'!$C$48</f>
        <v>746.50702378292101</v>
      </c>
      <c r="H289" s="70">
        <f t="shared" si="30"/>
        <v>0.12751549047799185</v>
      </c>
      <c r="I289" s="71">
        <f t="shared" si="34"/>
        <v>1.0749701142474064</v>
      </c>
      <c r="L289" s="74"/>
      <c r="M289" s="74"/>
      <c r="N289" s="74"/>
      <c r="O289" s="74"/>
      <c r="P289" s="74"/>
      <c r="Q289" s="74"/>
      <c r="R289" s="74"/>
      <c r="S289" s="74"/>
      <c r="T289" s="74"/>
      <c r="U289" s="74"/>
      <c r="V289" s="74"/>
      <c r="W289" s="74"/>
      <c r="X289" s="74"/>
      <c r="Y289" s="74"/>
      <c r="Z289" s="74"/>
    </row>
    <row r="290" spans="1:26" x14ac:dyDescent="0.3">
      <c r="A290" s="66">
        <f t="shared" si="32"/>
        <v>2018.2999999999743</v>
      </c>
      <c r="B290" s="67">
        <f>LOOKUP(A290+0.01,AmountsB!$A$4:$A$103,AmountsB!$B$4:$B$103)*0.1*$A$2</f>
        <v>0</v>
      </c>
      <c r="C290" s="68">
        <f t="shared" si="31"/>
        <v>1538495.7946267016</v>
      </c>
      <c r="D290" s="67">
        <f t="array" ref="D290">SUM($B$7:$B285*$F$1009*EXP(-$F$1009*($A290-$A$7:$A285)))*$F$1010</f>
        <v>195241069.88765466</v>
      </c>
      <c r="E290" s="67">
        <f t="shared" si="29"/>
        <v>372.20986384727712</v>
      </c>
      <c r="F290" s="70">
        <f t="shared" si="33"/>
        <v>22.600582932806667</v>
      </c>
      <c r="G290" s="67">
        <f>E290/'Lookup Tables'!$C$48</f>
        <v>744.41972769455424</v>
      </c>
      <c r="H290" s="70">
        <f t="shared" si="30"/>
        <v>0.12715894649916615</v>
      </c>
      <c r="I290" s="71">
        <f t="shared" si="34"/>
        <v>1.0719644078801582</v>
      </c>
      <c r="L290" s="74"/>
      <c r="M290" s="74"/>
      <c r="N290" s="74"/>
      <c r="O290" s="74"/>
      <c r="P290" s="74"/>
      <c r="Q290" s="74"/>
      <c r="R290" s="74"/>
      <c r="S290" s="74"/>
      <c r="T290" s="74"/>
      <c r="U290" s="74"/>
      <c r="V290" s="74"/>
      <c r="W290" s="74"/>
      <c r="X290" s="74"/>
      <c r="Y290" s="74"/>
      <c r="Z290" s="74"/>
    </row>
    <row r="291" spans="1:26" x14ac:dyDescent="0.3">
      <c r="A291" s="66">
        <f t="shared" si="32"/>
        <v>2018.3999999999742</v>
      </c>
      <c r="B291" s="67">
        <f>LOOKUP(A291+0.01,AmountsB!$A$4:$A$103,AmountsB!$B$4:$B$103)*0.1*$A$2</f>
        <v>0</v>
      </c>
      <c r="C291" s="68">
        <f t="shared" si="31"/>
        <v>1538495.7946267016</v>
      </c>
      <c r="D291" s="67">
        <f t="array" ref="D291">SUM($B$7:$B286*$F$1009*EXP(-$F$1009*($A291-$A$7:$A286)))*$F$1010</f>
        <v>194695159.52314141</v>
      </c>
      <c r="E291" s="67">
        <f t="shared" si="29"/>
        <v>371.16913393033286</v>
      </c>
      <c r="F291" s="70">
        <f t="shared" si="33"/>
        <v>22.537389812249813</v>
      </c>
      <c r="G291" s="67">
        <f>E291/'Lookup Tables'!$C$48</f>
        <v>742.33826786066572</v>
      </c>
      <c r="H291" s="70">
        <f t="shared" si="30"/>
        <v>0.12680339944713237</v>
      </c>
      <c r="I291" s="71">
        <f t="shared" si="34"/>
        <v>1.0689671057193586</v>
      </c>
      <c r="L291" s="74"/>
      <c r="M291" s="74"/>
      <c r="N291" s="74"/>
      <c r="O291" s="74"/>
      <c r="P291" s="74"/>
      <c r="Q291" s="74"/>
      <c r="R291" s="74"/>
      <c r="S291" s="74"/>
      <c r="T291" s="74"/>
      <c r="U291" s="74"/>
      <c r="V291" s="74"/>
      <c r="W291" s="74"/>
      <c r="X291" s="74"/>
      <c r="Y291" s="74"/>
      <c r="Z291" s="74"/>
    </row>
    <row r="292" spans="1:26" x14ac:dyDescent="0.3">
      <c r="A292" s="66">
        <f t="shared" si="32"/>
        <v>2018.4999999999741</v>
      </c>
      <c r="B292" s="67">
        <f>LOOKUP(A292+0.01,AmountsB!$A$4:$A$103,AmountsB!$B$4:$B$103)*0.1*$A$2</f>
        <v>0</v>
      </c>
      <c r="C292" s="68">
        <f t="shared" si="31"/>
        <v>1538495.7946267016</v>
      </c>
      <c r="D292" s="67">
        <f t="array" ref="D292">SUM($B$7:$B287*$F$1009*EXP(-$F$1009*($A292-$A$7:$A287)))*$F$1010</f>
        <v>194150775.56967607</v>
      </c>
      <c r="E292" s="67">
        <f t="shared" si="29"/>
        <v>370.13131398129968</v>
      </c>
      <c r="F292" s="70">
        <f t="shared" si="33"/>
        <v>22.474373384944514</v>
      </c>
      <c r="G292" s="67">
        <f>E292/'Lookup Tables'!$C$48</f>
        <v>740.26262796259937</v>
      </c>
      <c r="H292" s="70">
        <f t="shared" si="30"/>
        <v>0.12644884653439969</v>
      </c>
      <c r="I292" s="71">
        <f t="shared" si="34"/>
        <v>1.0659781842661431</v>
      </c>
      <c r="L292" s="74"/>
      <c r="M292" s="74"/>
      <c r="N292" s="74"/>
      <c r="O292" s="74"/>
      <c r="P292" s="74"/>
      <c r="Q292" s="74"/>
      <c r="R292" s="74"/>
      <c r="S292" s="74"/>
      <c r="T292" s="74"/>
      <c r="U292" s="74"/>
      <c r="V292" s="74"/>
      <c r="W292" s="74"/>
      <c r="X292" s="74"/>
      <c r="Y292" s="74"/>
      <c r="Z292" s="74"/>
    </row>
    <row r="293" spans="1:26" x14ac:dyDescent="0.3">
      <c r="A293" s="66">
        <f t="shared" si="32"/>
        <v>2018.599999999974</v>
      </c>
      <c r="B293" s="67">
        <f>LOOKUP(A293+0.01,AmountsB!$A$4:$A$103,AmountsB!$B$4:$B$103)*0.1*$A$2</f>
        <v>0</v>
      </c>
      <c r="C293" s="68">
        <f t="shared" si="31"/>
        <v>1538495.7946267016</v>
      </c>
      <c r="D293" s="67">
        <f t="array" ref="D293">SUM($B$7:$B288*$F$1009*EXP(-$F$1009*($A293-$A$7:$A288)))*$F$1010</f>
        <v>193607913.75928572</v>
      </c>
      <c r="E293" s="67">
        <f t="shared" si="29"/>
        <v>369.09639586366416</v>
      </c>
      <c r="F293" s="70">
        <f t="shared" si="33"/>
        <v>22.411533156841688</v>
      </c>
      <c r="G293" s="67">
        <f>E293/'Lookup Tables'!$C$48</f>
        <v>738.19279172732831</v>
      </c>
      <c r="H293" s="70">
        <f t="shared" si="30"/>
        <v>0.12609528498127162</v>
      </c>
      <c r="I293" s="71">
        <f t="shared" si="34"/>
        <v>1.0629976200873528</v>
      </c>
      <c r="L293" s="74"/>
      <c r="M293" s="74"/>
      <c r="N293" s="74"/>
      <c r="O293" s="74"/>
      <c r="P293" s="74"/>
      <c r="Q293" s="74"/>
      <c r="R293" s="74"/>
      <c r="S293" s="74"/>
      <c r="T293" s="74"/>
      <c r="U293" s="74"/>
      <c r="V293" s="74"/>
      <c r="W293" s="74"/>
      <c r="X293" s="74"/>
      <c r="Y293" s="74"/>
      <c r="Z293" s="74"/>
    </row>
    <row r="294" spans="1:26" x14ac:dyDescent="0.3">
      <c r="A294" s="66">
        <f t="shared" si="32"/>
        <v>2018.6999999999739</v>
      </c>
      <c r="B294" s="67">
        <f>LOOKUP(A294+0.01,AmountsB!$A$4:$A$103,AmountsB!$B$4:$B$103)*0.1*$A$2</f>
        <v>0</v>
      </c>
      <c r="C294" s="68">
        <f t="shared" si="31"/>
        <v>1538495.7946267016</v>
      </c>
      <c r="D294" s="67">
        <f t="array" ref="D294">SUM($B$7:$B289*$F$1009*EXP(-$F$1009*($A294-$A$7:$A289)))*$F$1010</f>
        <v>193066569.83593088</v>
      </c>
      <c r="E294" s="67">
        <f t="shared" si="29"/>
        <v>368.06437146366272</v>
      </c>
      <c r="F294" s="70">
        <f t="shared" si="33"/>
        <v>22.3488686352736</v>
      </c>
      <c r="G294" s="67">
        <f>E294/'Lookup Tables'!$C$48</f>
        <v>736.12874292732545</v>
      </c>
      <c r="H294" s="70">
        <f t="shared" si="30"/>
        <v>0.12574271201582365</v>
      </c>
      <c r="I294" s="71">
        <f t="shared" si="34"/>
        <v>1.0600253898153487</v>
      </c>
      <c r="L294" s="74"/>
      <c r="M294" s="74"/>
      <c r="N294" s="74"/>
      <c r="O294" s="74"/>
      <c r="P294" s="74"/>
      <c r="Q294" s="74"/>
      <c r="R294" s="74"/>
      <c r="S294" s="74"/>
      <c r="T294" s="74"/>
      <c r="U294" s="74"/>
      <c r="V294" s="74"/>
      <c r="W294" s="74"/>
      <c r="X294" s="74"/>
      <c r="Y294" s="74"/>
      <c r="Z294" s="74"/>
    </row>
    <row r="295" spans="1:26" x14ac:dyDescent="0.3">
      <c r="A295" s="66">
        <f t="shared" si="32"/>
        <v>2018.7999999999738</v>
      </c>
      <c r="B295" s="67">
        <f>LOOKUP(A295+0.01,AmountsB!$A$4:$A$103,AmountsB!$B$4:$B$103)*0.1*$A$2</f>
        <v>0</v>
      </c>
      <c r="C295" s="68">
        <f t="shared" si="31"/>
        <v>1538495.7946267016</v>
      </c>
      <c r="D295" s="67">
        <f t="array" ref="D295">SUM($B$7:$B290*$F$1009*EXP(-$F$1009*($A295-$A$7:$A290)))*$F$1010</f>
        <v>192526739.55547249</v>
      </c>
      <c r="E295" s="67">
        <f t="shared" si="29"/>
        <v>367.03523269021878</v>
      </c>
      <c r="F295" s="70">
        <f t="shared" si="33"/>
        <v>22.286379328950083</v>
      </c>
      <c r="G295" s="67">
        <f>E295/'Lookup Tables'!$C$48</f>
        <v>734.07046538043755</v>
      </c>
      <c r="H295" s="70">
        <f t="shared" si="30"/>
        <v>0.12539112487388196</v>
      </c>
      <c r="I295" s="71">
        <f t="shared" si="34"/>
        <v>1.0570614701478303</v>
      </c>
      <c r="L295" s="74"/>
      <c r="M295" s="74"/>
      <c r="N295" s="74"/>
      <c r="O295" s="74"/>
      <c r="P295" s="74"/>
      <c r="Q295" s="74"/>
      <c r="R295" s="74"/>
      <c r="S295" s="74"/>
      <c r="T295" s="74"/>
      <c r="U295" s="74"/>
      <c r="V295" s="74"/>
      <c r="W295" s="74"/>
      <c r="X295" s="74"/>
      <c r="Y295" s="74"/>
      <c r="Z295" s="74"/>
    </row>
    <row r="296" spans="1:26" x14ac:dyDescent="0.3">
      <c r="A296" s="66">
        <f t="shared" si="32"/>
        <v>2018.8999999999737</v>
      </c>
      <c r="B296" s="67">
        <f>LOOKUP(A296+0.01,AmountsB!$A$4:$A$103,AmountsB!$B$4:$B$103)*0.1*$A$2</f>
        <v>0</v>
      </c>
      <c r="C296" s="68">
        <f t="shared" si="31"/>
        <v>1538495.7946267016</v>
      </c>
      <c r="D296" s="67">
        <f t="array" ref="D296">SUM($B$7:$B291*$F$1009*EXP(-$F$1009*($A296-$A$7:$A291)))*$F$1010</f>
        <v>191988418.68563837</v>
      </c>
      <c r="E296" s="67">
        <f t="shared" si="29"/>
        <v>366.00897147487922</v>
      </c>
      <c r="F296" s="70">
        <f t="shared" si="33"/>
        <v>22.224064747954667</v>
      </c>
      <c r="G296" s="67">
        <f>E296/'Lookup Tables'!$C$48</f>
        <v>732.01794294975844</v>
      </c>
      <c r="H296" s="70">
        <f t="shared" si="30"/>
        <v>0.12504052079900158</v>
      </c>
      <c r="I296" s="71">
        <f t="shared" si="34"/>
        <v>1.0541058378476522</v>
      </c>
      <c r="L296" s="74"/>
      <c r="M296" s="74"/>
      <c r="N296" s="74"/>
      <c r="O296" s="74"/>
      <c r="P296" s="74"/>
      <c r="Q296" s="74"/>
      <c r="R296" s="74"/>
      <c r="S296" s="74"/>
      <c r="T296" s="74"/>
      <c r="U296" s="74"/>
      <c r="V296" s="74"/>
      <c r="W296" s="74"/>
      <c r="X296" s="74"/>
      <c r="Y296" s="74"/>
      <c r="Z296" s="74"/>
    </row>
    <row r="297" spans="1:26" x14ac:dyDescent="0.3">
      <c r="A297" s="66">
        <f t="shared" si="32"/>
        <v>2018.9999999999736</v>
      </c>
      <c r="B297" s="67">
        <f>LOOKUP(A297+0.01,AmountsB!$A$4:$A$103,AmountsB!$B$4:$B$103)*0.1*$A$2</f>
        <v>0</v>
      </c>
      <c r="C297" s="68">
        <f t="shared" si="31"/>
        <v>1538495.7946267016</v>
      </c>
      <c r="D297" s="67">
        <f t="array" ref="D297">SUM($B$7:$B292*$F$1009*EXP(-$F$1009*($A297-$A$7:$A292)))*$F$1010</f>
        <v>191451603.00599006</v>
      </c>
      <c r="E297" s="67">
        <f t="shared" si="29"/>
        <v>364.98557977175062</v>
      </c>
      <c r="F297" s="70">
        <f t="shared" si="33"/>
        <v>22.161924403740695</v>
      </c>
      <c r="G297" s="67">
        <f>E297/'Lookup Tables'!$C$48</f>
        <v>729.97115954350124</v>
      </c>
      <c r="H297" s="70">
        <f t="shared" si="30"/>
        <v>0.12469089704244464</v>
      </c>
      <c r="I297" s="71">
        <f t="shared" si="34"/>
        <v>1.0511584697426417</v>
      </c>
      <c r="L297" s="74"/>
      <c r="M297" s="74"/>
      <c r="N297" s="74"/>
      <c r="O297" s="74"/>
      <c r="P297" s="74"/>
      <c r="Q297" s="74"/>
      <c r="R297" s="74"/>
      <c r="S297" s="74"/>
      <c r="T297" s="74"/>
      <c r="U297" s="74"/>
      <c r="V297" s="74"/>
      <c r="W297" s="74"/>
      <c r="X297" s="74"/>
      <c r="Y297" s="74"/>
      <c r="Z297" s="74"/>
    </row>
    <row r="298" spans="1:26" x14ac:dyDescent="0.3">
      <c r="A298" s="66">
        <f t="shared" si="32"/>
        <v>2019.0999999999735</v>
      </c>
      <c r="B298" s="67">
        <f>LOOKUP(A298+0.01,AmountsB!$A$4:$A$103,AmountsB!$B$4:$B$103)*0.1*$A$2</f>
        <v>0</v>
      </c>
      <c r="C298" s="68">
        <f t="shared" si="31"/>
        <v>1538495.7946267016</v>
      </c>
      <c r="D298" s="67">
        <f t="array" ref="D298">SUM($B$7:$B293*$F$1009*EXP(-$F$1009*($A298-$A$7:$A293)))*$F$1010</f>
        <v>190916288.30789</v>
      </c>
      <c r="E298" s="67">
        <f t="shared" si="29"/>
        <v>363.965049557437</v>
      </c>
      <c r="F298" s="70">
        <f t="shared" si="33"/>
        <v>22.099957809127574</v>
      </c>
      <c r="G298" s="67">
        <f>E298/'Lookup Tables'!$C$48</f>
        <v>727.930099114874</v>
      </c>
      <c r="H298" s="70">
        <f t="shared" si="30"/>
        <v>0.12434225086315927</v>
      </c>
      <c r="I298" s="71">
        <f t="shared" si="34"/>
        <v>1.0482193427254185</v>
      </c>
      <c r="L298" s="74"/>
      <c r="M298" s="74"/>
      <c r="N298" s="74"/>
      <c r="O298" s="74"/>
      <c r="P298" s="74"/>
      <c r="Q298" s="74"/>
      <c r="R298" s="74"/>
      <c r="S298" s="74"/>
      <c r="T298" s="74"/>
      <c r="U298" s="74"/>
      <c r="V298" s="74"/>
      <c r="W298" s="74"/>
      <c r="X298" s="74"/>
      <c r="Y298" s="74"/>
      <c r="Z298" s="74"/>
    </row>
    <row r="299" spans="1:26" x14ac:dyDescent="0.3">
      <c r="A299" s="66">
        <f t="shared" si="32"/>
        <v>2019.1999999999734</v>
      </c>
      <c r="B299" s="67">
        <f>LOOKUP(A299+0.01,AmountsB!$A$4:$A$103,AmountsB!$B$4:$B$103)*0.1*$A$2</f>
        <v>0</v>
      </c>
      <c r="C299" s="68">
        <f t="shared" si="31"/>
        <v>1538495.7946267016</v>
      </c>
      <c r="D299" s="67">
        <f t="array" ref="D299">SUM($B$7:$B294*$F$1009*EXP(-$F$1009*($A299-$A$7:$A294)))*$F$1010</f>
        <v>190382470.39446819</v>
      </c>
      <c r="E299" s="67">
        <f t="shared" si="29"/>
        <v>362.94737283097618</v>
      </c>
      <c r="F299" s="70">
        <f t="shared" si="33"/>
        <v>22.038164478296874</v>
      </c>
      <c r="G299" s="67">
        <f>E299/'Lookup Tables'!$C$48</f>
        <v>725.89474566195236</v>
      </c>
      <c r="H299" s="70">
        <f t="shared" si="30"/>
        <v>0.12399457952775755</v>
      </c>
      <c r="I299" s="71">
        <f t="shared" si="34"/>
        <v>1.0452884337532116</v>
      </c>
      <c r="L299" s="74"/>
      <c r="M299" s="74"/>
      <c r="N299" s="74"/>
      <c r="O299" s="74"/>
      <c r="P299" s="74"/>
      <c r="Q299" s="74"/>
      <c r="R299" s="74"/>
      <c r="S299" s="74"/>
      <c r="T299" s="74"/>
      <c r="U299" s="74"/>
      <c r="V299" s="74"/>
      <c r="W299" s="74"/>
      <c r="X299" s="74"/>
      <c r="Y299" s="74"/>
      <c r="Z299" s="74"/>
    </row>
    <row r="300" spans="1:26" x14ac:dyDescent="0.3">
      <c r="A300" s="66">
        <f t="shared" si="32"/>
        <v>2019.2999999999734</v>
      </c>
      <c r="B300" s="67">
        <f>LOOKUP(A300+0.01,AmountsB!$A$4:$A$103,AmountsB!$B$4:$B$103)*0.1*$A$2</f>
        <v>0</v>
      </c>
      <c r="C300" s="68">
        <f t="shared" si="31"/>
        <v>1538495.7946267016</v>
      </c>
      <c r="D300" s="67">
        <f t="array" ref="D300">SUM($B$7:$B295*$F$1009*EXP(-$F$1009*($A300-$A$7:$A295)))*$F$1010</f>
        <v>189850145.08058944</v>
      </c>
      <c r="E300" s="67">
        <f t="shared" si="29"/>
        <v>361.93254161377746</v>
      </c>
      <c r="F300" s="70">
        <f t="shared" si="33"/>
        <v>21.976543926788569</v>
      </c>
      <c r="G300" s="67">
        <f>E300/'Lookup Tables'!$C$48</f>
        <v>723.86508322755492</v>
      </c>
      <c r="H300" s="70">
        <f t="shared" si="30"/>
        <v>0.12364788031049445</v>
      </c>
      <c r="I300" s="71">
        <f t="shared" si="34"/>
        <v>1.0423657198476792</v>
      </c>
      <c r="L300" s="74"/>
      <c r="M300" s="74"/>
      <c r="N300" s="74"/>
      <c r="O300" s="74"/>
      <c r="P300" s="74"/>
      <c r="Q300" s="74"/>
      <c r="R300" s="74"/>
      <c r="S300" s="74"/>
      <c r="T300" s="74"/>
      <c r="U300" s="74"/>
      <c r="V300" s="74"/>
      <c r="W300" s="74"/>
      <c r="X300" s="74"/>
      <c r="Y300" s="74"/>
      <c r="Z300" s="74"/>
    </row>
    <row r="301" spans="1:26" x14ac:dyDescent="0.3">
      <c r="A301" s="66">
        <f t="shared" si="32"/>
        <v>2019.3999999999733</v>
      </c>
      <c r="B301" s="67">
        <f>LOOKUP(A301+0.01,AmountsB!$A$4:$A$103,AmountsB!$B$4:$B$103)*0.1*$A$2</f>
        <v>0</v>
      </c>
      <c r="C301" s="68">
        <f t="shared" si="31"/>
        <v>1538495.7946267016</v>
      </c>
      <c r="D301" s="67">
        <f t="array" ref="D301">SUM($B$7:$B296*$F$1009*EXP(-$F$1009*($A301-$A$7:$A296)))*$F$1010</f>
        <v>189319308.19282058</v>
      </c>
      <c r="E301" s="67">
        <f t="shared" si="29"/>
        <v>360.92054794955891</v>
      </c>
      <c r="F301" s="70">
        <f t="shared" si="33"/>
        <v>21.91509567149722</v>
      </c>
      <c r="G301" s="67">
        <f>E301/'Lookup Tables'!$C$48</f>
        <v>721.84109589911782</v>
      </c>
      <c r="H301" s="70">
        <f t="shared" si="30"/>
        <v>0.12330215049324635</v>
      </c>
      <c r="I301" s="71">
        <f t="shared" si="34"/>
        <v>1.0394511780947298</v>
      </c>
      <c r="L301" s="74"/>
      <c r="M301" s="74"/>
      <c r="N301" s="74"/>
      <c r="O301" s="74"/>
      <c r="P301" s="74"/>
      <c r="Q301" s="74"/>
      <c r="R301" s="74"/>
      <c r="S301" s="74"/>
      <c r="T301" s="74"/>
      <c r="U301" s="74"/>
      <c r="V301" s="74"/>
      <c r="W301" s="74"/>
      <c r="X301" s="74"/>
      <c r="Y301" s="74"/>
      <c r="Z301" s="74"/>
    </row>
    <row r="302" spans="1:26" x14ac:dyDescent="0.3">
      <c r="A302" s="66">
        <f t="shared" si="32"/>
        <v>2019.4999999999732</v>
      </c>
      <c r="B302" s="67">
        <f>LOOKUP(A302+0.01,AmountsB!$A$4:$A$103,AmountsB!$B$4:$B$103)*0.1*$A$2</f>
        <v>0</v>
      </c>
      <c r="C302" s="68">
        <f t="shared" si="31"/>
        <v>1538495.7946267016</v>
      </c>
      <c r="D302" s="67">
        <f t="array" ref="D302">SUM($B$7:$B297*$F$1009*EXP(-$F$1009*($A302-$A$7:$A297)))*$F$1010</f>
        <v>188789955.5693976</v>
      </c>
      <c r="E302" s="67">
        <f t="shared" si="29"/>
        <v>359.91138390428483</v>
      </c>
      <c r="F302" s="70">
        <f t="shared" si="33"/>
        <v>21.853819230668176</v>
      </c>
      <c r="G302" s="67">
        <f>E302/'Lookup Tables'!$C$48</f>
        <v>719.82276780856967</v>
      </c>
      <c r="H302" s="70">
        <f t="shared" si="30"/>
        <v>0.12295738736548963</v>
      </c>
      <c r="I302" s="71">
        <f t="shared" si="34"/>
        <v>1.0365447856443404</v>
      </c>
      <c r="L302" s="74"/>
      <c r="M302" s="74"/>
      <c r="N302" s="74"/>
      <c r="O302" s="74"/>
      <c r="P302" s="74"/>
      <c r="Q302" s="74"/>
      <c r="R302" s="74"/>
      <c r="S302" s="74"/>
      <c r="T302" s="74"/>
      <c r="U302" s="74"/>
      <c r="V302" s="74"/>
      <c r="W302" s="74"/>
      <c r="X302" s="74"/>
      <c r="Y302" s="74"/>
      <c r="Z302" s="74"/>
    </row>
    <row r="303" spans="1:26" x14ac:dyDescent="0.3">
      <c r="A303" s="66">
        <f t="shared" si="32"/>
        <v>2019.5999999999731</v>
      </c>
      <c r="B303" s="67">
        <f>LOOKUP(A303+0.01,AmountsB!$A$4:$A$103,AmountsB!$B$4:$B$103)*0.1*$A$2</f>
        <v>0</v>
      </c>
      <c r="C303" s="68">
        <f t="shared" si="31"/>
        <v>1538495.7946267016</v>
      </c>
      <c r="D303" s="67">
        <f t="array" ref="D303">SUM($B$7:$B298*$F$1009*EXP(-$F$1009*($A303-$A$7:$A298)))*$F$1010</f>
        <v>188262083.0601933</v>
      </c>
      <c r="E303" s="67">
        <f t="shared" si="29"/>
        <v>358.90504156610405</v>
      </c>
      <c r="F303" s="70">
        <f t="shared" si="33"/>
        <v>21.792714123893838</v>
      </c>
      <c r="G303" s="67">
        <f>E303/'Lookup Tables'!$C$48</f>
        <v>717.81008313220809</v>
      </c>
      <c r="H303" s="70">
        <f t="shared" si="30"/>
        <v>0.12261358822427963</v>
      </c>
      <c r="I303" s="71">
        <f t="shared" si="34"/>
        <v>1.0336465197103797</v>
      </c>
      <c r="L303" s="74"/>
      <c r="M303" s="74"/>
      <c r="N303" s="74"/>
      <c r="O303" s="74"/>
      <c r="P303" s="74"/>
      <c r="Q303" s="74"/>
      <c r="R303" s="74"/>
      <c r="S303" s="74"/>
      <c r="T303" s="74"/>
      <c r="U303" s="74"/>
      <c r="V303" s="74"/>
      <c r="W303" s="74"/>
      <c r="X303" s="74"/>
      <c r="Y303" s="74"/>
      <c r="Z303" s="74"/>
    </row>
    <row r="304" spans="1:26" x14ac:dyDescent="0.3">
      <c r="A304" s="66">
        <f t="shared" si="32"/>
        <v>2019.699999999973</v>
      </c>
      <c r="B304" s="67">
        <f>LOOKUP(A304+0.01,AmountsB!$A$4:$A$103,AmountsB!$B$4:$B$103)*0.1*$A$2</f>
        <v>0</v>
      </c>
      <c r="C304" s="68">
        <f t="shared" si="31"/>
        <v>1538495.7946267016</v>
      </c>
      <c r="D304" s="67">
        <f t="array" ref="D304">SUM($B$7:$B299*$F$1009*EXP(-$F$1009*($A304-$A$7:$A299)))*$F$1010</f>
        <v>187735686.52668452</v>
      </c>
      <c r="E304" s="67">
        <f t="shared" si="29"/>
        <v>357.90151304528757</v>
      </c>
      <c r="F304" s="70">
        <f t="shared" si="33"/>
        <v>21.731779872109865</v>
      </c>
      <c r="G304" s="67">
        <f>E304/'Lookup Tables'!$C$48</f>
        <v>715.80302609057514</v>
      </c>
      <c r="H304" s="70">
        <f t="shared" si="30"/>
        <v>0.12227075037422941</v>
      </c>
      <c r="I304" s="71">
        <f t="shared" si="34"/>
        <v>1.0307563575704284</v>
      </c>
      <c r="L304" s="74"/>
      <c r="M304" s="74"/>
      <c r="N304" s="74"/>
      <c r="O304" s="74"/>
      <c r="P304" s="74"/>
      <c r="Q304" s="74"/>
      <c r="R304" s="74"/>
      <c r="S304" s="74"/>
      <c r="T304" s="74"/>
      <c r="U304" s="74"/>
      <c r="V304" s="74"/>
      <c r="W304" s="74"/>
      <c r="X304" s="74"/>
      <c r="Y304" s="74"/>
      <c r="Z304" s="74"/>
    </row>
    <row r="305" spans="1:26" x14ac:dyDescent="0.3">
      <c r="A305" s="66">
        <f t="shared" si="32"/>
        <v>2019.7999999999729</v>
      </c>
      <c r="B305" s="67">
        <f>LOOKUP(A305+0.01,AmountsB!$A$4:$A$103,AmountsB!$B$4:$B$103)*0.1*$A$2</f>
        <v>0</v>
      </c>
      <c r="C305" s="68">
        <f t="shared" si="31"/>
        <v>1538495.7946267016</v>
      </c>
      <c r="D305" s="67">
        <f t="array" ref="D305">SUM($B$7:$B300*$F$1009*EXP(-$F$1009*($A305-$A$7:$A300)))*$F$1010</f>
        <v>187210761.84191966</v>
      </c>
      <c r="E305" s="67">
        <f t="shared" si="29"/>
        <v>356.90079047416651</v>
      </c>
      <c r="F305" s="70">
        <f t="shared" si="33"/>
        <v>21.67101599759139</v>
      </c>
      <c r="G305" s="67">
        <f>E305/'Lookup Tables'!$C$48</f>
        <v>713.80158094833303</v>
      </c>
      <c r="H305" s="70">
        <f t="shared" si="30"/>
        <v>0.12192887112748836</v>
      </c>
      <c r="I305" s="71">
        <f t="shared" si="34"/>
        <v>1.0278742765655995</v>
      </c>
      <c r="L305" s="74"/>
      <c r="M305" s="74"/>
      <c r="N305" s="74"/>
      <c r="O305" s="74"/>
      <c r="P305" s="74"/>
      <c r="Q305" s="74"/>
      <c r="R305" s="74"/>
      <c r="S305" s="74"/>
      <c r="T305" s="74"/>
      <c r="U305" s="74"/>
      <c r="V305" s="74"/>
      <c r="W305" s="74"/>
      <c r="X305" s="74"/>
      <c r="Y305" s="74"/>
      <c r="Z305" s="74"/>
    </row>
    <row r="306" spans="1:26" x14ac:dyDescent="0.3">
      <c r="A306" s="66">
        <f t="shared" si="32"/>
        <v>2019.8999999999728</v>
      </c>
      <c r="B306" s="67">
        <f>LOOKUP(A306+0.01,AmountsB!$A$4:$A$103,AmountsB!$B$4:$B$103)*0.1*$A$2</f>
        <v>0</v>
      </c>
      <c r="C306" s="68">
        <f t="shared" si="31"/>
        <v>1538495.7946267016</v>
      </c>
      <c r="D306" s="67">
        <f t="array" ref="D306">SUM($B$7:$B301*$F$1009*EXP(-$F$1009*($A306-$A$7:$A301)))*$F$1010</f>
        <v>186687304.89048663</v>
      </c>
      <c r="E306" s="67">
        <f t="shared" si="29"/>
        <v>355.902866007071</v>
      </c>
      <c r="F306" s="70">
        <f t="shared" si="33"/>
        <v>21.610422023949351</v>
      </c>
      <c r="G306" s="67">
        <f>E306/'Lookup Tables'!$C$48</f>
        <v>711.805732014142</v>
      </c>
      <c r="H306" s="70">
        <f t="shared" si="30"/>
        <v>0.12158794780372156</v>
      </c>
      <c r="I306" s="71">
        <f t="shared" si="34"/>
        <v>1.0250002541003644</v>
      </c>
      <c r="L306" s="74"/>
      <c r="M306" s="74"/>
      <c r="N306" s="74"/>
      <c r="O306" s="74"/>
      <c r="P306" s="74"/>
      <c r="Q306" s="74"/>
      <c r="R306" s="74"/>
      <c r="S306" s="74"/>
      <c r="T306" s="74"/>
      <c r="U306" s="74"/>
      <c r="V306" s="74"/>
      <c r="W306" s="74"/>
      <c r="X306" s="74"/>
      <c r="Y306" s="74"/>
      <c r="Z306" s="74"/>
    </row>
    <row r="307" spans="1:26" x14ac:dyDescent="0.3">
      <c r="A307" s="66">
        <f t="shared" si="32"/>
        <v>2019.9999999999727</v>
      </c>
      <c r="B307" s="67">
        <f>LOOKUP(A307+0.01,AmountsB!$A$4:$A$103,AmountsB!$B$4:$B$103)*0.1*$A$2</f>
        <v>0</v>
      </c>
      <c r="C307" s="68">
        <f t="shared" si="31"/>
        <v>1538495.7946267016</v>
      </c>
      <c r="D307" s="67">
        <f t="array" ref="D307">SUM($B$7:$B302*$F$1009*EXP(-$F$1009*($A307-$A$7:$A302)))*$F$1010</f>
        <v>186165311.56848016</v>
      </c>
      <c r="E307" s="67">
        <f t="shared" si="29"/>
        <v>354.90773182026794</v>
      </c>
      <c r="F307" s="70">
        <f t="shared" si="33"/>
        <v>21.549997476126666</v>
      </c>
      <c r="G307" s="67">
        <f>E307/'Lookup Tables'!$C$48</f>
        <v>709.81546364053588</v>
      </c>
      <c r="H307" s="70">
        <f t="shared" si="30"/>
        <v>0.1212479777300883</v>
      </c>
      <c r="I307" s="71">
        <f t="shared" si="34"/>
        <v>1.0221342676423717</v>
      </c>
      <c r="L307" s="74"/>
      <c r="M307" s="74"/>
      <c r="N307" s="74"/>
      <c r="O307" s="74"/>
      <c r="P307" s="74"/>
      <c r="Q307" s="74"/>
      <c r="R307" s="74"/>
      <c r="S307" s="74"/>
      <c r="T307" s="74"/>
      <c r="U307" s="74"/>
      <c r="V307" s="74"/>
      <c r="W307" s="74"/>
      <c r="X307" s="74"/>
      <c r="Y307" s="74"/>
      <c r="Z307" s="74"/>
    </row>
    <row r="308" spans="1:26" x14ac:dyDescent="0.3">
      <c r="A308" s="66">
        <f t="shared" si="32"/>
        <v>2020.0999999999726</v>
      </c>
      <c r="B308" s="67">
        <f>LOOKUP(A308+0.01,AmountsB!$A$4:$A$103,AmountsB!$B$4:$B$103)*0.1*$A$2</f>
        <v>0</v>
      </c>
      <c r="C308" s="68">
        <f t="shared" si="31"/>
        <v>1538495.7946267016</v>
      </c>
      <c r="D308" s="67">
        <f t="array" ref="D308">SUM($B$7:$B303*$F$1009*EXP(-$F$1009*($A308-$A$7:$A303)))*$F$1010</f>
        <v>185644777.78346995</v>
      </c>
      <c r="E308" s="67">
        <f t="shared" si="29"/>
        <v>353.91538011190022</v>
      </c>
      <c r="F308" s="70">
        <f t="shared" si="33"/>
        <v>21.489741880394583</v>
      </c>
      <c r="G308" s="67">
        <f>E308/'Lookup Tables'!$C$48</f>
        <v>707.83076022380044</v>
      </c>
      <c r="H308" s="70">
        <f t="shared" si="30"/>
        <v>0.1209089582412215</v>
      </c>
      <c r="I308" s="71">
        <f t="shared" si="34"/>
        <v>1.0192762947222727</v>
      </c>
      <c r="L308" s="74"/>
      <c r="M308" s="74"/>
      <c r="N308" s="74"/>
      <c r="O308" s="74"/>
      <c r="P308" s="74"/>
      <c r="Q308" s="74"/>
      <c r="R308" s="74"/>
      <c r="S308" s="74"/>
      <c r="T308" s="74"/>
      <c r="U308" s="74"/>
      <c r="V308" s="74"/>
      <c r="W308" s="74"/>
      <c r="X308" s="74"/>
      <c r="Y308" s="74"/>
      <c r="Z308" s="74"/>
    </row>
    <row r="309" spans="1:26" x14ac:dyDescent="0.3">
      <c r="A309" s="66">
        <f t="shared" si="32"/>
        <v>2020.1999999999725</v>
      </c>
      <c r="B309" s="67">
        <f>LOOKUP(A309+0.01,AmountsB!$A$4:$A$103,AmountsB!$B$4:$B$103)*0.1*$A$2</f>
        <v>0</v>
      </c>
      <c r="C309" s="68">
        <f t="shared" si="31"/>
        <v>1538495.7946267016</v>
      </c>
      <c r="D309" s="67">
        <f t="array" ref="D309">SUM($B$7:$B304*$F$1009*EXP(-$F$1009*($A309-$A$7:$A304)))*$F$1010</f>
        <v>185125699.45446837</v>
      </c>
      <c r="E309" s="67">
        <f t="shared" si="29"/>
        <v>352.92580310192517</v>
      </c>
      <c r="F309" s="70">
        <f t="shared" si="33"/>
        <v>21.429654764348893</v>
      </c>
      <c r="G309" s="67">
        <f>E309/'Lookup Tables'!$C$48</f>
        <v>705.85160620385034</v>
      </c>
      <c r="H309" s="70">
        <f t="shared" si="30"/>
        <v>0.12057088667920654</v>
      </c>
      <c r="I309" s="71">
        <f t="shared" si="34"/>
        <v>1.0164263129335445</v>
      </c>
      <c r="L309" s="74"/>
      <c r="M309" s="74"/>
      <c r="N309" s="74"/>
      <c r="O309" s="74"/>
      <c r="P309" s="74"/>
      <c r="Q309" s="74"/>
      <c r="R309" s="74"/>
      <c r="S309" s="74"/>
      <c r="T309" s="74"/>
      <c r="U309" s="74"/>
      <c r="V309" s="74"/>
      <c r="W309" s="74"/>
      <c r="X309" s="74"/>
      <c r="Y309" s="74"/>
      <c r="Z309" s="74"/>
    </row>
    <row r="310" spans="1:26" x14ac:dyDescent="0.3">
      <c r="A310" s="66">
        <f t="shared" si="32"/>
        <v>2020.2999999999724</v>
      </c>
      <c r="B310" s="67">
        <f>LOOKUP(A310+0.01,AmountsB!$A$4:$A$103,AmountsB!$B$4:$B$103)*0.1*$A$2</f>
        <v>0</v>
      </c>
      <c r="C310" s="68">
        <f t="shared" si="31"/>
        <v>1538495.7946267016</v>
      </c>
      <c r="D310" s="67">
        <f t="array" ref="D310">SUM($B$7:$B305*$F$1009*EXP(-$F$1009*($A310-$A$7:$A305)))*$F$1010</f>
        <v>184608072.51189885</v>
      </c>
      <c r="E310" s="67">
        <f t="shared" si="29"/>
        <v>351.93899303205438</v>
      </c>
      <c r="F310" s="70">
        <f t="shared" si="33"/>
        <v>21.369735656906343</v>
      </c>
      <c r="G310" s="67">
        <f>E310/'Lookup Tables'!$C$48</f>
        <v>703.87798606410877</v>
      </c>
      <c r="H310" s="70">
        <f t="shared" si="30"/>
        <v>0.12023376039356082</v>
      </c>
      <c r="I310" s="71">
        <f t="shared" si="34"/>
        <v>1.0135842999323166</v>
      </c>
      <c r="L310" s="74"/>
      <c r="M310" s="74"/>
      <c r="N310" s="74"/>
      <c r="O310" s="74"/>
      <c r="P310" s="74"/>
      <c r="Q310" s="74"/>
      <c r="R310" s="74"/>
      <c r="S310" s="74"/>
      <c r="T310" s="74"/>
      <c r="U310" s="74"/>
      <c r="V310" s="74"/>
      <c r="W310" s="74"/>
      <c r="X310" s="74"/>
      <c r="Y310" s="74"/>
      <c r="Z310" s="74"/>
    </row>
    <row r="311" spans="1:26" x14ac:dyDescent="0.3">
      <c r="A311" s="66">
        <f t="shared" si="32"/>
        <v>2020.3999999999724</v>
      </c>
      <c r="B311" s="67">
        <f>LOOKUP(A311+0.01,AmountsB!$A$4:$A$103,AmountsB!$B$4:$B$103)*0.1*$A$2</f>
        <v>0</v>
      </c>
      <c r="C311" s="68">
        <f t="shared" si="31"/>
        <v>1538495.7946267016</v>
      </c>
      <c r="D311" s="67">
        <f t="array" ref="D311">SUM($B$7:$B306*$F$1009*EXP(-$F$1009*($A311-$A$7:$A306)))*$F$1010</f>
        <v>184091892.89756337</v>
      </c>
      <c r="E311" s="67">
        <f t="shared" si="29"/>
        <v>350.95494216569153</v>
      </c>
      <c r="F311" s="70">
        <f t="shared" si="33"/>
        <v>21.309984088300791</v>
      </c>
      <c r="G311" s="67">
        <f>E311/'Lookup Tables'!$C$48</f>
        <v>701.90988433138307</v>
      </c>
      <c r="H311" s="70">
        <f t="shared" si="30"/>
        <v>0.11989757674121237</v>
      </c>
      <c r="I311" s="71">
        <f t="shared" si="34"/>
        <v>1.0107502334371916</v>
      </c>
      <c r="L311" s="74"/>
      <c r="M311" s="74"/>
      <c r="N311" s="74"/>
      <c r="O311" s="74"/>
      <c r="P311" s="74"/>
      <c r="Q311" s="74"/>
      <c r="R311" s="74"/>
      <c r="S311" s="74"/>
      <c r="T311" s="74"/>
      <c r="U311" s="74"/>
      <c r="V311" s="74"/>
      <c r="W311" s="74"/>
      <c r="X311" s="74"/>
      <c r="Y311" s="74"/>
      <c r="Z311" s="74"/>
    </row>
    <row r="312" spans="1:26" x14ac:dyDescent="0.3">
      <c r="A312" s="66">
        <f t="shared" si="32"/>
        <v>2020.4999999999723</v>
      </c>
      <c r="B312" s="67">
        <f>LOOKUP(A312+0.01,AmountsB!$A$4:$A$103,AmountsB!$B$4:$B$103)*0.1*$A$2</f>
        <v>0</v>
      </c>
      <c r="C312" s="68">
        <f t="shared" si="31"/>
        <v>1538495.7946267016</v>
      </c>
      <c r="D312" s="67">
        <f t="array" ref="D312">SUM($B$7:$B307*$F$1009*EXP(-$F$1009*($A312-$A$7:$A307)))*$F$1010</f>
        <v>183577156.5646112</v>
      </c>
      <c r="E312" s="67">
        <f t="shared" si="29"/>
        <v>349.97364278787302</v>
      </c>
      <c r="F312" s="70">
        <f t="shared" si="33"/>
        <v>21.250399590079645</v>
      </c>
      <c r="G312" s="67">
        <f>E312/'Lookup Tables'!$C$48</f>
        <v>699.94728557574604</v>
      </c>
      <c r="H312" s="70">
        <f t="shared" si="30"/>
        <v>0.11956233308647975</v>
      </c>
      <c r="I312" s="71">
        <f t="shared" si="34"/>
        <v>1.0079240912290741</v>
      </c>
      <c r="L312" s="74"/>
      <c r="M312" s="74"/>
      <c r="N312" s="74"/>
      <c r="O312" s="74"/>
      <c r="P312" s="74"/>
      <c r="Q312" s="74"/>
      <c r="R312" s="74"/>
      <c r="S312" s="74"/>
      <c r="T312" s="74"/>
      <c r="U312" s="74"/>
      <c r="V312" s="74"/>
      <c r="W312" s="74"/>
      <c r="X312" s="74"/>
      <c r="Y312" s="74"/>
      <c r="Z312" s="74"/>
    </row>
    <row r="313" spans="1:26" x14ac:dyDescent="0.3">
      <c r="A313" s="66">
        <f t="shared" si="32"/>
        <v>2020.5999999999722</v>
      </c>
      <c r="B313" s="67">
        <f>LOOKUP(A313+0.01,AmountsB!$A$4:$A$103,AmountsB!$B$4:$B$103)*0.1*$A$2</f>
        <v>0</v>
      </c>
      <c r="C313" s="68">
        <f t="shared" si="31"/>
        <v>1538495.7946267016</v>
      </c>
      <c r="D313" s="67">
        <f t="array" ref="D313">SUM($B$7:$B308*$F$1009*EXP(-$F$1009*($A313-$A$7:$A308)))*$F$1010</f>
        <v>183063859.47750673</v>
      </c>
      <c r="E313" s="67">
        <f t="shared" si="29"/>
        <v>348.99508720520652</v>
      </c>
      <c r="F313" s="70">
        <f t="shared" si="33"/>
        <v>21.190981695100138</v>
      </c>
      <c r="G313" s="67">
        <f>E313/'Lookup Tables'!$C$48</f>
        <v>697.99017441041303</v>
      </c>
      <c r="H313" s="70">
        <f t="shared" si="30"/>
        <v>0.11922802680105092</v>
      </c>
      <c r="I313" s="71">
        <f t="shared" si="34"/>
        <v>1.0051058511509947</v>
      </c>
      <c r="L313" s="74"/>
      <c r="M313" s="74"/>
      <c r="N313" s="74"/>
      <c r="O313" s="74"/>
      <c r="P313" s="74"/>
      <c r="Q313" s="74"/>
      <c r="R313" s="74"/>
      <c r="S313" s="74"/>
      <c r="T313" s="74"/>
      <c r="U313" s="74"/>
      <c r="V313" s="74"/>
      <c r="W313" s="74"/>
      <c r="X313" s="74"/>
      <c r="Y313" s="74"/>
      <c r="Z313" s="74"/>
    </row>
    <row r="314" spans="1:26" x14ac:dyDescent="0.3">
      <c r="A314" s="66">
        <f t="shared" si="32"/>
        <v>2020.6999999999721</v>
      </c>
      <c r="B314" s="67">
        <f>LOOKUP(A314+0.01,AmountsB!$A$4:$A$103,AmountsB!$B$4:$B$103)*0.1*$A$2</f>
        <v>0</v>
      </c>
      <c r="C314" s="68">
        <f t="shared" si="31"/>
        <v>1538495.7946267016</v>
      </c>
      <c r="D314" s="67">
        <f t="array" ref="D314">SUM($B$7:$B309*$F$1009*EXP(-$F$1009*($A314-$A$7:$A309)))*$F$1010</f>
        <v>182551997.61199826</v>
      </c>
      <c r="E314" s="67">
        <f t="shared" si="29"/>
        <v>348.01926774581119</v>
      </c>
      <c r="F314" s="70">
        <f t="shared" si="33"/>
        <v>21.131729937525655</v>
      </c>
      <c r="G314" s="67">
        <f>E314/'Lookup Tables'!$C$48</f>
        <v>696.03853549162238</v>
      </c>
      <c r="H314" s="70">
        <f t="shared" si="30"/>
        <v>0.11889465526396291</v>
      </c>
      <c r="I314" s="71">
        <f t="shared" si="34"/>
        <v>1.0022954911079363</v>
      </c>
      <c r="L314" s="74"/>
      <c r="M314" s="74"/>
      <c r="N314" s="74"/>
      <c r="O314" s="74"/>
      <c r="P314" s="74"/>
      <c r="Q314" s="74"/>
      <c r="R314" s="74"/>
      <c r="S314" s="74"/>
      <c r="T314" s="74"/>
      <c r="U314" s="74"/>
      <c r="V314" s="74"/>
      <c r="W314" s="74"/>
      <c r="X314" s="74"/>
      <c r="Y314" s="74"/>
      <c r="Z314" s="74"/>
    </row>
    <row r="315" spans="1:26" x14ac:dyDescent="0.3">
      <c r="A315" s="66">
        <f t="shared" si="32"/>
        <v>2020.799999999972</v>
      </c>
      <c r="B315" s="67">
        <f>LOOKUP(A315+0.01,AmountsB!$A$4:$A$103,AmountsB!$B$4:$B$103)*0.1*$A$2</f>
        <v>0</v>
      </c>
      <c r="C315" s="68">
        <f t="shared" si="31"/>
        <v>1538495.7946267016</v>
      </c>
      <c r="D315" s="67">
        <f t="array" ref="D315">SUM($B$7:$B310*$F$1009*EXP(-$F$1009*($A315-$A$7:$A310)))*$F$1010</f>
        <v>182041566.95508614</v>
      </c>
      <c r="E315" s="67">
        <f t="shared" si="29"/>
        <v>347.04617675925778</v>
      </c>
      <c r="F315" s="70">
        <f t="shared" si="33"/>
        <v>21.072643852822132</v>
      </c>
      <c r="G315" s="67">
        <f>E315/'Lookup Tables'!$C$48</f>
        <v>694.09235351851555</v>
      </c>
      <c r="H315" s="70">
        <f t="shared" si="30"/>
        <v>0.11856221586158119</v>
      </c>
      <c r="I315" s="71">
        <f t="shared" si="34"/>
        <v>0.9994929890666624</v>
      </c>
      <c r="L315" s="74"/>
      <c r="M315" s="74"/>
      <c r="N315" s="74"/>
      <c r="O315" s="74"/>
      <c r="P315" s="74"/>
      <c r="Q315" s="74"/>
      <c r="R315" s="74"/>
      <c r="S315" s="74"/>
      <c r="T315" s="74"/>
      <c r="U315" s="74"/>
      <c r="V315" s="74"/>
      <c r="W315" s="74"/>
      <c r="X315" s="74"/>
      <c r="Y315" s="74"/>
      <c r="Z315" s="74"/>
    </row>
    <row r="316" spans="1:26" x14ac:dyDescent="0.3">
      <c r="A316" s="66">
        <f t="shared" si="32"/>
        <v>2020.8999999999719</v>
      </c>
      <c r="B316" s="67">
        <f>LOOKUP(A316+0.01,AmountsB!$A$4:$A$103,AmountsB!$B$4:$B$103)*0.1*$A$2</f>
        <v>0</v>
      </c>
      <c r="C316" s="68">
        <f t="shared" si="31"/>
        <v>1538495.7946267016</v>
      </c>
      <c r="D316" s="67">
        <f t="array" ref="D316">SUM($B$7:$B311*$F$1009*EXP(-$F$1009*($A316-$A$7:$A311)))*$F$1010</f>
        <v>181532563.50499138</v>
      </c>
      <c r="E316" s="67">
        <f t="shared" si="29"/>
        <v>346.07580661650763</v>
      </c>
      <c r="F316" s="70">
        <f t="shared" si="33"/>
        <v>21.013722977754348</v>
      </c>
      <c r="G316" s="67">
        <f>E316/'Lookup Tables'!$C$48</f>
        <v>692.15161323301527</v>
      </c>
      <c r="H316" s="70">
        <f t="shared" si="30"/>
        <v>0.11823070598757909</v>
      </c>
      <c r="I316" s="71">
        <f t="shared" si="34"/>
        <v>0.99669832305554207</v>
      </c>
      <c r="L316" s="74"/>
      <c r="M316" s="74"/>
      <c r="N316" s="74"/>
      <c r="O316" s="74"/>
      <c r="P316" s="74"/>
      <c r="Q316" s="74"/>
      <c r="R316" s="74"/>
      <c r="S316" s="74"/>
      <c r="T316" s="74"/>
      <c r="U316" s="74"/>
      <c r="V316" s="74"/>
      <c r="W316" s="74"/>
      <c r="X316" s="74"/>
      <c r="Y316" s="74"/>
      <c r="Z316" s="74"/>
    </row>
    <row r="317" spans="1:26" x14ac:dyDescent="0.3">
      <c r="A317" s="66">
        <f t="shared" si="32"/>
        <v>2020.9999999999718</v>
      </c>
      <c r="B317" s="67">
        <f>LOOKUP(A317+0.01,AmountsB!$A$4:$A$103,AmountsB!$B$4:$B$103)*0.1*$A$2</f>
        <v>0</v>
      </c>
      <c r="C317" s="68">
        <f t="shared" si="31"/>
        <v>1538495.7946267016</v>
      </c>
      <c r="D317" s="67">
        <f t="array" ref="D317">SUM($B$7:$B312*$F$1009*EXP(-$F$1009*($A317-$A$7:$A312)))*$F$1010</f>
        <v>181024983.2711243</v>
      </c>
      <c r="E317" s="67">
        <f t="shared" si="29"/>
        <v>345.10814970985399</v>
      </c>
      <c r="F317" s="70">
        <f t="shared" si="33"/>
        <v>20.954966850382334</v>
      </c>
      <c r="G317" s="67">
        <f>E317/'Lookup Tables'!$C$48</f>
        <v>690.21629941970798</v>
      </c>
      <c r="H317" s="70">
        <f t="shared" si="30"/>
        <v>0.11790012304291751</v>
      </c>
      <c r="I317" s="71">
        <f t="shared" si="34"/>
        <v>0.9939114711643795</v>
      </c>
      <c r="L317" s="74"/>
      <c r="M317" s="74"/>
      <c r="N317" s="74"/>
      <c r="O317" s="74"/>
      <c r="P317" s="74"/>
      <c r="Q317" s="74"/>
      <c r="R317" s="74"/>
      <c r="S317" s="74"/>
      <c r="T317" s="74"/>
      <c r="U317" s="74"/>
      <c r="V317" s="74"/>
      <c r="W317" s="74"/>
      <c r="X317" s="74"/>
      <c r="Y317" s="74"/>
      <c r="Z317" s="74"/>
    </row>
    <row r="318" spans="1:26" x14ac:dyDescent="0.3">
      <c r="A318" s="66">
        <f t="shared" si="32"/>
        <v>2021.0999999999717</v>
      </c>
      <c r="B318" s="67">
        <f>LOOKUP(A318+0.01,AmountsB!$A$4:$A$103,AmountsB!$B$4:$B$103)*0.1*$A$2</f>
        <v>0</v>
      </c>
      <c r="C318" s="68">
        <f t="shared" si="31"/>
        <v>1538495.7946267016</v>
      </c>
      <c r="D318" s="67">
        <f t="array" ref="D318">SUM($B$7:$B313*$F$1009*EXP(-$F$1009*($A318-$A$7:$A313)))*$F$1010</f>
        <v>180518822.27405331</v>
      </c>
      <c r="E318" s="67">
        <f t="shared" si="29"/>
        <v>344.14319845286184</v>
      </c>
      <c r="F318" s="70">
        <f t="shared" si="33"/>
        <v>20.896375010057771</v>
      </c>
      <c r="G318" s="67">
        <f>E318/'Lookup Tables'!$C$48</f>
        <v>688.28639690572368</v>
      </c>
      <c r="H318" s="70">
        <f t="shared" si="30"/>
        <v>0.11757046443582451</v>
      </c>
      <c r="I318" s="71">
        <f t="shared" si="34"/>
        <v>0.99113241154424214</v>
      </c>
      <c r="L318" s="74"/>
      <c r="M318" s="74"/>
      <c r="N318" s="74"/>
      <c r="O318" s="74"/>
      <c r="P318" s="74"/>
      <c r="Q318" s="74"/>
      <c r="R318" s="74"/>
      <c r="S318" s="74"/>
      <c r="T318" s="74"/>
      <c r="U318" s="74"/>
      <c r="V318" s="74"/>
      <c r="W318" s="74"/>
      <c r="X318" s="74"/>
      <c r="Y318" s="74"/>
      <c r="Z318" s="74"/>
    </row>
    <row r="319" spans="1:26" x14ac:dyDescent="0.3">
      <c r="A319" s="66">
        <f t="shared" si="32"/>
        <v>2021.1999999999716</v>
      </c>
      <c r="B319" s="67">
        <f>LOOKUP(A319+0.01,AmountsB!$A$4:$A$103,AmountsB!$B$4:$B$103)*0.1*$A$2</f>
        <v>0</v>
      </c>
      <c r="C319" s="68">
        <f t="shared" si="31"/>
        <v>1538495.7946267016</v>
      </c>
      <c r="D319" s="67">
        <f t="array" ref="D319">SUM($B$7:$B314*$F$1009*EXP(-$F$1009*($A319-$A$7:$A314)))*$F$1010</f>
        <v>180014076.54547364</v>
      </c>
      <c r="E319" s="67">
        <f t="shared" si="29"/>
        <v>343.18094528030832</v>
      </c>
      <c r="F319" s="70">
        <f t="shared" si="33"/>
        <v>20.837946997420321</v>
      </c>
      <c r="G319" s="67">
        <f>E319/'Lookup Tables'!$C$48</f>
        <v>686.36189056061664</v>
      </c>
      <c r="H319" s="70">
        <f t="shared" si="30"/>
        <v>0.11724172758177491</v>
      </c>
      <c r="I319" s="71">
        <f t="shared" si="34"/>
        <v>0.98836112240728802</v>
      </c>
      <c r="L319" s="74"/>
      <c r="M319" s="74"/>
      <c r="N319" s="74"/>
      <c r="O319" s="74"/>
      <c r="P319" s="74"/>
      <c r="Q319" s="74"/>
      <c r="R319" s="74"/>
      <c r="S319" s="74"/>
      <c r="T319" s="74"/>
      <c r="U319" s="74"/>
      <c r="V319" s="74"/>
      <c r="W319" s="74"/>
      <c r="X319" s="74"/>
      <c r="Y319" s="74"/>
      <c r="Z319" s="74"/>
    </row>
    <row r="320" spans="1:26" x14ac:dyDescent="0.3">
      <c r="A320" s="66">
        <f t="shared" si="32"/>
        <v>2021.2999999999715</v>
      </c>
      <c r="B320" s="67">
        <f>LOOKUP(A320+0.01,AmountsB!$A$4:$A$103,AmountsB!$B$4:$B$103)*0.1*$A$2</f>
        <v>0</v>
      </c>
      <c r="C320" s="68">
        <f t="shared" si="31"/>
        <v>1538495.7946267016</v>
      </c>
      <c r="D320" s="67">
        <f t="array" ref="D320">SUM($B$7:$B315*$F$1009*EXP(-$F$1009*($A320-$A$7:$A315)))*$F$1010</f>
        <v>179510742.12817606</v>
      </c>
      <c r="E320" s="67">
        <f t="shared" si="29"/>
        <v>342.22138264812349</v>
      </c>
      <c r="F320" s="70">
        <f t="shared" si="33"/>
        <v>20.779682354394055</v>
      </c>
      <c r="G320" s="67">
        <f>E320/'Lookup Tables'!$C$48</f>
        <v>684.44276529624699</v>
      </c>
      <c r="H320" s="70">
        <f t="shared" si="30"/>
        <v>0.11691390990347002</v>
      </c>
      <c r="I320" s="71">
        <f t="shared" si="34"/>
        <v>0.98559758202659564</v>
      </c>
      <c r="L320" s="74"/>
      <c r="M320" s="74"/>
      <c r="N320" s="74"/>
      <c r="O320" s="74"/>
      <c r="P320" s="74"/>
      <c r="Q320" s="74"/>
      <c r="R320" s="74"/>
      <c r="S320" s="74"/>
      <c r="T320" s="74"/>
      <c r="U320" s="74"/>
      <c r="V320" s="74"/>
      <c r="W320" s="74"/>
      <c r="X320" s="74"/>
      <c r="Y320" s="74"/>
      <c r="Z320" s="74"/>
    </row>
    <row r="321" spans="1:26" x14ac:dyDescent="0.3">
      <c r="A321" s="66">
        <f t="shared" si="32"/>
        <v>2021.3999999999714</v>
      </c>
      <c r="B321" s="67">
        <f>LOOKUP(A321+0.01,AmountsB!$A$4:$A$103,AmountsB!$B$4:$B$103)*0.1*$A$2</f>
        <v>0</v>
      </c>
      <c r="C321" s="68">
        <f t="shared" si="31"/>
        <v>1538495.7946267016</v>
      </c>
      <c r="D321" s="67">
        <f t="array" ref="D321">SUM($B$7:$B316*$F$1009*EXP(-$F$1009*($A321-$A$7:$A316)))*$F$1010</f>
        <v>179008815.07601628</v>
      </c>
      <c r="E321" s="67">
        <f t="shared" si="29"/>
        <v>341.26450303333155</v>
      </c>
      <c r="F321" s="70">
        <f t="shared" si="33"/>
        <v>20.721580624183893</v>
      </c>
      <c r="G321" s="67">
        <f>E321/'Lookup Tables'!$C$48</f>
        <v>682.5290060666631</v>
      </c>
      <c r="H321" s="70">
        <f t="shared" si="30"/>
        <v>0.11658700883081764</v>
      </c>
      <c r="I321" s="71">
        <f t="shared" si="34"/>
        <v>0.98284176873599483</v>
      </c>
      <c r="L321" s="74"/>
      <c r="M321" s="74"/>
      <c r="N321" s="74"/>
      <c r="O321" s="74"/>
      <c r="P321" s="74"/>
      <c r="Q321" s="74"/>
      <c r="R321" s="74"/>
      <c r="S321" s="74"/>
      <c r="T321" s="74"/>
      <c r="U321" s="74"/>
      <c r="V321" s="74"/>
      <c r="W321" s="74"/>
      <c r="X321" s="74"/>
      <c r="Y321" s="74"/>
      <c r="Z321" s="74"/>
    </row>
    <row r="322" spans="1:26" x14ac:dyDescent="0.3">
      <c r="A322" s="66">
        <f t="shared" si="32"/>
        <v>2021.4999999999714</v>
      </c>
      <c r="B322" s="67">
        <f>LOOKUP(A322+0.01,AmountsB!$A$4:$A$103,AmountsB!$B$4:$B$103)*0.1*$A$2</f>
        <v>0</v>
      </c>
      <c r="C322" s="68">
        <f t="shared" si="31"/>
        <v>1538495.7946267016</v>
      </c>
      <c r="D322" s="67">
        <f t="array" ref="D322">SUM($B$7:$B317*$F$1009*EXP(-$F$1009*($A322-$A$7:$A317)))*$F$1010</f>
        <v>178508291.45388359</v>
      </c>
      <c r="E322" s="67">
        <f t="shared" si="29"/>
        <v>340.31029893399148</v>
      </c>
      <c r="F322" s="70">
        <f t="shared" si="33"/>
        <v>20.663641351271966</v>
      </c>
      <c r="G322" s="67">
        <f>E322/'Lookup Tables'!$C$48</f>
        <v>680.62059786798295</v>
      </c>
      <c r="H322" s="70">
        <f t="shared" si="30"/>
        <v>0.11626102180091169</v>
      </c>
      <c r="I322" s="71">
        <f t="shared" si="34"/>
        <v>0.98009366092989547</v>
      </c>
      <c r="L322" s="74"/>
      <c r="M322" s="74"/>
      <c r="N322" s="74"/>
      <c r="O322" s="74"/>
      <c r="P322" s="74"/>
      <c r="Q322" s="74"/>
      <c r="R322" s="74"/>
      <c r="S322" s="74"/>
      <c r="T322" s="74"/>
      <c r="U322" s="74"/>
      <c r="V322" s="74"/>
      <c r="W322" s="74"/>
      <c r="X322" s="74"/>
      <c r="Y322" s="74"/>
      <c r="Z322" s="74"/>
    </row>
    <row r="323" spans="1:26" x14ac:dyDescent="0.3">
      <c r="A323" s="66">
        <f t="shared" si="32"/>
        <v>2021.5999999999713</v>
      </c>
      <c r="B323" s="67">
        <f>LOOKUP(A323+0.01,AmountsB!$A$4:$A$103,AmountsB!$B$4:$B$103)*0.1*$A$2</f>
        <v>0</v>
      </c>
      <c r="C323" s="68">
        <f t="shared" si="31"/>
        <v>1538495.7946267016</v>
      </c>
      <c r="D323" s="67">
        <f t="array" ref="D323">SUM($B$7:$B318*$F$1009*EXP(-$F$1009*($A323-$A$7:$A318)))*$F$1010</f>
        <v>178009167.33767024</v>
      </c>
      <c r="E323" s="67">
        <f t="shared" si="29"/>
        <v>339.35876286913805</v>
      </c>
      <c r="F323" s="70">
        <f t="shared" si="33"/>
        <v>20.605864081414058</v>
      </c>
      <c r="G323" s="67">
        <f>E323/'Lookup Tables'!$C$48</f>
        <v>678.71752573827609</v>
      </c>
      <c r="H323" s="70">
        <f t="shared" si="30"/>
        <v>0.11593594625801214</v>
      </c>
      <c r="I323" s="71">
        <f t="shared" si="34"/>
        <v>0.97735323706311761</v>
      </c>
      <c r="L323" s="74"/>
      <c r="M323" s="74"/>
      <c r="N323" s="74"/>
      <c r="O323" s="74"/>
      <c r="P323" s="74"/>
      <c r="Q323" s="74"/>
      <c r="R323" s="74"/>
      <c r="S323" s="74"/>
      <c r="T323" s="74"/>
      <c r="U323" s="74"/>
      <c r="V323" s="74"/>
      <c r="W323" s="74"/>
      <c r="X323" s="74"/>
      <c r="Y323" s="74"/>
      <c r="Z323" s="74"/>
    </row>
    <row r="324" spans="1:26" x14ac:dyDescent="0.3">
      <c r="A324" s="66">
        <f t="shared" si="32"/>
        <v>2021.6999999999712</v>
      </c>
      <c r="B324" s="67">
        <f>LOOKUP(A324+0.01,AmountsB!$A$4:$A$103,AmountsB!$B$4:$B$103)*0.1*$A$2</f>
        <v>0</v>
      </c>
      <c r="C324" s="68">
        <f t="shared" si="31"/>
        <v>1538495.7946267016</v>
      </c>
      <c r="D324" s="67">
        <f t="array" ref="D324">SUM($B$7:$B319*$F$1009*EXP(-$F$1009*($A324-$A$7:$A319)))*$F$1010</f>
        <v>177511438.8142406</v>
      </c>
      <c r="E324" s="67">
        <f t="shared" si="29"/>
        <v>338.40988737872379</v>
      </c>
      <c r="F324" s="70">
        <f t="shared" si="33"/>
        <v>20.548248361636109</v>
      </c>
      <c r="G324" s="67">
        <f>E324/'Lookup Tables'!$C$48</f>
        <v>676.81977475744759</v>
      </c>
      <c r="H324" s="70">
        <f t="shared" si="30"/>
        <v>0.11561177965352511</v>
      </c>
      <c r="I324" s="71">
        <f t="shared" si="34"/>
        <v>0.97462047565072463</v>
      </c>
      <c r="L324" s="74"/>
      <c r="M324" s="74"/>
      <c r="N324" s="74"/>
      <c r="O324" s="74"/>
      <c r="P324" s="74"/>
      <c r="Q324" s="74"/>
      <c r="R324" s="74"/>
      <c r="S324" s="74"/>
      <c r="T324" s="74"/>
      <c r="U324" s="74"/>
      <c r="V324" s="74"/>
      <c r="W324" s="74"/>
      <c r="X324" s="74"/>
      <c r="Y324" s="74"/>
      <c r="Z324" s="74"/>
    </row>
    <row r="325" spans="1:26" x14ac:dyDescent="0.3">
      <c r="A325" s="66">
        <f t="shared" si="32"/>
        <v>2021.7999999999711</v>
      </c>
      <c r="B325" s="67">
        <f>LOOKUP(A325+0.01,AmountsB!$A$4:$A$103,AmountsB!$B$4:$B$103)*0.1*$A$2</f>
        <v>0</v>
      </c>
      <c r="C325" s="68">
        <f t="shared" si="31"/>
        <v>1538495.7946267016</v>
      </c>
      <c r="D325" s="67">
        <f t="array" ref="D325">SUM($B$7:$B320*$F$1009*EXP(-$F$1009*($A325-$A$7:$A320)))*$F$1010</f>
        <v>177015101.98140052</v>
      </c>
      <c r="E325" s="67">
        <f t="shared" si="29"/>
        <v>337.46366502356</v>
      </c>
      <c r="F325" s="70">
        <f t="shared" si="33"/>
        <v>20.490793740230565</v>
      </c>
      <c r="G325" s="67">
        <f>E325/'Lookup Tables'!$C$48</f>
        <v>674.92733004711999</v>
      </c>
      <c r="H325" s="70">
        <f t="shared" si="30"/>
        <v>0.11528851944598273</v>
      </c>
      <c r="I325" s="71">
        <f t="shared" si="34"/>
        <v>0.97189535526785276</v>
      </c>
      <c r="L325" s="74"/>
      <c r="M325" s="74"/>
      <c r="N325" s="74"/>
      <c r="O325" s="74"/>
      <c r="P325" s="74"/>
      <c r="Q325" s="74"/>
      <c r="R325" s="74"/>
      <c r="S325" s="74"/>
      <c r="T325" s="74"/>
      <c r="U325" s="74"/>
      <c r="V325" s="74"/>
      <c r="W325" s="74"/>
      <c r="X325" s="74"/>
      <c r="Y325" s="74"/>
      <c r="Z325" s="74"/>
    </row>
    <row r="326" spans="1:26" x14ac:dyDescent="0.3">
      <c r="A326" s="66">
        <f t="shared" si="32"/>
        <v>2021.899999999971</v>
      </c>
      <c r="B326" s="67">
        <f>LOOKUP(A326+0.01,AmountsB!$A$4:$A$103,AmountsB!$B$4:$B$103)*0.1*$A$2</f>
        <v>0</v>
      </c>
      <c r="C326" s="68">
        <f t="shared" si="31"/>
        <v>1538495.7946267016</v>
      </c>
      <c r="D326" s="67">
        <f t="array" ref="D326">SUM($B$7:$B321*$F$1009*EXP(-$F$1009*($A326-$A$7:$A321)))*$F$1010</f>
        <v>176520152.94786665</v>
      </c>
      <c r="E326" s="67">
        <f t="shared" si="29"/>
        <v>336.52008838525853</v>
      </c>
      <c r="F326" s="70">
        <f t="shared" si="33"/>
        <v>20.433499766752899</v>
      </c>
      <c r="G326" s="67">
        <f>E326/'Lookup Tables'!$C$48</f>
        <v>673.04017677051706</v>
      </c>
      <c r="H326" s="70">
        <f t="shared" si="30"/>
        <v>0.11496616310102335</v>
      </c>
      <c r="I326" s="71">
        <f t="shared" si="34"/>
        <v>0.96917785454954464</v>
      </c>
      <c r="L326" s="74"/>
      <c r="M326" s="74"/>
      <c r="N326" s="74"/>
      <c r="O326" s="74"/>
      <c r="P326" s="74"/>
      <c r="Q326" s="74"/>
      <c r="R326" s="74"/>
      <c r="S326" s="74"/>
      <c r="T326" s="74"/>
      <c r="U326" s="74"/>
      <c r="V326" s="74"/>
      <c r="W326" s="74"/>
      <c r="X326" s="74"/>
      <c r="Y326" s="74"/>
      <c r="Z326" s="74"/>
    </row>
    <row r="327" spans="1:26" x14ac:dyDescent="0.3">
      <c r="A327" s="66">
        <f t="shared" si="32"/>
        <v>2021.9999999999709</v>
      </c>
      <c r="B327" s="67">
        <f>LOOKUP(A327+0.01,AmountsB!$A$4:$A$103,AmountsB!$B$4:$B$103)*0.1*$A$2</f>
        <v>0</v>
      </c>
      <c r="C327" s="68">
        <f t="shared" si="31"/>
        <v>1538495.7946267016</v>
      </c>
      <c r="D327" s="67">
        <f t="array" ref="D327">SUM($B$7:$B322*$F$1009*EXP(-$F$1009*($A327-$A$7:$A322)))*$F$1010</f>
        <v>176026587.83323604</v>
      </c>
      <c r="E327" s="67">
        <f t="shared" ref="E327:E390" si="35">D327/(365*24*60)*1.00201</f>
        <v>335.57915006617367</v>
      </c>
      <c r="F327" s="70">
        <f t="shared" si="33"/>
        <v>20.376365992018066</v>
      </c>
      <c r="G327" s="67">
        <f>E327/'Lookup Tables'!$C$48</f>
        <v>671.15830013234734</v>
      </c>
      <c r="H327" s="70">
        <f t="shared" ref="H327:H390" si="36">G327*60*24*365/(C327*2000)</f>
        <v>0.11464470809137153</v>
      </c>
      <c r="I327" s="71">
        <f t="shared" si="34"/>
        <v>0.96646795219058024</v>
      </c>
      <c r="L327" s="74"/>
      <c r="M327" s="74"/>
      <c r="N327" s="74"/>
      <c r="O327" s="74"/>
      <c r="P327" s="74"/>
      <c r="Q327" s="74"/>
      <c r="R327" s="74"/>
      <c r="S327" s="74"/>
      <c r="T327" s="74"/>
      <c r="U327" s="74"/>
      <c r="V327" s="74"/>
      <c r="W327" s="74"/>
      <c r="X327" s="74"/>
      <c r="Y327" s="74"/>
      <c r="Z327" s="74"/>
    </row>
    <row r="328" spans="1:26" x14ac:dyDescent="0.3">
      <c r="A328" s="66">
        <f t="shared" si="32"/>
        <v>2022.0999999999708</v>
      </c>
      <c r="B328" s="67">
        <f>LOOKUP(A328+0.01,AmountsB!$A$4:$A$103,AmountsB!$B$4:$B$103)*0.1*$A$2</f>
        <v>0</v>
      </c>
      <c r="C328" s="68">
        <f t="shared" si="31"/>
        <v>1538495.7946267016</v>
      </c>
      <c r="D328" s="67">
        <f t="array" ref="D328">SUM($B$7:$B323*$F$1009*EXP(-$F$1009*($A328-$A$7:$A323)))*$F$1010</f>
        <v>175534402.76795566</v>
      </c>
      <c r="E328" s="67">
        <f t="shared" si="35"/>
        <v>334.64084268934414</v>
      </c>
      <c r="F328" s="70">
        <f t="shared" si="33"/>
        <v>20.319391968096976</v>
      </c>
      <c r="G328" s="67">
        <f>E328/'Lookup Tables'!$C$48</f>
        <v>669.28168537868828</v>
      </c>
      <c r="H328" s="70">
        <f t="shared" si="36"/>
        <v>0.11432415189681837</v>
      </c>
      <c r="I328" s="71">
        <f t="shared" si="34"/>
        <v>0.9637656269453112</v>
      </c>
      <c r="L328" s="74"/>
      <c r="M328" s="74"/>
      <c r="N328" s="74"/>
      <c r="O328" s="74"/>
      <c r="P328" s="74"/>
      <c r="Q328" s="74"/>
      <c r="R328" s="74"/>
      <c r="S328" s="74"/>
      <c r="T328" s="74"/>
      <c r="U328" s="74"/>
      <c r="V328" s="74"/>
      <c r="W328" s="74"/>
      <c r="X328" s="74"/>
      <c r="Y328" s="74"/>
      <c r="Z328" s="74"/>
    </row>
    <row r="329" spans="1:26" x14ac:dyDescent="0.3">
      <c r="A329" s="66">
        <f t="shared" si="32"/>
        <v>2022.1999999999707</v>
      </c>
      <c r="B329" s="67">
        <f>LOOKUP(A329+0.01,AmountsB!$A$4:$A$103,AmountsB!$B$4:$B$103)*0.1*$A$2</f>
        <v>0</v>
      </c>
      <c r="C329" s="68">
        <f t="shared" ref="C329:C392" si="37">C328+B329</f>
        <v>1538495.7946267016</v>
      </c>
      <c r="D329" s="67">
        <f t="array" ref="D329">SUM($B$7:$B324*$F$1009*EXP(-$F$1009*($A329-$A$7:$A324)))*$F$1010</f>
        <v>175043593.8932921</v>
      </c>
      <c r="E329" s="67">
        <f t="shared" si="35"/>
        <v>333.70515889843534</v>
      </c>
      <c r="F329" s="70">
        <f t="shared" si="33"/>
        <v>20.262577248312994</v>
      </c>
      <c r="G329" s="67">
        <f>E329/'Lookup Tables'!$C$48</f>
        <v>667.41031779687069</v>
      </c>
      <c r="H329" s="70">
        <f t="shared" si="36"/>
        <v>0.11400449200420161</v>
      </c>
      <c r="I329" s="71">
        <f t="shared" si="34"/>
        <v>0.96107085762749378</v>
      </c>
      <c r="L329" s="74"/>
      <c r="M329" s="74"/>
      <c r="N329" s="74"/>
      <c r="O329" s="74"/>
      <c r="P329" s="74"/>
      <c r="Q329" s="74"/>
      <c r="R329" s="74"/>
      <c r="S329" s="74"/>
      <c r="T329" s="74"/>
      <c r="U329" s="74"/>
      <c r="V329" s="74"/>
      <c r="W329" s="74"/>
      <c r="X329" s="74"/>
      <c r="Y329" s="74"/>
      <c r="Z329" s="74"/>
    </row>
    <row r="330" spans="1:26" x14ac:dyDescent="0.3">
      <c r="A330" s="66">
        <f t="shared" si="32"/>
        <v>2022.2999999999706</v>
      </c>
      <c r="B330" s="67">
        <f>LOOKUP(A330+0.01,AmountsB!$A$4:$A$103,AmountsB!$B$4:$B$103)*0.1*$A$2</f>
        <v>0</v>
      </c>
      <c r="C330" s="68">
        <f t="shared" si="37"/>
        <v>1538495.7946267016</v>
      </c>
      <c r="D330" s="67">
        <f t="array" ref="D330">SUM($B$7:$B325*$F$1009*EXP(-$F$1009*($A330-$A$7:$A325)))*$F$1010</f>
        <v>174554157.36130124</v>
      </c>
      <c r="E330" s="67">
        <f t="shared" si="35"/>
        <v>332.77209135768163</v>
      </c>
      <c r="F330" s="70">
        <f t="shared" si="33"/>
        <v>20.205921387238426</v>
      </c>
      <c r="G330" s="67">
        <f>E330/'Lookup Tables'!$C$48</f>
        <v>665.54418271536326</v>
      </c>
      <c r="H330" s="70">
        <f t="shared" si="36"/>
        <v>0.11368572590738617</v>
      </c>
      <c r="I330" s="71">
        <f t="shared" si="34"/>
        <v>0.95838362311012326</v>
      </c>
      <c r="L330" s="74"/>
      <c r="M330" s="74"/>
      <c r="N330" s="74"/>
      <c r="O330" s="74"/>
      <c r="P330" s="74"/>
      <c r="Q330" s="74"/>
      <c r="R330" s="74"/>
      <c r="S330" s="74"/>
      <c r="T330" s="74"/>
      <c r="U330" s="74"/>
      <c r="V330" s="74"/>
      <c r="W330" s="74"/>
      <c r="X330" s="74"/>
      <c r="Y330" s="74"/>
      <c r="Z330" s="74"/>
    </row>
    <row r="331" spans="1:26" x14ac:dyDescent="0.3">
      <c r="A331" s="66">
        <f t="shared" si="32"/>
        <v>2022.3999999999705</v>
      </c>
      <c r="B331" s="67">
        <f>LOOKUP(A331+0.01,AmountsB!$A$4:$A$103,AmountsB!$B$4:$B$103)*0.1*$A$2</f>
        <v>0</v>
      </c>
      <c r="C331" s="68">
        <f t="shared" si="37"/>
        <v>1538495.7946267016</v>
      </c>
      <c r="D331" s="67">
        <f t="array" ref="D331">SUM($B$7:$B326*$F$1009*EXP(-$F$1009*($A331-$A$7:$A326)))*$F$1010</f>
        <v>174066089.33479822</v>
      </c>
      <c r="E331" s="67">
        <f t="shared" si="35"/>
        <v>331.84163275182868</v>
      </c>
      <c r="F331" s="70">
        <f t="shared" si="33"/>
        <v>20.149423940691037</v>
      </c>
      <c r="G331" s="67">
        <f>E331/'Lookup Tables'!$C$48</f>
        <v>663.68326550365737</v>
      </c>
      <c r="H331" s="70">
        <f t="shared" si="36"/>
        <v>0.11336785110724412</v>
      </c>
      <c r="I331" s="71">
        <f t="shared" si="34"/>
        <v>0.95570390232526647</v>
      </c>
      <c r="L331" s="74"/>
      <c r="M331" s="74"/>
      <c r="N331" s="74"/>
      <c r="O331" s="74"/>
      <c r="P331" s="74"/>
      <c r="Q331" s="74"/>
      <c r="R331" s="74"/>
      <c r="S331" s="74"/>
      <c r="T331" s="74"/>
      <c r="U331" s="74"/>
      <c r="V331" s="74"/>
      <c r="W331" s="74"/>
      <c r="X331" s="74"/>
      <c r="Y331" s="74"/>
      <c r="Z331" s="74"/>
    </row>
    <row r="332" spans="1:26" x14ac:dyDescent="0.3">
      <c r="A332" s="66">
        <f t="shared" si="32"/>
        <v>2022.4999999999704</v>
      </c>
      <c r="B332" s="67">
        <f>LOOKUP(A332+0.01,AmountsB!$A$4:$A$103,AmountsB!$B$4:$B$103)*0.1*$A$2</f>
        <v>0</v>
      </c>
      <c r="C332" s="68">
        <f t="shared" si="37"/>
        <v>1538495.7946267016</v>
      </c>
      <c r="D332" s="67">
        <f t="array" ref="D332">SUM($B$7:$B327*$F$1009*EXP(-$F$1009*($A332-$A$7:$A327)))*$F$1010</f>
        <v>173579385.98732716</v>
      </c>
      <c r="E332" s="67">
        <f t="shared" si="35"/>
        <v>330.91377578607631</v>
      </c>
      <c r="F332" s="70">
        <f t="shared" si="33"/>
        <v>20.093084465730556</v>
      </c>
      <c r="G332" s="67">
        <f>E332/'Lookup Tables'!$C$48</f>
        <v>661.82755157215263</v>
      </c>
      <c r="H332" s="70">
        <f t="shared" si="36"/>
        <v>0.11305086511163549</v>
      </c>
      <c r="I332" s="71">
        <f t="shared" si="34"/>
        <v>0.95303167426389979</v>
      </c>
      <c r="L332" s="74"/>
      <c r="M332" s="74"/>
      <c r="N332" s="74"/>
      <c r="O332" s="74"/>
      <c r="P332" s="74"/>
      <c r="Q332" s="74"/>
      <c r="R332" s="74"/>
      <c r="S332" s="74"/>
      <c r="T332" s="74"/>
      <c r="U332" s="74"/>
      <c r="V332" s="74"/>
      <c r="W332" s="74"/>
      <c r="X332" s="74"/>
      <c r="Y332" s="74"/>
      <c r="Z332" s="74"/>
    </row>
    <row r="333" spans="1:26" x14ac:dyDescent="0.3">
      <c r="A333" s="66">
        <f t="shared" si="32"/>
        <v>2022.5999999999704</v>
      </c>
      <c r="B333" s="67">
        <f>LOOKUP(A333+0.01,AmountsB!$A$4:$A$103,AmountsB!$B$4:$B$103)*0.1*$A$2</f>
        <v>0</v>
      </c>
      <c r="C333" s="68">
        <f t="shared" si="37"/>
        <v>1538495.7946267016</v>
      </c>
      <c r="D333" s="67">
        <f t="array" ref="D333">SUM($B$7:$B328*$F$1009*EXP(-$F$1009*($A333-$A$7:$A328)))*$F$1010</f>
        <v>173094043.50313133</v>
      </c>
      <c r="E333" s="67">
        <f t="shared" si="35"/>
        <v>329.98851318602101</v>
      </c>
      <c r="F333" s="70">
        <f t="shared" si="33"/>
        <v>20.036902520655197</v>
      </c>
      <c r="G333" s="67">
        <f>E333/'Lookup Tables'!$C$48</f>
        <v>659.97702637204202</v>
      </c>
      <c r="H333" s="70">
        <f t="shared" si="36"/>
        <v>0.11273476543538838</v>
      </c>
      <c r="I333" s="71">
        <f t="shared" si="34"/>
        <v>0.95036691797574047</v>
      </c>
      <c r="L333" s="74"/>
      <c r="M333" s="74"/>
      <c r="N333" s="74"/>
      <c r="O333" s="74"/>
      <c r="P333" s="74"/>
      <c r="Q333" s="74"/>
      <c r="R333" s="74"/>
      <c r="S333" s="74"/>
      <c r="T333" s="74"/>
      <c r="U333" s="74"/>
      <c r="V333" s="74"/>
      <c r="W333" s="74"/>
      <c r="X333" s="74"/>
      <c r="Y333" s="74"/>
      <c r="Z333" s="74"/>
    </row>
    <row r="334" spans="1:26" x14ac:dyDescent="0.3">
      <c r="A334" s="66">
        <f t="shared" si="32"/>
        <v>2022.6999999999703</v>
      </c>
      <c r="B334" s="67">
        <f>LOOKUP(A334+0.01,AmountsB!$A$4:$A$103,AmountsB!$B$4:$B$103)*0.1*$A$2</f>
        <v>0</v>
      </c>
      <c r="C334" s="68">
        <f t="shared" si="37"/>
        <v>1538495.7946267016</v>
      </c>
      <c r="D334" s="67">
        <f t="array" ref="D334">SUM($B$7:$B329*$F$1009*EXP(-$F$1009*($A334-$A$7:$A329)))*$F$1010</f>
        <v>172610058.07712322</v>
      </c>
      <c r="E334" s="67">
        <f t="shared" si="35"/>
        <v>329.06583769759942</v>
      </c>
      <c r="F334" s="70">
        <f t="shared" si="33"/>
        <v>19.980877664998232</v>
      </c>
      <c r="G334" s="67">
        <f>E334/'Lookup Tables'!$C$48</f>
        <v>658.13167539519884</v>
      </c>
      <c r="H334" s="70">
        <f t="shared" si="36"/>
        <v>0.11241954960027971</v>
      </c>
      <c r="I334" s="71">
        <f t="shared" si="34"/>
        <v>0.94770961256908626</v>
      </c>
      <c r="L334" s="74"/>
      <c r="M334" s="74"/>
      <c r="N334" s="74"/>
      <c r="O334" s="74"/>
      <c r="P334" s="74"/>
      <c r="Q334" s="74"/>
      <c r="R334" s="74"/>
      <c r="S334" s="74"/>
      <c r="T334" s="74"/>
      <c r="U334" s="74"/>
      <c r="V334" s="74"/>
      <c r="W334" s="74"/>
      <c r="X334" s="74"/>
      <c r="Y334" s="74"/>
      <c r="Z334" s="74"/>
    </row>
    <row r="335" spans="1:26" x14ac:dyDescent="0.3">
      <c r="A335" s="66">
        <f t="shared" si="32"/>
        <v>2022.7999999999702</v>
      </c>
      <c r="B335" s="67">
        <f>LOOKUP(A335+0.01,AmountsB!$A$4:$A$103,AmountsB!$B$4:$B$103)*0.1*$A$2</f>
        <v>0</v>
      </c>
      <c r="C335" s="68">
        <f t="shared" si="37"/>
        <v>1538495.7946267016</v>
      </c>
      <c r="D335" s="67">
        <f t="array" ref="D335">SUM($B$7:$B330*$F$1009*EXP(-$F$1009*($A335-$A$7:$A330)))*$F$1010</f>
        <v>172127425.91485456</v>
      </c>
      <c r="E335" s="67">
        <f t="shared" si="35"/>
        <v>328.14574208703084</v>
      </c>
      <c r="F335" s="70">
        <f t="shared" si="33"/>
        <v>19.925009459524514</v>
      </c>
      <c r="G335" s="67">
        <f>E335/'Lookup Tables'!$C$48</f>
        <v>656.29148417406168</v>
      </c>
      <c r="H335" s="70">
        <f t="shared" si="36"/>
        <v>0.11210521513501577</v>
      </c>
      <c r="I335" s="71">
        <f t="shared" si="34"/>
        <v>0.94505973721064884</v>
      </c>
      <c r="L335" s="74"/>
      <c r="M335" s="74"/>
      <c r="N335" s="74"/>
      <c r="O335" s="74"/>
      <c r="P335" s="74"/>
      <c r="Q335" s="74"/>
      <c r="R335" s="74"/>
      <c r="S335" s="74"/>
      <c r="T335" s="74"/>
      <c r="U335" s="74"/>
      <c r="V335" s="74"/>
      <c r="W335" s="74"/>
      <c r="X335" s="74"/>
      <c r="Y335" s="74"/>
      <c r="Z335" s="74"/>
    </row>
    <row r="336" spans="1:26" x14ac:dyDescent="0.3">
      <c r="A336" s="66">
        <f t="shared" si="32"/>
        <v>2022.8999999999701</v>
      </c>
      <c r="B336" s="67">
        <f>LOOKUP(A336+0.01,AmountsB!$A$4:$A$103,AmountsB!$B$4:$B$103)*0.1*$A$2</f>
        <v>0</v>
      </c>
      <c r="C336" s="68">
        <f t="shared" si="37"/>
        <v>1538495.7946267016</v>
      </c>
      <c r="D336" s="67">
        <f t="array" ref="D336">SUM($B$7:$B331*$F$1009*EXP(-$F$1009*($A336-$A$7:$A331)))*$F$1010</f>
        <v>171646143.23248667</v>
      </c>
      <c r="E336" s="67">
        <f t="shared" si="35"/>
        <v>327.22821914076098</v>
      </c>
      <c r="F336" s="70">
        <f t="shared" si="33"/>
        <v>19.869297466227007</v>
      </c>
      <c r="G336" s="67">
        <f>E336/'Lookup Tables'!$C$48</f>
        <v>654.45643828152197</v>
      </c>
      <c r="H336" s="70">
        <f t="shared" si="36"/>
        <v>0.11179175957521265</v>
      </c>
      <c r="I336" s="71">
        <f t="shared" si="34"/>
        <v>0.94241727112539164</v>
      </c>
      <c r="L336" s="74"/>
      <c r="M336" s="74"/>
      <c r="N336" s="74"/>
      <c r="O336" s="74"/>
      <c r="P336" s="74"/>
      <c r="Q336" s="74"/>
      <c r="R336" s="74"/>
      <c r="S336" s="74"/>
      <c r="T336" s="74"/>
      <c r="U336" s="74"/>
      <c r="V336" s="74"/>
      <c r="W336" s="74"/>
      <c r="X336" s="74"/>
      <c r="Y336" s="74"/>
      <c r="Z336" s="74"/>
    </row>
    <row r="337" spans="1:26" x14ac:dyDescent="0.3">
      <c r="A337" s="66">
        <f t="shared" si="32"/>
        <v>2022.99999999997</v>
      </c>
      <c r="B337" s="67">
        <f>LOOKUP(A337+0.01,AmountsB!$A$4:$A$103,AmountsB!$B$4:$B$103)*0.1*$A$2</f>
        <v>0</v>
      </c>
      <c r="C337" s="68">
        <f t="shared" si="37"/>
        <v>1538495.7946267016</v>
      </c>
      <c r="D337" s="67">
        <f t="array" ref="D337">SUM($B$7:$B332*$F$1009*EXP(-$F$1009*($A337-$A$7:$A332)))*$F$1010</f>
        <v>171166206.25676095</v>
      </c>
      <c r="E337" s="67">
        <f t="shared" si="35"/>
        <v>326.31326166540532</v>
      </c>
      <c r="F337" s="70">
        <f t="shared" si="33"/>
        <v>19.81374124832341</v>
      </c>
      <c r="G337" s="67">
        <f>E337/'Lookup Tables'!$C$48</f>
        <v>652.62652333081064</v>
      </c>
      <c r="H337" s="70">
        <f t="shared" si="36"/>
        <v>0.11147918046337724</v>
      </c>
      <c r="I337" s="71">
        <f t="shared" si="34"/>
        <v>0.93978219359636728</v>
      </c>
      <c r="L337" s="74"/>
      <c r="M337" s="74"/>
      <c r="N337" s="74"/>
      <c r="O337" s="74"/>
      <c r="P337" s="74"/>
      <c r="Q337" s="74"/>
      <c r="R337" s="74"/>
      <c r="S337" s="74"/>
      <c r="T337" s="74"/>
      <c r="U337" s="74"/>
      <c r="V337" s="74"/>
      <c r="W337" s="74"/>
      <c r="X337" s="74"/>
      <c r="Y337" s="74"/>
      <c r="Z337" s="74"/>
    </row>
    <row r="338" spans="1:26" x14ac:dyDescent="0.3">
      <c r="A338" s="66">
        <f t="shared" si="32"/>
        <v>2023.0999999999699</v>
      </c>
      <c r="B338" s="67">
        <f>LOOKUP(A338+0.01,AmountsB!$A$4:$A$103,AmountsB!$B$4:$B$103)*0.1*$A$2</f>
        <v>0</v>
      </c>
      <c r="C338" s="68">
        <f t="shared" si="37"/>
        <v>1538495.7946267016</v>
      </c>
      <c r="D338" s="67">
        <f t="array" ref="D338">SUM($B$7:$B333*$F$1009*EXP(-$F$1009*($A338-$A$7:$A333)))*$F$1010</f>
        <v>170687611.224969</v>
      </c>
      <c r="E338" s="67">
        <f t="shared" si="35"/>
        <v>325.40086248769251</v>
      </c>
      <c r="F338" s="70">
        <f t="shared" si="33"/>
        <v>19.758340370252693</v>
      </c>
      <c r="G338" s="67">
        <f>E338/'Lookup Tables'!$C$48</f>
        <v>650.80172497538501</v>
      </c>
      <c r="H338" s="70">
        <f t="shared" si="36"/>
        <v>0.11116747534888768</v>
      </c>
      <c r="I338" s="71">
        <f t="shared" si="34"/>
        <v>0.93715448396455447</v>
      </c>
      <c r="L338" s="74"/>
      <c r="M338" s="74"/>
      <c r="N338" s="74"/>
      <c r="O338" s="74"/>
      <c r="P338" s="74"/>
      <c r="Q338" s="74"/>
      <c r="R338" s="74"/>
      <c r="S338" s="74"/>
      <c r="T338" s="74"/>
      <c r="U338" s="74"/>
      <c r="V338" s="74"/>
      <c r="W338" s="74"/>
      <c r="X338" s="74"/>
      <c r="Y338" s="74"/>
      <c r="Z338" s="74"/>
    </row>
    <row r="339" spans="1:26" x14ac:dyDescent="0.3">
      <c r="A339" s="66">
        <f t="shared" ref="A339:A402" si="38">A338+0.1</f>
        <v>2023.1999999999698</v>
      </c>
      <c r="B339" s="67">
        <f>LOOKUP(A339+0.01,AmountsB!$A$4:$A$103,AmountsB!$B$4:$B$103)*0.1*$A$2</f>
        <v>0</v>
      </c>
      <c r="C339" s="68">
        <f t="shared" si="37"/>
        <v>1538495.7946267016</v>
      </c>
      <c r="D339" s="67">
        <f t="array" ref="D339">SUM($B$7:$B334*$F$1009*EXP(-$F$1009*($A339-$A$7:$A334)))*$F$1010</f>
        <v>170210354.38492334</v>
      </c>
      <c r="E339" s="67">
        <f t="shared" si="35"/>
        <v>324.4910144544084</v>
      </c>
      <c r="F339" s="70">
        <f t="shared" ref="F339:F402" si="39">E339*60*1012/1000000</f>
        <v>19.703094397671677</v>
      </c>
      <c r="G339" s="67">
        <f>E339/'Lookup Tables'!$C$48</f>
        <v>648.9820289088168</v>
      </c>
      <c r="H339" s="70">
        <f t="shared" si="36"/>
        <v>0.11085664178797425</v>
      </c>
      <c r="I339" s="71">
        <f t="shared" ref="I339:I402" si="40">G339*60*24/1000000</f>
        <v>0.9345341216286962</v>
      </c>
      <c r="L339" s="74"/>
      <c r="M339" s="74"/>
      <c r="N339" s="74"/>
      <c r="O339" s="74"/>
      <c r="P339" s="74"/>
      <c r="Q339" s="74"/>
      <c r="R339" s="74"/>
      <c r="S339" s="74"/>
      <c r="T339" s="74"/>
      <c r="U339" s="74"/>
      <c r="V339" s="74"/>
      <c r="W339" s="74"/>
      <c r="X339" s="74"/>
      <c r="Y339" s="74"/>
      <c r="Z339" s="74"/>
    </row>
    <row r="340" spans="1:26" x14ac:dyDescent="0.3">
      <c r="A340" s="66">
        <f t="shared" si="38"/>
        <v>2023.2999999999697</v>
      </c>
      <c r="B340" s="67">
        <f>LOOKUP(A340+0.01,AmountsB!$A$4:$A$103,AmountsB!$B$4:$B$103)*0.1*$A$2</f>
        <v>0</v>
      </c>
      <c r="C340" s="68">
        <f t="shared" si="37"/>
        <v>1538495.7946267016</v>
      </c>
      <c r="D340" s="67">
        <f t="array" ref="D340">SUM($B$7:$B335*$F$1009*EXP(-$F$1009*($A340-$A$7:$A335)))*$F$1010</f>
        <v>169734431.99492797</v>
      </c>
      <c r="E340" s="67">
        <f t="shared" si="35"/>
        <v>323.58371043233979</v>
      </c>
      <c r="F340" s="70">
        <f t="shared" si="39"/>
        <v>19.648002897451669</v>
      </c>
      <c r="G340" s="67">
        <f>E340/'Lookup Tables'!$C$48</f>
        <v>647.16742086467957</v>
      </c>
      <c r="H340" s="70">
        <f t="shared" si="36"/>
        <v>0.11054667734370029</v>
      </c>
      <c r="I340" s="71">
        <f t="shared" si="40"/>
        <v>0.93192108604513857</v>
      </c>
      <c r="L340" s="74"/>
      <c r="M340" s="74"/>
      <c r="N340" s="74"/>
      <c r="O340" s="74"/>
      <c r="P340" s="74"/>
      <c r="Q340" s="74"/>
      <c r="R340" s="74"/>
      <c r="S340" s="74"/>
      <c r="T340" s="74"/>
      <c r="U340" s="74"/>
      <c r="V340" s="74"/>
      <c r="W340" s="74"/>
      <c r="X340" s="74"/>
      <c r="Y340" s="74"/>
      <c r="Z340" s="74"/>
    </row>
    <row r="341" spans="1:26" x14ac:dyDescent="0.3">
      <c r="A341" s="66">
        <f t="shared" si="38"/>
        <v>2023.3999999999696</v>
      </c>
      <c r="B341" s="67">
        <f>LOOKUP(A341+0.01,AmountsB!$A$4:$A$103,AmountsB!$B$4:$B$103)*0.1*$A$2</f>
        <v>0</v>
      </c>
      <c r="C341" s="68">
        <f t="shared" si="37"/>
        <v>1538495.7946267016</v>
      </c>
      <c r="D341" s="67">
        <f t="array" ref="D341">SUM($B$7:$B336*$F$1009*EXP(-$F$1009*($A341-$A$7:$A336)))*$F$1010</f>
        <v>169259840.32374877</v>
      </c>
      <c r="E341" s="67">
        <f t="shared" si="35"/>
        <v>322.67894330821821</v>
      </c>
      <c r="F341" s="70">
        <f t="shared" si="39"/>
        <v>19.593065437675008</v>
      </c>
      <c r="G341" s="67">
        <f>E341/'Lookup Tables'!$C$48</f>
        <v>645.35788661643642</v>
      </c>
      <c r="H341" s="70">
        <f t="shared" si="36"/>
        <v>0.11023757958594289</v>
      </c>
      <c r="I341" s="71">
        <f t="shared" si="40"/>
        <v>0.9293153567276683</v>
      </c>
      <c r="L341" s="74"/>
      <c r="M341" s="74"/>
      <c r="N341" s="74"/>
      <c r="O341" s="74"/>
      <c r="P341" s="74"/>
      <c r="Q341" s="74"/>
      <c r="R341" s="74"/>
      <c r="S341" s="74"/>
      <c r="T341" s="74"/>
      <c r="U341" s="74"/>
      <c r="V341" s="74"/>
      <c r="W341" s="74"/>
      <c r="X341" s="74"/>
      <c r="Y341" s="74"/>
      <c r="Z341" s="74"/>
    </row>
    <row r="342" spans="1:26" x14ac:dyDescent="0.3">
      <c r="A342" s="66">
        <f t="shared" si="38"/>
        <v>2023.4999999999695</v>
      </c>
      <c r="B342" s="67">
        <f>LOOKUP(A342+0.01,AmountsB!$A$4:$A$103,AmountsB!$B$4:$B$103)*0.1*$A$2</f>
        <v>0</v>
      </c>
      <c r="C342" s="68">
        <f t="shared" si="37"/>
        <v>1538495.7946267016</v>
      </c>
      <c r="D342" s="67">
        <f t="array" ref="D342">SUM($B$7:$B337*$F$1009*EXP(-$F$1009*($A342-$A$7:$A337)))*$F$1010</f>
        <v>168786575.65058467</v>
      </c>
      <c r="E342" s="67">
        <f t="shared" si="35"/>
        <v>321.77670598866507</v>
      </c>
      <c r="F342" s="70">
        <f t="shared" si="39"/>
        <v>19.538281587631744</v>
      </c>
      <c r="G342" s="67">
        <f>E342/'Lookup Tables'!$C$48</f>
        <v>643.55341197733014</v>
      </c>
      <c r="H342" s="70">
        <f t="shared" si="36"/>
        <v>0.10992934609137416</v>
      </c>
      <c r="I342" s="71">
        <f t="shared" si="40"/>
        <v>0.9267169132473555</v>
      </c>
      <c r="L342" s="74"/>
      <c r="M342" s="74"/>
      <c r="N342" s="74"/>
      <c r="O342" s="74"/>
      <c r="P342" s="74"/>
      <c r="Q342" s="74"/>
      <c r="R342" s="74"/>
      <c r="S342" s="74"/>
      <c r="T342" s="74"/>
      <c r="U342" s="74"/>
      <c r="V342" s="74"/>
      <c r="W342" s="74"/>
      <c r="X342" s="74"/>
      <c r="Y342" s="74"/>
      <c r="Z342" s="74"/>
    </row>
    <row r="343" spans="1:26" x14ac:dyDescent="0.3">
      <c r="A343" s="66">
        <f t="shared" si="38"/>
        <v>2023.5999999999694</v>
      </c>
      <c r="B343" s="67">
        <f>LOOKUP(A343+0.01,AmountsB!$A$4:$A$103,AmountsB!$B$4:$B$103)*0.1*$A$2</f>
        <v>0</v>
      </c>
      <c r="C343" s="68">
        <f t="shared" si="37"/>
        <v>1538495.7946267016</v>
      </c>
      <c r="D343" s="67">
        <f t="array" ref="D343">SUM($B$7:$B338*$F$1009*EXP(-$F$1009*($A343-$A$7:$A338)))*$F$1010</f>
        <v>168314634.26503822</v>
      </c>
      <c r="E343" s="67">
        <f t="shared" si="35"/>
        <v>320.87699140013501</v>
      </c>
      <c r="F343" s="70">
        <f t="shared" si="39"/>
        <v>19.483650917816199</v>
      </c>
      <c r="G343" s="67">
        <f>E343/'Lookup Tables'!$C$48</f>
        <v>641.75398280027002</v>
      </c>
      <c r="H343" s="70">
        <f t="shared" si="36"/>
        <v>0.10962197444344179</v>
      </c>
      <c r="I343" s="71">
        <f t="shared" si="40"/>
        <v>0.92412573523238883</v>
      </c>
      <c r="L343" s="74"/>
      <c r="M343" s="74"/>
      <c r="N343" s="74"/>
      <c r="O343" s="74"/>
      <c r="P343" s="74"/>
      <c r="Q343" s="74"/>
      <c r="R343" s="74"/>
      <c r="S343" s="74"/>
      <c r="T343" s="74"/>
      <c r="U343" s="74"/>
      <c r="V343" s="74"/>
      <c r="W343" s="74"/>
      <c r="X343" s="74"/>
      <c r="Y343" s="74"/>
      <c r="Z343" s="74"/>
    </row>
    <row r="344" spans="1:26" x14ac:dyDescent="0.3">
      <c r="A344" s="66">
        <f t="shared" si="38"/>
        <v>2023.6999999999694</v>
      </c>
      <c r="B344" s="67">
        <f>LOOKUP(A344+0.01,AmountsB!$A$4:$A$103,AmountsB!$B$4:$B$103)*0.1*$A$2</f>
        <v>0</v>
      </c>
      <c r="C344" s="68">
        <f t="shared" si="37"/>
        <v>1538495.7946267016</v>
      </c>
      <c r="D344" s="67">
        <f t="array" ref="D344">SUM($B$7:$B339*$F$1009*EXP(-$F$1009*($A344-$A$7:$A339)))*$F$1010</f>
        <v>167844012.46708655</v>
      </c>
      <c r="E344" s="67">
        <f t="shared" si="35"/>
        <v>319.97979248886111</v>
      </c>
      <c r="F344" s="70">
        <f t="shared" si="39"/>
        <v>19.429172999923647</v>
      </c>
      <c r="G344" s="67">
        <f>E344/'Lookup Tables'!$C$48</f>
        <v>639.95958497772222</v>
      </c>
      <c r="H344" s="70">
        <f t="shared" si="36"/>
        <v>0.1093154622323506</v>
      </c>
      <c r="I344" s="71">
        <f t="shared" si="40"/>
        <v>0.92154180236792005</v>
      </c>
      <c r="L344" s="74"/>
      <c r="M344" s="74"/>
      <c r="N344" s="74"/>
      <c r="O344" s="74"/>
      <c r="P344" s="74"/>
      <c r="Q344" s="74"/>
      <c r="R344" s="74"/>
      <c r="S344" s="74"/>
      <c r="T344" s="74"/>
      <c r="U344" s="74"/>
      <c r="V344" s="74"/>
      <c r="W344" s="74"/>
      <c r="X344" s="74"/>
      <c r="Y344" s="74"/>
      <c r="Z344" s="74"/>
    </row>
    <row r="345" spans="1:26" x14ac:dyDescent="0.3">
      <c r="A345" s="66">
        <f t="shared" si="38"/>
        <v>2023.7999999999693</v>
      </c>
      <c r="B345" s="67">
        <f>LOOKUP(A345+0.01,AmountsB!$A$4:$A$103,AmountsB!$B$4:$B$103)*0.1*$A$2</f>
        <v>0</v>
      </c>
      <c r="C345" s="68">
        <f t="shared" si="37"/>
        <v>1538495.7946267016</v>
      </c>
      <c r="D345" s="67">
        <f t="array" ref="D345">SUM($B$7:$B340*$F$1009*EXP(-$F$1009*($A345-$A$7:$A340)))*$F$1010</f>
        <v>167374706.56705236</v>
      </c>
      <c r="E345" s="67">
        <f t="shared" si="35"/>
        <v>319.08510222079934</v>
      </c>
      <c r="F345" s="70">
        <f t="shared" si="39"/>
        <v>19.374847406846936</v>
      </c>
      <c r="G345" s="67">
        <f>E345/'Lookup Tables'!$C$48</f>
        <v>638.17020444159868</v>
      </c>
      <c r="H345" s="70">
        <f t="shared" si="36"/>
        <v>0.10900980705504323</v>
      </c>
      <c r="I345" s="71">
        <f t="shared" si="40"/>
        <v>0.91896509439590224</v>
      </c>
      <c r="L345" s="74"/>
      <c r="M345" s="74"/>
      <c r="N345" s="74"/>
      <c r="O345" s="74"/>
      <c r="P345" s="74"/>
      <c r="Q345" s="74"/>
      <c r="R345" s="74"/>
      <c r="S345" s="74"/>
      <c r="T345" s="74"/>
      <c r="U345" s="74"/>
      <c r="V345" s="74"/>
      <c r="W345" s="74"/>
      <c r="X345" s="74"/>
      <c r="Y345" s="74"/>
      <c r="Z345" s="74"/>
    </row>
    <row r="346" spans="1:26" x14ac:dyDescent="0.3">
      <c r="A346" s="66">
        <f t="shared" si="38"/>
        <v>2023.8999999999692</v>
      </c>
      <c r="B346" s="67">
        <f>LOOKUP(A346+0.01,AmountsB!$A$4:$A$103,AmountsB!$B$4:$B$103)*0.1*$A$2</f>
        <v>0</v>
      </c>
      <c r="C346" s="68">
        <f t="shared" si="37"/>
        <v>1538495.7946267016</v>
      </c>
      <c r="D346" s="67">
        <f t="array" ref="D346">SUM($B$7:$B341*$F$1009*EXP(-$F$1009*($A346-$A$7:$A341)))*$F$1010</f>
        <v>166906712.88557494</v>
      </c>
      <c r="E346" s="67">
        <f t="shared" si="35"/>
        <v>318.19291358157335</v>
      </c>
      <c r="F346" s="70">
        <f t="shared" si="39"/>
        <v>19.32067371267313</v>
      </c>
      <c r="G346" s="67">
        <f>E346/'Lookup Tables'!$C$48</f>
        <v>636.3858271631467</v>
      </c>
      <c r="H346" s="70">
        <f t="shared" si="36"/>
        <v>0.10870500651518152</v>
      </c>
      <c r="I346" s="71">
        <f t="shared" si="40"/>
        <v>0.9163955911149313</v>
      </c>
      <c r="L346" s="74"/>
      <c r="M346" s="74"/>
      <c r="N346" s="74"/>
      <c r="O346" s="74"/>
      <c r="P346" s="74"/>
      <c r="Q346" s="74"/>
      <c r="R346" s="74"/>
      <c r="S346" s="74"/>
      <c r="T346" s="74"/>
      <c r="U346" s="74"/>
      <c r="V346" s="74"/>
      <c r="W346" s="74"/>
      <c r="X346" s="74"/>
      <c r="Y346" s="74"/>
      <c r="Z346" s="74"/>
    </row>
    <row r="347" spans="1:26" x14ac:dyDescent="0.3">
      <c r="A347" s="66">
        <f t="shared" si="38"/>
        <v>2023.9999999999691</v>
      </c>
      <c r="B347" s="67">
        <f>LOOKUP(A347+0.01,AmountsB!$A$4:$A$103,AmountsB!$B$4:$B$103)*0.1*$A$2</f>
        <v>0</v>
      </c>
      <c r="C347" s="68">
        <f t="shared" si="37"/>
        <v>1538495.7946267016</v>
      </c>
      <c r="D347" s="67">
        <f t="array" ref="D347">SUM($B$7:$B342*$F$1009*EXP(-$F$1009*($A347-$A$7:$A342)))*$F$1010</f>
        <v>166440027.75358149</v>
      </c>
      <c r="E347" s="67">
        <f t="shared" si="35"/>
        <v>317.30321957641974</v>
      </c>
      <c r="F347" s="70">
        <f t="shared" si="39"/>
        <v>19.266651492680207</v>
      </c>
      <c r="G347" s="67">
        <f>E347/'Lookup Tables'!$C$48</f>
        <v>634.60643915283947</v>
      </c>
      <c r="H347" s="70">
        <f t="shared" si="36"/>
        <v>0.10840105822312771</v>
      </c>
      <c r="I347" s="71">
        <f t="shared" si="40"/>
        <v>0.91383327238008882</v>
      </c>
      <c r="L347" s="74"/>
      <c r="M347" s="74"/>
      <c r="N347" s="74"/>
      <c r="O347" s="74"/>
      <c r="P347" s="74"/>
      <c r="Q347" s="74"/>
      <c r="R347" s="74"/>
      <c r="S347" s="74"/>
      <c r="T347" s="74"/>
      <c r="U347" s="74"/>
      <c r="V347" s="74"/>
      <c r="W347" s="74"/>
      <c r="X347" s="74"/>
      <c r="Y347" s="74"/>
      <c r="Z347" s="74"/>
    </row>
    <row r="348" spans="1:26" x14ac:dyDescent="0.3">
      <c r="A348" s="66">
        <f t="shared" si="38"/>
        <v>2024.099999999969</v>
      </c>
      <c r="B348" s="67">
        <f>LOOKUP(A348+0.01,AmountsB!$A$4:$A$103,AmountsB!$B$4:$B$103)*0.1*$A$2</f>
        <v>0</v>
      </c>
      <c r="C348" s="68">
        <f t="shared" si="37"/>
        <v>1538495.7946267016</v>
      </c>
      <c r="D348" s="67">
        <f t="array" ref="D348">SUM($B$7:$B343*$F$1009*EXP(-$F$1009*($A348-$A$7:$A343)))*$F$1010</f>
        <v>165974647.51225814</v>
      </c>
      <c r="E348" s="67">
        <f t="shared" si="35"/>
        <v>316.41601323013276</v>
      </c>
      <c r="F348" s="70">
        <f t="shared" si="39"/>
        <v>19.212780323333657</v>
      </c>
      <c r="G348" s="67">
        <f>E348/'Lookup Tables'!$C$48</f>
        <v>632.83202646026552</v>
      </c>
      <c r="H348" s="70">
        <f t="shared" si="36"/>
        <v>0.10809795979592557</v>
      </c>
      <c r="I348" s="71">
        <f t="shared" si="40"/>
        <v>0.91127811810278225</v>
      </c>
      <c r="L348" s="74"/>
      <c r="M348" s="74"/>
      <c r="N348" s="74"/>
      <c r="O348" s="74"/>
      <c r="P348" s="74"/>
      <c r="Q348" s="74"/>
      <c r="R348" s="74"/>
      <c r="S348" s="74"/>
      <c r="T348" s="74"/>
      <c r="U348" s="74"/>
      <c r="V348" s="74"/>
      <c r="W348" s="74"/>
      <c r="X348" s="74"/>
      <c r="Y348" s="74"/>
      <c r="Z348" s="74"/>
    </row>
    <row r="349" spans="1:26" x14ac:dyDescent="0.3">
      <c r="A349" s="66">
        <f t="shared" si="38"/>
        <v>2024.1999999999689</v>
      </c>
      <c r="B349" s="67">
        <f>LOOKUP(A349+0.01,AmountsB!$A$4:$A$103,AmountsB!$B$4:$B$103)*0.1*$A$2</f>
        <v>0</v>
      </c>
      <c r="C349" s="68">
        <f t="shared" si="37"/>
        <v>1538495.7946267016</v>
      </c>
      <c r="D349" s="67">
        <f t="array" ref="D349">SUM($B$7:$B344*$F$1009*EXP(-$F$1009*($A349-$A$7:$A344)))*$F$1010</f>
        <v>165510568.51302141</v>
      </c>
      <c r="E349" s="67">
        <f t="shared" si="35"/>
        <v>315.53128758701024</v>
      </c>
      <c r="F349" s="70">
        <f t="shared" si="39"/>
        <v>19.159059782283261</v>
      </c>
      <c r="G349" s="67">
        <f>E349/'Lookup Tables'!$C$48</f>
        <v>631.06257517402048</v>
      </c>
      <c r="H349" s="70">
        <f t="shared" si="36"/>
        <v>0.10779570885728194</v>
      </c>
      <c r="I349" s="71">
        <f t="shared" si="40"/>
        <v>0.90873010825058942</v>
      </c>
      <c r="L349" s="74"/>
      <c r="M349" s="74"/>
      <c r="N349" s="74"/>
      <c r="O349" s="74"/>
      <c r="P349" s="74"/>
      <c r="Q349" s="74"/>
      <c r="R349" s="74"/>
      <c r="S349" s="74"/>
      <c r="T349" s="74"/>
      <c r="U349" s="74"/>
      <c r="V349" s="74"/>
      <c r="W349" s="74"/>
      <c r="X349" s="74"/>
      <c r="Y349" s="74"/>
      <c r="Z349" s="74"/>
    </row>
    <row r="350" spans="1:26" x14ac:dyDescent="0.3">
      <c r="A350" s="66">
        <f t="shared" si="38"/>
        <v>2024.2999999999688</v>
      </c>
      <c r="B350" s="67">
        <f>LOOKUP(A350+0.01,AmountsB!$A$4:$A$103,AmountsB!$B$4:$B$103)*0.1*$A$2</f>
        <v>0</v>
      </c>
      <c r="C350" s="68">
        <f t="shared" si="37"/>
        <v>1538495.7946267016</v>
      </c>
      <c r="D350" s="67">
        <f t="array" ref="D350">SUM($B$7:$B345*$F$1009*EXP(-$F$1009*($A350-$A$7:$A345)))*$F$1010</f>
        <v>165047787.11748961</v>
      </c>
      <c r="E350" s="67">
        <f t="shared" si="35"/>
        <v>314.64903571079867</v>
      </c>
      <c r="F350" s="70">
        <f t="shared" si="39"/>
        <v>19.105489448359695</v>
      </c>
      <c r="G350" s="67">
        <f>E350/'Lookup Tables'!$C$48</f>
        <v>629.29807142159734</v>
      </c>
      <c r="H350" s="70">
        <f t="shared" si="36"/>
        <v>0.10749430303754794</v>
      </c>
      <c r="I350" s="71">
        <f t="shared" si="40"/>
        <v>0.90618922284710013</v>
      </c>
      <c r="L350" s="74"/>
      <c r="M350" s="74"/>
      <c r="N350" s="74"/>
      <c r="O350" s="74"/>
      <c r="P350" s="74"/>
      <c r="Q350" s="74"/>
      <c r="R350" s="74"/>
      <c r="S350" s="74"/>
      <c r="T350" s="74"/>
      <c r="U350" s="74"/>
      <c r="V350" s="74"/>
      <c r="W350" s="74"/>
      <c r="X350" s="74"/>
      <c r="Y350" s="74"/>
      <c r="Z350" s="74"/>
    </row>
    <row r="351" spans="1:26" x14ac:dyDescent="0.3">
      <c r="A351" s="66">
        <f t="shared" si="38"/>
        <v>2024.3999999999687</v>
      </c>
      <c r="B351" s="67">
        <f>LOOKUP(A351+0.01,AmountsB!$A$4:$A$103,AmountsB!$B$4:$B$103)*0.1*$A$2</f>
        <v>0</v>
      </c>
      <c r="C351" s="68">
        <f t="shared" si="37"/>
        <v>1538495.7946267016</v>
      </c>
      <c r="D351" s="67">
        <f t="array" ref="D351">SUM($B$7:$B346*$F$1009*EXP(-$F$1009*($A351-$A$7:$A346)))*$F$1010</f>
        <v>164586299.69745412</v>
      </c>
      <c r="E351" s="67">
        <f t="shared" si="35"/>
        <v>313.76925068463856</v>
      </c>
      <c r="F351" s="70">
        <f t="shared" si="39"/>
        <v>19.05206890157125</v>
      </c>
      <c r="G351" s="67">
        <f>E351/'Lookup Tables'!$C$48</f>
        <v>627.53850136927713</v>
      </c>
      <c r="H351" s="70">
        <f t="shared" si="36"/>
        <v>0.10719373997370028</v>
      </c>
      <c r="I351" s="71">
        <f t="shared" si="40"/>
        <v>0.90365544197175907</v>
      </c>
      <c r="L351" s="74"/>
      <c r="M351" s="74"/>
      <c r="N351" s="74"/>
      <c r="O351" s="74"/>
      <c r="P351" s="74"/>
      <c r="Q351" s="74"/>
      <c r="R351" s="74"/>
      <c r="S351" s="74"/>
      <c r="T351" s="74"/>
      <c r="U351" s="74"/>
      <c r="V351" s="74"/>
      <c r="W351" s="74"/>
      <c r="X351" s="74"/>
      <c r="Y351" s="74"/>
      <c r="Z351" s="74"/>
    </row>
    <row r="352" spans="1:26" x14ac:dyDescent="0.3">
      <c r="A352" s="66">
        <f t="shared" si="38"/>
        <v>2024.4999999999686</v>
      </c>
      <c r="B352" s="67">
        <f>LOOKUP(A352+0.01,AmountsB!$A$4:$A$103,AmountsB!$B$4:$B$103)*0.1*$A$2</f>
        <v>0</v>
      </c>
      <c r="C352" s="68">
        <f t="shared" si="37"/>
        <v>1538495.7946267016</v>
      </c>
      <c r="D352" s="67">
        <f t="array" ref="D352">SUM($B$7:$B347*$F$1009*EXP(-$F$1009*($A352-$A$7:$A347)))*$F$1010</f>
        <v>164126102.63485134</v>
      </c>
      <c r="E352" s="67">
        <f t="shared" si="35"/>
        <v>312.89192561101106</v>
      </c>
      <c r="F352" s="70">
        <f t="shared" si="39"/>
        <v>18.998797723100591</v>
      </c>
      <c r="G352" s="67">
        <f>E352/'Lookup Tables'!$C$48</f>
        <v>625.78385122202212</v>
      </c>
      <c r="H352" s="70">
        <f t="shared" si="36"/>
        <v>0.10689401730932309</v>
      </c>
      <c r="I352" s="71">
        <f t="shared" si="40"/>
        <v>0.9011287457597118</v>
      </c>
      <c r="L352" s="74"/>
      <c r="M352" s="74"/>
      <c r="N352" s="74"/>
      <c r="O352" s="74"/>
      <c r="P352" s="74"/>
      <c r="Q352" s="74"/>
      <c r="R352" s="74"/>
      <c r="S352" s="74"/>
      <c r="T352" s="74"/>
      <c r="U352" s="74"/>
      <c r="V352" s="74"/>
      <c r="W352" s="74"/>
      <c r="X352" s="74"/>
      <c r="Y352" s="74"/>
      <c r="Z352" s="74"/>
    </row>
    <row r="353" spans="1:26" x14ac:dyDescent="0.3">
      <c r="A353" s="66">
        <f t="shared" si="38"/>
        <v>2024.5999999999685</v>
      </c>
      <c r="B353" s="67">
        <f>LOOKUP(A353+0.01,AmountsB!$A$4:$A$103,AmountsB!$B$4:$B$103)*0.1*$A$2</f>
        <v>0</v>
      </c>
      <c r="C353" s="68">
        <f t="shared" si="37"/>
        <v>1538495.7946267016</v>
      </c>
      <c r="D353" s="67">
        <f t="array" ref="D353">SUM($B$7:$B348*$F$1009*EXP(-$F$1009*($A353-$A$7:$A348)))*$F$1010</f>
        <v>163667192.32173395</v>
      </c>
      <c r="E353" s="67">
        <f t="shared" si="35"/>
        <v>312.01705361168308</v>
      </c>
      <c r="F353" s="70">
        <f t="shared" si="39"/>
        <v>18.945675495301394</v>
      </c>
      <c r="G353" s="67">
        <f>E353/'Lookup Tables'!$C$48</f>
        <v>624.03410722336616</v>
      </c>
      <c r="H353" s="70">
        <f t="shared" si="36"/>
        <v>0.10659513269458916</v>
      </c>
      <c r="I353" s="71">
        <f t="shared" si="40"/>
        <v>0.89860911440164737</v>
      </c>
      <c r="L353" s="74"/>
      <c r="M353" s="74"/>
      <c r="N353" s="74"/>
      <c r="O353" s="74"/>
      <c r="P353" s="74"/>
      <c r="Q353" s="74"/>
      <c r="R353" s="74"/>
      <c r="S353" s="74"/>
      <c r="T353" s="74"/>
      <c r="U353" s="74"/>
      <c r="V353" s="74"/>
      <c r="W353" s="74"/>
      <c r="X353" s="74"/>
      <c r="Y353" s="74"/>
      <c r="Z353" s="74"/>
    </row>
    <row r="354" spans="1:26" x14ac:dyDescent="0.3">
      <c r="A354" s="66">
        <f t="shared" si="38"/>
        <v>2024.6999999999684</v>
      </c>
      <c r="B354" s="67">
        <f>LOOKUP(A354+0.01,AmountsB!$A$4:$A$103,AmountsB!$B$4:$B$103)*0.1*$A$2</f>
        <v>0</v>
      </c>
      <c r="C354" s="68">
        <f t="shared" si="37"/>
        <v>1538495.7946267016</v>
      </c>
      <c r="D354" s="67">
        <f t="array" ref="D354">SUM($B$7:$B349*$F$1009*EXP(-$F$1009*($A354-$A$7:$A349)))*$F$1010</f>
        <v>163209565.16024265</v>
      </c>
      <c r="E354" s="67">
        <f t="shared" si="35"/>
        <v>311.14462782765366</v>
      </c>
      <c r="F354" s="70">
        <f t="shared" si="39"/>
        <v>18.892701801695132</v>
      </c>
      <c r="G354" s="67">
        <f>E354/'Lookup Tables'!$C$48</f>
        <v>622.28925565530733</v>
      </c>
      <c r="H354" s="70">
        <f t="shared" si="36"/>
        <v>0.10629708378624154</v>
      </c>
      <c r="I354" s="71">
        <f t="shared" si="40"/>
        <v>0.8960965281436426</v>
      </c>
      <c r="L354" s="74"/>
      <c r="M354" s="74"/>
      <c r="N354" s="74"/>
      <c r="O354" s="74"/>
      <c r="P354" s="74"/>
      <c r="Q354" s="74"/>
      <c r="R354" s="74"/>
      <c r="S354" s="74"/>
      <c r="T354" s="74"/>
      <c r="U354" s="74"/>
      <c r="V354" s="74"/>
      <c r="W354" s="74"/>
      <c r="X354" s="74"/>
      <c r="Y354" s="74"/>
      <c r="Z354" s="74"/>
    </row>
    <row r="355" spans="1:26" x14ac:dyDescent="0.3">
      <c r="A355" s="66">
        <f t="shared" si="38"/>
        <v>2024.7999999999683</v>
      </c>
      <c r="B355" s="67">
        <f>LOOKUP(A355+0.01,AmountsB!$A$4:$A$103,AmountsB!$B$4:$B$103)*0.1*$A$2</f>
        <v>0</v>
      </c>
      <c r="C355" s="68">
        <f t="shared" si="37"/>
        <v>1538495.7946267016</v>
      </c>
      <c r="D355" s="67">
        <f t="array" ref="D355">SUM($B$7:$B350*$F$1009*EXP(-$F$1009*($A355-$A$7:$A350)))*$F$1010</f>
        <v>162753217.5625782</v>
      </c>
      <c r="E355" s="67">
        <f t="shared" si="35"/>
        <v>310.27464141910008</v>
      </c>
      <c r="F355" s="70">
        <f t="shared" si="39"/>
        <v>18.83987622696776</v>
      </c>
      <c r="G355" s="67">
        <f>E355/'Lookup Tables'!$C$48</f>
        <v>620.54928283820016</v>
      </c>
      <c r="H355" s="70">
        <f t="shared" si="36"/>
        <v>0.10599986824757528</v>
      </c>
      <c r="I355" s="71">
        <f t="shared" si="40"/>
        <v>0.89359096728700826</v>
      </c>
      <c r="L355" s="74"/>
      <c r="M355" s="74"/>
      <c r="N355" s="74"/>
      <c r="O355" s="74"/>
      <c r="P355" s="74"/>
      <c r="Q355" s="74"/>
      <c r="R355" s="74"/>
      <c r="S355" s="74"/>
      <c r="T355" s="74"/>
      <c r="U355" s="74"/>
      <c r="V355" s="74"/>
      <c r="W355" s="74"/>
      <c r="X355" s="74"/>
      <c r="Y355" s="74"/>
      <c r="Z355" s="74"/>
    </row>
    <row r="356" spans="1:26" x14ac:dyDescent="0.3">
      <c r="A356" s="66">
        <f t="shared" si="38"/>
        <v>2024.8999999999683</v>
      </c>
      <c r="B356" s="67">
        <f>LOOKUP(A356+0.01,AmountsB!$A$4:$A$103,AmountsB!$B$4:$B$103)*0.1*$A$2</f>
        <v>0</v>
      </c>
      <c r="C356" s="68">
        <f t="shared" si="37"/>
        <v>1538495.7946267016</v>
      </c>
      <c r="D356" s="67">
        <f t="array" ref="D356">SUM($B$7:$B351*$F$1009*EXP(-$F$1009*($A356-$A$7:$A351)))*$F$1010</f>
        <v>162298145.95097306</v>
      </c>
      <c r="E356" s="67">
        <f t="shared" si="35"/>
        <v>309.40708756532445</v>
      </c>
      <c r="F356" s="70">
        <f t="shared" si="39"/>
        <v>18.787198356966503</v>
      </c>
      <c r="G356" s="67">
        <f>E356/'Lookup Tables'!$C$48</f>
        <v>618.81417513064889</v>
      </c>
      <c r="H356" s="70">
        <f t="shared" si="36"/>
        <v>0.10570348374841901</v>
      </c>
      <c r="I356" s="71">
        <f t="shared" si="40"/>
        <v>0.8910924121881344</v>
      </c>
      <c r="L356" s="74"/>
      <c r="M356" s="74"/>
      <c r="N356" s="74"/>
      <c r="O356" s="74"/>
      <c r="P356" s="74"/>
      <c r="Q356" s="74"/>
      <c r="R356" s="74"/>
      <c r="S356" s="74"/>
      <c r="T356" s="74"/>
      <c r="U356" s="74"/>
      <c r="V356" s="74"/>
      <c r="W356" s="74"/>
      <c r="X356" s="74"/>
      <c r="Y356" s="74"/>
      <c r="Z356" s="74"/>
    </row>
    <row r="357" spans="1:26" x14ac:dyDescent="0.3">
      <c r="A357" s="66">
        <f t="shared" si="38"/>
        <v>2024.9999999999682</v>
      </c>
      <c r="B357" s="67">
        <f>LOOKUP(A357+0.01,AmountsB!$A$4:$A$103,AmountsB!$B$4:$B$103)*0.1*$A$2</f>
        <v>0</v>
      </c>
      <c r="C357" s="68">
        <f t="shared" si="37"/>
        <v>1538495.7946267016</v>
      </c>
      <c r="D357" s="67">
        <f t="array" ref="D357">SUM($B$7:$B352*$F$1009*EXP(-$F$1009*($A357-$A$7:$A352)))*$F$1010</f>
        <v>161844346.75766346</v>
      </c>
      <c r="E357" s="67">
        <f t="shared" si="35"/>
        <v>308.54195946470008</v>
      </c>
      <c r="F357" s="70">
        <f t="shared" si="39"/>
        <v>18.73466777869659</v>
      </c>
      <c r="G357" s="67">
        <f>E357/'Lookup Tables'!$C$48</f>
        <v>617.08391892940017</v>
      </c>
      <c r="H357" s="70">
        <f t="shared" si="36"/>
        <v>0.10540792796511671</v>
      </c>
      <c r="I357" s="71">
        <f t="shared" si="40"/>
        <v>0.88860084325833621</v>
      </c>
      <c r="L357" s="74"/>
      <c r="M357" s="74"/>
      <c r="N357" s="74"/>
      <c r="O357" s="74"/>
      <c r="P357" s="74"/>
      <c r="Q357" s="74"/>
      <c r="R357" s="74"/>
      <c r="S357" s="74"/>
      <c r="T357" s="74"/>
      <c r="U357" s="74"/>
      <c r="V357" s="74"/>
      <c r="W357" s="74"/>
      <c r="X357" s="74"/>
      <c r="Y357" s="74"/>
      <c r="Z357" s="74"/>
    </row>
    <row r="358" spans="1:26" x14ac:dyDescent="0.3">
      <c r="A358" s="66">
        <f t="shared" si="38"/>
        <v>2025.0999999999681</v>
      </c>
      <c r="B358" s="67">
        <f>LOOKUP(A358+0.01,AmountsB!$A$4:$A$103,AmountsB!$B$4:$B$103)*0.1*$A$2</f>
        <v>0</v>
      </c>
      <c r="C358" s="68">
        <f t="shared" si="37"/>
        <v>1538495.7946267016</v>
      </c>
      <c r="D358" s="67">
        <f t="array" ref="D358">SUM($B$7:$B353*$F$1009*EXP(-$F$1009*($A358-$A$7:$A353)))*$F$1010</f>
        <v>161391816.42486143</v>
      </c>
      <c r="E358" s="67">
        <f t="shared" si="35"/>
        <v>307.67925033461836</v>
      </c>
      <c r="F358" s="70">
        <f t="shared" si="39"/>
        <v>18.682284080318027</v>
      </c>
      <c r="G358" s="67">
        <f>E358/'Lookup Tables'!$C$48</f>
        <v>615.35850066923672</v>
      </c>
      <c r="H358" s="70">
        <f t="shared" si="36"/>
        <v>0.1051131985805096</v>
      </c>
      <c r="I358" s="71">
        <f t="shared" si="40"/>
        <v>0.88611624096370079</v>
      </c>
      <c r="L358" s="74"/>
      <c r="M358" s="74"/>
      <c r="N358" s="74"/>
      <c r="O358" s="74"/>
      <c r="P358" s="74"/>
      <c r="Q358" s="74"/>
      <c r="R358" s="74"/>
      <c r="S358" s="74"/>
      <c r="T358" s="74"/>
      <c r="U358" s="74"/>
      <c r="V358" s="74"/>
      <c r="W358" s="74"/>
      <c r="X358" s="74"/>
      <c r="Y358" s="74"/>
      <c r="Z358" s="74"/>
    </row>
    <row r="359" spans="1:26" x14ac:dyDescent="0.3">
      <c r="A359" s="66">
        <f t="shared" si="38"/>
        <v>2025.199999999968</v>
      </c>
      <c r="B359" s="67">
        <f>LOOKUP(A359+0.01,AmountsB!$A$4:$A$103,AmountsB!$B$4:$B$103)*0.1*$A$2</f>
        <v>0</v>
      </c>
      <c r="C359" s="68">
        <f t="shared" si="37"/>
        <v>1538495.7946267016</v>
      </c>
      <c r="D359" s="67">
        <f t="array" ref="D359">SUM($B$7:$B354*$F$1009*EXP(-$F$1009*($A359-$A$7:$A354)))*$F$1010</f>
        <v>160940551.40472686</v>
      </c>
      <c r="E359" s="67">
        <f t="shared" si="35"/>
        <v>306.81895341143525</v>
      </c>
      <c r="F359" s="70">
        <f t="shared" si="39"/>
        <v>18.630046851142346</v>
      </c>
      <c r="G359" s="67">
        <f>E359/'Lookup Tables'!$C$48</f>
        <v>613.63790682287049</v>
      </c>
      <c r="H359" s="70">
        <f t="shared" si="36"/>
        <v>0.10481929328391777</v>
      </c>
      <c r="I359" s="71">
        <f t="shared" si="40"/>
        <v>0.88363858582493349</v>
      </c>
      <c r="L359" s="74"/>
      <c r="M359" s="74"/>
      <c r="N359" s="74"/>
      <c r="O359" s="74"/>
      <c r="P359" s="74"/>
      <c r="Q359" s="74"/>
      <c r="R359" s="74"/>
      <c r="S359" s="74"/>
      <c r="T359" s="74"/>
      <c r="U359" s="74"/>
      <c r="V359" s="74"/>
      <c r="W359" s="74"/>
      <c r="X359" s="74"/>
      <c r="Y359" s="74"/>
      <c r="Z359" s="74"/>
    </row>
    <row r="360" spans="1:26" x14ac:dyDescent="0.3">
      <c r="A360" s="66">
        <f t="shared" si="38"/>
        <v>2025.2999999999679</v>
      </c>
      <c r="B360" s="67">
        <f>LOOKUP(A360+0.01,AmountsB!$A$4:$A$103,AmountsB!$B$4:$B$103)*0.1*$A$2</f>
        <v>0</v>
      </c>
      <c r="C360" s="68">
        <f t="shared" si="37"/>
        <v>1538495.7946267016</v>
      </c>
      <c r="D360" s="67">
        <f t="array" ref="D360">SUM($B$7:$B355*$F$1009*EXP(-$F$1009*($A360-$A$7:$A355)))*$F$1010</f>
        <v>160490548.1593397</v>
      </c>
      <c r="E360" s="67">
        <f t="shared" si="35"/>
        <v>305.96106195041853</v>
      </c>
      <c r="F360" s="70">
        <f t="shared" si="39"/>
        <v>18.577955681629415</v>
      </c>
      <c r="G360" s="67">
        <f>E360/'Lookup Tables'!$C$48</f>
        <v>611.92212390083705</v>
      </c>
      <c r="H360" s="70">
        <f t="shared" si="36"/>
        <v>0.10452620977112223</v>
      </c>
      <c r="I360" s="71">
        <f t="shared" si="40"/>
        <v>0.88116785841720535</v>
      </c>
      <c r="L360" s="74"/>
      <c r="M360" s="74"/>
      <c r="N360" s="74"/>
      <c r="O360" s="74"/>
      <c r="P360" s="74"/>
      <c r="Q360" s="74"/>
      <c r="R360" s="74"/>
      <c r="S360" s="74"/>
      <c r="T360" s="74"/>
      <c r="U360" s="74"/>
      <c r="V360" s="74"/>
      <c r="W360" s="74"/>
      <c r="X360" s="74"/>
      <c r="Y360" s="74"/>
      <c r="Z360" s="74"/>
    </row>
    <row r="361" spans="1:26" x14ac:dyDescent="0.3">
      <c r="A361" s="66">
        <f t="shared" si="38"/>
        <v>2025.3999999999678</v>
      </c>
      <c r="B361" s="67">
        <f>LOOKUP(A361+0.01,AmountsB!$A$4:$A$103,AmountsB!$B$4:$B$103)*0.1*$A$2</f>
        <v>0</v>
      </c>
      <c r="C361" s="68">
        <f t="shared" si="37"/>
        <v>1538495.7946267016</v>
      </c>
      <c r="D361" s="67">
        <f t="array" ref="D361">SUM($B$7:$B356*$F$1009*EXP(-$F$1009*($A361-$A$7:$A356)))*$F$1010</f>
        <v>160041803.16067213</v>
      </c>
      <c r="E361" s="67">
        <f t="shared" si="35"/>
        <v>305.10556922569464</v>
      </c>
      <c r="F361" s="70">
        <f t="shared" si="39"/>
        <v>18.526010163384178</v>
      </c>
      <c r="G361" s="67">
        <f>E361/'Lookup Tables'!$C$48</f>
        <v>610.21113845138927</v>
      </c>
      <c r="H361" s="70">
        <f t="shared" si="36"/>
        <v>0.10423394574434665</v>
      </c>
      <c r="I361" s="71">
        <f t="shared" si="40"/>
        <v>0.87870403937000052</v>
      </c>
      <c r="L361" s="74"/>
      <c r="M361" s="74"/>
      <c r="N361" s="74"/>
      <c r="O361" s="74"/>
      <c r="P361" s="74"/>
      <c r="Q361" s="74"/>
      <c r="R361" s="74"/>
      <c r="S361" s="74"/>
      <c r="T361" s="74"/>
      <c r="U361" s="74"/>
      <c r="V361" s="74"/>
      <c r="W361" s="74"/>
      <c r="X361" s="74"/>
      <c r="Y361" s="74"/>
      <c r="Z361" s="74"/>
    </row>
    <row r="362" spans="1:26" x14ac:dyDescent="0.3">
      <c r="A362" s="66">
        <f t="shared" si="38"/>
        <v>2025.4999999999677</v>
      </c>
      <c r="B362" s="67">
        <f>LOOKUP(A362+0.01,AmountsB!$A$4:$A$103,AmountsB!$B$4:$B$103)*0.1*$A$2</f>
        <v>0</v>
      </c>
      <c r="C362" s="68">
        <f t="shared" si="37"/>
        <v>1538495.7946267016</v>
      </c>
      <c r="D362" s="67">
        <f t="array" ref="D362">SUM($B$7:$B357*$F$1009*EXP(-$F$1009*($A362-$A$7:$A357)))*$F$1010</f>
        <v>159594312.89056107</v>
      </c>
      <c r="E362" s="67">
        <f t="shared" si="35"/>
        <v>304.25246853019621</v>
      </c>
      <c r="F362" s="70">
        <f t="shared" si="39"/>
        <v>18.474209889153514</v>
      </c>
      <c r="G362" s="67">
        <f>E362/'Lookup Tables'!$C$48</f>
        <v>608.50493706039242</v>
      </c>
      <c r="H362" s="70">
        <f t="shared" si="36"/>
        <v>0.1039424989122396</v>
      </c>
      <c r="I362" s="71">
        <f t="shared" si="40"/>
        <v>0.87624710936696515</v>
      </c>
      <c r="L362" s="74"/>
      <c r="M362" s="74"/>
      <c r="N362" s="74"/>
      <c r="O362" s="74"/>
      <c r="P362" s="74"/>
      <c r="Q362" s="74"/>
      <c r="R362" s="74"/>
      <c r="S362" s="74"/>
      <c r="T362" s="74"/>
      <c r="U362" s="74"/>
      <c r="V362" s="74"/>
      <c r="W362" s="74"/>
      <c r="X362" s="74"/>
      <c r="Y362" s="74"/>
      <c r="Z362" s="74"/>
    </row>
    <row r="363" spans="1:26" x14ac:dyDescent="0.3">
      <c r="A363" s="66">
        <f t="shared" si="38"/>
        <v>2025.5999999999676</v>
      </c>
      <c r="B363" s="67">
        <f>LOOKUP(A363+0.01,AmountsB!$A$4:$A$103,AmountsB!$B$4:$B$103)*0.1*$A$2</f>
        <v>0</v>
      </c>
      <c r="C363" s="68">
        <f t="shared" si="37"/>
        <v>1538495.7946267016</v>
      </c>
      <c r="D363" s="67">
        <f t="array" ref="D363">SUM($B$7:$B358*$F$1009*EXP(-$F$1009*($A363-$A$7:$A358)))*$F$1010</f>
        <v>159148073.84068048</v>
      </c>
      <c r="E363" s="67">
        <f t="shared" si="35"/>
        <v>303.40175317560931</v>
      </c>
      <c r="F363" s="70">
        <f t="shared" si="39"/>
        <v>18.422554452822997</v>
      </c>
      <c r="G363" s="67">
        <f>E363/'Lookup Tables'!$C$48</f>
        <v>606.80350635121863</v>
      </c>
      <c r="H363" s="70">
        <f t="shared" si="36"/>
        <v>0.10365186698985637</v>
      </c>
      <c r="I363" s="71">
        <f t="shared" si="40"/>
        <v>0.87379704914575484</v>
      </c>
      <c r="L363" s="74"/>
      <c r="M363" s="74"/>
      <c r="N363" s="74"/>
      <c r="O363" s="74"/>
      <c r="P363" s="74"/>
      <c r="Q363" s="74"/>
      <c r="R363" s="74"/>
      <c r="S363" s="74"/>
      <c r="T363" s="74"/>
      <c r="U363" s="74"/>
      <c r="V363" s="74"/>
      <c r="W363" s="74"/>
      <c r="X363" s="74"/>
      <c r="Y363" s="74"/>
      <c r="Z363" s="74"/>
    </row>
    <row r="364" spans="1:26" x14ac:dyDescent="0.3">
      <c r="A364" s="66">
        <f t="shared" si="38"/>
        <v>2025.6999999999675</v>
      </c>
      <c r="B364" s="67">
        <f>LOOKUP(A364+0.01,AmountsB!$A$4:$A$103,AmountsB!$B$4:$B$103)*0.1*$A$2</f>
        <v>0</v>
      </c>
      <c r="C364" s="68">
        <f t="shared" si="37"/>
        <v>1538495.7946267016</v>
      </c>
      <c r="D364" s="67">
        <f t="array" ref="D364">SUM($B$7:$B359*$F$1009*EXP(-$F$1009*($A364-$A$7:$A359)))*$F$1010</f>
        <v>158703082.51251402</v>
      </c>
      <c r="E364" s="67">
        <f t="shared" si="35"/>
        <v>302.5534164923215</v>
      </c>
      <c r="F364" s="70">
        <f t="shared" si="39"/>
        <v>18.371043449413765</v>
      </c>
      <c r="G364" s="67">
        <f>E364/'Lookup Tables'!$C$48</f>
        <v>605.10683298464301</v>
      </c>
      <c r="H364" s="70">
        <f t="shared" si="36"/>
        <v>0.10336204769864131</v>
      </c>
      <c r="I364" s="71">
        <f t="shared" si="40"/>
        <v>0.87135383949788603</v>
      </c>
      <c r="L364" s="74"/>
      <c r="M364" s="74"/>
      <c r="N364" s="74"/>
      <c r="O364" s="74"/>
      <c r="P364" s="74"/>
      <c r="Q364" s="74"/>
      <c r="R364" s="74"/>
      <c r="S364" s="74"/>
      <c r="T364" s="74"/>
      <c r="U364" s="74"/>
      <c r="V364" s="74"/>
      <c r="W364" s="74"/>
      <c r="X364" s="74"/>
      <c r="Y364" s="74"/>
      <c r="Z364" s="74"/>
    </row>
    <row r="365" spans="1:26" x14ac:dyDescent="0.3">
      <c r="A365" s="66">
        <f t="shared" si="38"/>
        <v>2025.7999999999674</v>
      </c>
      <c r="B365" s="67">
        <f>LOOKUP(A365+0.01,AmountsB!$A$4:$A$103,AmountsB!$B$4:$B$103)*0.1*$A$2</f>
        <v>0</v>
      </c>
      <c r="C365" s="68">
        <f t="shared" si="37"/>
        <v>1538495.7946267016</v>
      </c>
      <c r="D365" s="67">
        <f t="array" ref="D365">SUM($B$7:$B360*$F$1009*EXP(-$F$1009*($A365-$A$7:$A360)))*$F$1010</f>
        <v>158259335.41732737</v>
      </c>
      <c r="E365" s="67">
        <f t="shared" si="35"/>
        <v>301.70745182936872</v>
      </c>
      <c r="F365" s="70">
        <f t="shared" si="39"/>
        <v>18.31967647507927</v>
      </c>
      <c r="G365" s="67">
        <f>E365/'Lookup Tables'!$C$48</f>
        <v>603.41490365873744</v>
      </c>
      <c r="H365" s="70">
        <f t="shared" si="36"/>
        <v>0.10307303876640964</v>
      </c>
      <c r="I365" s="71">
        <f t="shared" si="40"/>
        <v>0.86891746126858194</v>
      </c>
      <c r="L365" s="74"/>
      <c r="M365" s="74"/>
      <c r="N365" s="74"/>
      <c r="O365" s="74"/>
      <c r="P365" s="74"/>
      <c r="Q365" s="74"/>
      <c r="R365" s="74"/>
      <c r="S365" s="74"/>
      <c r="T365" s="74"/>
      <c r="U365" s="74"/>
      <c r="V365" s="74"/>
      <c r="W365" s="74"/>
      <c r="X365" s="74"/>
      <c r="Y365" s="74"/>
      <c r="Z365" s="74"/>
    </row>
    <row r="366" spans="1:26" x14ac:dyDescent="0.3">
      <c r="A366" s="66">
        <f t="shared" si="38"/>
        <v>2025.8999999999673</v>
      </c>
      <c r="B366" s="67">
        <f>LOOKUP(A366+0.01,AmountsB!$A$4:$A$103,AmountsB!$B$4:$B$103)*0.1*$A$2</f>
        <v>0</v>
      </c>
      <c r="C366" s="68">
        <f t="shared" si="37"/>
        <v>1538495.7946267016</v>
      </c>
      <c r="D366" s="67">
        <f t="array" ref="D366">SUM($B$7:$B361*$F$1009*EXP(-$F$1009*($A366-$A$7:$A361)))*$F$1010</f>
        <v>157816829.07614103</v>
      </c>
      <c r="E366" s="67">
        <f t="shared" si="35"/>
        <v>300.86385255438375</v>
      </c>
      <c r="F366" s="70">
        <f t="shared" si="39"/>
        <v>18.26845312710218</v>
      </c>
      <c r="G366" s="67">
        <f>E366/'Lookup Tables'!$C$48</f>
        <v>601.72770510876751</v>
      </c>
      <c r="H366" s="70">
        <f t="shared" si="36"/>
        <v>0.10278483792732987</v>
      </c>
      <c r="I366" s="71">
        <f t="shared" si="40"/>
        <v>0.86648789535662518</v>
      </c>
      <c r="L366" s="74"/>
      <c r="M366" s="74"/>
      <c r="N366" s="74"/>
      <c r="O366" s="74"/>
      <c r="P366" s="74"/>
      <c r="Q366" s="74"/>
      <c r="R366" s="74"/>
      <c r="S366" s="74"/>
      <c r="T366" s="74"/>
      <c r="U366" s="74"/>
      <c r="V366" s="74"/>
      <c r="W366" s="74"/>
      <c r="X366" s="74"/>
      <c r="Y366" s="74"/>
      <c r="Z366" s="74"/>
    </row>
    <row r="367" spans="1:26" x14ac:dyDescent="0.3">
      <c r="A367" s="66">
        <f t="shared" si="38"/>
        <v>2025.9999999999673</v>
      </c>
      <c r="B367" s="67">
        <f>LOOKUP(A367+0.01,AmountsB!$A$4:$A$103,AmountsB!$B$4:$B$103)*0.1*$A$2</f>
        <v>0</v>
      </c>
      <c r="C367" s="68">
        <f t="shared" si="37"/>
        <v>1538495.7946267016</v>
      </c>
      <c r="D367" s="67">
        <f t="array" ref="D367">SUM($B$7:$B362*$F$1009*EXP(-$F$1009*($A367-$A$7:$A362)))*$F$1010</f>
        <v>157375560.01970303</v>
      </c>
      <c r="E367" s="67">
        <f t="shared" si="35"/>
        <v>300.02261205354381</v>
      </c>
      <c r="F367" s="70">
        <f t="shared" si="39"/>
        <v>18.217373003891183</v>
      </c>
      <c r="G367" s="67">
        <f>E367/'Lookup Tables'!$C$48</f>
        <v>600.04522410708762</v>
      </c>
      <c r="H367" s="70">
        <f t="shared" si="36"/>
        <v>0.10249744292190592</v>
      </c>
      <c r="I367" s="71">
        <f t="shared" si="40"/>
        <v>0.86406512271420621</v>
      </c>
      <c r="L367" s="74"/>
      <c r="M367" s="74"/>
      <c r="N367" s="74"/>
      <c r="O367" s="74"/>
      <c r="P367" s="74"/>
      <c r="Q367" s="74"/>
      <c r="R367" s="74"/>
      <c r="S367" s="74"/>
      <c r="T367" s="74"/>
      <c r="U367" s="74"/>
      <c r="V367" s="74"/>
      <c r="W367" s="74"/>
      <c r="X367" s="74"/>
      <c r="Y367" s="74"/>
      <c r="Z367" s="74"/>
    </row>
    <row r="368" spans="1:26" x14ac:dyDescent="0.3">
      <c r="A368" s="66">
        <f t="shared" si="38"/>
        <v>2026.0999999999672</v>
      </c>
      <c r="B368" s="67">
        <f>LOOKUP(A368+0.01,AmountsB!$A$4:$A$103,AmountsB!$B$4:$B$103)*0.1*$A$2</f>
        <v>0</v>
      </c>
      <c r="C368" s="68">
        <f t="shared" si="37"/>
        <v>1538495.7946267016</v>
      </c>
      <c r="D368" s="67">
        <f t="array" ref="D368">SUM($B$7:$B363*$F$1009*EXP(-$F$1009*($A368-$A$7:$A363)))*$F$1010</f>
        <v>156935524.7884616</v>
      </c>
      <c r="E368" s="67">
        <f t="shared" si="35"/>
        <v>299.18372373151908</v>
      </c>
      <c r="F368" s="70">
        <f t="shared" si="39"/>
        <v>18.166435704977836</v>
      </c>
      <c r="G368" s="67">
        <f>E368/'Lookup Tables'!$C$48</f>
        <v>598.36744746303816</v>
      </c>
      <c r="H368" s="70">
        <f t="shared" si="36"/>
        <v>0.10221085149695945</v>
      </c>
      <c r="I368" s="71">
        <f t="shared" si="40"/>
        <v>0.86164912434677488</v>
      </c>
      <c r="L368" s="74"/>
      <c r="M368" s="74"/>
      <c r="N368" s="74"/>
      <c r="O368" s="74"/>
      <c r="P368" s="74"/>
      <c r="Q368" s="74"/>
      <c r="R368" s="74"/>
      <c r="S368" s="74"/>
      <c r="T368" s="74"/>
      <c r="U368" s="74"/>
      <c r="V368" s="74"/>
      <c r="W368" s="74"/>
      <c r="X368" s="74"/>
      <c r="Y368" s="74"/>
      <c r="Z368" s="74"/>
    </row>
    <row r="369" spans="1:26" x14ac:dyDescent="0.3">
      <c r="A369" s="66">
        <f t="shared" si="38"/>
        <v>2026.1999999999671</v>
      </c>
      <c r="B369" s="67">
        <f>LOOKUP(A369+0.01,AmountsB!$A$4:$A$103,AmountsB!$B$4:$B$103)*0.1*$A$2</f>
        <v>0</v>
      </c>
      <c r="C369" s="68">
        <f t="shared" si="37"/>
        <v>1538495.7946267016</v>
      </c>
      <c r="D369" s="67">
        <f t="array" ref="D369">SUM($B$7:$B364*$F$1009*EXP(-$F$1009*($A369-$A$7:$A364)))*$F$1010</f>
        <v>156496719.93253839</v>
      </c>
      <c r="E369" s="67">
        <f t="shared" si="35"/>
        <v>298.34718101142084</v>
      </c>
      <c r="F369" s="70">
        <f t="shared" si="39"/>
        <v>18.115640831013476</v>
      </c>
      <c r="G369" s="67">
        <f>E369/'Lookup Tables'!$C$48</f>
        <v>596.69436202284169</v>
      </c>
      <c r="H369" s="70">
        <f t="shared" si="36"/>
        <v>0.10192506140561226</v>
      </c>
      <c r="I369" s="71">
        <f t="shared" si="40"/>
        <v>0.85923988131289208</v>
      </c>
      <c r="L369" s="74"/>
      <c r="M369" s="74"/>
      <c r="N369" s="74"/>
      <c r="O369" s="74"/>
      <c r="P369" s="74"/>
      <c r="Q369" s="74"/>
      <c r="R369" s="74"/>
      <c r="S369" s="74"/>
      <c r="T369" s="74"/>
      <c r="U369" s="74"/>
      <c r="V369" s="74"/>
      <c r="W369" s="74"/>
      <c r="X369" s="74"/>
      <c r="Y369" s="74"/>
      <c r="Z369" s="74"/>
    </row>
    <row r="370" spans="1:26" x14ac:dyDescent="0.3">
      <c r="A370" s="66">
        <f t="shared" si="38"/>
        <v>2026.299999999967</v>
      </c>
      <c r="B370" s="67">
        <f>LOOKUP(A370+0.01,AmountsB!$A$4:$A$103,AmountsB!$B$4:$B$103)*0.1*$A$2</f>
        <v>0</v>
      </c>
      <c r="C370" s="68">
        <f t="shared" si="37"/>
        <v>1538495.7946267016</v>
      </c>
      <c r="D370" s="67">
        <f t="array" ref="D370">SUM($B$7:$B365*$F$1009*EXP(-$F$1009*($A370-$A$7:$A365)))*$F$1010</f>
        <v>156059142.01170105</v>
      </c>
      <c r="E370" s="67">
        <f t="shared" si="35"/>
        <v>297.51297733474996</v>
      </c>
      <c r="F370" s="70">
        <f t="shared" si="39"/>
        <v>18.06498798376602</v>
      </c>
      <c r="G370" s="67">
        <f>E370/'Lookup Tables'!$C$48</f>
        <v>595.02595466949992</v>
      </c>
      <c r="H370" s="70">
        <f t="shared" si="36"/>
        <v>0.10164007040726858</v>
      </c>
      <c r="I370" s="71">
        <f t="shared" si="40"/>
        <v>0.85683737472407984</v>
      </c>
      <c r="L370" s="74"/>
      <c r="M370" s="74"/>
      <c r="N370" s="74"/>
      <c r="O370" s="74"/>
      <c r="P370" s="74"/>
      <c r="Q370" s="74"/>
      <c r="R370" s="74"/>
      <c r="S370" s="74"/>
      <c r="T370" s="74"/>
      <c r="U370" s="74"/>
      <c r="V370" s="74"/>
      <c r="W370" s="74"/>
      <c r="X370" s="74"/>
      <c r="Y370" s="74"/>
      <c r="Z370" s="74"/>
    </row>
    <row r="371" spans="1:26" x14ac:dyDescent="0.3">
      <c r="A371" s="66">
        <f t="shared" si="38"/>
        <v>2026.3999999999669</v>
      </c>
      <c r="B371" s="67">
        <f>LOOKUP(A371+0.01,AmountsB!$A$4:$A$103,AmountsB!$B$4:$B$103)*0.1*$A$2</f>
        <v>0</v>
      </c>
      <c r="C371" s="68">
        <f t="shared" si="37"/>
        <v>1538495.7946267016</v>
      </c>
      <c r="D371" s="67">
        <f t="array" ref="D371">SUM($B$7:$B366*$F$1009*EXP(-$F$1009*($A371-$A$7:$A366)))*$F$1010</f>
        <v>155622787.59533641</v>
      </c>
      <c r="E371" s="67">
        <f t="shared" si="35"/>
        <v>296.68110616134521</v>
      </c>
      <c r="F371" s="70">
        <f t="shared" si="39"/>
        <v>18.014476766116879</v>
      </c>
      <c r="G371" s="67">
        <f>E371/'Lookup Tables'!$C$48</f>
        <v>593.36221232269043</v>
      </c>
      <c r="H371" s="70">
        <f t="shared" si="36"/>
        <v>0.1013558762675975</v>
      </c>
      <c r="I371" s="71">
        <f t="shared" si="40"/>
        <v>0.85444158574467421</v>
      </c>
      <c r="L371" s="74"/>
      <c r="M371" s="74"/>
      <c r="N371" s="74"/>
      <c r="O371" s="74"/>
      <c r="P371" s="74"/>
      <c r="Q371" s="74"/>
      <c r="R371" s="74"/>
      <c r="S371" s="74"/>
      <c r="T371" s="74"/>
      <c r="U371" s="74"/>
      <c r="V371" s="74"/>
      <c r="W371" s="74"/>
      <c r="X371" s="74"/>
      <c r="Y371" s="74"/>
      <c r="Z371" s="74"/>
    </row>
    <row r="372" spans="1:26" x14ac:dyDescent="0.3">
      <c r="A372" s="66">
        <f t="shared" si="38"/>
        <v>2026.4999999999668</v>
      </c>
      <c r="B372" s="67">
        <f>LOOKUP(A372+0.01,AmountsB!$A$4:$A$103,AmountsB!$B$4:$B$103)*0.1*$A$2</f>
        <v>0</v>
      </c>
      <c r="C372" s="68">
        <f t="shared" si="37"/>
        <v>1538495.7946267016</v>
      </c>
      <c r="D372" s="67">
        <f t="array" ref="D372">SUM($B$7:$B367*$F$1009*EXP(-$F$1009*($A372-$A$7:$A367)))*$F$1010</f>
        <v>155187653.26242369</v>
      </c>
      <c r="E372" s="67">
        <f t="shared" si="35"/>
        <v>295.85156096933252</v>
      </c>
      <c r="F372" s="70">
        <f t="shared" si="39"/>
        <v>17.964106782057875</v>
      </c>
      <c r="G372" s="67">
        <f>E372/'Lookup Tables'!$C$48</f>
        <v>591.70312193866505</v>
      </c>
      <c r="H372" s="70">
        <f t="shared" si="36"/>
        <v>0.10107247675851554</v>
      </c>
      <c r="I372" s="71">
        <f t="shared" si="40"/>
        <v>0.85205249559167773</v>
      </c>
      <c r="L372" s="74"/>
      <c r="M372" s="74"/>
      <c r="N372" s="74"/>
      <c r="O372" s="74"/>
      <c r="P372" s="74"/>
      <c r="Q372" s="74"/>
      <c r="R372" s="74"/>
      <c r="S372" s="74"/>
      <c r="T372" s="74"/>
      <c r="U372" s="74"/>
      <c r="V372" s="74"/>
      <c r="W372" s="74"/>
      <c r="X372" s="74"/>
      <c r="Y372" s="74"/>
      <c r="Z372" s="74"/>
    </row>
    <row r="373" spans="1:26" x14ac:dyDescent="0.3">
      <c r="A373" s="66">
        <f t="shared" si="38"/>
        <v>2026.5999999999667</v>
      </c>
      <c r="B373" s="67">
        <f>LOOKUP(A373+0.01,AmountsB!$A$4:$A$103,AmountsB!$B$4:$B$103)*0.1*$A$2</f>
        <v>0</v>
      </c>
      <c r="C373" s="68">
        <f t="shared" si="37"/>
        <v>1538495.7946267016</v>
      </c>
      <c r="D373" s="67">
        <f t="array" ref="D373">SUM($B$7:$B368*$F$1009*EXP(-$F$1009*($A373-$A$7:$A368)))*$F$1010</f>
        <v>154753735.60150748</v>
      </c>
      <c r="E373" s="67">
        <f t="shared" si="35"/>
        <v>295.02433525507325</v>
      </c>
      <c r="F373" s="70">
        <f t="shared" si="39"/>
        <v>17.913877636688046</v>
      </c>
      <c r="G373" s="67">
        <f>E373/'Lookup Tables'!$C$48</f>
        <v>590.04867051014651</v>
      </c>
      <c r="H373" s="70">
        <f t="shared" si="36"/>
        <v>0.10078986965816907</v>
      </c>
      <c r="I373" s="71">
        <f t="shared" si="40"/>
        <v>0.84967008553461099</v>
      </c>
      <c r="L373" s="74"/>
      <c r="M373" s="74"/>
      <c r="N373" s="74"/>
      <c r="O373" s="74"/>
      <c r="P373" s="74"/>
      <c r="Q373" s="74"/>
      <c r="R373" s="74"/>
      <c r="S373" s="74"/>
      <c r="T373" s="74"/>
      <c r="U373" s="74"/>
      <c r="V373" s="74"/>
      <c r="W373" s="74"/>
      <c r="X373" s="74"/>
      <c r="Y373" s="74"/>
      <c r="Z373" s="74"/>
    </row>
    <row r="374" spans="1:26" x14ac:dyDescent="0.3">
      <c r="A374" s="66">
        <f t="shared" si="38"/>
        <v>2026.6999999999666</v>
      </c>
      <c r="B374" s="67">
        <f>LOOKUP(A374+0.01,AmountsB!$A$4:$A$103,AmountsB!$B$4:$B$103)*0.1*$A$2</f>
        <v>0</v>
      </c>
      <c r="C374" s="68">
        <f t="shared" si="37"/>
        <v>1538495.7946267016</v>
      </c>
      <c r="D374" s="67">
        <f t="array" ref="D374">SUM($B$7:$B369*$F$1009*EXP(-$F$1009*($A374-$A$7:$A369)))*$F$1010</f>
        <v>154321031.21067095</v>
      </c>
      <c r="E374" s="67">
        <f t="shared" si="35"/>
        <v>294.19942253311342</v>
      </c>
      <c r="F374" s="70">
        <f t="shared" si="39"/>
        <v>17.863788936210646</v>
      </c>
      <c r="G374" s="67">
        <f>E374/'Lookup Tables'!$C$48</f>
        <v>588.39884506622684</v>
      </c>
      <c r="H374" s="70">
        <f t="shared" si="36"/>
        <v>0.10050805275091695</v>
      </c>
      <c r="I374" s="71">
        <f t="shared" si="40"/>
        <v>0.84729433689536671</v>
      </c>
      <c r="L374" s="74"/>
      <c r="M374" s="74"/>
      <c r="N374" s="74"/>
      <c r="O374" s="74"/>
      <c r="P374" s="74"/>
      <c r="Q374" s="74"/>
      <c r="R374" s="74"/>
      <c r="S374" s="74"/>
      <c r="T374" s="74"/>
      <c r="U374" s="74"/>
      <c r="V374" s="74"/>
      <c r="W374" s="74"/>
      <c r="X374" s="74"/>
      <c r="Y374" s="74"/>
      <c r="Z374" s="74"/>
    </row>
    <row r="375" spans="1:26" x14ac:dyDescent="0.3">
      <c r="A375" s="66">
        <f t="shared" si="38"/>
        <v>2026.7999999999665</v>
      </c>
      <c r="B375" s="67">
        <f>LOOKUP(A375+0.01,AmountsB!$A$4:$A$103,AmountsB!$B$4:$B$103)*0.1*$A$2</f>
        <v>0</v>
      </c>
      <c r="C375" s="68">
        <f t="shared" si="37"/>
        <v>1538495.7946267016</v>
      </c>
      <c r="D375" s="67">
        <f t="array" ref="D375">SUM($B$7:$B370*$F$1009*EXP(-$F$1009*($A375-$A$7:$A370)))*$F$1010</f>
        <v>153889536.69750962</v>
      </c>
      <c r="E375" s="67">
        <f t="shared" si="35"/>
        <v>293.37681633613323</v>
      </c>
      <c r="F375" s="70">
        <f t="shared" si="39"/>
        <v>17.813840287930013</v>
      </c>
      <c r="G375" s="67">
        <f>E375/'Lookup Tables'!$C$48</f>
        <v>586.75363267226646</v>
      </c>
      <c r="H375" s="70">
        <f t="shared" si="36"/>
        <v>0.10022702382731326</v>
      </c>
      <c r="I375" s="71">
        <f t="shared" si="40"/>
        <v>0.84492523104806383</v>
      </c>
      <c r="L375" s="74"/>
      <c r="M375" s="74"/>
      <c r="N375" s="74"/>
      <c r="O375" s="74"/>
      <c r="P375" s="74"/>
      <c r="Q375" s="74"/>
      <c r="R375" s="74"/>
      <c r="S375" s="74"/>
      <c r="T375" s="74"/>
      <c r="U375" s="74"/>
      <c r="V375" s="74"/>
      <c r="W375" s="74"/>
      <c r="X375" s="74"/>
      <c r="Y375" s="74"/>
      <c r="Z375" s="74"/>
    </row>
    <row r="376" spans="1:26" x14ac:dyDescent="0.3">
      <c r="A376" s="66">
        <f t="shared" si="38"/>
        <v>2026.8999999999664</v>
      </c>
      <c r="B376" s="67">
        <f>LOOKUP(A376+0.01,AmountsB!$A$4:$A$103,AmountsB!$B$4:$B$103)*0.1*$A$2</f>
        <v>0</v>
      </c>
      <c r="C376" s="68">
        <f t="shared" si="37"/>
        <v>1538495.7946267016</v>
      </c>
      <c r="D376" s="67">
        <f t="array" ref="D376">SUM($B$7:$B371*$F$1009*EXP(-$F$1009*($A376-$A$7:$A371)))*$F$1010</f>
        <v>153459248.67910421</v>
      </c>
      <c r="E376" s="67">
        <f t="shared" si="35"/>
        <v>292.55651021489575</v>
      </c>
      <c r="F376" s="70">
        <f t="shared" si="39"/>
        <v>17.764031300248469</v>
      </c>
      <c r="G376" s="67">
        <f>E376/'Lookup Tables'!$C$48</f>
        <v>585.1130204297915</v>
      </c>
      <c r="H376" s="70">
        <f t="shared" si="36"/>
        <v>9.9946780684089673E-2</v>
      </c>
      <c r="I376" s="71">
        <f t="shared" si="40"/>
        <v>0.84256274941889975</v>
      </c>
      <c r="L376" s="74"/>
      <c r="M376" s="74"/>
      <c r="N376" s="74"/>
      <c r="O376" s="74"/>
      <c r="P376" s="74"/>
      <c r="Q376" s="74"/>
      <c r="R376" s="74"/>
      <c r="S376" s="74"/>
      <c r="T376" s="74"/>
      <c r="U376" s="74"/>
      <c r="V376" s="74"/>
      <c r="W376" s="74"/>
      <c r="X376" s="74"/>
      <c r="Y376" s="74"/>
      <c r="Z376" s="74"/>
    </row>
    <row r="377" spans="1:26" x14ac:dyDescent="0.3">
      <c r="A377" s="66">
        <f t="shared" si="38"/>
        <v>2026.9999999999663</v>
      </c>
      <c r="B377" s="67">
        <f>LOOKUP(A377+0.01,AmountsB!$A$4:$A$103,AmountsB!$B$4:$B$103)*0.1*$A$2</f>
        <v>0</v>
      </c>
      <c r="C377" s="68">
        <f t="shared" si="37"/>
        <v>1538495.7946267016</v>
      </c>
      <c r="D377" s="67">
        <f t="array" ref="D377">SUM($B$7:$B372*$F$1009*EXP(-$F$1009*($A377-$A$7:$A372)))*$F$1010</f>
        <v>153030163.78199449</v>
      </c>
      <c r="E377" s="67">
        <f t="shared" si="35"/>
        <v>291.73849773819694</v>
      </c>
      <c r="F377" s="70">
        <f t="shared" si="39"/>
        <v>17.714361582663315</v>
      </c>
      <c r="G377" s="67">
        <f>E377/'Lookup Tables'!$C$48</f>
        <v>583.47699547639388</v>
      </c>
      <c r="H377" s="70">
        <f t="shared" si="36"/>
        <v>9.9667321124138619E-2</v>
      </c>
      <c r="I377" s="71">
        <f t="shared" si="40"/>
        <v>0.84020687348600709</v>
      </c>
      <c r="L377" s="74"/>
      <c r="M377" s="74"/>
      <c r="N377" s="74"/>
      <c r="O377" s="74"/>
      <c r="P377" s="74"/>
      <c r="Q377" s="74"/>
      <c r="R377" s="74"/>
      <c r="S377" s="74"/>
      <c r="T377" s="74"/>
      <c r="U377" s="74"/>
      <c r="V377" s="74"/>
      <c r="W377" s="74"/>
      <c r="X377" s="74"/>
      <c r="Y377" s="74"/>
      <c r="Z377" s="74"/>
    </row>
    <row r="378" spans="1:26" x14ac:dyDescent="0.3">
      <c r="A378" s="66">
        <f t="shared" si="38"/>
        <v>2027.0999999999663</v>
      </c>
      <c r="B378" s="67">
        <f>LOOKUP(A378+0.01,AmountsB!$A$4:$A$103,AmountsB!$B$4:$B$103)*0.1*$A$2</f>
        <v>0</v>
      </c>
      <c r="C378" s="68">
        <f t="shared" si="37"/>
        <v>1538495.7946267016</v>
      </c>
      <c r="D378" s="67">
        <f t="array" ref="D378">SUM($B$7:$B373*$F$1009*EXP(-$F$1009*($A378-$A$7:$A373)))*$F$1010</f>
        <v>152602278.64215267</v>
      </c>
      <c r="E378" s="67">
        <f t="shared" si="35"/>
        <v>290.92277249281472</v>
      </c>
      <c r="F378" s="70">
        <f t="shared" si="39"/>
        <v>17.664830745763709</v>
      </c>
      <c r="G378" s="67">
        <f>E378/'Lookup Tables'!$C$48</f>
        <v>581.84554498562943</v>
      </c>
      <c r="H378" s="70">
        <f t="shared" si="36"/>
        <v>9.9388642956495715E-2</v>
      </c>
      <c r="I378" s="71">
        <f t="shared" si="40"/>
        <v>0.83785758477930627</v>
      </c>
      <c r="L378" s="74"/>
      <c r="M378" s="74"/>
      <c r="N378" s="74"/>
      <c r="O378" s="74"/>
      <c r="P378" s="74"/>
      <c r="Q378" s="74"/>
      <c r="R378" s="74"/>
      <c r="S378" s="74"/>
      <c r="T378" s="74"/>
      <c r="U378" s="74"/>
      <c r="V378" s="74"/>
      <c r="W378" s="74"/>
      <c r="X378" s="74"/>
      <c r="Y378" s="74"/>
      <c r="Z378" s="74"/>
    </row>
    <row r="379" spans="1:26" x14ac:dyDescent="0.3">
      <c r="A379" s="66">
        <f t="shared" si="38"/>
        <v>2027.1999999999662</v>
      </c>
      <c r="B379" s="67">
        <f>LOOKUP(A379+0.01,AmountsB!$A$4:$A$103,AmountsB!$B$4:$B$103)*0.1*$A$2</f>
        <v>0</v>
      </c>
      <c r="C379" s="68">
        <f t="shared" si="37"/>
        <v>1538495.7946267016</v>
      </c>
      <c r="D379" s="67">
        <f t="array" ref="D379">SUM($B$7:$B374*$F$1009*EXP(-$F$1009*($A379-$A$7:$A374)))*$F$1010</f>
        <v>152175589.90495706</v>
      </c>
      <c r="E379" s="67">
        <f t="shared" si="35"/>
        <v>290.10932808345899</v>
      </c>
      <c r="F379" s="70">
        <f t="shared" si="39"/>
        <v>17.615438401227628</v>
      </c>
      <c r="G379" s="67">
        <f>E379/'Lookup Tables'!$C$48</f>
        <v>580.21865616691798</v>
      </c>
      <c r="H379" s="70">
        <f t="shared" si="36"/>
        <v>9.9110743996322664E-2</v>
      </c>
      <c r="I379" s="71">
        <f t="shared" si="40"/>
        <v>0.83551486488036186</v>
      </c>
      <c r="L379" s="74"/>
      <c r="M379" s="74"/>
      <c r="N379" s="74"/>
      <c r="O379" s="74"/>
      <c r="P379" s="74"/>
      <c r="Q379" s="74"/>
      <c r="R379" s="74"/>
      <c r="S379" s="74"/>
      <c r="T379" s="74"/>
      <c r="U379" s="74"/>
      <c r="V379" s="74"/>
      <c r="W379" s="74"/>
      <c r="X379" s="74"/>
      <c r="Y379" s="74"/>
      <c r="Z379" s="74"/>
    </row>
    <row r="380" spans="1:26" x14ac:dyDescent="0.3">
      <c r="A380" s="66">
        <f t="shared" si="38"/>
        <v>2027.2999999999661</v>
      </c>
      <c r="B380" s="67">
        <f>LOOKUP(A380+0.01,AmountsB!$A$4:$A$103,AmountsB!$B$4:$B$103)*0.1*$A$2</f>
        <v>0</v>
      </c>
      <c r="C380" s="68">
        <f t="shared" si="37"/>
        <v>1538495.7946267016</v>
      </c>
      <c r="D380" s="67">
        <f t="array" ref="D380">SUM($B$7:$B375*$F$1009*EXP(-$F$1009*($A380-$A$7:$A375)))*$F$1010</f>
        <v>151750094.22516578</v>
      </c>
      <c r="E380" s="67">
        <f t="shared" si="35"/>
        <v>289.29815813272143</v>
      </c>
      <c r="F380" s="70">
        <f t="shared" si="39"/>
        <v>17.566184161818846</v>
      </c>
      <c r="G380" s="67">
        <f>E380/'Lookup Tables'!$C$48</f>
        <v>578.59631626544285</v>
      </c>
      <c r="H380" s="70">
        <f t="shared" si="36"/>
        <v>9.8833622064890214E-2</v>
      </c>
      <c r="I380" s="71">
        <f t="shared" si="40"/>
        <v>0.83317869542223777</v>
      </c>
      <c r="L380" s="74"/>
      <c r="M380" s="74"/>
      <c r="N380" s="74"/>
      <c r="O380" s="74"/>
      <c r="P380" s="74"/>
      <c r="Q380" s="74"/>
      <c r="R380" s="74"/>
      <c r="S380" s="74"/>
      <c r="T380" s="74"/>
      <c r="U380" s="74"/>
      <c r="V380" s="74"/>
      <c r="W380" s="74"/>
      <c r="X380" s="74"/>
      <c r="Y380" s="74"/>
      <c r="Z380" s="74"/>
    </row>
    <row r="381" spans="1:26" x14ac:dyDescent="0.3">
      <c r="A381" s="66">
        <f t="shared" si="38"/>
        <v>2027.399999999966</v>
      </c>
      <c r="B381" s="67">
        <f>LOOKUP(A381+0.01,AmountsB!$A$4:$A$103,AmountsB!$B$4:$B$103)*0.1*$A$2</f>
        <v>0</v>
      </c>
      <c r="C381" s="68">
        <f t="shared" si="37"/>
        <v>1538495.7946267016</v>
      </c>
      <c r="D381" s="67">
        <f t="array" ref="D381">SUM($B$7:$B376*$F$1009*EXP(-$F$1009*($A381-$A$7:$A376)))*$F$1010</f>
        <v>151325788.2668905</v>
      </c>
      <c r="E381" s="67">
        <f t="shared" si="35"/>
        <v>288.48925628102546</v>
      </c>
      <c r="F381" s="70">
        <f t="shared" si="39"/>
        <v>17.517067641383864</v>
      </c>
      <c r="G381" s="67">
        <f>E381/'Lookup Tables'!$C$48</f>
        <v>576.97851256205092</v>
      </c>
      <c r="H381" s="70">
        <f t="shared" si="36"/>
        <v>9.8557274989561003E-2</v>
      </c>
      <c r="I381" s="71">
        <f t="shared" si="40"/>
        <v>0.83084905808935339</v>
      </c>
      <c r="L381" s="74"/>
      <c r="M381" s="74"/>
      <c r="N381" s="74"/>
      <c r="O381" s="74"/>
      <c r="P381" s="74"/>
      <c r="Q381" s="74"/>
      <c r="R381" s="74"/>
      <c r="S381" s="74"/>
      <c r="T381" s="74"/>
      <c r="U381" s="74"/>
      <c r="V381" s="74"/>
      <c r="W381" s="74"/>
      <c r="X381" s="74"/>
      <c r="Y381" s="74"/>
      <c r="Z381" s="74"/>
    </row>
    <row r="382" spans="1:26" x14ac:dyDescent="0.3">
      <c r="A382" s="66">
        <f t="shared" si="38"/>
        <v>2027.4999999999659</v>
      </c>
      <c r="B382" s="67">
        <f>LOOKUP(A382+0.01,AmountsB!$A$4:$A$103,AmountsB!$B$4:$B$103)*0.1*$A$2</f>
        <v>0</v>
      </c>
      <c r="C382" s="68">
        <f t="shared" si="37"/>
        <v>1538495.7946267016</v>
      </c>
      <c r="D382" s="67">
        <f t="array" ref="D382">SUM($B$7:$B377*$F$1009*EXP(-$F$1009*($A382-$A$7:$A377)))*$F$1010</f>
        <v>150902668.70357031</v>
      </c>
      <c r="E382" s="67">
        <f t="shared" si="35"/>
        <v>287.6826161865763</v>
      </c>
      <c r="F382" s="70">
        <f t="shared" si="39"/>
        <v>17.46808845484891</v>
      </c>
      <c r="G382" s="67">
        <f>E382/'Lookup Tables'!$C$48</f>
        <v>575.36523237315259</v>
      </c>
      <c r="H382" s="70">
        <f t="shared" si="36"/>
        <v>9.8281700603772448E-2</v>
      </c>
      <c r="I382" s="71">
        <f t="shared" si="40"/>
        <v>0.82852593461733959</v>
      </c>
      <c r="L382" s="74"/>
      <c r="M382" s="74"/>
      <c r="N382" s="74"/>
      <c r="O382" s="74"/>
      <c r="P382" s="74"/>
      <c r="Q382" s="74"/>
      <c r="R382" s="74"/>
      <c r="S382" s="74"/>
      <c r="T382" s="74"/>
      <c r="U382" s="74"/>
      <c r="V382" s="74"/>
      <c r="W382" s="74"/>
      <c r="X382" s="74"/>
      <c r="Y382" s="74"/>
      <c r="Z382" s="74"/>
    </row>
    <row r="383" spans="1:26" x14ac:dyDescent="0.3">
      <c r="A383" s="66">
        <f t="shared" si="38"/>
        <v>2027.5999999999658</v>
      </c>
      <c r="B383" s="67">
        <f>LOOKUP(A383+0.01,AmountsB!$A$4:$A$103,AmountsB!$B$4:$B$103)*0.1*$A$2</f>
        <v>0</v>
      </c>
      <c r="C383" s="68">
        <f t="shared" si="37"/>
        <v>1538495.7946267016</v>
      </c>
      <c r="D383" s="67">
        <f t="array" ref="D383">SUM($B$7:$B378*$F$1009*EXP(-$F$1009*($A383-$A$7:$A378)))*$F$1010</f>
        <v>150480732.21794572</v>
      </c>
      <c r="E383" s="67">
        <f t="shared" si="35"/>
        <v>286.87823152531166</v>
      </c>
      <c r="F383" s="70">
        <f t="shared" si="39"/>
        <v>17.419246218216923</v>
      </c>
      <c r="G383" s="67">
        <f>E383/'Lookup Tables'!$C$48</f>
        <v>573.75646305062332</v>
      </c>
      <c r="H383" s="70">
        <f t="shared" si="36"/>
        <v>9.8006896747020109E-2</v>
      </c>
      <c r="I383" s="71">
        <f t="shared" si="40"/>
        <v>0.8262093067928975</v>
      </c>
      <c r="L383" s="74"/>
      <c r="M383" s="74"/>
      <c r="N383" s="74"/>
      <c r="O383" s="74"/>
      <c r="P383" s="74"/>
      <c r="Q383" s="74"/>
      <c r="R383" s="74"/>
      <c r="S383" s="74"/>
      <c r="T383" s="74"/>
      <c r="U383" s="74"/>
      <c r="V383" s="74"/>
      <c r="W383" s="74"/>
      <c r="X383" s="74"/>
      <c r="Y383" s="74"/>
      <c r="Z383" s="74"/>
    </row>
    <row r="384" spans="1:26" x14ac:dyDescent="0.3">
      <c r="A384" s="66">
        <f t="shared" si="38"/>
        <v>2027.6999999999657</v>
      </c>
      <c r="B384" s="67">
        <f>LOOKUP(A384+0.01,AmountsB!$A$4:$A$103,AmountsB!$B$4:$B$103)*0.1*$A$2</f>
        <v>0</v>
      </c>
      <c r="C384" s="68">
        <f t="shared" si="37"/>
        <v>1538495.7946267016</v>
      </c>
      <c r="D384" s="67">
        <f t="array" ref="D384">SUM($B$7:$B379*$F$1009*EXP(-$F$1009*($A384-$A$7:$A379)))*$F$1010</f>
        <v>150059975.50203252</v>
      </c>
      <c r="E384" s="67">
        <f t="shared" si="35"/>
        <v>286.07609599085163</v>
      </c>
      <c r="F384" s="70">
        <f t="shared" si="39"/>
        <v>17.370540548564513</v>
      </c>
      <c r="G384" s="67">
        <f>E384/'Lookup Tables'!$C$48</f>
        <v>572.15219198170325</v>
      </c>
      <c r="H384" s="70">
        <f t="shared" si="36"/>
        <v>9.7732861264840279E-2</v>
      </c>
      <c r="I384" s="71">
        <f t="shared" si="40"/>
        <v>0.82389915645365275</v>
      </c>
      <c r="L384" s="74"/>
      <c r="M384" s="74"/>
      <c r="N384" s="74"/>
      <c r="O384" s="74"/>
      <c r="P384" s="74"/>
      <c r="Q384" s="74"/>
      <c r="R384" s="74"/>
      <c r="S384" s="74"/>
      <c r="T384" s="74"/>
      <c r="U384" s="74"/>
      <c r="V384" s="74"/>
      <c r="W384" s="74"/>
      <c r="X384" s="74"/>
      <c r="Y384" s="74"/>
      <c r="Z384" s="74"/>
    </row>
    <row r="385" spans="1:26" x14ac:dyDescent="0.3">
      <c r="A385" s="66">
        <f t="shared" si="38"/>
        <v>2027.7999999999656</v>
      </c>
      <c r="B385" s="67">
        <f>LOOKUP(A385+0.01,AmountsB!$A$4:$A$103,AmountsB!$B$4:$B$103)*0.1*$A$2</f>
        <v>0</v>
      </c>
      <c r="C385" s="68">
        <f t="shared" si="37"/>
        <v>1538495.7946267016</v>
      </c>
      <c r="D385" s="67">
        <f t="array" ref="D385">SUM($B$7:$B380*$F$1009*EXP(-$F$1009*($A385-$A$7:$A380)))*$F$1010</f>
        <v>149640395.25709584</v>
      </c>
      <c r="E385" s="67">
        <f t="shared" si="35"/>
        <v>285.27620329444943</v>
      </c>
      <c r="F385" s="70">
        <f t="shared" si="39"/>
        <v>17.321971064038969</v>
      </c>
      <c r="G385" s="67">
        <f>E385/'Lookup Tables'!$C$48</f>
        <v>570.55240658889886</v>
      </c>
      <c r="H385" s="70">
        <f t="shared" si="36"/>
        <v>9.7459592008793325E-2</v>
      </c>
      <c r="I385" s="71">
        <f t="shared" si="40"/>
        <v>0.82159546548801443</v>
      </c>
      <c r="L385" s="74"/>
      <c r="M385" s="74"/>
      <c r="N385" s="74"/>
      <c r="O385" s="74"/>
      <c r="P385" s="74"/>
      <c r="Q385" s="74"/>
      <c r="R385" s="74"/>
      <c r="S385" s="74"/>
      <c r="T385" s="74"/>
      <c r="U385" s="74"/>
      <c r="V385" s="74"/>
      <c r="W385" s="74"/>
      <c r="X385" s="74"/>
      <c r="Y385" s="74"/>
      <c r="Z385" s="74"/>
    </row>
    <row r="386" spans="1:26" x14ac:dyDescent="0.3">
      <c r="A386" s="66">
        <f t="shared" si="38"/>
        <v>2027.8999999999655</v>
      </c>
      <c r="B386" s="67">
        <f>LOOKUP(A386+0.01,AmountsB!$A$4:$A$103,AmountsB!$B$4:$B$103)*0.1*$A$2</f>
        <v>0</v>
      </c>
      <c r="C386" s="68">
        <f t="shared" si="37"/>
        <v>1538495.7946267016</v>
      </c>
      <c r="D386" s="67">
        <f t="array" ref="D386">SUM($B$7:$B381*$F$1009*EXP(-$F$1009*($A386-$A$7:$A381)))*$F$1010</f>
        <v>149221988.19362444</v>
      </c>
      <c r="E386" s="67">
        <f t="shared" si="35"/>
        <v>284.47854716494226</v>
      </c>
      <c r="F386" s="70">
        <f t="shared" si="39"/>
        <v>17.273537383855295</v>
      </c>
      <c r="G386" s="67">
        <f>E386/'Lookup Tables'!$C$48</f>
        <v>568.95709432988451</v>
      </c>
      <c r="H386" s="70">
        <f t="shared" si="36"/>
        <v>9.7187086836446918E-2</v>
      </c>
      <c r="I386" s="71">
        <f t="shared" si="40"/>
        <v>0.81929821583503371</v>
      </c>
      <c r="L386" s="74"/>
      <c r="M386" s="74"/>
      <c r="N386" s="74"/>
      <c r="O386" s="74"/>
      <c r="P386" s="74"/>
      <c r="Q386" s="74"/>
      <c r="R386" s="74"/>
      <c r="S386" s="74"/>
      <c r="T386" s="74"/>
      <c r="U386" s="74"/>
      <c r="V386" s="74"/>
      <c r="W386" s="74"/>
      <c r="X386" s="74"/>
      <c r="Y386" s="74"/>
      <c r="Z386" s="74"/>
    </row>
    <row r="387" spans="1:26" x14ac:dyDescent="0.3">
      <c r="A387" s="66">
        <f t="shared" si="38"/>
        <v>2027.9999999999654</v>
      </c>
      <c r="B387" s="67">
        <f>LOOKUP(A387+0.01,AmountsB!$A$4:$A$103,AmountsB!$B$4:$B$103)*0.1*$A$2</f>
        <v>0</v>
      </c>
      <c r="C387" s="68">
        <f t="shared" si="37"/>
        <v>1538495.7946267016</v>
      </c>
      <c r="D387" s="67">
        <f t="array" ref="D387">SUM($B$7:$B382*$F$1009*EXP(-$F$1009*($A387-$A$7:$A382)))*$F$1010</f>
        <v>148804751.03130487</v>
      </c>
      <c r="E387" s="67">
        <f t="shared" si="35"/>
        <v>283.68312134870206</v>
      </c>
      <c r="F387" s="70">
        <f t="shared" si="39"/>
        <v>17.22523912829319</v>
      </c>
      <c r="G387" s="67">
        <f>E387/'Lookup Tables'!$C$48</f>
        <v>567.36624269740412</v>
      </c>
      <c r="H387" s="70">
        <f t="shared" si="36"/>
        <v>9.6915343611359117E-2</v>
      </c>
      <c r="I387" s="71">
        <f t="shared" si="40"/>
        <v>0.81700738948426188</v>
      </c>
      <c r="L387" s="74"/>
      <c r="M387" s="74"/>
      <c r="N387" s="74"/>
      <c r="O387" s="74"/>
      <c r="P387" s="74"/>
      <c r="Q387" s="74"/>
      <c r="R387" s="74"/>
      <c r="S387" s="74"/>
      <c r="T387" s="74"/>
      <c r="U387" s="74"/>
      <c r="V387" s="74"/>
      <c r="W387" s="74"/>
      <c r="X387" s="74"/>
      <c r="Y387" s="74"/>
      <c r="Z387" s="74"/>
    </row>
    <row r="388" spans="1:26" x14ac:dyDescent="0.3">
      <c r="A388" s="66">
        <f t="shared" si="38"/>
        <v>2028.0999999999653</v>
      </c>
      <c r="B388" s="67">
        <f>LOOKUP(A388+0.01,AmountsB!$A$4:$A$103,AmountsB!$B$4:$B$103)*0.1*$A$2</f>
        <v>0</v>
      </c>
      <c r="C388" s="68">
        <f t="shared" si="37"/>
        <v>1538495.7946267016</v>
      </c>
      <c r="D388" s="67">
        <f t="array" ref="D388">SUM($B$7:$B383*$F$1009*EXP(-$F$1009*($A388-$A$7:$A383)))*$F$1010</f>
        <v>148388680.49899551</v>
      </c>
      <c r="E388" s="67">
        <f t="shared" si="35"/>
        <v>282.88991960958617</v>
      </c>
      <c r="F388" s="70">
        <f t="shared" si="39"/>
        <v>17.177075918694072</v>
      </c>
      <c r="G388" s="67">
        <f>E388/'Lookup Tables'!$C$48</f>
        <v>565.77983921917235</v>
      </c>
      <c r="H388" s="70">
        <f t="shared" si="36"/>
        <v>9.6644360203061636E-2</v>
      </c>
      <c r="I388" s="71">
        <f t="shared" si="40"/>
        <v>0.8147229684756081</v>
      </c>
      <c r="L388" s="74"/>
      <c r="M388" s="74"/>
      <c r="N388" s="74"/>
      <c r="O388" s="74"/>
      <c r="P388" s="74"/>
      <c r="Q388" s="74"/>
      <c r="R388" s="74"/>
      <c r="S388" s="74"/>
      <c r="T388" s="74"/>
      <c r="U388" s="74"/>
      <c r="V388" s="74"/>
      <c r="W388" s="74"/>
      <c r="X388" s="74"/>
      <c r="Y388" s="74"/>
      <c r="Z388" s="74"/>
    </row>
    <row r="389" spans="1:26" x14ac:dyDescent="0.3">
      <c r="A389" s="66">
        <f t="shared" si="38"/>
        <v>2028.1999999999653</v>
      </c>
      <c r="B389" s="67">
        <f>LOOKUP(A389+0.01,AmountsB!$A$4:$A$103,AmountsB!$B$4:$B$103)*0.1*$A$2</f>
        <v>0</v>
      </c>
      <c r="C389" s="68">
        <f t="shared" si="37"/>
        <v>1538495.7946267016</v>
      </c>
      <c r="D389" s="67">
        <f t="array" ref="D389">SUM($B$7:$B384*$F$1009*EXP(-$F$1009*($A389-$A$7:$A384)))*$F$1010</f>
        <v>147973773.33470136</v>
      </c>
      <c r="E389" s="67">
        <f t="shared" si="35"/>
        <v>282.0989357288891</v>
      </c>
      <c r="F389" s="70">
        <f t="shared" si="39"/>
        <v>17.129047377458146</v>
      </c>
      <c r="G389" s="67">
        <f>E389/'Lookup Tables'!$C$48</f>
        <v>564.19787145777821</v>
      </c>
      <c r="H389" s="70">
        <f t="shared" si="36"/>
        <v>9.6374134487043184E-2</v>
      </c>
      <c r="I389" s="71">
        <f t="shared" si="40"/>
        <v>0.81244493489920067</v>
      </c>
      <c r="L389" s="74"/>
      <c r="M389" s="74"/>
      <c r="N389" s="74"/>
      <c r="O389" s="74"/>
      <c r="P389" s="74"/>
      <c r="Q389" s="74"/>
      <c r="R389" s="74"/>
      <c r="S389" s="74"/>
      <c r="T389" s="74"/>
      <c r="U389" s="74"/>
      <c r="V389" s="74"/>
      <c r="W389" s="74"/>
      <c r="X389" s="74"/>
      <c r="Y389" s="74"/>
      <c r="Z389" s="74"/>
    </row>
    <row r="390" spans="1:26" x14ac:dyDescent="0.3">
      <c r="A390" s="66">
        <f t="shared" si="38"/>
        <v>2028.2999999999652</v>
      </c>
      <c r="B390" s="67">
        <f>LOOKUP(A390+0.01,AmountsB!$A$4:$A$103,AmountsB!$B$4:$B$103)*0.1*$A$2</f>
        <v>0</v>
      </c>
      <c r="C390" s="68">
        <f t="shared" si="37"/>
        <v>1538495.7946267016</v>
      </c>
      <c r="D390" s="67">
        <f t="array" ref="D390">SUM($B$7:$B385*$F$1009*EXP(-$F$1009*($A390-$A$7:$A385)))*$F$1010</f>
        <v>147560026.28554803</v>
      </c>
      <c r="E390" s="67">
        <f t="shared" si="35"/>
        <v>281.31016350529296</v>
      </c>
      <c r="F390" s="70">
        <f t="shared" si="39"/>
        <v>17.08115312804139</v>
      </c>
      <c r="G390" s="67">
        <f>E390/'Lookup Tables'!$C$48</f>
        <v>562.62032701058592</v>
      </c>
      <c r="H390" s="70">
        <f t="shared" si="36"/>
        <v>9.6104664344732721E-2</v>
      </c>
      <c r="I390" s="71">
        <f t="shared" si="40"/>
        <v>0.81017327089524382</v>
      </c>
      <c r="L390" s="74"/>
      <c r="M390" s="74"/>
      <c r="N390" s="74"/>
      <c r="O390" s="74"/>
      <c r="P390" s="74"/>
      <c r="Q390" s="74"/>
      <c r="R390" s="74"/>
      <c r="S390" s="74"/>
      <c r="T390" s="74"/>
      <c r="U390" s="74"/>
      <c r="V390" s="74"/>
      <c r="W390" s="74"/>
      <c r="X390" s="74"/>
      <c r="Y390" s="74"/>
      <c r="Z390" s="74"/>
    </row>
    <row r="391" spans="1:26" x14ac:dyDescent="0.3">
      <c r="A391" s="66">
        <f t="shared" si="38"/>
        <v>2028.3999999999651</v>
      </c>
      <c r="B391" s="67">
        <f>LOOKUP(A391+0.01,AmountsB!$A$4:$A$103,AmountsB!$B$4:$B$103)*0.1*$A$2</f>
        <v>0</v>
      </c>
      <c r="C391" s="68">
        <f t="shared" si="37"/>
        <v>1538495.7946267016</v>
      </c>
      <c r="D391" s="67">
        <f t="array" ref="D391">SUM($B$7:$B386*$F$1009*EXP(-$F$1009*($A391-$A$7:$A386)))*$F$1010</f>
        <v>147147436.1077567</v>
      </c>
      <c r="E391" s="67">
        <f t="shared" ref="E391:E454" si="41">D391/(365*24*60)*1.00201</f>
        <v>280.52359675481983</v>
      </c>
      <c r="F391" s="70">
        <f t="shared" si="39"/>
        <v>17.033392794952661</v>
      </c>
      <c r="G391" s="67">
        <f>E391/'Lookup Tables'!$C$48</f>
        <v>561.04719350963967</v>
      </c>
      <c r="H391" s="70">
        <f t="shared" ref="H391:H454" si="42">G391*60*24*365/(C391*2000)</f>
        <v>9.5835947663483051E-2</v>
      </c>
      <c r="I391" s="71">
        <f t="shared" si="40"/>
        <v>0.80790795865388121</v>
      </c>
      <c r="L391" s="74"/>
      <c r="M391" s="74"/>
      <c r="N391" s="74"/>
      <c r="O391" s="74"/>
      <c r="P391" s="74"/>
      <c r="Q391" s="74"/>
      <c r="R391" s="74"/>
      <c r="S391" s="74"/>
      <c r="T391" s="74"/>
      <c r="U391" s="74"/>
      <c r="V391" s="74"/>
      <c r="W391" s="74"/>
      <c r="X391" s="74"/>
      <c r="Y391" s="74"/>
      <c r="Z391" s="74"/>
    </row>
    <row r="392" spans="1:26" x14ac:dyDescent="0.3">
      <c r="A392" s="66">
        <f t="shared" si="38"/>
        <v>2028.499999999965</v>
      </c>
      <c r="B392" s="67">
        <f>LOOKUP(A392+0.01,AmountsB!$A$4:$A$103,AmountsB!$B$4:$B$103)*0.1*$A$2</f>
        <v>0</v>
      </c>
      <c r="C392" s="68">
        <f t="shared" si="37"/>
        <v>1538495.7946267016</v>
      </c>
      <c r="D392" s="67">
        <f t="array" ref="D392">SUM($B$7:$B387*$F$1009*EXP(-$F$1009*($A392-$A$7:$A387)))*$F$1010</f>
        <v>146735999.56661811</v>
      </c>
      <c r="E392" s="67">
        <f t="shared" si="41"/>
        <v>279.73922931078204</v>
      </c>
      <c r="F392" s="70">
        <f t="shared" si="39"/>
        <v>16.985766003750687</v>
      </c>
      <c r="G392" s="67">
        <f>E392/'Lookup Tables'!$C$48</f>
        <v>559.47845862156407</v>
      </c>
      <c r="H392" s="70">
        <f t="shared" si="42"/>
        <v>9.5567982336553878E-2</v>
      </c>
      <c r="I392" s="71">
        <f t="shared" si="40"/>
        <v>0.80564898041505228</v>
      </c>
      <c r="L392" s="74"/>
      <c r="M392" s="74"/>
      <c r="N392" s="74"/>
      <c r="O392" s="74"/>
      <c r="P392" s="74"/>
      <c r="Q392" s="74"/>
      <c r="R392" s="74"/>
      <c r="S392" s="74"/>
      <c r="T392" s="74"/>
      <c r="U392" s="74"/>
      <c r="V392" s="74"/>
      <c r="W392" s="74"/>
      <c r="X392" s="74"/>
      <c r="Y392" s="74"/>
      <c r="Z392" s="74"/>
    </row>
    <row r="393" spans="1:26" x14ac:dyDescent="0.3">
      <c r="A393" s="66">
        <f t="shared" si="38"/>
        <v>2028.5999999999649</v>
      </c>
      <c r="B393" s="67">
        <f>LOOKUP(A393+0.01,AmountsB!$A$4:$A$103,AmountsB!$B$4:$B$103)*0.1*$A$2</f>
        <v>0</v>
      </c>
      <c r="C393" s="68">
        <f t="shared" ref="C393:C456" si="43">C392+B393</f>
        <v>1538495.7946267016</v>
      </c>
      <c r="D393" s="67">
        <f t="array" ref="D393">SUM($B$7:$B388*$F$1009*EXP(-$F$1009*($A393-$A$7:$A388)))*$F$1010</f>
        <v>146325713.43646771</v>
      </c>
      <c r="E393" s="67">
        <f t="shared" si="41"/>
        <v>278.95705502373482</v>
      </c>
      <c r="F393" s="70">
        <f t="shared" si="39"/>
        <v>16.938272381041177</v>
      </c>
      <c r="G393" s="67">
        <f>E393/'Lookup Tables'!$C$48</f>
        <v>557.91411004746965</v>
      </c>
      <c r="H393" s="70">
        <f t="shared" si="42"/>
        <v>9.5300766263095735E-2</v>
      </c>
      <c r="I393" s="71">
        <f t="shared" si="40"/>
        <v>0.80339631846835624</v>
      </c>
      <c r="L393" s="74"/>
      <c r="M393" s="74"/>
      <c r="N393" s="74"/>
      <c r="O393" s="74"/>
      <c r="P393" s="74"/>
      <c r="Q393" s="74"/>
      <c r="R393" s="74"/>
      <c r="S393" s="74"/>
      <c r="T393" s="74"/>
      <c r="U393" s="74"/>
      <c r="V393" s="74"/>
      <c r="W393" s="74"/>
      <c r="X393" s="74"/>
      <c r="Y393" s="74"/>
      <c r="Z393" s="74"/>
    </row>
    <row r="394" spans="1:26" x14ac:dyDescent="0.3">
      <c r="A394" s="66">
        <f t="shared" si="38"/>
        <v>2028.6999999999648</v>
      </c>
      <c r="B394" s="67">
        <f>LOOKUP(A394+0.01,AmountsB!$A$4:$A$103,AmountsB!$B$4:$B$103)*0.1*$A$2</f>
        <v>0</v>
      </c>
      <c r="C394" s="68">
        <f t="shared" si="43"/>
        <v>1538495.7946267016</v>
      </c>
      <c r="D394" s="67">
        <f t="array" ref="D394">SUM($B$7:$B389*$F$1009*EXP(-$F$1009*($A394-$A$7:$A389)))*$F$1010</f>
        <v>145916574.50066015</v>
      </c>
      <c r="E394" s="67">
        <f t="shared" si="41"/>
        <v>278.17706776142785</v>
      </c>
      <c r="F394" s="70">
        <f t="shared" si="39"/>
        <v>16.890911554473899</v>
      </c>
      <c r="G394" s="67">
        <f>E394/'Lookup Tables'!$C$48</f>
        <v>556.3541355228557</v>
      </c>
      <c r="H394" s="70">
        <f t="shared" si="42"/>
        <v>9.5034297348133248E-2</v>
      </c>
      <c r="I394" s="71">
        <f t="shared" si="40"/>
        <v>0.80114995515291232</v>
      </c>
      <c r="L394" s="74"/>
      <c r="M394" s="74"/>
      <c r="N394" s="74"/>
      <c r="O394" s="74"/>
      <c r="P394" s="74"/>
      <c r="Q394" s="74"/>
      <c r="R394" s="74"/>
      <c r="S394" s="74"/>
      <c r="T394" s="74"/>
      <c r="U394" s="74"/>
      <c r="V394" s="74"/>
      <c r="W394" s="74"/>
      <c r="X394" s="74"/>
      <c r="Y394" s="74"/>
      <c r="Z394" s="74"/>
    </row>
    <row r="395" spans="1:26" x14ac:dyDescent="0.3">
      <c r="A395" s="66">
        <f t="shared" si="38"/>
        <v>2028.7999999999647</v>
      </c>
      <c r="B395" s="67">
        <f>LOOKUP(A395+0.01,AmountsB!$A$4:$A$103,AmountsB!$B$4:$B$103)*0.1*$A$2</f>
        <v>0</v>
      </c>
      <c r="C395" s="68">
        <f t="shared" si="43"/>
        <v>1538495.7946267016</v>
      </c>
      <c r="D395" s="67">
        <f t="array" ref="D395">SUM($B$7:$B390*$F$1009*EXP(-$F$1009*($A395-$A$7:$A390)))*$F$1010</f>
        <v>145508579.55154413</v>
      </c>
      <c r="E395" s="67">
        <f t="shared" si="41"/>
        <v>277.39926140875713</v>
      </c>
      <c r="F395" s="70">
        <f t="shared" si="39"/>
        <v>16.843683152739732</v>
      </c>
      <c r="G395" s="67">
        <f>E395/'Lookup Tables'!$C$48</f>
        <v>554.79852281751425</v>
      </c>
      <c r="H395" s="70">
        <f t="shared" si="42"/>
        <v>9.4768573502548775E-2</v>
      </c>
      <c r="I395" s="71">
        <f t="shared" si="40"/>
        <v>0.79890987285722048</v>
      </c>
      <c r="L395" s="74"/>
      <c r="M395" s="74"/>
      <c r="N395" s="74"/>
      <c r="O395" s="74"/>
      <c r="P395" s="74"/>
      <c r="Q395" s="74"/>
      <c r="R395" s="74"/>
      <c r="S395" s="74"/>
      <c r="T395" s="74"/>
      <c r="U395" s="74"/>
      <c r="V395" s="74"/>
      <c r="W395" s="74"/>
      <c r="X395" s="74"/>
      <c r="Y395" s="74"/>
      <c r="Z395" s="74"/>
    </row>
    <row r="396" spans="1:26" x14ac:dyDescent="0.3">
      <c r="A396" s="66">
        <f t="shared" si="38"/>
        <v>2028.8999999999646</v>
      </c>
      <c r="B396" s="67">
        <f>LOOKUP(A396+0.01,AmountsB!$A$4:$A$103,AmountsB!$B$4:$B$103)*0.1*$A$2</f>
        <v>0</v>
      </c>
      <c r="C396" s="68">
        <f t="shared" si="43"/>
        <v>1538495.7946267016</v>
      </c>
      <c r="D396" s="67">
        <f t="array" ref="D396">SUM($B$7:$B391*$F$1009*EXP(-$F$1009*($A396-$A$7:$A391)))*$F$1010</f>
        <v>145101725.39043707</v>
      </c>
      <c r="E396" s="67">
        <f t="shared" si="41"/>
        <v>276.6236298677166</v>
      </c>
      <c r="F396" s="70">
        <f t="shared" si="39"/>
        <v>16.796586805567753</v>
      </c>
      <c r="G396" s="67">
        <f>E396/'Lookup Tables'!$C$48</f>
        <v>553.2472597354332</v>
      </c>
      <c r="H396" s="70">
        <f t="shared" si="42"/>
        <v>9.4503592643065931E-2</v>
      </c>
      <c r="I396" s="71">
        <f t="shared" si="40"/>
        <v>0.79667605401902375</v>
      </c>
      <c r="L396" s="74"/>
      <c r="M396" s="74"/>
      <c r="N396" s="74"/>
      <c r="O396" s="74"/>
      <c r="P396" s="74"/>
      <c r="Q396" s="74"/>
      <c r="R396" s="74"/>
      <c r="S396" s="74"/>
      <c r="T396" s="74"/>
      <c r="U396" s="74"/>
      <c r="V396" s="74"/>
      <c r="W396" s="74"/>
      <c r="X396" s="74"/>
      <c r="Y396" s="74"/>
      <c r="Z396" s="74"/>
    </row>
    <row r="397" spans="1:26" x14ac:dyDescent="0.3">
      <c r="A397" s="66">
        <f t="shared" si="38"/>
        <v>2028.9999999999645</v>
      </c>
      <c r="B397" s="67">
        <f>LOOKUP(A397+0.01,AmountsB!$A$4:$A$103,AmountsB!$B$4:$B$103)*0.1*$A$2</f>
        <v>0</v>
      </c>
      <c r="C397" s="68">
        <f t="shared" si="43"/>
        <v>1538495.7946267016</v>
      </c>
      <c r="D397" s="67">
        <f t="array" ref="D397">SUM($B$7:$B392*$F$1009*EXP(-$F$1009*($A397-$A$7:$A392)))*$F$1010</f>
        <v>144696008.8276003</v>
      </c>
      <c r="E397" s="67">
        <f t="shared" si="41"/>
        <v>275.8501670573512</v>
      </c>
      <c r="F397" s="70">
        <f t="shared" si="39"/>
        <v>16.749622143722366</v>
      </c>
      <c r="G397" s="67">
        <f>E397/'Lookup Tables'!$C$48</f>
        <v>551.7003341147024</v>
      </c>
      <c r="H397" s="70">
        <f t="shared" si="42"/>
        <v>9.4239352692233505E-2</v>
      </c>
      <c r="I397" s="71">
        <f t="shared" si="40"/>
        <v>0.79444848112517141</v>
      </c>
      <c r="L397" s="74"/>
      <c r="M397" s="74"/>
      <c r="N397" s="74"/>
      <c r="O397" s="74"/>
      <c r="P397" s="74"/>
      <c r="Q397" s="74"/>
      <c r="R397" s="74"/>
      <c r="S397" s="74"/>
      <c r="T397" s="74"/>
      <c r="U397" s="74"/>
      <c r="V397" s="74"/>
      <c r="W397" s="74"/>
      <c r="X397" s="74"/>
      <c r="Y397" s="74"/>
      <c r="Z397" s="74"/>
    </row>
    <row r="398" spans="1:26" x14ac:dyDescent="0.3">
      <c r="A398" s="66">
        <f t="shared" si="38"/>
        <v>2029.0999999999644</v>
      </c>
      <c r="B398" s="67">
        <f>LOOKUP(A398+0.01,AmountsB!$A$4:$A$103,AmountsB!$B$4:$B$103)*0.1*$A$2</f>
        <v>0</v>
      </c>
      <c r="C398" s="68">
        <f t="shared" si="43"/>
        <v>1538495.7946267016</v>
      </c>
      <c r="D398" s="67">
        <f t="array" ref="D398">SUM($B$7:$B393*$F$1009*EXP(-$F$1009*($A398-$A$7:$A393)))*$F$1010</f>
        <v>144291426.68221393</v>
      </c>
      <c r="E398" s="67">
        <f t="shared" si="41"/>
        <v>275.07886691370851</v>
      </c>
      <c r="F398" s="70">
        <f t="shared" si="39"/>
        <v>16.702788799000384</v>
      </c>
      <c r="G398" s="67">
        <f>E398/'Lookup Tables'!$C$48</f>
        <v>550.15773382741702</v>
      </c>
      <c r="H398" s="70">
        <f t="shared" si="42"/>
        <v>9.3975851578408917E-2</v>
      </c>
      <c r="I398" s="71">
        <f t="shared" si="40"/>
        <v>0.7922271367114806</v>
      </c>
      <c r="L398" s="74"/>
      <c r="M398" s="74"/>
      <c r="N398" s="74"/>
      <c r="O398" s="74"/>
      <c r="P398" s="74"/>
      <c r="Q398" s="74"/>
      <c r="R398" s="74"/>
      <c r="S398" s="74"/>
      <c r="T398" s="74"/>
      <c r="U398" s="74"/>
      <c r="V398" s="74"/>
      <c r="W398" s="74"/>
      <c r="X398" s="74"/>
      <c r="Y398" s="74"/>
      <c r="Z398" s="74"/>
    </row>
    <row r="399" spans="1:26" x14ac:dyDescent="0.3">
      <c r="A399" s="66">
        <f t="shared" si="38"/>
        <v>2029.1999999999643</v>
      </c>
      <c r="B399" s="67">
        <f>LOOKUP(A399+0.01,AmountsB!$A$4:$A$103,AmountsB!$B$4:$B$103)*0.1*$A$2</f>
        <v>0</v>
      </c>
      <c r="C399" s="68">
        <f t="shared" si="43"/>
        <v>1538495.7946267016</v>
      </c>
      <c r="D399" s="67">
        <f t="array" ref="D399">SUM($B$7:$B394*$F$1009*EXP(-$F$1009*($A399-$A$7:$A394)))*$F$1010</f>
        <v>143887975.78235179</v>
      </c>
      <c r="E399" s="67">
        <f t="shared" si="41"/>
        <v>274.30972338979137</v>
      </c>
      <c r="F399" s="70">
        <f t="shared" si="39"/>
        <v>16.656086404228134</v>
      </c>
      <c r="G399" s="67">
        <f>E399/'Lookup Tables'!$C$48</f>
        <v>548.61944677958274</v>
      </c>
      <c r="H399" s="70">
        <f t="shared" si="42"/>
        <v>9.3713087235742037E-2</v>
      </c>
      <c r="I399" s="71">
        <f t="shared" si="40"/>
        <v>0.79001200336259902</v>
      </c>
      <c r="L399" s="74"/>
      <c r="M399" s="74"/>
      <c r="N399" s="74"/>
      <c r="O399" s="74"/>
      <c r="P399" s="74"/>
      <c r="Q399" s="74"/>
      <c r="R399" s="74"/>
      <c r="S399" s="74"/>
      <c r="T399" s="74"/>
      <c r="U399" s="74"/>
      <c r="V399" s="74"/>
      <c r="W399" s="74"/>
      <c r="X399" s="74"/>
      <c r="Y399" s="74"/>
      <c r="Z399" s="74"/>
    </row>
    <row r="400" spans="1:26" x14ac:dyDescent="0.3">
      <c r="A400" s="66">
        <f t="shared" si="38"/>
        <v>2029.2999999999643</v>
      </c>
      <c r="B400" s="67">
        <f>LOOKUP(A400+0.01,AmountsB!$A$4:$A$103,AmountsB!$B$4:$B$103)*0.1*$A$2</f>
        <v>0</v>
      </c>
      <c r="C400" s="68">
        <f t="shared" si="43"/>
        <v>1538495.7946267016</v>
      </c>
      <c r="D400" s="67">
        <f t="array" ref="D400">SUM($B$7:$B395*$F$1009*EXP(-$F$1009*($A400-$A$7:$A395)))*$F$1010</f>
        <v>143485652.96495679</v>
      </c>
      <c r="E400" s="67">
        <f t="shared" si="41"/>
        <v>273.54273045551054</v>
      </c>
      <c r="F400" s="70">
        <f t="shared" si="39"/>
        <v>16.609514593258602</v>
      </c>
      <c r="G400" s="67">
        <f>E400/'Lookup Tables'!$C$48</f>
        <v>547.08546091102107</v>
      </c>
      <c r="H400" s="70">
        <f t="shared" si="42"/>
        <v>9.3451057604159046E-2</v>
      </c>
      <c r="I400" s="71">
        <f t="shared" si="40"/>
        <v>0.78780306371187037</v>
      </c>
      <c r="L400" s="74"/>
      <c r="M400" s="74"/>
      <c r="N400" s="74"/>
      <c r="O400" s="74"/>
      <c r="P400" s="74"/>
      <c r="Q400" s="74"/>
      <c r="R400" s="74"/>
      <c r="S400" s="74"/>
      <c r="T400" s="74"/>
      <c r="U400" s="74"/>
      <c r="V400" s="74"/>
      <c r="W400" s="74"/>
      <c r="X400" s="74"/>
      <c r="Y400" s="74"/>
      <c r="Z400" s="74"/>
    </row>
    <row r="401" spans="1:26" x14ac:dyDescent="0.3">
      <c r="A401" s="66">
        <f t="shared" si="38"/>
        <v>2029.3999999999642</v>
      </c>
      <c r="B401" s="67">
        <f>LOOKUP(A401+0.01,AmountsB!$A$4:$A$103,AmountsB!$B$4:$B$103)*0.1*$A$2</f>
        <v>0</v>
      </c>
      <c r="C401" s="68">
        <f t="shared" si="43"/>
        <v>1538495.7946267016</v>
      </c>
      <c r="D401" s="67">
        <f t="array" ref="D401">SUM($B$7:$B396*$F$1009*EXP(-$F$1009*($A401-$A$7:$A396)))*$F$1010</f>
        <v>143084455.07581598</v>
      </c>
      <c r="E401" s="67">
        <f t="shared" si="41"/>
        <v>272.7778820976377</v>
      </c>
      <c r="F401" s="70">
        <f t="shared" si="39"/>
        <v>16.563073000968561</v>
      </c>
      <c r="G401" s="67">
        <f>E401/'Lookup Tables'!$C$48</f>
        <v>545.5557641952754</v>
      </c>
      <c r="H401" s="70">
        <f t="shared" si="42"/>
        <v>9.3189760629346377E-2</v>
      </c>
      <c r="I401" s="71">
        <f t="shared" si="40"/>
        <v>0.78560030044119655</v>
      </c>
      <c r="L401" s="74"/>
      <c r="M401" s="74"/>
      <c r="N401" s="74"/>
      <c r="O401" s="74"/>
      <c r="P401" s="74"/>
      <c r="Q401" s="74"/>
      <c r="R401" s="74"/>
      <c r="S401" s="74"/>
      <c r="T401" s="74"/>
      <c r="U401" s="74"/>
      <c r="V401" s="74"/>
      <c r="W401" s="74"/>
      <c r="X401" s="74"/>
      <c r="Y401" s="74"/>
      <c r="Z401" s="74"/>
    </row>
    <row r="402" spans="1:26" x14ac:dyDescent="0.3">
      <c r="A402" s="66">
        <f t="shared" si="38"/>
        <v>2029.4999999999641</v>
      </c>
      <c r="B402" s="67">
        <f>LOOKUP(A402+0.01,AmountsB!$A$4:$A$103,AmountsB!$B$4:$B$103)*0.1*$A$2</f>
        <v>0</v>
      </c>
      <c r="C402" s="68">
        <f t="shared" si="43"/>
        <v>1538495.7946267016</v>
      </c>
      <c r="D402" s="67">
        <f t="array" ref="D402">SUM($B$7:$B397*$F$1009*EXP(-$F$1009*($A402-$A$7:$A397)))*$F$1010</f>
        <v>142684378.96953586</v>
      </c>
      <c r="E402" s="67">
        <f t="shared" si="41"/>
        <v>272.01517231975765</v>
      </c>
      <c r="F402" s="70">
        <f t="shared" si="39"/>
        <v>16.516761263255685</v>
      </c>
      <c r="G402" s="67">
        <f>E402/'Lookup Tables'!$C$48</f>
        <v>544.03034463951531</v>
      </c>
      <c r="H402" s="70">
        <f t="shared" si="42"/>
        <v>9.2929194262734369E-2</v>
      </c>
      <c r="I402" s="71">
        <f t="shared" si="40"/>
        <v>0.78340369628090201</v>
      </c>
      <c r="L402" s="74"/>
      <c r="M402" s="74"/>
      <c r="N402" s="74"/>
      <c r="O402" s="74"/>
      <c r="P402" s="74"/>
      <c r="Q402" s="74"/>
      <c r="R402" s="74"/>
      <c r="S402" s="74"/>
      <c r="T402" s="74"/>
      <c r="U402" s="74"/>
      <c r="V402" s="74"/>
      <c r="W402" s="74"/>
      <c r="X402" s="74"/>
      <c r="Y402" s="74"/>
      <c r="Z402" s="74"/>
    </row>
    <row r="403" spans="1:26" x14ac:dyDescent="0.3">
      <c r="A403" s="66">
        <f t="shared" ref="A403:A466" si="44">A402+0.1</f>
        <v>2029.599999999964</v>
      </c>
      <c r="B403" s="67">
        <f>LOOKUP(A403+0.01,AmountsB!$A$4:$A$103,AmountsB!$B$4:$B$103)*0.1*$A$2</f>
        <v>0</v>
      </c>
      <c r="C403" s="68">
        <f t="shared" si="43"/>
        <v>1538495.7946267016</v>
      </c>
      <c r="D403" s="67">
        <f t="array" ref="D403">SUM($B$7:$B398*$F$1009*EXP(-$F$1009*($A403-$A$7:$A398)))*$F$1010</f>
        <v>142285421.50951776</v>
      </c>
      <c r="E403" s="67">
        <f t="shared" si="41"/>
        <v>271.254595142222</v>
      </c>
      <c r="F403" s="70">
        <f t="shared" ref="F403:F466" si="45">E403*60*1012/1000000</f>
        <v>16.470579017035718</v>
      </c>
      <c r="G403" s="67">
        <f>E403/'Lookup Tables'!$C$48</f>
        <v>542.509190284444</v>
      </c>
      <c r="H403" s="70">
        <f t="shared" si="42"/>
        <v>9.2669356461481389E-2</v>
      </c>
      <c r="I403" s="71">
        <f t="shared" ref="I403:I466" si="46">G403*60*24/1000000</f>
        <v>0.7812132340095993</v>
      </c>
      <c r="L403" s="74"/>
      <c r="M403" s="74"/>
      <c r="N403" s="74"/>
      <c r="O403" s="74"/>
      <c r="P403" s="74"/>
      <c r="Q403" s="74"/>
      <c r="R403" s="74"/>
      <c r="S403" s="74"/>
      <c r="T403" s="74"/>
      <c r="U403" s="74"/>
      <c r="V403" s="74"/>
      <c r="W403" s="74"/>
      <c r="X403" s="74"/>
      <c r="Y403" s="74"/>
      <c r="Z403" s="74"/>
    </row>
    <row r="404" spans="1:26" x14ac:dyDescent="0.3">
      <c r="A404" s="66">
        <f t="shared" si="44"/>
        <v>2029.6999999999639</v>
      </c>
      <c r="B404" s="67">
        <f>LOOKUP(A404+0.01,AmountsB!$A$4:$A$103,AmountsB!$B$4:$B$103)*0.1*$A$2</f>
        <v>0</v>
      </c>
      <c r="C404" s="68">
        <f t="shared" si="43"/>
        <v>1538495.7946267016</v>
      </c>
      <c r="D404" s="67">
        <f t="array" ref="D404">SUM($B$7:$B399*$F$1009*EXP(-$F$1009*($A404-$A$7:$A399)))*$F$1010</f>
        <v>141887579.56793302</v>
      </c>
      <c r="E404" s="67">
        <f t="shared" si="41"/>
        <v>270.49614460210154</v>
      </c>
      <c r="F404" s="70">
        <f t="shared" si="45"/>
        <v>16.424525900239605</v>
      </c>
      <c r="G404" s="67">
        <f>E404/'Lookup Tables'!$C$48</f>
        <v>540.99228920420308</v>
      </c>
      <c r="H404" s="70">
        <f t="shared" si="42"/>
        <v>9.241024518845771E-2</v>
      </c>
      <c r="I404" s="71">
        <f t="shared" si="46"/>
        <v>0.77902889645405238</v>
      </c>
      <c r="L404" s="74"/>
      <c r="M404" s="74"/>
      <c r="N404" s="74"/>
      <c r="O404" s="74"/>
      <c r="P404" s="74"/>
      <c r="Q404" s="74"/>
      <c r="R404" s="74"/>
      <c r="S404" s="74"/>
      <c r="T404" s="74"/>
      <c r="U404" s="74"/>
      <c r="V404" s="74"/>
      <c r="W404" s="74"/>
      <c r="X404" s="74"/>
      <c r="Y404" s="74"/>
      <c r="Z404" s="74"/>
    </row>
    <row r="405" spans="1:26" x14ac:dyDescent="0.3">
      <c r="A405" s="66">
        <f t="shared" si="44"/>
        <v>2029.7999999999638</v>
      </c>
      <c r="B405" s="67">
        <f>LOOKUP(A405+0.01,AmountsB!$A$4:$A$103,AmountsB!$B$4:$B$103)*0.1*$A$2</f>
        <v>0</v>
      </c>
      <c r="C405" s="68">
        <f t="shared" si="43"/>
        <v>1538495.7946267016</v>
      </c>
      <c r="D405" s="67">
        <f t="array" ref="D405">SUM($B$7:$B400*$F$1009*EXP(-$F$1009*($A405-$A$7:$A400)))*$F$1010</f>
        <v>141490850.0256989</v>
      </c>
      <c r="E405" s="67">
        <f t="shared" si="41"/>
        <v>269.73981475314031</v>
      </c>
      <c r="F405" s="70">
        <f t="shared" si="45"/>
        <v>16.378601551810679</v>
      </c>
      <c r="G405" s="67">
        <f>E405/'Lookup Tables'!$C$48</f>
        <v>539.47962950628062</v>
      </c>
      <c r="H405" s="70">
        <f t="shared" si="42"/>
        <v>9.2151858412229656E-2</v>
      </c>
      <c r="I405" s="71">
        <f t="shared" si="46"/>
        <v>0.77685066648904411</v>
      </c>
      <c r="L405" s="74"/>
      <c r="M405" s="74"/>
      <c r="N405" s="74"/>
      <c r="O405" s="74"/>
      <c r="P405" s="74"/>
      <c r="Q405" s="74"/>
      <c r="R405" s="74"/>
      <c r="S405" s="74"/>
      <c r="T405" s="74"/>
      <c r="U405" s="74"/>
      <c r="V405" s="74"/>
      <c r="W405" s="74"/>
      <c r="X405" s="74"/>
      <c r="Y405" s="74"/>
      <c r="Z405" s="74"/>
    </row>
    <row r="406" spans="1:26" x14ac:dyDescent="0.3">
      <c r="A406" s="66">
        <f t="shared" si="44"/>
        <v>2029.8999999999637</v>
      </c>
      <c r="B406" s="67">
        <f>LOOKUP(A406+0.01,AmountsB!$A$4:$A$103,AmountsB!$B$4:$B$103)*0.1*$A$2</f>
        <v>0</v>
      </c>
      <c r="C406" s="68">
        <f t="shared" si="43"/>
        <v>1538495.7946267016</v>
      </c>
      <c r="D406" s="67">
        <f t="array" ref="D406">SUM($B$7:$B401*$F$1009*EXP(-$F$1009*($A406-$A$7:$A401)))*$F$1010</f>
        <v>141095229.7724537</v>
      </c>
      <c r="E406" s="67">
        <f t="shared" si="41"/>
        <v>268.98559966570838</v>
      </c>
      <c r="F406" s="70">
        <f t="shared" si="45"/>
        <v>16.332805611701811</v>
      </c>
      <c r="G406" s="67">
        <f>E406/'Lookup Tables'!$C$48</f>
        <v>537.97119933141676</v>
      </c>
      <c r="H406" s="70">
        <f t="shared" si="42"/>
        <v>9.1894194107043539E-2</v>
      </c>
      <c r="I406" s="71">
        <f t="shared" si="46"/>
        <v>0.77467852703724005</v>
      </c>
      <c r="L406" s="74"/>
      <c r="M406" s="74"/>
      <c r="N406" s="74"/>
      <c r="O406" s="74"/>
      <c r="P406" s="74"/>
      <c r="Q406" s="74"/>
      <c r="R406" s="74"/>
      <c r="S406" s="74"/>
      <c r="T406" s="74"/>
      <c r="U406" s="74"/>
      <c r="V406" s="74"/>
      <c r="W406" s="74"/>
      <c r="X406" s="74"/>
      <c r="Y406" s="74"/>
      <c r="Z406" s="74"/>
    </row>
    <row r="407" spans="1:26" x14ac:dyDescent="0.3">
      <c r="A407" s="66">
        <f t="shared" si="44"/>
        <v>2029.9999999999636</v>
      </c>
      <c r="B407" s="67">
        <f>LOOKUP(A407+0.01,AmountsB!$A$4:$A$103,AmountsB!$B$4:$B$103)*0.1*$A$2</f>
        <v>0</v>
      </c>
      <c r="C407" s="68">
        <f t="shared" si="43"/>
        <v>1538495.7946267016</v>
      </c>
      <c r="D407" s="67">
        <f t="array" ref="D407">SUM($B$7:$B402*$F$1009*EXP(-$F$1009*($A407-$A$7:$A402)))*$F$1010</f>
        <v>140700715.70653266</v>
      </c>
      <c r="E407" s="67">
        <f t="shared" si="41"/>
        <v>268.23349342675573</v>
      </c>
      <c r="F407" s="70">
        <f t="shared" si="45"/>
        <v>16.287137720872607</v>
      </c>
      <c r="G407" s="67">
        <f>E407/'Lookup Tables'!$C$48</f>
        <v>536.46698685351146</v>
      </c>
      <c r="H407" s="70">
        <f t="shared" si="42"/>
        <v>9.1637250252809999E-2</v>
      </c>
      <c r="I407" s="71">
        <f t="shared" si="46"/>
        <v>0.77251246106905658</v>
      </c>
      <c r="L407" s="74"/>
      <c r="M407" s="74"/>
      <c r="N407" s="74"/>
      <c r="O407" s="74"/>
      <c r="P407" s="74"/>
      <c r="Q407" s="74"/>
      <c r="R407" s="74"/>
      <c r="S407" s="74"/>
      <c r="T407" s="74"/>
      <c r="U407" s="74"/>
      <c r="V407" s="74"/>
      <c r="W407" s="74"/>
      <c r="X407" s="74"/>
      <c r="Y407" s="74"/>
      <c r="Z407" s="74"/>
    </row>
    <row r="408" spans="1:26" x14ac:dyDescent="0.3">
      <c r="A408" s="66">
        <f t="shared" si="44"/>
        <v>2030.0999999999635</v>
      </c>
      <c r="B408" s="67">
        <f>LOOKUP(A408+0.01,AmountsB!$A$4:$A$103,AmountsB!$B$4:$B$103)*0.1*$A$2</f>
        <v>0</v>
      </c>
      <c r="C408" s="68">
        <f t="shared" si="43"/>
        <v>1538495.7946267016</v>
      </c>
      <c r="D408" s="67">
        <f t="array" ref="D408">SUM($B$7:$B403*$F$1009*EXP(-$F$1009*($A408-$A$7:$A403)))*$F$1010</f>
        <v>140307304.73494336</v>
      </c>
      <c r="E408" s="67">
        <f t="shared" si="41"/>
        <v>267.48349013976525</v>
      </c>
      <c r="F408" s="70">
        <f t="shared" si="45"/>
        <v>16.241597521286547</v>
      </c>
      <c r="G408" s="67">
        <f>E408/'Lookup Tables'!$C$48</f>
        <v>534.9669802795305</v>
      </c>
      <c r="H408" s="70">
        <f t="shared" si="42"/>
        <v>9.1381024835087712E-2</v>
      </c>
      <c r="I408" s="71">
        <f t="shared" si="46"/>
        <v>0.77035245160252397</v>
      </c>
      <c r="L408" s="74"/>
      <c r="M408" s="74"/>
      <c r="N408" s="74"/>
      <c r="O408" s="74"/>
      <c r="P408" s="74"/>
      <c r="Q408" s="74"/>
      <c r="R408" s="74"/>
      <c r="S408" s="74"/>
      <c r="T408" s="74"/>
      <c r="U408" s="74"/>
      <c r="V408" s="74"/>
      <c r="W408" s="74"/>
      <c r="X408" s="74"/>
      <c r="Y408" s="74"/>
      <c r="Z408" s="74"/>
    </row>
    <row r="409" spans="1:26" x14ac:dyDescent="0.3">
      <c r="A409" s="66">
        <f t="shared" si="44"/>
        <v>2030.1999999999634</v>
      </c>
      <c r="B409" s="67">
        <f>LOOKUP(A409+0.01,AmountsB!$A$4:$A$103,AmountsB!$B$4:$B$103)*0.1*$A$2</f>
        <v>0</v>
      </c>
      <c r="C409" s="68">
        <f t="shared" si="43"/>
        <v>1538495.7946267016</v>
      </c>
      <c r="D409" s="67">
        <f t="array" ref="D409">SUM($B$7:$B404*$F$1009*EXP(-$F$1009*($A409-$A$7:$A404)))*$F$1010</f>
        <v>139914993.77334201</v>
      </c>
      <c r="E409" s="67">
        <f t="shared" si="41"/>
        <v>266.73558392470784</v>
      </c>
      <c r="F409" s="70">
        <f t="shared" si="45"/>
        <v>16.196184655908258</v>
      </c>
      <c r="G409" s="67">
        <f>E409/'Lookup Tables'!$C$48</f>
        <v>533.47116784941568</v>
      </c>
      <c r="H409" s="70">
        <f t="shared" si="42"/>
        <v>9.1125515845068297E-2</v>
      </c>
      <c r="I409" s="71">
        <f t="shared" si="46"/>
        <v>0.76819848170315863</v>
      </c>
      <c r="L409" s="74"/>
      <c r="M409" s="74"/>
      <c r="N409" s="74"/>
      <c r="O409" s="74"/>
      <c r="P409" s="74"/>
      <c r="Q409" s="74"/>
      <c r="R409" s="74"/>
      <c r="S409" s="74"/>
      <c r="T409" s="74"/>
      <c r="U409" s="74"/>
      <c r="V409" s="74"/>
      <c r="W409" s="74"/>
      <c r="X409" s="74"/>
      <c r="Y409" s="74"/>
      <c r="Z409" s="74"/>
    </row>
    <row r="410" spans="1:26" x14ac:dyDescent="0.3">
      <c r="A410" s="66">
        <f t="shared" si="44"/>
        <v>2030.2999999999633</v>
      </c>
      <c r="B410" s="67">
        <f>LOOKUP(A410+0.01,AmountsB!$A$4:$A$103,AmountsB!$B$4:$B$103)*0.1*$A$2</f>
        <v>0</v>
      </c>
      <c r="C410" s="68">
        <f t="shared" si="43"/>
        <v>1538495.7946267016</v>
      </c>
      <c r="D410" s="67">
        <f t="array" ref="D410">SUM($B$7:$B405*$F$1009*EXP(-$F$1009*($A410-$A$7:$A405)))*$F$1010</f>
        <v>139523779.74600837</v>
      </c>
      <c r="E410" s="67">
        <f t="shared" si="41"/>
        <v>265.98976891799441</v>
      </c>
      <c r="F410" s="70">
        <f t="shared" si="45"/>
        <v>16.150898768700621</v>
      </c>
      <c r="G410" s="67">
        <f>E410/'Lookup Tables'!$C$48</f>
        <v>531.97953783598882</v>
      </c>
      <c r="H410" s="70">
        <f t="shared" si="42"/>
        <v>9.0870721279559794E-2</v>
      </c>
      <c r="I410" s="71">
        <f t="shared" si="46"/>
        <v>0.76605053448382388</v>
      </c>
      <c r="L410" s="74"/>
      <c r="M410" s="74"/>
      <c r="N410" s="74"/>
      <c r="O410" s="74"/>
      <c r="P410" s="74"/>
      <c r="Q410" s="74"/>
      <c r="R410" s="74"/>
      <c r="S410" s="74"/>
      <c r="T410" s="74"/>
      <c r="U410" s="74"/>
      <c r="V410" s="74"/>
      <c r="W410" s="74"/>
      <c r="X410" s="74"/>
      <c r="Y410" s="74"/>
      <c r="Z410" s="74"/>
    </row>
    <row r="411" spans="1:26" x14ac:dyDescent="0.3">
      <c r="A411" s="66">
        <f t="shared" si="44"/>
        <v>2030.3999999999633</v>
      </c>
      <c r="B411" s="67">
        <f>LOOKUP(A411+0.01,AmountsB!$A$4:$A$103,AmountsB!$B$4:$B$103)*0.1*$A$2</f>
        <v>0</v>
      </c>
      <c r="C411" s="68">
        <f t="shared" si="43"/>
        <v>1538495.7946267016</v>
      </c>
      <c r="D411" s="67">
        <f t="array" ref="D411">SUM($B$7:$B406*$F$1009*EXP(-$F$1009*($A411-$A$7:$A406)))*$F$1010</f>
        <v>139133659.58582261</v>
      </c>
      <c r="E411" s="67">
        <f t="shared" si="41"/>
        <v>265.24603927243174</v>
      </c>
      <c r="F411" s="70">
        <f t="shared" si="45"/>
        <v>16.105739504622058</v>
      </c>
      <c r="G411" s="67">
        <f>E411/'Lookup Tables'!$C$48</f>
        <v>530.49207854486349</v>
      </c>
      <c r="H411" s="70">
        <f t="shared" si="42"/>
        <v>9.061663914097158E-2</v>
      </c>
      <c r="I411" s="71">
        <f t="shared" si="46"/>
        <v>0.76390859310460346</v>
      </c>
      <c r="L411" s="74"/>
      <c r="M411" s="74"/>
      <c r="N411" s="74"/>
      <c r="O411" s="74"/>
      <c r="P411" s="74"/>
      <c r="Q411" s="74"/>
      <c r="R411" s="74"/>
      <c r="S411" s="74"/>
      <c r="T411" s="74"/>
      <c r="U411" s="74"/>
      <c r="V411" s="74"/>
      <c r="W411" s="74"/>
      <c r="X411" s="74"/>
      <c r="Y411" s="74"/>
      <c r="Z411" s="74"/>
    </row>
    <row r="412" spans="1:26" x14ac:dyDescent="0.3">
      <c r="A412" s="66">
        <f t="shared" si="44"/>
        <v>2030.4999999999632</v>
      </c>
      <c r="B412" s="67">
        <f>LOOKUP(A412+0.01,AmountsB!$A$4:$A$103,AmountsB!$B$4:$B$103)*0.1*$A$2</f>
        <v>0</v>
      </c>
      <c r="C412" s="68">
        <f t="shared" si="43"/>
        <v>1538495.7946267016</v>
      </c>
      <c r="D412" s="67">
        <f t="array" ref="D412">SUM($B$7:$B407*$F$1009*EXP(-$F$1009*($A412-$A$7:$A407)))*$F$1010</f>
        <v>138744630.23424068</v>
      </c>
      <c r="E412" s="67">
        <f t="shared" si="41"/>
        <v>264.50438915717564</v>
      </c>
      <c r="F412" s="70">
        <f t="shared" si="45"/>
        <v>16.060706509623703</v>
      </c>
      <c r="G412" s="67">
        <f>E412/'Lookup Tables'!$C$48</f>
        <v>529.00877831435128</v>
      </c>
      <c r="H412" s="70">
        <f t="shared" si="42"/>
        <v>9.0363267437298375E-2</v>
      </c>
      <c r="I412" s="71">
        <f t="shared" si="46"/>
        <v>0.76177264077266582</v>
      </c>
      <c r="L412" s="74"/>
      <c r="M412" s="74"/>
      <c r="N412" s="74"/>
      <c r="O412" s="74"/>
      <c r="P412" s="74"/>
      <c r="Q412" s="74"/>
      <c r="R412" s="74"/>
      <c r="S412" s="74"/>
      <c r="T412" s="74"/>
      <c r="U412" s="74"/>
      <c r="V412" s="74"/>
      <c r="W412" s="74"/>
      <c r="X412" s="74"/>
      <c r="Y412" s="74"/>
      <c r="Z412" s="74"/>
    </row>
    <row r="413" spans="1:26" x14ac:dyDescent="0.3">
      <c r="A413" s="66">
        <f t="shared" si="44"/>
        <v>2030.5999999999631</v>
      </c>
      <c r="B413" s="67">
        <f>LOOKUP(A413+0.01,AmountsB!$A$4:$A$103,AmountsB!$B$4:$B$103)*0.1*$A$2</f>
        <v>0</v>
      </c>
      <c r="C413" s="68">
        <f t="shared" si="43"/>
        <v>1538495.7946267016</v>
      </c>
      <c r="D413" s="67">
        <f t="array" ref="D413">SUM($B$7:$B408*$F$1009*EXP(-$F$1009*($A413-$A$7:$A408)))*$F$1010</f>
        <v>138356688.64127046</v>
      </c>
      <c r="E413" s="67">
        <f t="shared" si="41"/>
        <v>263.76481275768532</v>
      </c>
      <c r="F413" s="70">
        <f t="shared" si="45"/>
        <v>16.015799430646652</v>
      </c>
      <c r="G413" s="67">
        <f>E413/'Lookup Tables'!$C$48</f>
        <v>527.52962551537064</v>
      </c>
      <c r="H413" s="70">
        <f t="shared" si="42"/>
        <v>9.0110604182104745E-2</v>
      </c>
      <c r="I413" s="71">
        <f t="shared" si="46"/>
        <v>0.75964266074213371</v>
      </c>
      <c r="L413" s="74"/>
      <c r="M413" s="74"/>
      <c r="N413" s="74"/>
      <c r="O413" s="74"/>
      <c r="P413" s="74"/>
      <c r="Q413" s="74"/>
      <c r="R413" s="74"/>
      <c r="S413" s="74"/>
      <c r="T413" s="74"/>
      <c r="U413" s="74"/>
      <c r="V413" s="74"/>
      <c r="W413" s="74"/>
      <c r="X413" s="74"/>
      <c r="Y413" s="74"/>
      <c r="Z413" s="74"/>
    </row>
    <row r="414" spans="1:26" x14ac:dyDescent="0.3">
      <c r="A414" s="66">
        <f t="shared" si="44"/>
        <v>2030.699999999963</v>
      </c>
      <c r="B414" s="67">
        <f>LOOKUP(A414+0.01,AmountsB!$A$4:$A$103,AmountsB!$B$4:$B$103)*0.1*$A$2</f>
        <v>0</v>
      </c>
      <c r="C414" s="68">
        <f t="shared" si="43"/>
        <v>1538495.7946267016</v>
      </c>
      <c r="D414" s="67">
        <f t="array" ref="D414">SUM($B$7:$B409*$F$1009*EXP(-$F$1009*($A414-$A$7:$A409)))*$F$1010</f>
        <v>137969831.76544783</v>
      </c>
      <c r="E414" s="67">
        <f t="shared" si="41"/>
        <v>263.02730427567803</v>
      </c>
      <c r="F414" s="70">
        <f t="shared" si="45"/>
        <v>15.97101791561917</v>
      </c>
      <c r="G414" s="67">
        <f>E414/'Lookup Tables'!$C$48</f>
        <v>526.05460855135607</v>
      </c>
      <c r="H414" s="70">
        <f t="shared" si="42"/>
        <v>8.9858647394509439E-2</v>
      </c>
      <c r="I414" s="71">
        <f t="shared" si="46"/>
        <v>0.75751863631395278</v>
      </c>
      <c r="L414" s="74"/>
      <c r="M414" s="74"/>
      <c r="N414" s="74"/>
      <c r="O414" s="74"/>
      <c r="P414" s="74"/>
      <c r="Q414" s="74"/>
      <c r="R414" s="74"/>
      <c r="S414" s="74"/>
      <c r="T414" s="74"/>
      <c r="U414" s="74"/>
      <c r="V414" s="74"/>
      <c r="W414" s="74"/>
      <c r="X414" s="74"/>
      <c r="Y414" s="74"/>
      <c r="Z414" s="74"/>
    </row>
    <row r="415" spans="1:26" x14ac:dyDescent="0.3">
      <c r="A415" s="66">
        <f t="shared" si="44"/>
        <v>2030.7999999999629</v>
      </c>
      <c r="B415" s="67">
        <f>LOOKUP(A415+0.01,AmountsB!$A$4:$A$103,AmountsB!$B$4:$B$103)*0.1*$A$2</f>
        <v>0</v>
      </c>
      <c r="C415" s="68">
        <f t="shared" si="43"/>
        <v>1538495.7946267016</v>
      </c>
      <c r="D415" s="67">
        <f t="array" ref="D415">SUM($B$7:$B410*$F$1009*EXP(-$F$1009*($A415-$A$7:$A410)))*$F$1010</f>
        <v>137584056.57381296</v>
      </c>
      <c r="E415" s="67">
        <f t="shared" si="41"/>
        <v>262.29185792908362</v>
      </c>
      <c r="F415" s="70">
        <f t="shared" si="45"/>
        <v>15.926361613453958</v>
      </c>
      <c r="G415" s="67">
        <f>E415/'Lookup Tables'!$C$48</f>
        <v>524.58371585816724</v>
      </c>
      <c r="H415" s="70">
        <f t="shared" si="42"/>
        <v>8.9607395099169998E-2</v>
      </c>
      <c r="I415" s="71">
        <f t="shared" si="46"/>
        <v>0.75540055083576074</v>
      </c>
      <c r="L415" s="74"/>
      <c r="M415" s="74"/>
      <c r="N415" s="74"/>
      <c r="O415" s="74"/>
      <c r="P415" s="74"/>
      <c r="Q415" s="74"/>
      <c r="R415" s="74"/>
      <c r="S415" s="74"/>
      <c r="T415" s="74"/>
      <c r="U415" s="74"/>
      <c r="V415" s="74"/>
      <c r="W415" s="74"/>
      <c r="X415" s="74"/>
      <c r="Y415" s="74"/>
      <c r="Z415" s="74"/>
    </row>
    <row r="416" spans="1:26" x14ac:dyDescent="0.3">
      <c r="A416" s="66">
        <f t="shared" si="44"/>
        <v>2030.8999999999628</v>
      </c>
      <c r="B416" s="67">
        <f>LOOKUP(A416+0.01,AmountsB!$A$4:$A$103,AmountsB!$B$4:$B$103)*0.1*$A$2</f>
        <v>0</v>
      </c>
      <c r="C416" s="68">
        <f t="shared" si="43"/>
        <v>1538495.7946267016</v>
      </c>
      <c r="D416" s="67">
        <f t="array" ref="D416">SUM($B$7:$B411*$F$1009*EXP(-$F$1009*($A416-$A$7:$A411)))*$F$1010</f>
        <v>137199360.04188639</v>
      </c>
      <c r="E416" s="67">
        <f t="shared" si="41"/>
        <v>261.55846795199881</v>
      </c>
      <c r="F416" s="70">
        <f t="shared" si="45"/>
        <v>15.881830174045367</v>
      </c>
      <c r="G416" s="67">
        <f>E416/'Lookup Tables'!$C$48</f>
        <v>523.11693590399761</v>
      </c>
      <c r="H416" s="70">
        <f t="shared" si="42"/>
        <v>8.9356845326267101E-2</v>
      </c>
      <c r="I416" s="71">
        <f t="shared" si="46"/>
        <v>0.75328838770175655</v>
      </c>
      <c r="L416" s="74"/>
      <c r="M416" s="74"/>
      <c r="N416" s="74"/>
      <c r="O416" s="74"/>
      <c r="P416" s="74"/>
      <c r="Q416" s="74"/>
      <c r="R416" s="74"/>
      <c r="S416" s="74"/>
      <c r="T416" s="74"/>
      <c r="U416" s="74"/>
      <c r="V416" s="74"/>
      <c r="W416" s="74"/>
      <c r="X416" s="74"/>
      <c r="Y416" s="74"/>
      <c r="Z416" s="74"/>
    </row>
    <row r="417" spans="1:26" x14ac:dyDescent="0.3">
      <c r="A417" s="66">
        <f t="shared" si="44"/>
        <v>2030.9999999999627</v>
      </c>
      <c r="B417" s="67">
        <f>LOOKUP(A417+0.01,AmountsB!$A$4:$A$103,AmountsB!$B$4:$B$103)*0.1*$A$2</f>
        <v>0</v>
      </c>
      <c r="C417" s="68">
        <f t="shared" si="43"/>
        <v>1538495.7946267016</v>
      </c>
      <c r="D417" s="67">
        <f t="array" ref="D417">SUM($B$7:$B412*$F$1009*EXP(-$F$1009*($A417-$A$7:$A412)))*$F$1010</f>
        <v>136815739.15364525</v>
      </c>
      <c r="E417" s="67">
        <f t="shared" si="41"/>
        <v>260.82712859464249</v>
      </c>
      <c r="F417" s="70">
        <f t="shared" si="45"/>
        <v>15.837423248266692</v>
      </c>
      <c r="G417" s="67">
        <f>E417/'Lookup Tables'!$C$48</f>
        <v>521.65425718928498</v>
      </c>
      <c r="H417" s="70">
        <f t="shared" si="42"/>
        <v>8.9106996111489256E-2</v>
      </c>
      <c r="I417" s="71">
        <f t="shared" si="46"/>
        <v>0.75118213035257031</v>
      </c>
      <c r="L417" s="74"/>
      <c r="M417" s="74"/>
      <c r="N417" s="74"/>
      <c r="O417" s="74"/>
      <c r="P417" s="74"/>
      <c r="Q417" s="74"/>
      <c r="R417" s="74"/>
      <c r="S417" s="74"/>
      <c r="T417" s="74"/>
      <c r="U417" s="74"/>
      <c r="V417" s="74"/>
      <c r="W417" s="74"/>
      <c r="X417" s="74"/>
      <c r="Y417" s="74"/>
      <c r="Z417" s="74"/>
    </row>
    <row r="418" spans="1:26" x14ac:dyDescent="0.3">
      <c r="A418" s="66">
        <f t="shared" si="44"/>
        <v>2031.0999999999626</v>
      </c>
      <c r="B418" s="67">
        <f>LOOKUP(A418+0.01,AmountsB!$A$4:$A$103,AmountsB!$B$4:$B$103)*0.1*$A$2</f>
        <v>0</v>
      </c>
      <c r="C418" s="68">
        <f t="shared" si="43"/>
        <v>1538495.7946267016</v>
      </c>
      <c r="D418" s="67">
        <f t="array" ref="D418">SUM($B$7:$B413*$F$1009*EXP(-$F$1009*($A418-$A$7:$A413)))*$F$1010</f>
        <v>136433190.9014999</v>
      </c>
      <c r="E418" s="67">
        <f t="shared" si="41"/>
        <v>260.09783412331035</v>
      </c>
      <c r="F418" s="70">
        <f t="shared" si="45"/>
        <v>15.793140487967404</v>
      </c>
      <c r="G418" s="67">
        <f>E418/'Lookup Tables'!$C$48</f>
        <v>520.1956682466207</v>
      </c>
      <c r="H418" s="70">
        <f t="shared" si="42"/>
        <v>8.8857845496017357E-2</v>
      </c>
      <c r="I418" s="71">
        <f t="shared" si="46"/>
        <v>0.74908176227513379</v>
      </c>
      <c r="L418" s="74"/>
      <c r="M418" s="74"/>
      <c r="N418" s="74"/>
      <c r="O418" s="74"/>
      <c r="P418" s="74"/>
      <c r="Q418" s="74"/>
      <c r="R418" s="74"/>
      <c r="S418" s="74"/>
      <c r="T418" s="74"/>
      <c r="U418" s="74"/>
      <c r="V418" s="74"/>
      <c r="W418" s="74"/>
      <c r="X418" s="74"/>
      <c r="Y418" s="74"/>
      <c r="Z418" s="74"/>
    </row>
    <row r="419" spans="1:26" x14ac:dyDescent="0.3">
      <c r="A419" s="66">
        <f t="shared" si="44"/>
        <v>2031.1999999999625</v>
      </c>
      <c r="B419" s="67">
        <f>LOOKUP(A419+0.01,AmountsB!$A$4:$A$103,AmountsB!$B$4:$B$103)*0.1*$A$2</f>
        <v>0</v>
      </c>
      <c r="C419" s="68">
        <f t="shared" si="43"/>
        <v>1538495.7946267016</v>
      </c>
      <c r="D419" s="67">
        <f t="array" ref="D419">SUM($B$7:$B414*$F$1009*EXP(-$F$1009*($A419-$A$7:$A414)))*$F$1010</f>
        <v>136051712.28626999</v>
      </c>
      <c r="E419" s="67">
        <f t="shared" si="41"/>
        <v>259.37057882032991</v>
      </c>
      <c r="F419" s="70">
        <f t="shared" si="45"/>
        <v>15.748981545970432</v>
      </c>
      <c r="G419" s="67">
        <f>E419/'Lookup Tables'!$C$48</f>
        <v>518.74115764065982</v>
      </c>
      <c r="H419" s="70">
        <f t="shared" si="42"/>
        <v>8.8609391526509276E-2</v>
      </c>
      <c r="I419" s="71">
        <f t="shared" si="46"/>
        <v>0.74698726700255014</v>
      </c>
      <c r="L419" s="74"/>
      <c r="M419" s="74"/>
      <c r="N419" s="74"/>
      <c r="O419" s="74"/>
      <c r="P419" s="74"/>
      <c r="Q419" s="74"/>
      <c r="R419" s="74"/>
      <c r="S419" s="74"/>
      <c r="T419" s="74"/>
      <c r="U419" s="74"/>
      <c r="V419" s="74"/>
      <c r="W419" s="74"/>
      <c r="X419" s="74"/>
      <c r="Y419" s="74"/>
      <c r="Z419" s="74"/>
    </row>
    <row r="420" spans="1:26" x14ac:dyDescent="0.3">
      <c r="A420" s="66">
        <f t="shared" si="44"/>
        <v>2031.2999999999624</v>
      </c>
      <c r="B420" s="67">
        <f>LOOKUP(A420+0.01,AmountsB!$A$4:$A$103,AmountsB!$B$4:$B$103)*0.1*$A$2</f>
        <v>0</v>
      </c>
      <c r="C420" s="68">
        <f t="shared" si="43"/>
        <v>1538495.7946267016</v>
      </c>
      <c r="D420" s="67">
        <f t="array" ref="D420">SUM($B$7:$B415*$F$1009*EXP(-$F$1009*($A420-$A$7:$A415)))*$F$1010</f>
        <v>135671300.31716132</v>
      </c>
      <c r="E420" s="67">
        <f t="shared" si="41"/>
        <v>258.64535698401602</v>
      </c>
      <c r="F420" s="70">
        <f t="shared" si="45"/>
        <v>15.704946076069454</v>
      </c>
      <c r="G420" s="67">
        <f>E420/'Lookup Tables'!$C$48</f>
        <v>517.29071396803204</v>
      </c>
      <c r="H420" s="70">
        <f t="shared" si="42"/>
        <v>8.8361632255084657E-2</v>
      </c>
      <c r="I420" s="71">
        <f t="shared" si="46"/>
        <v>0.74489862811396623</v>
      </c>
      <c r="L420" s="74"/>
      <c r="M420" s="74"/>
      <c r="N420" s="74"/>
      <c r="O420" s="74"/>
      <c r="P420" s="74"/>
      <c r="Q420" s="74"/>
      <c r="R420" s="74"/>
      <c r="S420" s="74"/>
      <c r="T420" s="74"/>
      <c r="U420" s="74"/>
      <c r="V420" s="74"/>
      <c r="W420" s="74"/>
      <c r="X420" s="74"/>
      <c r="Y420" s="74"/>
      <c r="Z420" s="74"/>
    </row>
    <row r="421" spans="1:26" x14ac:dyDescent="0.3">
      <c r="A421" s="66">
        <f t="shared" si="44"/>
        <v>2031.3999999999623</v>
      </c>
      <c r="B421" s="67">
        <f>LOOKUP(A421+0.01,AmountsB!$A$4:$A$103,AmountsB!$B$4:$B$103)*0.1*$A$2</f>
        <v>0</v>
      </c>
      <c r="C421" s="68">
        <f t="shared" si="43"/>
        <v>1538495.7946267016</v>
      </c>
      <c r="D421" s="67">
        <f t="array" ref="D421">SUM($B$7:$B416*$F$1009*EXP(-$F$1009*($A421-$A$7:$A416)))*$F$1010</f>
        <v>135291952.01174212</v>
      </c>
      <c r="E421" s="67">
        <f t="shared" si="41"/>
        <v>257.92216292862577</v>
      </c>
      <c r="F421" s="70">
        <f t="shared" si="45"/>
        <v>15.661033733026157</v>
      </c>
      <c r="G421" s="67">
        <f>E421/'Lookup Tables'!$C$48</f>
        <v>515.84432585725153</v>
      </c>
      <c r="H421" s="70">
        <f t="shared" si="42"/>
        <v>8.8114565739309494E-2</v>
      </c>
      <c r="I421" s="71">
        <f t="shared" si="46"/>
        <v>0.74281582923444223</v>
      </c>
      <c r="L421" s="74"/>
      <c r="M421" s="74"/>
      <c r="N421" s="74"/>
      <c r="O421" s="74"/>
      <c r="P421" s="74"/>
      <c r="Q421" s="74"/>
      <c r="R421" s="74"/>
      <c r="S421" s="74"/>
      <c r="T421" s="74"/>
      <c r="U421" s="74"/>
      <c r="V421" s="74"/>
      <c r="W421" s="74"/>
      <c r="X421" s="74"/>
      <c r="Y421" s="74"/>
      <c r="Z421" s="74"/>
    </row>
    <row r="422" spans="1:26" x14ac:dyDescent="0.3">
      <c r="A422" s="66">
        <f t="shared" si="44"/>
        <v>2031.4999999999623</v>
      </c>
      <c r="B422" s="67">
        <f>LOOKUP(A422+0.01,AmountsB!$A$4:$A$103,AmountsB!$B$4:$B$103)*0.1*$A$2</f>
        <v>0</v>
      </c>
      <c r="C422" s="68">
        <f t="shared" si="43"/>
        <v>1538495.7946267016</v>
      </c>
      <c r="D422" s="67">
        <f t="array" ref="D422">SUM($B$7:$B417*$F$1009*EXP(-$F$1009*($A422-$A$7:$A417)))*$F$1010</f>
        <v>134913664.39591959</v>
      </c>
      <c r="E422" s="67">
        <f t="shared" si="41"/>
        <v>257.20099098431393</v>
      </c>
      <c r="F422" s="70">
        <f t="shared" si="45"/>
        <v>15.61724417256754</v>
      </c>
      <c r="G422" s="67">
        <f>E422/'Lookup Tables'!$C$48</f>
        <v>514.40198196862787</v>
      </c>
      <c r="H422" s="70">
        <f t="shared" si="42"/>
        <v>8.7868190042181077E-2</v>
      </c>
      <c r="I422" s="71">
        <f t="shared" si="46"/>
        <v>0.74073885403482409</v>
      </c>
      <c r="L422" s="74"/>
      <c r="M422" s="74"/>
      <c r="N422" s="74"/>
      <c r="O422" s="74"/>
      <c r="P422" s="74"/>
      <c r="Q422" s="74"/>
      <c r="R422" s="74"/>
      <c r="S422" s="74"/>
      <c r="T422" s="74"/>
      <c r="U422" s="74"/>
      <c r="V422" s="74"/>
      <c r="W422" s="74"/>
      <c r="X422" s="74"/>
      <c r="Y422" s="74"/>
      <c r="Z422" s="74"/>
    </row>
    <row r="423" spans="1:26" x14ac:dyDescent="0.3">
      <c r="A423" s="66">
        <f t="shared" si="44"/>
        <v>2031.5999999999622</v>
      </c>
      <c r="B423" s="67">
        <f>LOOKUP(A423+0.01,AmountsB!$A$4:$A$103,AmountsB!$B$4:$B$103)*0.1*$A$2</f>
        <v>0</v>
      </c>
      <c r="C423" s="68">
        <f t="shared" si="43"/>
        <v>1538495.7946267016</v>
      </c>
      <c r="D423" s="67">
        <f t="array" ref="D423">SUM($B$7:$B418*$F$1009*EXP(-$F$1009*($A423-$A$7:$A418)))*$F$1010</f>
        <v>134536434.50391704</v>
      </c>
      <c r="E423" s="67">
        <f t="shared" si="41"/>
        <v>256.48183549708892</v>
      </c>
      <c r="F423" s="70">
        <f t="shared" si="45"/>
        <v>15.573577051383241</v>
      </c>
      <c r="G423" s="67">
        <f>E423/'Lookup Tables'!$C$48</f>
        <v>512.96367099417785</v>
      </c>
      <c r="H423" s="70">
        <f t="shared" si="42"/>
        <v>8.7622503232112681E-2</v>
      </c>
      <c r="I423" s="71">
        <f t="shared" si="46"/>
        <v>0.73866768623161605</v>
      </c>
      <c r="L423" s="74"/>
      <c r="M423" s="74"/>
      <c r="N423" s="74"/>
      <c r="O423" s="74"/>
      <c r="P423" s="74"/>
      <c r="Q423" s="74"/>
      <c r="R423" s="74"/>
      <c r="S423" s="74"/>
      <c r="T423" s="74"/>
      <c r="U423" s="74"/>
      <c r="V423" s="74"/>
      <c r="W423" s="74"/>
      <c r="X423" s="74"/>
      <c r="Y423" s="74"/>
      <c r="Z423" s="74"/>
    </row>
    <row r="424" spans="1:26" x14ac:dyDescent="0.3">
      <c r="A424" s="66">
        <f t="shared" si="44"/>
        <v>2031.6999999999621</v>
      </c>
      <c r="B424" s="67">
        <f>LOOKUP(A424+0.01,AmountsB!$A$4:$A$103,AmountsB!$B$4:$B$103)*0.1*$A$2</f>
        <v>0</v>
      </c>
      <c r="C424" s="68">
        <f t="shared" si="43"/>
        <v>1538495.7946267016</v>
      </c>
      <c r="D424" s="67">
        <f t="array" ref="D424">SUM($B$7:$B419*$F$1009*EXP(-$F$1009*($A424-$A$7:$A419)))*$F$1010</f>
        <v>134160259.37825006</v>
      </c>
      <c r="E424" s="67">
        <f t="shared" si="41"/>
        <v>255.76469082876778</v>
      </c>
      <c r="F424" s="70">
        <f t="shared" si="45"/>
        <v>15.530032027122779</v>
      </c>
      <c r="G424" s="67">
        <f>E424/'Lookup Tables'!$C$48</f>
        <v>511.52938165753557</v>
      </c>
      <c r="H424" s="70">
        <f t="shared" si="42"/>
        <v>8.7377503382918401E-2</v>
      </c>
      <c r="I424" s="71">
        <f t="shared" si="46"/>
        <v>0.73660230958685113</v>
      </c>
      <c r="L424" s="74"/>
      <c r="M424" s="74"/>
      <c r="N424" s="74"/>
      <c r="O424" s="74"/>
      <c r="P424" s="74"/>
      <c r="Q424" s="74"/>
      <c r="R424" s="74"/>
      <c r="S424" s="74"/>
      <c r="T424" s="74"/>
      <c r="U424" s="74"/>
      <c r="V424" s="74"/>
      <c r="W424" s="74"/>
      <c r="X424" s="74"/>
      <c r="Y424" s="74"/>
      <c r="Z424" s="74"/>
    </row>
    <row r="425" spans="1:26" x14ac:dyDescent="0.3">
      <c r="A425" s="66">
        <f t="shared" si="44"/>
        <v>2031.799999999962</v>
      </c>
      <c r="B425" s="67">
        <f>LOOKUP(A425+0.01,AmountsB!$A$4:$A$103,AmountsB!$B$4:$B$103)*0.1*$A$2</f>
        <v>0</v>
      </c>
      <c r="C425" s="68">
        <f t="shared" si="43"/>
        <v>1538495.7946267016</v>
      </c>
      <c r="D425" s="67">
        <f t="array" ref="D425">SUM($B$7:$B420*$F$1009*EXP(-$F$1009*($A425-$A$7:$A420)))*$F$1010</f>
        <v>133785136.0697038</v>
      </c>
      <c r="E425" s="67">
        <f t="shared" si="41"/>
        <v>255.04955135693288</v>
      </c>
      <c r="F425" s="70">
        <f t="shared" si="45"/>
        <v>15.486608758392963</v>
      </c>
      <c r="G425" s="67">
        <f>E425/'Lookup Tables'!$C$48</f>
        <v>510.09910271386576</v>
      </c>
      <c r="H425" s="70">
        <f t="shared" si="42"/>
        <v>8.7133188573798218E-2</v>
      </c>
      <c r="I425" s="71">
        <f t="shared" si="46"/>
        <v>0.73454270790796672</v>
      </c>
      <c r="L425" s="74"/>
      <c r="M425" s="74"/>
      <c r="N425" s="74"/>
      <c r="O425" s="74"/>
      <c r="P425" s="74"/>
      <c r="Q425" s="74"/>
      <c r="R425" s="74"/>
      <c r="S425" s="74"/>
      <c r="T425" s="74"/>
      <c r="U425" s="74"/>
      <c r="V425" s="74"/>
      <c r="W425" s="74"/>
      <c r="X425" s="74"/>
      <c r="Y425" s="74"/>
      <c r="Z425" s="74"/>
    </row>
    <row r="426" spans="1:26" x14ac:dyDescent="0.3">
      <c r="A426" s="66">
        <f t="shared" si="44"/>
        <v>2031.8999999999619</v>
      </c>
      <c r="B426" s="67">
        <f>LOOKUP(A426+0.01,AmountsB!$A$4:$A$103,AmountsB!$B$4:$B$103)*0.1*$A$2</f>
        <v>0</v>
      </c>
      <c r="C426" s="68">
        <f t="shared" si="43"/>
        <v>1538495.7946267016</v>
      </c>
      <c r="D426" s="67">
        <f t="array" ref="D426">SUM($B$7:$B421*$F$1009*EXP(-$F$1009*($A426-$A$7:$A421)))*$F$1010</f>
        <v>133411061.6373096</v>
      </c>
      <c r="E426" s="67">
        <f t="shared" si="41"/>
        <v>254.33641147488697</v>
      </c>
      <c r="F426" s="70">
        <f t="shared" si="45"/>
        <v>15.443306904755138</v>
      </c>
      <c r="G426" s="67">
        <f>E426/'Lookup Tables'!$C$48</f>
        <v>508.67282294977394</v>
      </c>
      <c r="H426" s="70">
        <f t="shared" si="42"/>
        <v>8.6889556889322747E-2</v>
      </c>
      <c r="I426" s="71">
        <f t="shared" si="46"/>
        <v>0.73248886504767452</v>
      </c>
      <c r="L426" s="74"/>
      <c r="M426" s="74"/>
      <c r="N426" s="74"/>
      <c r="O426" s="74"/>
      <c r="P426" s="74"/>
      <c r="Q426" s="74"/>
      <c r="R426" s="74"/>
      <c r="S426" s="74"/>
      <c r="T426" s="74"/>
      <c r="U426" s="74"/>
      <c r="V426" s="74"/>
      <c r="W426" s="74"/>
      <c r="X426" s="74"/>
      <c r="Y426" s="74"/>
      <c r="Z426" s="74"/>
    </row>
    <row r="427" spans="1:26" x14ac:dyDescent="0.3">
      <c r="A427" s="66">
        <f t="shared" si="44"/>
        <v>2031.9999999999618</v>
      </c>
      <c r="B427" s="67">
        <f>LOOKUP(A427+0.01,AmountsB!$A$4:$A$103,AmountsB!$B$4:$B$103)*0.1*$A$2</f>
        <v>0</v>
      </c>
      <c r="C427" s="68">
        <f t="shared" si="43"/>
        <v>1538495.7946267016</v>
      </c>
      <c r="D427" s="67">
        <f t="array" ref="D427">SUM($B$7:$B422*$F$1009*EXP(-$F$1009*($A427-$A$7:$A422)))*$F$1010</f>
        <v>133038033.14832194</v>
      </c>
      <c r="E427" s="67">
        <f t="shared" si="41"/>
        <v>253.62526559160975</v>
      </c>
      <c r="F427" s="70">
        <f t="shared" si="45"/>
        <v>15.400126126722544</v>
      </c>
      <c r="G427" s="67">
        <f>E427/'Lookup Tables'!$C$48</f>
        <v>507.25053118321949</v>
      </c>
      <c r="H427" s="70">
        <f t="shared" si="42"/>
        <v>8.6646606419418334E-2</v>
      </c>
      <c r="I427" s="71">
        <f t="shared" si="46"/>
        <v>0.73044076490383603</v>
      </c>
      <c r="L427" s="74"/>
      <c r="M427" s="74"/>
      <c r="N427" s="74"/>
      <c r="O427" s="74"/>
      <c r="P427" s="74"/>
      <c r="Q427" s="74"/>
      <c r="R427" s="74"/>
      <c r="S427" s="74"/>
      <c r="T427" s="74"/>
      <c r="U427" s="74"/>
      <c r="V427" s="74"/>
      <c r="W427" s="74"/>
      <c r="X427" s="74"/>
      <c r="Y427" s="74"/>
      <c r="Z427" s="74"/>
    </row>
    <row r="428" spans="1:26" x14ac:dyDescent="0.3">
      <c r="A428" s="66">
        <f t="shared" si="44"/>
        <v>2032.0999999999617</v>
      </c>
      <c r="B428" s="67">
        <f>LOOKUP(A428+0.01,AmountsB!$A$4:$A$103,AmountsB!$B$4:$B$103)*0.1*$A$2</f>
        <v>0</v>
      </c>
      <c r="C428" s="68">
        <f t="shared" si="43"/>
        <v>1538495.7946267016</v>
      </c>
      <c r="D428" s="67">
        <f t="array" ref="D428">SUM($B$7:$B423*$F$1009*EXP(-$F$1009*($A428-$A$7:$A423)))*$F$1010</f>
        <v>132666047.67819564</v>
      </c>
      <c r="E428" s="67">
        <f t="shared" si="41"/>
        <v>252.91610813171391</v>
      </c>
      <c r="F428" s="70">
        <f t="shared" si="45"/>
        <v>15.357066085757669</v>
      </c>
      <c r="G428" s="67">
        <f>E428/'Lookup Tables'!$C$48</f>
        <v>505.83221626342782</v>
      </c>
      <c r="H428" s="70">
        <f t="shared" si="42"/>
        <v>8.6404335259352094E-2</v>
      </c>
      <c r="I428" s="71">
        <f t="shared" si="46"/>
        <v>0.72839839141933604</v>
      </c>
      <c r="L428" s="74"/>
      <c r="M428" s="74"/>
      <c r="N428" s="74"/>
      <c r="O428" s="74"/>
      <c r="P428" s="74"/>
      <c r="Q428" s="74"/>
      <c r="R428" s="74"/>
      <c r="S428" s="74"/>
      <c r="T428" s="74"/>
      <c r="U428" s="74"/>
      <c r="V428" s="74"/>
      <c r="W428" s="74"/>
      <c r="X428" s="74"/>
      <c r="Y428" s="74"/>
      <c r="Z428" s="74"/>
    </row>
    <row r="429" spans="1:26" x14ac:dyDescent="0.3">
      <c r="A429" s="66">
        <f t="shared" si="44"/>
        <v>2032.1999999999616</v>
      </c>
      <c r="B429" s="67">
        <f>LOOKUP(A429+0.01,AmountsB!$A$4:$A$103,AmountsB!$B$4:$B$103)*0.1*$A$2</f>
        <v>0</v>
      </c>
      <c r="C429" s="68">
        <f t="shared" si="43"/>
        <v>1538495.7946267016</v>
      </c>
      <c r="D429" s="67">
        <f t="array" ref="D429">SUM($B$7:$B424*$F$1009*EXP(-$F$1009*($A429-$A$7:$A424)))*$F$1010</f>
        <v>132295102.31056264</v>
      </c>
      <c r="E429" s="67">
        <f t="shared" si="41"/>
        <v>252.20893353540123</v>
      </c>
      <c r="F429" s="70">
        <f t="shared" si="45"/>
        <v>15.314126444269561</v>
      </c>
      <c r="G429" s="67">
        <f>E429/'Lookup Tables'!$C$48</f>
        <v>504.41786707080246</v>
      </c>
      <c r="H429" s="70">
        <f t="shared" si="42"/>
        <v>8.6162741509716839E-2</v>
      </c>
      <c r="I429" s="71">
        <f t="shared" si="46"/>
        <v>0.72636172858195558</v>
      </c>
      <c r="L429" s="74"/>
      <c r="M429" s="74"/>
      <c r="N429" s="74"/>
      <c r="O429" s="74"/>
      <c r="P429" s="74"/>
      <c r="Q429" s="74"/>
      <c r="R429" s="74"/>
      <c r="S429" s="74"/>
      <c r="T429" s="74"/>
      <c r="U429" s="74"/>
      <c r="V429" s="74"/>
      <c r="W429" s="74"/>
      <c r="X429" s="74"/>
      <c r="Y429" s="74"/>
      <c r="Z429" s="74"/>
    </row>
    <row r="430" spans="1:26" x14ac:dyDescent="0.3">
      <c r="A430" s="66">
        <f t="shared" si="44"/>
        <v>2032.2999999999615</v>
      </c>
      <c r="B430" s="67">
        <f>LOOKUP(A430+0.01,AmountsB!$A$4:$A$103,AmountsB!$B$4:$B$103)*0.1*$A$2</f>
        <v>0</v>
      </c>
      <c r="C430" s="68">
        <f t="shared" si="43"/>
        <v>1538495.7946267016</v>
      </c>
      <c r="D430" s="67">
        <f t="array" ref="D430">SUM($B$7:$B425*$F$1009*EXP(-$F$1009*($A430-$A$7:$A425)))*$F$1010</f>
        <v>131925194.13720946</v>
      </c>
      <c r="E430" s="67">
        <f t="shared" si="41"/>
        <v>251.50373625841945</v>
      </c>
      <c r="F430" s="70">
        <f t="shared" si="45"/>
        <v>15.27130686561123</v>
      </c>
      <c r="G430" s="67">
        <f>E430/'Lookup Tables'!$C$48</f>
        <v>503.0074725168389</v>
      </c>
      <c r="H430" s="70">
        <f t="shared" si="42"/>
        <v>8.5921823276416398E-2</v>
      </c>
      <c r="I430" s="71">
        <f t="shared" si="46"/>
        <v>0.72433076042424804</v>
      </c>
      <c r="L430" s="74"/>
      <c r="M430" s="74"/>
      <c r="N430" s="74"/>
      <c r="O430" s="74"/>
      <c r="P430" s="74"/>
      <c r="Q430" s="74"/>
      <c r="R430" s="74"/>
      <c r="S430" s="74"/>
      <c r="T430" s="74"/>
      <c r="U430" s="74"/>
      <c r="V430" s="74"/>
      <c r="W430" s="74"/>
      <c r="X430" s="74"/>
      <c r="Y430" s="74"/>
      <c r="Z430" s="74"/>
    </row>
    <row r="431" spans="1:26" x14ac:dyDescent="0.3">
      <c r="A431" s="66">
        <f t="shared" si="44"/>
        <v>2032.3999999999614</v>
      </c>
      <c r="B431" s="67">
        <f>LOOKUP(A431+0.01,AmountsB!$A$4:$A$103,AmountsB!$B$4:$B$103)*0.1*$A$2</f>
        <v>0</v>
      </c>
      <c r="C431" s="68">
        <f t="shared" si="43"/>
        <v>1538495.7946267016</v>
      </c>
      <c r="D431" s="67">
        <f t="array" ref="D431">SUM($B$7:$B426*$F$1009*EXP(-$F$1009*($A431-$A$7:$A426)))*$F$1010</f>
        <v>131556320.25805396</v>
      </c>
      <c r="E431" s="67">
        <f t="shared" si="41"/>
        <v>250.80051077201799</v>
      </c>
      <c r="F431" s="70">
        <f t="shared" si="45"/>
        <v>15.228607014076934</v>
      </c>
      <c r="G431" s="67">
        <f>E431/'Lookup Tables'!$C$48</f>
        <v>501.60102154403597</v>
      </c>
      <c r="H431" s="70">
        <f t="shared" si="42"/>
        <v>8.5681578670650488E-2</v>
      </c>
      <c r="I431" s="71">
        <f t="shared" si="46"/>
        <v>0.7223054710234118</v>
      </c>
      <c r="L431" s="74"/>
      <c r="M431" s="74"/>
      <c r="N431" s="74"/>
      <c r="O431" s="74"/>
      <c r="P431" s="74"/>
      <c r="Q431" s="74"/>
      <c r="R431" s="74"/>
      <c r="S431" s="74"/>
      <c r="T431" s="74"/>
      <c r="U431" s="74"/>
      <c r="V431" s="74"/>
      <c r="W431" s="74"/>
      <c r="X431" s="74"/>
      <c r="Y431" s="74"/>
      <c r="Z431" s="74"/>
    </row>
    <row r="432" spans="1:26" x14ac:dyDescent="0.3">
      <c r="A432" s="66">
        <f t="shared" si="44"/>
        <v>2032.4999999999613</v>
      </c>
      <c r="B432" s="67">
        <f>LOOKUP(A432+0.01,AmountsB!$A$4:$A$103,AmountsB!$B$4:$B$103)*0.1*$A$2</f>
        <v>0</v>
      </c>
      <c r="C432" s="68">
        <f t="shared" si="43"/>
        <v>1538495.7946267016</v>
      </c>
      <c r="D432" s="67">
        <f t="array" ref="D432">SUM($B$7:$B427*$F$1009*EXP(-$F$1009*($A432-$A$7:$A427)))*$F$1010</f>
        <v>131188477.78112318</v>
      </c>
      <c r="E432" s="67">
        <f t="shared" si="41"/>
        <v>250.09925156290572</v>
      </c>
      <c r="F432" s="70">
        <f t="shared" si="45"/>
        <v>15.186026554899636</v>
      </c>
      <c r="G432" s="67">
        <f>E432/'Lookup Tables'!$C$48</f>
        <v>500.19850312581144</v>
      </c>
      <c r="H432" s="70">
        <f t="shared" si="42"/>
        <v>8.5442005808900254E-2</v>
      </c>
      <c r="I432" s="71">
        <f t="shared" si="46"/>
        <v>0.7202858445011685</v>
      </c>
      <c r="L432" s="74"/>
      <c r="M432" s="74"/>
      <c r="N432" s="74"/>
      <c r="O432" s="74"/>
      <c r="P432" s="74"/>
      <c r="Q432" s="74"/>
      <c r="R432" s="74"/>
      <c r="S432" s="74"/>
      <c r="T432" s="74"/>
      <c r="U432" s="74"/>
      <c r="V432" s="74"/>
      <c r="W432" s="74"/>
      <c r="X432" s="74"/>
      <c r="Y432" s="74"/>
      <c r="Z432" s="74"/>
    </row>
    <row r="433" spans="1:26" x14ac:dyDescent="0.3">
      <c r="A433" s="66">
        <f t="shared" si="44"/>
        <v>2032.5999999999613</v>
      </c>
      <c r="B433" s="67">
        <f>LOOKUP(A433+0.01,AmountsB!$A$4:$A$103,AmountsB!$B$4:$B$103)*0.1*$A$2</f>
        <v>0</v>
      </c>
      <c r="C433" s="68">
        <f t="shared" si="43"/>
        <v>1538495.7946267016</v>
      </c>
      <c r="D433" s="67">
        <f t="array" ref="D433">SUM($B$7:$B428*$F$1009*EXP(-$F$1009*($A433-$A$7:$A428)))*$F$1010</f>
        <v>130821663.82253015</v>
      </c>
      <c r="E433" s="67">
        <f t="shared" si="41"/>
        <v>249.39995313320671</v>
      </c>
      <c r="F433" s="70">
        <f t="shared" si="45"/>
        <v>15.143565154248313</v>
      </c>
      <c r="G433" s="67">
        <f>E433/'Lookup Tables'!$C$48</f>
        <v>498.79990626641342</v>
      </c>
      <c r="H433" s="70">
        <f t="shared" si="42"/>
        <v>8.5203102812913198E-2</v>
      </c>
      <c r="I433" s="71">
        <f t="shared" si="46"/>
        <v>0.71827186502363538</v>
      </c>
      <c r="L433" s="74"/>
      <c r="M433" s="74"/>
      <c r="N433" s="74"/>
      <c r="O433" s="74"/>
      <c r="P433" s="74"/>
      <c r="Q433" s="74"/>
      <c r="R433" s="74"/>
      <c r="S433" s="74"/>
      <c r="T433" s="74"/>
      <c r="U433" s="74"/>
      <c r="V433" s="74"/>
      <c r="W433" s="74"/>
      <c r="X433" s="74"/>
      <c r="Y433" s="74"/>
      <c r="Z433" s="74"/>
    </row>
    <row r="434" spans="1:26" x14ac:dyDescent="0.3">
      <c r="A434" s="66">
        <f t="shared" si="44"/>
        <v>2032.6999999999612</v>
      </c>
      <c r="B434" s="67">
        <f>LOOKUP(A434+0.01,AmountsB!$A$4:$A$103,AmountsB!$B$4:$B$103)*0.1*$A$2</f>
        <v>0</v>
      </c>
      <c r="C434" s="68">
        <f t="shared" si="43"/>
        <v>1538495.7946267016</v>
      </c>
      <c r="D434" s="67">
        <f t="array" ref="D434">SUM($B$7:$B429*$F$1009*EXP(-$F$1009*($A434-$A$7:$A429)))*$F$1010</f>
        <v>130455875.50645162</v>
      </c>
      <c r="E434" s="67">
        <f t="shared" si="41"/>
        <v>248.70261000041779</v>
      </c>
      <c r="F434" s="70">
        <f t="shared" si="45"/>
        <v>15.101222479225369</v>
      </c>
      <c r="G434" s="67">
        <f>E434/'Lookup Tables'!$C$48</f>
        <v>497.40522000083558</v>
      </c>
      <c r="H434" s="70">
        <f t="shared" si="42"/>
        <v>8.4964867809688649E-2</v>
      </c>
      <c r="I434" s="71">
        <f t="shared" si="46"/>
        <v>0.71626351680120326</v>
      </c>
      <c r="L434" s="74"/>
      <c r="M434" s="74"/>
      <c r="N434" s="74"/>
      <c r="O434" s="74"/>
      <c r="P434" s="74"/>
      <c r="Q434" s="74"/>
      <c r="R434" s="74"/>
      <c r="S434" s="74"/>
      <c r="T434" s="74"/>
      <c r="U434" s="74"/>
      <c r="V434" s="74"/>
      <c r="W434" s="74"/>
      <c r="X434" s="74"/>
      <c r="Y434" s="74"/>
      <c r="Z434" s="74"/>
    </row>
    <row r="435" spans="1:26" x14ac:dyDescent="0.3">
      <c r="A435" s="66">
        <f t="shared" si="44"/>
        <v>2032.7999999999611</v>
      </c>
      <c r="B435" s="67">
        <f>LOOKUP(A435+0.01,AmountsB!$A$4:$A$103,AmountsB!$B$4:$B$103)*0.1*$A$2</f>
        <v>0</v>
      </c>
      <c r="C435" s="68">
        <f t="shared" si="43"/>
        <v>1538495.7946267016</v>
      </c>
      <c r="D435" s="67">
        <f t="array" ref="D435">SUM($B$7:$B430*$F$1009*EXP(-$F$1009*($A435-$A$7:$A430)))*$F$1010</f>
        <v>130091109.96510521</v>
      </c>
      <c r="E435" s="67">
        <f t="shared" si="41"/>
        <v>248.00721669736504</v>
      </c>
      <c r="F435" s="70">
        <f t="shared" si="45"/>
        <v>15.058998197864005</v>
      </c>
      <c r="G435" s="67">
        <f>E435/'Lookup Tables'!$C$48</f>
        <v>496.01443339473008</v>
      </c>
      <c r="H435" s="70">
        <f t="shared" si="42"/>
        <v>8.4727298931462885E-2</v>
      </c>
      <c r="I435" s="71">
        <f t="shared" si="46"/>
        <v>0.71426078408841132</v>
      </c>
      <c r="L435" s="74"/>
      <c r="M435" s="74"/>
      <c r="N435" s="74"/>
      <c r="O435" s="74"/>
      <c r="P435" s="74"/>
      <c r="Q435" s="74"/>
      <c r="R435" s="74"/>
      <c r="S435" s="74"/>
      <c r="T435" s="74"/>
      <c r="U435" s="74"/>
      <c r="V435" s="74"/>
      <c r="W435" s="74"/>
      <c r="X435" s="74"/>
      <c r="Y435" s="74"/>
      <c r="Z435" s="74"/>
    </row>
    <row r="436" spans="1:26" x14ac:dyDescent="0.3">
      <c r="A436" s="66">
        <f t="shared" si="44"/>
        <v>2032.899999999961</v>
      </c>
      <c r="B436" s="67">
        <f>LOOKUP(A436+0.01,AmountsB!$A$4:$A$103,AmountsB!$B$4:$B$103)*0.1*$A$2</f>
        <v>0</v>
      </c>
      <c r="C436" s="68">
        <f t="shared" si="43"/>
        <v>1538495.7946267016</v>
      </c>
      <c r="D436" s="67">
        <f t="array" ref="D436">SUM($B$7:$B431*$F$1009*EXP(-$F$1009*($A436-$A$7:$A431)))*$F$1010</f>
        <v>129727364.33872724</v>
      </c>
      <c r="E436" s="67">
        <f t="shared" si="41"/>
        <v>247.3137677721615</v>
      </c>
      <c r="F436" s="70">
        <f t="shared" si="45"/>
        <v>15.016891979125646</v>
      </c>
      <c r="G436" s="67">
        <f>E436/'Lookup Tables'!$C$48</f>
        <v>494.627535544323</v>
      </c>
      <c r="H436" s="70">
        <f t="shared" si="42"/>
        <v>8.4490394315694703E-2</v>
      </c>
      <c r="I436" s="71">
        <f t="shared" si="46"/>
        <v>0.71226365118382506</v>
      </c>
      <c r="L436" s="74"/>
      <c r="M436" s="74"/>
      <c r="N436" s="74"/>
      <c r="O436" s="74"/>
      <c r="P436" s="74"/>
      <c r="Q436" s="74"/>
      <c r="R436" s="74"/>
      <c r="S436" s="74"/>
      <c r="T436" s="74"/>
      <c r="U436" s="74"/>
      <c r="V436" s="74"/>
      <c r="W436" s="74"/>
      <c r="X436" s="74"/>
      <c r="Y436" s="74"/>
      <c r="Z436" s="74"/>
    </row>
    <row r="437" spans="1:26" x14ac:dyDescent="0.3">
      <c r="A437" s="66">
        <f t="shared" si="44"/>
        <v>2032.9999999999609</v>
      </c>
      <c r="B437" s="67">
        <f>LOOKUP(A437+0.01,AmountsB!$A$4:$A$103,AmountsB!$B$4:$B$103)*0.1*$A$2</f>
        <v>0</v>
      </c>
      <c r="C437" s="68">
        <f t="shared" si="43"/>
        <v>1538495.7946267016</v>
      </c>
      <c r="D437" s="67">
        <f t="array" ref="D437">SUM($B$7:$B432*$F$1009*EXP(-$F$1009*($A437-$A$7:$A432)))*$F$1010</f>
        <v>129364635.77555023</v>
      </c>
      <c r="E437" s="67">
        <f t="shared" si="41"/>
        <v>246.62225778816421</v>
      </c>
      <c r="F437" s="70">
        <f t="shared" si="45"/>
        <v>14.974903492897331</v>
      </c>
      <c r="G437" s="67">
        <f>E437/'Lookup Tables'!$C$48</f>
        <v>493.24451557632841</v>
      </c>
      <c r="H437" s="70">
        <f t="shared" si="42"/>
        <v>8.42541521050508E-2</v>
      </c>
      <c r="I437" s="71">
        <f t="shared" si="46"/>
        <v>0.7102721024299129</v>
      </c>
      <c r="L437" s="74"/>
      <c r="M437" s="74"/>
      <c r="N437" s="74"/>
      <c r="O437" s="74"/>
      <c r="P437" s="74"/>
      <c r="Q437" s="74"/>
      <c r="R437" s="74"/>
      <c r="S437" s="74"/>
      <c r="T437" s="74"/>
      <c r="U437" s="74"/>
      <c r="V437" s="74"/>
      <c r="W437" s="74"/>
      <c r="X437" s="74"/>
      <c r="Y437" s="74"/>
      <c r="Z437" s="74"/>
    </row>
    <row r="438" spans="1:26" x14ac:dyDescent="0.3">
      <c r="A438" s="66">
        <f t="shared" si="44"/>
        <v>2033.0999999999608</v>
      </c>
      <c r="B438" s="67">
        <f>LOOKUP(A438+0.01,AmountsB!$A$4:$A$103,AmountsB!$B$4:$B$103)*0.1*$A$2</f>
        <v>0</v>
      </c>
      <c r="C438" s="68">
        <f t="shared" si="43"/>
        <v>1538495.7946267016</v>
      </c>
      <c r="D438" s="67">
        <f t="array" ref="D438">SUM($B$7:$B433*$F$1009*EXP(-$F$1009*($A438-$A$7:$A433)))*$F$1010</f>
        <v>129002921.43178029</v>
      </c>
      <c r="E438" s="67">
        <f t="shared" si="41"/>
        <v>245.93268132393109</v>
      </c>
      <c r="F438" s="70">
        <f t="shared" si="45"/>
        <v>14.933032409989094</v>
      </c>
      <c r="G438" s="67">
        <f>E438/'Lookup Tables'!$C$48</f>
        <v>491.86536264786218</v>
      </c>
      <c r="H438" s="70">
        <f t="shared" si="42"/>
        <v>8.4018570447390903E-2</v>
      </c>
      <c r="I438" s="71">
        <f t="shared" si="46"/>
        <v>0.70828612221292153</v>
      </c>
      <c r="L438" s="74"/>
      <c r="M438" s="74"/>
      <c r="N438" s="74"/>
      <c r="O438" s="74"/>
      <c r="P438" s="74"/>
      <c r="Q438" s="74"/>
      <c r="R438" s="74"/>
      <c r="S438" s="74"/>
      <c r="T438" s="74"/>
      <c r="U438" s="74"/>
      <c r="V438" s="74"/>
      <c r="W438" s="74"/>
      <c r="X438" s="74"/>
      <c r="Y438" s="74"/>
      <c r="Z438" s="74"/>
    </row>
    <row r="439" spans="1:26" x14ac:dyDescent="0.3">
      <c r="A439" s="66">
        <f t="shared" si="44"/>
        <v>2033.1999999999607</v>
      </c>
      <c r="B439" s="67">
        <f>LOOKUP(A439+0.01,AmountsB!$A$4:$A$103,AmountsB!$B$4:$B$103)*0.1*$A$2</f>
        <v>0</v>
      </c>
      <c r="C439" s="68">
        <f t="shared" si="43"/>
        <v>1538495.7946267016</v>
      </c>
      <c r="D439" s="67">
        <f t="array" ref="D439">SUM($B$7:$B434*$F$1009*EXP(-$F$1009*($A439-$A$7:$A434)))*$F$1010</f>
        <v>128642218.47157517</v>
      </c>
      <c r="E439" s="67">
        <f t="shared" si="41"/>
        <v>245.24503297317929</v>
      </c>
      <c r="F439" s="70">
        <f t="shared" si="45"/>
        <v>14.891278402131448</v>
      </c>
      <c r="G439" s="67">
        <f>E439/'Lookup Tables'!$C$48</f>
        <v>490.49006594635858</v>
      </c>
      <c r="H439" s="70">
        <f t="shared" si="42"/>
        <v>8.3783647495753691E-2</v>
      </c>
      <c r="I439" s="71">
        <f t="shared" si="46"/>
        <v>0.70630569496275641</v>
      </c>
      <c r="L439" s="74"/>
      <c r="M439" s="74"/>
      <c r="N439" s="74"/>
      <c r="O439" s="74"/>
      <c r="P439" s="74"/>
      <c r="Q439" s="74"/>
      <c r="R439" s="74"/>
      <c r="S439" s="74"/>
      <c r="T439" s="74"/>
      <c r="U439" s="74"/>
      <c r="V439" s="74"/>
      <c r="W439" s="74"/>
      <c r="X439" s="74"/>
      <c r="Y439" s="74"/>
      <c r="Z439" s="74"/>
    </row>
    <row r="440" spans="1:26" x14ac:dyDescent="0.3">
      <c r="A440" s="66">
        <f t="shared" si="44"/>
        <v>2033.2999999999606</v>
      </c>
      <c r="B440" s="67">
        <f>LOOKUP(A440+0.01,AmountsB!$A$4:$A$103,AmountsB!$B$4:$B$103)*0.1*$A$2</f>
        <v>0</v>
      </c>
      <c r="C440" s="68">
        <f t="shared" si="43"/>
        <v>1538495.7946267016</v>
      </c>
      <c r="D440" s="67">
        <f t="array" ref="D440">SUM($B$7:$B435*$F$1009*EXP(-$F$1009*($A440-$A$7:$A435)))*$F$1010</f>
        <v>128282524.06702174</v>
      </c>
      <c r="E440" s="67">
        <f t="shared" si="41"/>
        <v>244.55930734474214</v>
      </c>
      <c r="F440" s="70">
        <f t="shared" si="45"/>
        <v>14.849641141972743</v>
      </c>
      <c r="G440" s="67">
        <f>E440/'Lookup Tables'!$C$48</f>
        <v>489.11861468948428</v>
      </c>
      <c r="H440" s="70">
        <f t="shared" si="42"/>
        <v>8.3549381408341977E-2</v>
      </c>
      <c r="I440" s="71">
        <f t="shared" si="46"/>
        <v>0.70433080515285729</v>
      </c>
      <c r="L440" s="74"/>
      <c r="M440" s="74"/>
      <c r="N440" s="74"/>
      <c r="O440" s="74"/>
      <c r="P440" s="74"/>
      <c r="Q440" s="74"/>
      <c r="R440" s="74"/>
      <c r="S440" s="74"/>
      <c r="T440" s="74"/>
      <c r="U440" s="74"/>
      <c r="V440" s="74"/>
      <c r="W440" s="74"/>
      <c r="X440" s="74"/>
      <c r="Y440" s="74"/>
      <c r="Z440" s="74"/>
    </row>
    <row r="441" spans="1:26" x14ac:dyDescent="0.3">
      <c r="A441" s="66">
        <f t="shared" si="44"/>
        <v>2033.3999999999605</v>
      </c>
      <c r="B441" s="67">
        <f>LOOKUP(A441+0.01,AmountsB!$A$4:$A$103,AmountsB!$B$4:$B$103)*0.1*$A$2</f>
        <v>0</v>
      </c>
      <c r="C441" s="68">
        <f t="shared" si="43"/>
        <v>1538495.7946267016</v>
      </c>
      <c r="D441" s="67">
        <f t="array" ref="D441">SUM($B$7:$B436*$F$1009*EXP(-$F$1009*($A441-$A$7:$A436)))*$F$1010</f>
        <v>127923835.39811416</v>
      </c>
      <c r="E441" s="67">
        <f t="shared" si="41"/>
        <v>243.87549906252735</v>
      </c>
      <c r="F441" s="70">
        <f t="shared" si="45"/>
        <v>14.808120303076659</v>
      </c>
      <c r="G441" s="67">
        <f>E441/'Lookup Tables'!$C$48</f>
        <v>487.75099812505471</v>
      </c>
      <c r="H441" s="70">
        <f t="shared" si="42"/>
        <v>8.3315770348508511E-2</v>
      </c>
      <c r="I441" s="71">
        <f t="shared" si="46"/>
        <v>0.70236143730007883</v>
      </c>
      <c r="L441" s="74"/>
      <c r="M441" s="74"/>
      <c r="N441" s="74"/>
      <c r="O441" s="74"/>
      <c r="P441" s="74"/>
      <c r="Q441" s="74"/>
      <c r="R441" s="74"/>
      <c r="S441" s="74"/>
      <c r="T441" s="74"/>
      <c r="U441" s="74"/>
      <c r="V441" s="74"/>
      <c r="W441" s="74"/>
      <c r="X441" s="74"/>
      <c r="Y441" s="74"/>
      <c r="Z441" s="74"/>
    </row>
    <row r="442" spans="1:26" x14ac:dyDescent="0.3">
      <c r="A442" s="66">
        <f t="shared" si="44"/>
        <v>2033.4999999999604</v>
      </c>
      <c r="B442" s="67">
        <f>LOOKUP(A442+0.01,AmountsB!$A$4:$A$103,AmountsB!$B$4:$B$103)*0.1*$A$2</f>
        <v>0</v>
      </c>
      <c r="C442" s="68">
        <f t="shared" si="43"/>
        <v>1538495.7946267016</v>
      </c>
      <c r="D442" s="67">
        <f t="array" ref="D442">SUM($B$7:$B437*$F$1009*EXP(-$F$1009*($A442-$A$7:$A437)))*$F$1010</f>
        <v>127566149.6527313</v>
      </c>
      <c r="E442" s="67">
        <f t="shared" si="41"/>
        <v>243.19360276547431</v>
      </c>
      <c r="F442" s="70">
        <f t="shared" si="45"/>
        <v>14.766715559919602</v>
      </c>
      <c r="G442" s="67">
        <f>E442/'Lookup Tables'!$C$48</f>
        <v>486.38720553094862</v>
      </c>
      <c r="H442" s="70">
        <f t="shared" si="42"/>
        <v>8.3082812484741309E-2</v>
      </c>
      <c r="I442" s="71">
        <f t="shared" si="46"/>
        <v>0.70039757596456609</v>
      </c>
      <c r="L442" s="74"/>
      <c r="M442" s="74"/>
      <c r="N442" s="74"/>
      <c r="O442" s="74"/>
      <c r="P442" s="74"/>
      <c r="Q442" s="74"/>
      <c r="R442" s="74"/>
      <c r="S442" s="74"/>
      <c r="T442" s="74"/>
      <c r="U442" s="74"/>
      <c r="V442" s="74"/>
      <c r="W442" s="74"/>
      <c r="X442" s="74"/>
      <c r="Y442" s="74"/>
      <c r="Z442" s="74"/>
    </row>
    <row r="443" spans="1:26" x14ac:dyDescent="0.3">
      <c r="A443" s="66">
        <f t="shared" si="44"/>
        <v>2033.5999999999603</v>
      </c>
      <c r="B443" s="67">
        <f>LOOKUP(A443+0.01,AmountsB!$A$4:$A$103,AmountsB!$B$4:$B$103)*0.1*$A$2</f>
        <v>0</v>
      </c>
      <c r="C443" s="68">
        <f t="shared" si="43"/>
        <v>1538495.7946267016</v>
      </c>
      <c r="D443" s="67">
        <f t="array" ref="D443">SUM($B$7:$B438*$F$1009*EXP(-$F$1009*($A443-$A$7:$A438)))*$F$1010</f>
        <v>127209464.02661508</v>
      </c>
      <c r="E443" s="67">
        <f t="shared" si="41"/>
        <v>242.51361310751253</v>
      </c>
      <c r="F443" s="70">
        <f t="shared" si="45"/>
        <v>14.72542658788816</v>
      </c>
      <c r="G443" s="67">
        <f>E443/'Lookup Tables'!$C$48</f>
        <v>485.02722621502505</v>
      </c>
      <c r="H443" s="70">
        <f t="shared" si="42"/>
        <v>8.2850505990649484E-2</v>
      </c>
      <c r="I443" s="71">
        <f t="shared" si="46"/>
        <v>0.69843920574963603</v>
      </c>
      <c r="L443" s="74"/>
      <c r="M443" s="74"/>
      <c r="N443" s="74"/>
      <c r="O443" s="74"/>
      <c r="P443" s="74"/>
      <c r="Q443" s="74"/>
      <c r="R443" s="74"/>
      <c r="S443" s="74"/>
      <c r="T443" s="74"/>
      <c r="U443" s="74"/>
      <c r="V443" s="74"/>
      <c r="W443" s="74"/>
      <c r="X443" s="74"/>
      <c r="Y443" s="74"/>
      <c r="Z443" s="74"/>
    </row>
    <row r="444" spans="1:26" x14ac:dyDescent="0.3">
      <c r="A444" s="66">
        <f t="shared" si="44"/>
        <v>2033.6999999999603</v>
      </c>
      <c r="B444" s="67">
        <f>LOOKUP(A444+0.01,AmountsB!$A$4:$A$103,AmountsB!$B$4:$B$103)*0.1*$A$2</f>
        <v>0</v>
      </c>
      <c r="C444" s="68">
        <f t="shared" si="43"/>
        <v>1538495.7946267016</v>
      </c>
      <c r="D444" s="67">
        <f t="array" ref="D444">SUM($B$7:$B439*$F$1009*EXP(-$F$1009*($A444-$A$7:$A439)))*$F$1010</f>
        <v>126853775.72334845</v>
      </c>
      <c r="E444" s="67">
        <f t="shared" si="41"/>
        <v>241.83552475751975</v>
      </c>
      <c r="F444" s="70">
        <f t="shared" si="45"/>
        <v>14.6842530632766</v>
      </c>
      <c r="G444" s="67">
        <f>E444/'Lookup Tables'!$C$48</f>
        <v>483.6710495150395</v>
      </c>
      <c r="H444" s="70">
        <f t="shared" si="42"/>
        <v>8.2618849044949039E-2</v>
      </c>
      <c r="I444" s="71">
        <f t="shared" si="46"/>
        <v>0.69648631130165684</v>
      </c>
      <c r="L444" s="74"/>
      <c r="M444" s="74"/>
      <c r="N444" s="74"/>
      <c r="O444" s="74"/>
      <c r="P444" s="74"/>
      <c r="Q444" s="74"/>
      <c r="R444" s="74"/>
      <c r="S444" s="74"/>
      <c r="T444" s="74"/>
      <c r="U444" s="74"/>
      <c r="V444" s="74"/>
      <c r="W444" s="74"/>
      <c r="X444" s="74"/>
      <c r="Y444" s="74"/>
      <c r="Z444" s="74"/>
    </row>
    <row r="445" spans="1:26" x14ac:dyDescent="0.3">
      <c r="A445" s="66">
        <f t="shared" si="44"/>
        <v>2033.7999999999602</v>
      </c>
      <c r="B445" s="67">
        <f>LOOKUP(A445+0.01,AmountsB!$A$4:$A$103,AmountsB!$B$4:$B$103)*0.1*$A$2</f>
        <v>0</v>
      </c>
      <c r="C445" s="68">
        <f t="shared" si="43"/>
        <v>1538495.7946267016</v>
      </c>
      <c r="D445" s="67">
        <f t="array" ref="D445">SUM($B$7:$B440*$F$1009*EXP(-$F$1009*($A445-$A$7:$A440)))*$F$1010</f>
        <v>126499081.95433326</v>
      </c>
      <c r="E445" s="67">
        <f t="shared" si="41"/>
        <v>241.15933239927983</v>
      </c>
      <c r="F445" s="70">
        <f t="shared" si="45"/>
        <v>14.643194663284271</v>
      </c>
      <c r="G445" s="67">
        <f>E445/'Lookup Tables'!$C$48</f>
        <v>482.31866479855967</v>
      </c>
      <c r="H445" s="70">
        <f t="shared" si="42"/>
        <v>8.2387839831448317E-2</v>
      </c>
      <c r="I445" s="71">
        <f t="shared" si="46"/>
        <v>0.69453887730992592</v>
      </c>
      <c r="L445" s="74"/>
      <c r="M445" s="74"/>
      <c r="N445" s="74"/>
      <c r="O445" s="74"/>
      <c r="P445" s="74"/>
      <c r="Q445" s="74"/>
      <c r="R445" s="74"/>
      <c r="S445" s="74"/>
      <c r="T445" s="74"/>
      <c r="U445" s="74"/>
      <c r="V445" s="74"/>
      <c r="W445" s="74"/>
      <c r="X445" s="74"/>
      <c r="Y445" s="74"/>
      <c r="Z445" s="74"/>
    </row>
    <row r="446" spans="1:26" x14ac:dyDescent="0.3">
      <c r="A446" s="66">
        <f t="shared" si="44"/>
        <v>2033.8999999999601</v>
      </c>
      <c r="B446" s="67">
        <f>LOOKUP(A446+0.01,AmountsB!$A$4:$A$103,AmountsB!$B$4:$B$103)*0.1*$A$2</f>
        <v>0</v>
      </c>
      <c r="C446" s="68">
        <f t="shared" si="43"/>
        <v>1538495.7946267016</v>
      </c>
      <c r="D446" s="67">
        <f t="array" ref="D446">SUM($B$7:$B441*$F$1009*EXP(-$F$1009*($A446-$A$7:$A441)))*$F$1010</f>
        <v>126145379.93876848</v>
      </c>
      <c r="E446" s="67">
        <f t="shared" si="41"/>
        <v>240.48503073144104</v>
      </c>
      <c r="F446" s="70">
        <f t="shared" si="45"/>
        <v>14.602251066013102</v>
      </c>
      <c r="G446" s="67">
        <f>E446/'Lookup Tables'!$C$48</f>
        <v>480.97006146288209</v>
      </c>
      <c r="H446" s="70">
        <f t="shared" si="42"/>
        <v>8.2157476539033811E-2</v>
      </c>
      <c r="I446" s="71">
        <f t="shared" si="46"/>
        <v>0.69259688850655021</v>
      </c>
      <c r="L446" s="74"/>
      <c r="M446" s="74"/>
      <c r="N446" s="74"/>
      <c r="O446" s="74"/>
      <c r="P446" s="74"/>
      <c r="Q446" s="74"/>
      <c r="R446" s="74"/>
      <c r="S446" s="74"/>
      <c r="T446" s="74"/>
      <c r="U446" s="74"/>
      <c r="V446" s="74"/>
      <c r="W446" s="74"/>
      <c r="X446" s="74"/>
      <c r="Y446" s="74"/>
      <c r="Z446" s="74"/>
    </row>
    <row r="447" spans="1:26" x14ac:dyDescent="0.3">
      <c r="A447" s="66">
        <f t="shared" si="44"/>
        <v>2033.99999999996</v>
      </c>
      <c r="B447" s="67">
        <f>LOOKUP(A447+0.01,AmountsB!$A$4:$A$103,AmountsB!$B$4:$B$103)*0.1*$A$2</f>
        <v>0</v>
      </c>
      <c r="C447" s="68">
        <f t="shared" si="43"/>
        <v>1538495.7946267016</v>
      </c>
      <c r="D447" s="67">
        <f t="array" ref="D447">SUM($B$7:$B442*$F$1009*EXP(-$F$1009*($A447-$A$7:$A442)))*$F$1010</f>
        <v>125792666.9036286</v>
      </c>
      <c r="E447" s="67">
        <f t="shared" si="41"/>
        <v>239.81261446747507</v>
      </c>
      <c r="F447" s="70">
        <f t="shared" si="45"/>
        <v>14.561421950465085</v>
      </c>
      <c r="G447" s="67">
        <f>E447/'Lookup Tables'!$C$48</f>
        <v>479.62522893495014</v>
      </c>
      <c r="H447" s="70">
        <f t="shared" si="42"/>
        <v>8.1927757361656223E-2</v>
      </c>
      <c r="I447" s="71">
        <f t="shared" si="46"/>
        <v>0.69066032966632818</v>
      </c>
      <c r="L447" s="74"/>
      <c r="M447" s="74"/>
      <c r="N447" s="74"/>
      <c r="O447" s="74"/>
      <c r="P447" s="74"/>
      <c r="Q447" s="74"/>
      <c r="R447" s="74"/>
      <c r="S447" s="74"/>
      <c r="T447" s="74"/>
      <c r="U447" s="74"/>
      <c r="V447" s="74"/>
      <c r="W447" s="74"/>
      <c r="X447" s="74"/>
      <c r="Y447" s="74"/>
      <c r="Z447" s="74"/>
    </row>
    <row r="448" spans="1:26" x14ac:dyDescent="0.3">
      <c r="A448" s="66">
        <f t="shared" si="44"/>
        <v>2034.0999999999599</v>
      </c>
      <c r="B448" s="67">
        <f>LOOKUP(A448+0.01,AmountsB!$A$4:$A$103,AmountsB!$B$4:$B$103)*0.1*$A$2</f>
        <v>0</v>
      </c>
      <c r="C448" s="68">
        <f t="shared" si="43"/>
        <v>1538495.7946267016</v>
      </c>
      <c r="D448" s="67">
        <f t="array" ref="D448">SUM($B$7:$B443*$F$1009*EXP(-$F$1009*($A448-$A$7:$A443)))*$F$1010</f>
        <v>125440940.08364157</v>
      </c>
      <c r="E448" s="67">
        <f t="shared" si="41"/>
        <v>239.14207833563489</v>
      </c>
      <c r="F448" s="70">
        <f t="shared" si="45"/>
        <v>14.520706996539751</v>
      </c>
      <c r="G448" s="67">
        <f>E448/'Lookup Tables'!$C$48</f>
        <v>478.28415667126978</v>
      </c>
      <c r="H448" s="70">
        <f t="shared" si="42"/>
        <v>8.1698680498316023E-2</v>
      </c>
      <c r="I448" s="71">
        <f t="shared" si="46"/>
        <v>0.68872918560662855</v>
      </c>
      <c r="L448" s="74"/>
      <c r="M448" s="74"/>
      <c r="N448" s="74"/>
      <c r="O448" s="74"/>
      <c r="P448" s="74"/>
      <c r="Q448" s="74"/>
      <c r="R448" s="74"/>
      <c r="S448" s="74"/>
      <c r="T448" s="74"/>
      <c r="U448" s="74"/>
      <c r="V448" s="74"/>
      <c r="W448" s="74"/>
      <c r="X448" s="74"/>
      <c r="Y448" s="74"/>
      <c r="Z448" s="74"/>
    </row>
    <row r="449" spans="1:26" x14ac:dyDescent="0.3">
      <c r="A449" s="66">
        <f t="shared" si="44"/>
        <v>2034.1999999999598</v>
      </c>
      <c r="B449" s="67">
        <f>LOOKUP(A449+0.01,AmountsB!$A$4:$A$103,AmountsB!$B$4:$B$103)*0.1*$A$2</f>
        <v>0</v>
      </c>
      <c r="C449" s="68">
        <f t="shared" si="43"/>
        <v>1538495.7946267016</v>
      </c>
      <c r="D449" s="67">
        <f t="array" ref="D449">SUM($B$7:$B444*$F$1009*EXP(-$F$1009*($A449-$A$7:$A444)))*$F$1010</f>
        <v>125090196.7212673</v>
      </c>
      <c r="E449" s="67">
        <f t="shared" si="41"/>
        <v>238.47341707891371</v>
      </c>
      <c r="F449" s="70">
        <f t="shared" si="45"/>
        <v>14.480105885031641</v>
      </c>
      <c r="G449" s="67">
        <f>E449/'Lookup Tables'!$C$48</f>
        <v>476.94683415782742</v>
      </c>
      <c r="H449" s="70">
        <f t="shared" si="42"/>
        <v>8.1470244153049348E-2</v>
      </c>
      <c r="I449" s="71">
        <f t="shared" si="46"/>
        <v>0.68680344118727155</v>
      </c>
      <c r="L449" s="74"/>
      <c r="M449" s="74"/>
      <c r="N449" s="74"/>
      <c r="O449" s="74"/>
      <c r="P449" s="74"/>
      <c r="Q449" s="74"/>
      <c r="R449" s="74"/>
      <c r="S449" s="74"/>
      <c r="T449" s="74"/>
      <c r="U449" s="74"/>
      <c r="V449" s="74"/>
      <c r="W449" s="74"/>
      <c r="X449" s="74"/>
      <c r="Y449" s="74"/>
      <c r="Z449" s="74"/>
    </row>
    <row r="450" spans="1:26" x14ac:dyDescent="0.3">
      <c r="A450" s="66">
        <f t="shared" si="44"/>
        <v>2034.2999999999597</v>
      </c>
      <c r="B450" s="67">
        <f>LOOKUP(A450+0.01,AmountsB!$A$4:$A$103,AmountsB!$B$4:$B$103)*0.1*$A$2</f>
        <v>0</v>
      </c>
      <c r="C450" s="68">
        <f t="shared" si="43"/>
        <v>1538495.7946267016</v>
      </c>
      <c r="D450" s="67">
        <f t="array" ref="D450">SUM($B$7:$B445*$F$1009*EXP(-$F$1009*($A450-$A$7:$A445)))*$F$1010</f>
        <v>124740434.06667608</v>
      </c>
      <c r="E450" s="67">
        <f t="shared" si="41"/>
        <v>237.806625455004</v>
      </c>
      <c r="F450" s="70">
        <f t="shared" si="45"/>
        <v>14.439618297627842</v>
      </c>
      <c r="G450" s="67">
        <f>E450/'Lookup Tables'!$C$48</f>
        <v>475.61325091000799</v>
      </c>
      <c r="H450" s="70">
        <f t="shared" si="42"/>
        <v>8.1242446534914164E-2</v>
      </c>
      <c r="I450" s="71">
        <f t="shared" si="46"/>
        <v>0.68488308131041142</v>
      </c>
      <c r="L450" s="74"/>
      <c r="M450" s="74"/>
      <c r="N450" s="74"/>
      <c r="O450" s="74"/>
      <c r="P450" s="74"/>
      <c r="Q450" s="74"/>
      <c r="R450" s="74"/>
      <c r="S450" s="74"/>
      <c r="T450" s="74"/>
      <c r="U450" s="74"/>
      <c r="V450" s="74"/>
      <c r="W450" s="74"/>
      <c r="X450" s="74"/>
      <c r="Y450" s="74"/>
      <c r="Z450" s="74"/>
    </row>
    <row r="451" spans="1:26" x14ac:dyDescent="0.3">
      <c r="A451" s="66">
        <f t="shared" si="44"/>
        <v>2034.3999999999596</v>
      </c>
      <c r="B451" s="67">
        <f>LOOKUP(A451+0.01,AmountsB!$A$4:$A$103,AmountsB!$B$4:$B$103)*0.1*$A$2</f>
        <v>0</v>
      </c>
      <c r="C451" s="68">
        <f t="shared" si="43"/>
        <v>1538495.7946267016</v>
      </c>
      <c r="D451" s="67">
        <f t="array" ref="D451">SUM($B$7:$B446*$F$1009*EXP(-$F$1009*($A451-$A$7:$A446)))*$F$1010</f>
        <v>124391649.37772688</v>
      </c>
      <c r="E451" s="67">
        <f t="shared" si="41"/>
        <v>237.14169823625593</v>
      </c>
      <c r="F451" s="70">
        <f t="shared" si="45"/>
        <v>14.399243916905458</v>
      </c>
      <c r="G451" s="67">
        <f>E451/'Lookup Tables'!$C$48</f>
        <v>474.28339647251187</v>
      </c>
      <c r="H451" s="70">
        <f t="shared" si="42"/>
        <v>8.1015285857975974E-2</v>
      </c>
      <c r="I451" s="71">
        <f t="shared" si="46"/>
        <v>0.6829680909204171</v>
      </c>
      <c r="L451" s="74"/>
      <c r="M451" s="74"/>
      <c r="N451" s="74"/>
      <c r="O451" s="74"/>
      <c r="P451" s="74"/>
      <c r="Q451" s="74"/>
      <c r="R451" s="74"/>
      <c r="S451" s="74"/>
      <c r="T451" s="74"/>
      <c r="U451" s="74"/>
      <c r="V451" s="74"/>
      <c r="W451" s="74"/>
      <c r="X451" s="74"/>
      <c r="Y451" s="74"/>
      <c r="Z451" s="74"/>
    </row>
    <row r="452" spans="1:26" x14ac:dyDescent="0.3">
      <c r="A452" s="66">
        <f t="shared" si="44"/>
        <v>2034.4999999999595</v>
      </c>
      <c r="B452" s="67">
        <f>LOOKUP(A452+0.01,AmountsB!$A$4:$A$103,AmountsB!$B$4:$B$103)*0.1*$A$2</f>
        <v>0</v>
      </c>
      <c r="C452" s="68">
        <f t="shared" si="43"/>
        <v>1538495.7946267016</v>
      </c>
      <c r="D452" s="67">
        <f t="array" ref="D452">SUM($B$7:$B447*$F$1009*EXP(-$F$1009*($A452-$A$7:$A447)))*$F$1010</f>
        <v>124043839.91994594</v>
      </c>
      <c r="E452" s="67">
        <f t="shared" si="41"/>
        <v>236.47863020963669</v>
      </c>
      <c r="F452" s="70">
        <f t="shared" si="45"/>
        <v>14.35898242632914</v>
      </c>
      <c r="G452" s="67">
        <f>E452/'Lookup Tables'!$C$48</f>
        <v>472.95726041927338</v>
      </c>
      <c r="H452" s="70">
        <f t="shared" si="42"/>
        <v>8.0788760341293855E-2</v>
      </c>
      <c r="I452" s="71">
        <f t="shared" si="46"/>
        <v>0.68105845500375362</v>
      </c>
      <c r="L452" s="74"/>
      <c r="M452" s="74"/>
      <c r="N452" s="74"/>
      <c r="O452" s="74"/>
      <c r="P452" s="74"/>
      <c r="Q452" s="74"/>
      <c r="R452" s="74"/>
      <c r="S452" s="74"/>
      <c r="T452" s="74"/>
      <c r="U452" s="74"/>
      <c r="V452" s="74"/>
      <c r="W452" s="74"/>
      <c r="X452" s="74"/>
      <c r="Y452" s="74"/>
      <c r="Z452" s="74"/>
    </row>
    <row r="453" spans="1:26" x14ac:dyDescent="0.3">
      <c r="A453" s="66">
        <f t="shared" si="44"/>
        <v>2034.5999999999594</v>
      </c>
      <c r="B453" s="67">
        <f>LOOKUP(A453+0.01,AmountsB!$A$4:$A$103,AmountsB!$B$4:$B$103)*0.1*$A$2</f>
        <v>0</v>
      </c>
      <c r="C453" s="68">
        <f t="shared" si="43"/>
        <v>1538495.7946267016</v>
      </c>
      <c r="D453" s="67">
        <f t="array" ref="D453">SUM($B$7:$B448*$F$1009*EXP(-$F$1009*($A453-$A$7:$A448)))*$F$1010</f>
        <v>123697002.96650535</v>
      </c>
      <c r="E453" s="67">
        <f t="shared" si="41"/>
        <v>235.81741617668956</v>
      </c>
      <c r="F453" s="70">
        <f t="shared" si="45"/>
        <v>14.31883351024859</v>
      </c>
      <c r="G453" s="67">
        <f>E453/'Lookup Tables'!$C$48</f>
        <v>471.63483235337912</v>
      </c>
      <c r="H453" s="70">
        <f t="shared" si="42"/>
        <v>8.056286820890661E-2</v>
      </c>
      <c r="I453" s="71">
        <f t="shared" si="46"/>
        <v>0.67915415858886585</v>
      </c>
      <c r="L453" s="74"/>
      <c r="M453" s="74"/>
      <c r="N453" s="74"/>
      <c r="O453" s="74"/>
      <c r="P453" s="74"/>
      <c r="Q453" s="74"/>
      <c r="R453" s="74"/>
      <c r="S453" s="74"/>
      <c r="T453" s="74"/>
      <c r="U453" s="74"/>
      <c r="V453" s="74"/>
      <c r="W453" s="74"/>
      <c r="X453" s="74"/>
      <c r="Y453" s="74"/>
      <c r="Z453" s="74"/>
    </row>
    <row r="454" spans="1:26" x14ac:dyDescent="0.3">
      <c r="A454" s="66">
        <f t="shared" si="44"/>
        <v>2034.6999999999593</v>
      </c>
      <c r="B454" s="67">
        <f>LOOKUP(A454+0.01,AmountsB!$A$4:$A$103,AmountsB!$B$4:$B$103)*0.1*$A$2</f>
        <v>0</v>
      </c>
      <c r="C454" s="68">
        <f t="shared" si="43"/>
        <v>1538495.7946267016</v>
      </c>
      <c r="D454" s="67">
        <f t="array" ref="D454">SUM($B$7:$B449*$F$1009*EXP(-$F$1009*($A454-$A$7:$A449)))*$F$1010</f>
        <v>123351135.79820159</v>
      </c>
      <c r="E454" s="67">
        <f t="shared" si="41"/>
        <v>235.1580509534931</v>
      </c>
      <c r="F454" s="70">
        <f t="shared" si="45"/>
        <v>14.2787968538961</v>
      </c>
      <c r="G454" s="67">
        <f>E454/'Lookup Tables'!$C$48</f>
        <v>470.3161019069862</v>
      </c>
      <c r="H454" s="70">
        <f t="shared" si="42"/>
        <v>8.0337607689818791E-2</v>
      </c>
      <c r="I454" s="71">
        <f t="shared" si="46"/>
        <v>0.67725518674606011</v>
      </c>
      <c r="L454" s="74"/>
      <c r="M454" s="74"/>
      <c r="N454" s="74"/>
      <c r="O454" s="74"/>
      <c r="P454" s="74"/>
      <c r="Q454" s="74"/>
      <c r="R454" s="74"/>
      <c r="S454" s="74"/>
      <c r="T454" s="74"/>
      <c r="U454" s="74"/>
      <c r="V454" s="74"/>
      <c r="W454" s="74"/>
      <c r="X454" s="74"/>
      <c r="Y454" s="74"/>
      <c r="Z454" s="74"/>
    </row>
    <row r="455" spans="1:26" x14ac:dyDescent="0.3">
      <c r="A455" s="66">
        <f t="shared" si="44"/>
        <v>2034.7999999999593</v>
      </c>
      <c r="B455" s="67">
        <f>LOOKUP(A455+0.01,AmountsB!$A$4:$A$103,AmountsB!$B$4:$B$103)*0.1*$A$2</f>
        <v>0</v>
      </c>
      <c r="C455" s="68">
        <f t="shared" si="43"/>
        <v>1538495.7946267016</v>
      </c>
      <c r="D455" s="67">
        <f t="array" ref="D455">SUM($B$7:$B450*$F$1009*EXP(-$F$1009*($A455-$A$7:$A450)))*$F$1010</f>
        <v>123006235.70343435</v>
      </c>
      <c r="E455" s="67">
        <f t="shared" ref="E455:E518" si="47">D455/(365*24*60)*1.00201</f>
        <v>234.50052937062074</v>
      </c>
      <c r="F455" s="70">
        <f t="shared" si="45"/>
        <v>14.238872143384091</v>
      </c>
      <c r="G455" s="67">
        <f>E455/'Lookup Tables'!$C$48</f>
        <v>469.00105874124148</v>
      </c>
      <c r="H455" s="70">
        <f t="shared" ref="H455:H518" si="48">G455*60*24*365/(C455*2000)</f>
        <v>8.0112977017986781E-2</v>
      </c>
      <c r="I455" s="71">
        <f t="shared" si="46"/>
        <v>0.67536152458738763</v>
      </c>
      <c r="L455" s="74"/>
      <c r="M455" s="74"/>
      <c r="N455" s="74"/>
      <c r="O455" s="74"/>
      <c r="P455" s="74"/>
      <c r="Q455" s="74"/>
      <c r="R455" s="74"/>
      <c r="S455" s="74"/>
      <c r="T455" s="74"/>
      <c r="U455" s="74"/>
      <c r="V455" s="74"/>
      <c r="W455" s="74"/>
      <c r="X455" s="74"/>
      <c r="Y455" s="74"/>
      <c r="Z455" s="74"/>
    </row>
    <row r="456" spans="1:26" x14ac:dyDescent="0.3">
      <c r="A456" s="66">
        <f t="shared" si="44"/>
        <v>2034.8999999999592</v>
      </c>
      <c r="B456" s="67">
        <f>LOOKUP(A456+0.01,AmountsB!$A$4:$A$103,AmountsB!$B$4:$B$103)*0.1*$A$2</f>
        <v>0</v>
      </c>
      <c r="C456" s="68">
        <f t="shared" si="43"/>
        <v>1538495.7946267016</v>
      </c>
      <c r="D456" s="67">
        <f t="array" ref="D456">SUM($B$7:$B451*$F$1009*EXP(-$F$1009*($A456-$A$7:$A451)))*$F$1010</f>
        <v>122662299.97818506</v>
      </c>
      <c r="E456" s="67">
        <f t="shared" si="47"/>
        <v>233.84484627309973</v>
      </c>
      <c r="F456" s="70">
        <f t="shared" si="45"/>
        <v>14.199059065702615</v>
      </c>
      <c r="G456" s="67">
        <f>E456/'Lookup Tables'!$C$48</f>
        <v>467.68969254619947</v>
      </c>
      <c r="H456" s="70">
        <f t="shared" si="48"/>
        <v>7.9888974432304916E-2</v>
      </c>
      <c r="I456" s="71">
        <f t="shared" si="46"/>
        <v>0.67347315726652723</v>
      </c>
      <c r="L456" s="74"/>
      <c r="M456" s="74"/>
      <c r="N456" s="74"/>
      <c r="O456" s="74"/>
      <c r="P456" s="74"/>
      <c r="Q456" s="74"/>
      <c r="R456" s="74"/>
      <c r="S456" s="74"/>
      <c r="T456" s="74"/>
      <c r="U456" s="74"/>
      <c r="V456" s="74"/>
      <c r="W456" s="74"/>
      <c r="X456" s="74"/>
      <c r="Y456" s="74"/>
      <c r="Z456" s="74"/>
    </row>
    <row r="457" spans="1:26" x14ac:dyDescent="0.3">
      <c r="A457" s="66">
        <f t="shared" si="44"/>
        <v>2034.9999999999591</v>
      </c>
      <c r="B457" s="67">
        <f>LOOKUP(A457+0.01,AmountsB!$A$4:$A$103,AmountsB!$B$4:$B$103)*0.1*$A$2</f>
        <v>0</v>
      </c>
      <c r="C457" s="68">
        <f t="shared" ref="C457:C520" si="49">C456+B457</f>
        <v>1538495.7946267016</v>
      </c>
      <c r="D457" s="67">
        <f t="array" ref="D457">SUM($B$7:$B452*$F$1009*EXP(-$F$1009*($A457-$A$7:$A452)))*$F$1010</f>
        <v>122319325.92599586</v>
      </c>
      <c r="E457" s="67">
        <f t="shared" si="47"/>
        <v>233.19099652037121</v>
      </c>
      <c r="F457" s="70">
        <f t="shared" si="45"/>
        <v>14.15935730871694</v>
      </c>
      <c r="G457" s="67">
        <f>E457/'Lookup Tables'!$C$48</f>
        <v>466.38199304074243</v>
      </c>
      <c r="H457" s="70">
        <f t="shared" si="48"/>
        <v>7.9665598176591801E-2</v>
      </c>
      <c r="I457" s="71">
        <f t="shared" si="46"/>
        <v>0.6715900699786691</v>
      </c>
      <c r="L457" s="74"/>
      <c r="M457" s="74"/>
      <c r="N457" s="74"/>
      <c r="O457" s="74"/>
      <c r="P457" s="74"/>
      <c r="Q457" s="74"/>
      <c r="R457" s="74"/>
      <c r="S457" s="74"/>
      <c r="T457" s="74"/>
      <c r="U457" s="74"/>
      <c r="V457" s="74"/>
      <c r="W457" s="74"/>
      <c r="X457" s="74"/>
      <c r="Y457" s="74"/>
      <c r="Z457" s="74"/>
    </row>
    <row r="458" spans="1:26" x14ac:dyDescent="0.3">
      <c r="A458" s="66">
        <f t="shared" si="44"/>
        <v>2035.099999999959</v>
      </c>
      <c r="B458" s="67">
        <f>LOOKUP(A458+0.01,AmountsB!$A$4:$A$103,AmountsB!$B$4:$B$103)*0.1*$A$2</f>
        <v>0</v>
      </c>
      <c r="C458" s="68">
        <f t="shared" si="49"/>
        <v>1538495.7946267016</v>
      </c>
      <c r="D458" s="67">
        <f t="array" ref="D458">SUM($B$7:$B453*$F$1009*EXP(-$F$1009*($A458-$A$7:$A453)))*$F$1010</f>
        <v>121977310.85794845</v>
      </c>
      <c r="E458" s="67">
        <f t="shared" si="47"/>
        <v>232.53897498624988</v>
      </c>
      <c r="F458" s="70">
        <f t="shared" si="45"/>
        <v>14.119766561165095</v>
      </c>
      <c r="G458" s="67">
        <f>E458/'Lookup Tables'!$C$48</f>
        <v>465.07794997249977</v>
      </c>
      <c r="H458" s="70">
        <f t="shared" si="48"/>
        <v>7.9442846499576447E-2</v>
      </c>
      <c r="I458" s="71">
        <f t="shared" si="46"/>
        <v>0.66971224796039974</v>
      </c>
      <c r="L458" s="74"/>
      <c r="M458" s="74"/>
      <c r="N458" s="74"/>
      <c r="O458" s="74"/>
      <c r="P458" s="74"/>
      <c r="Q458" s="74"/>
      <c r="R458" s="74"/>
      <c r="S458" s="74"/>
      <c r="T458" s="74"/>
      <c r="U458" s="74"/>
      <c r="V458" s="74"/>
      <c r="W458" s="74"/>
      <c r="X458" s="74"/>
      <c r="Y458" s="74"/>
      <c r="Z458" s="74"/>
    </row>
    <row r="459" spans="1:26" x14ac:dyDescent="0.3">
      <c r="A459" s="66">
        <f t="shared" si="44"/>
        <v>2035.1999999999589</v>
      </c>
      <c r="B459" s="67">
        <f>LOOKUP(A459+0.01,AmountsB!$A$4:$A$103,AmountsB!$B$4:$B$103)*0.1*$A$2</f>
        <v>0</v>
      </c>
      <c r="C459" s="68">
        <f t="shared" si="49"/>
        <v>1538495.7946267016</v>
      </c>
      <c r="D459" s="67">
        <f t="array" ref="D459">SUM($B$7:$B454*$F$1009*EXP(-$F$1009*($A459-$A$7:$A454)))*$F$1010</f>
        <v>121636252.09264296</v>
      </c>
      <c r="E459" s="67">
        <f t="shared" si="47"/>
        <v>231.88877655888354</v>
      </c>
      <c r="F459" s="70">
        <f t="shared" si="45"/>
        <v>14.080286512655409</v>
      </c>
      <c r="G459" s="67">
        <f>E459/'Lookup Tables'!$C$48</f>
        <v>463.77755311776707</v>
      </c>
      <c r="H459" s="70">
        <f t="shared" si="48"/>
        <v>7.9220717654884559E-2</v>
      </c>
      <c r="I459" s="71">
        <f t="shared" si="46"/>
        <v>0.66783967648958464</v>
      </c>
      <c r="L459" s="74"/>
      <c r="M459" s="74"/>
      <c r="N459" s="74"/>
      <c r="O459" s="74"/>
      <c r="P459" s="74"/>
      <c r="Q459" s="74"/>
      <c r="R459" s="74"/>
      <c r="S459" s="74"/>
      <c r="T459" s="74"/>
      <c r="U459" s="74"/>
      <c r="V459" s="74"/>
      <c r="W459" s="74"/>
      <c r="X459" s="74"/>
      <c r="Y459" s="74"/>
      <c r="Z459" s="74"/>
    </row>
    <row r="460" spans="1:26" x14ac:dyDescent="0.3">
      <c r="A460" s="66">
        <f t="shared" si="44"/>
        <v>2035.2999999999588</v>
      </c>
      <c r="B460" s="67">
        <f>LOOKUP(A460+0.01,AmountsB!$A$4:$A$103,AmountsB!$B$4:$B$103)*0.1*$A$2</f>
        <v>0</v>
      </c>
      <c r="C460" s="68">
        <f t="shared" si="49"/>
        <v>1538495.7946267016</v>
      </c>
      <c r="D460" s="67">
        <f t="array" ref="D460">SUM($B$7:$B455*$F$1009*EXP(-$F$1009*($A460-$A$7:$A455)))*$F$1010</f>
        <v>121296146.95617694</v>
      </c>
      <c r="E460" s="67">
        <f t="shared" si="47"/>
        <v>231.24039614071322</v>
      </c>
      <c r="F460" s="70">
        <f t="shared" si="45"/>
        <v>14.040916853664108</v>
      </c>
      <c r="G460" s="67">
        <f>E460/'Lookup Tables'!$C$48</f>
        <v>462.48079228142643</v>
      </c>
      <c r="H460" s="70">
        <f t="shared" si="48"/>
        <v>7.8999209901024894E-2</v>
      </c>
      <c r="I460" s="71">
        <f t="shared" si="46"/>
        <v>0.66597234088525414</v>
      </c>
      <c r="L460" s="74"/>
      <c r="M460" s="74"/>
      <c r="N460" s="74"/>
      <c r="O460" s="74"/>
      <c r="P460" s="74"/>
      <c r="Q460" s="74"/>
      <c r="R460" s="74"/>
      <c r="S460" s="74"/>
      <c r="T460" s="74"/>
      <c r="U460" s="74"/>
      <c r="V460" s="74"/>
      <c r="W460" s="74"/>
      <c r="X460" s="74"/>
      <c r="Y460" s="74"/>
      <c r="Z460" s="74"/>
    </row>
    <row r="461" spans="1:26" x14ac:dyDescent="0.3">
      <c r="A461" s="66">
        <f t="shared" si="44"/>
        <v>2035.3999999999587</v>
      </c>
      <c r="B461" s="67">
        <f>LOOKUP(A461+0.01,AmountsB!$A$4:$A$103,AmountsB!$B$4:$B$103)*0.1*$A$2</f>
        <v>0</v>
      </c>
      <c r="C461" s="68">
        <f t="shared" si="49"/>
        <v>1538495.7946267016</v>
      </c>
      <c r="D461" s="67">
        <f t="array" ref="D461">SUM($B$7:$B456*$F$1009*EXP(-$F$1009*($A461-$A$7:$A456)))*$F$1010</f>
        <v>120956992.78212431</v>
      </c>
      <c r="E461" s="67">
        <f t="shared" si="47"/>
        <v>230.593828648433</v>
      </c>
      <c r="F461" s="70">
        <f t="shared" si="45"/>
        <v>14.001657275532853</v>
      </c>
      <c r="G461" s="67">
        <f>E461/'Lookup Tables'!$C$48</f>
        <v>461.18765729686601</v>
      </c>
      <c r="H461" s="70">
        <f t="shared" si="48"/>
        <v>7.877832150137544E-2</v>
      </c>
      <c r="I461" s="71">
        <f t="shared" si="46"/>
        <v>0.66411022650748697</v>
      </c>
      <c r="L461" s="74"/>
      <c r="M461" s="74"/>
      <c r="N461" s="74"/>
      <c r="O461" s="74"/>
      <c r="P461" s="74"/>
      <c r="Q461" s="74"/>
      <c r="R461" s="74"/>
      <c r="S461" s="74"/>
      <c r="T461" s="74"/>
      <c r="U461" s="74"/>
      <c r="V461" s="74"/>
      <c r="W461" s="74"/>
      <c r="X461" s="74"/>
      <c r="Y461" s="74"/>
      <c r="Z461" s="74"/>
    </row>
    <row r="462" spans="1:26" x14ac:dyDescent="0.3">
      <c r="A462" s="66">
        <f t="shared" si="44"/>
        <v>2035.4999999999586</v>
      </c>
      <c r="B462" s="67">
        <f>LOOKUP(A462+0.01,AmountsB!$A$4:$A$103,AmountsB!$B$4:$B$103)*0.1*$A$2</f>
        <v>0</v>
      </c>
      <c r="C462" s="68">
        <f t="shared" si="49"/>
        <v>1538495.7946267016</v>
      </c>
      <c r="D462" s="67">
        <f t="array" ref="D462">SUM($B$7:$B457*$F$1009*EXP(-$F$1009*($A462-$A$7:$A457)))*$F$1010</f>
        <v>120618786.91151461</v>
      </c>
      <c r="E462" s="67">
        <f t="shared" si="47"/>
        <v>229.94906901295047</v>
      </c>
      <c r="F462" s="70">
        <f t="shared" si="45"/>
        <v>13.962507470466353</v>
      </c>
      <c r="G462" s="67">
        <f>E462/'Lookup Tables'!$C$48</f>
        <v>459.89813802590095</v>
      </c>
      <c r="H462" s="70">
        <f t="shared" si="48"/>
        <v>7.8558050724170075E-2</v>
      </c>
      <c r="I462" s="71">
        <f t="shared" si="46"/>
        <v>0.66225331875729732</v>
      </c>
      <c r="L462" s="74"/>
      <c r="M462" s="74"/>
      <c r="N462" s="74"/>
      <c r="O462" s="74"/>
      <c r="P462" s="74"/>
      <c r="Q462" s="74"/>
      <c r="R462" s="74"/>
      <c r="S462" s="74"/>
      <c r="T462" s="74"/>
      <c r="U462" s="74"/>
      <c r="V462" s="74"/>
      <c r="W462" s="74"/>
      <c r="X462" s="74"/>
      <c r="Y462" s="74"/>
      <c r="Z462" s="74"/>
    </row>
    <row r="463" spans="1:26" x14ac:dyDescent="0.3">
      <c r="A463" s="66">
        <f t="shared" si="44"/>
        <v>2035.5999999999585</v>
      </c>
      <c r="B463" s="67">
        <f>LOOKUP(A463+0.01,AmountsB!$A$4:$A$103,AmountsB!$B$4:$B$103)*0.1*$A$2</f>
        <v>0</v>
      </c>
      <c r="C463" s="68">
        <f t="shared" si="49"/>
        <v>1538495.7946267016</v>
      </c>
      <c r="D463" s="67">
        <f t="array" ref="D463">SUM($B$7:$B458*$F$1009*EXP(-$F$1009*($A463-$A$7:$A458)))*$F$1010</f>
        <v>120281526.6928122</v>
      </c>
      <c r="E463" s="67">
        <f t="shared" si="47"/>
        <v>229.30611217934697</v>
      </c>
      <c r="F463" s="70">
        <f t="shared" si="45"/>
        <v>13.923467131529948</v>
      </c>
      <c r="G463" s="67">
        <f>E463/'Lookup Tables'!$C$48</f>
        <v>458.61222435869394</v>
      </c>
      <c r="H463" s="70">
        <f t="shared" si="48"/>
        <v>7.8338395842484809E-2</v>
      </c>
      <c r="I463" s="71">
        <f t="shared" si="46"/>
        <v>0.66040160307651918</v>
      </c>
      <c r="L463" s="74"/>
      <c r="M463" s="74"/>
      <c r="N463" s="74"/>
      <c r="O463" s="74"/>
      <c r="P463" s="74"/>
      <c r="Q463" s="74"/>
      <c r="R463" s="74"/>
      <c r="S463" s="74"/>
      <c r="T463" s="74"/>
      <c r="U463" s="74"/>
      <c r="V463" s="74"/>
      <c r="W463" s="74"/>
      <c r="X463" s="74"/>
      <c r="Y463" s="74"/>
      <c r="Z463" s="74"/>
    </row>
    <row r="464" spans="1:26" x14ac:dyDescent="0.3">
      <c r="A464" s="66">
        <f t="shared" si="44"/>
        <v>2035.6999999999584</v>
      </c>
      <c r="B464" s="67">
        <f>LOOKUP(A464+0.01,AmountsB!$A$4:$A$103,AmountsB!$B$4:$B$103)*0.1*$A$2</f>
        <v>0</v>
      </c>
      <c r="C464" s="68">
        <f t="shared" si="49"/>
        <v>1538495.7946267016</v>
      </c>
      <c r="D464" s="67">
        <f t="array" ref="D464">SUM($B$7:$B459*$F$1009*EXP(-$F$1009*($A464-$A$7:$A459)))*$F$1010</f>
        <v>119945209.48189512</v>
      </c>
      <c r="E464" s="67">
        <f t="shared" si="47"/>
        <v>228.6649531068374</v>
      </c>
      <c r="F464" s="70">
        <f t="shared" si="45"/>
        <v>13.884535952647166</v>
      </c>
      <c r="G464" s="67">
        <f>E464/'Lookup Tables'!$C$48</f>
        <v>457.3299062136748</v>
      </c>
      <c r="H464" s="70">
        <f t="shared" si="48"/>
        <v>7.8119355134224189E-2</v>
      </c>
      <c r="I464" s="71">
        <f t="shared" si="46"/>
        <v>0.65855506494769178</v>
      </c>
      <c r="L464" s="74"/>
      <c r="M464" s="74"/>
      <c r="N464" s="74"/>
      <c r="O464" s="74"/>
      <c r="P464" s="74"/>
      <c r="Q464" s="74"/>
      <c r="R464" s="74"/>
      <c r="S464" s="74"/>
      <c r="T464" s="74"/>
      <c r="U464" s="74"/>
      <c r="V464" s="74"/>
      <c r="W464" s="74"/>
      <c r="X464" s="74"/>
      <c r="Y464" s="74"/>
      <c r="Z464" s="74"/>
    </row>
    <row r="465" spans="1:26" x14ac:dyDescent="0.3">
      <c r="A465" s="66">
        <f t="shared" si="44"/>
        <v>2035.7999999999583</v>
      </c>
      <c r="B465" s="67">
        <f>LOOKUP(A465+0.01,AmountsB!$A$4:$A$103,AmountsB!$B$4:$B$103)*0.1*$A$2</f>
        <v>0</v>
      </c>
      <c r="C465" s="68">
        <f t="shared" si="49"/>
        <v>1538495.7946267016</v>
      </c>
      <c r="D465" s="67">
        <f t="array" ref="D465">SUM($B$7:$B460*$F$1009*EXP(-$F$1009*($A465-$A$7:$A460)))*$F$1010</f>
        <v>119609832.64203471</v>
      </c>
      <c r="E465" s="67">
        <f t="shared" si="47"/>
        <v>228.02558676873139</v>
      </c>
      <c r="F465" s="70">
        <f t="shared" si="45"/>
        <v>13.84571362859737</v>
      </c>
      <c r="G465" s="67">
        <f>E465/'Lookup Tables'!$C$48</f>
        <v>456.05117353746277</v>
      </c>
      <c r="H465" s="70">
        <f t="shared" si="48"/>
        <v>7.7900926882107938E-2</v>
      </c>
      <c r="I465" s="71">
        <f t="shared" si="46"/>
        <v>0.65671368989394641</v>
      </c>
      <c r="L465" s="74"/>
      <c r="M465" s="74"/>
      <c r="N465" s="74"/>
      <c r="O465" s="74"/>
      <c r="P465" s="74"/>
      <c r="Q465" s="74"/>
      <c r="R465" s="74"/>
      <c r="S465" s="74"/>
      <c r="T465" s="74"/>
      <c r="U465" s="74"/>
      <c r="V465" s="74"/>
      <c r="W465" s="74"/>
      <c r="X465" s="74"/>
      <c r="Y465" s="74"/>
      <c r="Z465" s="74"/>
    </row>
    <row r="466" spans="1:26" x14ac:dyDescent="0.3">
      <c r="A466" s="66">
        <f t="shared" si="44"/>
        <v>2035.8999999999583</v>
      </c>
      <c r="B466" s="67">
        <f>LOOKUP(A466+0.01,AmountsB!$A$4:$A$103,AmountsB!$B$4:$B$103)*0.1*$A$2</f>
        <v>0</v>
      </c>
      <c r="C466" s="68">
        <f t="shared" si="49"/>
        <v>1538495.7946267016</v>
      </c>
      <c r="D466" s="67">
        <f t="array" ref="D466">SUM($B$7:$B461*$F$1009*EXP(-$F$1009*($A466-$A$7:$A461)))*$F$1010</f>
        <v>119275393.54387493</v>
      </c>
      <c r="E466" s="67">
        <f t="shared" si="47"/>
        <v>227.38800815239372</v>
      </c>
      <c r="F466" s="70">
        <f t="shared" si="45"/>
        <v>13.806999855013347</v>
      </c>
      <c r="G466" s="67">
        <f>E466/'Lookup Tables'!$C$48</f>
        <v>454.77601630478745</v>
      </c>
      <c r="H466" s="70">
        <f t="shared" si="48"/>
        <v>7.768310937365748E-2</v>
      </c>
      <c r="I466" s="71">
        <f t="shared" si="46"/>
        <v>0.65487746347889386</v>
      </c>
      <c r="L466" s="74"/>
      <c r="M466" s="74"/>
      <c r="N466" s="74"/>
      <c r="O466" s="74"/>
      <c r="P466" s="74"/>
      <c r="Q466" s="74"/>
      <c r="R466" s="74"/>
      <c r="S466" s="74"/>
      <c r="T466" s="74"/>
      <c r="U466" s="74"/>
      <c r="V466" s="74"/>
      <c r="W466" s="74"/>
      <c r="X466" s="74"/>
      <c r="Y466" s="74"/>
      <c r="Z466" s="74"/>
    </row>
    <row r="467" spans="1:26" x14ac:dyDescent="0.3">
      <c r="A467" s="66">
        <f t="shared" ref="A467:A530" si="50">A466+0.1</f>
        <v>2035.9999999999582</v>
      </c>
      <c r="B467" s="67">
        <f>LOOKUP(A467+0.01,AmountsB!$A$4:$A$103,AmountsB!$B$4:$B$103)*0.1*$A$2</f>
        <v>0</v>
      </c>
      <c r="C467" s="68">
        <f t="shared" si="49"/>
        <v>1538495.7946267016</v>
      </c>
      <c r="D467" s="67">
        <f t="array" ref="D467">SUM($B$7:$B462*$F$1009*EXP(-$F$1009*($A467-$A$7:$A462)))*$F$1010</f>
        <v>118941889.56541145</v>
      </c>
      <c r="E467" s="67">
        <f t="shared" si="47"/>
        <v>226.75221225920458</v>
      </c>
      <c r="F467" s="70">
        <f t="shared" ref="F467:F530" si="51">E467*60*1012/1000000</f>
        <v>13.768394328378903</v>
      </c>
      <c r="G467" s="67">
        <f>E467/'Lookup Tables'!$C$48</f>
        <v>453.50442451840917</v>
      </c>
      <c r="H467" s="70">
        <f t="shared" si="48"/>
        <v>7.7465900901182411E-2</v>
      </c>
      <c r="I467" s="71">
        <f t="shared" ref="I467:I530" si="52">G467*60*24/1000000</f>
        <v>0.65304637130650922</v>
      </c>
      <c r="L467" s="74"/>
      <c r="M467" s="74"/>
      <c r="N467" s="74"/>
      <c r="O467" s="74"/>
      <c r="P467" s="74"/>
      <c r="Q467" s="74"/>
      <c r="R467" s="74"/>
      <c r="S467" s="74"/>
      <c r="T467" s="74"/>
      <c r="U467" s="74"/>
      <c r="V467" s="74"/>
      <c r="W467" s="74"/>
      <c r="X467" s="74"/>
      <c r="Y467" s="74"/>
      <c r="Z467" s="74"/>
    </row>
    <row r="468" spans="1:26" x14ac:dyDescent="0.3">
      <c r="A468" s="66">
        <f t="shared" si="50"/>
        <v>2036.0999999999581</v>
      </c>
      <c r="B468" s="67">
        <f>LOOKUP(A468+0.01,AmountsB!$A$4:$A$103,AmountsB!$B$4:$B$103)*0.1*$A$2</f>
        <v>0</v>
      </c>
      <c r="C468" s="68">
        <f t="shared" si="49"/>
        <v>1538495.7946267016</v>
      </c>
      <c r="D468" s="67">
        <f t="array" ref="D468">SUM($B$7:$B463*$F$1009*EXP(-$F$1009*($A468-$A$7:$A463)))*$F$1010</f>
        <v>118609318.0919714</v>
      </c>
      <c r="E468" s="67">
        <f t="shared" si="47"/>
        <v>226.11819410452105</v>
      </c>
      <c r="F468" s="70">
        <f t="shared" si="51"/>
        <v>13.729896746026517</v>
      </c>
      <c r="G468" s="67">
        <f>E468/'Lookup Tables'!$C$48</f>
        <v>452.2363882090421</v>
      </c>
      <c r="H468" s="70">
        <f t="shared" si="48"/>
        <v>7.7249299761767184E-2</v>
      </c>
      <c r="I468" s="71">
        <f t="shared" si="52"/>
        <v>0.65122039902102058</v>
      </c>
      <c r="L468" s="74"/>
      <c r="M468" s="74"/>
      <c r="N468" s="74"/>
      <c r="O468" s="74"/>
      <c r="P468" s="74"/>
      <c r="Q468" s="74"/>
      <c r="R468" s="74"/>
      <c r="S468" s="74"/>
      <c r="T468" s="74"/>
      <c r="U468" s="74"/>
      <c r="V468" s="74"/>
      <c r="W468" s="74"/>
      <c r="X468" s="74"/>
      <c r="Y468" s="74"/>
      <c r="Z468" s="74"/>
    </row>
    <row r="469" spans="1:26" x14ac:dyDescent="0.3">
      <c r="A469" s="66">
        <f t="shared" si="50"/>
        <v>2036.199999999958</v>
      </c>
      <c r="B469" s="67">
        <f>LOOKUP(A469+0.01,AmountsB!$A$4:$A$103,AmountsB!$B$4:$B$103)*0.1*$A$2</f>
        <v>0</v>
      </c>
      <c r="C469" s="68">
        <f t="shared" si="49"/>
        <v>1538495.7946267016</v>
      </c>
      <c r="D469" s="67">
        <f t="array" ref="D469">SUM($B$7:$B464*$F$1009*EXP(-$F$1009*($A469-$A$7:$A464)))*$F$1010</f>
        <v>118277676.51619276</v>
      </c>
      <c r="E469" s="67">
        <f t="shared" si="47"/>
        <v>225.48594871763757</v>
      </c>
      <c r="F469" s="70">
        <f t="shared" si="51"/>
        <v>13.691506806134953</v>
      </c>
      <c r="G469" s="67">
        <f>E469/'Lookup Tables'!$C$48</f>
        <v>450.97189743527514</v>
      </c>
      <c r="H469" s="70">
        <f t="shared" si="48"/>
        <v>7.7033304257257795E-2</v>
      </c>
      <c r="I469" s="71">
        <f t="shared" si="52"/>
        <v>0.64939953230679615</v>
      </c>
      <c r="L469" s="74"/>
      <c r="M469" s="74"/>
      <c r="N469" s="74"/>
      <c r="O469" s="74"/>
      <c r="P469" s="74"/>
      <c r="Q469" s="74"/>
      <c r="R469" s="74"/>
      <c r="S469" s="74"/>
      <c r="T469" s="74"/>
      <c r="U469" s="74"/>
      <c r="V469" s="74"/>
      <c r="W469" s="74"/>
      <c r="X469" s="74"/>
      <c r="Y469" s="74"/>
      <c r="Z469" s="74"/>
    </row>
    <row r="470" spans="1:26" x14ac:dyDescent="0.3">
      <c r="A470" s="66">
        <f t="shared" si="50"/>
        <v>2036.2999999999579</v>
      </c>
      <c r="B470" s="67">
        <f>LOOKUP(A470+0.01,AmountsB!$A$4:$A$103,AmountsB!$B$4:$B$103)*0.1*$A$2</f>
        <v>0</v>
      </c>
      <c r="C470" s="68">
        <f t="shared" si="49"/>
        <v>1538495.7946267016</v>
      </c>
      <c r="D470" s="67">
        <f t="array" ref="D470">SUM($B$7:$B465*$F$1009*EXP(-$F$1009*($A470-$A$7:$A465)))*$F$1010</f>
        <v>117946962.23800384</v>
      </c>
      <c r="E470" s="67">
        <f t="shared" si="47"/>
        <v>224.85547114174702</v>
      </c>
      <c r="F470" s="70">
        <f t="shared" si="51"/>
        <v>13.653224207726879</v>
      </c>
      <c r="G470" s="67">
        <f>E470/'Lookup Tables'!$C$48</f>
        <v>449.71094228349403</v>
      </c>
      <c r="H470" s="70">
        <f t="shared" si="48"/>
        <v>7.6817912694248383E-2</v>
      </c>
      <c r="I470" s="71">
        <f t="shared" si="52"/>
        <v>0.64758375688823144</v>
      </c>
      <c r="L470" s="74"/>
      <c r="M470" s="74"/>
      <c r="N470" s="74"/>
      <c r="O470" s="74"/>
      <c r="P470" s="74"/>
      <c r="Q470" s="74"/>
      <c r="R470" s="74"/>
      <c r="S470" s="74"/>
      <c r="T470" s="74"/>
      <c r="U470" s="74"/>
      <c r="V470" s="74"/>
      <c r="W470" s="74"/>
      <c r="X470" s="74"/>
      <c r="Y470" s="74"/>
      <c r="Z470" s="74"/>
    </row>
    <row r="471" spans="1:26" x14ac:dyDescent="0.3">
      <c r="A471" s="66">
        <f t="shared" si="50"/>
        <v>2036.3999999999578</v>
      </c>
      <c r="B471" s="67">
        <f>LOOKUP(A471+0.01,AmountsB!$A$4:$A$103,AmountsB!$B$4:$B$103)*0.1*$A$2</f>
        <v>0</v>
      </c>
      <c r="C471" s="68">
        <f t="shared" si="49"/>
        <v>1538495.7946267016</v>
      </c>
      <c r="D471" s="67">
        <f t="array" ref="D471">SUM($B$7:$B466*$F$1009*EXP(-$F$1009*($A471-$A$7:$A466)))*$F$1010</f>
        <v>117617172.66460299</v>
      </c>
      <c r="E471" s="67">
        <f t="shared" si="47"/>
        <v>224.22675643390193</v>
      </c>
      <c r="F471" s="70">
        <f t="shared" si="51"/>
        <v>13.615048650666525</v>
      </c>
      <c r="G471" s="67">
        <f>E471/'Lookup Tables'!$C$48</f>
        <v>448.45351286780385</v>
      </c>
      <c r="H471" s="70">
        <f t="shared" si="48"/>
        <v>7.6603123384067925E-2</v>
      </c>
      <c r="I471" s="71">
        <f t="shared" si="52"/>
        <v>0.64577305852963751</v>
      </c>
      <c r="L471" s="74"/>
      <c r="M471" s="74"/>
      <c r="N471" s="74"/>
      <c r="O471" s="74"/>
      <c r="P471" s="74"/>
      <c r="Q471" s="74"/>
      <c r="R471" s="74"/>
      <c r="S471" s="74"/>
      <c r="T471" s="74"/>
      <c r="U471" s="74"/>
      <c r="V471" s="74"/>
      <c r="W471" s="74"/>
      <c r="X471" s="74"/>
      <c r="Y471" s="74"/>
      <c r="Z471" s="74"/>
    </row>
    <row r="472" spans="1:26" x14ac:dyDescent="0.3">
      <c r="A472" s="66">
        <f t="shared" si="50"/>
        <v>2036.4999999999577</v>
      </c>
      <c r="B472" s="67">
        <f>LOOKUP(A472+0.01,AmountsB!$A$4:$A$103,AmountsB!$B$4:$B$103)*0.1*$A$2</f>
        <v>0</v>
      </c>
      <c r="C472" s="68">
        <f t="shared" si="49"/>
        <v>1538495.7946267016</v>
      </c>
      <c r="D472" s="67">
        <f t="array" ref="D472">SUM($B$7:$B467*$F$1009*EXP(-$F$1009*($A472-$A$7:$A467)))*$F$1010</f>
        <v>117288305.21043825</v>
      </c>
      <c r="E472" s="67">
        <f t="shared" si="47"/>
        <v>223.59979966497573</v>
      </c>
      <c r="F472" s="70">
        <f t="shared" si="51"/>
        <v>13.576979835657326</v>
      </c>
      <c r="G472" s="67">
        <f>E472/'Lookup Tables'!$C$48</f>
        <v>447.19959932995147</v>
      </c>
      <c r="H472" s="70">
        <f t="shared" si="48"/>
        <v>7.6388934642767164E-2</v>
      </c>
      <c r="I472" s="71">
        <f t="shared" si="52"/>
        <v>0.6439674230351301</v>
      </c>
      <c r="L472" s="74"/>
      <c r="M472" s="74"/>
      <c r="N472" s="74"/>
      <c r="O472" s="74"/>
      <c r="P472" s="74"/>
      <c r="Q472" s="74"/>
      <c r="R472" s="74"/>
      <c r="S472" s="74"/>
      <c r="T472" s="74"/>
      <c r="U472" s="74"/>
      <c r="V472" s="74"/>
      <c r="W472" s="74"/>
      <c r="X472" s="74"/>
      <c r="Y472" s="74"/>
      <c r="Z472" s="74"/>
    </row>
    <row r="473" spans="1:26" x14ac:dyDescent="0.3">
      <c r="A473" s="66">
        <f t="shared" si="50"/>
        <v>2036.5999999999576</v>
      </c>
      <c r="B473" s="67">
        <f>LOOKUP(A473+0.01,AmountsB!$A$4:$A$103,AmountsB!$B$4:$B$103)*0.1*$A$2</f>
        <v>0</v>
      </c>
      <c r="C473" s="68">
        <f t="shared" si="49"/>
        <v>1538495.7946267016</v>
      </c>
      <c r="D473" s="67">
        <f t="array" ref="D473">SUM($B$7:$B468*$F$1009*EXP(-$F$1009*($A473-$A$7:$A468)))*$F$1010</f>
        <v>116960357.29718713</v>
      </c>
      <c r="E473" s="67">
        <f t="shared" si="47"/>
        <v>222.97459591962422</v>
      </c>
      <c r="F473" s="70">
        <f t="shared" si="51"/>
        <v>13.539017464239583</v>
      </c>
      <c r="G473" s="67">
        <f>E473/'Lookup Tables'!$C$48</f>
        <v>445.94919183924844</v>
      </c>
      <c r="H473" s="70">
        <f t="shared" si="48"/>
        <v>7.6175344791105284E-2</v>
      </c>
      <c r="I473" s="71">
        <f t="shared" si="52"/>
        <v>0.64216683624851778</v>
      </c>
      <c r="L473" s="74"/>
      <c r="M473" s="74"/>
      <c r="N473" s="74"/>
      <c r="O473" s="74"/>
      <c r="P473" s="74"/>
      <c r="Q473" s="74"/>
      <c r="R473" s="74"/>
      <c r="S473" s="74"/>
      <c r="T473" s="74"/>
      <c r="U473" s="74"/>
      <c r="V473" s="74"/>
      <c r="W473" s="74"/>
      <c r="X473" s="74"/>
      <c r="Y473" s="74"/>
      <c r="Z473" s="74"/>
    </row>
    <row r="474" spans="1:26" x14ac:dyDescent="0.3">
      <c r="A474" s="66">
        <f t="shared" si="50"/>
        <v>2036.6999999999575</v>
      </c>
      <c r="B474" s="67">
        <f>LOOKUP(A474+0.01,AmountsB!$A$4:$A$103,AmountsB!$B$4:$B$103)*0.1*$A$2</f>
        <v>0</v>
      </c>
      <c r="C474" s="68">
        <f t="shared" si="49"/>
        <v>1538495.7946267016</v>
      </c>
      <c r="D474" s="67">
        <f t="array" ref="D474">SUM($B$7:$B469*$F$1009*EXP(-$F$1009*($A474-$A$7:$A469)))*$F$1010</f>
        <v>116633326.3537363</v>
      </c>
      <c r="E474" s="67">
        <f t="shared" si="47"/>
        <v>222.3511402962468</v>
      </c>
      <c r="F474" s="70">
        <f t="shared" si="51"/>
        <v>13.501161238788105</v>
      </c>
      <c r="G474" s="67">
        <f>E474/'Lookup Tables'!$C$48</f>
        <v>444.70228059249359</v>
      </c>
      <c r="H474" s="70">
        <f t="shared" si="48"/>
        <v>7.5962352154536728E-2</v>
      </c>
      <c r="I474" s="71">
        <f t="shared" si="52"/>
        <v>0.64037128405319088</v>
      </c>
      <c r="L474" s="74"/>
      <c r="M474" s="74"/>
      <c r="N474" s="74"/>
      <c r="O474" s="74"/>
      <c r="P474" s="74"/>
      <c r="Q474" s="74"/>
      <c r="R474" s="74"/>
      <c r="S474" s="74"/>
      <c r="T474" s="74"/>
      <c r="U474" s="74"/>
      <c r="V474" s="74"/>
      <c r="W474" s="74"/>
      <c r="X474" s="74"/>
      <c r="Y474" s="74"/>
      <c r="Z474" s="74"/>
    </row>
    <row r="475" spans="1:26" x14ac:dyDescent="0.3">
      <c r="A475" s="66">
        <f t="shared" si="50"/>
        <v>2036.7999999999574</v>
      </c>
      <c r="B475" s="67">
        <f>LOOKUP(A475+0.01,AmountsB!$A$4:$A$103,AmountsB!$B$4:$B$103)*0.1*$A$2</f>
        <v>0</v>
      </c>
      <c r="C475" s="68">
        <f t="shared" si="49"/>
        <v>1538495.7946267016</v>
      </c>
      <c r="D475" s="67">
        <f t="array" ref="D475">SUM($B$7:$B470*$F$1009*EXP(-$F$1009*($A475-$A$7:$A470)))*$F$1010</f>
        <v>116307209.81616156</v>
      </c>
      <c r="E475" s="67">
        <f t="shared" si="47"/>
        <v>221.72942790694836</v>
      </c>
      <c r="F475" s="70">
        <f t="shared" si="51"/>
        <v>13.463410862509905</v>
      </c>
      <c r="G475" s="67">
        <f>E475/'Lookup Tables'!$C$48</f>
        <v>443.45885581389672</v>
      </c>
      <c r="H475" s="70">
        <f t="shared" si="48"/>
        <v>7.5749955063198204E-2</v>
      </c>
      <c r="I475" s="71">
        <f t="shared" si="52"/>
        <v>0.63858075237201128</v>
      </c>
      <c r="L475" s="74"/>
      <c r="M475" s="74"/>
      <c r="N475" s="74"/>
      <c r="O475" s="74"/>
      <c r="P475" s="74"/>
      <c r="Q475" s="74"/>
      <c r="R475" s="74"/>
      <c r="S475" s="74"/>
      <c r="T475" s="74"/>
      <c r="U475" s="74"/>
      <c r="V475" s="74"/>
      <c r="W475" s="74"/>
      <c r="X475" s="74"/>
      <c r="Y475" s="74"/>
      <c r="Z475" s="74"/>
    </row>
    <row r="476" spans="1:26" x14ac:dyDescent="0.3">
      <c r="A476" s="66">
        <f t="shared" si="50"/>
        <v>2036.8999999999573</v>
      </c>
      <c r="B476" s="67">
        <f>LOOKUP(A476+0.01,AmountsB!$A$4:$A$103,AmountsB!$B$4:$B$103)*0.1*$A$2</f>
        <v>0</v>
      </c>
      <c r="C476" s="68">
        <f t="shared" si="49"/>
        <v>1538495.7946267016</v>
      </c>
      <c r="D476" s="67">
        <f t="array" ref="D476">SUM($B$7:$B471*$F$1009*EXP(-$F$1009*($A476-$A$7:$A471)))*$F$1010</f>
        <v>115982005.12770751</v>
      </c>
      <c r="E476" s="67">
        <f t="shared" si="47"/>
        <v>221.10945387750041</v>
      </c>
      <c r="F476" s="70">
        <f t="shared" si="51"/>
        <v>13.425766039441823</v>
      </c>
      <c r="G476" s="67">
        <f>E476/'Lookup Tables'!$C$48</f>
        <v>442.21890775500083</v>
      </c>
      <c r="H476" s="70">
        <f t="shared" si="48"/>
        <v>7.5538151851895372E-2</v>
      </c>
      <c r="I476" s="71">
        <f t="shared" si="52"/>
        <v>0.63679522716720127</v>
      </c>
      <c r="L476" s="74"/>
      <c r="M476" s="74"/>
      <c r="N476" s="74"/>
      <c r="O476" s="74"/>
      <c r="P476" s="74"/>
      <c r="Q476" s="74"/>
      <c r="R476" s="74"/>
      <c r="S476" s="74"/>
      <c r="T476" s="74"/>
      <c r="U476" s="74"/>
      <c r="V476" s="74"/>
      <c r="W476" s="74"/>
      <c r="X476" s="74"/>
      <c r="Y476" s="74"/>
      <c r="Z476" s="74"/>
    </row>
    <row r="477" spans="1:26" x14ac:dyDescent="0.3">
      <c r="A477" s="66">
        <f t="shared" si="50"/>
        <v>2036.9999999999573</v>
      </c>
      <c r="B477" s="67">
        <f>LOOKUP(A477+0.01,AmountsB!$A$4:$A$103,AmountsB!$B$4:$B$103)*0.1*$A$2</f>
        <v>0</v>
      </c>
      <c r="C477" s="68">
        <f t="shared" si="49"/>
        <v>1538495.7946267016</v>
      </c>
      <c r="D477" s="67">
        <f t="array" ref="D477">SUM($B$7:$B472*$F$1009*EXP(-$F$1009*($A477-$A$7:$A472)))*$F$1010</f>
        <v>115657709.73876771</v>
      </c>
      <c r="E477" s="67">
        <f t="shared" si="47"/>
        <v>220.49121334730336</v>
      </c>
      <c r="F477" s="70">
        <f t="shared" si="51"/>
        <v>13.38822647444826</v>
      </c>
      <c r="G477" s="67">
        <f>E477/'Lookup Tables'!$C$48</f>
        <v>440.98242669460672</v>
      </c>
      <c r="H477" s="70">
        <f t="shared" si="48"/>
        <v>7.5326940860089939E-2</v>
      </c>
      <c r="I477" s="71">
        <f t="shared" si="52"/>
        <v>0.63501469444023362</v>
      </c>
      <c r="L477" s="74"/>
      <c r="M477" s="74"/>
      <c r="N477" s="74"/>
      <c r="O477" s="74"/>
      <c r="P477" s="74"/>
      <c r="Q477" s="74"/>
      <c r="R477" s="74"/>
      <c r="S477" s="74"/>
      <c r="T477" s="74"/>
      <c r="U477" s="74"/>
      <c r="V477" s="74"/>
      <c r="W477" s="74"/>
      <c r="X477" s="74"/>
      <c r="Y477" s="74"/>
      <c r="Z477" s="74"/>
    </row>
    <row r="478" spans="1:26" x14ac:dyDescent="0.3">
      <c r="A478" s="66">
        <f t="shared" si="50"/>
        <v>2037.0999999999572</v>
      </c>
      <c r="B478" s="67">
        <f>LOOKUP(A478+0.01,AmountsB!$A$4:$A$103,AmountsB!$B$4:$B$103)*0.1*$A$2</f>
        <v>0</v>
      </c>
      <c r="C478" s="68">
        <f t="shared" si="49"/>
        <v>1538495.7946267016</v>
      </c>
      <c r="D478" s="67">
        <f t="array" ref="D478">SUM($B$7:$B473*$F$1009*EXP(-$F$1009*($A478-$A$7:$A473)))*$F$1010</f>
        <v>115334321.10686466</v>
      </c>
      <c r="E478" s="67">
        <f t="shared" si="47"/>
        <v>219.87470146934831</v>
      </c>
      <c r="F478" s="70">
        <f t="shared" si="51"/>
        <v>13.350791873218832</v>
      </c>
      <c r="G478" s="67">
        <f>E478/'Lookup Tables'!$C$48</f>
        <v>439.74940293869662</v>
      </c>
      <c r="H478" s="70">
        <f t="shared" si="48"/>
        <v>7.5116320431886707E-2</v>
      </c>
      <c r="I478" s="71">
        <f t="shared" si="52"/>
        <v>0.63323914023172323</v>
      </c>
      <c r="L478" s="74"/>
      <c r="M478" s="74"/>
      <c r="N478" s="74"/>
      <c r="O478" s="74"/>
      <c r="P478" s="74"/>
      <c r="Q478" s="74"/>
      <c r="R478" s="74"/>
      <c r="S478" s="74"/>
      <c r="T478" s="74"/>
      <c r="U478" s="74"/>
      <c r="V478" s="74"/>
      <c r="W478" s="74"/>
      <c r="X478" s="74"/>
      <c r="Y478" s="74"/>
      <c r="Z478" s="74"/>
    </row>
    <row r="479" spans="1:26" x14ac:dyDescent="0.3">
      <c r="A479" s="66">
        <f t="shared" si="50"/>
        <v>2037.1999999999571</v>
      </c>
      <c r="B479" s="67">
        <f>LOOKUP(A479+0.01,AmountsB!$A$4:$A$103,AmountsB!$B$4:$B$103)*0.1*$A$2</f>
        <v>0</v>
      </c>
      <c r="C479" s="68">
        <f t="shared" si="49"/>
        <v>1538495.7946267016</v>
      </c>
      <c r="D479" s="67">
        <f t="array" ref="D479">SUM($B$7:$B474*$F$1009*EXP(-$F$1009*($A479-$A$7:$A474)))*$F$1010</f>
        <v>115011836.6966299</v>
      </c>
      <c r="E479" s="67">
        <f t="shared" si="47"/>
        <v>219.25991341017911</v>
      </c>
      <c r="F479" s="70">
        <f t="shared" si="51"/>
        <v>13.313461942266075</v>
      </c>
      <c r="G479" s="67">
        <f>E479/'Lookup Tables'!$C$48</f>
        <v>438.51982682035822</v>
      </c>
      <c r="H479" s="70">
        <f t="shared" si="48"/>
        <v>7.4906288916020428E-2</v>
      </c>
      <c r="I479" s="71">
        <f t="shared" si="52"/>
        <v>0.63146855062131579</v>
      </c>
      <c r="L479" s="74"/>
      <c r="M479" s="74"/>
      <c r="N479" s="74"/>
      <c r="O479" s="74"/>
      <c r="P479" s="74"/>
      <c r="Q479" s="74"/>
      <c r="R479" s="74"/>
      <c r="S479" s="74"/>
      <c r="T479" s="74"/>
      <c r="U479" s="74"/>
      <c r="V479" s="74"/>
      <c r="W479" s="74"/>
      <c r="X479" s="74"/>
      <c r="Y479" s="74"/>
      <c r="Z479" s="74"/>
    </row>
    <row r="480" spans="1:26" x14ac:dyDescent="0.3">
      <c r="A480" s="66">
        <f t="shared" si="50"/>
        <v>2037.299999999957</v>
      </c>
      <c r="B480" s="67">
        <f>LOOKUP(A480+0.01,AmountsB!$A$4:$A$103,AmountsB!$B$4:$B$103)*0.1*$A$2</f>
        <v>0</v>
      </c>
      <c r="C480" s="68">
        <f t="shared" si="49"/>
        <v>1538495.7946267016</v>
      </c>
      <c r="D480" s="67">
        <f t="array" ref="D480">SUM($B$7:$B475*$F$1009*EXP(-$F$1009*($A480-$A$7:$A475)))*$F$1010</f>
        <v>114690253.97978389</v>
      </c>
      <c r="E480" s="67">
        <f t="shared" si="47"/>
        <v>218.64684434985401</v>
      </c>
      <c r="F480" s="70">
        <f t="shared" si="51"/>
        <v>13.276236388923136</v>
      </c>
      <c r="G480" s="67">
        <f>E480/'Lookup Tables'!$C$48</f>
        <v>437.29368869970801</v>
      </c>
      <c r="H480" s="70">
        <f t="shared" si="48"/>
        <v>7.4696844665842907E-2</v>
      </c>
      <c r="I480" s="71">
        <f t="shared" si="52"/>
        <v>0.62970291172757953</v>
      </c>
      <c r="L480" s="74"/>
      <c r="M480" s="74"/>
      <c r="N480" s="74"/>
      <c r="O480" s="74"/>
      <c r="P480" s="74"/>
      <c r="Q480" s="74"/>
      <c r="R480" s="74"/>
      <c r="S480" s="74"/>
      <c r="T480" s="74"/>
      <c r="U480" s="74"/>
      <c r="V480" s="74"/>
      <c r="W480" s="74"/>
      <c r="X480" s="74"/>
      <c r="Y480" s="74"/>
      <c r="Z480" s="74"/>
    </row>
    <row r="481" spans="1:26" x14ac:dyDescent="0.3">
      <c r="A481" s="66">
        <f t="shared" si="50"/>
        <v>2037.3999999999569</v>
      </c>
      <c r="B481" s="67">
        <f>LOOKUP(A481+0.01,AmountsB!$A$4:$A$103,AmountsB!$B$4:$B$103)*0.1*$A$2</f>
        <v>0</v>
      </c>
      <c r="C481" s="68">
        <f t="shared" si="49"/>
        <v>1538495.7946267016</v>
      </c>
      <c r="D481" s="67">
        <f t="array" ref="D481">SUM($B$7:$B476*$F$1009*EXP(-$F$1009*($A481-$A$7:$A476)))*$F$1010</f>
        <v>114369570.43511654</v>
      </c>
      <c r="E481" s="67">
        <f t="shared" si="47"/>
        <v>218.03548948190857</v>
      </c>
      <c r="F481" s="70">
        <f t="shared" si="51"/>
        <v>13.239114921341489</v>
      </c>
      <c r="G481" s="67">
        <f>E481/'Lookup Tables'!$C$48</f>
        <v>436.07097896381714</v>
      </c>
      <c r="H481" s="70">
        <f t="shared" si="48"/>
        <v>7.4487986039310158E-2</v>
      </c>
      <c r="I481" s="71">
        <f t="shared" si="52"/>
        <v>0.62794220970789671</v>
      </c>
      <c r="L481" s="74"/>
      <c r="M481" s="74"/>
      <c r="N481" s="74"/>
      <c r="O481" s="74"/>
      <c r="P481" s="74"/>
      <c r="Q481" s="74"/>
      <c r="R481" s="74"/>
      <c r="S481" s="74"/>
      <c r="T481" s="74"/>
      <c r="U481" s="74"/>
      <c r="V481" s="74"/>
      <c r="W481" s="74"/>
      <c r="X481" s="74"/>
      <c r="Y481" s="74"/>
      <c r="Z481" s="74"/>
    </row>
    <row r="482" spans="1:26" x14ac:dyDescent="0.3">
      <c r="A482" s="66">
        <f t="shared" si="50"/>
        <v>2037.4999999999568</v>
      </c>
      <c r="B482" s="67">
        <f>LOOKUP(A482+0.01,AmountsB!$A$4:$A$103,AmountsB!$B$4:$B$103)*0.1*$A$2</f>
        <v>0</v>
      </c>
      <c r="C482" s="68">
        <f t="shared" si="49"/>
        <v>1538495.7946267016</v>
      </c>
      <c r="D482" s="67">
        <f t="array" ref="D482">SUM($B$7:$B477*$F$1009*EXP(-$F$1009*($A482-$A$7:$A477)))*$F$1010</f>
        <v>114049783.54846722</v>
      </c>
      <c r="E482" s="67">
        <f t="shared" si="47"/>
        <v>217.42584401331743</v>
      </c>
      <c r="F482" s="70">
        <f t="shared" si="51"/>
        <v>13.202097248488633</v>
      </c>
      <c r="G482" s="67">
        <f>E482/'Lookup Tables'!$C$48</f>
        <v>434.85168802663486</v>
      </c>
      <c r="H482" s="70">
        <f t="shared" si="48"/>
        <v>7.4279711398969481E-2</v>
      </c>
      <c r="I482" s="71">
        <f t="shared" si="52"/>
        <v>0.62618643075835412</v>
      </c>
      <c r="L482" s="74"/>
      <c r="M482" s="74"/>
      <c r="N482" s="74"/>
      <c r="O482" s="74"/>
      <c r="P482" s="74"/>
      <c r="Q482" s="74"/>
      <c r="R482" s="74"/>
      <c r="S482" s="74"/>
      <c r="T482" s="74"/>
      <c r="U482" s="74"/>
      <c r="V482" s="74"/>
      <c r="W482" s="74"/>
      <c r="X482" s="74"/>
      <c r="Y482" s="74"/>
      <c r="Z482" s="74"/>
    </row>
    <row r="483" spans="1:26" x14ac:dyDescent="0.3">
      <c r="A483" s="66">
        <f t="shared" si="50"/>
        <v>2037.5999999999567</v>
      </c>
      <c r="B483" s="67">
        <f>LOOKUP(A483+0.01,AmountsB!$A$4:$A$103,AmountsB!$B$4:$B$103)*0.1*$A$2</f>
        <v>0</v>
      </c>
      <c r="C483" s="68">
        <f t="shared" si="49"/>
        <v>1538495.7946267016</v>
      </c>
      <c r="D483" s="67">
        <f t="array" ref="D483">SUM($B$7:$B478*$F$1009*EXP(-$F$1009*($A483-$A$7:$A478)))*$F$1010</f>
        <v>113730890.81270507</v>
      </c>
      <c r="E483" s="67">
        <f t="shared" si="47"/>
        <v>216.81790316445702</v>
      </c>
      <c r="F483" s="70">
        <f t="shared" si="51"/>
        <v>13.16518308014583</v>
      </c>
      <c r="G483" s="67">
        <f>E483/'Lookup Tables'!$C$48</f>
        <v>433.63580632891404</v>
      </c>
      <c r="H483" s="70">
        <f t="shared" si="48"/>
        <v>7.4072019111946663E-2</v>
      </c>
      <c r="I483" s="71">
        <f t="shared" si="52"/>
        <v>0.62443556111363629</v>
      </c>
      <c r="L483" s="74"/>
      <c r="M483" s="74"/>
      <c r="N483" s="74"/>
      <c r="O483" s="74"/>
      <c r="P483" s="74"/>
      <c r="Q483" s="74"/>
      <c r="R483" s="74"/>
      <c r="S483" s="74"/>
      <c r="T483" s="74"/>
      <c r="U483" s="74"/>
      <c r="V483" s="74"/>
      <c r="W483" s="74"/>
      <c r="X483" s="74"/>
      <c r="Y483" s="74"/>
      <c r="Z483" s="74"/>
    </row>
    <row r="484" spans="1:26" x14ac:dyDescent="0.3">
      <c r="A484" s="66">
        <f t="shared" si="50"/>
        <v>2037.6999999999566</v>
      </c>
      <c r="B484" s="67">
        <f>LOOKUP(A484+0.01,AmountsB!$A$4:$A$103,AmountsB!$B$4:$B$103)*0.1*$A$2</f>
        <v>0</v>
      </c>
      <c r="C484" s="68">
        <f t="shared" si="49"/>
        <v>1538495.7946267016</v>
      </c>
      <c r="D484" s="67">
        <f t="array" ref="D484">SUM($B$7:$B479*$F$1009*EXP(-$F$1009*($A484-$A$7:$A479)))*$F$1010</f>
        <v>113412889.72770947</v>
      </c>
      <c r="E484" s="67">
        <f t="shared" si="47"/>
        <v>216.21166216906809</v>
      </c>
      <c r="F484" s="70">
        <f t="shared" si="51"/>
        <v>13.128372126905816</v>
      </c>
      <c r="G484" s="67">
        <f>E484/'Lookup Tables'!$C$48</f>
        <v>432.42332433813618</v>
      </c>
      <c r="H484" s="70">
        <f t="shared" si="48"/>
        <v>7.3864907549933106E-2</v>
      </c>
      <c r="I484" s="71">
        <f t="shared" si="52"/>
        <v>0.62268958704691613</v>
      </c>
      <c r="L484" s="74"/>
      <c r="M484" s="74"/>
      <c r="N484" s="74"/>
      <c r="O484" s="74"/>
      <c r="P484" s="74"/>
      <c r="Q484" s="74"/>
      <c r="R484" s="74"/>
      <c r="S484" s="74"/>
      <c r="T484" s="74"/>
      <c r="U484" s="74"/>
      <c r="V484" s="74"/>
      <c r="W484" s="74"/>
      <c r="X484" s="74"/>
      <c r="Y484" s="74"/>
      <c r="Z484" s="74"/>
    </row>
    <row r="485" spans="1:26" x14ac:dyDescent="0.3">
      <c r="A485" s="66">
        <f t="shared" si="50"/>
        <v>2037.7999999999565</v>
      </c>
      <c r="B485" s="67">
        <f>LOOKUP(A485+0.01,AmountsB!$A$4:$A$103,AmountsB!$B$4:$B$103)*0.1*$A$2</f>
        <v>0</v>
      </c>
      <c r="C485" s="68">
        <f t="shared" si="49"/>
        <v>1538495.7946267016</v>
      </c>
      <c r="D485" s="67">
        <f t="array" ref="D485">SUM($B$7:$B480*$F$1009*EXP(-$F$1009*($A485-$A$7:$A480)))*$F$1010</f>
        <v>113095777.8003502</v>
      </c>
      <c r="E485" s="67">
        <f t="shared" si="47"/>
        <v>215.60711627421787</v>
      </c>
      <c r="F485" s="70">
        <f t="shared" si="51"/>
        <v>13.09166410017051</v>
      </c>
      <c r="G485" s="67">
        <f>E485/'Lookup Tables'!$C$48</f>
        <v>431.21423254843575</v>
      </c>
      <c r="H485" s="70">
        <f t="shared" si="48"/>
        <v>7.3658375089173042E-2</v>
      </c>
      <c r="I485" s="71">
        <f t="shared" si="52"/>
        <v>0.62094849486974746</v>
      </c>
      <c r="L485" s="74"/>
      <c r="M485" s="74"/>
      <c r="N485" s="74"/>
      <c r="O485" s="74"/>
      <c r="P485" s="74"/>
      <c r="Q485" s="74"/>
      <c r="R485" s="74"/>
      <c r="S485" s="74"/>
      <c r="T485" s="74"/>
      <c r="U485" s="74"/>
      <c r="V485" s="74"/>
      <c r="W485" s="74"/>
      <c r="X485" s="74"/>
      <c r="Y485" s="74"/>
      <c r="Z485" s="74"/>
    </row>
    <row r="486" spans="1:26" x14ac:dyDescent="0.3">
      <c r="A486" s="66">
        <f t="shared" si="50"/>
        <v>2037.8999999999564</v>
      </c>
      <c r="B486" s="67">
        <f>LOOKUP(A486+0.01,AmountsB!$A$4:$A$103,AmountsB!$B$4:$B$103)*0.1*$A$2</f>
        <v>0</v>
      </c>
      <c r="C486" s="68">
        <f t="shared" si="49"/>
        <v>1538495.7946267016</v>
      </c>
      <c r="D486" s="67">
        <f t="array" ref="D486">SUM($B$7:$B481*$F$1009*EXP(-$F$1009*($A486-$A$7:$A481)))*$F$1010</f>
        <v>112779552.54446825</v>
      </c>
      <c r="E486" s="67">
        <f t="shared" si="47"/>
        <v>215.00426074026379</v>
      </c>
      <c r="F486" s="70">
        <f t="shared" si="51"/>
        <v>13.055058712148817</v>
      </c>
      <c r="G486" s="67">
        <f>E486/'Lookup Tables'!$C$48</f>
        <v>430.00852148052758</v>
      </c>
      <c r="H486" s="70">
        <f t="shared" si="48"/>
        <v>7.3452420110451014E-2</v>
      </c>
      <c r="I486" s="71">
        <f t="shared" si="52"/>
        <v>0.61921227093195974</v>
      </c>
      <c r="L486" s="74"/>
      <c r="M486" s="74"/>
      <c r="N486" s="74"/>
      <c r="O486" s="74"/>
      <c r="P486" s="74"/>
      <c r="Q486" s="74"/>
      <c r="R486" s="74"/>
      <c r="S486" s="74"/>
      <c r="T486" s="74"/>
      <c r="U486" s="74"/>
      <c r="V486" s="74"/>
      <c r="W486" s="74"/>
      <c r="X486" s="74"/>
      <c r="Y486" s="74"/>
      <c r="Z486" s="74"/>
    </row>
    <row r="487" spans="1:26" x14ac:dyDescent="0.3">
      <c r="A487" s="66">
        <f t="shared" si="50"/>
        <v>2037.9999999999563</v>
      </c>
      <c r="B487" s="67">
        <f>LOOKUP(A487+0.01,AmountsB!$A$4:$A$103,AmountsB!$B$4:$B$103)*0.1*$A$2</f>
        <v>0</v>
      </c>
      <c r="C487" s="68">
        <f t="shared" si="49"/>
        <v>1538495.7946267016</v>
      </c>
      <c r="D487" s="67">
        <f t="array" ref="D487">SUM($B$7:$B482*$F$1009*EXP(-$F$1009*($A487-$A$7:$A482)))*$F$1010</f>
        <v>112464211.48085584</v>
      </c>
      <c r="E487" s="67">
        <f t="shared" si="47"/>
        <v>214.403090840815</v>
      </c>
      <c r="F487" s="70">
        <f t="shared" si="51"/>
        <v>13.018555675854286</v>
      </c>
      <c r="G487" s="67">
        <f>E487/'Lookup Tables'!$C$48</f>
        <v>428.80618168162999</v>
      </c>
      <c r="H487" s="70">
        <f t="shared" si="48"/>
        <v>7.3247040999078819E-2</v>
      </c>
      <c r="I487" s="71">
        <f t="shared" si="52"/>
        <v>0.61748090162154723</v>
      </c>
      <c r="L487" s="74"/>
      <c r="M487" s="74"/>
      <c r="N487" s="74"/>
      <c r="O487" s="74"/>
      <c r="P487" s="74"/>
      <c r="Q487" s="74"/>
      <c r="R487" s="74"/>
      <c r="S487" s="74"/>
      <c r="T487" s="74"/>
      <c r="U487" s="74"/>
      <c r="V487" s="74"/>
      <c r="W487" s="74"/>
      <c r="X487" s="74"/>
      <c r="Y487" s="74"/>
      <c r="Z487" s="74"/>
    </row>
    <row r="488" spans="1:26" x14ac:dyDescent="0.3">
      <c r="A488" s="66">
        <f t="shared" si="50"/>
        <v>2038.0999999999563</v>
      </c>
      <c r="B488" s="67">
        <f>LOOKUP(A488+0.01,AmountsB!$A$4:$A$103,AmountsB!$B$4:$B$103)*0.1*$A$2</f>
        <v>0</v>
      </c>
      <c r="C488" s="68">
        <f t="shared" si="49"/>
        <v>1538495.7946267016</v>
      </c>
      <c r="D488" s="67">
        <f t="array" ref="D488">SUM($B$7:$B483*$F$1009*EXP(-$F$1009*($A488-$A$7:$A483)))*$F$1010</f>
        <v>112149752.13723755</v>
      </c>
      <c r="E488" s="67">
        <f t="shared" si="47"/>
        <v>213.80360186269675</v>
      </c>
      <c r="F488" s="70">
        <f t="shared" si="51"/>
        <v>12.982154705102946</v>
      </c>
      <c r="G488" s="67">
        <f>E488/'Lookup Tables'!$C$48</f>
        <v>427.6072037253935</v>
      </c>
      <c r="H488" s="70">
        <f t="shared" si="48"/>
        <v>7.3042236144883296E-2</v>
      </c>
      <c r="I488" s="71">
        <f t="shared" si="52"/>
        <v>0.61575437336456662</v>
      </c>
      <c r="L488" s="74"/>
      <c r="M488" s="74"/>
      <c r="N488" s="74"/>
      <c r="O488" s="74"/>
      <c r="P488" s="74"/>
      <c r="Q488" s="74"/>
      <c r="R488" s="74"/>
      <c r="S488" s="74"/>
      <c r="T488" s="74"/>
      <c r="U488" s="74"/>
      <c r="V488" s="74"/>
      <c r="W488" s="74"/>
      <c r="X488" s="74"/>
      <c r="Y488" s="74"/>
      <c r="Z488" s="74"/>
    </row>
    <row r="489" spans="1:26" x14ac:dyDescent="0.3">
      <c r="A489" s="66">
        <f t="shared" si="50"/>
        <v>2038.1999999999562</v>
      </c>
      <c r="B489" s="67">
        <f>LOOKUP(A489+0.01,AmountsB!$A$4:$A$103,AmountsB!$B$4:$B$103)*0.1*$A$2</f>
        <v>0</v>
      </c>
      <c r="C489" s="68">
        <f t="shared" si="49"/>
        <v>1538495.7946267016</v>
      </c>
      <c r="D489" s="67">
        <f t="array" ref="D489">SUM($B$7:$B484*$F$1009*EXP(-$F$1009*($A489-$A$7:$A484)))*$F$1010</f>
        <v>111836172.04825044</v>
      </c>
      <c r="E489" s="67">
        <f t="shared" si="47"/>
        <v>213.20578910591215</v>
      </c>
      <c r="F489" s="70">
        <f t="shared" si="51"/>
        <v>12.945855514510985</v>
      </c>
      <c r="G489" s="67">
        <f>E489/'Lookup Tables'!$C$48</f>
        <v>426.41157821182429</v>
      </c>
      <c r="H489" s="70">
        <f t="shared" si="48"/>
        <v>7.2838003942193252E-2</v>
      </c>
      <c r="I489" s="71">
        <f t="shared" si="52"/>
        <v>0.61403267262502703</v>
      </c>
      <c r="L489" s="74"/>
      <c r="M489" s="74"/>
      <c r="N489" s="74"/>
      <c r="O489" s="74"/>
      <c r="P489" s="74"/>
      <c r="Q489" s="74"/>
      <c r="R489" s="74"/>
      <c r="S489" s="74"/>
      <c r="T489" s="74"/>
      <c r="U489" s="74"/>
      <c r="V489" s="74"/>
      <c r="W489" s="74"/>
      <c r="X489" s="74"/>
      <c r="Y489" s="74"/>
      <c r="Z489" s="74"/>
    </row>
    <row r="490" spans="1:26" x14ac:dyDescent="0.3">
      <c r="A490" s="66">
        <f t="shared" si="50"/>
        <v>2038.2999999999561</v>
      </c>
      <c r="B490" s="67">
        <f>LOOKUP(A490+0.01,AmountsB!$A$4:$A$103,AmountsB!$B$4:$B$103)*0.1*$A$2</f>
        <v>0</v>
      </c>
      <c r="C490" s="68">
        <f t="shared" si="49"/>
        <v>1538495.7946267016</v>
      </c>
      <c r="D490" s="67">
        <f t="array" ref="D490">SUM($B$7:$B485*$F$1009*EXP(-$F$1009*($A490-$A$7:$A485)))*$F$1010</f>
        <v>111523468.75542501</v>
      </c>
      <c r="E490" s="67">
        <f t="shared" si="47"/>
        <v>212.60964788360619</v>
      </c>
      <c r="F490" s="70">
        <f t="shared" si="51"/>
        <v>12.909657819492567</v>
      </c>
      <c r="G490" s="67">
        <f>E490/'Lookup Tables'!$C$48</f>
        <v>425.21929576721237</v>
      </c>
      <c r="H490" s="70">
        <f t="shared" si="48"/>
        <v>7.2634342789827194E-2</v>
      </c>
      <c r="I490" s="71">
        <f t="shared" si="52"/>
        <v>0.61231578590478586</v>
      </c>
      <c r="L490" s="74"/>
      <c r="M490" s="74"/>
      <c r="N490" s="74"/>
      <c r="O490" s="74"/>
      <c r="P490" s="74"/>
      <c r="Q490" s="74"/>
      <c r="R490" s="74"/>
      <c r="S490" s="74"/>
      <c r="T490" s="74"/>
      <c r="U490" s="74"/>
      <c r="V490" s="74"/>
      <c r="W490" s="74"/>
      <c r="X490" s="74"/>
      <c r="Y490" s="74"/>
      <c r="Z490" s="74"/>
    </row>
    <row r="491" spans="1:26" x14ac:dyDescent="0.3">
      <c r="A491" s="66">
        <f t="shared" si="50"/>
        <v>2038.399999999956</v>
      </c>
      <c r="B491" s="67">
        <f>LOOKUP(A491+0.01,AmountsB!$A$4:$A$103,AmountsB!$B$4:$B$103)*0.1*$A$2</f>
        <v>0</v>
      </c>
      <c r="C491" s="68">
        <f t="shared" si="49"/>
        <v>1538495.7946267016</v>
      </c>
      <c r="D491" s="67">
        <f t="array" ref="D491">SUM($B$7:$B486*$F$1009*EXP(-$F$1009*($A491-$A$7:$A486)))*$F$1010</f>
        <v>111211639.80716591</v>
      </c>
      <c r="E491" s="67">
        <f t="shared" si="47"/>
        <v>212.01517352202876</v>
      </c>
      <c r="F491" s="70">
        <f t="shared" si="51"/>
        <v>12.873561336257586</v>
      </c>
      <c r="G491" s="67">
        <f>E491/'Lookup Tables'!$C$48</f>
        <v>424.03034704405752</v>
      </c>
      <c r="H491" s="70">
        <f t="shared" si="48"/>
        <v>7.2431251091080673E-2</v>
      </c>
      <c r="I491" s="71">
        <f t="shared" si="52"/>
        <v>0.61060369974344286</v>
      </c>
      <c r="L491" s="74"/>
      <c r="M491" s="74"/>
      <c r="N491" s="74"/>
      <c r="O491" s="74"/>
      <c r="P491" s="74"/>
      <c r="Q491" s="74"/>
      <c r="R491" s="74"/>
      <c r="S491" s="74"/>
      <c r="T491" s="74"/>
      <c r="U491" s="74"/>
      <c r="V491" s="74"/>
      <c r="W491" s="74"/>
      <c r="X491" s="74"/>
      <c r="Y491" s="74"/>
      <c r="Z491" s="74"/>
    </row>
    <row r="492" spans="1:26" x14ac:dyDescent="0.3">
      <c r="A492" s="66">
        <f t="shared" si="50"/>
        <v>2038.4999999999559</v>
      </c>
      <c r="B492" s="67">
        <f>LOOKUP(A492+0.01,AmountsB!$A$4:$A$103,AmountsB!$B$4:$B$103)*0.1*$A$2</f>
        <v>0</v>
      </c>
      <c r="C492" s="68">
        <f t="shared" si="49"/>
        <v>1538495.7946267016</v>
      </c>
      <c r="D492" s="67">
        <f t="array" ref="D492">SUM($B$7:$B487*$F$1009*EXP(-$F$1009*($A492-$A$7:$A487)))*$F$1010</f>
        <v>110900682.75873251</v>
      </c>
      <c r="E492" s="67">
        <f t="shared" si="47"/>
        <v>211.42236136049766</v>
      </c>
      <c r="F492" s="70">
        <f t="shared" si="51"/>
        <v>12.837565781809417</v>
      </c>
      <c r="G492" s="67">
        <f>E492/'Lookup Tables'!$C$48</f>
        <v>422.84472272099532</v>
      </c>
      <c r="H492" s="70">
        <f t="shared" si="48"/>
        <v>7.2228727253713709E-2</v>
      </c>
      <c r="I492" s="71">
        <f t="shared" si="52"/>
        <v>0.60889640071823337</v>
      </c>
      <c r="L492" s="74"/>
      <c r="M492" s="74"/>
      <c r="N492" s="74"/>
      <c r="O492" s="74"/>
      <c r="P492" s="74"/>
      <c r="Q492" s="74"/>
      <c r="R492" s="74"/>
      <c r="S492" s="74"/>
      <c r="T492" s="74"/>
      <c r="U492" s="74"/>
      <c r="V492" s="74"/>
      <c r="W492" s="74"/>
      <c r="X492" s="74"/>
      <c r="Y492" s="74"/>
      <c r="Z492" s="74"/>
    </row>
    <row r="493" spans="1:26" x14ac:dyDescent="0.3">
      <c r="A493" s="66">
        <f t="shared" si="50"/>
        <v>2038.5999999999558</v>
      </c>
      <c r="B493" s="67">
        <f>LOOKUP(A493+0.01,AmountsB!$A$4:$A$103,AmountsB!$B$4:$B$103)*0.1*$A$2</f>
        <v>0</v>
      </c>
      <c r="C493" s="68">
        <f t="shared" si="49"/>
        <v>1538495.7946267016</v>
      </c>
      <c r="D493" s="67">
        <f t="array" ref="D493">SUM($B$7:$B488*$F$1009*EXP(-$F$1009*($A493-$A$7:$A488)))*$F$1010</f>
        <v>110590595.17222001</v>
      </c>
      <c r="E493" s="67">
        <f t="shared" si="47"/>
        <v>210.83120675136257</v>
      </c>
      <c r="F493" s="70">
        <f t="shared" si="51"/>
        <v>12.801670873942737</v>
      </c>
      <c r="G493" s="67">
        <f>E493/'Lookup Tables'!$C$48</f>
        <v>421.66241350272514</v>
      </c>
      <c r="H493" s="70">
        <f t="shared" si="48"/>
        <v>7.2026769689938375E-2</v>
      </c>
      <c r="I493" s="71">
        <f t="shared" si="52"/>
        <v>0.60719387544392422</v>
      </c>
      <c r="L493" s="74"/>
      <c r="M493" s="74"/>
      <c r="N493" s="74"/>
      <c r="O493" s="74"/>
      <c r="P493" s="74"/>
      <c r="Q493" s="74"/>
      <c r="R493" s="74"/>
      <c r="S493" s="74"/>
      <c r="T493" s="74"/>
      <c r="U493" s="74"/>
      <c r="V493" s="74"/>
      <c r="W493" s="74"/>
      <c r="X493" s="74"/>
      <c r="Y493" s="74"/>
      <c r="Z493" s="74"/>
    </row>
    <row r="494" spans="1:26" x14ac:dyDescent="0.3">
      <c r="A494" s="66">
        <f t="shared" si="50"/>
        <v>2038.6999999999557</v>
      </c>
      <c r="B494" s="67">
        <f>LOOKUP(A494+0.01,AmountsB!$A$4:$A$103,AmountsB!$B$4:$B$103)*0.1*$A$2</f>
        <v>0</v>
      </c>
      <c r="C494" s="68">
        <f t="shared" si="49"/>
        <v>1538495.7946267016</v>
      </c>
      <c r="D494" s="67">
        <f t="array" ref="D494">SUM($B$7:$B489*$F$1009*EXP(-$F$1009*($A494-$A$7:$A489)))*$F$1010</f>
        <v>110281374.6165401</v>
      </c>
      <c r="E494" s="67">
        <f t="shared" si="47"/>
        <v>210.24170505996835</v>
      </c>
      <c r="F494" s="70">
        <f t="shared" si="51"/>
        <v>12.765876331241278</v>
      </c>
      <c r="G494" s="67">
        <f>E494/'Lookup Tables'!$C$48</f>
        <v>420.48341011993671</v>
      </c>
      <c r="H494" s="70">
        <f t="shared" si="48"/>
        <v>7.1825376816406356E-2</v>
      </c>
      <c r="I494" s="71">
        <f t="shared" si="52"/>
        <v>0.60549611057270891</v>
      </c>
      <c r="L494" s="74"/>
      <c r="M494" s="74"/>
      <c r="N494" s="74"/>
      <c r="O494" s="74"/>
      <c r="P494" s="74"/>
      <c r="Q494" s="74"/>
      <c r="R494" s="74"/>
      <c r="S494" s="74"/>
      <c r="T494" s="74"/>
      <c r="U494" s="74"/>
      <c r="V494" s="74"/>
      <c r="W494" s="74"/>
      <c r="X494" s="74"/>
      <c r="Y494" s="74"/>
      <c r="Z494" s="74"/>
    </row>
    <row r="495" spans="1:26" x14ac:dyDescent="0.3">
      <c r="A495" s="66">
        <f t="shared" si="50"/>
        <v>2038.7999999999556</v>
      </c>
      <c r="B495" s="67">
        <f>LOOKUP(A495+0.01,AmountsB!$A$4:$A$103,AmountsB!$B$4:$B$103)*0.1*$A$2</f>
        <v>0</v>
      </c>
      <c r="C495" s="68">
        <f t="shared" si="49"/>
        <v>1538495.7946267016</v>
      </c>
      <c r="D495" s="67">
        <f t="array" ref="D495">SUM($B$7:$B490*$F$1009*EXP(-$F$1009*($A495-$A$7:$A490)))*$F$1010</f>
        <v>109973018.66740204</v>
      </c>
      <c r="E495" s="67">
        <f t="shared" si="47"/>
        <v>209.6538516646186</v>
      </c>
      <c r="F495" s="70">
        <f t="shared" si="51"/>
        <v>12.730181873075642</v>
      </c>
      <c r="G495" s="67">
        <f>E495/'Lookup Tables'!$C$48</f>
        <v>419.3077033292372</v>
      </c>
      <c r="H495" s="70">
        <f t="shared" si="48"/>
        <v>7.1624547054196436E-2</v>
      </c>
      <c r="I495" s="71">
        <f t="shared" si="52"/>
        <v>0.6038030927941016</v>
      </c>
      <c r="L495" s="74"/>
      <c r="M495" s="74"/>
      <c r="N495" s="74"/>
      <c r="O495" s="74"/>
      <c r="P495" s="74"/>
      <c r="Q495" s="74"/>
      <c r="R495" s="74"/>
      <c r="S495" s="74"/>
      <c r="T495" s="74"/>
      <c r="U495" s="74"/>
      <c r="V495" s="74"/>
      <c r="W495" s="74"/>
      <c r="X495" s="74"/>
      <c r="Y495" s="74"/>
      <c r="Z495" s="74"/>
    </row>
    <row r="496" spans="1:26" x14ac:dyDescent="0.3">
      <c r="A496" s="66">
        <f t="shared" si="50"/>
        <v>2038.8999999999555</v>
      </c>
      <c r="B496" s="67">
        <f>LOOKUP(A496+0.01,AmountsB!$A$4:$A$103,AmountsB!$B$4:$B$103)*0.1*$A$2</f>
        <v>0</v>
      </c>
      <c r="C496" s="68">
        <f t="shared" si="49"/>
        <v>1538495.7946267016</v>
      </c>
      <c r="D496" s="67">
        <f t="array" ref="D496">SUM($B$7:$B491*$F$1009*EXP(-$F$1009*($A496-$A$7:$A491)))*$F$1010</f>
        <v>109665524.90729362</v>
      </c>
      <c r="E496" s="67">
        <f t="shared" si="47"/>
        <v>209.06764195653975</v>
      </c>
      <c r="F496" s="70">
        <f t="shared" si="51"/>
        <v>12.694587219601093</v>
      </c>
      <c r="G496" s="67">
        <f>E496/'Lookup Tables'!$C$48</f>
        <v>418.13528391307949</v>
      </c>
      <c r="H496" s="70">
        <f t="shared" si="48"/>
        <v>7.1424278828802298E-2</v>
      </c>
      <c r="I496" s="71">
        <f t="shared" si="52"/>
        <v>0.60211480883483448</v>
      </c>
      <c r="L496" s="74"/>
      <c r="M496" s="74"/>
      <c r="N496" s="74"/>
      <c r="O496" s="74"/>
      <c r="P496" s="74"/>
      <c r="Q496" s="74"/>
      <c r="R496" s="74"/>
      <c r="S496" s="74"/>
      <c r="T496" s="74"/>
      <c r="U496" s="74"/>
      <c r="V496" s="74"/>
      <c r="W496" s="74"/>
      <c r="X496" s="74"/>
      <c r="Y496" s="74"/>
      <c r="Z496" s="74"/>
    </row>
    <row r="497" spans="1:26" x14ac:dyDescent="0.3">
      <c r="A497" s="66">
        <f t="shared" si="50"/>
        <v>2038.9999999999554</v>
      </c>
      <c r="B497" s="67">
        <f>LOOKUP(A497+0.01,AmountsB!$A$4:$A$103,AmountsB!$B$4:$B$103)*0.1*$A$2</f>
        <v>0</v>
      </c>
      <c r="C497" s="68">
        <f t="shared" si="49"/>
        <v>1538495.7946267016</v>
      </c>
      <c r="D497" s="67">
        <f t="array" ref="D497">SUM($B$7:$B492*$F$1009*EXP(-$F$1009*($A497-$A$7:$A492)))*$F$1010</f>
        <v>109358890.92546223</v>
      </c>
      <c r="E497" s="67">
        <f t="shared" si="47"/>
        <v>208.4830713398448</v>
      </c>
      <c r="F497" s="70">
        <f t="shared" si="51"/>
        <v>12.659092091755378</v>
      </c>
      <c r="G497" s="67">
        <f>E497/'Lookup Tables'!$C$48</f>
        <v>416.9661426796896</v>
      </c>
      <c r="H497" s="70">
        <f t="shared" si="48"/>
        <v>7.1224570570120049E-2</v>
      </c>
      <c r="I497" s="71">
        <f t="shared" si="52"/>
        <v>0.60043124545875304</v>
      </c>
      <c r="L497" s="74"/>
      <c r="M497" s="74"/>
      <c r="N497" s="74"/>
      <c r="O497" s="74"/>
      <c r="P497" s="74"/>
      <c r="Q497" s="74"/>
      <c r="R497" s="74"/>
      <c r="S497" s="74"/>
      <c r="T497" s="74"/>
      <c r="U497" s="74"/>
      <c r="V497" s="74"/>
      <c r="W497" s="74"/>
      <c r="X497" s="74"/>
      <c r="Y497" s="74"/>
      <c r="Z497" s="74"/>
    </row>
    <row r="498" spans="1:26" x14ac:dyDescent="0.3">
      <c r="A498" s="66">
        <f t="shared" si="50"/>
        <v>2039.0999999999553</v>
      </c>
      <c r="B498" s="67">
        <f>LOOKUP(A498+0.01,AmountsB!$A$4:$A$103,AmountsB!$B$4:$B$103)*0.1*$A$2</f>
        <v>0</v>
      </c>
      <c r="C498" s="68">
        <f t="shared" si="49"/>
        <v>1538495.7946267016</v>
      </c>
      <c r="D498" s="67">
        <f t="array" ref="D498">SUM($B$7:$B493*$F$1009*EXP(-$F$1009*($A498-$A$7:$A493)))*$F$1010</f>
        <v>109053114.31789584</v>
      </c>
      <c r="E498" s="67">
        <f t="shared" si="47"/>
        <v>207.90013523149699</v>
      </c>
      <c r="F498" s="70">
        <f t="shared" si="51"/>
        <v>12.623696211256497</v>
      </c>
      <c r="G498" s="67">
        <f>E498/'Lookup Tables'!$C$48</f>
        <v>415.80027046299398</v>
      </c>
      <c r="H498" s="70">
        <f t="shared" si="48"/>
        <v>7.102542071243588E-2</v>
      </c>
      <c r="I498" s="71">
        <f t="shared" si="52"/>
        <v>0.59875238946671128</v>
      </c>
      <c r="L498" s="74"/>
      <c r="M498" s="74"/>
      <c r="N498" s="74"/>
      <c r="O498" s="74"/>
      <c r="P498" s="74"/>
      <c r="Q498" s="74"/>
      <c r="R498" s="74"/>
      <c r="S498" s="74"/>
      <c r="T498" s="74"/>
      <c r="U498" s="74"/>
      <c r="V498" s="74"/>
      <c r="W498" s="74"/>
      <c r="X498" s="74"/>
      <c r="Y498" s="74"/>
      <c r="Z498" s="74"/>
    </row>
    <row r="499" spans="1:26" x14ac:dyDescent="0.3">
      <c r="A499" s="66">
        <f t="shared" si="50"/>
        <v>2039.1999999999553</v>
      </c>
      <c r="B499" s="67">
        <f>LOOKUP(A499+0.01,AmountsB!$A$4:$A$103,AmountsB!$B$4:$B$103)*0.1*$A$2</f>
        <v>0</v>
      </c>
      <c r="C499" s="68">
        <f t="shared" si="49"/>
        <v>1538495.7946267016</v>
      </c>
      <c r="D499" s="67">
        <f t="array" ref="D499">SUM($B$7:$B494*$F$1009*EXP(-$F$1009*($A499-$A$7:$A494)))*$F$1010</f>
        <v>108748192.6873043</v>
      </c>
      <c r="E499" s="67">
        <f t="shared" si="47"/>
        <v>207.31882906127436</v>
      </c>
      <c r="F499" s="70">
        <f t="shared" si="51"/>
        <v>12.58839930060058</v>
      </c>
      <c r="G499" s="67">
        <f>E499/'Lookup Tables'!$C$48</f>
        <v>414.63765812254871</v>
      </c>
      <c r="H499" s="70">
        <f t="shared" si="48"/>
        <v>7.082682769441391E-2</v>
      </c>
      <c r="I499" s="71">
        <f t="shared" si="52"/>
        <v>0.59707822769647023</v>
      </c>
      <c r="L499" s="74"/>
      <c r="M499" s="74"/>
      <c r="N499" s="74"/>
      <c r="O499" s="74"/>
      <c r="P499" s="74"/>
      <c r="Q499" s="74"/>
      <c r="R499" s="74"/>
      <c r="S499" s="74"/>
      <c r="T499" s="74"/>
      <c r="U499" s="74"/>
      <c r="V499" s="74"/>
      <c r="W499" s="74"/>
      <c r="X499" s="74"/>
      <c r="Y499" s="74"/>
      <c r="Z499" s="74"/>
    </row>
    <row r="500" spans="1:26" x14ac:dyDescent="0.3">
      <c r="A500" s="66">
        <f t="shared" si="50"/>
        <v>2039.2999999999552</v>
      </c>
      <c r="B500" s="67">
        <f>LOOKUP(A500+0.01,AmountsB!$A$4:$A$103,AmountsB!$B$4:$B$103)*0.1*$A$2</f>
        <v>0</v>
      </c>
      <c r="C500" s="68">
        <f t="shared" si="49"/>
        <v>1538495.7946267016</v>
      </c>
      <c r="D500" s="67">
        <f t="array" ref="D500">SUM($B$7:$B495*$F$1009*EXP(-$F$1009*($A500-$A$7:$A495)))*$F$1010</f>
        <v>108444123.64310044</v>
      </c>
      <c r="E500" s="67">
        <f t="shared" si="47"/>
        <v>206.73914827173343</v>
      </c>
      <c r="F500" s="70">
        <f t="shared" si="51"/>
        <v>12.553201083059653</v>
      </c>
      <c r="G500" s="67">
        <f>E500/'Lookup Tables'!$C$48</f>
        <v>413.47829654346685</v>
      </c>
      <c r="H500" s="70">
        <f t="shared" si="48"/>
        <v>7.0628789959083824E-2</v>
      </c>
      <c r="I500" s="71">
        <f t="shared" si="52"/>
        <v>0.59540874702259228</v>
      </c>
      <c r="L500" s="74"/>
      <c r="M500" s="74"/>
      <c r="N500" s="74"/>
      <c r="O500" s="74"/>
      <c r="P500" s="74"/>
      <c r="Q500" s="74"/>
      <c r="R500" s="74"/>
      <c r="S500" s="74"/>
      <c r="T500" s="74"/>
      <c r="U500" s="74"/>
      <c r="V500" s="74"/>
      <c r="W500" s="74"/>
      <c r="X500" s="74"/>
      <c r="Y500" s="74"/>
      <c r="Z500" s="74"/>
    </row>
    <row r="501" spans="1:26" x14ac:dyDescent="0.3">
      <c r="A501" s="66">
        <f t="shared" si="50"/>
        <v>2039.3999999999551</v>
      </c>
      <c r="B501" s="67">
        <f>LOOKUP(A501+0.01,AmountsB!$A$4:$A$103,AmountsB!$B$4:$B$103)*0.1*$A$2</f>
        <v>0</v>
      </c>
      <c r="C501" s="68">
        <f t="shared" si="49"/>
        <v>1538495.7946267016</v>
      </c>
      <c r="D501" s="67">
        <f t="array" ref="D501">SUM($B$7:$B496*$F$1009*EXP(-$F$1009*($A501-$A$7:$A496)))*$F$1010</f>
        <v>108140904.80138138</v>
      </c>
      <c r="E501" s="67">
        <f t="shared" si="47"/>
        <v>206.16108831817382</v>
      </c>
      <c r="F501" s="70">
        <f t="shared" si="51"/>
        <v>12.518101282679515</v>
      </c>
      <c r="G501" s="67">
        <f>E501/'Lookup Tables'!$C$48</f>
        <v>412.32217663634765</v>
      </c>
      <c r="H501" s="70">
        <f t="shared" si="48"/>
        <v>7.0431305953828793E-2</v>
      </c>
      <c r="I501" s="71">
        <f t="shared" si="52"/>
        <v>0.59374393435634065</v>
      </c>
      <c r="L501" s="74"/>
      <c r="M501" s="74"/>
      <c r="N501" s="74"/>
      <c r="O501" s="74"/>
      <c r="P501" s="74"/>
      <c r="Q501" s="74"/>
      <c r="R501" s="74"/>
      <c r="S501" s="74"/>
      <c r="T501" s="74"/>
      <c r="U501" s="74"/>
      <c r="V501" s="74"/>
      <c r="W501" s="74"/>
      <c r="X501" s="74"/>
      <c r="Y501" s="74"/>
      <c r="Z501" s="74"/>
    </row>
    <row r="502" spans="1:26" x14ac:dyDescent="0.3">
      <c r="A502" s="66">
        <f t="shared" si="50"/>
        <v>2039.499999999955</v>
      </c>
      <c r="B502" s="67">
        <f>LOOKUP(A502+0.01,AmountsB!$A$4:$A$103,AmountsB!$B$4:$B$103)*0.1*$A$2</f>
        <v>0</v>
      </c>
      <c r="C502" s="68">
        <f t="shared" si="49"/>
        <v>1538495.7946267016</v>
      </c>
      <c r="D502" s="67">
        <f t="array" ref="D502">SUM($B$7:$B497*$F$1009*EXP(-$F$1009*($A502-$A$7:$A497)))*$F$1010</f>
        <v>107838533.7849099</v>
      </c>
      <c r="E502" s="67">
        <f t="shared" si="47"/>
        <v>205.58464466860269</v>
      </c>
      <c r="F502" s="70">
        <f t="shared" si="51"/>
        <v>12.483099624277555</v>
      </c>
      <c r="G502" s="67">
        <f>E502/'Lookup Tables'!$C$48</f>
        <v>411.16928933720538</v>
      </c>
      <c r="H502" s="70">
        <f t="shared" si="48"/>
        <v>7.0234374130373201E-2</v>
      </c>
      <c r="I502" s="71">
        <f t="shared" si="52"/>
        <v>0.59208377664557577</v>
      </c>
      <c r="L502" s="74"/>
      <c r="M502" s="74"/>
      <c r="N502" s="74"/>
      <c r="O502" s="74"/>
      <c r="P502" s="74"/>
      <c r="Q502" s="74"/>
      <c r="R502" s="74"/>
      <c r="S502" s="74"/>
      <c r="T502" s="74"/>
      <c r="U502" s="74"/>
      <c r="V502" s="74"/>
      <c r="W502" s="74"/>
      <c r="X502" s="74"/>
      <c r="Y502" s="74"/>
      <c r="Z502" s="74"/>
    </row>
    <row r="503" spans="1:26" x14ac:dyDescent="0.3">
      <c r="A503" s="66">
        <f t="shared" si="50"/>
        <v>2039.5999999999549</v>
      </c>
      <c r="B503" s="67">
        <f>LOOKUP(A503+0.01,AmountsB!$A$4:$A$103,AmountsB!$B$4:$B$103)*0.1*$A$2</f>
        <v>0</v>
      </c>
      <c r="C503" s="68">
        <f t="shared" si="49"/>
        <v>1538495.7946267016</v>
      </c>
      <c r="D503" s="67">
        <f t="array" ref="D503">SUM($B$7:$B498*$F$1009*EXP(-$F$1009*($A503-$A$7:$A498)))*$F$1010</f>
        <v>107537008.22309564</v>
      </c>
      <c r="E503" s="67">
        <f t="shared" si="47"/>
        <v>205.00981280369876</v>
      </c>
      <c r="F503" s="70">
        <f t="shared" si="51"/>
        <v>12.44819583344059</v>
      </c>
      <c r="G503" s="67">
        <f>E503/'Lookup Tables'!$C$48</f>
        <v>410.01962560739753</v>
      </c>
      <c r="H503" s="70">
        <f t="shared" si="48"/>
        <v>7.0037992944770547E-2</v>
      </c>
      <c r="I503" s="71">
        <f t="shared" si="52"/>
        <v>0.59042826087465239</v>
      </c>
      <c r="L503" s="74"/>
      <c r="M503" s="74"/>
      <c r="N503" s="74"/>
      <c r="O503" s="74"/>
      <c r="P503" s="74"/>
      <c r="Q503" s="74"/>
      <c r="R503" s="74"/>
      <c r="S503" s="74"/>
      <c r="T503" s="74"/>
      <c r="U503" s="74"/>
      <c r="V503" s="74"/>
      <c r="W503" s="74"/>
      <c r="X503" s="74"/>
      <c r="Y503" s="74"/>
      <c r="Z503" s="74"/>
    </row>
    <row r="504" spans="1:26" x14ac:dyDescent="0.3">
      <c r="A504" s="66">
        <f t="shared" si="50"/>
        <v>2039.6999999999548</v>
      </c>
      <c r="B504" s="67">
        <f>LOOKUP(A504+0.01,AmountsB!$A$4:$A$103,AmountsB!$B$4:$B$103)*0.1*$A$2</f>
        <v>0</v>
      </c>
      <c r="C504" s="68">
        <f t="shared" si="49"/>
        <v>1538495.7946267016</v>
      </c>
      <c r="D504" s="67">
        <f t="array" ref="D504">SUM($B$7:$B499*$F$1009*EXP(-$F$1009*($A504-$A$7:$A499)))*$F$1010</f>
        <v>107236325.75197667</v>
      </c>
      <c r="E504" s="67">
        <f t="shared" si="47"/>
        <v>204.4365882167773</v>
      </c>
      <c r="F504" s="70">
        <f t="shared" si="51"/>
        <v>12.413389636522718</v>
      </c>
      <c r="G504" s="67">
        <f>E504/'Lookup Tables'!$C$48</f>
        <v>408.87317643355459</v>
      </c>
      <c r="H504" s="70">
        <f t="shared" si="48"/>
        <v>6.9842160857391297E-2</v>
      </c>
      <c r="I504" s="71">
        <f t="shared" si="52"/>
        <v>0.58877737406431863</v>
      </c>
      <c r="L504" s="74"/>
      <c r="M504" s="74"/>
      <c r="N504" s="74"/>
      <c r="O504" s="74"/>
      <c r="P504" s="74"/>
      <c r="Q504" s="74"/>
      <c r="R504" s="74"/>
      <c r="S504" s="74"/>
      <c r="T504" s="74"/>
      <c r="U504" s="74"/>
      <c r="V504" s="74"/>
      <c r="W504" s="74"/>
      <c r="X504" s="74"/>
      <c r="Y504" s="74"/>
      <c r="Z504" s="74"/>
    </row>
    <row r="505" spans="1:26" x14ac:dyDescent="0.3">
      <c r="A505" s="66">
        <f t="shared" si="50"/>
        <v>2039.7999999999547</v>
      </c>
      <c r="B505" s="67">
        <f>LOOKUP(A505+0.01,AmountsB!$A$4:$A$103,AmountsB!$B$4:$B$103)*0.1*$A$2</f>
        <v>0</v>
      </c>
      <c r="C505" s="68">
        <f t="shared" si="49"/>
        <v>1538495.7946267016</v>
      </c>
      <c r="D505" s="67">
        <f t="array" ref="D505">SUM($B$7:$B500*$F$1009*EXP(-$F$1009*($A505-$A$7:$A500)))*$F$1010</f>
        <v>106936484.01420087</v>
      </c>
      <c r="E505" s="67">
        <f t="shared" si="47"/>
        <v>203.86496641375459</v>
      </c>
      <c r="F505" s="70">
        <f t="shared" si="51"/>
        <v>12.378680760643178</v>
      </c>
      <c r="G505" s="67">
        <f>E505/'Lookup Tables'!$C$48</f>
        <v>407.72993282750917</v>
      </c>
      <c r="H505" s="70">
        <f t="shared" si="48"/>
        <v>6.9646876332910918E-2</v>
      </c>
      <c r="I505" s="71">
        <f t="shared" si="52"/>
        <v>0.58713110327161311</v>
      </c>
      <c r="L505" s="74"/>
      <c r="M505" s="74"/>
      <c r="N505" s="74"/>
      <c r="O505" s="74"/>
      <c r="P505" s="74"/>
      <c r="Q505" s="74"/>
      <c r="R505" s="74"/>
      <c r="S505" s="74"/>
      <c r="T505" s="74"/>
      <c r="U505" s="74"/>
      <c r="V505" s="74"/>
      <c r="W505" s="74"/>
      <c r="X505" s="74"/>
      <c r="Y505" s="74"/>
      <c r="Z505" s="74"/>
    </row>
    <row r="506" spans="1:26" x14ac:dyDescent="0.3">
      <c r="A506" s="66">
        <f t="shared" si="50"/>
        <v>2039.8999999999546</v>
      </c>
      <c r="B506" s="67">
        <f>LOOKUP(A506+0.01,AmountsB!$A$4:$A$103,AmountsB!$B$4:$B$103)*0.1*$A$2</f>
        <v>0</v>
      </c>
      <c r="C506" s="68">
        <f t="shared" si="49"/>
        <v>1538495.7946267016</v>
      </c>
      <c r="D506" s="67">
        <f t="array" ref="D506">SUM($B$7:$B501*$F$1009*EXP(-$F$1009*($A506-$A$7:$A501)))*$F$1010</f>
        <v>106637480.65900752</v>
      </c>
      <c r="E506" s="67">
        <f t="shared" si="47"/>
        <v>203.29494291311286</v>
      </c>
      <c r="F506" s="70">
        <f t="shared" si="51"/>
        <v>12.344068933684213</v>
      </c>
      <c r="G506" s="67">
        <f>E506/'Lookup Tables'!$C$48</f>
        <v>406.58988582622572</v>
      </c>
      <c r="H506" s="70">
        <f t="shared" si="48"/>
        <v>6.9452137840297773E-2</v>
      </c>
      <c r="I506" s="71">
        <f t="shared" si="52"/>
        <v>0.58548943558976507</v>
      </c>
      <c r="L506" s="74"/>
      <c r="M506" s="74"/>
      <c r="N506" s="74"/>
      <c r="O506" s="74"/>
      <c r="P506" s="74"/>
      <c r="Q506" s="74"/>
      <c r="R506" s="74"/>
      <c r="S506" s="74"/>
      <c r="T506" s="74"/>
      <c r="U506" s="74"/>
      <c r="V506" s="74"/>
      <c r="W506" s="74"/>
      <c r="X506" s="74"/>
      <c r="Y506" s="74"/>
      <c r="Z506" s="74"/>
    </row>
    <row r="507" spans="1:26" x14ac:dyDescent="0.3">
      <c r="A507" s="66">
        <f t="shared" si="50"/>
        <v>2039.9999999999545</v>
      </c>
      <c r="B507" s="67">
        <f>LOOKUP(A507+0.01,AmountsB!$A$4:$A$103,AmountsB!$B$4:$B$103)*0.1*$A$2</f>
        <v>0</v>
      </c>
      <c r="C507" s="68">
        <f t="shared" si="49"/>
        <v>1538495.7946267016</v>
      </c>
      <c r="D507" s="67">
        <f t="array" ref="D507">SUM($B$7:$B502*$F$1009*EXP(-$F$1009*($A507-$A$7:$A502)))*$F$1010</f>
        <v>106339313.34220871</v>
      </c>
      <c r="E507" s="67">
        <f t="shared" si="47"/>
        <v>202.72651324586485</v>
      </c>
      <c r="F507" s="70">
        <f t="shared" si="51"/>
        <v>12.309553884288915</v>
      </c>
      <c r="G507" s="67">
        <f>E507/'Lookup Tables'!$C$48</f>
        <v>405.4530264917297</v>
      </c>
      <c r="H507" s="70">
        <f t="shared" si="48"/>
        <v>6.9257943852801013E-2</v>
      </c>
      <c r="I507" s="71">
        <f t="shared" si="52"/>
        <v>0.58385235814809078</v>
      </c>
      <c r="L507" s="74"/>
      <c r="M507" s="74"/>
      <c r="N507" s="74"/>
      <c r="O507" s="74"/>
      <c r="P507" s="74"/>
      <c r="Q507" s="74"/>
      <c r="R507" s="74"/>
      <c r="S507" s="74"/>
      <c r="T507" s="74"/>
      <c r="U507" s="74"/>
      <c r="V507" s="74"/>
      <c r="W507" s="74"/>
      <c r="X507" s="74"/>
      <c r="Y507" s="74"/>
      <c r="Z507" s="74"/>
    </row>
    <row r="508" spans="1:26" x14ac:dyDescent="0.3">
      <c r="A508" s="66">
        <f t="shared" si="50"/>
        <v>2040.0999999999544</v>
      </c>
      <c r="B508" s="67">
        <f>LOOKUP(A508+0.01,AmountsB!$A$4:$A$103,AmountsB!$B$4:$B$103)*0.1*$A$2</f>
        <v>0</v>
      </c>
      <c r="C508" s="68">
        <f t="shared" si="49"/>
        <v>1538495.7946267016</v>
      </c>
      <c r="D508" s="67">
        <f t="array" ref="D508">SUM($B$7:$B503*$F$1009*EXP(-$F$1009*($A508-$A$7:$A503)))*$F$1010</f>
        <v>106041979.72617115</v>
      </c>
      <c r="E508" s="67">
        <f t="shared" si="47"/>
        <v>202.15967295551894</v>
      </c>
      <c r="F508" s="70">
        <f t="shared" si="51"/>
        <v>12.27513534185911</v>
      </c>
      <c r="G508" s="67">
        <f>E508/'Lookup Tables'!$C$48</f>
        <v>404.31934591103789</v>
      </c>
      <c r="H508" s="70">
        <f t="shared" si="48"/>
        <v>6.9064292847938746E-2</v>
      </c>
      <c r="I508" s="71">
        <f t="shared" si="52"/>
        <v>0.58221985811189458</v>
      </c>
      <c r="L508" s="74"/>
      <c r="M508" s="74"/>
      <c r="N508" s="74"/>
      <c r="O508" s="74"/>
      <c r="P508" s="74"/>
      <c r="Q508" s="74"/>
      <c r="R508" s="74"/>
      <c r="S508" s="74"/>
      <c r="T508" s="74"/>
      <c r="U508" s="74"/>
      <c r="V508" s="74"/>
      <c r="W508" s="74"/>
      <c r="X508" s="74"/>
      <c r="Y508" s="74"/>
      <c r="Z508" s="74"/>
    </row>
    <row r="509" spans="1:26" x14ac:dyDescent="0.3">
      <c r="A509" s="66">
        <f t="shared" si="50"/>
        <v>2040.1999999999543</v>
      </c>
      <c r="B509" s="67">
        <f>LOOKUP(A509+0.01,AmountsB!$A$4:$A$103,AmountsB!$B$4:$B$103)*0.1*$A$2</f>
        <v>0</v>
      </c>
      <c r="C509" s="68">
        <f t="shared" si="49"/>
        <v>1538495.7946267016</v>
      </c>
      <c r="D509" s="67">
        <f t="array" ref="D509">SUM($B$7:$B504*$F$1009*EXP(-$F$1009*($A509-$A$7:$A504)))*$F$1010</f>
        <v>105745477.47979781</v>
      </c>
      <c r="E509" s="67">
        <f t="shared" si="47"/>
        <v>201.59441759804452</v>
      </c>
      <c r="F509" s="70">
        <f t="shared" si="51"/>
        <v>12.240813036553263</v>
      </c>
      <c r="G509" s="67">
        <f>E509/'Lookup Tables'!$C$48</f>
        <v>403.18883519608903</v>
      </c>
      <c r="H509" s="70">
        <f t="shared" si="48"/>
        <v>6.8871183307486192E-2</v>
      </c>
      <c r="I509" s="71">
        <f t="shared" si="52"/>
        <v>0.58059192268236814</v>
      </c>
      <c r="L509" s="74"/>
      <c r="M509" s="74"/>
      <c r="N509" s="74"/>
      <c r="O509" s="74"/>
      <c r="P509" s="74"/>
      <c r="Q509" s="74"/>
      <c r="R509" s="74"/>
      <c r="S509" s="74"/>
      <c r="T509" s="74"/>
      <c r="U509" s="74"/>
      <c r="V509" s="74"/>
      <c r="W509" s="74"/>
      <c r="X509" s="74"/>
      <c r="Y509" s="74"/>
      <c r="Z509" s="74"/>
    </row>
    <row r="510" spans="1:26" x14ac:dyDescent="0.3">
      <c r="A510" s="66">
        <f t="shared" si="50"/>
        <v>2040.2999999999543</v>
      </c>
      <c r="B510" s="67">
        <f>LOOKUP(A510+0.01,AmountsB!$A$4:$A$103,AmountsB!$B$4:$B$103)*0.1*$A$2</f>
        <v>0</v>
      </c>
      <c r="C510" s="68">
        <f t="shared" si="49"/>
        <v>1538495.7946267016</v>
      </c>
      <c r="D510" s="67">
        <f t="array" ref="D510">SUM($B$7:$B505*$F$1009*EXP(-$F$1009*($A510-$A$7:$A505)))*$F$1010</f>
        <v>105449804.27850959</v>
      </c>
      <c r="E510" s="67">
        <f t="shared" si="47"/>
        <v>201.03074274183675</v>
      </c>
      <c r="F510" s="70">
        <f t="shared" si="51"/>
        <v>12.206586699284328</v>
      </c>
      <c r="G510" s="67">
        <f>E510/'Lookup Tables'!$C$48</f>
        <v>402.06148548367349</v>
      </c>
      <c r="H510" s="70">
        <f t="shared" si="48"/>
        <v>6.8678613717463574E-2</v>
      </c>
      <c r="I510" s="71">
        <f t="shared" si="52"/>
        <v>0.57896853909648993</v>
      </c>
      <c r="L510" s="74"/>
      <c r="M510" s="74"/>
      <c r="N510" s="74"/>
      <c r="O510" s="74"/>
      <c r="P510" s="74"/>
      <c r="Q510" s="74"/>
      <c r="R510" s="74"/>
      <c r="S510" s="74"/>
      <c r="T510" s="74"/>
      <c r="U510" s="74"/>
      <c r="V510" s="74"/>
      <c r="W510" s="74"/>
      <c r="X510" s="74"/>
      <c r="Y510" s="74"/>
      <c r="Z510" s="74"/>
    </row>
    <row r="511" spans="1:26" x14ac:dyDescent="0.3">
      <c r="A511" s="66">
        <f t="shared" si="50"/>
        <v>2040.3999999999542</v>
      </c>
      <c r="B511" s="67">
        <f>LOOKUP(A511+0.01,AmountsB!$A$4:$A$103,AmountsB!$B$4:$B$103)*0.1*$A$2</f>
        <v>0</v>
      </c>
      <c r="C511" s="68">
        <f t="shared" si="49"/>
        <v>1538495.7946267016</v>
      </c>
      <c r="D511" s="67">
        <f t="array" ref="D511">SUM($B$7:$B506*$F$1009*EXP(-$F$1009*($A511-$A$7:$A506)))*$F$1010</f>
        <v>105154957.80422704</v>
      </c>
      <c r="E511" s="67">
        <f t="shared" si="47"/>
        <v>200.46864396768177</v>
      </c>
      <c r="F511" s="70">
        <f t="shared" si="51"/>
        <v>12.172456061717639</v>
      </c>
      <c r="G511" s="67">
        <f>E511/'Lookup Tables'!$C$48</f>
        <v>400.93728793536354</v>
      </c>
      <c r="H511" s="70">
        <f t="shared" si="48"/>
        <v>6.848658256812426E-2</v>
      </c>
      <c r="I511" s="71">
        <f t="shared" si="52"/>
        <v>0.57734969462692354</v>
      </c>
      <c r="L511" s="74"/>
      <c r="M511" s="74"/>
      <c r="N511" s="74"/>
      <c r="O511" s="74"/>
      <c r="P511" s="74"/>
      <c r="Q511" s="74"/>
      <c r="R511" s="74"/>
      <c r="S511" s="74"/>
      <c r="T511" s="74"/>
      <c r="U511" s="74"/>
      <c r="V511" s="74"/>
      <c r="W511" s="74"/>
      <c r="X511" s="74"/>
      <c r="Y511" s="74"/>
      <c r="Z511" s="74"/>
    </row>
    <row r="512" spans="1:26" x14ac:dyDescent="0.3">
      <c r="A512" s="66">
        <f t="shared" si="50"/>
        <v>2040.4999999999541</v>
      </c>
      <c r="B512" s="67">
        <f>LOOKUP(A512+0.01,AmountsB!$A$4:$A$103,AmountsB!$B$4:$B$103)*0.1*$A$2</f>
        <v>0</v>
      </c>
      <c r="C512" s="68">
        <f t="shared" si="49"/>
        <v>1538495.7946267016</v>
      </c>
      <c r="D512" s="67">
        <f t="array" ref="D512">SUM($B$7:$B507*$F$1009*EXP(-$F$1009*($A512-$A$7:$A507)))*$F$1010</f>
        <v>104860935.74535228</v>
      </c>
      <c r="E512" s="67">
        <f t="shared" si="47"/>
        <v>199.90811686872232</v>
      </c>
      <c r="F512" s="70">
        <f t="shared" si="51"/>
        <v>12.138420856268819</v>
      </c>
      <c r="G512" s="67">
        <f>E512/'Lookup Tables'!$C$48</f>
        <v>399.81623373744463</v>
      </c>
      <c r="H512" s="70">
        <f t="shared" si="48"/>
        <v>6.8295088353943087E-2</v>
      </c>
      <c r="I512" s="71">
        <f t="shared" si="52"/>
        <v>0.57573537658192031</v>
      </c>
      <c r="L512" s="74"/>
      <c r="M512" s="74"/>
      <c r="N512" s="74"/>
      <c r="O512" s="74"/>
      <c r="P512" s="74"/>
      <c r="Q512" s="74"/>
      <c r="R512" s="74"/>
      <c r="S512" s="74"/>
      <c r="T512" s="74"/>
      <c r="U512" s="74"/>
      <c r="V512" s="74"/>
      <c r="W512" s="74"/>
      <c r="X512" s="74"/>
      <c r="Y512" s="74"/>
      <c r="Z512" s="74"/>
    </row>
    <row r="513" spans="1:26" x14ac:dyDescent="0.3">
      <c r="A513" s="66">
        <f t="shared" si="50"/>
        <v>2040.599999999954</v>
      </c>
      <c r="B513" s="67">
        <f>LOOKUP(A513+0.01,AmountsB!$A$4:$A$103,AmountsB!$B$4:$B$103)*0.1*$A$2</f>
        <v>0</v>
      </c>
      <c r="C513" s="68">
        <f t="shared" si="49"/>
        <v>1538495.7946267016</v>
      </c>
      <c r="D513" s="67">
        <f t="array" ref="D513">SUM($B$7:$B508*$F$1009*EXP(-$F$1009*($A513-$A$7:$A508)))*$F$1010</f>
        <v>104567735.7967509</v>
      </c>
      <c r="E513" s="67">
        <f t="shared" si="47"/>
        <v>199.34915705042309</v>
      </c>
      <c r="F513" s="70">
        <f t="shared" si="51"/>
        <v>12.10448081610169</v>
      </c>
      <c r="G513" s="67">
        <f>E513/'Lookup Tables'!$C$48</f>
        <v>398.69831410084618</v>
      </c>
      <c r="H513" s="70">
        <f t="shared" si="48"/>
        <v>6.8104129573604427E-2</v>
      </c>
      <c r="I513" s="71">
        <f t="shared" si="52"/>
        <v>0.57412557230521855</v>
      </c>
      <c r="L513" s="74"/>
      <c r="M513" s="74"/>
      <c r="N513" s="74"/>
      <c r="O513" s="74"/>
      <c r="P513" s="74"/>
      <c r="Q513" s="74"/>
      <c r="R513" s="74"/>
      <c r="S513" s="74"/>
      <c r="T513" s="74"/>
      <c r="U513" s="74"/>
      <c r="V513" s="74"/>
      <c r="W513" s="74"/>
      <c r="X513" s="74"/>
      <c r="Y513" s="74"/>
      <c r="Z513" s="74"/>
    </row>
    <row r="514" spans="1:26" x14ac:dyDescent="0.3">
      <c r="A514" s="66">
        <f t="shared" si="50"/>
        <v>2040.6999999999539</v>
      </c>
      <c r="B514" s="67">
        <f>LOOKUP(A514+0.01,AmountsB!$A$4:$A$103,AmountsB!$B$4:$B$103)*0.1*$A$2</f>
        <v>0</v>
      </c>
      <c r="C514" s="68">
        <f t="shared" si="49"/>
        <v>1538495.7946267016</v>
      </c>
      <c r="D514" s="67">
        <f t="array" ref="D514">SUM($B$7:$B509*$F$1009*EXP(-$F$1009*($A514-$A$7:$A509)))*$F$1010</f>
        <v>104275355.65973374</v>
      </c>
      <c r="E514" s="67">
        <f t="shared" si="47"/>
        <v>198.79176013053618</v>
      </c>
      <c r="F514" s="70">
        <f t="shared" si="51"/>
        <v>12.070635675126155</v>
      </c>
      <c r="G514" s="67">
        <f>E514/'Lookup Tables'!$C$48</f>
        <v>397.58352026107235</v>
      </c>
      <c r="H514" s="70">
        <f t="shared" si="48"/>
        <v>6.7913704729990435E-2</v>
      </c>
      <c r="I514" s="71">
        <f t="shared" si="52"/>
        <v>0.57252026917594412</v>
      </c>
      <c r="L514" s="74"/>
      <c r="M514" s="74"/>
      <c r="N514" s="74"/>
      <c r="O514" s="74"/>
      <c r="P514" s="74"/>
      <c r="Q514" s="74"/>
      <c r="R514" s="74"/>
      <c r="S514" s="74"/>
      <c r="T514" s="74"/>
      <c r="U514" s="74"/>
      <c r="V514" s="74"/>
      <c r="W514" s="74"/>
      <c r="X514" s="74"/>
      <c r="Y514" s="74"/>
      <c r="Z514" s="74"/>
    </row>
    <row r="515" spans="1:26" x14ac:dyDescent="0.3">
      <c r="A515" s="66">
        <f t="shared" si="50"/>
        <v>2040.7999999999538</v>
      </c>
      <c r="B515" s="67">
        <f>LOOKUP(A515+0.01,AmountsB!$A$4:$A$103,AmountsB!$B$4:$B$103)*0.1*$A$2</f>
        <v>0</v>
      </c>
      <c r="C515" s="68">
        <f t="shared" si="49"/>
        <v>1538495.7946267016</v>
      </c>
      <c r="D515" s="67">
        <f t="array" ref="D515">SUM($B$7:$B510*$F$1009*EXP(-$F$1009*($A515-$A$7:$A510)))*$F$1010</f>
        <v>103983793.04203907</v>
      </c>
      <c r="E515" s="67">
        <f t="shared" si="47"/>
        <v>198.23592173906692</v>
      </c>
      <c r="F515" s="70">
        <f t="shared" si="51"/>
        <v>12.036885167996143</v>
      </c>
      <c r="G515" s="67">
        <f>E515/'Lookup Tables'!$C$48</f>
        <v>396.47184347813385</v>
      </c>
      <c r="H515" s="70">
        <f t="shared" si="48"/>
        <v>6.77238123301694E-2</v>
      </c>
      <c r="I515" s="71">
        <f t="shared" si="52"/>
        <v>0.57091945460851279</v>
      </c>
      <c r="L515" s="74"/>
      <c r="M515" s="74"/>
      <c r="N515" s="74"/>
      <c r="O515" s="74"/>
      <c r="P515" s="74"/>
      <c r="Q515" s="74"/>
      <c r="R515" s="74"/>
      <c r="S515" s="74"/>
      <c r="T515" s="74"/>
      <c r="U515" s="74"/>
      <c r="V515" s="74"/>
      <c r="W515" s="74"/>
      <c r="X515" s="74"/>
      <c r="Y515" s="74"/>
      <c r="Z515" s="74"/>
    </row>
    <row r="516" spans="1:26" x14ac:dyDescent="0.3">
      <c r="A516" s="66">
        <f t="shared" si="50"/>
        <v>2040.8999999999537</v>
      </c>
      <c r="B516" s="67">
        <f>LOOKUP(A516+0.01,AmountsB!$A$4:$A$103,AmountsB!$B$4:$B$103)*0.1*$A$2</f>
        <v>0</v>
      </c>
      <c r="C516" s="68">
        <f t="shared" si="49"/>
        <v>1538495.7946267016</v>
      </c>
      <c r="D516" s="67">
        <f t="array" ref="D516">SUM($B$7:$B511*$F$1009*EXP(-$F$1009*($A516-$A$7:$A511)))*$F$1010</f>
        <v>103693045.65781446</v>
      </c>
      <c r="E516" s="67">
        <f t="shared" si="47"/>
        <v>197.68163751823948</v>
      </c>
      <c r="F516" s="70">
        <f t="shared" si="51"/>
        <v>12.003229030107502</v>
      </c>
      <c r="G516" s="67">
        <f>E516/'Lookup Tables'!$C$48</f>
        <v>395.36327503647897</v>
      </c>
      <c r="H516" s="70">
        <f t="shared" si="48"/>
        <v>6.7534450885383915E-2</v>
      </c>
      <c r="I516" s="71">
        <f t="shared" si="52"/>
        <v>0.56932311605252972</v>
      </c>
      <c r="L516" s="74"/>
      <c r="M516" s="74"/>
      <c r="N516" s="74"/>
      <c r="O516" s="74"/>
      <c r="P516" s="74"/>
      <c r="Q516" s="74"/>
      <c r="R516" s="74"/>
      <c r="S516" s="74"/>
      <c r="T516" s="74"/>
      <c r="U516" s="74"/>
      <c r="V516" s="74"/>
      <c r="W516" s="74"/>
      <c r="X516" s="74"/>
      <c r="Y516" s="74"/>
      <c r="Z516" s="74"/>
    </row>
    <row r="517" spans="1:26" x14ac:dyDescent="0.3">
      <c r="A517" s="66">
        <f t="shared" si="50"/>
        <v>2040.9999999999536</v>
      </c>
      <c r="B517" s="67">
        <f>LOOKUP(A517+0.01,AmountsB!$A$4:$A$103,AmountsB!$B$4:$B$103)*0.1*$A$2</f>
        <v>0</v>
      </c>
      <c r="C517" s="68">
        <f t="shared" si="49"/>
        <v>1538495.7946267016</v>
      </c>
      <c r="D517" s="67">
        <f t="array" ref="D517">SUM($B$7:$B512*$F$1009*EXP(-$F$1009*($A517-$A$7:$A512)))*$F$1010</f>
        <v>103403111.22759895</v>
      </c>
      <c r="E517" s="67">
        <f t="shared" si="47"/>
        <v>197.12890312246276</v>
      </c>
      <c r="F517" s="70">
        <f t="shared" si="51"/>
        <v>11.969666997595938</v>
      </c>
      <c r="G517" s="67">
        <f>E517/'Lookup Tables'!$C$48</f>
        <v>394.25780624492552</v>
      </c>
      <c r="H517" s="70">
        <f t="shared" si="48"/>
        <v>6.7345618911039296E-2</v>
      </c>
      <c r="I517" s="71">
        <f t="shared" si="52"/>
        <v>0.56773124099269279</v>
      </c>
      <c r="L517" s="74"/>
      <c r="M517" s="74"/>
      <c r="N517" s="74"/>
      <c r="O517" s="74"/>
      <c r="P517" s="74"/>
      <c r="Q517" s="74"/>
      <c r="R517" s="74"/>
      <c r="S517" s="74"/>
      <c r="T517" s="74"/>
      <c r="U517" s="74"/>
      <c r="V517" s="74"/>
      <c r="W517" s="74"/>
      <c r="X517" s="74"/>
      <c r="Y517" s="74"/>
      <c r="Z517" s="74"/>
    </row>
    <row r="518" spans="1:26" x14ac:dyDescent="0.3">
      <c r="A518" s="66">
        <f t="shared" si="50"/>
        <v>2041.0999999999535</v>
      </c>
      <c r="B518" s="67">
        <f>LOOKUP(A518+0.01,AmountsB!$A$4:$A$103,AmountsB!$B$4:$B$103)*0.1*$A$2</f>
        <v>0</v>
      </c>
      <c r="C518" s="68">
        <f t="shared" si="49"/>
        <v>1538495.7946267016</v>
      </c>
      <c r="D518" s="67">
        <f t="array" ref="D518">SUM($B$7:$B513*$F$1009*EXP(-$F$1009*($A518-$A$7:$A513)))*$F$1010</f>
        <v>103113987.47830512</v>
      </c>
      <c r="E518" s="67">
        <f t="shared" si="47"/>
        <v>196.57771421829625</v>
      </c>
      <c r="F518" s="70">
        <f t="shared" si="51"/>
        <v>11.936198807334948</v>
      </c>
      <c r="G518" s="67">
        <f>E518/'Lookup Tables'!$C$48</f>
        <v>393.1554284365925</v>
      </c>
      <c r="H518" s="70">
        <f t="shared" si="48"/>
        <v>6.7157314926691913E-2</v>
      </c>
      <c r="I518" s="71">
        <f t="shared" si="52"/>
        <v>0.5661438169486932</v>
      </c>
      <c r="L518" s="74"/>
      <c r="M518" s="74"/>
      <c r="N518" s="74"/>
      <c r="O518" s="74"/>
      <c r="P518" s="74"/>
      <c r="Q518" s="74"/>
      <c r="R518" s="74"/>
      <c r="S518" s="74"/>
      <c r="T518" s="74"/>
      <c r="U518" s="74"/>
      <c r="V518" s="74"/>
      <c r="W518" s="74"/>
      <c r="X518" s="74"/>
      <c r="Y518" s="74"/>
      <c r="Z518" s="74"/>
    </row>
    <row r="519" spans="1:26" x14ac:dyDescent="0.3">
      <c r="A519" s="66">
        <f t="shared" si="50"/>
        <v>2041.1999999999534</v>
      </c>
      <c r="B519" s="67">
        <f>LOOKUP(A519+0.01,AmountsB!$A$4:$A$103,AmountsB!$B$4:$B$103)*0.1*$A$2</f>
        <v>0</v>
      </c>
      <c r="C519" s="68">
        <f t="shared" si="49"/>
        <v>1538495.7946267016</v>
      </c>
      <c r="D519" s="67">
        <f t="array" ref="D519">SUM($B$7:$B514*$F$1009*EXP(-$F$1009*($A519-$A$7:$A514)))*$F$1010</f>
        <v>102825672.14320126</v>
      </c>
      <c r="E519" s="67">
        <f t="shared" ref="E519:E582" si="53">D519/(365*24*60)*1.00201</f>
        <v>196.02806648441612</v>
      </c>
      <c r="F519" s="70">
        <f t="shared" si="51"/>
        <v>11.902824196933746</v>
      </c>
      <c r="G519" s="67">
        <f>E519/'Lookup Tables'!$C$48</f>
        <v>392.05613296883223</v>
      </c>
      <c r="H519" s="70">
        <f t="shared" ref="H519:H582" si="54">G519*60*24*365/(C519*2000)</f>
        <v>6.6969537456037523E-2</v>
      </c>
      <c r="I519" s="71">
        <f t="shared" si="52"/>
        <v>0.56456083147511837</v>
      </c>
      <c r="L519" s="74"/>
      <c r="M519" s="74"/>
      <c r="N519" s="74"/>
      <c r="O519" s="74"/>
      <c r="P519" s="74"/>
      <c r="Q519" s="74"/>
      <c r="R519" s="74"/>
      <c r="S519" s="74"/>
      <c r="T519" s="74"/>
      <c r="U519" s="74"/>
      <c r="V519" s="74"/>
      <c r="W519" s="74"/>
      <c r="X519" s="74"/>
      <c r="Y519" s="74"/>
      <c r="Z519" s="74"/>
    </row>
    <row r="520" spans="1:26" x14ac:dyDescent="0.3">
      <c r="A520" s="66">
        <f t="shared" si="50"/>
        <v>2041.2999999999533</v>
      </c>
      <c r="B520" s="67">
        <f>LOOKUP(A520+0.01,AmountsB!$A$4:$A$103,AmountsB!$B$4:$B$103)*0.1*$A$2</f>
        <v>0</v>
      </c>
      <c r="C520" s="68">
        <f t="shared" si="49"/>
        <v>1538495.7946267016</v>
      </c>
      <c r="D520" s="67">
        <f t="array" ref="D520">SUM($B$7:$B515*$F$1009*EXP(-$F$1009*($A520-$A$7:$A515)))*$F$1010</f>
        <v>102538162.96189371</v>
      </c>
      <c r="E520" s="67">
        <f t="shared" si="53"/>
        <v>195.47995561158129</v>
      </c>
      <c r="F520" s="70">
        <f t="shared" si="51"/>
        <v>11.869542904735216</v>
      </c>
      <c r="G520" s="67">
        <f>E520/'Lookup Tables'!$C$48</f>
        <v>390.95991122316258</v>
      </c>
      <c r="H520" s="70">
        <f t="shared" si="54"/>
        <v>6.6782285026899826E-2</v>
      </c>
      <c r="I520" s="71">
        <f t="shared" si="52"/>
        <v>0.5629822721613541</v>
      </c>
      <c r="L520" s="74"/>
      <c r="M520" s="74"/>
      <c r="N520" s="74"/>
      <c r="O520" s="74"/>
      <c r="P520" s="74"/>
      <c r="Q520" s="74"/>
      <c r="R520" s="74"/>
      <c r="S520" s="74"/>
      <c r="T520" s="74"/>
      <c r="U520" s="74"/>
      <c r="V520" s="74"/>
      <c r="W520" s="74"/>
      <c r="X520" s="74"/>
      <c r="Y520" s="74"/>
      <c r="Z520" s="74"/>
    </row>
    <row r="521" spans="1:26" x14ac:dyDescent="0.3">
      <c r="A521" s="66">
        <f t="shared" si="50"/>
        <v>2041.3999999999533</v>
      </c>
      <c r="B521" s="67">
        <f>LOOKUP(A521+0.01,AmountsB!$A$4:$A$103,AmountsB!$B$4:$B$103)*0.1*$A$2</f>
        <v>0</v>
      </c>
      <c r="C521" s="68">
        <f t="shared" ref="C521:C584" si="55">C520+B521</f>
        <v>1538495.7946267016</v>
      </c>
      <c r="D521" s="67">
        <f t="array" ref="D521">SUM($B$7:$B516*$F$1009*EXP(-$F$1009*($A521-$A$7:$A516)))*$F$1010</f>
        <v>102251457.68030895</v>
      </c>
      <c r="E521" s="67">
        <f t="shared" si="53"/>
        <v>194.93337730259967</v>
      </c>
      <c r="F521" s="70">
        <f t="shared" si="51"/>
        <v>11.836354669813852</v>
      </c>
      <c r="G521" s="67">
        <f>E521/'Lookup Tables'!$C$48</f>
        <v>389.86675460519933</v>
      </c>
      <c r="H521" s="70">
        <f t="shared" si="54"/>
        <v>6.6595556171218789E-2</v>
      </c>
      <c r="I521" s="71">
        <f t="shared" si="52"/>
        <v>0.56140812663148709</v>
      </c>
      <c r="L521" s="74"/>
      <c r="M521" s="74"/>
      <c r="N521" s="74"/>
      <c r="O521" s="74"/>
      <c r="P521" s="74"/>
      <c r="Q521" s="74"/>
      <c r="R521" s="74"/>
      <c r="S521" s="74"/>
      <c r="T521" s="74"/>
      <c r="U521" s="74"/>
      <c r="V521" s="74"/>
      <c r="W521" s="74"/>
      <c r="X521" s="74"/>
      <c r="Y521" s="74"/>
      <c r="Z521" s="74"/>
    </row>
    <row r="522" spans="1:26" x14ac:dyDescent="0.3">
      <c r="A522" s="66">
        <f t="shared" si="50"/>
        <v>2041.4999999999532</v>
      </c>
      <c r="B522" s="67">
        <f>LOOKUP(A522+0.01,AmountsB!$A$4:$A$103,AmountsB!$B$4:$B$103)*0.1*$A$2</f>
        <v>0</v>
      </c>
      <c r="C522" s="68">
        <f t="shared" si="55"/>
        <v>1538495.7946267016</v>
      </c>
      <c r="D522" s="67">
        <f t="array" ref="D522">SUM($B$7:$B517*$F$1009*EXP(-$F$1009*($A522-$A$7:$A517)))*$F$1010</f>
        <v>101965554.0506762</v>
      </c>
      <c r="E522" s="67">
        <f t="shared" si="53"/>
        <v>194.38832727229465</v>
      </c>
      <c r="F522" s="70">
        <f t="shared" si="51"/>
        <v>11.80325923197373</v>
      </c>
      <c r="G522" s="67">
        <f>E522/'Lookup Tables'!$C$48</f>
        <v>388.77665454458929</v>
      </c>
      <c r="H522" s="70">
        <f t="shared" si="54"/>
        <v>6.640934942503926E-2</v>
      </c>
      <c r="I522" s="71">
        <f t="shared" si="52"/>
        <v>0.55983838254420859</v>
      </c>
      <c r="L522" s="74"/>
      <c r="M522" s="74"/>
      <c r="N522" s="74"/>
      <c r="O522" s="74"/>
      <c r="P522" s="74"/>
      <c r="Q522" s="74"/>
      <c r="R522" s="74"/>
      <c r="S522" s="74"/>
      <c r="T522" s="74"/>
      <c r="U522" s="74"/>
      <c r="V522" s="74"/>
      <c r="W522" s="74"/>
      <c r="X522" s="74"/>
      <c r="Y522" s="74"/>
      <c r="Z522" s="74"/>
    </row>
    <row r="523" spans="1:26" x14ac:dyDescent="0.3">
      <c r="A523" s="66">
        <f t="shared" si="50"/>
        <v>2041.5999999999531</v>
      </c>
      <c r="B523" s="67">
        <f>LOOKUP(A523+0.01,AmountsB!$A$4:$A$103,AmountsB!$B$4:$B$103)*0.1*$A$2</f>
        <v>0</v>
      </c>
      <c r="C523" s="68">
        <f t="shared" si="55"/>
        <v>1538495.7946267016</v>
      </c>
      <c r="D523" s="67">
        <f t="array" ref="D523">SUM($B$7:$B518*$F$1009*EXP(-$F$1009*($A523-$A$7:$A518)))*$F$1010</f>
        <v>101680449.83150943</v>
      </c>
      <c r="E523" s="67">
        <f t="shared" si="53"/>
        <v>193.844801247471</v>
      </c>
      <c r="F523" s="70">
        <f t="shared" si="51"/>
        <v>11.770256331746438</v>
      </c>
      <c r="G523" s="67">
        <f>E523/'Lookup Tables'!$C$48</f>
        <v>387.68960249494199</v>
      </c>
      <c r="H523" s="70">
        <f t="shared" si="54"/>
        <v>6.6223663328499341E-2</v>
      </c>
      <c r="I523" s="71">
        <f t="shared" si="52"/>
        <v>0.55827302759271646</v>
      </c>
      <c r="L523" s="74"/>
      <c r="M523" s="74"/>
      <c r="N523" s="74"/>
      <c r="O523" s="74"/>
      <c r="P523" s="74"/>
      <c r="Q523" s="74"/>
      <c r="R523" s="74"/>
      <c r="S523" s="74"/>
      <c r="T523" s="74"/>
      <c r="U523" s="74"/>
      <c r="V523" s="74"/>
      <c r="W523" s="74"/>
      <c r="X523" s="74"/>
      <c r="Y523" s="74"/>
      <c r="Z523" s="74"/>
    </row>
    <row r="524" spans="1:26" x14ac:dyDescent="0.3">
      <c r="A524" s="66">
        <f t="shared" si="50"/>
        <v>2041.699999999953</v>
      </c>
      <c r="B524" s="67">
        <f>LOOKUP(A524+0.01,AmountsB!$A$4:$A$103,AmountsB!$B$4:$B$103)*0.1*$A$2</f>
        <v>0</v>
      </c>
      <c r="C524" s="68">
        <f t="shared" si="55"/>
        <v>1538495.7946267016</v>
      </c>
      <c r="D524" s="67">
        <f t="array" ref="D524">SUM($B$7:$B519*$F$1009*EXP(-$F$1009*($A524-$A$7:$A519)))*$F$1010</f>
        <v>101396142.78759019</v>
      </c>
      <c r="E524" s="67">
        <f t="shared" si="53"/>
        <v>193.30279496688215</v>
      </c>
      <c r="F524" s="70">
        <f t="shared" si="51"/>
        <v>11.737345710389084</v>
      </c>
      <c r="G524" s="67">
        <f>E524/'Lookup Tables'!$C$48</f>
        <v>386.60558993376429</v>
      </c>
      <c r="H524" s="70">
        <f t="shared" si="54"/>
        <v>6.6038496425819174E-2</v>
      </c>
      <c r="I524" s="71">
        <f t="shared" si="52"/>
        <v>0.55671204950462061</v>
      </c>
      <c r="L524" s="74"/>
      <c r="M524" s="74"/>
      <c r="N524" s="74"/>
      <c r="O524" s="74"/>
      <c r="P524" s="74"/>
      <c r="Q524" s="74"/>
      <c r="R524" s="74"/>
      <c r="S524" s="74"/>
      <c r="T524" s="74"/>
      <c r="U524" s="74"/>
      <c r="V524" s="74"/>
      <c r="W524" s="74"/>
      <c r="X524" s="74"/>
      <c r="Y524" s="74"/>
      <c r="Z524" s="74"/>
    </row>
    <row r="525" spans="1:26" x14ac:dyDescent="0.3">
      <c r="A525" s="66">
        <f t="shared" si="50"/>
        <v>2041.7999999999529</v>
      </c>
      <c r="B525" s="67">
        <f>LOOKUP(A525+0.01,AmountsB!$A$4:$A$103,AmountsB!$B$4:$B$103)*0.1*$A$2</f>
        <v>0</v>
      </c>
      <c r="C525" s="68">
        <f t="shared" si="55"/>
        <v>1538495.7946267016</v>
      </c>
      <c r="D525" s="67">
        <f t="array" ref="D525">SUM($B$7:$B520*$F$1009*EXP(-$F$1009*($A525-$A$7:$A520)))*$F$1010</f>
        <v>101112630.6899498</v>
      </c>
      <c r="E525" s="67">
        <f t="shared" si="53"/>
        <v>192.76230418119596</v>
      </c>
      <c r="F525" s="70">
        <f t="shared" si="51"/>
        <v>11.704527109882219</v>
      </c>
      <c r="G525" s="67">
        <f>E525/'Lookup Tables'!$C$48</f>
        <v>385.52460836239192</v>
      </c>
      <c r="H525" s="70">
        <f t="shared" si="54"/>
        <v>6.5853847265289242E-2</v>
      </c>
      <c r="I525" s="71">
        <f t="shared" si="52"/>
        <v>0.55515543604184447</v>
      </c>
      <c r="L525" s="74"/>
      <c r="M525" s="74"/>
      <c r="N525" s="74"/>
      <c r="O525" s="74"/>
      <c r="P525" s="74"/>
      <c r="Q525" s="74"/>
      <c r="R525" s="74"/>
      <c r="S525" s="74"/>
      <c r="T525" s="74"/>
      <c r="U525" s="74"/>
      <c r="V525" s="74"/>
      <c r="W525" s="74"/>
      <c r="X525" s="74"/>
      <c r="Y525" s="74"/>
      <c r="Z525" s="74"/>
    </row>
    <row r="526" spans="1:26" x14ac:dyDescent="0.3">
      <c r="A526" s="66">
        <f t="shared" si="50"/>
        <v>2041.8999999999528</v>
      </c>
      <c r="B526" s="67">
        <f>LOOKUP(A526+0.01,AmountsB!$A$4:$A$103,AmountsB!$B$4:$B$103)*0.1*$A$2</f>
        <v>0</v>
      </c>
      <c r="C526" s="68">
        <f t="shared" si="55"/>
        <v>1538495.7946267016</v>
      </c>
      <c r="D526" s="67">
        <f t="array" ref="D526">SUM($B$7:$B521*$F$1009*EXP(-$F$1009*($A526-$A$7:$A521)))*$F$1010</f>
        <v>100829911.3158519</v>
      </c>
      <c r="E526" s="67">
        <f t="shared" si="53"/>
        <v>192.22332465296191</v>
      </c>
      <c r="F526" s="70">
        <f t="shared" si="51"/>
        <v>11.671800272927847</v>
      </c>
      <c r="G526" s="67">
        <f>E526/'Lookup Tables'!$C$48</f>
        <v>384.44664930592381</v>
      </c>
      <c r="H526" s="70">
        <f t="shared" si="54"/>
        <v>6.5669714399259171E-2</v>
      </c>
      <c r="I526" s="71">
        <f t="shared" si="52"/>
        <v>0.55360317500053036</v>
      </c>
      <c r="L526" s="74"/>
      <c r="M526" s="74"/>
      <c r="N526" s="74"/>
      <c r="O526" s="74"/>
      <c r="P526" s="74"/>
      <c r="Q526" s="74"/>
      <c r="R526" s="74"/>
      <c r="S526" s="74"/>
      <c r="T526" s="74"/>
      <c r="U526" s="74"/>
      <c r="V526" s="74"/>
      <c r="W526" s="74"/>
      <c r="X526" s="74"/>
      <c r="Y526" s="74"/>
      <c r="Z526" s="74"/>
    </row>
    <row r="527" spans="1:26" x14ac:dyDescent="0.3">
      <c r="A527" s="66">
        <f t="shared" si="50"/>
        <v>2041.9999999999527</v>
      </c>
      <c r="B527" s="67">
        <f>LOOKUP(A527+0.01,AmountsB!$A$4:$A$103,AmountsB!$B$4:$B$103)*0.1*$A$2</f>
        <v>0</v>
      </c>
      <c r="C527" s="68">
        <f t="shared" si="55"/>
        <v>1538495.7946267016</v>
      </c>
      <c r="D527" s="67">
        <f t="array" ref="D527">SUM($B$7:$B522*$F$1009*EXP(-$F$1009*($A527-$A$7:$A522)))*$F$1010</f>
        <v>100547982.44877516</v>
      </c>
      <c r="E527" s="67">
        <f t="shared" si="53"/>
        <v>191.68585215657762</v>
      </c>
      <c r="F527" s="70">
        <f t="shared" si="51"/>
        <v>11.639164942947394</v>
      </c>
      <c r="G527" s="67">
        <f>E527/'Lookup Tables'!$C$48</f>
        <v>383.37170431315525</v>
      </c>
      <c r="H527" s="70">
        <f t="shared" si="54"/>
        <v>6.5486096384126322E-2</v>
      </c>
      <c r="I527" s="71">
        <f t="shared" si="52"/>
        <v>0.55205525421094359</v>
      </c>
      <c r="L527" s="74"/>
      <c r="M527" s="74"/>
      <c r="N527" s="74"/>
      <c r="O527" s="74"/>
      <c r="P527" s="74"/>
      <c r="Q527" s="74"/>
      <c r="R527" s="74"/>
      <c r="S527" s="74"/>
      <c r="T527" s="74"/>
      <c r="U527" s="74"/>
      <c r="V527" s="74"/>
      <c r="W527" s="74"/>
      <c r="X527" s="74"/>
      <c r="Y527" s="74"/>
      <c r="Z527" s="74"/>
    </row>
    <row r="528" spans="1:26" x14ac:dyDescent="0.3">
      <c r="A528" s="66">
        <f t="shared" si="50"/>
        <v>2042.0999999999526</v>
      </c>
      <c r="B528" s="67">
        <f>LOOKUP(A528+0.01,AmountsB!$A$4:$A$103,AmountsB!$B$4:$B$103)*0.1*$A$2</f>
        <v>0</v>
      </c>
      <c r="C528" s="68">
        <f t="shared" si="55"/>
        <v>1538495.7946267016</v>
      </c>
      <c r="D528" s="67">
        <f t="array" ref="D528">SUM($B$7:$B523*$F$1009*EXP(-$F$1009*($A528-$A$7:$A523)))*$F$1010</f>
        <v>100266841.87839586</v>
      </c>
      <c r="E528" s="67">
        <f t="shared" si="53"/>
        <v>191.14988247825616</v>
      </c>
      <c r="F528" s="70">
        <f t="shared" si="51"/>
        <v>11.606620864079714</v>
      </c>
      <c r="G528" s="67">
        <f>E528/'Lookup Tables'!$C$48</f>
        <v>382.29976495651232</v>
      </c>
      <c r="H528" s="70">
        <f t="shared" si="54"/>
        <v>6.5302991780324587E-2</v>
      </c>
      <c r="I528" s="71">
        <f t="shared" si="52"/>
        <v>0.55051166153737774</v>
      </c>
      <c r="L528" s="74"/>
      <c r="M528" s="74"/>
      <c r="N528" s="74"/>
      <c r="O528" s="74"/>
      <c r="P528" s="74"/>
      <c r="Q528" s="74"/>
      <c r="R528" s="74"/>
      <c r="S528" s="74"/>
      <c r="T528" s="74"/>
      <c r="U528" s="74"/>
      <c r="V528" s="74"/>
      <c r="W528" s="74"/>
      <c r="X528" s="74"/>
      <c r="Y528" s="74"/>
      <c r="Z528" s="74"/>
    </row>
    <row r="529" spans="1:26" x14ac:dyDescent="0.3">
      <c r="A529" s="66">
        <f t="shared" si="50"/>
        <v>2042.1999999999525</v>
      </c>
      <c r="B529" s="67">
        <f>LOOKUP(A529+0.01,AmountsB!$A$4:$A$103,AmountsB!$B$4:$B$103)*0.1*$A$2</f>
        <v>0</v>
      </c>
      <c r="C529" s="68">
        <f t="shared" si="55"/>
        <v>1538495.7946267016</v>
      </c>
      <c r="D529" s="67">
        <f t="array" ref="D529">SUM($B$7:$B524*$F$1009*EXP(-$F$1009*($A529-$A$7:$A524)))*$F$1010</f>
        <v>99986487.400570437</v>
      </c>
      <c r="E529" s="67">
        <f t="shared" si="53"/>
        <v>190.61541141599236</v>
      </c>
      <c r="F529" s="70">
        <f t="shared" si="51"/>
        <v>11.574167781179055</v>
      </c>
      <c r="G529" s="67">
        <f>E529/'Lookup Tables'!$C$48</f>
        <v>381.23082283198471</v>
      </c>
      <c r="H529" s="70">
        <f t="shared" si="54"/>
        <v>6.512039915231288E-2</v>
      </c>
      <c r="I529" s="71">
        <f t="shared" si="52"/>
        <v>0.548972384878058</v>
      </c>
      <c r="L529" s="74"/>
      <c r="M529" s="74"/>
      <c r="N529" s="74"/>
      <c r="O529" s="74"/>
      <c r="P529" s="74"/>
      <c r="Q529" s="74"/>
      <c r="R529" s="74"/>
      <c r="S529" s="74"/>
      <c r="T529" s="74"/>
      <c r="U529" s="74"/>
      <c r="V529" s="74"/>
      <c r="W529" s="74"/>
      <c r="X529" s="74"/>
      <c r="Y529" s="74"/>
      <c r="Z529" s="74"/>
    </row>
    <row r="530" spans="1:26" x14ac:dyDescent="0.3">
      <c r="A530" s="66">
        <f t="shared" si="50"/>
        <v>2042.2999999999524</v>
      </c>
      <c r="B530" s="67">
        <f>LOOKUP(A530+0.01,AmountsB!$A$4:$A$103,AmountsB!$B$4:$B$103)*0.1*$A$2</f>
        <v>0</v>
      </c>
      <c r="C530" s="68">
        <f t="shared" si="55"/>
        <v>1538495.7946267016</v>
      </c>
      <c r="D530" s="67">
        <f t="array" ref="D530">SUM($B$7:$B525*$F$1009*EXP(-$F$1009*($A530-$A$7:$A525)))*$F$1010</f>
        <v>99706916.817318425</v>
      </c>
      <c r="E530" s="67">
        <f t="shared" si="53"/>
        <v>190.08243477953053</v>
      </c>
      <c r="F530" s="70">
        <f t="shared" si="51"/>
        <v>11.541805439813094</v>
      </c>
      <c r="G530" s="67">
        <f>E530/'Lookup Tables'!$C$48</f>
        <v>380.16486955906106</v>
      </c>
      <c r="H530" s="70">
        <f t="shared" si="54"/>
        <v>6.4938317068564122E-2</v>
      </c>
      <c r="I530" s="71">
        <f t="shared" si="52"/>
        <v>0.54743741216504793</v>
      </c>
      <c r="L530" s="74"/>
      <c r="M530" s="74"/>
      <c r="N530" s="74"/>
      <c r="O530" s="74"/>
      <c r="P530" s="74"/>
      <c r="Q530" s="74"/>
      <c r="R530" s="74"/>
      <c r="S530" s="74"/>
      <c r="T530" s="74"/>
      <c r="U530" s="74"/>
      <c r="V530" s="74"/>
      <c r="W530" s="74"/>
      <c r="X530" s="74"/>
      <c r="Y530" s="74"/>
      <c r="Z530" s="74"/>
    </row>
    <row r="531" spans="1:26" x14ac:dyDescent="0.3">
      <c r="A531" s="66">
        <f t="shared" ref="A531:A594" si="56">A530+0.1</f>
        <v>2042.3999999999523</v>
      </c>
      <c r="B531" s="67">
        <f>LOOKUP(A531+0.01,AmountsB!$A$4:$A$103,AmountsB!$B$4:$B$103)*0.1*$A$2</f>
        <v>0</v>
      </c>
      <c r="C531" s="68">
        <f t="shared" si="55"/>
        <v>1538495.7946267016</v>
      </c>
      <c r="D531" s="67">
        <f t="array" ref="D531">SUM($B$7:$B526*$F$1009*EXP(-$F$1009*($A531-$A$7:$A526)))*$F$1010</f>
        <v>99428127.936804935</v>
      </c>
      <c r="E531" s="67">
        <f t="shared" si="53"/>
        <v>189.55094839033089</v>
      </c>
      <c r="F531" s="70">
        <f t="shared" ref="F531:F594" si="57">E531*60*1012/1000000</f>
        <v>11.50953358626089</v>
      </c>
      <c r="G531" s="67">
        <f>E531/'Lookup Tables'!$C$48</f>
        <v>379.10189678066178</v>
      </c>
      <c r="H531" s="70">
        <f t="shared" si="54"/>
        <v>6.4756744101553743E-2</v>
      </c>
      <c r="I531" s="71">
        <f t="shared" ref="I531:I594" si="58">G531*60*24/1000000</f>
        <v>0.54590673136415291</v>
      </c>
      <c r="L531" s="74"/>
      <c r="M531" s="74"/>
      <c r="N531" s="74"/>
      <c r="O531" s="74"/>
      <c r="P531" s="74"/>
      <c r="Q531" s="74"/>
      <c r="R531" s="74"/>
      <c r="S531" s="74"/>
      <c r="T531" s="74"/>
      <c r="U531" s="74"/>
      <c r="V531" s="74"/>
      <c r="W531" s="74"/>
      <c r="X531" s="74"/>
      <c r="Y531" s="74"/>
      <c r="Z531" s="74"/>
    </row>
    <row r="532" spans="1:26" x14ac:dyDescent="0.3">
      <c r="A532" s="66">
        <f t="shared" si="56"/>
        <v>2042.4999999999523</v>
      </c>
      <c r="B532" s="67">
        <f>LOOKUP(A532+0.01,AmountsB!$A$4:$A$103,AmountsB!$B$4:$B$103)*0.1*$A$2</f>
        <v>0</v>
      </c>
      <c r="C532" s="68">
        <f t="shared" si="55"/>
        <v>1538495.7946267016</v>
      </c>
      <c r="D532" s="67">
        <f t="array" ref="D532">SUM($B$7:$B527*$F$1009*EXP(-$F$1009*($A532-$A$7:$A527)))*$F$1010</f>
        <v>99150118.573323786</v>
      </c>
      <c r="E532" s="67">
        <f t="shared" si="53"/>
        <v>189.02094808153763</v>
      </c>
      <c r="F532" s="70">
        <f t="shared" si="57"/>
        <v>11.477351967510964</v>
      </c>
      <c r="G532" s="67">
        <f>E532/'Lookup Tables'!$C$48</f>
        <v>378.04189616307525</v>
      </c>
      <c r="H532" s="70">
        <f t="shared" si="54"/>
        <v>6.4575678827748881E-2</v>
      </c>
      <c r="I532" s="71">
        <f t="shared" si="58"/>
        <v>0.54438033047482837</v>
      </c>
      <c r="L532" s="74"/>
      <c r="M532" s="74"/>
      <c r="N532" s="74"/>
      <c r="O532" s="74"/>
      <c r="P532" s="74"/>
      <c r="Q532" s="74"/>
      <c r="R532" s="74"/>
      <c r="S532" s="74"/>
      <c r="T532" s="74"/>
      <c r="U532" s="74"/>
      <c r="V532" s="74"/>
      <c r="W532" s="74"/>
      <c r="X532" s="74"/>
      <c r="Y532" s="74"/>
      <c r="Z532" s="74"/>
    </row>
    <row r="533" spans="1:26" x14ac:dyDescent="0.3">
      <c r="A533" s="66">
        <f t="shared" si="56"/>
        <v>2042.5999999999522</v>
      </c>
      <c r="B533" s="67">
        <f>LOOKUP(A533+0.01,AmountsB!$A$4:$A$103,AmountsB!$B$4:$B$103)*0.1*$A$2</f>
        <v>0</v>
      </c>
      <c r="C533" s="68">
        <f t="shared" si="55"/>
        <v>1538495.7946267016</v>
      </c>
      <c r="D533" s="67">
        <f t="array" ref="D533">SUM($B$7:$B528*$F$1009*EXP(-$F$1009*($A533-$A$7:$A528)))*$F$1010</f>
        <v>98872886.547280103</v>
      </c>
      <c r="E533" s="67">
        <f t="shared" si="53"/>
        <v>188.49242969794548</v>
      </c>
      <c r="F533" s="70">
        <f t="shared" si="57"/>
        <v>11.445260331259249</v>
      </c>
      <c r="G533" s="67">
        <f>E533/'Lookup Tables'!$C$48</f>
        <v>376.98485939589096</v>
      </c>
      <c r="H533" s="70">
        <f t="shared" si="54"/>
        <v>6.4395119827596742E-2</v>
      </c>
      <c r="I533" s="71">
        <f t="shared" si="58"/>
        <v>0.54285819753008291</v>
      </c>
      <c r="L533" s="74"/>
      <c r="M533" s="74"/>
      <c r="N533" s="74"/>
      <c r="O533" s="74"/>
      <c r="P533" s="74"/>
      <c r="Q533" s="74"/>
      <c r="R533" s="74"/>
      <c r="S533" s="74"/>
      <c r="T533" s="74"/>
      <c r="U533" s="74"/>
      <c r="V533" s="74"/>
      <c r="W533" s="74"/>
      <c r="X533" s="74"/>
      <c r="Y533" s="74"/>
      <c r="Z533" s="74"/>
    </row>
    <row r="534" spans="1:26" x14ac:dyDescent="0.3">
      <c r="A534" s="66">
        <f t="shared" si="56"/>
        <v>2042.6999999999521</v>
      </c>
      <c r="B534" s="67">
        <f>LOOKUP(A534+0.01,AmountsB!$A$4:$A$103,AmountsB!$B$4:$B$103)*0.1*$A$2</f>
        <v>0</v>
      </c>
      <c r="C534" s="68">
        <f t="shared" si="55"/>
        <v>1538495.7946267016</v>
      </c>
      <c r="D534" s="67">
        <f t="array" ref="D534">SUM($B$7:$B529*$F$1009*EXP(-$F$1009*($A534-$A$7:$A529)))*$F$1010</f>
        <v>98596429.685173377</v>
      </c>
      <c r="E534" s="67">
        <f t="shared" si="53"/>
        <v>187.96538909596762</v>
      </c>
      <c r="F534" s="70">
        <f t="shared" si="57"/>
        <v>11.413258425907154</v>
      </c>
      <c r="G534" s="67">
        <f>E534/'Lookup Tables'!$C$48</f>
        <v>375.93077819193525</v>
      </c>
      <c r="H534" s="70">
        <f t="shared" si="54"/>
        <v>6.4215065685513925E-2</v>
      </c>
      <c r="I534" s="71">
        <f t="shared" si="58"/>
        <v>0.54134032059638681</v>
      </c>
      <c r="L534" s="74"/>
      <c r="M534" s="74"/>
      <c r="N534" s="74"/>
      <c r="O534" s="74"/>
      <c r="P534" s="74"/>
      <c r="Q534" s="74"/>
      <c r="R534" s="74"/>
      <c r="S534" s="74"/>
      <c r="T534" s="74"/>
      <c r="U534" s="74"/>
      <c r="V534" s="74"/>
      <c r="W534" s="74"/>
      <c r="X534" s="74"/>
      <c r="Y534" s="74"/>
      <c r="Z534" s="74"/>
    </row>
    <row r="535" spans="1:26" x14ac:dyDescent="0.3">
      <c r="A535" s="66">
        <f t="shared" si="56"/>
        <v>2042.799999999952</v>
      </c>
      <c r="B535" s="67">
        <f>LOOKUP(A535+0.01,AmountsB!$A$4:$A$103,AmountsB!$B$4:$B$103)*0.1*$A$2</f>
        <v>0</v>
      </c>
      <c r="C535" s="68">
        <f t="shared" si="55"/>
        <v>1538495.7946267016</v>
      </c>
      <c r="D535" s="67">
        <f t="array" ref="D535">SUM($B$7:$B530*$F$1009*EXP(-$F$1009*($A535-$A$7:$A530)))*$F$1010</f>
        <v>98320745.819580421</v>
      </c>
      <c r="E535" s="67">
        <f t="shared" si="53"/>
        <v>187.4398221436031</v>
      </c>
      <c r="F535" s="70">
        <f t="shared" si="57"/>
        <v>11.38134600055958</v>
      </c>
      <c r="G535" s="67">
        <f>E535/'Lookup Tables'!$C$48</f>
        <v>374.87964428720619</v>
      </c>
      <c r="H535" s="70">
        <f t="shared" si="54"/>
        <v>6.4035514989874989E-2</v>
      </c>
      <c r="I535" s="71">
        <f t="shared" si="58"/>
        <v>0.5398266877735769</v>
      </c>
      <c r="L535" s="74"/>
      <c r="M535" s="74"/>
      <c r="N535" s="74"/>
      <c r="O535" s="74"/>
      <c r="P535" s="74"/>
      <c r="Q535" s="74"/>
      <c r="R535" s="74"/>
      <c r="S535" s="74"/>
      <c r="T535" s="74"/>
      <c r="U535" s="74"/>
      <c r="V535" s="74"/>
      <c r="W535" s="74"/>
      <c r="X535" s="74"/>
      <c r="Y535" s="74"/>
      <c r="Z535" s="74"/>
    </row>
    <row r="536" spans="1:26" x14ac:dyDescent="0.3">
      <c r="A536" s="66">
        <f t="shared" si="56"/>
        <v>2042.8999999999519</v>
      </c>
      <c r="B536" s="67">
        <f>LOOKUP(A536+0.01,AmountsB!$A$4:$A$103,AmountsB!$B$4:$B$103)*0.1*$A$2</f>
        <v>0</v>
      </c>
      <c r="C536" s="68">
        <f t="shared" si="55"/>
        <v>1538495.7946267016</v>
      </c>
      <c r="D536" s="67">
        <f t="array" ref="D536">SUM($B$7:$B531*$F$1009*EXP(-$F$1009*($A536-$A$7:$A531)))*$F$1010</f>
        <v>98045832.789138317</v>
      </c>
      <c r="E536" s="67">
        <f t="shared" si="53"/>
        <v>186.91572472040428</v>
      </c>
      <c r="F536" s="70">
        <f t="shared" si="57"/>
        <v>11.349522805022948</v>
      </c>
      <c r="G536" s="67">
        <f>E536/'Lookup Tables'!$C$48</f>
        <v>373.83144944080857</v>
      </c>
      <c r="H536" s="70">
        <f t="shared" si="54"/>
        <v>6.3856466333001585E-2</v>
      </c>
      <c r="I536" s="71">
        <f t="shared" si="58"/>
        <v>0.53831728719476435</v>
      </c>
      <c r="L536" s="74"/>
      <c r="M536" s="74"/>
      <c r="N536" s="74"/>
      <c r="O536" s="74"/>
      <c r="P536" s="74"/>
      <c r="Q536" s="74"/>
      <c r="R536" s="74"/>
      <c r="S536" s="74"/>
      <c r="T536" s="74"/>
      <c r="U536" s="74"/>
      <c r="V536" s="74"/>
      <c r="W536" s="74"/>
      <c r="X536" s="74"/>
      <c r="Y536" s="74"/>
      <c r="Z536" s="74"/>
    </row>
    <row r="537" spans="1:26" x14ac:dyDescent="0.3">
      <c r="A537" s="66">
        <f t="shared" si="56"/>
        <v>2042.9999999999518</v>
      </c>
      <c r="B537" s="67">
        <f>LOOKUP(A537+0.01,AmountsB!$A$4:$A$103,AmountsB!$B$4:$B$103)*0.1*$A$2</f>
        <v>0</v>
      </c>
      <c r="C537" s="68">
        <f t="shared" si="55"/>
        <v>1538495.7946267016</v>
      </c>
      <c r="D537" s="67">
        <f t="array" ref="D537">SUM($B$7:$B532*$F$1009*EXP(-$F$1009*($A537-$A$7:$A532)))*$F$1010</f>
        <v>97771688.438527435</v>
      </c>
      <c r="E537" s="67">
        <f t="shared" si="53"/>
        <v>186.3930927174446</v>
      </c>
      <c r="F537" s="70">
        <f t="shared" si="57"/>
        <v>11.317788589803236</v>
      </c>
      <c r="G537" s="67">
        <f>E537/'Lookup Tables'!$C$48</f>
        <v>372.78618543488921</v>
      </c>
      <c r="H537" s="70">
        <f t="shared" si="54"/>
        <v>6.3677918311151285E-2</v>
      </c>
      <c r="I537" s="71">
        <f t="shared" si="58"/>
        <v>0.53681210702624049</v>
      </c>
      <c r="L537" s="74"/>
      <c r="M537" s="74"/>
      <c r="N537" s="74"/>
      <c r="O537" s="74"/>
      <c r="P537" s="74"/>
      <c r="Q537" s="74"/>
      <c r="R537" s="74"/>
      <c r="S537" s="74"/>
      <c r="T537" s="74"/>
      <c r="U537" s="74"/>
      <c r="V537" s="74"/>
      <c r="W537" s="74"/>
      <c r="X537" s="74"/>
      <c r="Y537" s="74"/>
      <c r="Z537" s="74"/>
    </row>
    <row r="538" spans="1:26" x14ac:dyDescent="0.3">
      <c r="A538" s="66">
        <f t="shared" si="56"/>
        <v>2043.0999999999517</v>
      </c>
      <c r="B538" s="67">
        <f>LOOKUP(A538+0.01,AmountsB!$A$4:$A$103,AmountsB!$B$4:$B$103)*0.1*$A$2</f>
        <v>0</v>
      </c>
      <c r="C538" s="68">
        <f t="shared" si="55"/>
        <v>1538495.7946267016</v>
      </c>
      <c r="D538" s="67">
        <f t="array" ref="D538">SUM($B$7:$B533*$F$1009*EXP(-$F$1009*($A538-$A$7:$A533)))*$F$1010</f>
        <v>97498310.618454725</v>
      </c>
      <c r="E538" s="67">
        <f t="shared" si="53"/>
        <v>185.87192203728657</v>
      </c>
      <c r="F538" s="70">
        <f t="shared" si="57"/>
        <v>11.28614310610404</v>
      </c>
      <c r="G538" s="67">
        <f>E538/'Lookup Tables'!$C$48</f>
        <v>371.74384407457313</v>
      </c>
      <c r="H538" s="70">
        <f t="shared" si="54"/>
        <v>6.3499869524506716E-2</v>
      </c>
      <c r="I538" s="71">
        <f t="shared" si="58"/>
        <v>0.5353111354673854</v>
      </c>
      <c r="L538" s="74"/>
      <c r="M538" s="74"/>
      <c r="N538" s="74"/>
      <c r="O538" s="74"/>
      <c r="P538" s="74"/>
      <c r="Q538" s="74"/>
      <c r="R538" s="74"/>
      <c r="S538" s="74"/>
      <c r="T538" s="74"/>
      <c r="U538" s="74"/>
      <c r="V538" s="74"/>
      <c r="W538" s="74"/>
      <c r="X538" s="74"/>
      <c r="Y538" s="74"/>
      <c r="Z538" s="74"/>
    </row>
    <row r="539" spans="1:26" x14ac:dyDescent="0.3">
      <c r="A539" s="66">
        <f t="shared" si="56"/>
        <v>2043.1999999999516</v>
      </c>
      <c r="B539" s="67">
        <f>LOOKUP(A539+0.01,AmountsB!$A$4:$A$103,AmountsB!$B$4:$B$103)*0.1*$A$2</f>
        <v>0</v>
      </c>
      <c r="C539" s="68">
        <f t="shared" si="55"/>
        <v>1538495.7946267016</v>
      </c>
      <c r="D539" s="67">
        <f t="array" ref="D539">SUM($B$7:$B534*$F$1009*EXP(-$F$1009*($A539-$A$7:$A534)))*$F$1010</f>
        <v>97225697.185636669</v>
      </c>
      <c r="E539" s="67">
        <f t="shared" si="53"/>
        <v>185.3522085939494</v>
      </c>
      <c r="F539" s="70">
        <f t="shared" si="57"/>
        <v>11.254586105824608</v>
      </c>
      <c r="G539" s="67">
        <f>E539/'Lookup Tables'!$C$48</f>
        <v>370.7044171878988</v>
      </c>
      <c r="H539" s="70">
        <f t="shared" si="54"/>
        <v>6.3322318577164471E-2</v>
      </c>
      <c r="I539" s="71">
        <f t="shared" si="58"/>
        <v>0.53381436075057431</v>
      </c>
      <c r="L539" s="74"/>
      <c r="M539" s="74"/>
      <c r="N539" s="74"/>
      <c r="O539" s="74"/>
      <c r="P539" s="74"/>
      <c r="Q539" s="74"/>
      <c r="R539" s="74"/>
      <c r="S539" s="74"/>
      <c r="T539" s="74"/>
      <c r="U539" s="74"/>
      <c r="V539" s="74"/>
      <c r="W539" s="74"/>
      <c r="X539" s="74"/>
      <c r="Y539" s="74"/>
      <c r="Z539" s="74"/>
    </row>
    <row r="540" spans="1:26" x14ac:dyDescent="0.3">
      <c r="A540" s="66">
        <f t="shared" si="56"/>
        <v>2043.2999999999515</v>
      </c>
      <c r="B540" s="67">
        <f>LOOKUP(A540+0.01,AmountsB!$A$4:$A$103,AmountsB!$B$4:$B$103)*0.1*$A$2</f>
        <v>0</v>
      </c>
      <c r="C540" s="68">
        <f t="shared" si="55"/>
        <v>1538495.7946267016</v>
      </c>
      <c r="D540" s="67">
        <f t="array" ref="D540">SUM($B$7:$B535*$F$1009*EXP(-$F$1009*($A540-$A$7:$A535)))*$F$1010</f>
        <v>96953846.002782553</v>
      </c>
      <c r="E540" s="67">
        <f t="shared" si="53"/>
        <v>184.833948312877</v>
      </c>
      <c r="F540" s="70">
        <f t="shared" si="57"/>
        <v>11.223117341557892</v>
      </c>
      <c r="G540" s="67">
        <f>E540/'Lookup Tables'!$C$48</f>
        <v>369.667896625754</v>
      </c>
      <c r="H540" s="70">
        <f t="shared" si="54"/>
        <v>6.314526407712423E-2</v>
      </c>
      <c r="I540" s="71">
        <f t="shared" si="58"/>
        <v>0.53232177114108581</v>
      </c>
      <c r="L540" s="74"/>
      <c r="M540" s="74"/>
      <c r="N540" s="74"/>
      <c r="O540" s="74"/>
      <c r="P540" s="74"/>
      <c r="Q540" s="74"/>
      <c r="R540" s="74"/>
      <c r="S540" s="74"/>
      <c r="T540" s="74"/>
      <c r="U540" s="74"/>
      <c r="V540" s="74"/>
      <c r="W540" s="74"/>
      <c r="X540" s="74"/>
      <c r="Y540" s="74"/>
      <c r="Z540" s="74"/>
    </row>
    <row r="541" spans="1:26" x14ac:dyDescent="0.3">
      <c r="A541" s="66">
        <f t="shared" si="56"/>
        <v>2043.3999999999514</v>
      </c>
      <c r="B541" s="67">
        <f>LOOKUP(A541+0.01,AmountsB!$A$4:$A$103,AmountsB!$B$4:$B$103)*0.1*$A$2</f>
        <v>0</v>
      </c>
      <c r="C541" s="68">
        <f t="shared" si="55"/>
        <v>1538495.7946267016</v>
      </c>
      <c r="D541" s="67">
        <f t="array" ref="D541">SUM($B$7:$B536*$F$1009*EXP(-$F$1009*($A541-$A$7:$A536)))*$F$1010</f>
        <v>96682754.938577712</v>
      </c>
      <c r="E541" s="67">
        <f t="shared" si="53"/>
        <v>184.3171371309061</v>
      </c>
      <c r="F541" s="70">
        <f t="shared" si="57"/>
        <v>11.191736566588618</v>
      </c>
      <c r="G541" s="67">
        <f>E541/'Lookup Tables'!$C$48</f>
        <v>368.63427426181221</v>
      </c>
      <c r="H541" s="70">
        <f t="shared" si="54"/>
        <v>6.2968704636277767E-2</v>
      </c>
      <c r="I541" s="71">
        <f t="shared" si="58"/>
        <v>0.53083335493700956</v>
      </c>
      <c r="L541" s="74"/>
      <c r="M541" s="74"/>
      <c r="N541" s="74"/>
      <c r="O541" s="74"/>
      <c r="P541" s="74"/>
      <c r="Q541" s="74"/>
      <c r="R541" s="74"/>
      <c r="S541" s="74"/>
      <c r="T541" s="74"/>
      <c r="U541" s="74"/>
      <c r="V541" s="74"/>
      <c r="W541" s="74"/>
      <c r="X541" s="74"/>
      <c r="Y541" s="74"/>
      <c r="Z541" s="74"/>
    </row>
    <row r="542" spans="1:26" x14ac:dyDescent="0.3">
      <c r="A542" s="66">
        <f t="shared" si="56"/>
        <v>2043.4999999999513</v>
      </c>
      <c r="B542" s="67">
        <f>LOOKUP(A542+0.01,AmountsB!$A$4:$A$103,AmountsB!$B$4:$B$103)*0.1*$A$2</f>
        <v>0</v>
      </c>
      <c r="C542" s="68">
        <f t="shared" si="55"/>
        <v>1538495.7946267016</v>
      </c>
      <c r="D542" s="67">
        <f t="array" ref="D542">SUM($B$7:$B537*$F$1009*EXP(-$F$1009*($A542-$A$7:$A537)))*$F$1010</f>
        <v>96412421.867666811</v>
      </c>
      <c r="E542" s="67">
        <f t="shared" si="53"/>
        <v>183.80177099623444</v>
      </c>
      <c r="F542" s="70">
        <f t="shared" si="57"/>
        <v>11.160443534891353</v>
      </c>
      <c r="G542" s="67">
        <f>E542/'Lookup Tables'!$C$48</f>
        <v>367.60354199246888</v>
      </c>
      <c r="H542" s="70">
        <f t="shared" si="54"/>
        <v>6.279263887039821E-2</v>
      </c>
      <c r="I542" s="71">
        <f t="shared" si="58"/>
        <v>0.52934910046915518</v>
      </c>
      <c r="L542" s="74"/>
      <c r="M542" s="74"/>
      <c r="N542" s="74"/>
      <c r="O542" s="74"/>
      <c r="P542" s="74"/>
      <c r="Q542" s="74"/>
      <c r="R542" s="74"/>
      <c r="S542" s="74"/>
      <c r="T542" s="74"/>
      <c r="U542" s="74"/>
      <c r="V542" s="74"/>
      <c r="W542" s="74"/>
      <c r="X542" s="74"/>
      <c r="Y542" s="74"/>
      <c r="Z542" s="74"/>
    </row>
    <row r="543" spans="1:26" x14ac:dyDescent="0.3">
      <c r="A543" s="66">
        <f t="shared" si="56"/>
        <v>2043.5999999999513</v>
      </c>
      <c r="B543" s="67">
        <f>LOOKUP(A543+0.01,AmountsB!$A$4:$A$103,AmountsB!$B$4:$B$103)*0.1*$A$2</f>
        <v>0</v>
      </c>
      <c r="C543" s="68">
        <f t="shared" si="55"/>
        <v>1538495.7946267016</v>
      </c>
      <c r="D543" s="67">
        <f t="array" ref="D543">SUM($B$7:$B538*$F$1009*EXP(-$F$1009*($A543-$A$7:$A538)))*$F$1010</f>
        <v>96142844.670637175</v>
      </c>
      <c r="E543" s="67">
        <f t="shared" si="53"/>
        <v>183.28784586838881</v>
      </c>
      <c r="F543" s="70">
        <f t="shared" si="57"/>
        <v>11.129238001128567</v>
      </c>
      <c r="G543" s="67">
        <f>E543/'Lookup Tables'!$C$48</f>
        <v>366.57569173677763</v>
      </c>
      <c r="H543" s="70">
        <f t="shared" si="54"/>
        <v>6.2617065399129021E-2</v>
      </c>
      <c r="I543" s="71">
        <f t="shared" si="58"/>
        <v>0.52786899610095972</v>
      </c>
      <c r="L543" s="74"/>
      <c r="M543" s="74"/>
      <c r="N543" s="74"/>
      <c r="O543" s="74"/>
      <c r="P543" s="74"/>
      <c r="Q543" s="74"/>
      <c r="R543" s="74"/>
      <c r="S543" s="74"/>
      <c r="T543" s="74"/>
      <c r="U543" s="74"/>
      <c r="V543" s="74"/>
      <c r="W543" s="74"/>
      <c r="X543" s="74"/>
      <c r="Y543" s="74"/>
      <c r="Z543" s="74"/>
    </row>
    <row r="544" spans="1:26" x14ac:dyDescent="0.3">
      <c r="A544" s="66">
        <f t="shared" si="56"/>
        <v>2043.6999999999512</v>
      </c>
      <c r="B544" s="67">
        <f>LOOKUP(A544+0.01,AmountsB!$A$4:$A$103,AmountsB!$B$4:$B$103)*0.1*$A$2</f>
        <v>0</v>
      </c>
      <c r="C544" s="68">
        <f t="shared" si="55"/>
        <v>1538495.7946267016</v>
      </c>
      <c r="D544" s="67">
        <f t="array" ref="D544">SUM($B$7:$B539*$F$1009*EXP(-$F$1009*($A544-$A$7:$A539)))*$F$1010</f>
        <v>95874021.234002218</v>
      </c>
      <c r="E544" s="67">
        <f t="shared" si="53"/>
        <v>182.77535771819362</v>
      </c>
      <c r="F544" s="70">
        <f t="shared" si="57"/>
        <v>11.098119720648715</v>
      </c>
      <c r="G544" s="67">
        <f>E544/'Lookup Tables'!$C$48</f>
        <v>365.55071543638724</v>
      </c>
      <c r="H544" s="70">
        <f t="shared" si="54"/>
        <v>6.2441982845973291E-2</v>
      </c>
      <c r="I544" s="71">
        <f t="shared" si="58"/>
        <v>0.52639303022839756</v>
      </c>
      <c r="L544" s="74"/>
      <c r="M544" s="74"/>
      <c r="N544" s="74"/>
      <c r="O544" s="74"/>
      <c r="P544" s="74"/>
      <c r="Q544" s="74"/>
      <c r="R544" s="74"/>
      <c r="S544" s="74"/>
      <c r="T544" s="74"/>
      <c r="U544" s="74"/>
      <c r="V544" s="74"/>
      <c r="W544" s="74"/>
      <c r="X544" s="74"/>
      <c r="Y544" s="74"/>
      <c r="Z544" s="74"/>
    </row>
    <row r="545" spans="1:26" x14ac:dyDescent="0.3">
      <c r="A545" s="66">
        <f t="shared" si="56"/>
        <v>2043.7999999999511</v>
      </c>
      <c r="B545" s="67">
        <f>LOOKUP(A545+0.01,AmountsB!$A$4:$A$103,AmountsB!$B$4:$B$103)*0.1*$A$2</f>
        <v>0</v>
      </c>
      <c r="C545" s="68">
        <f t="shared" si="55"/>
        <v>1538495.7946267016</v>
      </c>
      <c r="D545" s="67">
        <f t="array" ref="D545">SUM($B$7:$B540*$F$1009*EXP(-$F$1009*($A545-$A$7:$A540)))*$F$1010</f>
        <v>95605949.450184822</v>
      </c>
      <c r="E545" s="67">
        <f t="shared" si="53"/>
        <v>182.26430252773915</v>
      </c>
      <c r="F545" s="70">
        <f t="shared" si="57"/>
        <v>11.06708844948432</v>
      </c>
      <c r="G545" s="67">
        <f>E545/'Lookup Tables'!$C$48</f>
        <v>364.52860505547829</v>
      </c>
      <c r="H545" s="70">
        <f t="shared" si="54"/>
        <v>6.2267389838282922E-2</v>
      </c>
      <c r="I545" s="71">
        <f t="shared" si="58"/>
        <v>0.52492119127988879</v>
      </c>
      <c r="L545" s="74"/>
      <c r="M545" s="74"/>
      <c r="N545" s="74"/>
      <c r="O545" s="74"/>
      <c r="P545" s="74"/>
      <c r="Q545" s="74"/>
      <c r="R545" s="74"/>
      <c r="S545" s="74"/>
      <c r="T545" s="74"/>
      <c r="U545" s="74"/>
      <c r="V545" s="74"/>
      <c r="W545" s="74"/>
      <c r="X545" s="74"/>
      <c r="Y545" s="74"/>
      <c r="Z545" s="74"/>
    </row>
    <row r="546" spans="1:26" x14ac:dyDescent="0.3">
      <c r="A546" s="66">
        <f t="shared" si="56"/>
        <v>2043.899999999951</v>
      </c>
      <c r="B546" s="67">
        <f>LOOKUP(A546+0.01,AmountsB!$A$4:$A$103,AmountsB!$B$4:$B$103)*0.1*$A$2</f>
        <v>0</v>
      </c>
      <c r="C546" s="68">
        <f t="shared" si="55"/>
        <v>1538495.7946267016</v>
      </c>
      <c r="D546" s="67">
        <f t="array" ref="D546">SUM($B$7:$B541*$F$1009*EXP(-$F$1009*($A546-$A$7:$A541)))*$F$1010</f>
        <v>95338627.217500806</v>
      </c>
      <c r="E546" s="67">
        <f t="shared" si="53"/>
        <v>181.75467629035006</v>
      </c>
      <c r="F546" s="70">
        <f t="shared" si="57"/>
        <v>11.036143944350055</v>
      </c>
      <c r="G546" s="67">
        <f>E546/'Lookup Tables'!$C$48</f>
        <v>363.50935258070012</v>
      </c>
      <c r="H546" s="70">
        <f t="shared" si="54"/>
        <v>6.2093285007247818E-2</v>
      </c>
      <c r="I546" s="71">
        <f t="shared" si="58"/>
        <v>0.52345346771620815</v>
      </c>
      <c r="L546" s="74"/>
      <c r="M546" s="74"/>
      <c r="N546" s="74"/>
      <c r="O546" s="74"/>
      <c r="P546" s="74"/>
      <c r="Q546" s="74"/>
      <c r="R546" s="74"/>
      <c r="S546" s="74"/>
      <c r="T546" s="74"/>
      <c r="U546" s="74"/>
      <c r="V546" s="74"/>
      <c r="W546" s="74"/>
      <c r="X546" s="74"/>
      <c r="Y546" s="74"/>
      <c r="Z546" s="74"/>
    </row>
    <row r="547" spans="1:26" x14ac:dyDescent="0.3">
      <c r="A547" s="66">
        <f t="shared" si="56"/>
        <v>2043.9999999999509</v>
      </c>
      <c r="B547" s="67">
        <f>LOOKUP(A547+0.01,AmountsB!$A$4:$A$103,AmountsB!$B$4:$B$103)*0.1*$A$2</f>
        <v>0</v>
      </c>
      <c r="C547" s="68">
        <f t="shared" si="55"/>
        <v>1538495.7946267016</v>
      </c>
      <c r="D547" s="67">
        <f t="array" ref="D547">SUM($B$7:$B542*$F$1009*EXP(-$F$1009*($A547-$A$7:$A542)))*$F$1010</f>
        <v>95072052.440142512</v>
      </c>
      <c r="E547" s="67">
        <f t="shared" si="53"/>
        <v>181.24647501055404</v>
      </c>
      <c r="F547" s="70">
        <f t="shared" si="57"/>
        <v>11.005285962640841</v>
      </c>
      <c r="G547" s="67">
        <f>E547/'Lookup Tables'!$C$48</f>
        <v>362.49295002110807</v>
      </c>
      <c r="H547" s="70">
        <f t="shared" si="54"/>
        <v>6.1919666987885202E-2</v>
      </c>
      <c r="I547" s="71">
        <f t="shared" si="58"/>
        <v>0.52198984803039561</v>
      </c>
      <c r="L547" s="74"/>
      <c r="M547" s="74"/>
      <c r="N547" s="74"/>
      <c r="O547" s="74"/>
      <c r="P547" s="74"/>
      <c r="Q547" s="74"/>
      <c r="R547" s="74"/>
      <c r="S547" s="74"/>
      <c r="T547" s="74"/>
      <c r="U547" s="74"/>
      <c r="V547" s="74"/>
      <c r="W547" s="74"/>
      <c r="X547" s="74"/>
      <c r="Y547" s="74"/>
      <c r="Z547" s="74"/>
    </row>
    <row r="548" spans="1:26" x14ac:dyDescent="0.3">
      <c r="A548" s="66">
        <f t="shared" si="56"/>
        <v>2044.0999999999508</v>
      </c>
      <c r="B548" s="67">
        <f>LOOKUP(A548+0.01,AmountsB!$A$4:$A$103,AmountsB!$B$4:$B$103)*0.1*$A$2</f>
        <v>0</v>
      </c>
      <c r="C548" s="68">
        <f t="shared" si="55"/>
        <v>1538495.7946267016</v>
      </c>
      <c r="D548" s="67">
        <f t="array" ref="D548">SUM($B$7:$B543*$F$1009*EXP(-$F$1009*($A548-$A$7:$A543)))*$F$1010</f>
        <v>94806223.028162286</v>
      </c>
      <c r="E548" s="67">
        <f t="shared" si="53"/>
        <v>180.73969470405041</v>
      </c>
      <c r="F548" s="70">
        <f t="shared" si="57"/>
        <v>10.97451426242994</v>
      </c>
      <c r="G548" s="67">
        <f>E548/'Lookup Tables'!$C$48</f>
        <v>361.47938940810081</v>
      </c>
      <c r="H548" s="70">
        <f t="shared" si="54"/>
        <v>6.1746534419028921E-2</v>
      </c>
      <c r="I548" s="71">
        <f t="shared" si="58"/>
        <v>0.52053032074766514</v>
      </c>
      <c r="L548" s="74"/>
      <c r="M548" s="74"/>
      <c r="N548" s="74"/>
      <c r="O548" s="74"/>
      <c r="P548" s="74"/>
      <c r="Q548" s="74"/>
      <c r="R548" s="74"/>
      <c r="S548" s="74"/>
      <c r="T548" s="74"/>
      <c r="U548" s="74"/>
      <c r="V548" s="74"/>
      <c r="W548" s="74"/>
      <c r="X548" s="74"/>
      <c r="Y548" s="74"/>
      <c r="Z548" s="74"/>
    </row>
    <row r="549" spans="1:26" x14ac:dyDescent="0.3">
      <c r="A549" s="66">
        <f t="shared" si="56"/>
        <v>2044.1999999999507</v>
      </c>
      <c r="B549" s="67">
        <f>LOOKUP(A549+0.01,AmountsB!$A$4:$A$103,AmountsB!$B$4:$B$103)*0.1*$A$2</f>
        <v>0</v>
      </c>
      <c r="C549" s="68">
        <f t="shared" si="55"/>
        <v>1538495.7946267016</v>
      </c>
      <c r="D549" s="67">
        <f t="array" ref="D549">SUM($B$7:$B544*$F$1009*EXP(-$F$1009*($A549-$A$7:$A544)))*$F$1010</f>
        <v>94541136.897456244</v>
      </c>
      <c r="E549" s="67">
        <f t="shared" si="53"/>
        <v>180.23433139767911</v>
      </c>
      <c r="F549" s="70">
        <f t="shared" si="57"/>
        <v>10.943828602467077</v>
      </c>
      <c r="G549" s="67">
        <f>E549/'Lookup Tables'!$C$48</f>
        <v>360.46866279535823</v>
      </c>
      <c r="H549" s="70">
        <f t="shared" si="54"/>
        <v>6.15738859433188E-2</v>
      </c>
      <c r="I549" s="71">
        <f t="shared" si="58"/>
        <v>0.51907487442531586</v>
      </c>
      <c r="L549" s="74"/>
      <c r="M549" s="74"/>
      <c r="N549" s="74"/>
      <c r="O549" s="74"/>
      <c r="P549" s="74"/>
      <c r="Q549" s="74"/>
      <c r="R549" s="74"/>
      <c r="S549" s="74"/>
      <c r="T549" s="74"/>
      <c r="U549" s="74"/>
      <c r="V549" s="74"/>
      <c r="W549" s="74"/>
      <c r="X549" s="74"/>
      <c r="Y549" s="74"/>
      <c r="Z549" s="74"/>
    </row>
    <row r="550" spans="1:26" x14ac:dyDescent="0.3">
      <c r="A550" s="66">
        <f t="shared" si="56"/>
        <v>2044.2999999999506</v>
      </c>
      <c r="B550" s="67">
        <f>LOOKUP(A550+0.01,AmountsB!$A$4:$A$103,AmountsB!$B$4:$B$103)*0.1*$A$2</f>
        <v>0</v>
      </c>
      <c r="C550" s="68">
        <f t="shared" si="55"/>
        <v>1538495.7946267016</v>
      </c>
      <c r="D550" s="67">
        <f t="array" ref="D550">SUM($B$7:$B545*$F$1009*EXP(-$F$1009*($A550-$A$7:$A545)))*$F$1010</f>
        <v>94276791.969747737</v>
      </c>
      <c r="E550" s="67">
        <f t="shared" si="53"/>
        <v>179.73038112938917</v>
      </c>
      <c r="F550" s="70">
        <f t="shared" si="57"/>
        <v>10.913228742176511</v>
      </c>
      <c r="G550" s="67">
        <f>E550/'Lookup Tables'!$C$48</f>
        <v>359.46076225877835</v>
      </c>
      <c r="H550" s="70">
        <f t="shared" si="54"/>
        <v>6.1401720207189849E-2</v>
      </c>
      <c r="I550" s="71">
        <f t="shared" si="58"/>
        <v>0.51762349765264082</v>
      </c>
      <c r="L550" s="74"/>
      <c r="M550" s="74"/>
      <c r="N550" s="74"/>
      <c r="O550" s="74"/>
      <c r="P550" s="74"/>
      <c r="Q550" s="74"/>
      <c r="R550" s="74"/>
      <c r="S550" s="74"/>
      <c r="T550" s="74"/>
      <c r="U550" s="74"/>
      <c r="V550" s="74"/>
      <c r="W550" s="74"/>
      <c r="X550" s="74"/>
      <c r="Y550" s="74"/>
      <c r="Z550" s="74"/>
    </row>
    <row r="551" spans="1:26" x14ac:dyDescent="0.3">
      <c r="A551" s="66">
        <f t="shared" si="56"/>
        <v>2044.3999999999505</v>
      </c>
      <c r="B551" s="67">
        <f>LOOKUP(A551+0.01,AmountsB!$A$4:$A$103,AmountsB!$B$4:$B$103)*0.1*$A$2</f>
        <v>0</v>
      </c>
      <c r="C551" s="68">
        <f t="shared" si="55"/>
        <v>1538495.7946267016</v>
      </c>
      <c r="D551" s="67">
        <f t="array" ref="D551">SUM($B$7:$B546*$F$1009*EXP(-$F$1009*($A551-$A$7:$A546)))*$F$1010</f>
        <v>94013186.172571167</v>
      </c>
      <c r="E551" s="67">
        <f t="shared" si="53"/>
        <v>179.22783994820784</v>
      </c>
      <c r="F551" s="70">
        <f t="shared" si="57"/>
        <v>10.88271444165518</v>
      </c>
      <c r="G551" s="67">
        <f>E551/'Lookup Tables'!$C$48</f>
        <v>358.45567989641569</v>
      </c>
      <c r="H551" s="70">
        <f t="shared" si="54"/>
        <v>6.1230035860861814E-2</v>
      </c>
      <c r="I551" s="71">
        <f t="shared" si="58"/>
        <v>0.51617617905083857</v>
      </c>
      <c r="L551" s="74"/>
      <c r="M551" s="74"/>
      <c r="N551" s="74"/>
      <c r="O551" s="74"/>
      <c r="P551" s="74"/>
      <c r="Q551" s="74"/>
      <c r="R551" s="74"/>
      <c r="S551" s="74"/>
      <c r="T551" s="74"/>
      <c r="U551" s="74"/>
      <c r="V551" s="74"/>
      <c r="W551" s="74"/>
      <c r="X551" s="74"/>
      <c r="Y551" s="74"/>
      <c r="Z551" s="74"/>
    </row>
    <row r="552" spans="1:26" x14ac:dyDescent="0.3">
      <c r="A552" s="66">
        <f t="shared" si="56"/>
        <v>2044.4999999999504</v>
      </c>
      <c r="B552" s="67">
        <f>LOOKUP(A552+0.01,AmountsB!$A$4:$A$103,AmountsB!$B$4:$B$103)*0.1*$A$2</f>
        <v>0</v>
      </c>
      <c r="C552" s="68">
        <f t="shared" si="55"/>
        <v>1538495.7946267016</v>
      </c>
      <c r="D552" s="67">
        <f t="array" ref="D552">SUM($B$7:$B547*$F$1009*EXP(-$F$1009*($A552-$A$7:$A547)))*$F$1010</f>
        <v>93750317.439255729</v>
      </c>
      <c r="E552" s="67">
        <f t="shared" si="53"/>
        <v>178.72670391420974</v>
      </c>
      <c r="F552" s="70">
        <f t="shared" si="57"/>
        <v>10.852285461670814</v>
      </c>
      <c r="G552" s="67">
        <f>E552/'Lookup Tables'!$C$48</f>
        <v>357.45340782841947</v>
      </c>
      <c r="H552" s="70">
        <f t="shared" si="54"/>
        <v>6.1058831558328572E-2</v>
      </c>
      <c r="I552" s="71">
        <f t="shared" si="58"/>
        <v>0.51473290727292398</v>
      </c>
      <c r="L552" s="74"/>
      <c r="M552" s="74"/>
      <c r="N552" s="74"/>
      <c r="O552" s="74"/>
      <c r="P552" s="74"/>
      <c r="Q552" s="74"/>
      <c r="R552" s="74"/>
      <c r="S552" s="74"/>
      <c r="T552" s="74"/>
      <c r="U552" s="74"/>
      <c r="V552" s="74"/>
      <c r="W552" s="74"/>
      <c r="X552" s="74"/>
      <c r="Y552" s="74"/>
      <c r="Z552" s="74"/>
    </row>
    <row r="553" spans="1:26" x14ac:dyDescent="0.3">
      <c r="A553" s="66">
        <f t="shared" si="56"/>
        <v>2044.5999999999503</v>
      </c>
      <c r="B553" s="67">
        <f>LOOKUP(A553+0.01,AmountsB!$A$4:$A$103,AmountsB!$B$4:$B$103)*0.1*$A$2</f>
        <v>0</v>
      </c>
      <c r="C553" s="68">
        <f t="shared" si="55"/>
        <v>1538495.7946267016</v>
      </c>
      <c r="D553" s="67">
        <f t="array" ref="D553">SUM($B$7:$B548*$F$1009*EXP(-$F$1009*($A553-$A$7:$A548)))*$F$1010</f>
        <v>93488183.708909214</v>
      </c>
      <c r="E553" s="67">
        <f t="shared" si="53"/>
        <v>178.2269690984858</v>
      </c>
      <c r="F553" s="70">
        <f t="shared" si="57"/>
        <v>10.821941563660058</v>
      </c>
      <c r="G553" s="67">
        <f>E553/'Lookup Tables'!$C$48</f>
        <v>356.45393819697159</v>
      </c>
      <c r="H553" s="70">
        <f t="shared" si="54"/>
        <v>6.0888105957347498E-2</v>
      </c>
      <c r="I553" s="71">
        <f t="shared" si="58"/>
        <v>0.5132936710036391</v>
      </c>
      <c r="L553" s="74"/>
      <c r="M553" s="74"/>
      <c r="N553" s="74"/>
      <c r="O553" s="74"/>
      <c r="P553" s="74"/>
      <c r="Q553" s="74"/>
      <c r="R553" s="74"/>
      <c r="S553" s="74"/>
      <c r="T553" s="74"/>
      <c r="U553" s="74"/>
      <c r="V553" s="74"/>
      <c r="W553" s="74"/>
      <c r="X553" s="74"/>
      <c r="Y553" s="74"/>
      <c r="Z553" s="74"/>
    </row>
    <row r="554" spans="1:26" x14ac:dyDescent="0.3">
      <c r="A554" s="66">
        <f t="shared" si="56"/>
        <v>2044.6999999999503</v>
      </c>
      <c r="B554" s="67">
        <f>LOOKUP(A554+0.01,AmountsB!$A$4:$A$103,AmountsB!$B$4:$B$103)*0.1*$A$2</f>
        <v>0</v>
      </c>
      <c r="C554" s="68">
        <f t="shared" si="55"/>
        <v>1538495.7946267016</v>
      </c>
      <c r="D554" s="67">
        <f t="array" ref="D554">SUM($B$7:$B549*$F$1009*EXP(-$F$1009*($A554-$A$7:$A549)))*$F$1010</f>
        <v>93226782.926401839</v>
      </c>
      <c r="E554" s="67">
        <f t="shared" si="53"/>
        <v>177.72863158311247</v>
      </c>
      <c r="F554" s="70">
        <f t="shared" si="57"/>
        <v>10.79168250972659</v>
      </c>
      <c r="G554" s="67">
        <f>E554/'Lookup Tables'!$C$48</f>
        <v>355.45726316622495</v>
      </c>
      <c r="H554" s="70">
        <f t="shared" si="54"/>
        <v>6.0717857719428989E-2</v>
      </c>
      <c r="I554" s="71">
        <f t="shared" si="58"/>
        <v>0.51185845895936388</v>
      </c>
      <c r="L554" s="74"/>
      <c r="M554" s="74"/>
      <c r="N554" s="74"/>
      <c r="O554" s="74"/>
      <c r="P554" s="74"/>
      <c r="Q554" s="74"/>
      <c r="R554" s="74"/>
      <c r="S554" s="74"/>
      <c r="T554" s="74"/>
      <c r="U554" s="74"/>
      <c r="V554" s="74"/>
      <c r="W554" s="74"/>
      <c r="X554" s="74"/>
      <c r="Y554" s="74"/>
      <c r="Z554" s="74"/>
    </row>
    <row r="555" spans="1:26" x14ac:dyDescent="0.3">
      <c r="A555" s="66">
        <f t="shared" si="56"/>
        <v>2044.7999999999502</v>
      </c>
      <c r="B555" s="67">
        <f>LOOKUP(A555+0.01,AmountsB!$A$4:$A$103,AmountsB!$B$4:$B$103)*0.1*$A$2</f>
        <v>0</v>
      </c>
      <c r="C555" s="68">
        <f t="shared" si="55"/>
        <v>1538495.7946267016</v>
      </c>
      <c r="D555" s="67">
        <f t="array" ref="D555">SUM($B$7:$B550*$F$1009*EXP(-$F$1009*($A555-$A$7:$A550)))*$F$1010</f>
        <v>92966113.042350128</v>
      </c>
      <c r="E555" s="67">
        <f t="shared" si="53"/>
        <v>177.23168746112111</v>
      </c>
      <c r="F555" s="70">
        <f t="shared" si="57"/>
        <v>10.761508062639274</v>
      </c>
      <c r="G555" s="67">
        <f>E555/'Lookup Tables'!$C$48</f>
        <v>354.46337492224222</v>
      </c>
      <c r="H555" s="70">
        <f t="shared" si="54"/>
        <v>6.0548085509826023E-2</v>
      </c>
      <c r="I555" s="71">
        <f t="shared" si="58"/>
        <v>0.51042725988802884</v>
      </c>
      <c r="L555" s="74"/>
      <c r="M555" s="74"/>
      <c r="N555" s="74"/>
      <c r="O555" s="74"/>
      <c r="P555" s="74"/>
      <c r="Q555" s="74"/>
      <c r="R555" s="74"/>
      <c r="S555" s="74"/>
      <c r="T555" s="74"/>
      <c r="U555" s="74"/>
      <c r="V555" s="74"/>
      <c r="W555" s="74"/>
      <c r="X555" s="74"/>
      <c r="Y555" s="74"/>
      <c r="Z555" s="74"/>
    </row>
    <row r="556" spans="1:26" x14ac:dyDescent="0.3">
      <c r="A556" s="66">
        <f t="shared" si="56"/>
        <v>2044.8999999999501</v>
      </c>
      <c r="B556" s="67">
        <f>LOOKUP(A556+0.01,AmountsB!$A$4:$A$103,AmountsB!$B$4:$B$103)*0.1*$A$2</f>
        <v>0</v>
      </c>
      <c r="C556" s="68">
        <f t="shared" si="55"/>
        <v>1538495.7946267016</v>
      </c>
      <c r="D556" s="67">
        <f t="array" ref="D556">SUM($B$7:$B551*$F$1009*EXP(-$F$1009*($A556-$A$7:$A551)))*$F$1010</f>
        <v>92706172.013100833</v>
      </c>
      <c r="E556" s="67">
        <f t="shared" si="53"/>
        <v>176.73613283646722</v>
      </c>
      <c r="F556" s="70">
        <f t="shared" si="57"/>
        <v>10.731417985830291</v>
      </c>
      <c r="G556" s="67">
        <f>E556/'Lookup Tables'!$C$48</f>
        <v>353.47226567293444</v>
      </c>
      <c r="H556" s="70">
        <f t="shared" si="54"/>
        <v>6.037878799752356E-2</v>
      </c>
      <c r="I556" s="71">
        <f t="shared" si="58"/>
        <v>0.50900006256902552</v>
      </c>
      <c r="L556" s="74"/>
      <c r="M556" s="74"/>
      <c r="N556" s="74"/>
      <c r="O556" s="74"/>
      <c r="P556" s="74"/>
      <c r="Q556" s="74"/>
      <c r="R556" s="74"/>
      <c r="S556" s="74"/>
      <c r="T556" s="74"/>
      <c r="U556" s="74"/>
      <c r="V556" s="74"/>
      <c r="W556" s="74"/>
      <c r="X556" s="74"/>
      <c r="Y556" s="74"/>
      <c r="Z556" s="74"/>
    </row>
    <row r="557" spans="1:26" x14ac:dyDescent="0.3">
      <c r="A557" s="66">
        <f t="shared" si="56"/>
        <v>2044.99999999995</v>
      </c>
      <c r="B557" s="67">
        <f>LOOKUP(A557+0.01,AmountsB!$A$4:$A$103,AmountsB!$B$4:$B$103)*0.1*$A$2</f>
        <v>0</v>
      </c>
      <c r="C557" s="68">
        <f t="shared" si="55"/>
        <v>1538495.7946267016</v>
      </c>
      <c r="D557" s="67">
        <f t="array" ref="D557">SUM($B$7:$B552*$F$1009*EXP(-$F$1009*($A557-$A$7:$A552)))*$F$1010</f>
        <v>92446957.800714999</v>
      </c>
      <c r="E557" s="67">
        <f t="shared" si="53"/>
        <v>176.24196382400007</v>
      </c>
      <c r="F557" s="70">
        <f t="shared" si="57"/>
        <v>10.701412043393285</v>
      </c>
      <c r="G557" s="67">
        <f>E557/'Lookup Tables'!$C$48</f>
        <v>352.48392764800013</v>
      </c>
      <c r="H557" s="70">
        <f t="shared" si="54"/>
        <v>6.0209963855228303E-2</v>
      </c>
      <c r="I557" s="71">
        <f t="shared" si="58"/>
        <v>0.50757685581312029</v>
      </c>
      <c r="L557" s="74"/>
      <c r="M557" s="74"/>
      <c r="N557" s="74"/>
      <c r="O557" s="74"/>
      <c r="P557" s="74"/>
      <c r="Q557" s="74"/>
      <c r="R557" s="74"/>
      <c r="S557" s="74"/>
      <c r="T557" s="74"/>
      <c r="U557" s="74"/>
      <c r="V557" s="74"/>
      <c r="W557" s="74"/>
      <c r="X557" s="74"/>
      <c r="Y557" s="74"/>
      <c r="Z557" s="74"/>
    </row>
    <row r="558" spans="1:26" x14ac:dyDescent="0.3">
      <c r="A558" s="66">
        <f t="shared" si="56"/>
        <v>2045.0999999999499</v>
      </c>
      <c r="B558" s="67">
        <f>LOOKUP(A558+0.01,AmountsB!$A$4:$A$103,AmountsB!$B$4:$B$103)*0.1*$A$2</f>
        <v>0</v>
      </c>
      <c r="C558" s="68">
        <f t="shared" si="55"/>
        <v>1538495.7946267016</v>
      </c>
      <c r="D558" s="67">
        <f t="array" ref="D558">SUM($B$7:$B553*$F$1009*EXP(-$F$1009*($A558-$A$7:$A553)))*$F$1010</f>
        <v>92188468.372951865</v>
      </c>
      <c r="E558" s="67">
        <f t="shared" si="53"/>
        <v>175.74917654943209</v>
      </c>
      <c r="F558" s="70">
        <f t="shared" si="57"/>
        <v>10.671490000081517</v>
      </c>
      <c r="G558" s="67">
        <f>E558/'Lookup Tables'!$C$48</f>
        <v>351.49835309886419</v>
      </c>
      <c r="H558" s="70">
        <f t="shared" si="54"/>
        <v>6.0041611759358071E-2</v>
      </c>
      <c r="I558" s="71">
        <f t="shared" si="58"/>
        <v>0.50615762846236445</v>
      </c>
      <c r="L558" s="74"/>
      <c r="M558" s="74"/>
      <c r="N558" s="74"/>
      <c r="O558" s="74"/>
      <c r="P558" s="74"/>
      <c r="Q558" s="74"/>
      <c r="R558" s="74"/>
      <c r="S558" s="74"/>
      <c r="T558" s="74"/>
      <c r="U558" s="74"/>
      <c r="V558" s="74"/>
      <c r="W558" s="74"/>
      <c r="X558" s="74"/>
      <c r="Y558" s="74"/>
      <c r="Z558" s="74"/>
    </row>
    <row r="559" spans="1:26" x14ac:dyDescent="0.3">
      <c r="A559" s="66">
        <f t="shared" si="56"/>
        <v>2045.1999999999498</v>
      </c>
      <c r="B559" s="67">
        <f>LOOKUP(A559+0.01,AmountsB!$A$4:$A$103,AmountsB!$B$4:$B$103)*0.1*$A$2</f>
        <v>0</v>
      </c>
      <c r="C559" s="68">
        <f t="shared" si="55"/>
        <v>1538495.7946267016</v>
      </c>
      <c r="D559" s="67">
        <f t="array" ref="D559">SUM($B$7:$B554*$F$1009*EXP(-$F$1009*($A559-$A$7:$A554)))*$F$1010</f>
        <v>91930701.703252956</v>
      </c>
      <c r="E559" s="67">
        <f t="shared" si="53"/>
        <v>175.25776714930839</v>
      </c>
      <c r="F559" s="70">
        <f t="shared" si="57"/>
        <v>10.641651621306005</v>
      </c>
      <c r="G559" s="67">
        <f>E559/'Lookup Tables'!$C$48</f>
        <v>350.51553429861679</v>
      </c>
      <c r="H559" s="70">
        <f t="shared" si="54"/>
        <v>5.9873730390031563E-2</v>
      </c>
      <c r="I559" s="71">
        <f t="shared" si="58"/>
        <v>0.50474236939000816</v>
      </c>
      <c r="L559" s="74"/>
      <c r="M559" s="74"/>
      <c r="N559" s="74"/>
      <c r="O559" s="74"/>
      <c r="P559" s="74"/>
      <c r="Q559" s="74"/>
      <c r="R559" s="74"/>
      <c r="S559" s="74"/>
      <c r="T559" s="74"/>
      <c r="U559" s="74"/>
      <c r="V559" s="74"/>
      <c r="W559" s="74"/>
      <c r="X559" s="74"/>
      <c r="Y559" s="74"/>
      <c r="Z559" s="74"/>
    </row>
    <row r="560" spans="1:26" x14ac:dyDescent="0.3">
      <c r="A560" s="66">
        <f t="shared" si="56"/>
        <v>2045.2999999999497</v>
      </c>
      <c r="B560" s="67">
        <f>LOOKUP(A560+0.01,AmountsB!$A$4:$A$103,AmountsB!$B$4:$B$103)*0.1*$A$2</f>
        <v>0</v>
      </c>
      <c r="C560" s="68">
        <f t="shared" si="55"/>
        <v>1538495.7946267016</v>
      </c>
      <c r="D560" s="67">
        <f t="array" ref="D560">SUM($B$7:$B555*$F$1009*EXP(-$F$1009*($A560-$A$7:$A555)))*$F$1010</f>
        <v>91673655.770726234</v>
      </c>
      <c r="E560" s="67">
        <f t="shared" si="53"/>
        <v>174.76773177097678</v>
      </c>
      <c r="F560" s="70">
        <f t="shared" si="57"/>
        <v>10.61189667313371</v>
      </c>
      <c r="G560" s="67">
        <f>E560/'Lookup Tables'!$C$48</f>
        <v>349.53546354195356</v>
      </c>
      <c r="H560" s="70">
        <f t="shared" si="54"/>
        <v>5.9706318431057968E-2</v>
      </c>
      <c r="I560" s="71">
        <f t="shared" si="58"/>
        <v>0.50333106750041312</v>
      </c>
      <c r="L560" s="74"/>
      <c r="M560" s="74"/>
      <c r="N560" s="74"/>
      <c r="O560" s="74"/>
      <c r="P560" s="74"/>
      <c r="Q560" s="74"/>
      <c r="R560" s="74"/>
      <c r="S560" s="74"/>
      <c r="T560" s="74"/>
      <c r="U560" s="74"/>
      <c r="V560" s="74"/>
      <c r="W560" s="74"/>
      <c r="X560" s="74"/>
      <c r="Y560" s="74"/>
      <c r="Z560" s="74"/>
    </row>
    <row r="561" spans="1:26" x14ac:dyDescent="0.3">
      <c r="A561" s="66">
        <f t="shared" si="56"/>
        <v>2045.3999999999496</v>
      </c>
      <c r="B561" s="67">
        <f>LOOKUP(A561+0.01,AmountsB!$A$4:$A$103,AmountsB!$B$4:$B$103)*0.1*$A$2</f>
        <v>0</v>
      </c>
      <c r="C561" s="68">
        <f t="shared" si="55"/>
        <v>1538495.7946267016</v>
      </c>
      <c r="D561" s="67">
        <f t="array" ref="D561">SUM($B$7:$B556*$F$1009*EXP(-$F$1009*($A561-$A$7:$A556)))*$F$1010</f>
        <v>91417328.560130328</v>
      </c>
      <c r="E561" s="67">
        <f t="shared" si="53"/>
        <v>174.27906657255744</v>
      </c>
      <c r="F561" s="70">
        <f t="shared" si="57"/>
        <v>10.582224922285688</v>
      </c>
      <c r="G561" s="67">
        <f>E561/'Lookup Tables'!$C$48</f>
        <v>348.55813314511488</v>
      </c>
      <c r="H561" s="70">
        <f t="shared" si="54"/>
        <v>5.9539374569926688E-2</v>
      </c>
      <c r="I561" s="71">
        <f t="shared" si="58"/>
        <v>0.50192371172896544</v>
      </c>
      <c r="L561" s="74"/>
      <c r="M561" s="74"/>
      <c r="N561" s="74"/>
      <c r="O561" s="74"/>
      <c r="P561" s="74"/>
      <c r="Q561" s="74"/>
      <c r="R561" s="74"/>
      <c r="S561" s="74"/>
      <c r="T561" s="74"/>
      <c r="U561" s="74"/>
      <c r="V561" s="74"/>
      <c r="W561" s="74"/>
      <c r="X561" s="74"/>
      <c r="Y561" s="74"/>
      <c r="Z561" s="74"/>
    </row>
    <row r="562" spans="1:26" x14ac:dyDescent="0.3">
      <c r="A562" s="66">
        <f t="shared" si="56"/>
        <v>2045.4999999999495</v>
      </c>
      <c r="B562" s="67">
        <f>LOOKUP(A562+0.01,AmountsB!$A$4:$A$103,AmountsB!$B$4:$B$103)*0.1*$A$2</f>
        <v>0</v>
      </c>
      <c r="C562" s="68">
        <f t="shared" si="55"/>
        <v>1538495.7946267016</v>
      </c>
      <c r="D562" s="67">
        <f t="array" ref="D562">SUM($B$7:$B557*$F$1009*EXP(-$F$1009*($A562-$A$7:$A557)))*$F$1010</f>
        <v>91161718.061858609</v>
      </c>
      <c r="E562" s="67">
        <f t="shared" si="53"/>
        <v>173.79176772291277</v>
      </c>
      <c r="F562" s="70">
        <f t="shared" si="57"/>
        <v>10.552636136135263</v>
      </c>
      <c r="G562" s="67">
        <f>E562/'Lookup Tables'!$C$48</f>
        <v>347.58353544582553</v>
      </c>
      <c r="H562" s="70">
        <f t="shared" si="54"/>
        <v>5.9372897497797034E-2</v>
      </c>
      <c r="I562" s="71">
        <f t="shared" si="58"/>
        <v>0.50052029104198881</v>
      </c>
      <c r="L562" s="74"/>
      <c r="M562" s="74"/>
      <c r="N562" s="74"/>
      <c r="O562" s="74"/>
      <c r="P562" s="74"/>
      <c r="Q562" s="74"/>
      <c r="R562" s="74"/>
      <c r="S562" s="74"/>
      <c r="T562" s="74"/>
      <c r="U562" s="74"/>
      <c r="V562" s="74"/>
      <c r="W562" s="74"/>
      <c r="X562" s="74"/>
      <c r="Y562" s="74"/>
      <c r="Z562" s="74"/>
    </row>
    <row r="563" spans="1:26" x14ac:dyDescent="0.3">
      <c r="A563" s="66">
        <f t="shared" si="56"/>
        <v>2045.5999999999494</v>
      </c>
      <c r="B563" s="67">
        <f>LOOKUP(A563+0.01,AmountsB!$A$4:$A$103,AmountsB!$B$4:$B$103)*0.1*$A$2</f>
        <v>0</v>
      </c>
      <c r="C563" s="68">
        <f t="shared" si="55"/>
        <v>1538495.7946267016</v>
      </c>
      <c r="D563" s="67">
        <f t="array" ref="D563">SUM($B$7:$B558*$F$1009*EXP(-$F$1009*($A563-$A$7:$A558)))*$F$1010</f>
        <v>90906822.271923423</v>
      </c>
      <c r="E563" s="67">
        <f t="shared" si="53"/>
        <v>173.30583140161718</v>
      </c>
      <c r="F563" s="70">
        <f t="shared" si="57"/>
        <v>10.523130082706196</v>
      </c>
      <c r="G563" s="67">
        <f>E563/'Lookup Tables'!$C$48</f>
        <v>346.61166280323437</v>
      </c>
      <c r="H563" s="70">
        <f t="shared" si="54"/>
        <v>5.9206885909487868E-2</v>
      </c>
      <c r="I563" s="71">
        <f t="shared" si="58"/>
        <v>0.49912079443665752</v>
      </c>
      <c r="L563" s="74"/>
      <c r="M563" s="74"/>
      <c r="N563" s="74"/>
      <c r="O563" s="74"/>
      <c r="P563" s="74"/>
      <c r="Q563" s="74"/>
      <c r="R563" s="74"/>
      <c r="S563" s="74"/>
      <c r="T563" s="74"/>
      <c r="U563" s="74"/>
      <c r="V563" s="74"/>
      <c r="W563" s="74"/>
      <c r="X563" s="74"/>
      <c r="Y563" s="74"/>
      <c r="Z563" s="74"/>
    </row>
    <row r="564" spans="1:26" x14ac:dyDescent="0.3">
      <c r="A564" s="66">
        <f t="shared" si="56"/>
        <v>2045.6999999999493</v>
      </c>
      <c r="B564" s="67">
        <f>LOOKUP(A564+0.01,AmountsB!$A$4:$A$103,AmountsB!$B$4:$B$103)*0.1*$A$2</f>
        <v>0</v>
      </c>
      <c r="C564" s="68">
        <f t="shared" si="55"/>
        <v>1538495.7946267016</v>
      </c>
      <c r="D564" s="67">
        <f t="array" ref="D564">SUM($B$7:$B559*$F$1009*EXP(-$F$1009*($A564-$A$7:$A559)))*$F$1010</f>
        <v>90652639.191940486</v>
      </c>
      <c r="E564" s="67">
        <f t="shared" si="53"/>
        <v>172.8212537989275</v>
      </c>
      <c r="F564" s="70">
        <f t="shared" si="57"/>
        <v>10.493706530670877</v>
      </c>
      <c r="G564" s="67">
        <f>E564/'Lookup Tables'!$C$48</f>
        <v>345.642507597855</v>
      </c>
      <c r="H564" s="70">
        <f t="shared" si="54"/>
        <v>5.9041338503467489E-2</v>
      </c>
      <c r="I564" s="71">
        <f t="shared" si="58"/>
        <v>0.49772521094091121</v>
      </c>
      <c r="L564" s="74"/>
      <c r="M564" s="74"/>
      <c r="N564" s="74"/>
      <c r="O564" s="74"/>
      <c r="P564" s="74"/>
      <c r="Q564" s="74"/>
      <c r="R564" s="74"/>
      <c r="S564" s="74"/>
      <c r="T564" s="74"/>
      <c r="U564" s="74"/>
      <c r="V564" s="74"/>
      <c r="W564" s="74"/>
      <c r="X564" s="74"/>
      <c r="Y564" s="74"/>
      <c r="Z564" s="74"/>
    </row>
    <row r="565" spans="1:26" x14ac:dyDescent="0.3">
      <c r="A565" s="66">
        <f t="shared" si="56"/>
        <v>2045.7999999999493</v>
      </c>
      <c r="B565" s="67">
        <f>LOOKUP(A565+0.01,AmountsB!$A$4:$A$103,AmountsB!$B$4:$B$103)*0.1*$A$2</f>
        <v>0</v>
      </c>
      <c r="C565" s="68">
        <f t="shared" si="55"/>
        <v>1538495.7946267016</v>
      </c>
      <c r="D565" s="67">
        <f t="array" ref="D565">SUM($B$7:$B560*$F$1009*EXP(-$F$1009*($A565-$A$7:$A560)))*$F$1010</f>
        <v>90399166.829113156</v>
      </c>
      <c r="E565" s="67">
        <f t="shared" si="53"/>
        <v>172.33803111575281</v>
      </c>
      <c r="F565" s="70">
        <f t="shared" si="57"/>
        <v>10.464365249348511</v>
      </c>
      <c r="G565" s="67">
        <f>E565/'Lookup Tables'!$C$48</f>
        <v>344.67606223150563</v>
      </c>
      <c r="H565" s="70">
        <f t="shared" si="54"/>
        <v>5.8876253981843402E-2</v>
      </c>
      <c r="I565" s="71">
        <f t="shared" si="58"/>
        <v>0.49633352961336807</v>
      </c>
      <c r="L565" s="74"/>
      <c r="M565" s="74"/>
      <c r="N565" s="74"/>
      <c r="O565" s="74"/>
      <c r="P565" s="74"/>
      <c r="Q565" s="74"/>
      <c r="R565" s="74"/>
      <c r="S565" s="74"/>
      <c r="T565" s="74"/>
      <c r="U565" s="74"/>
      <c r="V565" s="74"/>
      <c r="W565" s="74"/>
      <c r="X565" s="74"/>
      <c r="Y565" s="74"/>
      <c r="Z565" s="74"/>
    </row>
    <row r="566" spans="1:26" x14ac:dyDescent="0.3">
      <c r="A566" s="66">
        <f t="shared" si="56"/>
        <v>2045.8999999999492</v>
      </c>
      <c r="B566" s="67">
        <f>LOOKUP(A566+0.01,AmountsB!$A$4:$A$103,AmountsB!$B$4:$B$103)*0.1*$A$2</f>
        <v>0</v>
      </c>
      <c r="C566" s="68">
        <f t="shared" si="55"/>
        <v>1538495.7946267016</v>
      </c>
      <c r="D566" s="67">
        <f t="array" ref="D566">SUM($B$7:$B561*$F$1009*EXP(-$F$1009*($A566-$A$7:$A561)))*$F$1010</f>
        <v>90146403.196216807</v>
      </c>
      <c r="E566" s="67">
        <f t="shared" si="53"/>
        <v>171.85615956362483</v>
      </c>
      <c r="F566" s="70">
        <f t="shared" si="57"/>
        <v>10.435106008703301</v>
      </c>
      <c r="G566" s="67">
        <f>E566/'Lookup Tables'!$C$48</f>
        <v>343.71231912724966</v>
      </c>
      <c r="H566" s="70">
        <f t="shared" si="54"/>
        <v>5.8711631050352125E-2</v>
      </c>
      <c r="I566" s="71">
        <f t="shared" si="58"/>
        <v>0.4949457395432395</v>
      </c>
      <c r="L566" s="74"/>
      <c r="M566" s="74"/>
      <c r="N566" s="74"/>
      <c r="O566" s="74"/>
      <c r="P566" s="74"/>
      <c r="Q566" s="74"/>
      <c r="R566" s="74"/>
      <c r="S566" s="74"/>
      <c r="T566" s="74"/>
      <c r="U566" s="74"/>
      <c r="V566" s="74"/>
      <c r="W566" s="74"/>
      <c r="X566" s="74"/>
      <c r="Y566" s="74"/>
      <c r="Z566" s="74"/>
    </row>
    <row r="567" spans="1:26" x14ac:dyDescent="0.3">
      <c r="A567" s="66">
        <f t="shared" si="56"/>
        <v>2045.9999999999491</v>
      </c>
      <c r="B567" s="67">
        <f>LOOKUP(A567+0.01,AmountsB!$A$4:$A$103,AmountsB!$B$4:$B$103)*0.1*$A$2</f>
        <v>0</v>
      </c>
      <c r="C567" s="68">
        <f t="shared" si="55"/>
        <v>1538495.7946267016</v>
      </c>
      <c r="D567" s="67">
        <f t="array" ref="D567">SUM($B$7:$B562*$F$1009*EXP(-$F$1009*($A567-$A$7:$A562)))*$F$1010</f>
        <v>89894346.311583236</v>
      </c>
      <c r="E567" s="67">
        <f t="shared" si="53"/>
        <v>171.37563536466803</v>
      </c>
      <c r="F567" s="70">
        <f t="shared" si="57"/>
        <v>10.405928579342643</v>
      </c>
      <c r="G567" s="67">
        <f>E567/'Lookup Tables'!$C$48</f>
        <v>342.75127072933606</v>
      </c>
      <c r="H567" s="70">
        <f t="shared" si="54"/>
        <v>5.8547468418348965E-2</v>
      </c>
      <c r="I567" s="71">
        <f t="shared" si="58"/>
        <v>0.49356182985024388</v>
      </c>
      <c r="L567" s="74"/>
      <c r="M567" s="74"/>
      <c r="N567" s="74"/>
      <c r="O567" s="74"/>
      <c r="P567" s="74"/>
      <c r="Q567" s="74"/>
      <c r="R567" s="74"/>
      <c r="S567" s="74"/>
      <c r="T567" s="74"/>
      <c r="U567" s="74"/>
      <c r="V567" s="74"/>
      <c r="W567" s="74"/>
      <c r="X567" s="74"/>
      <c r="Y567" s="74"/>
      <c r="Z567" s="74"/>
    </row>
    <row r="568" spans="1:26" x14ac:dyDescent="0.3">
      <c r="A568" s="66">
        <f t="shared" si="56"/>
        <v>2046.099999999949</v>
      </c>
      <c r="B568" s="67">
        <f>LOOKUP(A568+0.01,AmountsB!$A$4:$A$103,AmountsB!$B$4:$B$103)*0.1*$A$2</f>
        <v>0</v>
      </c>
      <c r="C568" s="68">
        <f t="shared" si="55"/>
        <v>1538495.7946267016</v>
      </c>
      <c r="D568" s="67">
        <f t="array" ref="D568">SUM($B$7:$B563*$F$1009*EXP(-$F$1009*($A568-$A$7:$A563)))*$F$1010</f>
        <v>89642994.199085236</v>
      </c>
      <c r="E568" s="67">
        <f t="shared" si="53"/>
        <v>170.89645475157039</v>
      </c>
      <c r="F568" s="70">
        <f t="shared" si="57"/>
        <v>10.376832732515355</v>
      </c>
      <c r="G568" s="67">
        <f>E568/'Lookup Tables'!$C$48</f>
        <v>341.79290950314078</v>
      </c>
      <c r="H568" s="70">
        <f t="shared" si="54"/>
        <v>5.838376479879815E-2</v>
      </c>
      <c r="I568" s="71">
        <f t="shared" si="58"/>
        <v>0.49218178968452281</v>
      </c>
      <c r="L568" s="74"/>
      <c r="M568" s="74"/>
      <c r="N568" s="74"/>
      <c r="O568" s="74"/>
      <c r="P568" s="74"/>
      <c r="Q568" s="74"/>
      <c r="R568" s="74"/>
      <c r="S568" s="74"/>
      <c r="T568" s="74"/>
      <c r="U568" s="74"/>
      <c r="V568" s="74"/>
      <c r="W568" s="74"/>
      <c r="X568" s="74"/>
      <c r="Y568" s="74"/>
      <c r="Z568" s="74"/>
    </row>
    <row r="569" spans="1:26" x14ac:dyDescent="0.3">
      <c r="A569" s="66">
        <f t="shared" si="56"/>
        <v>2046.1999999999489</v>
      </c>
      <c r="B569" s="67">
        <f>LOOKUP(A569+0.01,AmountsB!$A$4:$A$103,AmountsB!$B$4:$B$103)*0.1*$A$2</f>
        <v>0</v>
      </c>
      <c r="C569" s="68">
        <f t="shared" si="55"/>
        <v>1538495.7946267016</v>
      </c>
      <c r="D569" s="67">
        <f t="array" ref="D569">SUM($B$7:$B564*$F$1009*EXP(-$F$1009*($A569-$A$7:$A564)))*$F$1010</f>
        <v>89392344.888120919</v>
      </c>
      <c r="E569" s="67">
        <f t="shared" si="53"/>
        <v>170.41861396755337</v>
      </c>
      <c r="F569" s="70">
        <f t="shared" si="57"/>
        <v>10.34781824010984</v>
      </c>
      <c r="G569" s="67">
        <f>E569/'Lookup Tables'!$C$48</f>
        <v>340.83722793510674</v>
      </c>
      <c r="H569" s="70">
        <f t="shared" si="54"/>
        <v>5.8220518908262381E-2</v>
      </c>
      <c r="I569" s="71">
        <f t="shared" si="58"/>
        <v>0.49080560822655367</v>
      </c>
      <c r="L569" s="74"/>
      <c r="M569" s="74"/>
      <c r="N569" s="74"/>
      <c r="O569" s="74"/>
      <c r="P569" s="74"/>
      <c r="Q569" s="74"/>
      <c r="R569" s="74"/>
      <c r="S569" s="74"/>
      <c r="T569" s="74"/>
      <c r="U569" s="74"/>
      <c r="V569" s="74"/>
      <c r="W569" s="74"/>
      <c r="X569" s="74"/>
      <c r="Y569" s="74"/>
      <c r="Z569" s="74"/>
    </row>
    <row r="570" spans="1:26" x14ac:dyDescent="0.3">
      <c r="A570" s="66">
        <f t="shared" si="56"/>
        <v>2046.2999999999488</v>
      </c>
      <c r="B570" s="67">
        <f>LOOKUP(A570+0.01,AmountsB!$A$4:$A$103,AmountsB!$B$4:$B$103)*0.1*$A$2</f>
        <v>0</v>
      </c>
      <c r="C570" s="68">
        <f t="shared" si="55"/>
        <v>1538495.7946267016</v>
      </c>
      <c r="D570" s="67">
        <f t="array" ref="D570">SUM($B$7:$B565*$F$1009*EXP(-$F$1009*($A570-$A$7:$A565)))*$F$1010</f>
        <v>89142396.413598388</v>
      </c>
      <c r="E570" s="67">
        <f t="shared" si="53"/>
        <v>169.9421092663427</v>
      </c>
      <c r="F570" s="70">
        <f t="shared" si="57"/>
        <v>10.318884874652328</v>
      </c>
      <c r="G570" s="67">
        <f>E570/'Lookup Tables'!$C$48</f>
        <v>339.8842185326854</v>
      </c>
      <c r="H570" s="70">
        <f t="shared" si="54"/>
        <v>5.8057729466893061E-2</v>
      </c>
      <c r="I570" s="71">
        <f t="shared" si="58"/>
        <v>0.48943327468706693</v>
      </c>
      <c r="L570" s="74"/>
      <c r="M570" s="74"/>
      <c r="N570" s="74"/>
      <c r="O570" s="74"/>
      <c r="P570" s="74"/>
      <c r="Q570" s="74"/>
      <c r="R570" s="74"/>
      <c r="S570" s="74"/>
      <c r="T570" s="74"/>
      <c r="U570" s="74"/>
      <c r="V570" s="74"/>
      <c r="W570" s="74"/>
      <c r="X570" s="74"/>
      <c r="Y570" s="74"/>
      <c r="Z570" s="74"/>
    </row>
    <row r="571" spans="1:26" x14ac:dyDescent="0.3">
      <c r="A571" s="66">
        <f t="shared" si="56"/>
        <v>2046.3999999999487</v>
      </c>
      <c r="B571" s="67">
        <f>LOOKUP(A571+0.01,AmountsB!$A$4:$A$103,AmountsB!$B$4:$B$103)*0.1*$A$2</f>
        <v>0</v>
      </c>
      <c r="C571" s="68">
        <f t="shared" si="55"/>
        <v>1538495.7946267016</v>
      </c>
      <c r="D571" s="67">
        <f t="array" ref="D571">SUM($B$7:$B566*$F$1009*EXP(-$F$1009*($A571-$A$7:$A566)))*$F$1010</f>
        <v>88893146.815920353</v>
      </c>
      <c r="E571" s="67">
        <f t="shared" si="53"/>
        <v>169.4669369121392</v>
      </c>
      <c r="F571" s="70">
        <f t="shared" si="57"/>
        <v>10.290032409305091</v>
      </c>
      <c r="G571" s="67">
        <f>E571/'Lookup Tables'!$C$48</f>
        <v>338.93387382427841</v>
      </c>
      <c r="H571" s="70">
        <f t="shared" si="54"/>
        <v>5.7895395198420171E-2</v>
      </c>
      <c r="I571" s="71">
        <f t="shared" si="58"/>
        <v>0.48806477830696088</v>
      </c>
      <c r="L571" s="74"/>
      <c r="M571" s="74"/>
      <c r="N571" s="74"/>
      <c r="O571" s="74"/>
      <c r="P571" s="74"/>
      <c r="Q571" s="74"/>
      <c r="R571" s="74"/>
      <c r="S571" s="74"/>
      <c r="T571" s="74"/>
      <c r="U571" s="74"/>
      <c r="V571" s="74"/>
      <c r="W571" s="74"/>
      <c r="X571" s="74"/>
      <c r="Y571" s="74"/>
      <c r="Z571" s="74"/>
    </row>
    <row r="572" spans="1:26" x14ac:dyDescent="0.3">
      <c r="A572" s="66">
        <f t="shared" si="56"/>
        <v>2046.4999999999486</v>
      </c>
      <c r="B572" s="67">
        <f>LOOKUP(A572+0.01,AmountsB!$A$4:$A$103,AmountsB!$B$4:$B$103)*0.1*$A$2</f>
        <v>0</v>
      </c>
      <c r="C572" s="68">
        <f t="shared" si="55"/>
        <v>1538495.7946267016</v>
      </c>
      <c r="D572" s="67">
        <f t="array" ref="D572">SUM($B$7:$B567*$F$1009*EXP(-$F$1009*($A572-$A$7:$A567)))*$F$1010</f>
        <v>88644594.14096868</v>
      </c>
      <c r="E572" s="67">
        <f t="shared" si="53"/>
        <v>168.9930931795891</v>
      </c>
      <c r="F572" s="70">
        <f t="shared" si="57"/>
        <v>10.261260617864652</v>
      </c>
      <c r="G572" s="67">
        <f>E572/'Lookup Tables'!$C$48</f>
        <v>337.98618635917819</v>
      </c>
      <c r="H572" s="70">
        <f t="shared" si="54"/>
        <v>5.773351483014217E-2</v>
      </c>
      <c r="I572" s="71">
        <f t="shared" si="58"/>
        <v>0.48670010835721667</v>
      </c>
      <c r="L572" s="74"/>
      <c r="M572" s="74"/>
      <c r="N572" s="74"/>
      <c r="O572" s="74"/>
      <c r="P572" s="74"/>
      <c r="Q572" s="74"/>
      <c r="R572" s="74"/>
      <c r="S572" s="74"/>
      <c r="T572" s="74"/>
      <c r="U572" s="74"/>
      <c r="V572" s="74"/>
      <c r="W572" s="74"/>
      <c r="X572" s="74"/>
      <c r="Y572" s="74"/>
      <c r="Z572" s="74"/>
    </row>
    <row r="573" spans="1:26" x14ac:dyDescent="0.3">
      <c r="A573" s="66">
        <f t="shared" si="56"/>
        <v>2046.5999999999485</v>
      </c>
      <c r="B573" s="67">
        <f>LOOKUP(A573+0.01,AmountsB!$A$4:$A$103,AmountsB!$B$4:$B$103)*0.1*$A$2</f>
        <v>0</v>
      </c>
      <c r="C573" s="68">
        <f t="shared" si="55"/>
        <v>1538495.7946267016</v>
      </c>
      <c r="D573" s="67">
        <f t="array" ref="D573">SUM($B$7:$B568*$F$1009*EXP(-$F$1009*($A573-$A$7:$A568)))*$F$1010</f>
        <v>88396736.440089121</v>
      </c>
      <c r="E573" s="67">
        <f t="shared" si="53"/>
        <v>168.52057435375514</v>
      </c>
      <c r="F573" s="70">
        <f t="shared" si="57"/>
        <v>10.232569274760012</v>
      </c>
      <c r="G573" s="67">
        <f>E573/'Lookup Tables'!$C$48</f>
        <v>337.04114870751027</v>
      </c>
      <c r="H573" s="70">
        <f t="shared" si="54"/>
        <v>5.7572087092916141E-2</v>
      </c>
      <c r="I573" s="71">
        <f t="shared" si="58"/>
        <v>0.48533925413881474</v>
      </c>
      <c r="L573" s="74"/>
      <c r="M573" s="74"/>
      <c r="N573" s="74"/>
      <c r="O573" s="74"/>
      <c r="P573" s="74"/>
      <c r="Q573" s="74"/>
      <c r="R573" s="74"/>
      <c r="S573" s="74"/>
      <c r="T573" s="74"/>
      <c r="U573" s="74"/>
      <c r="V573" s="74"/>
      <c r="W573" s="74"/>
      <c r="X573" s="74"/>
      <c r="Y573" s="74"/>
      <c r="Z573" s="74"/>
    </row>
    <row r="574" spans="1:26" x14ac:dyDescent="0.3">
      <c r="A574" s="66">
        <f t="shared" si="56"/>
        <v>2046.6999999999484</v>
      </c>
      <c r="B574" s="67">
        <f>LOOKUP(A574+0.01,AmountsB!$A$4:$A$103,AmountsB!$B$4:$B$103)*0.1*$A$2</f>
        <v>0</v>
      </c>
      <c r="C574" s="68">
        <f t="shared" si="55"/>
        <v>1538495.7946267016</v>
      </c>
      <c r="D574" s="67">
        <f t="array" ref="D574">SUM($B$7:$B569*$F$1009*EXP(-$F$1009*($A574-$A$7:$A569)))*$F$1010</f>
        <v>88149571.770076022</v>
      </c>
      <c r="E574" s="67">
        <f t="shared" si="53"/>
        <v>168.04937673008729</v>
      </c>
      <c r="F574" s="70">
        <f t="shared" si="57"/>
        <v>10.2039581550509</v>
      </c>
      <c r="G574" s="67">
        <f>E574/'Lookup Tables'!$C$48</f>
        <v>336.09875346017458</v>
      </c>
      <c r="H574" s="70">
        <f t="shared" si="54"/>
        <v>5.7411110721147837E-2</v>
      </c>
      <c r="I574" s="71">
        <f t="shared" si="58"/>
        <v>0.48398220498265138</v>
      </c>
      <c r="L574" s="74"/>
      <c r="M574" s="74"/>
      <c r="N574" s="74"/>
      <c r="O574" s="74"/>
      <c r="P574" s="74"/>
      <c r="Q574" s="74"/>
      <c r="R574" s="74"/>
      <c r="S574" s="74"/>
      <c r="T574" s="74"/>
      <c r="U574" s="74"/>
      <c r="V574" s="74"/>
      <c r="W574" s="74"/>
      <c r="X574" s="74"/>
      <c r="Y574" s="74"/>
      <c r="Z574" s="74"/>
    </row>
    <row r="575" spans="1:26" x14ac:dyDescent="0.3">
      <c r="A575" s="66">
        <f t="shared" si="56"/>
        <v>2046.7999999999483</v>
      </c>
      <c r="B575" s="67">
        <f>LOOKUP(A575+0.01,AmountsB!$A$4:$A$103,AmountsB!$B$4:$B$103)*0.1*$A$2</f>
        <v>0</v>
      </c>
      <c r="C575" s="68">
        <f t="shared" si="55"/>
        <v>1538495.7946267016</v>
      </c>
      <c r="D575" s="67">
        <f t="array" ref="D575">SUM($B$7:$B570*$F$1009*EXP(-$F$1009*($A575-$A$7:$A570)))*$F$1010</f>
        <v>87903098.193157092</v>
      </c>
      <c r="E575" s="67">
        <f t="shared" si="53"/>
        <v>167.57949661439372</v>
      </c>
      <c r="F575" s="70">
        <f t="shared" si="57"/>
        <v>10.175427034425987</v>
      </c>
      <c r="G575" s="67">
        <f>E575/'Lookup Tables'!$C$48</f>
        <v>335.15899322878744</v>
      </c>
      <c r="H575" s="70">
        <f t="shared" si="54"/>
        <v>5.7250584452781618E-2</v>
      </c>
      <c r="I575" s="71">
        <f t="shared" si="58"/>
        <v>0.48262895024945396</v>
      </c>
      <c r="L575" s="74"/>
      <c r="M575" s="74"/>
      <c r="N575" s="74"/>
      <c r="O575" s="74"/>
      <c r="P575" s="74"/>
      <c r="Q575" s="74"/>
      <c r="R575" s="74"/>
      <c r="S575" s="74"/>
      <c r="T575" s="74"/>
      <c r="U575" s="74"/>
      <c r="V575" s="74"/>
      <c r="W575" s="74"/>
      <c r="X575" s="74"/>
      <c r="Y575" s="74"/>
      <c r="Z575" s="74"/>
    </row>
    <row r="576" spans="1:26" x14ac:dyDescent="0.3">
      <c r="A576" s="66">
        <f t="shared" si="56"/>
        <v>2046.8999999999482</v>
      </c>
      <c r="B576" s="67">
        <f>LOOKUP(A576+0.01,AmountsB!$A$4:$A$103,AmountsB!$B$4:$B$103)*0.1*$A$2</f>
        <v>0</v>
      </c>
      <c r="C576" s="68">
        <f t="shared" si="55"/>
        <v>1538495.7946267016</v>
      </c>
      <c r="D576" s="67">
        <f t="array" ref="D576">SUM($B$7:$B571*$F$1009*EXP(-$F$1009*($A576-$A$7:$A571)))*$F$1010</f>
        <v>87657313.776978269</v>
      </c>
      <c r="E576" s="67">
        <f t="shared" si="53"/>
        <v>167.11093032281204</v>
      </c>
      <c r="F576" s="70">
        <f t="shared" si="57"/>
        <v>10.146975689201147</v>
      </c>
      <c r="G576" s="67">
        <f>E576/'Lookup Tables'!$C$48</f>
        <v>334.22186064562408</v>
      </c>
      <c r="H576" s="70">
        <f t="shared" si="54"/>
        <v>5.709050702929077E-2</v>
      </c>
      <c r="I576" s="71">
        <f t="shared" si="58"/>
        <v>0.48127947932969861</v>
      </c>
      <c r="L576" s="74"/>
      <c r="M576" s="74"/>
      <c r="N576" s="74"/>
      <c r="O576" s="74"/>
      <c r="P576" s="74"/>
      <c r="Q576" s="74"/>
      <c r="R576" s="74"/>
      <c r="S576" s="74"/>
      <c r="T576" s="74"/>
      <c r="U576" s="74"/>
      <c r="V576" s="74"/>
      <c r="W576" s="74"/>
      <c r="X576" s="74"/>
      <c r="Y576" s="74"/>
      <c r="Z576" s="74"/>
    </row>
    <row r="577" spans="1:26" x14ac:dyDescent="0.3">
      <c r="A577" s="66">
        <f t="shared" si="56"/>
        <v>2046.9999999999482</v>
      </c>
      <c r="B577" s="67">
        <f>LOOKUP(A577+0.01,AmountsB!$A$4:$A$103,AmountsB!$B$4:$B$103)*0.1*$A$2</f>
        <v>0</v>
      </c>
      <c r="C577" s="68">
        <f t="shared" si="55"/>
        <v>1538495.7946267016</v>
      </c>
      <c r="D577" s="67">
        <f t="array" ref="D577">SUM($B$7:$B572*$F$1009*EXP(-$F$1009*($A577-$A$7:$A572)))*$F$1010</f>
        <v>87412216.594588444</v>
      </c>
      <c r="E577" s="67">
        <f t="shared" si="53"/>
        <v>166.64367418178</v>
      </c>
      <c r="F577" s="70">
        <f t="shared" si="57"/>
        <v>10.118603896317682</v>
      </c>
      <c r="G577" s="67">
        <f>E577/'Lookup Tables'!$C$48</f>
        <v>333.28734836356</v>
      </c>
      <c r="H577" s="70">
        <f t="shared" si="54"/>
        <v>5.6930877195667452E-2</v>
      </c>
      <c r="I577" s="71">
        <f t="shared" si="58"/>
        <v>0.4799337816435264</v>
      </c>
      <c r="L577" s="74"/>
      <c r="M577" s="74"/>
      <c r="N577" s="74"/>
      <c r="O577" s="74"/>
      <c r="P577" s="74"/>
      <c r="Q577" s="74"/>
      <c r="R577" s="74"/>
      <c r="S577" s="74"/>
      <c r="T577" s="74"/>
      <c r="U577" s="74"/>
      <c r="V577" s="74"/>
      <c r="W577" s="74"/>
      <c r="X577" s="74"/>
      <c r="Y577" s="74"/>
      <c r="Z577" s="74"/>
    </row>
    <row r="578" spans="1:26" x14ac:dyDescent="0.3">
      <c r="A578" s="66">
        <f t="shared" si="56"/>
        <v>2047.0999999999481</v>
      </c>
      <c r="B578" s="67">
        <f>LOOKUP(A578+0.01,AmountsB!$A$4:$A$103,AmountsB!$B$4:$B$103)*0.1*$A$2</f>
        <v>0</v>
      </c>
      <c r="C578" s="68">
        <f t="shared" si="55"/>
        <v>1538495.7946267016</v>
      </c>
      <c r="D578" s="67">
        <f t="array" ref="D578">SUM($B$7:$B573*$F$1009*EXP(-$F$1009*($A578-$A$7:$A573)))*$F$1010</f>
        <v>87167804.724424437</v>
      </c>
      <c r="E578" s="67">
        <f t="shared" si="53"/>
        <v>166.1777245280071</v>
      </c>
      <c r="F578" s="70">
        <f t="shared" si="57"/>
        <v>10.09031143334059</v>
      </c>
      <c r="G578" s="67">
        <f>E578/'Lookup Tables'!$C$48</f>
        <v>332.35544905601421</v>
      </c>
      <c r="H578" s="70">
        <f t="shared" si="54"/>
        <v>5.6771693700412948E-2</v>
      </c>
      <c r="I578" s="71">
        <f t="shared" si="58"/>
        <v>0.4785918466406604</v>
      </c>
      <c r="L578" s="74"/>
      <c r="M578" s="74"/>
      <c r="N578" s="74"/>
      <c r="O578" s="74"/>
      <c r="P578" s="74"/>
      <c r="Q578" s="74"/>
      <c r="R578" s="74"/>
      <c r="S578" s="74"/>
      <c r="T578" s="74"/>
      <c r="U578" s="74"/>
      <c r="V578" s="74"/>
      <c r="W578" s="74"/>
      <c r="X578" s="74"/>
      <c r="Y578" s="74"/>
      <c r="Z578" s="74"/>
    </row>
    <row r="579" spans="1:26" x14ac:dyDescent="0.3">
      <c r="A579" s="66">
        <f t="shared" si="56"/>
        <v>2047.199999999948</v>
      </c>
      <c r="B579" s="67">
        <f>LOOKUP(A579+0.01,AmountsB!$A$4:$A$103,AmountsB!$B$4:$B$103)*0.1*$A$2</f>
        <v>0</v>
      </c>
      <c r="C579" s="68">
        <f t="shared" si="55"/>
        <v>1538495.7946267016</v>
      </c>
      <c r="D579" s="67">
        <f t="array" ref="D579">SUM($B$7:$B574*$F$1009*EXP(-$F$1009*($A579-$A$7:$A574)))*$F$1010</f>
        <v>86924076.250295967</v>
      </c>
      <c r="E579" s="67">
        <f t="shared" si="53"/>
        <v>165.7130777084457</v>
      </c>
      <c r="F579" s="70">
        <f t="shared" si="57"/>
        <v>10.062098078456822</v>
      </c>
      <c r="G579" s="67">
        <f>E579/'Lookup Tables'!$C$48</f>
        <v>331.42615541689139</v>
      </c>
      <c r="H579" s="70">
        <f t="shared" si="54"/>
        <v>5.6612955295527852E-2</v>
      </c>
      <c r="I579" s="71">
        <f t="shared" si="58"/>
        <v>0.47725366380032364</v>
      </c>
      <c r="L579" s="74"/>
      <c r="M579" s="74"/>
      <c r="N579" s="74"/>
      <c r="O579" s="74"/>
      <c r="P579" s="74"/>
      <c r="Q579" s="74"/>
      <c r="R579" s="74"/>
      <c r="S579" s="74"/>
      <c r="T579" s="74"/>
      <c r="U579" s="74"/>
      <c r="V579" s="74"/>
      <c r="W579" s="74"/>
      <c r="X579" s="74"/>
      <c r="Y579" s="74"/>
      <c r="Z579" s="74"/>
    </row>
    <row r="580" spans="1:26" x14ac:dyDescent="0.3">
      <c r="A580" s="66">
        <f t="shared" si="56"/>
        <v>2047.2999999999479</v>
      </c>
      <c r="B580" s="67">
        <f>LOOKUP(A580+0.01,AmountsB!$A$4:$A$103,AmountsB!$B$4:$B$103)*0.1*$A$2</f>
        <v>0</v>
      </c>
      <c r="C580" s="68">
        <f t="shared" si="55"/>
        <v>1538495.7946267016</v>
      </c>
      <c r="D580" s="67">
        <f t="array" ref="D580">SUM($B$7:$B575*$F$1009*EXP(-$F$1009*($A580-$A$7:$A575)))*$F$1010</f>
        <v>86681029.261370555</v>
      </c>
      <c r="E580" s="67">
        <f t="shared" si="53"/>
        <v>165.2497300802624</v>
      </c>
      <c r="F580" s="70">
        <f t="shared" si="57"/>
        <v>10.033963610473533</v>
      </c>
      <c r="G580" s="67">
        <f>E580/'Lookup Tables'!$C$48</f>
        <v>330.49946016052479</v>
      </c>
      <c r="H580" s="70">
        <f t="shared" si="54"/>
        <v>5.6454660736502273E-2</v>
      </c>
      <c r="I580" s="71">
        <f t="shared" si="58"/>
        <v>0.47591922263115571</v>
      </c>
      <c r="L580" s="74"/>
      <c r="M580" s="74"/>
      <c r="N580" s="74"/>
      <c r="O580" s="74"/>
      <c r="P580" s="74"/>
      <c r="Q580" s="74"/>
      <c r="R580" s="74"/>
      <c r="S580" s="74"/>
      <c r="T580" s="74"/>
      <c r="U580" s="74"/>
      <c r="V580" s="74"/>
      <c r="W580" s="74"/>
      <c r="X580" s="74"/>
      <c r="Y580" s="74"/>
      <c r="Z580" s="74"/>
    </row>
    <row r="581" spans="1:26" x14ac:dyDescent="0.3">
      <c r="A581" s="66">
        <f t="shared" si="56"/>
        <v>2047.3999999999478</v>
      </c>
      <c r="B581" s="67">
        <f>LOOKUP(A581+0.01,AmountsB!$A$4:$A$103,AmountsB!$B$4:$B$103)*0.1*$A$2</f>
        <v>0</v>
      </c>
      <c r="C581" s="68">
        <f t="shared" si="55"/>
        <v>1538495.7946267016</v>
      </c>
      <c r="D581" s="67">
        <f t="array" ref="D581">SUM($B$7:$B576*$F$1009*EXP(-$F$1009*($A581-$A$7:$A576)))*$F$1010</f>
        <v>86438661.852158502</v>
      </c>
      <c r="E581" s="67">
        <f t="shared" si="53"/>
        <v>164.78767801080926</v>
      </c>
      <c r="F581" s="70">
        <f t="shared" si="57"/>
        <v>10.005907808816341</v>
      </c>
      <c r="G581" s="67">
        <f>E581/'Lookup Tables'!$C$48</f>
        <v>329.57535602161852</v>
      </c>
      <c r="H581" s="70">
        <f t="shared" si="54"/>
        <v>5.6296808782306008E-2</v>
      </c>
      <c r="I581" s="71">
        <f t="shared" si="58"/>
        <v>0.47458851267113072</v>
      </c>
      <c r="L581" s="74"/>
      <c r="M581" s="74"/>
      <c r="N581" s="74"/>
      <c r="O581" s="74"/>
      <c r="P581" s="74"/>
      <c r="Q581" s="74"/>
      <c r="R581" s="74"/>
      <c r="S581" s="74"/>
      <c r="T581" s="74"/>
      <c r="U581" s="74"/>
      <c r="V581" s="74"/>
      <c r="W581" s="74"/>
      <c r="X581" s="74"/>
      <c r="Y581" s="74"/>
      <c r="Z581" s="74"/>
    </row>
    <row r="582" spans="1:26" x14ac:dyDescent="0.3">
      <c r="A582" s="66">
        <f t="shared" si="56"/>
        <v>2047.4999999999477</v>
      </c>
      <c r="B582" s="67">
        <f>LOOKUP(A582+0.01,AmountsB!$A$4:$A$103,AmountsB!$B$4:$B$103)*0.1*$A$2</f>
        <v>0</v>
      </c>
      <c r="C582" s="68">
        <f t="shared" si="55"/>
        <v>1538495.7946267016</v>
      </c>
      <c r="D582" s="67">
        <f t="array" ref="D582">SUM($B$7:$B577*$F$1009*EXP(-$F$1009*($A582-$A$7:$A577)))*$F$1010</f>
        <v>86196972.12249814</v>
      </c>
      <c r="E582" s="67">
        <f t="shared" si="53"/>
        <v>164.32691787759583</v>
      </c>
      <c r="F582" s="70">
        <f t="shared" si="57"/>
        <v>9.9779304535276179</v>
      </c>
      <c r="G582" s="67">
        <f>E582/'Lookup Tables'!$C$48</f>
        <v>328.65383575519166</v>
      </c>
      <c r="H582" s="70">
        <f t="shared" si="54"/>
        <v>5.6139398195378956E-2</v>
      </c>
      <c r="I582" s="71">
        <f t="shared" si="58"/>
        <v>0.47326152348747597</v>
      </c>
      <c r="L582" s="74"/>
      <c r="M582" s="74"/>
      <c r="N582" s="74"/>
      <c r="O582" s="74"/>
      <c r="P582" s="74"/>
      <c r="Q582" s="74"/>
      <c r="R582" s="74"/>
      <c r="S582" s="74"/>
      <c r="T582" s="74"/>
      <c r="U582" s="74"/>
      <c r="V582" s="74"/>
      <c r="W582" s="74"/>
      <c r="X582" s="74"/>
      <c r="Y582" s="74"/>
      <c r="Z582" s="74"/>
    </row>
    <row r="583" spans="1:26" x14ac:dyDescent="0.3">
      <c r="A583" s="66">
        <f t="shared" si="56"/>
        <v>2047.5999999999476</v>
      </c>
      <c r="B583" s="67">
        <f>LOOKUP(A583+0.01,AmountsB!$A$4:$A$103,AmountsB!$B$4:$B$103)*0.1*$A$2</f>
        <v>0</v>
      </c>
      <c r="C583" s="68">
        <f t="shared" si="55"/>
        <v>1538495.7946267016</v>
      </c>
      <c r="D583" s="67">
        <f t="array" ref="D583">SUM($B$7:$B578*$F$1009*EXP(-$F$1009*($A583-$A$7:$A578)))*$F$1010</f>
        <v>85955958.17754072</v>
      </c>
      <c r="E583" s="67">
        <f t="shared" ref="E583:E646" si="59">D583/(365*24*60)*1.00201</f>
        <v>163.86744606826022</v>
      </c>
      <c r="F583" s="70">
        <f t="shared" si="57"/>
        <v>9.9500313252647619</v>
      </c>
      <c r="G583" s="67">
        <f>E583/'Lookup Tables'!$C$48</f>
        <v>327.73489213652044</v>
      </c>
      <c r="H583" s="70">
        <f t="shared" ref="H583:H646" si="60">G583*60*24*365/(C583*2000)</f>
        <v>5.5982427741621307E-2</v>
      </c>
      <c r="I583" s="71">
        <f t="shared" si="58"/>
        <v>0.47193824467658951</v>
      </c>
      <c r="L583" s="74"/>
      <c r="M583" s="74"/>
      <c r="N583" s="74"/>
      <c r="O583" s="74"/>
      <c r="P583" s="74"/>
      <c r="Q583" s="74"/>
      <c r="R583" s="74"/>
      <c r="S583" s="74"/>
      <c r="T583" s="74"/>
      <c r="U583" s="74"/>
      <c r="V583" s="74"/>
      <c r="W583" s="74"/>
      <c r="X583" s="74"/>
      <c r="Y583" s="74"/>
      <c r="Z583" s="74"/>
    </row>
    <row r="584" spans="1:26" x14ac:dyDescent="0.3">
      <c r="A584" s="66">
        <f t="shared" si="56"/>
        <v>2047.6999999999475</v>
      </c>
      <c r="B584" s="67">
        <f>LOOKUP(A584+0.01,AmountsB!$A$4:$A$103,AmountsB!$B$4:$B$103)*0.1*$A$2</f>
        <v>0</v>
      </c>
      <c r="C584" s="68">
        <f t="shared" si="55"/>
        <v>1538495.7946267016</v>
      </c>
      <c r="D584" s="67">
        <f t="array" ref="D584">SUM($B$7:$B579*$F$1009*EXP(-$F$1009*($A584-$A$7:$A579)))*$F$1010</f>
        <v>85715618.127735674</v>
      </c>
      <c r="E584" s="67">
        <f t="shared" si="59"/>
        <v>163.40925898054113</v>
      </c>
      <c r="F584" s="70">
        <f t="shared" si="57"/>
        <v>9.9222102052984571</v>
      </c>
      <c r="G584" s="67">
        <f>E584/'Lookup Tables'!$C$48</f>
        <v>326.81851796108225</v>
      </c>
      <c r="H584" s="70">
        <f t="shared" si="60"/>
        <v>5.5825896190383889E-2</v>
      </c>
      <c r="I584" s="71">
        <f t="shared" si="58"/>
        <v>0.47061866586395845</v>
      </c>
      <c r="L584" s="74"/>
      <c r="M584" s="74"/>
      <c r="N584" s="74"/>
      <c r="O584" s="74"/>
      <c r="P584" s="74"/>
      <c r="Q584" s="74"/>
      <c r="R584" s="74"/>
      <c r="S584" s="74"/>
      <c r="T584" s="74"/>
      <c r="U584" s="74"/>
      <c r="V584" s="74"/>
      <c r="W584" s="74"/>
      <c r="X584" s="74"/>
      <c r="Y584" s="74"/>
      <c r="Z584" s="74"/>
    </row>
    <row r="585" spans="1:26" x14ac:dyDescent="0.3">
      <c r="A585" s="66">
        <f t="shared" si="56"/>
        <v>2047.7999999999474</v>
      </c>
      <c r="B585" s="67">
        <f>LOOKUP(A585+0.01,AmountsB!$A$4:$A$103,AmountsB!$B$4:$B$103)*0.1*$A$2</f>
        <v>0</v>
      </c>
      <c r="C585" s="68">
        <f t="shared" ref="C585:C648" si="61">C584+B585</f>
        <v>1538495.7946267016</v>
      </c>
      <c r="D585" s="67">
        <f t="array" ref="D585">SUM($B$7:$B580*$F$1009*EXP(-$F$1009*($A585-$A$7:$A580)))*$F$1010</f>
        <v>85475950.088815793</v>
      </c>
      <c r="E585" s="67">
        <f t="shared" si="59"/>
        <v>162.95235302224947</v>
      </c>
      <c r="F585" s="70">
        <f t="shared" si="57"/>
        <v>9.8944668755109877</v>
      </c>
      <c r="G585" s="67">
        <f>E585/'Lookup Tables'!$C$48</f>
        <v>325.90470604449894</v>
      </c>
      <c r="H585" s="70">
        <f t="shared" si="60"/>
        <v>5.5669802314458561E-2</v>
      </c>
      <c r="I585" s="71">
        <f t="shared" si="58"/>
        <v>0.46930277670407844</v>
      </c>
      <c r="L585" s="74"/>
      <c r="M585" s="74"/>
      <c r="N585" s="74"/>
      <c r="O585" s="74"/>
      <c r="P585" s="74"/>
      <c r="Q585" s="74"/>
      <c r="R585" s="74"/>
      <c r="S585" s="74"/>
      <c r="T585" s="74"/>
      <c r="U585" s="74"/>
      <c r="V585" s="74"/>
      <c r="W585" s="74"/>
      <c r="X585" s="74"/>
      <c r="Y585" s="74"/>
      <c r="Z585" s="74"/>
    </row>
    <row r="586" spans="1:26" x14ac:dyDescent="0.3">
      <c r="A586" s="66">
        <f t="shared" si="56"/>
        <v>2047.8999999999473</v>
      </c>
      <c r="B586" s="67">
        <f>LOOKUP(A586+0.01,AmountsB!$A$4:$A$103,AmountsB!$B$4:$B$103)*0.1*$A$2</f>
        <v>0</v>
      </c>
      <c r="C586" s="68">
        <f t="shared" si="61"/>
        <v>1538495.7946267016</v>
      </c>
      <c r="D586" s="67">
        <f t="array" ref="D586">SUM($B$7:$B581*$F$1009*EXP(-$F$1009*($A586-$A$7:$A581)))*$F$1010</f>
        <v>85236952.181782439</v>
      </c>
      <c r="E586" s="67">
        <f t="shared" si="59"/>
        <v>162.49672461124015</v>
      </c>
      <c r="F586" s="70">
        <f t="shared" si="57"/>
        <v>9.8668011183945019</v>
      </c>
      <c r="G586" s="67">
        <f>E586/'Lookup Tables'!$C$48</f>
        <v>324.99344922248031</v>
      </c>
      <c r="H586" s="70">
        <f t="shared" si="60"/>
        <v>5.5514144890068527E-2</v>
      </c>
      <c r="I586" s="71">
        <f t="shared" si="58"/>
        <v>0.46799056688037166</v>
      </c>
      <c r="L586" s="74"/>
      <c r="M586" s="74"/>
      <c r="N586" s="74"/>
      <c r="O586" s="74"/>
      <c r="P586" s="74"/>
      <c r="Q586" s="74"/>
      <c r="R586" s="74"/>
      <c r="S586" s="74"/>
      <c r="T586" s="74"/>
      <c r="U586" s="74"/>
      <c r="V586" s="74"/>
      <c r="W586" s="74"/>
      <c r="X586" s="74"/>
      <c r="Y586" s="74"/>
      <c r="Z586" s="74"/>
    </row>
    <row r="587" spans="1:26" x14ac:dyDescent="0.3">
      <c r="A587" s="66">
        <f t="shared" si="56"/>
        <v>2047.9999999999472</v>
      </c>
      <c r="B587" s="67">
        <f>LOOKUP(A587+0.01,AmountsB!$A$4:$A$103,AmountsB!$B$4:$B$103)*0.1*$A$2</f>
        <v>0</v>
      </c>
      <c r="C587" s="68">
        <f t="shared" si="61"/>
        <v>1538495.7946267016</v>
      </c>
      <c r="D587" s="67">
        <f t="array" ref="D587">SUM($B$7:$B582*$F$1009*EXP(-$F$1009*($A587-$A$7:$A582)))*$F$1010</f>
        <v>84998622.532890812</v>
      </c>
      <c r="E587" s="67">
        <f t="shared" si="59"/>
        <v>162.04237017538421</v>
      </c>
      <c r="F587" s="70">
        <f t="shared" si="57"/>
        <v>9.8392127170493282</v>
      </c>
      <c r="G587" s="67">
        <f>E587/'Lookup Tables'!$C$48</f>
        <v>324.08474035076841</v>
      </c>
      <c r="H587" s="70">
        <f t="shared" si="60"/>
        <v>5.5358922696858798E-2</v>
      </c>
      <c r="I587" s="71">
        <f t="shared" si="58"/>
        <v>0.46668202610510645</v>
      </c>
      <c r="L587" s="74"/>
      <c r="M587" s="74"/>
      <c r="N587" s="74"/>
      <c r="O587" s="74"/>
      <c r="P587" s="74"/>
      <c r="Q587" s="74"/>
      <c r="R587" s="74"/>
      <c r="S587" s="74"/>
      <c r="T587" s="74"/>
      <c r="U587" s="74"/>
      <c r="V587" s="74"/>
      <c r="W587" s="74"/>
      <c r="X587" s="74"/>
      <c r="Y587" s="74"/>
      <c r="Z587" s="74"/>
    </row>
    <row r="588" spans="1:26" x14ac:dyDescent="0.3">
      <c r="A588" s="66">
        <f t="shared" si="56"/>
        <v>2048.0999999999472</v>
      </c>
      <c r="B588" s="67">
        <f>LOOKUP(A588+0.01,AmountsB!$A$4:$A$103,AmountsB!$B$4:$B$103)*0.1*$A$2</f>
        <v>0</v>
      </c>
      <c r="C588" s="68">
        <f t="shared" si="61"/>
        <v>1538495.7946267016</v>
      </c>
      <c r="D588" s="67">
        <f t="array" ref="D588">SUM($B$7:$B583*$F$1009*EXP(-$F$1009*($A588-$A$7:$A583)))*$F$1010</f>
        <v>84760959.273635194</v>
      </c>
      <c r="E588" s="67">
        <f t="shared" si="59"/>
        <v>161.58928615254035</v>
      </c>
      <c r="F588" s="70">
        <f t="shared" si="57"/>
        <v>9.8117014551822503</v>
      </c>
      <c r="G588" s="67">
        <f>E588/'Lookup Tables'!$C$48</f>
        <v>323.17857230508071</v>
      </c>
      <c r="H588" s="70">
        <f t="shared" si="60"/>
        <v>5.5204134517886562E-2</v>
      </c>
      <c r="I588" s="71">
        <f t="shared" si="58"/>
        <v>0.46537714411931624</v>
      </c>
      <c r="L588" s="74"/>
      <c r="M588" s="74"/>
      <c r="N588" s="74"/>
      <c r="O588" s="74"/>
      <c r="P588" s="74"/>
      <c r="Q588" s="74"/>
      <c r="R588" s="74"/>
      <c r="S588" s="74"/>
      <c r="T588" s="74"/>
      <c r="U588" s="74"/>
      <c r="V588" s="74"/>
      <c r="W588" s="74"/>
      <c r="X588" s="74"/>
      <c r="Y588" s="74"/>
      <c r="Z588" s="74"/>
    </row>
    <row r="589" spans="1:26" x14ac:dyDescent="0.3">
      <c r="A589" s="66">
        <f t="shared" si="56"/>
        <v>2048.1999999999471</v>
      </c>
      <c r="B589" s="67">
        <f>LOOKUP(A589+0.01,AmountsB!$A$4:$A$103,AmountsB!$B$4:$B$103)*0.1*$A$2</f>
        <v>0</v>
      </c>
      <c r="C589" s="68">
        <f t="shared" si="61"/>
        <v>1538495.7946267016</v>
      </c>
      <c r="D589" s="67">
        <f t="array" ref="D589">SUM($B$7:$B584*$F$1009*EXP(-$F$1009*($A589-$A$7:$A584)))*$F$1010</f>
        <v>84523960.54073447</v>
      </c>
      <c r="E589" s="67">
        <f t="shared" si="59"/>
        <v>161.13746899052768</v>
      </c>
      <c r="F589" s="70">
        <f t="shared" si="57"/>
        <v>9.7842671171048394</v>
      </c>
      <c r="G589" s="67">
        <f>E589/'Lookup Tables'!$C$48</f>
        <v>322.27493798105536</v>
      </c>
      <c r="H589" s="70">
        <f t="shared" si="60"/>
        <v>5.5049779139611704E-2</v>
      </c>
      <c r="I589" s="71">
        <f t="shared" si="58"/>
        <v>0.4640759106927197</v>
      </c>
      <c r="L589" s="74"/>
      <c r="M589" s="74"/>
      <c r="N589" s="74"/>
      <c r="O589" s="74"/>
      <c r="P589" s="74"/>
      <c r="Q589" s="74"/>
      <c r="R589" s="74"/>
      <c r="S589" s="74"/>
      <c r="T589" s="74"/>
      <c r="U589" s="74"/>
      <c r="V589" s="74"/>
      <c r="W589" s="74"/>
      <c r="X589" s="74"/>
      <c r="Y589" s="74"/>
      <c r="Z589" s="74"/>
    </row>
    <row r="590" spans="1:26" x14ac:dyDescent="0.3">
      <c r="A590" s="66">
        <f t="shared" si="56"/>
        <v>2048.299999999947</v>
      </c>
      <c r="B590" s="67">
        <f>LOOKUP(A590+0.01,AmountsB!$A$4:$A$103,AmountsB!$B$4:$B$103)*0.1*$A$2</f>
        <v>0</v>
      </c>
      <c r="C590" s="68">
        <f t="shared" si="61"/>
        <v>1538495.7946267016</v>
      </c>
      <c r="D590" s="67">
        <f t="array" ref="D590">SUM($B$7:$B585*$F$1009*EXP(-$F$1009*($A590-$A$7:$A585)))*$F$1010</f>
        <v>84287624.476117313</v>
      </c>
      <c r="E590" s="67">
        <f t="shared" si="59"/>
        <v>160.68691514709727</v>
      </c>
      <c r="F590" s="70">
        <f t="shared" si="57"/>
        <v>9.756909487731745</v>
      </c>
      <c r="G590" s="67">
        <f>E590/'Lookup Tables'!$C$48</f>
        <v>321.37383029419453</v>
      </c>
      <c r="H590" s="70">
        <f t="shared" si="60"/>
        <v>5.4895855351887297E-2</v>
      </c>
      <c r="I590" s="71">
        <f t="shared" si="58"/>
        <v>0.46277831562364008</v>
      </c>
      <c r="L590" s="74"/>
      <c r="M590" s="74"/>
      <c r="N590" s="74"/>
      <c r="O590" s="74"/>
      <c r="P590" s="74"/>
      <c r="Q590" s="74"/>
      <c r="R590" s="74"/>
      <c r="S590" s="74"/>
      <c r="T590" s="74"/>
      <c r="U590" s="74"/>
      <c r="V590" s="74"/>
      <c r="W590" s="74"/>
      <c r="X590" s="74"/>
      <c r="Y590" s="74"/>
      <c r="Z590" s="74"/>
    </row>
    <row r="591" spans="1:26" x14ac:dyDescent="0.3">
      <c r="A591" s="66">
        <f t="shared" si="56"/>
        <v>2048.3999999999469</v>
      </c>
      <c r="B591" s="67">
        <f>LOOKUP(A591+0.01,AmountsB!$A$4:$A$103,AmountsB!$B$4:$B$103)*0.1*$A$2</f>
        <v>0</v>
      </c>
      <c r="C591" s="68">
        <f t="shared" si="61"/>
        <v>1538495.7946267016</v>
      </c>
      <c r="D591" s="67">
        <f t="array" ref="D591">SUM($B$7:$B586*$F$1009*EXP(-$F$1009*($A591-$A$7:$A586)))*$F$1010</f>
        <v>84051949.22690776</v>
      </c>
      <c r="E591" s="67">
        <f t="shared" si="59"/>
        <v>160.23762108990459</v>
      </c>
      <c r="F591" s="70">
        <f t="shared" si="57"/>
        <v>9.7296283525790077</v>
      </c>
      <c r="G591" s="67">
        <f>E591/'Lookup Tables'!$C$48</f>
        <v>320.47524217980919</v>
      </c>
      <c r="H591" s="70">
        <f t="shared" si="60"/>
        <v>5.474236194795E-2</v>
      </c>
      <c r="I591" s="71">
        <f t="shared" si="58"/>
        <v>0.46148434873892519</v>
      </c>
      <c r="L591" s="74"/>
      <c r="M591" s="74"/>
      <c r="N591" s="74"/>
      <c r="O591" s="74"/>
      <c r="P591" s="74"/>
      <c r="Q591" s="74"/>
      <c r="R591" s="74"/>
      <c r="S591" s="74"/>
      <c r="T591" s="74"/>
      <c r="U591" s="74"/>
      <c r="V591" s="74"/>
      <c r="W591" s="74"/>
      <c r="X591" s="74"/>
      <c r="Y591" s="74"/>
      <c r="Z591" s="74"/>
    </row>
    <row r="592" spans="1:26" x14ac:dyDescent="0.3">
      <c r="A592" s="66">
        <f t="shared" si="56"/>
        <v>2048.4999999999468</v>
      </c>
      <c r="B592" s="67">
        <f>LOOKUP(A592+0.01,AmountsB!$A$4:$A$103,AmountsB!$B$4:$B$103)*0.1*$A$2</f>
        <v>0</v>
      </c>
      <c r="C592" s="68">
        <f t="shared" si="61"/>
        <v>1538495.7946267016</v>
      </c>
      <c r="D592" s="67">
        <f t="array" ref="D592">SUM($B$7:$B587*$F$1009*EXP(-$F$1009*($A592-$A$7:$A587)))*$F$1010</f>
        <v>83816932.945410669</v>
      </c>
      <c r="E592" s="67">
        <f t="shared" si="59"/>
        <v>159.78958329648202</v>
      </c>
      <c r="F592" s="70">
        <f t="shared" si="57"/>
        <v>9.7024234977623891</v>
      </c>
      <c r="G592" s="67">
        <f>E592/'Lookup Tables'!$C$48</f>
        <v>319.57916659296404</v>
      </c>
      <c r="H592" s="70">
        <f t="shared" si="60"/>
        <v>5.4589297724410776E-2</v>
      </c>
      <c r="I592" s="71">
        <f t="shared" si="58"/>
        <v>0.46019399989386822</v>
      </c>
      <c r="L592" s="74"/>
      <c r="M592" s="74"/>
      <c r="N592" s="74"/>
      <c r="O592" s="74"/>
      <c r="P592" s="74"/>
      <c r="Q592" s="74"/>
      <c r="R592" s="74"/>
      <c r="S592" s="74"/>
      <c r="T592" s="74"/>
      <c r="U592" s="74"/>
      <c r="V592" s="74"/>
      <c r="W592" s="74"/>
      <c r="X592" s="74"/>
      <c r="Y592" s="74"/>
      <c r="Z592" s="74"/>
    </row>
    <row r="593" spans="1:26" x14ac:dyDescent="0.3">
      <c r="A593" s="66">
        <f t="shared" si="56"/>
        <v>2048.5999999999467</v>
      </c>
      <c r="B593" s="67">
        <f>LOOKUP(A593+0.01,AmountsB!$A$4:$A$103,AmountsB!$B$4:$B$103)*0.1*$A$2</f>
        <v>0</v>
      </c>
      <c r="C593" s="68">
        <f t="shared" si="61"/>
        <v>1538495.7946267016</v>
      </c>
      <c r="D593" s="67">
        <f t="array" ref="D593">SUM($B$7:$B588*$F$1009*EXP(-$F$1009*($A593-$A$7:$A588)))*$F$1010</f>
        <v>83582573.789097205</v>
      </c>
      <c r="E593" s="67">
        <f t="shared" si="59"/>
        <v>159.34279825421098</v>
      </c>
      <c r="F593" s="70">
        <f t="shared" si="57"/>
        <v>9.6752947099956881</v>
      </c>
      <c r="G593" s="67">
        <f>E593/'Lookup Tables'!$C$48</f>
        <v>318.68559650842195</v>
      </c>
      <c r="H593" s="70">
        <f t="shared" si="60"/>
        <v>5.4436661481245319E-2</v>
      </c>
      <c r="I593" s="71">
        <f t="shared" si="58"/>
        <v>0.45890725897212759</v>
      </c>
      <c r="L593" s="74"/>
      <c r="M593" s="74"/>
      <c r="N593" s="74"/>
      <c r="O593" s="74"/>
      <c r="P593" s="74"/>
      <c r="Q593" s="74"/>
      <c r="R593" s="74"/>
      <c r="S593" s="74"/>
      <c r="T593" s="74"/>
      <c r="U593" s="74"/>
      <c r="V593" s="74"/>
      <c r="W593" s="74"/>
      <c r="X593" s="74"/>
      <c r="Y593" s="74"/>
      <c r="Z593" s="74"/>
    </row>
    <row r="594" spans="1:26" x14ac:dyDescent="0.3">
      <c r="A594" s="66">
        <f t="shared" si="56"/>
        <v>2048.6999999999466</v>
      </c>
      <c r="B594" s="67">
        <f>LOOKUP(A594+0.01,AmountsB!$A$4:$A$103,AmountsB!$B$4:$B$103)*0.1*$A$2</f>
        <v>0</v>
      </c>
      <c r="C594" s="68">
        <f t="shared" si="61"/>
        <v>1538495.7946267016</v>
      </c>
      <c r="D594" s="67">
        <f t="array" ref="D594">SUM($B$7:$B589*$F$1009*EXP(-$F$1009*($A594-$A$7:$A589)))*$F$1010</f>
        <v>83348869.920590371</v>
      </c>
      <c r="E594" s="67">
        <f t="shared" si="59"/>
        <v>158.89726246029446</v>
      </c>
      <c r="F594" s="70">
        <f t="shared" si="57"/>
        <v>9.6482417765890816</v>
      </c>
      <c r="G594" s="67">
        <f>E594/'Lookup Tables'!$C$48</f>
        <v>317.79452492058891</v>
      </c>
      <c r="H594" s="70">
        <f t="shared" si="60"/>
        <v>5.4284452021784745E-2</v>
      </c>
      <c r="I594" s="71">
        <f t="shared" si="58"/>
        <v>0.45762411588564805</v>
      </c>
      <c r="L594" s="74"/>
      <c r="M594" s="74"/>
      <c r="N594" s="74"/>
      <c r="O594" s="74"/>
      <c r="P594" s="74"/>
      <c r="Q594" s="74"/>
      <c r="R594" s="74"/>
      <c r="S594" s="74"/>
      <c r="T594" s="74"/>
      <c r="U594" s="74"/>
      <c r="V594" s="74"/>
      <c r="W594" s="74"/>
      <c r="X594" s="74"/>
      <c r="Y594" s="74"/>
      <c r="Z594" s="74"/>
    </row>
    <row r="595" spans="1:26" x14ac:dyDescent="0.3">
      <c r="A595" s="66">
        <f t="shared" ref="A595:A658" si="62">A594+0.1</f>
        <v>2048.7999999999465</v>
      </c>
      <c r="B595" s="67">
        <f>LOOKUP(A595+0.01,AmountsB!$A$4:$A$103,AmountsB!$B$4:$B$103)*0.1*$A$2</f>
        <v>0</v>
      </c>
      <c r="C595" s="68">
        <f t="shared" si="61"/>
        <v>1538495.7946267016</v>
      </c>
      <c r="D595" s="67">
        <f t="array" ref="D595">SUM($B$7:$B590*$F$1009*EXP(-$F$1009*($A595-$A$7:$A590)))*$F$1010</f>
        <v>83115819.507650644</v>
      </c>
      <c r="E595" s="67">
        <f t="shared" si="59"/>
        <v>158.4529724217295</v>
      </c>
      <c r="F595" s="70">
        <f t="shared" ref="F595:F658" si="63">E595*60*1012/1000000</f>
        <v>9.6212644854474139</v>
      </c>
      <c r="G595" s="67">
        <f>E595/'Lookup Tables'!$C$48</f>
        <v>316.905944843459</v>
      </c>
      <c r="H595" s="70">
        <f t="shared" si="60"/>
        <v>5.4132668152706044E-2</v>
      </c>
      <c r="I595" s="71">
        <f t="shared" ref="I595:I658" si="64">G595*60*24/1000000</f>
        <v>0.45634456057458089</v>
      </c>
      <c r="L595" s="74"/>
      <c r="M595" s="74"/>
      <c r="N595" s="74"/>
      <c r="O595" s="74"/>
      <c r="P595" s="74"/>
      <c r="Q595" s="74"/>
      <c r="R595" s="74"/>
      <c r="S595" s="74"/>
      <c r="T595" s="74"/>
      <c r="U595" s="74"/>
      <c r="V595" s="74"/>
      <c r="W595" s="74"/>
      <c r="X595" s="74"/>
      <c r="Y595" s="74"/>
      <c r="Z595" s="74"/>
    </row>
    <row r="596" spans="1:26" x14ac:dyDescent="0.3">
      <c r="A596" s="66">
        <f t="shared" si="62"/>
        <v>2048.8999999999464</v>
      </c>
      <c r="B596" s="67">
        <f>LOOKUP(A596+0.01,AmountsB!$A$4:$A$103,AmountsB!$B$4:$B$103)*0.1*$A$2</f>
        <v>0</v>
      </c>
      <c r="C596" s="68">
        <f t="shared" si="61"/>
        <v>1538495.7946267016</v>
      </c>
      <c r="D596" s="67">
        <f t="array" ref="D596">SUM($B$7:$B591*$F$1009*EXP(-$F$1009*($A596-$A$7:$A591)))*$F$1010</f>
        <v>82883420.723161608</v>
      </c>
      <c r="E596" s="67">
        <f t="shared" si="59"/>
        <v>158.00992465528</v>
      </c>
      <c r="F596" s="70">
        <f t="shared" si="63"/>
        <v>9.5943626250686016</v>
      </c>
      <c r="G596" s="67">
        <f>E596/'Lookup Tables'!$C$48</f>
        <v>316.01984931056001</v>
      </c>
      <c r="H596" s="70">
        <f t="shared" si="60"/>
        <v>5.3981308684022962E-2</v>
      </c>
      <c r="I596" s="71">
        <f t="shared" si="64"/>
        <v>0.45506858300720643</v>
      </c>
      <c r="L596" s="74"/>
      <c r="M596" s="74"/>
      <c r="N596" s="74"/>
      <c r="O596" s="74"/>
      <c r="P596" s="74"/>
      <c r="Q596" s="74"/>
      <c r="R596" s="74"/>
      <c r="S596" s="74"/>
      <c r="T596" s="74"/>
      <c r="U596" s="74"/>
      <c r="V596" s="74"/>
      <c r="W596" s="74"/>
      <c r="X596" s="74"/>
      <c r="Y596" s="74"/>
      <c r="Z596" s="74"/>
    </row>
    <row r="597" spans="1:26" x14ac:dyDescent="0.3">
      <c r="A597" s="66">
        <f t="shared" si="62"/>
        <v>2048.9999999999463</v>
      </c>
      <c r="B597" s="67">
        <f>LOOKUP(A597+0.01,AmountsB!$A$4:$A$103,AmountsB!$B$4:$B$103)*0.1*$A$2</f>
        <v>0</v>
      </c>
      <c r="C597" s="68">
        <f t="shared" si="61"/>
        <v>1538495.7946267016</v>
      </c>
      <c r="D597" s="67">
        <f t="array" ref="D597">SUM($B$7:$B592*$F$1009*EXP(-$F$1009*($A597-$A$7:$A592)))*$F$1010</f>
        <v>82651671.745115519</v>
      </c>
      <c r="E597" s="67">
        <f t="shared" si="59"/>
        <v>157.56811568744902</v>
      </c>
      <c r="F597" s="70">
        <f t="shared" si="63"/>
        <v>9.5675359845419052</v>
      </c>
      <c r="G597" s="67">
        <f>E597/'Lookup Tables'!$C$48</f>
        <v>315.13623137489805</v>
      </c>
      <c r="H597" s="70">
        <f t="shared" si="60"/>
        <v>5.3830372429076415E-2</v>
      </c>
      <c r="I597" s="71">
        <f t="shared" si="64"/>
        <v>0.45379617317985327</v>
      </c>
      <c r="L597" s="74"/>
      <c r="M597" s="74"/>
      <c r="N597" s="74"/>
      <c r="O597" s="74"/>
      <c r="P597" s="74"/>
      <c r="Q597" s="74"/>
      <c r="R597" s="74"/>
      <c r="S597" s="74"/>
      <c r="T597" s="74"/>
      <c r="U597" s="74"/>
      <c r="V597" s="74"/>
      <c r="W597" s="74"/>
      <c r="X597" s="74"/>
      <c r="Y597" s="74"/>
      <c r="Z597" s="74"/>
    </row>
    <row r="598" spans="1:26" x14ac:dyDescent="0.3">
      <c r="A598" s="66">
        <f t="shared" si="62"/>
        <v>2049.0999999999462</v>
      </c>
      <c r="B598" s="67">
        <f>LOOKUP(A598+0.01,AmountsB!$A$4:$A$103,AmountsB!$B$4:$B$103)*0.1*$A$2</f>
        <v>0</v>
      </c>
      <c r="C598" s="68">
        <f t="shared" si="61"/>
        <v>1538495.7946267016</v>
      </c>
      <c r="D598" s="67">
        <f t="array" ref="D598">SUM($B$7:$B593*$F$1009*EXP(-$F$1009*($A598-$A$7:$A593)))*$F$1010</f>
        <v>82420570.756599292</v>
      </c>
      <c r="E598" s="67">
        <f t="shared" si="59"/>
        <v>157.12754205445219</v>
      </c>
      <c r="F598" s="70">
        <f t="shared" si="63"/>
        <v>9.5407843535463375</v>
      </c>
      <c r="G598" s="67">
        <f>E598/'Lookup Tables'!$C$48</f>
        <v>314.25508410890438</v>
      </c>
      <c r="H598" s="70">
        <f t="shared" si="60"/>
        <v>5.3679858204525463E-2</v>
      </c>
      <c r="I598" s="71">
        <f t="shared" si="64"/>
        <v>0.45252732111682231</v>
      </c>
      <c r="L598" s="74"/>
      <c r="M598" s="74"/>
      <c r="N598" s="74"/>
      <c r="O598" s="74"/>
      <c r="P598" s="74"/>
      <c r="Q598" s="74"/>
      <c r="R598" s="74"/>
      <c r="S598" s="74"/>
      <c r="T598" s="74"/>
      <c r="U598" s="74"/>
      <c r="V598" s="74"/>
      <c r="W598" s="74"/>
      <c r="X598" s="74"/>
      <c r="Y598" s="74"/>
      <c r="Z598" s="74"/>
    </row>
    <row r="599" spans="1:26" x14ac:dyDescent="0.3">
      <c r="A599" s="66">
        <f t="shared" si="62"/>
        <v>2049.1999999999462</v>
      </c>
      <c r="B599" s="67">
        <f>LOOKUP(A599+0.01,AmountsB!$A$4:$A$103,AmountsB!$B$4:$B$103)*0.1*$A$2</f>
        <v>0</v>
      </c>
      <c r="C599" s="68">
        <f t="shared" si="61"/>
        <v>1538495.7946267016</v>
      </c>
      <c r="D599" s="67">
        <f t="array" ref="D599">SUM($B$7:$B594*$F$1009*EXP(-$F$1009*($A599-$A$7:$A594)))*$F$1010</f>
        <v>82190115.945779935</v>
      </c>
      <c r="E599" s="67">
        <f t="shared" si="59"/>
        <v>156.68820030218978</v>
      </c>
      <c r="F599" s="70">
        <f t="shared" si="63"/>
        <v>9.5141075223489651</v>
      </c>
      <c r="G599" s="67">
        <f>E599/'Lookup Tables'!$C$48</f>
        <v>313.37640060437957</v>
      </c>
      <c r="H599" s="70">
        <f t="shared" si="60"/>
        <v>5.352976483033775E-2</v>
      </c>
      <c r="I599" s="71">
        <f t="shared" si="64"/>
        <v>0.45126201687030659</v>
      </c>
      <c r="L599" s="74"/>
      <c r="M599" s="74"/>
      <c r="N599" s="74"/>
      <c r="O599" s="74"/>
      <c r="P599" s="74"/>
      <c r="Q599" s="74"/>
      <c r="R599" s="74"/>
      <c r="S599" s="74"/>
      <c r="T599" s="74"/>
      <c r="U599" s="74"/>
      <c r="V599" s="74"/>
      <c r="W599" s="74"/>
      <c r="X599" s="74"/>
      <c r="Y599" s="74"/>
      <c r="Z599" s="74"/>
    </row>
    <row r="600" spans="1:26" x14ac:dyDescent="0.3">
      <c r="A600" s="66">
        <f t="shared" si="62"/>
        <v>2049.2999999999461</v>
      </c>
      <c r="B600" s="67">
        <f>LOOKUP(A600+0.01,AmountsB!$A$4:$A$103,AmountsB!$B$4:$B$103)*0.1*$A$2</f>
        <v>0</v>
      </c>
      <c r="C600" s="68">
        <f t="shared" si="61"/>
        <v>1538495.7946267016</v>
      </c>
      <c r="D600" s="67">
        <f t="array" ref="D600">SUM($B$7:$B595*$F$1009*EXP(-$F$1009*($A600-$A$7:$A595)))*$F$1010</f>
        <v>81960305.505890593</v>
      </c>
      <c r="E600" s="67">
        <f t="shared" si="59"/>
        <v>156.2500869862204</v>
      </c>
      <c r="F600" s="70">
        <f t="shared" si="63"/>
        <v>9.487505281803303</v>
      </c>
      <c r="G600" s="67">
        <f>E600/'Lookup Tables'!$C$48</f>
        <v>312.50017397244079</v>
      </c>
      <c r="H600" s="70">
        <f t="shared" si="60"/>
        <v>5.3380091129780517E-2</v>
      </c>
      <c r="I600" s="71">
        <f t="shared" si="64"/>
        <v>0.45000025052031467</v>
      </c>
      <c r="L600" s="74"/>
      <c r="M600" s="74"/>
      <c r="N600" s="74"/>
      <c r="O600" s="74"/>
      <c r="P600" s="74"/>
      <c r="Q600" s="74"/>
      <c r="R600" s="74"/>
      <c r="S600" s="74"/>
      <c r="T600" s="74"/>
      <c r="U600" s="74"/>
      <c r="V600" s="74"/>
      <c r="W600" s="74"/>
      <c r="X600" s="74"/>
      <c r="Y600" s="74"/>
      <c r="Z600" s="74"/>
    </row>
    <row r="601" spans="1:26" x14ac:dyDescent="0.3">
      <c r="A601" s="66">
        <f t="shared" si="62"/>
        <v>2049.399999999946</v>
      </c>
      <c r="B601" s="67">
        <f>LOOKUP(A601+0.01,AmountsB!$A$4:$A$103,AmountsB!$B$4:$B$103)*0.1*$A$2</f>
        <v>0</v>
      </c>
      <c r="C601" s="68">
        <f t="shared" si="61"/>
        <v>1538495.7946267016</v>
      </c>
      <c r="D601" s="67">
        <f t="array" ref="D601">SUM($B$7:$B596*$F$1009*EXP(-$F$1009*($A601-$A$7:$A596)))*$F$1010</f>
        <v>81731137.635216251</v>
      </c>
      <c r="E601" s="67">
        <f t="shared" si="59"/>
        <v>155.81319867173332</v>
      </c>
      <c r="F601" s="70">
        <f t="shared" si="63"/>
        <v>9.4609774233476465</v>
      </c>
      <c r="G601" s="67">
        <f>E601/'Lookup Tables'!$C$48</f>
        <v>311.62639734346664</v>
      </c>
      <c r="H601" s="70">
        <f t="shared" si="60"/>
        <v>5.323083592941117E-2</v>
      </c>
      <c r="I601" s="71">
        <f t="shared" si="64"/>
        <v>0.44874201217459186</v>
      </c>
      <c r="L601" s="74"/>
      <c r="M601" s="74"/>
      <c r="N601" s="74"/>
      <c r="O601" s="74"/>
      <c r="P601" s="74"/>
      <c r="Q601" s="74"/>
      <c r="R601" s="74"/>
      <c r="S601" s="74"/>
      <c r="T601" s="74"/>
      <c r="U601" s="74"/>
      <c r="V601" s="74"/>
      <c r="W601" s="74"/>
      <c r="X601" s="74"/>
      <c r="Y601" s="74"/>
      <c r="Z601" s="74"/>
    </row>
    <row r="602" spans="1:26" x14ac:dyDescent="0.3">
      <c r="A602" s="66">
        <f t="shared" si="62"/>
        <v>2049.4999999999459</v>
      </c>
      <c r="B602" s="67">
        <f>LOOKUP(A602+0.01,AmountsB!$A$4:$A$103,AmountsB!$B$4:$B$103)*0.1*$A$2</f>
        <v>0</v>
      </c>
      <c r="C602" s="68">
        <f t="shared" si="61"/>
        <v>1538495.7946267016</v>
      </c>
      <c r="D602" s="67">
        <f t="array" ref="D602">SUM($B$7:$B597*$F$1009*EXP(-$F$1009*($A602-$A$7:$A597)))*$F$1010</f>
        <v>81502610.537079588</v>
      </c>
      <c r="E602" s="67">
        <f t="shared" si="59"/>
        <v>155.37753193352194</v>
      </c>
      <c r="F602" s="70">
        <f t="shared" si="63"/>
        <v>9.4345237390034509</v>
      </c>
      <c r="G602" s="67">
        <f>E602/'Lookup Tables'!$C$48</f>
        <v>310.75506386704387</v>
      </c>
      <c r="H602" s="70">
        <f t="shared" si="60"/>
        <v>5.3081998059068186E-2</v>
      </c>
      <c r="I602" s="71">
        <f t="shared" si="64"/>
        <v>0.4474872919685432</v>
      </c>
      <c r="L602" s="74"/>
      <c r="M602" s="74"/>
      <c r="N602" s="74"/>
      <c r="O602" s="74"/>
      <c r="P602" s="74"/>
      <c r="Q602" s="74"/>
      <c r="R602" s="74"/>
      <c r="S602" s="74"/>
      <c r="T602" s="74"/>
      <c r="U602" s="74"/>
      <c r="V602" s="74"/>
      <c r="W602" s="74"/>
      <c r="X602" s="74"/>
      <c r="Y602" s="74"/>
      <c r="Z602" s="74"/>
    </row>
    <row r="603" spans="1:26" x14ac:dyDescent="0.3">
      <c r="A603" s="66">
        <f t="shared" si="62"/>
        <v>2049.5999999999458</v>
      </c>
      <c r="B603" s="67">
        <f>LOOKUP(A603+0.01,AmountsB!$A$4:$A$103,AmountsB!$B$4:$B$103)*0.1*$A$2</f>
        <v>0</v>
      </c>
      <c r="C603" s="68">
        <f t="shared" si="61"/>
        <v>1538495.7946267016</v>
      </c>
      <c r="D603" s="67">
        <f t="array" ref="D603">SUM($B$7:$B598*$F$1009*EXP(-$F$1009*($A603-$A$7:$A598)))*$F$1010</f>
        <v>81274722.419826999</v>
      </c>
      <c r="E603" s="67">
        <f t="shared" si="59"/>
        <v>154.94308335595673</v>
      </c>
      <c r="F603" s="70">
        <f t="shared" si="63"/>
        <v>9.4081440213736922</v>
      </c>
      <c r="G603" s="67">
        <f>E603/'Lookup Tables'!$C$48</f>
        <v>309.88616671191346</v>
      </c>
      <c r="H603" s="70">
        <f t="shared" si="60"/>
        <v>5.2933576351861841E-2</v>
      </c>
      <c r="I603" s="71">
        <f t="shared" si="64"/>
        <v>0.44623608006515542</v>
      </c>
      <c r="L603" s="74"/>
      <c r="M603" s="74"/>
      <c r="N603" s="74"/>
      <c r="O603" s="74"/>
      <c r="P603" s="74"/>
      <c r="Q603" s="74"/>
      <c r="R603" s="74"/>
      <c r="S603" s="74"/>
      <c r="T603" s="74"/>
      <c r="U603" s="74"/>
      <c r="V603" s="74"/>
      <c r="W603" s="74"/>
      <c r="X603" s="74"/>
      <c r="Y603" s="74"/>
      <c r="Z603" s="74"/>
    </row>
    <row r="604" spans="1:26" x14ac:dyDescent="0.3">
      <c r="A604" s="66">
        <f t="shared" si="62"/>
        <v>2049.6999999999457</v>
      </c>
      <c r="B604" s="67">
        <f>LOOKUP(A604+0.01,AmountsB!$A$4:$A$103,AmountsB!$B$4:$B$103)*0.1*$A$2</f>
        <v>0</v>
      </c>
      <c r="C604" s="68">
        <f t="shared" si="61"/>
        <v>1538495.7946267016</v>
      </c>
      <c r="D604" s="67">
        <f t="array" ref="D604">SUM($B$7:$B599*$F$1009*EXP(-$F$1009*($A604-$A$7:$A599)))*$F$1010</f>
        <v>81047471.496814519</v>
      </c>
      <c r="E604" s="67">
        <f t="shared" si="59"/>
        <v>154.50984953295875</v>
      </c>
      <c r="F604" s="70">
        <f t="shared" si="63"/>
        <v>9.3818380636412559</v>
      </c>
      <c r="G604" s="67">
        <f>E604/'Lookup Tables'!$C$48</f>
        <v>309.01969906591751</v>
      </c>
      <c r="H604" s="70">
        <f t="shared" si="60"/>
        <v>5.2785569644165253E-2</v>
      </c>
      <c r="I604" s="71">
        <f t="shared" si="64"/>
        <v>0.4449883666549212</v>
      </c>
      <c r="L604" s="74"/>
      <c r="M604" s="74"/>
      <c r="N604" s="74"/>
      <c r="O604" s="74"/>
      <c r="P604" s="74"/>
      <c r="Q604" s="74"/>
      <c r="R604" s="74"/>
      <c r="S604" s="74"/>
      <c r="T604" s="74"/>
      <c r="U604" s="74"/>
      <c r="V604" s="74"/>
      <c r="W604" s="74"/>
      <c r="X604" s="74"/>
      <c r="Y604" s="74"/>
      <c r="Z604" s="74"/>
    </row>
    <row r="605" spans="1:26" x14ac:dyDescent="0.3">
      <c r="A605" s="66">
        <f t="shared" si="62"/>
        <v>2049.7999999999456</v>
      </c>
      <c r="B605" s="67">
        <f>LOOKUP(A605+0.01,AmountsB!$A$4:$A$103,AmountsB!$B$4:$B$103)*0.1*$A$2</f>
        <v>0</v>
      </c>
      <c r="C605" s="68">
        <f t="shared" si="61"/>
        <v>1538495.7946267016</v>
      </c>
      <c r="D605" s="67">
        <f t="array" ref="D605">SUM($B$7:$B600*$F$1009*EXP(-$F$1009*($A605-$A$7:$A600)))*$F$1010</f>
        <v>80820855.986393675</v>
      </c>
      <c r="E605" s="67">
        <f t="shared" si="59"/>
        <v>154.07782706797246</v>
      </c>
      <c r="F605" s="70">
        <f t="shared" si="63"/>
        <v>9.3556056595672867</v>
      </c>
      <c r="G605" s="67">
        <f>E605/'Lookup Tables'!$C$48</f>
        <v>308.15565413594493</v>
      </c>
      <c r="H605" s="70">
        <f t="shared" si="60"/>
        <v>5.2637976775605028E-2</v>
      </c>
      <c r="I605" s="71">
        <f t="shared" si="64"/>
        <v>0.44374414195576067</v>
      </c>
      <c r="L605" s="74"/>
      <c r="M605" s="74"/>
      <c r="N605" s="74"/>
      <c r="O605" s="74"/>
      <c r="P605" s="74"/>
      <c r="Q605" s="74"/>
      <c r="R605" s="74"/>
      <c r="S605" s="74"/>
      <c r="T605" s="74"/>
      <c r="U605" s="74"/>
      <c r="V605" s="74"/>
      <c r="W605" s="74"/>
      <c r="X605" s="74"/>
      <c r="Y605" s="74"/>
      <c r="Z605" s="74"/>
    </row>
    <row r="606" spans="1:26" x14ac:dyDescent="0.3">
      <c r="A606" s="66">
        <f t="shared" si="62"/>
        <v>2049.8999999999455</v>
      </c>
      <c r="B606" s="67">
        <f>LOOKUP(A606+0.01,AmountsB!$A$4:$A$103,AmountsB!$B$4:$B$103)*0.1*$A$2</f>
        <v>0</v>
      </c>
      <c r="C606" s="68">
        <f t="shared" si="61"/>
        <v>1538495.7946267016</v>
      </c>
      <c r="D606" s="67">
        <f t="array" ref="D606">SUM($B$7:$B601*$F$1009*EXP(-$F$1009*($A606-$A$7:$A601)))*$F$1010</f>
        <v>80594874.111897737</v>
      </c>
      <c r="E606" s="67">
        <f t="shared" si="59"/>
        <v>153.64701257393961</v>
      </c>
      <c r="F606" s="70">
        <f t="shared" si="63"/>
        <v>9.3294466034896129</v>
      </c>
      <c r="G606" s="67">
        <f>E606/'Lookup Tables'!$C$48</f>
        <v>307.29402514787921</v>
      </c>
      <c r="H606" s="70">
        <f t="shared" si="60"/>
        <v>5.2490796589052355E-2</v>
      </c>
      <c r="I606" s="71">
        <f t="shared" si="64"/>
        <v>0.44250339621294604</v>
      </c>
      <c r="L606" s="74"/>
      <c r="M606" s="74"/>
      <c r="N606" s="74"/>
      <c r="O606" s="74"/>
      <c r="P606" s="74"/>
      <c r="Q606" s="74"/>
      <c r="R606" s="74"/>
      <c r="S606" s="74"/>
      <c r="T606" s="74"/>
      <c r="U606" s="74"/>
      <c r="V606" s="74"/>
      <c r="W606" s="74"/>
      <c r="X606" s="74"/>
      <c r="Y606" s="74"/>
      <c r="Z606" s="74"/>
    </row>
    <row r="607" spans="1:26" x14ac:dyDescent="0.3">
      <c r="A607" s="66">
        <f t="shared" si="62"/>
        <v>2049.9999999999454</v>
      </c>
      <c r="B607" s="67">
        <f>LOOKUP(A607+0.01,AmountsB!$A$4:$A$103,AmountsB!$B$4:$B$103)*0.1*$A$2</f>
        <v>0</v>
      </c>
      <c r="C607" s="68">
        <f t="shared" si="61"/>
        <v>1538495.7946267016</v>
      </c>
      <c r="D607" s="67">
        <f t="array" ref="D607">SUM($B$7:$B602*$F$1009*EXP(-$F$1009*($A607-$A$7:$A602)))*$F$1010</f>
        <v>80369524.101627633</v>
      </c>
      <c r="E607" s="67">
        <f t="shared" si="59"/>
        <v>153.21740267327226</v>
      </c>
      <c r="F607" s="70">
        <f t="shared" si="63"/>
        <v>9.3033606903210924</v>
      </c>
      <c r="G607" s="67">
        <f>E607/'Lookup Tables'!$C$48</f>
        <v>306.43480534654452</v>
      </c>
      <c r="H607" s="70">
        <f t="shared" si="60"/>
        <v>5.2344027930613775E-2</v>
      </c>
      <c r="I607" s="71">
        <f t="shared" si="64"/>
        <v>0.44126611969902413</v>
      </c>
      <c r="L607" s="74"/>
      <c r="M607" s="74"/>
      <c r="N607" s="74"/>
      <c r="O607" s="74"/>
      <c r="P607" s="74"/>
      <c r="Q607" s="74"/>
      <c r="R607" s="74"/>
      <c r="S607" s="74"/>
      <c r="T607" s="74"/>
      <c r="U607" s="74"/>
      <c r="V607" s="74"/>
      <c r="W607" s="74"/>
      <c r="X607" s="74"/>
      <c r="Y607" s="74"/>
      <c r="Z607" s="74"/>
    </row>
    <row r="608" spans="1:26" x14ac:dyDescent="0.3">
      <c r="A608" s="66">
        <f t="shared" si="62"/>
        <v>2050.0999999999453</v>
      </c>
      <c r="B608" s="67">
        <f>LOOKUP(A608+0.01,AmountsB!$A$4:$A$103,AmountsB!$B$4:$B$103)*0.1*$A$2</f>
        <v>0</v>
      </c>
      <c r="C608" s="68">
        <f t="shared" si="61"/>
        <v>1538495.7946267016</v>
      </c>
      <c r="D608" s="67">
        <f t="array" ref="D608">SUM($B$7:$B603*$F$1009*EXP(-$F$1009*($A608-$A$7:$A603)))*$F$1010</f>
        <v>80144804.188838199</v>
      </c>
      <c r="E608" s="67">
        <f t="shared" si="59"/>
        <v>152.78899399782679</v>
      </c>
      <c r="F608" s="70">
        <f t="shared" si="63"/>
        <v>9.2773477155480428</v>
      </c>
      <c r="G608" s="67">
        <f>E608/'Lookup Tables'!$C$48</f>
        <v>305.57798799565359</v>
      </c>
      <c r="H608" s="70">
        <f t="shared" si="60"/>
        <v>5.2197669649622323E-2</v>
      </c>
      <c r="I608" s="71">
        <f t="shared" si="64"/>
        <v>0.44003230271374122</v>
      </c>
      <c r="L608" s="74"/>
      <c r="M608" s="74"/>
      <c r="N608" s="74"/>
      <c r="O608" s="74"/>
      <c r="P608" s="74"/>
      <c r="Q608" s="74"/>
      <c r="R608" s="74"/>
      <c r="S608" s="74"/>
      <c r="T608" s="74"/>
      <c r="U608" s="74"/>
      <c r="V608" s="74"/>
      <c r="W608" s="74"/>
      <c r="X608" s="74"/>
      <c r="Y608" s="74"/>
      <c r="Z608" s="74"/>
    </row>
    <row r="609" spans="1:26" x14ac:dyDescent="0.3">
      <c r="A609" s="66">
        <f t="shared" si="62"/>
        <v>2050.1999999999452</v>
      </c>
      <c r="B609" s="67">
        <f>LOOKUP(A609+0.01,AmountsB!$A$4:$A$103,AmountsB!$B$4:$B$103)*0.1*$A$2</f>
        <v>0</v>
      </c>
      <c r="C609" s="68">
        <f t="shared" si="61"/>
        <v>1538495.7946267016</v>
      </c>
      <c r="D609" s="67">
        <f t="array" ref="D609">SUM($B$7:$B604*$F$1009*EXP(-$F$1009*($A609-$A$7:$A604)))*$F$1010</f>
        <v>79920712.611724094</v>
      </c>
      <c r="E609" s="67">
        <f t="shared" si="59"/>
        <v>152.36178318887684</v>
      </c>
      <c r="F609" s="70">
        <f t="shared" si="63"/>
        <v>9.2514074752286017</v>
      </c>
      <c r="G609" s="67">
        <f>E609/'Lookup Tables'!$C$48</f>
        <v>304.72356637775368</v>
      </c>
      <c r="H609" s="70">
        <f t="shared" si="60"/>
        <v>5.2051720598628275E-2</v>
      </c>
      <c r="I609" s="71">
        <f t="shared" si="64"/>
        <v>0.4388019355839653</v>
      </c>
      <c r="L609" s="74"/>
      <c r="M609" s="74"/>
      <c r="N609" s="74"/>
      <c r="O609" s="74"/>
      <c r="P609" s="74"/>
      <c r="Q609" s="74"/>
      <c r="R609" s="74"/>
      <c r="S609" s="74"/>
      <c r="T609" s="74"/>
      <c r="U609" s="74"/>
      <c r="V609" s="74"/>
      <c r="W609" s="74"/>
      <c r="X609" s="74"/>
      <c r="Y609" s="74"/>
      <c r="Z609" s="74"/>
    </row>
    <row r="610" spans="1:26" x14ac:dyDescent="0.3">
      <c r="A610" s="66">
        <f t="shared" si="62"/>
        <v>2050.2999999999452</v>
      </c>
      <c r="B610" s="67">
        <f>LOOKUP(A610+0.01,AmountsB!$A$4:$A$103,AmountsB!$B$4:$B$103)*0.1*$A$2</f>
        <v>0</v>
      </c>
      <c r="C610" s="68">
        <f t="shared" si="61"/>
        <v>1538495.7946267016</v>
      </c>
      <c r="D610" s="67">
        <f t="array" ref="D610">SUM($B$7:$B605*$F$1009*EXP(-$F$1009*($A610-$A$7:$A605)))*$F$1010</f>
        <v>79697247.613406241</v>
      </c>
      <c r="E610" s="67">
        <f t="shared" si="59"/>
        <v>151.93576689708752</v>
      </c>
      <c r="F610" s="70">
        <f t="shared" si="63"/>
        <v>9.2255397659911544</v>
      </c>
      <c r="G610" s="67">
        <f>E610/'Lookup Tables'!$C$48</f>
        <v>303.87153379417504</v>
      </c>
      <c r="H610" s="70">
        <f t="shared" si="60"/>
        <v>5.1906179633390344E-2</v>
      </c>
      <c r="I610" s="71">
        <f t="shared" si="64"/>
        <v>0.43757500866361204</v>
      </c>
      <c r="L610" s="74"/>
      <c r="M610" s="74"/>
      <c r="N610" s="74"/>
      <c r="O610" s="74"/>
      <c r="P610" s="74"/>
      <c r="Q610" s="74"/>
      <c r="R610" s="74"/>
      <c r="S610" s="74"/>
      <c r="T610" s="74"/>
      <c r="U610" s="74"/>
      <c r="V610" s="74"/>
      <c r="W610" s="74"/>
      <c r="X610" s="74"/>
      <c r="Y610" s="74"/>
      <c r="Z610" s="74"/>
    </row>
    <row r="611" spans="1:26" x14ac:dyDescent="0.3">
      <c r="A611" s="66">
        <f t="shared" si="62"/>
        <v>2050.3999999999451</v>
      </c>
      <c r="B611" s="67">
        <f>LOOKUP(A611+0.01,AmountsB!$A$4:$A$103,AmountsB!$B$4:$B$103)*0.1*$A$2</f>
        <v>0</v>
      </c>
      <c r="C611" s="68">
        <f t="shared" si="61"/>
        <v>1538495.7946267016</v>
      </c>
      <c r="D611" s="67">
        <f t="array" ref="D611">SUM($B$7:$B606*$F$1009*EXP(-$F$1009*($A611-$A$7:$A606)))*$F$1010</f>
        <v>79474407.441917866</v>
      </c>
      <c r="E611" s="67">
        <f t="shared" si="59"/>
        <v>151.51094178248883</v>
      </c>
      <c r="F611" s="70">
        <f t="shared" si="63"/>
        <v>9.199744385032723</v>
      </c>
      <c r="G611" s="67">
        <f>E611/'Lookup Tables'!$C$48</f>
        <v>303.02188356497766</v>
      </c>
      <c r="H611" s="70">
        <f t="shared" si="60"/>
        <v>5.1761045612866589E-2</v>
      </c>
      <c r="I611" s="71">
        <f t="shared" si="64"/>
        <v>0.43635151233356784</v>
      </c>
      <c r="L611" s="74"/>
      <c r="M611" s="74"/>
      <c r="N611" s="74"/>
      <c r="O611" s="74"/>
      <c r="P611" s="74"/>
      <c r="Q611" s="74"/>
      <c r="R611" s="74"/>
      <c r="S611" s="74"/>
      <c r="T611" s="74"/>
      <c r="U611" s="74"/>
      <c r="V611" s="74"/>
      <c r="W611" s="74"/>
      <c r="X611" s="74"/>
      <c r="Y611" s="74"/>
      <c r="Z611" s="74"/>
    </row>
    <row r="612" spans="1:26" x14ac:dyDescent="0.3">
      <c r="A612" s="66">
        <f t="shared" si="62"/>
        <v>2050.499999999945</v>
      </c>
      <c r="B612" s="67">
        <f>LOOKUP(A612+0.01,AmountsB!$A$4:$A$103,AmountsB!$B$4:$B$103)*0.1*$A$2</f>
        <v>0</v>
      </c>
      <c r="C612" s="68">
        <f t="shared" si="61"/>
        <v>1538495.7946267016</v>
      </c>
      <c r="D612" s="67">
        <f t="array" ref="D612">SUM($B$7:$B607*$F$1009*EXP(-$F$1009*($A612-$A$7:$A607)))*$F$1010</f>
        <v>79252190.350190923</v>
      </c>
      <c r="E612" s="67">
        <f t="shared" si="59"/>
        <v>151.08730451444981</v>
      </c>
      <c r="F612" s="70">
        <f t="shared" si="63"/>
        <v>9.1740211301173922</v>
      </c>
      <c r="G612" s="67">
        <f>E612/'Lookup Tables'!$C$48</f>
        <v>302.17460902889962</v>
      </c>
      <c r="H612" s="70">
        <f t="shared" si="60"/>
        <v>5.1616317399205573E-2</v>
      </c>
      <c r="I612" s="71">
        <f t="shared" si="64"/>
        <v>0.43513143700161544</v>
      </c>
      <c r="L612" s="74"/>
      <c r="M612" s="74"/>
      <c r="N612" s="74"/>
      <c r="O612" s="74"/>
      <c r="P612" s="74"/>
      <c r="Q612" s="74"/>
      <c r="R612" s="74"/>
      <c r="S612" s="74"/>
      <c r="T612" s="74"/>
      <c r="U612" s="74"/>
      <c r="V612" s="74"/>
      <c r="W612" s="74"/>
      <c r="X612" s="74"/>
      <c r="Y612" s="74"/>
      <c r="Z612" s="74"/>
    </row>
    <row r="613" spans="1:26" x14ac:dyDescent="0.3">
      <c r="A613" s="66">
        <f t="shared" si="62"/>
        <v>2050.5999999999449</v>
      </c>
      <c r="B613" s="67">
        <f>LOOKUP(A613+0.01,AmountsB!$A$4:$A$103,AmountsB!$B$4:$B$103)*0.1*$A$2</f>
        <v>0</v>
      </c>
      <c r="C613" s="68">
        <f t="shared" si="61"/>
        <v>1538495.7946267016</v>
      </c>
      <c r="D613" s="67">
        <f t="array" ref="D613">SUM($B$7:$B608*$F$1009*EXP(-$F$1009*($A613-$A$7:$A608)))*$F$1010</f>
        <v>79030594.596042305</v>
      </c>
      <c r="E613" s="67">
        <f t="shared" si="59"/>
        <v>150.66485177165211</v>
      </c>
      <c r="F613" s="70">
        <f t="shared" si="63"/>
        <v>9.1483697995747164</v>
      </c>
      <c r="G613" s="67">
        <f>E613/'Lookup Tables'!$C$48</f>
        <v>301.32970354330422</v>
      </c>
      <c r="H613" s="70">
        <f t="shared" si="60"/>
        <v>5.1471993857737368E-2</v>
      </c>
      <c r="I613" s="71">
        <f t="shared" si="64"/>
        <v>0.4339147731023581</v>
      </c>
      <c r="L613" s="74"/>
      <c r="M613" s="74"/>
      <c r="N613" s="74"/>
      <c r="O613" s="74"/>
      <c r="P613" s="74"/>
      <c r="Q613" s="74"/>
      <c r="R613" s="74"/>
      <c r="S613" s="74"/>
      <c r="T613" s="74"/>
      <c r="U613" s="74"/>
      <c r="V613" s="74"/>
      <c r="W613" s="74"/>
      <c r="X613" s="74"/>
      <c r="Y613" s="74"/>
      <c r="Z613" s="74"/>
    </row>
    <row r="614" spans="1:26" x14ac:dyDescent="0.3">
      <c r="A614" s="66">
        <f t="shared" si="62"/>
        <v>2050.6999999999448</v>
      </c>
      <c r="B614" s="67">
        <f>LOOKUP(A614+0.01,AmountsB!$A$4:$A$103,AmountsB!$B$4:$B$103)*0.1*$A$2</f>
        <v>0</v>
      </c>
      <c r="C614" s="68">
        <f t="shared" si="61"/>
        <v>1538495.7946267016</v>
      </c>
      <c r="D614" s="67">
        <f t="array" ref="D614">SUM($B$7:$B609*$F$1009*EXP(-$F$1009*($A614-$A$7:$A609)))*$F$1010</f>
        <v>78809618.442160085</v>
      </c>
      <c r="E614" s="67">
        <f t="shared" si="59"/>
        <v>150.24358024206398</v>
      </c>
      <c r="F614" s="70">
        <f t="shared" si="63"/>
        <v>9.122790192298126</v>
      </c>
      <c r="G614" s="67">
        <f>E614/'Lookup Tables'!$C$48</f>
        <v>300.48716048412797</v>
      </c>
      <c r="H614" s="70">
        <f t="shared" si="60"/>
        <v>5.1328073856964619E-2</v>
      </c>
      <c r="I614" s="71">
        <f t="shared" si="64"/>
        <v>0.43270151109714422</v>
      </c>
      <c r="L614" s="74"/>
      <c r="M614" s="74"/>
      <c r="N614" s="74"/>
      <c r="O614" s="74"/>
      <c r="P614" s="74"/>
      <c r="Q614" s="74"/>
      <c r="R614" s="74"/>
      <c r="S614" s="74"/>
      <c r="T614" s="74"/>
      <c r="U614" s="74"/>
      <c r="V614" s="74"/>
      <c r="W614" s="74"/>
      <c r="X614" s="74"/>
      <c r="Y614" s="74"/>
      <c r="Z614" s="74"/>
    </row>
    <row r="615" spans="1:26" x14ac:dyDescent="0.3">
      <c r="A615" s="66">
        <f t="shared" si="62"/>
        <v>2050.7999999999447</v>
      </c>
      <c r="B615" s="67">
        <f>LOOKUP(A615+0.01,AmountsB!$A$4:$A$103,AmountsB!$B$4:$B$103)*0.1*$A$2</f>
        <v>0</v>
      </c>
      <c r="C615" s="68">
        <f t="shared" si="61"/>
        <v>1538495.7946267016</v>
      </c>
      <c r="D615" s="67">
        <f t="array" ref="D615">SUM($B$7:$B610*$F$1009*EXP(-$F$1009*($A615-$A$7:$A610)))*$F$1010</f>
        <v>78589260.156090111</v>
      </c>
      <c r="E615" s="67">
        <f t="shared" si="59"/>
        <v>149.82348662291449</v>
      </c>
      <c r="F615" s="70">
        <f t="shared" si="63"/>
        <v>9.0972821077433679</v>
      </c>
      <c r="G615" s="67">
        <f>E615/'Lookup Tables'!$C$48</f>
        <v>299.64697324582897</v>
      </c>
      <c r="H615" s="70">
        <f t="shared" si="60"/>
        <v>5.1184556268553831E-2</v>
      </c>
      <c r="I615" s="71">
        <f t="shared" si="64"/>
        <v>0.43149164147399371</v>
      </c>
      <c r="L615" s="74"/>
      <c r="M615" s="74"/>
      <c r="N615" s="74"/>
      <c r="O615" s="74"/>
      <c r="P615" s="74"/>
      <c r="Q615" s="74"/>
      <c r="R615" s="74"/>
      <c r="S615" s="74"/>
      <c r="T615" s="74"/>
      <c r="U615" s="74"/>
      <c r="V615" s="74"/>
      <c r="W615" s="74"/>
      <c r="X615" s="74"/>
      <c r="Y615" s="74"/>
      <c r="Z615" s="74"/>
    </row>
    <row r="616" spans="1:26" x14ac:dyDescent="0.3">
      <c r="A616" s="66">
        <f t="shared" si="62"/>
        <v>2050.8999999999446</v>
      </c>
      <c r="B616" s="67">
        <f>LOOKUP(A616+0.01,AmountsB!$A$4:$A$103,AmountsB!$B$4:$B$103)*0.1*$A$2</f>
        <v>0</v>
      </c>
      <c r="C616" s="68">
        <f t="shared" si="61"/>
        <v>1538495.7946267016</v>
      </c>
      <c r="D616" s="67">
        <f t="array" ref="D616">SUM($B$7:$B611*$F$1009*EXP(-$F$1009*($A616-$A$7:$A611)))*$F$1010</f>
        <v>78369518.010222331</v>
      </c>
      <c r="E616" s="67">
        <f t="shared" si="59"/>
        <v>149.40456762066759</v>
      </c>
      <c r="F616" s="70">
        <f t="shared" si="63"/>
        <v>9.0718453459269366</v>
      </c>
      <c r="G616" s="67">
        <f>E616/'Lookup Tables'!$C$48</f>
        <v>298.80913524133518</v>
      </c>
      <c r="H616" s="70">
        <f t="shared" si="60"/>
        <v>5.1041439967326387E-2</v>
      </c>
      <c r="I616" s="71">
        <f t="shared" si="64"/>
        <v>0.43028515474752266</v>
      </c>
      <c r="L616" s="74"/>
      <c r="M616" s="74"/>
      <c r="N616" s="74"/>
      <c r="O616" s="74"/>
      <c r="P616" s="74"/>
      <c r="Q616" s="74"/>
      <c r="R616" s="74"/>
      <c r="S616" s="74"/>
      <c r="T616" s="74"/>
      <c r="U616" s="74"/>
      <c r="V616" s="74"/>
      <c r="W616" s="74"/>
      <c r="X616" s="74"/>
      <c r="Y616" s="74"/>
      <c r="Z616" s="74"/>
    </row>
    <row r="617" spans="1:26" x14ac:dyDescent="0.3">
      <c r="A617" s="66">
        <f t="shared" si="62"/>
        <v>2050.9999999999445</v>
      </c>
      <c r="B617" s="67">
        <f>LOOKUP(A617+0.01,AmountsB!$A$4:$A$103,AmountsB!$B$4:$B$103)*0.1*$A$2</f>
        <v>0</v>
      </c>
      <c r="C617" s="68">
        <f t="shared" si="61"/>
        <v>1538495.7946267016</v>
      </c>
      <c r="D617" s="67">
        <f t="array" ref="D617">SUM($B$7:$B612*$F$1009*EXP(-$F$1009*($A617-$A$7:$A612)))*$F$1010</f>
        <v>78150390.281777158</v>
      </c>
      <c r="E617" s="67">
        <f t="shared" si="59"/>
        <v>148.98681995099608</v>
      </c>
      <c r="F617" s="70">
        <f t="shared" si="63"/>
        <v>9.0464797074244832</v>
      </c>
      <c r="G617" s="67">
        <f>E617/'Lookup Tables'!$C$48</f>
        <v>297.97363990199216</v>
      </c>
      <c r="H617" s="70">
        <f t="shared" si="60"/>
        <v>5.0898723831249701E-2</v>
      </c>
      <c r="I617" s="71">
        <f t="shared" si="64"/>
        <v>0.42908204145886869</v>
      </c>
      <c r="L617" s="74"/>
      <c r="M617" s="74"/>
      <c r="N617" s="74"/>
      <c r="O617" s="74"/>
      <c r="P617" s="74"/>
      <c r="Q617" s="74"/>
      <c r="R617" s="74"/>
      <c r="S617" s="74"/>
      <c r="T617" s="74"/>
      <c r="U617" s="74"/>
      <c r="V617" s="74"/>
      <c r="W617" s="74"/>
      <c r="X617" s="74"/>
      <c r="Y617" s="74"/>
      <c r="Z617" s="74"/>
    </row>
    <row r="618" spans="1:26" x14ac:dyDescent="0.3">
      <c r="A618" s="66">
        <f t="shared" si="62"/>
        <v>2051.0999999999444</v>
      </c>
      <c r="B618" s="67">
        <f>LOOKUP(A618+0.01,AmountsB!$A$4:$A$103,AmountsB!$B$4:$B$103)*0.1*$A$2</f>
        <v>0</v>
      </c>
      <c r="C618" s="68">
        <f t="shared" si="61"/>
        <v>1538495.7946267016</v>
      </c>
      <c r="D618" s="67">
        <f t="array" ref="D618">SUM($B$7:$B613*$F$1009*EXP(-$F$1009*($A618-$A$7:$A613)))*$F$1010</f>
        <v>77931875.25279209</v>
      </c>
      <c r="E618" s="67">
        <f t="shared" si="59"/>
        <v>148.57024033875609</v>
      </c>
      <c r="F618" s="70">
        <f t="shared" si="63"/>
        <v>9.0211849933692694</v>
      </c>
      <c r="G618" s="67">
        <f>E618/'Lookup Tables'!$C$48</f>
        <v>297.14048067751219</v>
      </c>
      <c r="H618" s="70">
        <f t="shared" si="60"/>
        <v>5.0756406741428568E-2</v>
      </c>
      <c r="I618" s="71">
        <f t="shared" si="64"/>
        <v>0.42788229217561757</v>
      </c>
      <c r="L618" s="74"/>
      <c r="M618" s="74"/>
      <c r="N618" s="74"/>
      <c r="O618" s="74"/>
      <c r="P618" s="74"/>
      <c r="Q618" s="74"/>
      <c r="R618" s="74"/>
      <c r="S618" s="74"/>
      <c r="T618" s="74"/>
      <c r="U618" s="74"/>
      <c r="V618" s="74"/>
      <c r="W618" s="74"/>
      <c r="X618" s="74"/>
      <c r="Y618" s="74"/>
      <c r="Z618" s="74"/>
    </row>
    <row r="619" spans="1:26" x14ac:dyDescent="0.3">
      <c r="A619" s="66">
        <f t="shared" si="62"/>
        <v>2051.1999999999443</v>
      </c>
      <c r="B619" s="67">
        <f>LOOKUP(A619+0.01,AmountsB!$A$4:$A$103,AmountsB!$B$4:$B$103)*0.1*$A$2</f>
        <v>0</v>
      </c>
      <c r="C619" s="68">
        <f t="shared" si="61"/>
        <v>1538495.7946267016</v>
      </c>
      <c r="D619" s="67">
        <f t="array" ref="D619">SUM($B$7:$B614*$F$1009*EXP(-$F$1009*($A619-$A$7:$A614)))*$F$1010</f>
        <v>77713971.210108176</v>
      </c>
      <c r="E619" s="67">
        <f t="shared" si="59"/>
        <v>148.15482551796137</v>
      </c>
      <c r="F619" s="70">
        <f t="shared" si="63"/>
        <v>8.9959610054506136</v>
      </c>
      <c r="G619" s="67">
        <f>E619/'Lookup Tables'!$C$48</f>
        <v>296.30965103592274</v>
      </c>
      <c r="H619" s="70">
        <f t="shared" si="60"/>
        <v>5.061448758209626E-2</v>
      </c>
      <c r="I619" s="71">
        <f t="shared" si="64"/>
        <v>0.42668589749172875</v>
      </c>
      <c r="L619" s="74"/>
      <c r="M619" s="74"/>
      <c r="N619" s="74"/>
      <c r="O619" s="74"/>
      <c r="P619" s="74"/>
      <c r="Q619" s="74"/>
      <c r="R619" s="74"/>
      <c r="S619" s="74"/>
      <c r="T619" s="74"/>
      <c r="U619" s="74"/>
      <c r="V619" s="74"/>
      <c r="W619" s="74"/>
      <c r="X619" s="74"/>
      <c r="Y619" s="74"/>
      <c r="Z619" s="74"/>
    </row>
    <row r="620" spans="1:26" x14ac:dyDescent="0.3">
      <c r="A620" s="66">
        <f t="shared" si="62"/>
        <v>2051.2999999999442</v>
      </c>
      <c r="B620" s="67">
        <f>LOOKUP(A620+0.01,AmountsB!$A$4:$A$103,AmountsB!$B$4:$B$103)*0.1*$A$2</f>
        <v>0</v>
      </c>
      <c r="C620" s="68">
        <f t="shared" si="61"/>
        <v>1538495.7946267016</v>
      </c>
      <c r="D620" s="67">
        <f t="array" ref="D620">SUM($B$7:$B615*$F$1009*EXP(-$F$1009*($A620-$A$7:$A615)))*$F$1010</f>
        <v>77496676.445356637</v>
      </c>
      <c r="E620" s="67">
        <f t="shared" si="59"/>
        <v>147.74057223175762</v>
      </c>
      <c r="F620" s="70">
        <f t="shared" si="63"/>
        <v>8.970807545912324</v>
      </c>
      <c r="G620" s="67">
        <f>E620/'Lookup Tables'!$C$48</f>
        <v>295.48114446351525</v>
      </c>
      <c r="H620" s="70">
        <f t="shared" si="60"/>
        <v>5.0472965240605863E-2</v>
      </c>
      <c r="I620" s="71">
        <f t="shared" si="64"/>
        <v>0.42549284802746196</v>
      </c>
      <c r="L620" s="74"/>
      <c r="M620" s="74"/>
      <c r="N620" s="74"/>
      <c r="O620" s="74"/>
      <c r="P620" s="74"/>
      <c r="Q620" s="74"/>
      <c r="R620" s="74"/>
      <c r="S620" s="74"/>
      <c r="T620" s="74"/>
      <c r="U620" s="74"/>
      <c r="V620" s="74"/>
      <c r="W620" s="74"/>
      <c r="X620" s="74"/>
      <c r="Y620" s="74"/>
      <c r="Z620" s="74"/>
    </row>
    <row r="621" spans="1:26" x14ac:dyDescent="0.3">
      <c r="A621" s="66">
        <f t="shared" si="62"/>
        <v>2051.3999999999442</v>
      </c>
      <c r="B621" s="67">
        <f>LOOKUP(A621+0.01,AmountsB!$A$4:$A$103,AmountsB!$B$4:$B$103)*0.1*$A$2</f>
        <v>0</v>
      </c>
      <c r="C621" s="68">
        <f t="shared" si="61"/>
        <v>1538495.7946267016</v>
      </c>
      <c r="D621" s="67">
        <f t="array" ref="D621">SUM($B$7:$B616*$F$1009*EXP(-$F$1009*($A621-$A$7:$A616)))*$F$1010</f>
        <v>77279989.254945368</v>
      </c>
      <c r="E621" s="67">
        <f t="shared" si="59"/>
        <v>147.32747723239692</v>
      </c>
      <c r="F621" s="70">
        <f t="shared" si="63"/>
        <v>8.9457244175511388</v>
      </c>
      <c r="G621" s="67">
        <f>E621/'Lookup Tables'!$C$48</f>
        <v>294.65495446479383</v>
      </c>
      <c r="H621" s="70">
        <f t="shared" si="60"/>
        <v>5.0331838607421485E-2</v>
      </c>
      <c r="I621" s="71">
        <f t="shared" si="64"/>
        <v>0.42430313442930312</v>
      </c>
      <c r="L621" s="74"/>
      <c r="M621" s="74"/>
      <c r="N621" s="74"/>
      <c r="O621" s="74"/>
      <c r="P621" s="74"/>
      <c r="Q621" s="74"/>
      <c r="R621" s="74"/>
      <c r="S621" s="74"/>
      <c r="T621" s="74"/>
      <c r="U621" s="74"/>
      <c r="V621" s="74"/>
      <c r="W621" s="74"/>
      <c r="X621" s="74"/>
      <c r="Y621" s="74"/>
      <c r="Z621" s="74"/>
    </row>
    <row r="622" spans="1:26" x14ac:dyDescent="0.3">
      <c r="A622" s="66">
        <f t="shared" si="62"/>
        <v>2051.4999999999441</v>
      </c>
      <c r="B622" s="67">
        <f>LOOKUP(A622+0.01,AmountsB!$A$4:$A$103,AmountsB!$B$4:$B$103)*0.1*$A$2</f>
        <v>0</v>
      </c>
      <c r="C622" s="68">
        <f t="shared" si="61"/>
        <v>1538495.7946267016</v>
      </c>
      <c r="D622" s="67">
        <f t="array" ref="D622">SUM($B$7:$B617*$F$1009*EXP(-$F$1009*($A622-$A$7:$A617)))*$F$1010</f>
        <v>77063907.940045685</v>
      </c>
      <c r="E622" s="67">
        <f t="shared" si="59"/>
        <v>146.91553728121229</v>
      </c>
      <c r="F622" s="70">
        <f t="shared" si="63"/>
        <v>8.9207114237152094</v>
      </c>
      <c r="G622" s="67">
        <f>E622/'Lookup Tables'!$C$48</f>
        <v>293.83107456242459</v>
      </c>
      <c r="H622" s="70">
        <f t="shared" si="60"/>
        <v>5.0191106576109583E-2</v>
      </c>
      <c r="I622" s="71">
        <f t="shared" si="64"/>
        <v>0.42311674736989136</v>
      </c>
      <c r="L622" s="74"/>
      <c r="M622" s="74"/>
      <c r="N622" s="74"/>
      <c r="O622" s="74"/>
      <c r="P622" s="74"/>
      <c r="Q622" s="74"/>
      <c r="R622" s="74"/>
      <c r="S622" s="74"/>
      <c r="T622" s="74"/>
      <c r="U622" s="74"/>
      <c r="V622" s="74"/>
      <c r="W622" s="74"/>
      <c r="X622" s="74"/>
      <c r="Y622" s="74"/>
      <c r="Z622" s="74"/>
    </row>
    <row r="623" spans="1:26" x14ac:dyDescent="0.3">
      <c r="A623" s="66">
        <f t="shared" si="62"/>
        <v>2051.599999999944</v>
      </c>
      <c r="B623" s="67">
        <f>LOOKUP(A623+0.01,AmountsB!$A$4:$A$103,AmountsB!$B$4:$B$103)*0.1*$A$2</f>
        <v>0</v>
      </c>
      <c r="C623" s="68">
        <f t="shared" si="61"/>
        <v>1538495.7946267016</v>
      </c>
      <c r="D623" s="67">
        <f t="array" ref="D623">SUM($B$7:$B618*$F$1009*EXP(-$F$1009*($A623-$A$7:$A618)))*$F$1010</f>
        <v>76848430.806578979</v>
      </c>
      <c r="E623" s="67">
        <f t="shared" si="59"/>
        <v>146.50474914859248</v>
      </c>
      <c r="F623" s="70">
        <f t="shared" si="63"/>
        <v>8.8957683683025355</v>
      </c>
      <c r="G623" s="67">
        <f>E623/'Lookup Tables'!$C$48</f>
        <v>293.00949829718496</v>
      </c>
      <c r="H623" s="70">
        <f t="shared" si="60"/>
        <v>5.0050768043330328E-2</v>
      </c>
      <c r="I623" s="71">
        <f t="shared" si="64"/>
        <v>0.42193367754794636</v>
      </c>
      <c r="L623" s="74"/>
      <c r="M623" s="74"/>
      <c r="N623" s="74"/>
      <c r="O623" s="74"/>
      <c r="P623" s="74"/>
      <c r="Q623" s="74"/>
      <c r="R623" s="74"/>
      <c r="S623" s="74"/>
      <c r="T623" s="74"/>
      <c r="U623" s="74"/>
      <c r="V623" s="74"/>
      <c r="W623" s="74"/>
      <c r="X623" s="74"/>
      <c r="Y623" s="74"/>
      <c r="Z623" s="74"/>
    </row>
    <row r="624" spans="1:26" x14ac:dyDescent="0.3">
      <c r="A624" s="66">
        <f t="shared" si="62"/>
        <v>2051.6999999999439</v>
      </c>
      <c r="B624" s="67">
        <f>LOOKUP(A624+0.01,AmountsB!$A$4:$A$103,AmountsB!$B$4:$B$103)*0.1*$A$2</f>
        <v>0</v>
      </c>
      <c r="C624" s="68">
        <f t="shared" si="61"/>
        <v>1538495.7946267016</v>
      </c>
      <c r="D624" s="67">
        <f t="array" ref="D624">SUM($B$7:$B619*$F$1009*EXP(-$F$1009*($A624-$A$7:$A619)))*$F$1010</f>
        <v>76633556.165203422</v>
      </c>
      <c r="E624" s="67">
        <f t="shared" si="59"/>
        <v>146.0951096139564</v>
      </c>
      <c r="F624" s="70">
        <f t="shared" si="63"/>
        <v>8.8708950557594317</v>
      </c>
      <c r="G624" s="67">
        <f>E624/'Lookup Tables'!$C$48</f>
        <v>292.19021922791279</v>
      </c>
      <c r="H624" s="70">
        <f t="shared" si="60"/>
        <v>4.9910821908828881E-2</v>
      </c>
      <c r="I624" s="71">
        <f t="shared" si="64"/>
        <v>0.42075391568819437</v>
      </c>
      <c r="L624" s="74"/>
      <c r="M624" s="74"/>
      <c r="N624" s="74"/>
      <c r="O624" s="74"/>
      <c r="P624" s="74"/>
      <c r="Q624" s="74"/>
      <c r="R624" s="74"/>
      <c r="S624" s="74"/>
      <c r="T624" s="74"/>
      <c r="U624" s="74"/>
      <c r="V624" s="74"/>
      <c r="W624" s="74"/>
      <c r="X624" s="74"/>
      <c r="Y624" s="74"/>
      <c r="Z624" s="74"/>
    </row>
    <row r="625" spans="1:26" x14ac:dyDescent="0.3">
      <c r="A625" s="66">
        <f t="shared" si="62"/>
        <v>2051.7999999999438</v>
      </c>
      <c r="B625" s="67">
        <f>LOOKUP(A625+0.01,AmountsB!$A$4:$A$103,AmountsB!$B$4:$B$103)*0.1*$A$2</f>
        <v>0</v>
      </c>
      <c r="C625" s="68">
        <f t="shared" si="61"/>
        <v>1538495.7946267016</v>
      </c>
      <c r="D625" s="67">
        <f t="array" ref="D625">SUM($B$7:$B620*$F$1009*EXP(-$F$1009*($A625-$A$7:$A620)))*$F$1010</f>
        <v>76419282.331300735</v>
      </c>
      <c r="E625" s="67">
        <f t="shared" si="59"/>
        <v>145.68661546572804</v>
      </c>
      <c r="F625" s="70">
        <f t="shared" si="63"/>
        <v>8.8460912910790057</v>
      </c>
      <c r="G625" s="67">
        <f>E625/'Lookup Tables'!$C$48</f>
        <v>291.37323093145608</v>
      </c>
      <c r="H625" s="70">
        <f t="shared" si="60"/>
        <v>4.9771267075426867E-2</v>
      </c>
      <c r="I625" s="71">
        <f t="shared" si="64"/>
        <v>0.41957745254129675</v>
      </c>
      <c r="L625" s="74"/>
      <c r="M625" s="74"/>
      <c r="N625" s="74"/>
      <c r="O625" s="74"/>
      <c r="P625" s="74"/>
      <c r="Q625" s="74"/>
      <c r="R625" s="74"/>
      <c r="S625" s="74"/>
      <c r="T625" s="74"/>
      <c r="U625" s="74"/>
      <c r="V625" s="74"/>
      <c r="W625" s="74"/>
      <c r="X625" s="74"/>
      <c r="Y625" s="74"/>
      <c r="Z625" s="74"/>
    </row>
    <row r="626" spans="1:26" x14ac:dyDescent="0.3">
      <c r="A626" s="66">
        <f t="shared" si="62"/>
        <v>2051.8999999999437</v>
      </c>
      <c r="B626" s="67">
        <f>LOOKUP(A626+0.01,AmountsB!$A$4:$A$103,AmountsB!$B$4:$B$103)*0.1*$A$2</f>
        <v>0</v>
      </c>
      <c r="C626" s="68">
        <f t="shared" si="61"/>
        <v>1538495.7946267016</v>
      </c>
      <c r="D626" s="67">
        <f t="array" ref="D626">SUM($B$7:$B621*$F$1009*EXP(-$F$1009*($A626-$A$7:$A621)))*$F$1010</f>
        <v>76205607.624962971</v>
      </c>
      <c r="E626" s="67">
        <f t="shared" si="59"/>
        <v>145.27926350131116</v>
      </c>
      <c r="F626" s="70">
        <f t="shared" si="63"/>
        <v>8.8213568797996142</v>
      </c>
      <c r="G626" s="67">
        <f>E626/'Lookup Tables'!$C$48</f>
        <v>290.55852700262233</v>
      </c>
      <c r="H626" s="70">
        <f t="shared" si="60"/>
        <v>4.9632102449013671E-2</v>
      </c>
      <c r="I626" s="71">
        <f t="shared" si="64"/>
        <v>0.41840427888377618</v>
      </c>
      <c r="L626" s="74"/>
      <c r="M626" s="74"/>
      <c r="N626" s="74"/>
      <c r="O626" s="74"/>
      <c r="P626" s="74"/>
      <c r="Q626" s="74"/>
      <c r="R626" s="74"/>
      <c r="S626" s="74"/>
      <c r="T626" s="74"/>
      <c r="U626" s="74"/>
      <c r="V626" s="74"/>
      <c r="W626" s="74"/>
      <c r="X626" s="74"/>
      <c r="Y626" s="74"/>
      <c r="Z626" s="74"/>
    </row>
    <row r="627" spans="1:26" x14ac:dyDescent="0.3">
      <c r="A627" s="66">
        <f t="shared" si="62"/>
        <v>2051.9999999999436</v>
      </c>
      <c r="B627" s="67">
        <f>LOOKUP(A627+0.01,AmountsB!$A$4:$A$103,AmountsB!$B$4:$B$103)*0.1*$A$2</f>
        <v>0</v>
      </c>
      <c r="C627" s="68">
        <f t="shared" si="61"/>
        <v>1538495.7946267016</v>
      </c>
      <c r="D627" s="67">
        <f t="array" ref="D627">SUM($B$7:$B622*$F$1009*EXP(-$F$1009*($A627-$A$7:$A622)))*$F$1010</f>
        <v>75992530.370979294</v>
      </c>
      <c r="E627" s="67">
        <f t="shared" si="59"/>
        <v>144.87305052706424</v>
      </c>
      <c r="F627" s="70">
        <f t="shared" si="63"/>
        <v>8.7966916280033409</v>
      </c>
      <c r="G627" s="67">
        <f>E627/'Lookup Tables'!$C$48</f>
        <v>289.74610105412847</v>
      </c>
      <c r="H627" s="70">
        <f t="shared" si="60"/>
        <v>4.9493326938537877E-2</v>
      </c>
      <c r="I627" s="71">
        <f t="shared" si="64"/>
        <v>0.41723438551794506</v>
      </c>
      <c r="L627" s="74"/>
      <c r="M627" s="74"/>
      <c r="N627" s="74"/>
      <c r="O627" s="74"/>
      <c r="P627" s="74"/>
      <c r="Q627" s="74"/>
      <c r="R627" s="74"/>
      <c r="S627" s="74"/>
      <c r="T627" s="74"/>
      <c r="U627" s="74"/>
      <c r="V627" s="74"/>
      <c r="W627" s="74"/>
      <c r="X627" s="74"/>
      <c r="Y627" s="74"/>
      <c r="Z627" s="74"/>
    </row>
    <row r="628" spans="1:26" x14ac:dyDescent="0.3">
      <c r="A628" s="66">
        <f t="shared" si="62"/>
        <v>2052.0999999999435</v>
      </c>
      <c r="B628" s="67">
        <f>LOOKUP(A628+0.01,AmountsB!$A$4:$A$103,AmountsB!$B$4:$B$103)*0.1*$A$2</f>
        <v>0</v>
      </c>
      <c r="C628" s="68">
        <f t="shared" si="61"/>
        <v>1538495.7946267016</v>
      </c>
      <c r="D628" s="67">
        <f t="array" ref="D628">SUM($B$7:$B623*$F$1009*EXP(-$F$1009*($A628-$A$7:$A623)))*$F$1010</f>
        <v>75780048.898822978</v>
      </c>
      <c r="E628" s="67">
        <f t="shared" si="59"/>
        <v>144.46797335827554</v>
      </c>
      <c r="F628" s="70">
        <f t="shared" si="63"/>
        <v>8.7720953423144916</v>
      </c>
      <c r="G628" s="67">
        <f>E628/'Lookup Tables'!$C$48</f>
        <v>288.93594671655109</v>
      </c>
      <c r="H628" s="70">
        <f t="shared" si="60"/>
        <v>4.9354939455998802E-2</v>
      </c>
      <c r="I628" s="71">
        <f t="shared" si="64"/>
        <v>0.41606776327183354</v>
      </c>
      <c r="L628" s="74"/>
      <c r="M628" s="74"/>
      <c r="N628" s="74"/>
      <c r="O628" s="74"/>
      <c r="P628" s="74"/>
      <c r="Q628" s="74"/>
      <c r="R628" s="74"/>
      <c r="S628" s="74"/>
      <c r="T628" s="74"/>
      <c r="U628" s="74"/>
      <c r="V628" s="74"/>
      <c r="W628" s="74"/>
      <c r="X628" s="74"/>
      <c r="Y628" s="74"/>
      <c r="Z628" s="74"/>
    </row>
    <row r="629" spans="1:26" x14ac:dyDescent="0.3">
      <c r="A629" s="66">
        <f t="shared" si="62"/>
        <v>2052.1999999999434</v>
      </c>
      <c r="B629" s="67">
        <f>LOOKUP(A629+0.01,AmountsB!$A$4:$A$103,AmountsB!$B$4:$B$103)*0.1*$A$2</f>
        <v>0</v>
      </c>
      <c r="C629" s="68">
        <f t="shared" si="61"/>
        <v>1538495.7946267016</v>
      </c>
      <c r="D629" s="67">
        <f t="array" ref="D629">SUM($B$7:$B624*$F$1009*EXP(-$F$1009*($A629-$A$7:$A624)))*$F$1010</f>
        <v>75568161.542638198</v>
      </c>
      <c r="E629" s="67">
        <f t="shared" si="59"/>
        <v>144.06402881913795</v>
      </c>
      <c r="F629" s="70">
        <f t="shared" si="63"/>
        <v>8.7475678298980561</v>
      </c>
      <c r="G629" s="67">
        <f>E629/'Lookup Tables'!$C$48</f>
        <v>288.12805763827589</v>
      </c>
      <c r="H629" s="70">
        <f t="shared" si="60"/>
        <v>4.9216938916437865E-2</v>
      </c>
      <c r="I629" s="71">
        <f t="shared" si="64"/>
        <v>0.41490440299911729</v>
      </c>
      <c r="L629" s="74"/>
      <c r="M629" s="74"/>
      <c r="N629" s="74"/>
      <c r="O629" s="74"/>
      <c r="P629" s="74"/>
      <c r="Q629" s="74"/>
      <c r="R629" s="74"/>
      <c r="S629" s="74"/>
      <c r="T629" s="74"/>
      <c r="U629" s="74"/>
      <c r="V629" s="74"/>
      <c r="W629" s="74"/>
      <c r="X629" s="74"/>
      <c r="Y629" s="74"/>
      <c r="Z629" s="74"/>
    </row>
    <row r="630" spans="1:26" x14ac:dyDescent="0.3">
      <c r="A630" s="66">
        <f t="shared" si="62"/>
        <v>2052.2999999999433</v>
      </c>
      <c r="B630" s="67">
        <f>LOOKUP(A630+0.01,AmountsB!$A$4:$A$103,AmountsB!$B$4:$B$103)*0.1*$A$2</f>
        <v>0</v>
      </c>
      <c r="C630" s="68">
        <f t="shared" si="61"/>
        <v>1538495.7946267016</v>
      </c>
      <c r="D630" s="67">
        <f t="array" ref="D630">SUM($B$7:$B625*$F$1009*EXP(-$F$1009*($A630-$A$7:$A625)))*$F$1010</f>
        <v>75356866.641226947</v>
      </c>
      <c r="E630" s="67">
        <f t="shared" si="59"/>
        <v>143.66121374272416</v>
      </c>
      <c r="F630" s="70">
        <f t="shared" si="63"/>
        <v>8.7231088984582108</v>
      </c>
      <c r="G630" s="67">
        <f>E630/'Lookup Tables'!$C$48</f>
        <v>287.32242748544832</v>
      </c>
      <c r="H630" s="70">
        <f t="shared" si="60"/>
        <v>4.90793242379301E-2</v>
      </c>
      <c r="I630" s="71">
        <f t="shared" si="64"/>
        <v>0.41374429557904552</v>
      </c>
      <c r="L630" s="74"/>
      <c r="M630" s="74"/>
      <c r="N630" s="74"/>
      <c r="O630" s="74"/>
      <c r="P630" s="74"/>
      <c r="Q630" s="74"/>
      <c r="R630" s="74"/>
      <c r="S630" s="74"/>
      <c r="T630" s="74"/>
      <c r="U630" s="74"/>
      <c r="V630" s="74"/>
      <c r="W630" s="74"/>
      <c r="X630" s="74"/>
      <c r="Y630" s="74"/>
      <c r="Z630" s="74"/>
    </row>
    <row r="631" spans="1:26" x14ac:dyDescent="0.3">
      <c r="A631" s="66">
        <f t="shared" si="62"/>
        <v>2052.3999999999432</v>
      </c>
      <c r="B631" s="67">
        <f>LOOKUP(A631+0.01,AmountsB!$A$4:$A$103,AmountsB!$B$4:$B$103)*0.1*$A$2</f>
        <v>0</v>
      </c>
      <c r="C631" s="68">
        <f t="shared" si="61"/>
        <v>1538495.7946267016</v>
      </c>
      <c r="D631" s="67">
        <f t="array" ref="D631">SUM($B$7:$B626*$F$1009*EXP(-$F$1009*($A631-$A$7:$A626)))*$F$1010</f>
        <v>75146162.538036168</v>
      </c>
      <c r="E631" s="67">
        <f t="shared" si="59"/>
        <v>143.25952497096199</v>
      </c>
      <c r="F631" s="70">
        <f t="shared" si="63"/>
        <v>8.698718356236812</v>
      </c>
      <c r="G631" s="67">
        <f>E631/'Lookup Tables'!$C$48</f>
        <v>286.51904994192398</v>
      </c>
      <c r="H631" s="70">
        <f t="shared" si="60"/>
        <v>4.894209434157578E-2</v>
      </c>
      <c r="I631" s="71">
        <f t="shared" si="64"/>
        <v>0.41258743191637054</v>
      </c>
      <c r="L631" s="74"/>
      <c r="M631" s="74"/>
      <c r="N631" s="74"/>
      <c r="O631" s="74"/>
      <c r="P631" s="74"/>
      <c r="Q631" s="74"/>
      <c r="R631" s="74"/>
      <c r="S631" s="74"/>
      <c r="T631" s="74"/>
      <c r="U631" s="74"/>
      <c r="V631" s="74"/>
      <c r="W631" s="74"/>
      <c r="X631" s="74"/>
      <c r="Y631" s="74"/>
      <c r="Z631" s="74"/>
    </row>
    <row r="632" spans="1:26" x14ac:dyDescent="0.3">
      <c r="A632" s="66">
        <f t="shared" si="62"/>
        <v>2052.4999999999432</v>
      </c>
      <c r="B632" s="67">
        <f>LOOKUP(A632+0.01,AmountsB!$A$4:$A$103,AmountsB!$B$4:$B$103)*0.1*$A$2</f>
        <v>0</v>
      </c>
      <c r="C632" s="68">
        <f t="shared" si="61"/>
        <v>1538495.7946267016</v>
      </c>
      <c r="D632" s="67">
        <f t="array" ref="D632">SUM($B$7:$B627*$F$1009*EXP(-$F$1009*($A632-$A$7:$A627)))*$F$1010</f>
        <v>74936047.581144601</v>
      </c>
      <c r="E632" s="67">
        <f t="shared" si="59"/>
        <v>142.85895935460942</v>
      </c>
      <c r="F632" s="70">
        <f t="shared" si="63"/>
        <v>8.6743960120118846</v>
      </c>
      <c r="G632" s="67">
        <f>E632/'Lookup Tables'!$C$48</f>
        <v>285.71791870921885</v>
      </c>
      <c r="H632" s="70">
        <f t="shared" si="60"/>
        <v>4.8805248151491794E-2</v>
      </c>
      <c r="I632" s="71">
        <f t="shared" si="64"/>
        <v>0.41143380294127518</v>
      </c>
      <c r="L632" s="74"/>
      <c r="M632" s="74"/>
      <c r="N632" s="74"/>
      <c r="O632" s="74"/>
      <c r="P632" s="74"/>
      <c r="Q632" s="74"/>
      <c r="R632" s="74"/>
      <c r="S632" s="74"/>
      <c r="T632" s="74"/>
      <c r="U632" s="74"/>
      <c r="V632" s="74"/>
      <c r="W632" s="74"/>
      <c r="X632" s="74"/>
      <c r="Y632" s="74"/>
      <c r="Z632" s="74"/>
    </row>
    <row r="633" spans="1:26" x14ac:dyDescent="0.3">
      <c r="A633" s="66">
        <f t="shared" si="62"/>
        <v>2052.5999999999431</v>
      </c>
      <c r="B633" s="67">
        <f>LOOKUP(A633+0.01,AmountsB!$A$4:$A$103,AmountsB!$B$4:$B$103)*0.1*$A$2</f>
        <v>0</v>
      </c>
      <c r="C633" s="68">
        <f t="shared" si="61"/>
        <v>1538495.7946267016</v>
      </c>
      <c r="D633" s="67">
        <f t="array" ref="D633">SUM($B$7:$B628*$F$1009*EXP(-$F$1009*($A633-$A$7:$A628)))*$F$1010</f>
        <v>74726520.123249888</v>
      </c>
      <c r="E633" s="67">
        <f t="shared" si="59"/>
        <v>142.45951375322988</v>
      </c>
      <c r="F633" s="70">
        <f t="shared" si="63"/>
        <v>8.6501416750961191</v>
      </c>
      <c r="G633" s="67">
        <f>E633/'Lookup Tables'!$C$48</f>
        <v>284.91902750645977</v>
      </c>
      <c r="H633" s="70">
        <f t="shared" si="60"/>
        <v>4.8668784594803269E-2</v>
      </c>
      <c r="I633" s="71">
        <f t="shared" si="64"/>
        <v>0.4102833996093021</v>
      </c>
      <c r="L633" s="74"/>
      <c r="M633" s="74"/>
      <c r="N633" s="74"/>
      <c r="O633" s="74"/>
      <c r="P633" s="74"/>
      <c r="Q633" s="74"/>
      <c r="R633" s="74"/>
      <c r="S633" s="74"/>
      <c r="T633" s="74"/>
      <c r="U633" s="74"/>
      <c r="V633" s="74"/>
      <c r="W633" s="74"/>
      <c r="X633" s="74"/>
      <c r="Y633" s="74"/>
      <c r="Z633" s="74"/>
    </row>
    <row r="634" spans="1:26" x14ac:dyDescent="0.3">
      <c r="A634" s="66">
        <f t="shared" si="62"/>
        <v>2052.699999999943</v>
      </c>
      <c r="B634" s="67">
        <f>LOOKUP(A634+0.01,AmountsB!$A$4:$A$103,AmountsB!$B$4:$B$103)*0.1*$A$2</f>
        <v>0</v>
      </c>
      <c r="C634" s="68">
        <f t="shared" si="61"/>
        <v>1538495.7946267016</v>
      </c>
      <c r="D634" s="67">
        <f t="array" ref="D634">SUM($B$7:$B629*$F$1009*EXP(-$F$1009*($A634-$A$7:$A629)))*$F$1010</f>
        <v>74517578.521655709</v>
      </c>
      <c r="E634" s="67">
        <f t="shared" si="59"/>
        <v>142.06118503516788</v>
      </c>
      <c r="F634" s="70">
        <f t="shared" si="63"/>
        <v>8.6259551553353919</v>
      </c>
      <c r="G634" s="67">
        <f>E634/'Lookup Tables'!$C$48</f>
        <v>284.12237007033576</v>
      </c>
      <c r="H634" s="70">
        <f t="shared" si="60"/>
        <v>4.8532702601635273E-2</v>
      </c>
      <c r="I634" s="71">
        <f t="shared" si="64"/>
        <v>0.40913621290128355</v>
      </c>
      <c r="L634" s="74"/>
      <c r="M634" s="74"/>
      <c r="N634" s="74"/>
      <c r="O634" s="74"/>
      <c r="P634" s="74"/>
      <c r="Q634" s="74"/>
      <c r="R634" s="74"/>
      <c r="S634" s="74"/>
      <c r="T634" s="74"/>
      <c r="U634" s="74"/>
      <c r="V634" s="74"/>
      <c r="W634" s="74"/>
      <c r="X634" s="74"/>
      <c r="Y634" s="74"/>
      <c r="Z634" s="74"/>
    </row>
    <row r="635" spans="1:26" x14ac:dyDescent="0.3">
      <c r="A635" s="66">
        <f t="shared" si="62"/>
        <v>2052.7999999999429</v>
      </c>
      <c r="B635" s="67">
        <f>LOOKUP(A635+0.01,AmountsB!$A$4:$A$103,AmountsB!$B$4:$B$103)*0.1*$A$2</f>
        <v>0</v>
      </c>
      <c r="C635" s="68">
        <f t="shared" si="61"/>
        <v>1538495.7946267016</v>
      </c>
      <c r="D635" s="67">
        <f t="array" ref="D635">SUM($B$7:$B630*$F$1009*EXP(-$F$1009*($A635-$A$7:$A630)))*$F$1010</f>
        <v>74309221.138258815</v>
      </c>
      <c r="E635" s="67">
        <f t="shared" si="59"/>
        <v>141.6639700775242</v>
      </c>
      <c r="F635" s="70">
        <f t="shared" si="63"/>
        <v>8.6018362631072698</v>
      </c>
      <c r="G635" s="67">
        <f>E635/'Lookup Tables'!$C$48</f>
        <v>283.3279401550484</v>
      </c>
      <c r="H635" s="70">
        <f t="shared" si="60"/>
        <v>4.8397001105104247E-2</v>
      </c>
      <c r="I635" s="71">
        <f t="shared" si="64"/>
        <v>0.40799223382326971</v>
      </c>
      <c r="L635" s="74"/>
      <c r="M635" s="74"/>
      <c r="N635" s="74"/>
      <c r="O635" s="74"/>
      <c r="P635" s="74"/>
      <c r="Q635" s="74"/>
      <c r="R635" s="74"/>
      <c r="S635" s="74"/>
      <c r="T635" s="74"/>
      <c r="U635" s="74"/>
      <c r="V635" s="74"/>
      <c r="W635" s="74"/>
      <c r="X635" s="74"/>
      <c r="Y635" s="74"/>
      <c r="Z635" s="74"/>
    </row>
    <row r="636" spans="1:26" x14ac:dyDescent="0.3">
      <c r="A636" s="66">
        <f t="shared" si="62"/>
        <v>2052.8999999999428</v>
      </c>
      <c r="B636" s="67">
        <f>LOOKUP(A636+0.01,AmountsB!$A$4:$A$103,AmountsB!$B$4:$B$103)*0.1*$A$2</f>
        <v>0</v>
      </c>
      <c r="C636" s="68">
        <f t="shared" si="61"/>
        <v>1538495.7946267016</v>
      </c>
      <c r="D636" s="67">
        <f t="array" ref="D636">SUM($B$7:$B631*$F$1009*EXP(-$F$1009*($A636-$A$7:$A631)))*$F$1010</f>
        <v>74101446.339536265</v>
      </c>
      <c r="E636" s="67">
        <f t="shared" si="59"/>
        <v>141.26786576613154</v>
      </c>
      <c r="F636" s="70">
        <f t="shared" si="63"/>
        <v>8.577784809319505</v>
      </c>
      <c r="G636" s="67">
        <f>E636/'Lookup Tables'!$C$48</f>
        <v>282.53573153226307</v>
      </c>
      <c r="H636" s="70">
        <f t="shared" si="60"/>
        <v>4.8261679041309784E-2</v>
      </c>
      <c r="I636" s="71">
        <f t="shared" si="64"/>
        <v>0.40685145340645879</v>
      </c>
      <c r="L636" s="74"/>
      <c r="M636" s="74"/>
      <c r="N636" s="74"/>
      <c r="O636" s="74"/>
      <c r="P636" s="74"/>
      <c r="Q636" s="74"/>
      <c r="R636" s="74"/>
      <c r="S636" s="74"/>
      <c r="T636" s="74"/>
      <c r="U636" s="74"/>
      <c r="V636" s="74"/>
      <c r="W636" s="74"/>
      <c r="X636" s="74"/>
      <c r="Y636" s="74"/>
      <c r="Z636" s="74"/>
    </row>
    <row r="637" spans="1:26" x14ac:dyDescent="0.3">
      <c r="A637" s="66">
        <f t="shared" si="62"/>
        <v>2052.9999999999427</v>
      </c>
      <c r="B637" s="67">
        <f>LOOKUP(A637+0.01,AmountsB!$A$4:$A$103,AmountsB!$B$4:$B$103)*0.1*$A$2</f>
        <v>0</v>
      </c>
      <c r="C637" s="68">
        <f t="shared" si="61"/>
        <v>1538495.7946267016</v>
      </c>
      <c r="D637" s="67">
        <f t="array" ref="D637">SUM($B$7:$B632*$F$1009*EXP(-$F$1009*($A637-$A$7:$A632)))*$F$1010</f>
        <v>73894252.496532604</v>
      </c>
      <c r="E637" s="67">
        <f t="shared" si="59"/>
        <v>140.87286899553013</v>
      </c>
      <c r="F637" s="70">
        <f t="shared" si="63"/>
        <v>8.5538006054085898</v>
      </c>
      <c r="G637" s="67">
        <f>E637/'Lookup Tables'!$C$48</f>
        <v>281.74573799106025</v>
      </c>
      <c r="H637" s="70">
        <f t="shared" si="60"/>
        <v>4.8126735349326238E-2</v>
      </c>
      <c r="I637" s="71">
        <f t="shared" si="64"/>
        <v>0.40571386270712678</v>
      </c>
      <c r="L637" s="74"/>
      <c r="M637" s="74"/>
      <c r="N637" s="74"/>
      <c r="O637" s="74"/>
      <c r="P637" s="74"/>
      <c r="Q637" s="74"/>
      <c r="R637" s="74"/>
      <c r="S637" s="74"/>
      <c r="T637" s="74"/>
      <c r="U637" s="74"/>
      <c r="V637" s="74"/>
      <c r="W637" s="74"/>
      <c r="X637" s="74"/>
      <c r="Y637" s="74"/>
      <c r="Z637" s="74"/>
    </row>
    <row r="638" spans="1:26" x14ac:dyDescent="0.3">
      <c r="A638" s="66">
        <f t="shared" si="62"/>
        <v>2053.0999999999426</v>
      </c>
      <c r="B638" s="67">
        <f>LOOKUP(A638+0.01,AmountsB!$A$4:$A$103,AmountsB!$B$4:$B$103)*0.1*$A$2</f>
        <v>0</v>
      </c>
      <c r="C638" s="68">
        <f t="shared" si="61"/>
        <v>1538495.7946267016</v>
      </c>
      <c r="D638" s="67">
        <f t="array" ref="D638">SUM($B$7:$B633*$F$1009*EXP(-$F$1009*($A638-$A$7:$A633)))*$F$1010</f>
        <v>73687637.984846979</v>
      </c>
      <c r="E638" s="67">
        <f t="shared" si="59"/>
        <v>140.47897666894318</v>
      </c>
      <c r="F638" s="70">
        <f t="shared" si="63"/>
        <v>8.5298834633382299</v>
      </c>
      <c r="G638" s="67">
        <f>E638/'Lookup Tables'!$C$48</f>
        <v>280.95795333788635</v>
      </c>
      <c r="H638" s="70">
        <f t="shared" si="60"/>
        <v>4.7992168971194321E-2</v>
      </c>
      <c r="I638" s="71">
        <f t="shared" si="64"/>
        <v>0.40457945280655638</v>
      </c>
      <c r="L638" s="74"/>
      <c r="M638" s="74"/>
      <c r="N638" s="74"/>
      <c r="O638" s="74"/>
      <c r="P638" s="74"/>
      <c r="Q638" s="74"/>
      <c r="R638" s="74"/>
      <c r="S638" s="74"/>
      <c r="T638" s="74"/>
      <c r="U638" s="74"/>
      <c r="V638" s="74"/>
      <c r="W638" s="74"/>
      <c r="X638" s="74"/>
      <c r="Y638" s="74"/>
      <c r="Z638" s="74"/>
    </row>
    <row r="639" spans="1:26" x14ac:dyDescent="0.3">
      <c r="A639" s="66">
        <f t="shared" si="62"/>
        <v>2053.1999999999425</v>
      </c>
      <c r="B639" s="67">
        <f>LOOKUP(A639+0.01,AmountsB!$A$4:$A$103,AmountsB!$B$4:$B$103)*0.1*$A$2</f>
        <v>0</v>
      </c>
      <c r="C639" s="68">
        <f t="shared" si="61"/>
        <v>1538495.7946267016</v>
      </c>
      <c r="D639" s="67">
        <f t="array" ref="D639">SUM($B$7:$B634*$F$1009*EXP(-$F$1009*($A639-$A$7:$A634)))*$F$1010</f>
        <v>73481601.184620604</v>
      </c>
      <c r="E639" s="67">
        <f t="shared" si="59"/>
        <v>140.08618569825285</v>
      </c>
      <c r="F639" s="70">
        <f t="shared" si="63"/>
        <v>8.5060331955979134</v>
      </c>
      <c r="G639" s="67">
        <f>E639/'Lookup Tables'!$C$48</f>
        <v>280.1723713965057</v>
      </c>
      <c r="H639" s="70">
        <f t="shared" si="60"/>
        <v>4.7857978851912952E-2</v>
      </c>
      <c r="I639" s="71">
        <f t="shared" si="64"/>
        <v>0.40344821481096821</v>
      </c>
      <c r="L639" s="74"/>
      <c r="M639" s="74"/>
      <c r="N639" s="74"/>
      <c r="O639" s="74"/>
      <c r="P639" s="74"/>
      <c r="Q639" s="74"/>
      <c r="R639" s="74"/>
      <c r="S639" s="74"/>
      <c r="T639" s="74"/>
      <c r="U639" s="74"/>
      <c r="V639" s="74"/>
      <c r="W639" s="74"/>
      <c r="X639" s="74"/>
      <c r="Y639" s="74"/>
      <c r="Z639" s="74"/>
    </row>
    <row r="640" spans="1:26" x14ac:dyDescent="0.3">
      <c r="A640" s="66">
        <f t="shared" si="62"/>
        <v>2053.2999999999424</v>
      </c>
      <c r="B640" s="67">
        <f>LOOKUP(A640+0.01,AmountsB!$A$4:$A$103,AmountsB!$B$4:$B$103)*0.1*$A$2</f>
        <v>0</v>
      </c>
      <c r="C640" s="68">
        <f t="shared" si="61"/>
        <v>1538495.7946267016</v>
      </c>
      <c r="D640" s="67">
        <f t="array" ref="D640">SUM($B$7:$B635*$F$1009*EXP(-$F$1009*($A640-$A$7:$A635)))*$F$1010</f>
        <v>73276140.480523899</v>
      </c>
      <c r="E640" s="67">
        <f t="shared" si="59"/>
        <v>139.69449300397594</v>
      </c>
      <c r="F640" s="70">
        <f t="shared" si="63"/>
        <v>8.48224961520142</v>
      </c>
      <c r="G640" s="67">
        <f>E640/'Lookup Tables'!$C$48</f>
        <v>279.38898600795187</v>
      </c>
      <c r="H640" s="70">
        <f t="shared" si="60"/>
        <v>4.7724163939430915E-2</v>
      </c>
      <c r="I640" s="71">
        <f t="shared" si="64"/>
        <v>0.40232013985145071</v>
      </c>
      <c r="L640" s="74"/>
      <c r="M640" s="74"/>
      <c r="N640" s="74"/>
      <c r="O640" s="74"/>
      <c r="P640" s="74"/>
      <c r="Q640" s="74"/>
      <c r="R640" s="74"/>
      <c r="S640" s="74"/>
      <c r="T640" s="74"/>
      <c r="U640" s="74"/>
      <c r="V640" s="74"/>
      <c r="W640" s="74"/>
      <c r="X640" s="74"/>
      <c r="Y640" s="74"/>
      <c r="Z640" s="74"/>
    </row>
    <row r="641" spans="1:26" x14ac:dyDescent="0.3">
      <c r="A641" s="66">
        <f t="shared" si="62"/>
        <v>2053.3999999999423</v>
      </c>
      <c r="B641" s="67">
        <f>LOOKUP(A641+0.01,AmountsB!$A$4:$A$103,AmountsB!$B$4:$B$103)*0.1*$A$2</f>
        <v>0</v>
      </c>
      <c r="C641" s="68">
        <f t="shared" si="61"/>
        <v>1538495.7946267016</v>
      </c>
      <c r="D641" s="67">
        <f t="array" ref="D641">SUM($B$7:$B636*$F$1009*EXP(-$F$1009*($A641-$A$7:$A636)))*$F$1010</f>
        <v>73071254.261743888</v>
      </c>
      <c r="E641" s="67">
        <f t="shared" si="59"/>
        <v>139.30389551523973</v>
      </c>
      <c r="F641" s="70">
        <f t="shared" si="63"/>
        <v>8.4585325356853573</v>
      </c>
      <c r="G641" s="67">
        <f>E641/'Lookup Tables'!$C$48</f>
        <v>278.60779103047946</v>
      </c>
      <c r="H641" s="70">
        <f t="shared" si="60"/>
        <v>4.7590723184638632E-2</v>
      </c>
      <c r="I641" s="71">
        <f t="shared" si="64"/>
        <v>0.40119521908389044</v>
      </c>
      <c r="L641" s="74"/>
      <c r="M641" s="74"/>
      <c r="N641" s="74"/>
      <c r="O641" s="74"/>
      <c r="P641" s="74"/>
      <c r="Q641" s="74"/>
      <c r="R641" s="74"/>
      <c r="S641" s="74"/>
      <c r="T641" s="74"/>
      <c r="U641" s="74"/>
      <c r="V641" s="74"/>
      <c r="W641" s="74"/>
      <c r="X641" s="74"/>
      <c r="Y641" s="74"/>
      <c r="Z641" s="74"/>
    </row>
    <row r="642" spans="1:26" x14ac:dyDescent="0.3">
      <c r="A642" s="66">
        <f t="shared" si="62"/>
        <v>2053.4999999999422</v>
      </c>
      <c r="B642" s="67">
        <f>LOOKUP(A642+0.01,AmountsB!$A$4:$A$103,AmountsB!$B$4:$B$103)*0.1*$A$2</f>
        <v>0</v>
      </c>
      <c r="C642" s="68">
        <f t="shared" si="61"/>
        <v>1538495.7946267016</v>
      </c>
      <c r="D642" s="67">
        <f t="array" ref="D642">SUM($B$7:$B637*$F$1009*EXP(-$F$1009*($A642-$A$7:$A637)))*$F$1010</f>
        <v>72866940.92197156</v>
      </c>
      <c r="E642" s="67">
        <f t="shared" si="59"/>
        <v>138.91439016975787</v>
      </c>
      <c r="F642" s="70">
        <f t="shared" si="63"/>
        <v>8.4348817711076975</v>
      </c>
      <c r="G642" s="67">
        <f>E642/'Lookup Tables'!$C$48</f>
        <v>277.82878033951573</v>
      </c>
      <c r="H642" s="70">
        <f t="shared" si="60"/>
        <v>4.7457655541359861E-2</v>
      </c>
      <c r="I642" s="71">
        <f t="shared" si="64"/>
        <v>0.40007344368890263</v>
      </c>
      <c r="L642" s="74"/>
      <c r="M642" s="74"/>
      <c r="N642" s="74"/>
      <c r="O642" s="74"/>
      <c r="P642" s="74"/>
      <c r="Q642" s="74"/>
      <c r="R642" s="74"/>
      <c r="S642" s="74"/>
      <c r="T642" s="74"/>
      <c r="U642" s="74"/>
      <c r="V642" s="74"/>
      <c r="W642" s="74"/>
      <c r="X642" s="74"/>
      <c r="Y642" s="74"/>
      <c r="Z642" s="74"/>
    </row>
    <row r="643" spans="1:26" x14ac:dyDescent="0.3">
      <c r="A643" s="66">
        <f t="shared" si="62"/>
        <v>2053.5999999999422</v>
      </c>
      <c r="B643" s="67">
        <f>LOOKUP(A643+0.01,AmountsB!$A$4:$A$103,AmountsB!$B$4:$B$103)*0.1*$A$2</f>
        <v>0</v>
      </c>
      <c r="C643" s="68">
        <f t="shared" si="61"/>
        <v>1538495.7946267016</v>
      </c>
      <c r="D643" s="67">
        <f t="array" ref="D643">SUM($B$7:$B638*$F$1009*EXP(-$F$1009*($A643-$A$7:$A638)))*$F$1010</f>
        <v>72663198.85938932</v>
      </c>
      <c r="E643" s="67">
        <f t="shared" si="59"/>
        <v>138.5259739138065</v>
      </c>
      <c r="F643" s="70">
        <f t="shared" si="63"/>
        <v>8.4112971360463309</v>
      </c>
      <c r="G643" s="67">
        <f>E643/'Lookup Tables'!$C$48</f>
        <v>277.05194782761299</v>
      </c>
      <c r="H643" s="70">
        <f t="shared" si="60"/>
        <v>4.7324959966343644E-2</v>
      </c>
      <c r="I643" s="71">
        <f t="shared" si="64"/>
        <v>0.39895480487176277</v>
      </c>
      <c r="L643" s="74"/>
      <c r="M643" s="74"/>
      <c r="N643" s="74"/>
      <c r="O643" s="74"/>
      <c r="P643" s="74"/>
      <c r="Q643" s="74"/>
      <c r="R643" s="74"/>
      <c r="S643" s="74"/>
      <c r="T643" s="74"/>
      <c r="U643" s="74"/>
      <c r="V643" s="74"/>
      <c r="W643" s="74"/>
      <c r="X643" s="74"/>
      <c r="Y643" s="74"/>
      <c r="Z643" s="74"/>
    </row>
    <row r="644" spans="1:26" x14ac:dyDescent="0.3">
      <c r="A644" s="66">
        <f t="shared" si="62"/>
        <v>2053.6999999999421</v>
      </c>
      <c r="B644" s="67">
        <f>LOOKUP(A644+0.01,AmountsB!$A$4:$A$103,AmountsB!$B$4:$B$103)*0.1*$A$2</f>
        <v>0</v>
      </c>
      <c r="C644" s="68">
        <f t="shared" si="61"/>
        <v>1538495.7946267016</v>
      </c>
      <c r="D644" s="67">
        <f t="array" ref="D644">SUM($B$7:$B639*$F$1009*EXP(-$F$1009*($A644-$A$7:$A639)))*$F$1010</f>
        <v>72460026.476658314</v>
      </c>
      <c r="E644" s="67">
        <f t="shared" si="59"/>
        <v>138.13864370220017</v>
      </c>
      <c r="F644" s="70">
        <f t="shared" si="63"/>
        <v>8.3877784455975952</v>
      </c>
      <c r="G644" s="67">
        <f>E644/'Lookup Tables'!$C$48</f>
        <v>276.27728740440034</v>
      </c>
      <c r="H644" s="70">
        <f t="shared" si="60"/>
        <v>4.7192635419255953E-2</v>
      </c>
      <c r="I644" s="71">
        <f t="shared" si="64"/>
        <v>0.39783929386233646</v>
      </c>
      <c r="L644" s="74"/>
      <c r="M644" s="74"/>
      <c r="N644" s="74"/>
      <c r="O644" s="74"/>
      <c r="P644" s="74"/>
      <c r="Q644" s="74"/>
      <c r="R644" s="74"/>
      <c r="S644" s="74"/>
      <c r="T644" s="74"/>
      <c r="U644" s="74"/>
      <c r="V644" s="74"/>
      <c r="W644" s="74"/>
      <c r="X644" s="74"/>
      <c r="Y644" s="74"/>
      <c r="Z644" s="74"/>
    </row>
    <row r="645" spans="1:26" x14ac:dyDescent="0.3">
      <c r="A645" s="66">
        <f t="shared" si="62"/>
        <v>2053.799999999942</v>
      </c>
      <c r="B645" s="67">
        <f>LOOKUP(A645+0.01,AmountsB!$A$4:$A$103,AmountsB!$B$4:$B$103)*0.1*$A$2</f>
        <v>0</v>
      </c>
      <c r="C645" s="68">
        <f t="shared" si="61"/>
        <v>1538495.7946267016</v>
      </c>
      <c r="D645" s="67">
        <f t="array" ref="D645">SUM($B$7:$B640*$F$1009*EXP(-$F$1009*($A645-$A$7:$A640)))*$F$1010</f>
        <v>72257422.180906028</v>
      </c>
      <c r="E645" s="67">
        <f t="shared" si="59"/>
        <v>137.75239649826798</v>
      </c>
      <c r="F645" s="70">
        <f t="shared" si="63"/>
        <v>8.3643255153748335</v>
      </c>
      <c r="G645" s="67">
        <f>E645/'Lookup Tables'!$C$48</f>
        <v>275.50479299653597</v>
      </c>
      <c r="H645" s="70">
        <f t="shared" si="60"/>
        <v>4.7060680862671671E-2</v>
      </c>
      <c r="I645" s="71">
        <f t="shared" si="64"/>
        <v>0.39672690191501181</v>
      </c>
      <c r="L645" s="74"/>
      <c r="M645" s="74"/>
      <c r="N645" s="74"/>
      <c r="O645" s="74"/>
      <c r="P645" s="74"/>
      <c r="Q645" s="74"/>
      <c r="R645" s="74"/>
      <c r="S645" s="74"/>
      <c r="T645" s="74"/>
      <c r="U645" s="74"/>
      <c r="V645" s="74"/>
      <c r="W645" s="74"/>
      <c r="X645" s="74"/>
      <c r="Y645" s="74"/>
      <c r="Z645" s="74"/>
    </row>
    <row r="646" spans="1:26" x14ac:dyDescent="0.3">
      <c r="A646" s="66">
        <f t="shared" si="62"/>
        <v>2053.8999999999419</v>
      </c>
      <c r="B646" s="67">
        <f>LOOKUP(A646+0.01,AmountsB!$A$4:$A$103,AmountsB!$B$4:$B$103)*0.1*$A$2</f>
        <v>0</v>
      </c>
      <c r="C646" s="68">
        <f t="shared" si="61"/>
        <v>1538495.7946267016</v>
      </c>
      <c r="D646" s="67">
        <f t="array" ref="D646">SUM($B$7:$B641*$F$1009*EXP(-$F$1009*($A646-$A$7:$A641)))*$F$1010</f>
        <v>72055384.383713767</v>
      </c>
      <c r="E646" s="67">
        <f t="shared" si="59"/>
        <v>137.36722927382996</v>
      </c>
      <c r="F646" s="70">
        <f t="shared" si="63"/>
        <v>8.3409381615069549</v>
      </c>
      <c r="G646" s="67">
        <f>E646/'Lookup Tables'!$C$48</f>
        <v>274.73445854765993</v>
      </c>
      <c r="H646" s="70">
        <f t="shared" si="60"/>
        <v>4.69290952620664E-2</v>
      </c>
      <c r="I646" s="71">
        <f t="shared" si="64"/>
        <v>0.39561762030863029</v>
      </c>
      <c r="L646" s="74"/>
      <c r="M646" s="74"/>
      <c r="N646" s="74"/>
      <c r="O646" s="74"/>
      <c r="P646" s="74"/>
      <c r="Q646" s="74"/>
      <c r="R646" s="74"/>
      <c r="S646" s="74"/>
      <c r="T646" s="74"/>
      <c r="U646" s="74"/>
      <c r="V646" s="74"/>
      <c r="W646" s="74"/>
      <c r="X646" s="74"/>
      <c r="Y646" s="74"/>
      <c r="Z646" s="74"/>
    </row>
    <row r="647" spans="1:26" x14ac:dyDescent="0.3">
      <c r="A647" s="66">
        <f t="shared" si="62"/>
        <v>2053.9999999999418</v>
      </c>
      <c r="B647" s="67">
        <f>LOOKUP(A647+0.01,AmountsB!$A$4:$A$103,AmountsB!$B$4:$B$103)*0.1*$A$2</f>
        <v>0</v>
      </c>
      <c r="C647" s="68">
        <f t="shared" si="61"/>
        <v>1538495.7946267016</v>
      </c>
      <c r="D647" s="67">
        <f t="array" ref="D647">SUM($B$7:$B642*$F$1009*EXP(-$F$1009*($A647-$A$7:$A642)))*$F$1010</f>
        <v>71853911.501104102</v>
      </c>
      <c r="E647" s="67">
        <f t="shared" ref="E647:E710" si="65">D647/(365*24*60)*1.00201</f>
        <v>136.98313900917302</v>
      </c>
      <c r="F647" s="70">
        <f t="shared" si="63"/>
        <v>8.3176162006369854</v>
      </c>
      <c r="G647" s="67">
        <f>E647/'Lookup Tables'!$C$48</f>
        <v>273.96627801834603</v>
      </c>
      <c r="H647" s="70">
        <f t="shared" ref="H647:H710" si="66">G647*60*24*365/(C647*2000)</f>
        <v>4.6797877585808355E-2</v>
      </c>
      <c r="I647" s="71">
        <f t="shared" si="64"/>
        <v>0.39451144034641827</v>
      </c>
      <c r="L647" s="74"/>
      <c r="M647" s="74"/>
      <c r="N647" s="74"/>
      <c r="O647" s="74"/>
      <c r="P647" s="74"/>
      <c r="Q647" s="74"/>
      <c r="R647" s="74"/>
      <c r="S647" s="74"/>
      <c r="T647" s="74"/>
      <c r="U647" s="74"/>
      <c r="V647" s="74"/>
      <c r="W647" s="74"/>
      <c r="X647" s="74"/>
      <c r="Y647" s="74"/>
      <c r="Z647" s="74"/>
    </row>
    <row r="648" spans="1:26" x14ac:dyDescent="0.3">
      <c r="A648" s="66">
        <f t="shared" si="62"/>
        <v>2054.0999999999417</v>
      </c>
      <c r="B648" s="67">
        <f>LOOKUP(A648+0.01,AmountsB!$A$4:$A$103,AmountsB!$B$4:$B$103)*0.1*$A$2</f>
        <v>0</v>
      </c>
      <c r="C648" s="68">
        <f t="shared" si="61"/>
        <v>1538495.7946267016</v>
      </c>
      <c r="D648" s="67">
        <f t="array" ref="D648">SUM($B$7:$B643*$F$1009*EXP(-$F$1009*($A648-$A$7:$A643)))*$F$1010</f>
        <v>71653001.953528687</v>
      </c>
      <c r="E648" s="67">
        <f t="shared" si="65"/>
        <v>136.60012269302754</v>
      </c>
      <c r="F648" s="70">
        <f t="shared" si="63"/>
        <v>8.2943594499206323</v>
      </c>
      <c r="G648" s="67">
        <f>E648/'Lookup Tables'!$C$48</f>
        <v>273.20024538605509</v>
      </c>
      <c r="H648" s="70">
        <f t="shared" si="66"/>
        <v>4.6667026805150287E-2</v>
      </c>
      <c r="I648" s="71">
        <f t="shared" si="64"/>
        <v>0.39340835335591934</v>
      </c>
      <c r="L648" s="74"/>
      <c r="M648" s="74"/>
      <c r="N648" s="74"/>
      <c r="O648" s="74"/>
      <c r="P648" s="74"/>
      <c r="Q648" s="74"/>
      <c r="R648" s="74"/>
      <c r="S648" s="74"/>
      <c r="T648" s="74"/>
      <c r="U648" s="74"/>
      <c r="V648" s="74"/>
      <c r="W648" s="74"/>
      <c r="X648" s="74"/>
      <c r="Y648" s="74"/>
      <c r="Z648" s="74"/>
    </row>
    <row r="649" spans="1:26" x14ac:dyDescent="0.3">
      <c r="A649" s="66">
        <f t="shared" si="62"/>
        <v>2054.1999999999416</v>
      </c>
      <c r="B649" s="67">
        <f>LOOKUP(A649+0.01,AmountsB!$A$4:$A$103,AmountsB!$B$4:$B$103)*0.1*$A$2</f>
        <v>0</v>
      </c>
      <c r="C649" s="68">
        <f t="shared" ref="C649:C712" si="67">C648+B649</f>
        <v>1538495.7946267016</v>
      </c>
      <c r="D649" s="67">
        <f t="array" ref="D649">SUM($B$7:$B644*$F$1009*EXP(-$F$1009*($A649-$A$7:$A644)))*$F$1010</f>
        <v>71452654.165855601</v>
      </c>
      <c r="E649" s="67">
        <f t="shared" si="65"/>
        <v>136.21817732254371</v>
      </c>
      <c r="F649" s="70">
        <f t="shared" si="63"/>
        <v>8.2711677270248547</v>
      </c>
      <c r="G649" s="67">
        <f>E649/'Lookup Tables'!$C$48</f>
        <v>272.43635464508742</v>
      </c>
      <c r="H649" s="70">
        <f t="shared" si="66"/>
        <v>4.6536541894221427E-2</v>
      </c>
      <c r="I649" s="71">
        <f t="shared" si="64"/>
        <v>0.39230835068892589</v>
      </c>
      <c r="L649" s="74"/>
      <c r="M649" s="74"/>
      <c r="N649" s="74"/>
      <c r="O649" s="74"/>
      <c r="P649" s="74"/>
      <c r="Q649" s="74"/>
      <c r="R649" s="74"/>
      <c r="S649" s="74"/>
      <c r="T649" s="74"/>
      <c r="U649" s="74"/>
      <c r="V649" s="74"/>
      <c r="W649" s="74"/>
      <c r="X649" s="74"/>
      <c r="Y649" s="74"/>
      <c r="Z649" s="74"/>
    </row>
    <row r="650" spans="1:26" x14ac:dyDescent="0.3">
      <c r="A650" s="66">
        <f t="shared" si="62"/>
        <v>2054.2999999999415</v>
      </c>
      <c r="B650" s="67">
        <f>LOOKUP(A650+0.01,AmountsB!$A$4:$A$103,AmountsB!$B$4:$B$103)*0.1*$A$2</f>
        <v>0</v>
      </c>
      <c r="C650" s="68">
        <f t="shared" si="67"/>
        <v>1538495.7946267016</v>
      </c>
      <c r="D650" s="67">
        <f t="array" ref="D650">SUM($B$7:$B645*$F$1009*EXP(-$F$1009*($A650-$A$7:$A645)))*$F$1010</f>
        <v>71252866.567357168</v>
      </c>
      <c r="E650" s="67">
        <f t="shared" si="65"/>
        <v>135.83729990326782</v>
      </c>
      <c r="F650" s="70">
        <f t="shared" si="63"/>
        <v>8.2480408501264222</v>
      </c>
      <c r="G650" s="67">
        <f>E650/'Lookup Tables'!$C$48</f>
        <v>271.67459980653564</v>
      </c>
      <c r="H650" s="70">
        <f t="shared" si="66"/>
        <v>4.6406421830019369E-2</v>
      </c>
      <c r="I650" s="71">
        <f t="shared" si="64"/>
        <v>0.39121142372141132</v>
      </c>
      <c r="L650" s="74"/>
      <c r="M650" s="74"/>
      <c r="N650" s="74"/>
      <c r="O650" s="74"/>
      <c r="P650" s="74"/>
      <c r="Q650" s="74"/>
      <c r="R650" s="74"/>
      <c r="S650" s="74"/>
      <c r="T650" s="74"/>
      <c r="U650" s="74"/>
      <c r="V650" s="74"/>
      <c r="W650" s="74"/>
      <c r="X650" s="74"/>
      <c r="Y650" s="74"/>
      <c r="Z650" s="74"/>
    </row>
    <row r="651" spans="1:26" x14ac:dyDescent="0.3">
      <c r="A651" s="66">
        <f t="shared" si="62"/>
        <v>2054.3999999999414</v>
      </c>
      <c r="B651" s="67">
        <f>LOOKUP(A651+0.01,AmountsB!$A$4:$A$103,AmountsB!$B$4:$B$103)*0.1*$A$2</f>
        <v>0</v>
      </c>
      <c r="C651" s="68">
        <f t="shared" si="67"/>
        <v>1538495.7946267016</v>
      </c>
      <c r="D651" s="67">
        <f t="array" ref="D651">SUM($B$7:$B646*$F$1009*EXP(-$F$1009*($A651-$A$7:$A646)))*$F$1010</f>
        <v>71053637.591697589</v>
      </c>
      <c r="E651" s="67">
        <f t="shared" si="65"/>
        <v>135.45748744911893</v>
      </c>
      <c r="F651" s="70">
        <f t="shared" si="63"/>
        <v>8.2249786379105014</v>
      </c>
      <c r="G651" s="67">
        <f>E651/'Lookup Tables'!$C$48</f>
        <v>270.91497489823786</v>
      </c>
      <c r="H651" s="70">
        <f t="shared" si="66"/>
        <v>4.6276665592402164E-2</v>
      </c>
      <c r="I651" s="71">
        <f t="shared" si="64"/>
        <v>0.39011756385346252</v>
      </c>
      <c r="L651" s="74"/>
      <c r="M651" s="74"/>
      <c r="N651" s="74"/>
      <c r="O651" s="74"/>
      <c r="P651" s="74"/>
      <c r="Q651" s="74"/>
      <c r="R651" s="74"/>
      <c r="S651" s="74"/>
      <c r="T651" s="74"/>
      <c r="U651" s="74"/>
      <c r="V651" s="74"/>
      <c r="W651" s="74"/>
      <c r="X651" s="74"/>
      <c r="Y651" s="74"/>
      <c r="Z651" s="74"/>
    </row>
    <row r="652" spans="1:26" x14ac:dyDescent="0.3">
      <c r="A652" s="66">
        <f t="shared" si="62"/>
        <v>2054.4999999999413</v>
      </c>
      <c r="B652" s="67">
        <f>LOOKUP(A652+0.01,AmountsB!$A$4:$A$103,AmountsB!$B$4:$B$103)*0.1*$A$2</f>
        <v>0</v>
      </c>
      <c r="C652" s="68">
        <f t="shared" si="67"/>
        <v>1538495.7946267016</v>
      </c>
      <c r="D652" s="67">
        <f t="array" ref="D652">SUM($B$7:$B647*$F$1009*EXP(-$F$1009*($A652-$A$7:$A647)))*$F$1010</f>
        <v>70854965.676920682</v>
      </c>
      <c r="E652" s="67">
        <f t="shared" si="65"/>
        <v>135.07873698236548</v>
      </c>
      <c r="F652" s="70">
        <f t="shared" si="63"/>
        <v>8.2019809095692331</v>
      </c>
      <c r="G652" s="67">
        <f>E652/'Lookup Tables'!$C$48</f>
        <v>270.15747396473097</v>
      </c>
      <c r="H652" s="70">
        <f t="shared" si="66"/>
        <v>4.6147272164080239E-2</v>
      </c>
      <c r="I652" s="71">
        <f t="shared" si="64"/>
        <v>0.38902676250921259</v>
      </c>
      <c r="L652" s="74"/>
      <c r="M652" s="74"/>
      <c r="N652" s="74"/>
      <c r="O652" s="74"/>
      <c r="P652" s="74"/>
      <c r="Q652" s="74"/>
      <c r="R652" s="74"/>
      <c r="S652" s="74"/>
      <c r="T652" s="74"/>
      <c r="U652" s="74"/>
      <c r="V652" s="74"/>
      <c r="W652" s="74"/>
      <c r="X652" s="74"/>
      <c r="Y652" s="74"/>
      <c r="Z652" s="74"/>
    </row>
    <row r="653" spans="1:26" x14ac:dyDescent="0.3">
      <c r="A653" s="66">
        <f t="shared" si="62"/>
        <v>2054.5999999999412</v>
      </c>
      <c r="B653" s="67">
        <f>LOOKUP(A653+0.01,AmountsB!$A$4:$A$103,AmountsB!$B$4:$B$103)*0.1*$A$2</f>
        <v>0</v>
      </c>
      <c r="C653" s="68">
        <f t="shared" si="67"/>
        <v>1538495.7946267016</v>
      </c>
      <c r="D653" s="67">
        <f t="array" ref="D653">SUM($B$7:$B648*$F$1009*EXP(-$F$1009*($A653-$A$7:$A648)))*$F$1010</f>
        <v>70656849.265437573</v>
      </c>
      <c r="E653" s="67">
        <f t="shared" si="65"/>
        <v>134.70104553360179</v>
      </c>
      <c r="F653" s="70">
        <f t="shared" si="63"/>
        <v>8.1790474848003001</v>
      </c>
      <c r="G653" s="67">
        <f>E653/'Lookup Tables'!$C$48</f>
        <v>269.40209106720357</v>
      </c>
      <c r="H653" s="70">
        <f t="shared" si="66"/>
        <v>4.6018240530608434E-2</v>
      </c>
      <c r="I653" s="71">
        <f t="shared" si="64"/>
        <v>0.38793901113677315</v>
      </c>
      <c r="L653" s="74"/>
      <c r="M653" s="74"/>
      <c r="N653" s="74"/>
      <c r="O653" s="74"/>
      <c r="P653" s="74"/>
      <c r="Q653" s="74"/>
      <c r="R653" s="74"/>
      <c r="S653" s="74"/>
      <c r="T653" s="74"/>
      <c r="U653" s="74"/>
      <c r="V653" s="74"/>
      <c r="W653" s="74"/>
      <c r="X653" s="74"/>
      <c r="Y653" s="74"/>
      <c r="Z653" s="74"/>
    </row>
    <row r="654" spans="1:26" x14ac:dyDescent="0.3">
      <c r="A654" s="66">
        <f t="shared" si="62"/>
        <v>2054.6999999999412</v>
      </c>
      <c r="B654" s="67">
        <f>LOOKUP(A654+0.01,AmountsB!$A$4:$A$103,AmountsB!$B$4:$B$103)*0.1*$A$2</f>
        <v>0</v>
      </c>
      <c r="C654" s="68">
        <f t="shared" si="67"/>
        <v>1538495.7946267016</v>
      </c>
      <c r="D654" s="67">
        <f t="array" ref="D654">SUM($B$7:$B649*$F$1009*EXP(-$F$1009*($A654-$A$7:$A649)))*$F$1010</f>
        <v>70459286.804014653</v>
      </c>
      <c r="E654" s="67">
        <f t="shared" si="65"/>
        <v>134.32441014172511</v>
      </c>
      <c r="F654" s="70">
        <f t="shared" si="63"/>
        <v>8.1561781838055492</v>
      </c>
      <c r="G654" s="67">
        <f>E654/'Lookup Tables'!$C$48</f>
        <v>268.64882028345022</v>
      </c>
      <c r="H654" s="70">
        <f t="shared" si="66"/>
        <v>4.588956968037812E-2</v>
      </c>
      <c r="I654" s="71">
        <f t="shared" si="64"/>
        <v>0.38685430120816833</v>
      </c>
      <c r="L654" s="74"/>
      <c r="M654" s="74"/>
      <c r="N654" s="74"/>
      <c r="O654" s="74"/>
      <c r="P654" s="74"/>
      <c r="Q654" s="74"/>
      <c r="R654" s="74"/>
      <c r="S654" s="74"/>
      <c r="T654" s="74"/>
      <c r="U654" s="74"/>
      <c r="V654" s="74"/>
      <c r="W654" s="74"/>
      <c r="X654" s="74"/>
      <c r="Y654" s="74"/>
      <c r="Z654" s="74"/>
    </row>
    <row r="655" spans="1:26" x14ac:dyDescent="0.3">
      <c r="A655" s="66">
        <f t="shared" si="62"/>
        <v>2054.7999999999411</v>
      </c>
      <c r="B655" s="67">
        <f>LOOKUP(A655+0.01,AmountsB!$A$4:$A$103,AmountsB!$B$4:$B$103)*0.1*$A$2</f>
        <v>0</v>
      </c>
      <c r="C655" s="68">
        <f t="shared" si="67"/>
        <v>1538495.7946267016</v>
      </c>
      <c r="D655" s="67">
        <f t="array" ref="D655">SUM($B$7:$B650*$F$1009*EXP(-$F$1009*($A655-$A$7:$A650)))*$F$1010</f>
        <v>70262276.743761167</v>
      </c>
      <c r="E655" s="67">
        <f t="shared" si="65"/>
        <v>133.94882785391198</v>
      </c>
      <c r="F655" s="70">
        <f t="shared" si="63"/>
        <v>8.133372827289536</v>
      </c>
      <c r="G655" s="67">
        <f>E655/'Lookup Tables'!$C$48</f>
        <v>267.89765570782396</v>
      </c>
      <c r="H655" s="70">
        <f t="shared" si="66"/>
        <v>4.576125860460914E-2</v>
      </c>
      <c r="I655" s="71">
        <f t="shared" si="64"/>
        <v>0.38577262421926645</v>
      </c>
      <c r="L655" s="74"/>
      <c r="M655" s="74"/>
      <c r="N655" s="74"/>
      <c r="O655" s="74"/>
      <c r="P655" s="74"/>
      <c r="Q655" s="74"/>
      <c r="R655" s="74"/>
      <c r="S655" s="74"/>
      <c r="T655" s="74"/>
      <c r="U655" s="74"/>
      <c r="V655" s="74"/>
      <c r="W655" s="74"/>
      <c r="X655" s="74"/>
      <c r="Y655" s="74"/>
      <c r="Z655" s="74"/>
    </row>
    <row r="656" spans="1:26" x14ac:dyDescent="0.3">
      <c r="A656" s="66">
        <f t="shared" si="62"/>
        <v>2054.899999999941</v>
      </c>
      <c r="B656" s="67">
        <f>LOOKUP(A656+0.01,AmountsB!$A$4:$A$103,AmountsB!$B$4:$B$103)*0.1*$A$2</f>
        <v>0</v>
      </c>
      <c r="C656" s="68">
        <f t="shared" si="67"/>
        <v>1538495.7946267016</v>
      </c>
      <c r="D656" s="67">
        <f t="array" ref="D656">SUM($B$7:$B651*$F$1009*EXP(-$F$1009*($A656-$A$7:$A651)))*$F$1010</f>
        <v>70065817.540117264</v>
      </c>
      <c r="E656" s="67">
        <f t="shared" si="65"/>
        <v>133.57429572559533</v>
      </c>
      <c r="F656" s="70">
        <f t="shared" si="63"/>
        <v>8.1106312364581488</v>
      </c>
      <c r="G656" s="67">
        <f>E656/'Lookup Tables'!$C$48</f>
        <v>267.14859145119067</v>
      </c>
      <c r="H656" s="70">
        <f t="shared" si="66"/>
        <v>4.5633306297342038E-2</v>
      </c>
      <c r="I656" s="71">
        <f t="shared" si="64"/>
        <v>0.38469397168971459</v>
      </c>
      <c r="L656" s="74"/>
      <c r="M656" s="74"/>
      <c r="N656" s="74"/>
      <c r="O656" s="74"/>
      <c r="P656" s="74"/>
      <c r="Q656" s="74"/>
      <c r="R656" s="74"/>
      <c r="S656" s="74"/>
      <c r="T656" s="74"/>
      <c r="U656" s="74"/>
      <c r="V656" s="74"/>
      <c r="W656" s="74"/>
      <c r="X656" s="74"/>
      <c r="Y656" s="74"/>
      <c r="Z656" s="74"/>
    </row>
    <row r="657" spans="1:26" x14ac:dyDescent="0.3">
      <c r="A657" s="66">
        <f t="shared" si="62"/>
        <v>2054.9999999999409</v>
      </c>
      <c r="B657" s="67">
        <f>LOOKUP(A657+0.01,AmountsB!$A$4:$A$103,AmountsB!$B$4:$B$103)*0.1*$A$2</f>
        <v>0</v>
      </c>
      <c r="C657" s="68">
        <f t="shared" si="67"/>
        <v>1538495.7946267016</v>
      </c>
      <c r="D657" s="67">
        <f t="array" ref="D657">SUM($B$7:$B652*$F$1009*EXP(-$F$1009*($A657-$A$7:$A652)))*$F$1010</f>
        <v>69869907.652841717</v>
      </c>
      <c r="E657" s="67">
        <f t="shared" si="65"/>
        <v>133.20081082044126</v>
      </c>
      <c r="F657" s="70">
        <f t="shared" si="63"/>
        <v>8.0879532330171937</v>
      </c>
      <c r="G657" s="67">
        <f>E657/'Lookup Tables'!$C$48</f>
        <v>266.40162164088252</v>
      </c>
      <c r="H657" s="70">
        <f t="shared" si="66"/>
        <v>4.5505711755430008E-2</v>
      </c>
      <c r="I657" s="71">
        <f t="shared" si="64"/>
        <v>0.3836183351628708</v>
      </c>
      <c r="L657" s="74"/>
      <c r="M657" s="74"/>
      <c r="N657" s="74"/>
      <c r="O657" s="74"/>
      <c r="P657" s="74"/>
      <c r="Q657" s="74"/>
      <c r="R657" s="74"/>
      <c r="S657" s="74"/>
      <c r="T657" s="74"/>
      <c r="U657" s="74"/>
      <c r="V657" s="74"/>
      <c r="W657" s="74"/>
      <c r="X657" s="74"/>
      <c r="Y657" s="74"/>
      <c r="Z657" s="74"/>
    </row>
    <row r="658" spans="1:26" x14ac:dyDescent="0.3">
      <c r="A658" s="66">
        <f t="shared" si="62"/>
        <v>2055.0999999999408</v>
      </c>
      <c r="B658" s="67">
        <f>LOOKUP(A658+0.01,AmountsB!$A$4:$A$103,AmountsB!$B$4:$B$103)*0.1*$A$2</f>
        <v>0</v>
      </c>
      <c r="C658" s="68">
        <f t="shared" si="67"/>
        <v>1538495.7946267016</v>
      </c>
      <c r="D658" s="67">
        <f t="array" ref="D658">SUM($B$7:$B653*$F$1009*EXP(-$F$1009*($A658-$A$7:$A653)))*$F$1010</f>
        <v>69674545.546000078</v>
      </c>
      <c r="E658" s="67">
        <f t="shared" si="65"/>
        <v>132.8283702103264</v>
      </c>
      <c r="F658" s="70">
        <f t="shared" si="63"/>
        <v>8.0653386391710189</v>
      </c>
      <c r="G658" s="67">
        <f>E658/'Lookup Tables'!$C$48</f>
        <v>265.6567404206528</v>
      </c>
      <c r="H658" s="70">
        <f t="shared" si="66"/>
        <v>4.5378473978531265E-2</v>
      </c>
      <c r="I658" s="71">
        <f t="shared" si="64"/>
        <v>0.38254570620574002</v>
      </c>
      <c r="L658" s="74"/>
      <c r="M658" s="74"/>
      <c r="N658" s="74"/>
      <c r="O658" s="74"/>
      <c r="P658" s="74"/>
      <c r="Q658" s="74"/>
      <c r="R658" s="74"/>
      <c r="S658" s="74"/>
      <c r="T658" s="74"/>
      <c r="U658" s="74"/>
      <c r="V658" s="74"/>
      <c r="W658" s="74"/>
      <c r="X658" s="74"/>
      <c r="Y658" s="74"/>
      <c r="Z658" s="74"/>
    </row>
    <row r="659" spans="1:26" x14ac:dyDescent="0.3">
      <c r="A659" s="66">
        <f t="shared" ref="A659:A722" si="68">A658+0.1</f>
        <v>2055.1999999999407</v>
      </c>
      <c r="B659" s="67">
        <f>LOOKUP(A659+0.01,AmountsB!$A$4:$A$103,AmountsB!$B$4:$B$103)*0.1*$A$2</f>
        <v>0</v>
      </c>
      <c r="C659" s="68">
        <f t="shared" si="67"/>
        <v>1538495.7946267016</v>
      </c>
      <c r="D659" s="67">
        <f t="array" ref="D659">SUM($B$7:$B654*$F$1009*EXP(-$F$1009*($A659-$A$7:$A654)))*$F$1010</f>
        <v>69479729.687952399</v>
      </c>
      <c r="E659" s="67">
        <f t="shared" si="65"/>
        <v>132.45697097531428</v>
      </c>
      <c r="F659" s="70">
        <f t="shared" ref="F659:F722" si="69">E659*60*1012/1000000</f>
        <v>8.0427872776210823</v>
      </c>
      <c r="G659" s="67">
        <f>E659/'Lookup Tables'!$C$48</f>
        <v>264.91394195062855</v>
      </c>
      <c r="H659" s="70">
        <f t="shared" si="66"/>
        <v>4.5251591969100918E-2</v>
      </c>
      <c r="I659" s="71">
        <f t="shared" ref="I659:I722" si="70">G659*60*24/1000000</f>
        <v>0.38147607640890507</v>
      </c>
      <c r="L659" s="74"/>
      <c r="M659" s="74"/>
      <c r="N659" s="74"/>
      <c r="O659" s="74"/>
      <c r="P659" s="74"/>
      <c r="Q659" s="74"/>
      <c r="R659" s="74"/>
      <c r="S659" s="74"/>
      <c r="T659" s="74"/>
      <c r="U659" s="74"/>
      <c r="V659" s="74"/>
      <c r="W659" s="74"/>
      <c r="X659" s="74"/>
      <c r="Y659" s="74"/>
      <c r="Z659" s="74"/>
    </row>
    <row r="660" spans="1:26" x14ac:dyDescent="0.3">
      <c r="A660" s="66">
        <f t="shared" si="68"/>
        <v>2055.2999999999406</v>
      </c>
      <c r="B660" s="67">
        <f>LOOKUP(A660+0.01,AmountsB!$A$4:$A$103,AmountsB!$B$4:$B$103)*0.1*$A$2</f>
        <v>0</v>
      </c>
      <c r="C660" s="68">
        <f t="shared" si="67"/>
        <v>1538495.7946267016</v>
      </c>
      <c r="D660" s="67">
        <f t="array" ref="D660">SUM($B$7:$B655*$F$1009*EXP(-$F$1009*($A660-$A$7:$A655)))*$F$1010</f>
        <v>69285458.55134137</v>
      </c>
      <c r="E660" s="67">
        <f t="shared" si="65"/>
        <v>132.08661020363311</v>
      </c>
      <c r="F660" s="70">
        <f t="shared" si="69"/>
        <v>8.0202989715646016</v>
      </c>
      <c r="G660" s="67">
        <f>E660/'Lookup Tables'!$C$48</f>
        <v>264.17322040726623</v>
      </c>
      <c r="H660" s="70">
        <f t="shared" si="66"/>
        <v>4.512506473238341E-2</v>
      </c>
      <c r="I660" s="71">
        <f t="shared" si="70"/>
        <v>0.38040943738646332</v>
      </c>
      <c r="L660" s="74"/>
      <c r="M660" s="74"/>
      <c r="N660" s="74"/>
      <c r="O660" s="74"/>
      <c r="P660" s="74"/>
      <c r="Q660" s="74"/>
      <c r="R660" s="74"/>
      <c r="S660" s="74"/>
      <c r="T660" s="74"/>
      <c r="U660" s="74"/>
      <c r="V660" s="74"/>
      <c r="W660" s="74"/>
      <c r="X660" s="74"/>
      <c r="Y660" s="74"/>
      <c r="Z660" s="74"/>
    </row>
    <row r="661" spans="1:26" x14ac:dyDescent="0.3">
      <c r="A661" s="66">
        <f t="shared" si="68"/>
        <v>2055.3999999999405</v>
      </c>
      <c r="B661" s="67">
        <f>LOOKUP(A661+0.01,AmountsB!$A$4:$A$103,AmountsB!$B$4:$B$103)*0.1*$A$2</f>
        <v>0</v>
      </c>
      <c r="C661" s="68">
        <f t="shared" si="67"/>
        <v>1538495.7946267016</v>
      </c>
      <c r="D661" s="67">
        <f t="array" ref="D661">SUM($B$7:$B656*$F$1009*EXP(-$F$1009*($A661-$A$7:$A656)))*$F$1010</f>
        <v>69091730.613080233</v>
      </c>
      <c r="E661" s="67">
        <f t="shared" si="65"/>
        <v>131.71728499165246</v>
      </c>
      <c r="F661" s="70">
        <f t="shared" si="69"/>
        <v>7.9978735446931379</v>
      </c>
      <c r="G661" s="67">
        <f>E661/'Lookup Tables'!$C$48</f>
        <v>263.43456998330493</v>
      </c>
      <c r="H661" s="70">
        <f t="shared" si="66"/>
        <v>4.499889127640453E-2</v>
      </c>
      <c r="I661" s="71">
        <f t="shared" si="70"/>
        <v>0.37934578077595915</v>
      </c>
      <c r="L661" s="74"/>
      <c r="M661" s="74"/>
      <c r="N661" s="74"/>
      <c r="O661" s="74"/>
      <c r="P661" s="74"/>
      <c r="Q661" s="74"/>
      <c r="R661" s="74"/>
      <c r="S661" s="74"/>
      <c r="T661" s="74"/>
      <c r="U661" s="74"/>
      <c r="V661" s="74"/>
      <c r="W661" s="74"/>
      <c r="X661" s="74"/>
      <c r="Y661" s="74"/>
      <c r="Z661" s="74"/>
    </row>
    <row r="662" spans="1:26" x14ac:dyDescent="0.3">
      <c r="A662" s="66">
        <f t="shared" si="68"/>
        <v>2055.4999999999404</v>
      </c>
      <c r="B662" s="67">
        <f>LOOKUP(A662+0.01,AmountsB!$A$4:$A$103,AmountsB!$B$4:$B$103)*0.1*$A$2</f>
        <v>0</v>
      </c>
      <c r="C662" s="68">
        <f t="shared" si="67"/>
        <v>1538495.7946267016</v>
      </c>
      <c r="D662" s="67">
        <f t="array" ref="D662">SUM($B$7:$B657*$F$1009*EXP(-$F$1009*($A662-$A$7:$A657)))*$F$1010</f>
        <v>68898544.354341045</v>
      </c>
      <c r="E662" s="67">
        <f t="shared" si="65"/>
        <v>131.34899244386088</v>
      </c>
      <c r="F662" s="70">
        <f t="shared" si="69"/>
        <v>7.9755108211912322</v>
      </c>
      <c r="G662" s="67">
        <f>E662/'Lookup Tables'!$C$48</f>
        <v>262.69798488772176</v>
      </c>
      <c r="H662" s="70">
        <f t="shared" si="66"/>
        <v>4.4873070611963758E-2</v>
      </c>
      <c r="I662" s="71">
        <f t="shared" si="70"/>
        <v>0.37828509823831935</v>
      </c>
      <c r="L662" s="74"/>
      <c r="M662" s="74"/>
      <c r="N662" s="74"/>
      <c r="O662" s="74"/>
      <c r="P662" s="74"/>
      <c r="Q662" s="74"/>
      <c r="R662" s="74"/>
      <c r="S662" s="74"/>
      <c r="T662" s="74"/>
      <c r="U662" s="74"/>
      <c r="V662" s="74"/>
      <c r="W662" s="74"/>
      <c r="X662" s="74"/>
      <c r="Y662" s="74"/>
      <c r="Z662" s="74"/>
    </row>
    <row r="663" spans="1:26" x14ac:dyDescent="0.3">
      <c r="A663" s="66">
        <f t="shared" si="68"/>
        <v>2055.5999999999403</v>
      </c>
      <c r="B663" s="67">
        <f>LOOKUP(A663+0.01,AmountsB!$A$4:$A$103,AmountsB!$B$4:$B$103)*0.1*$A$2</f>
        <v>0</v>
      </c>
      <c r="C663" s="68">
        <f t="shared" si="67"/>
        <v>1538495.7946267016</v>
      </c>
      <c r="D663" s="67">
        <f t="array" ref="D663">SUM($B$7:$B658*$F$1009*EXP(-$F$1009*($A663-$A$7:$A658)))*$F$1010</f>
        <v>68705898.260542482</v>
      </c>
      <c r="E663" s="67">
        <f t="shared" si="65"/>
        <v>130.98172967284279</v>
      </c>
      <c r="F663" s="70">
        <f t="shared" si="69"/>
        <v>7.9532106257350135</v>
      </c>
      <c r="G663" s="67">
        <f>E663/'Lookup Tables'!$C$48</f>
        <v>261.96345934568558</v>
      </c>
      <c r="H663" s="70">
        <f t="shared" si="66"/>
        <v>4.4747601752626424E-2</v>
      </c>
      <c r="I663" s="71">
        <f t="shared" si="70"/>
        <v>0.37722738145778723</v>
      </c>
      <c r="L663" s="74"/>
      <c r="M663" s="74"/>
      <c r="N663" s="74"/>
      <c r="O663" s="74"/>
      <c r="P663" s="74"/>
      <c r="Q663" s="74"/>
      <c r="R663" s="74"/>
      <c r="S663" s="74"/>
      <c r="T663" s="74"/>
      <c r="U663" s="74"/>
      <c r="V663" s="74"/>
      <c r="W663" s="74"/>
      <c r="X663" s="74"/>
      <c r="Y663" s="74"/>
      <c r="Z663" s="74"/>
    </row>
    <row r="664" spans="1:26" x14ac:dyDescent="0.3">
      <c r="A664" s="66">
        <f t="shared" si="68"/>
        <v>2055.6999999999402</v>
      </c>
      <c r="B664" s="67">
        <f>LOOKUP(A664+0.01,AmountsB!$A$4:$A$103,AmountsB!$B$4:$B$103)*0.1*$A$2</f>
        <v>0</v>
      </c>
      <c r="C664" s="68">
        <f t="shared" si="67"/>
        <v>1538495.7946267016</v>
      </c>
      <c r="D664" s="67">
        <f t="array" ref="D664">SUM($B$7:$B659*$F$1009*EXP(-$F$1009*($A664-$A$7:$A659)))*$F$1010</f>
        <v>68513790.821338207</v>
      </c>
      <c r="E664" s="67">
        <f t="shared" si="65"/>
        <v>130.61549379925629</v>
      </c>
      <c r="F664" s="70">
        <f t="shared" si="69"/>
        <v>7.9309727834908426</v>
      </c>
      <c r="G664" s="67">
        <f>E664/'Lookup Tables'!$C$48</f>
        <v>261.23098759851257</v>
      </c>
      <c r="H664" s="70">
        <f t="shared" si="66"/>
        <v>4.4622483714716034E-2</v>
      </c>
      <c r="I664" s="71">
        <f t="shared" si="70"/>
        <v>0.37617262214185809</v>
      </c>
      <c r="L664" s="74"/>
      <c r="M664" s="74"/>
      <c r="N664" s="74"/>
      <c r="O664" s="74"/>
      <c r="P664" s="74"/>
      <c r="Q664" s="74"/>
      <c r="R664" s="74"/>
      <c r="S664" s="74"/>
      <c r="T664" s="74"/>
      <c r="U664" s="74"/>
      <c r="V664" s="74"/>
      <c r="W664" s="74"/>
      <c r="X664" s="74"/>
      <c r="Y664" s="74"/>
      <c r="Z664" s="74"/>
    </row>
    <row r="665" spans="1:26" x14ac:dyDescent="0.3">
      <c r="A665" s="66">
        <f t="shared" si="68"/>
        <v>2055.7999999999402</v>
      </c>
      <c r="B665" s="67">
        <f>LOOKUP(A665+0.01,AmountsB!$A$4:$A$103,AmountsB!$B$4:$B$103)*0.1*$A$2</f>
        <v>0</v>
      </c>
      <c r="C665" s="68">
        <f t="shared" si="67"/>
        <v>1538495.7946267016</v>
      </c>
      <c r="D665" s="67">
        <f t="array" ref="D665">SUM($B$7:$B660*$F$1009*EXP(-$F$1009*($A665-$A$7:$A660)))*$F$1010</f>
        <v>68322220.530604884</v>
      </c>
      <c r="E665" s="67">
        <f t="shared" si="65"/>
        <v>130.25028195181014</v>
      </c>
      <c r="F665" s="70">
        <f t="shared" si="69"/>
        <v>7.9087971201139107</v>
      </c>
      <c r="G665" s="67">
        <f>E665/'Lookup Tables'!$C$48</f>
        <v>260.50056390362028</v>
      </c>
      <c r="H665" s="70">
        <f t="shared" si="66"/>
        <v>4.4497715517306524E-2</v>
      </c>
      <c r="I665" s="71">
        <f t="shared" si="70"/>
        <v>0.37512081202121317</v>
      </c>
      <c r="L665" s="74"/>
      <c r="M665" s="74"/>
      <c r="N665" s="74"/>
      <c r="O665" s="74"/>
      <c r="P665" s="74"/>
      <c r="Q665" s="74"/>
      <c r="R665" s="74"/>
      <c r="S665" s="74"/>
      <c r="T665" s="74"/>
      <c r="U665" s="74"/>
      <c r="V665" s="74"/>
      <c r="W665" s="74"/>
      <c r="X665" s="74"/>
      <c r="Y665" s="74"/>
      <c r="Z665" s="74"/>
    </row>
    <row r="666" spans="1:26" x14ac:dyDescent="0.3">
      <c r="A666" s="66">
        <f t="shared" si="68"/>
        <v>2055.8999999999401</v>
      </c>
      <c r="B666" s="67">
        <f>LOOKUP(A666+0.01,AmountsB!$A$4:$A$103,AmountsB!$B$4:$B$103)*0.1*$A$2</f>
        <v>0</v>
      </c>
      <c r="C666" s="68">
        <f t="shared" si="67"/>
        <v>1538495.7946267016</v>
      </c>
      <c r="D666" s="67">
        <f t="array" ref="D666">SUM($B$7:$B661*$F$1009*EXP(-$F$1009*($A666-$A$7:$A661)))*$F$1010</f>
        <v>68131185.886430517</v>
      </c>
      <c r="E666" s="67">
        <f t="shared" si="65"/>
        <v>129.88609126724171</v>
      </c>
      <c r="F666" s="70">
        <f t="shared" si="69"/>
        <v>7.8866834617469168</v>
      </c>
      <c r="G666" s="67">
        <f>E666/'Lookup Tables'!$C$48</f>
        <v>259.77218253448342</v>
      </c>
      <c r="H666" s="70">
        <f t="shared" si="66"/>
        <v>4.4373296182214597E-2</v>
      </c>
      <c r="I666" s="71">
        <f t="shared" si="70"/>
        <v>0.37407194284965611</v>
      </c>
      <c r="L666" s="74"/>
      <c r="M666" s="74"/>
      <c r="N666" s="74"/>
      <c r="O666" s="74"/>
      <c r="P666" s="74"/>
      <c r="Q666" s="74"/>
      <c r="R666" s="74"/>
      <c r="S666" s="74"/>
      <c r="T666" s="74"/>
      <c r="U666" s="74"/>
      <c r="V666" s="74"/>
      <c r="W666" s="74"/>
      <c r="X666" s="74"/>
      <c r="Y666" s="74"/>
      <c r="Z666" s="74"/>
    </row>
    <row r="667" spans="1:26" x14ac:dyDescent="0.3">
      <c r="A667" s="66">
        <f t="shared" si="68"/>
        <v>2055.99999999994</v>
      </c>
      <c r="B667" s="67">
        <f>LOOKUP(A667+0.01,AmountsB!$A$4:$A$103,AmountsB!$B$4:$B$103)*0.1*$A$2</f>
        <v>0</v>
      </c>
      <c r="C667" s="68">
        <f t="shared" si="67"/>
        <v>1538495.7946267016</v>
      </c>
      <c r="D667" s="67">
        <f t="array" ref="D667">SUM($B$7:$B662*$F$1009*EXP(-$F$1009*($A667-$A$7:$A662)))*$F$1010</f>
        <v>67940685.391102433</v>
      </c>
      <c r="E667" s="67">
        <f t="shared" si="65"/>
        <v>129.52291889029405</v>
      </c>
      <c r="F667" s="70">
        <f t="shared" si="69"/>
        <v>7.8646316350186547</v>
      </c>
      <c r="G667" s="67">
        <f>E667/'Lookup Tables'!$C$48</f>
        <v>259.0458377805881</v>
      </c>
      <c r="H667" s="70">
        <f t="shared" si="66"/>
        <v>4.4249224733992024E-2</v>
      </c>
      <c r="I667" s="71">
        <f t="shared" si="70"/>
        <v>0.37302600640404693</v>
      </c>
      <c r="L667" s="74"/>
      <c r="M667" s="74"/>
      <c r="N667" s="74"/>
      <c r="O667" s="74"/>
      <c r="P667" s="74"/>
      <c r="Q667" s="74"/>
      <c r="R667" s="74"/>
      <c r="S667" s="74"/>
      <c r="T667" s="74"/>
      <c r="U667" s="74"/>
      <c r="V667" s="74"/>
      <c r="W667" s="74"/>
      <c r="X667" s="74"/>
      <c r="Y667" s="74"/>
      <c r="Z667" s="74"/>
    </row>
    <row r="668" spans="1:26" x14ac:dyDescent="0.3">
      <c r="A668" s="66">
        <f t="shared" si="68"/>
        <v>2056.0999999999399</v>
      </c>
      <c r="B668" s="67">
        <f>LOOKUP(A668+0.01,AmountsB!$A$4:$A$103,AmountsB!$B$4:$B$103)*0.1*$A$2</f>
        <v>0</v>
      </c>
      <c r="C668" s="68">
        <f t="shared" si="67"/>
        <v>1538495.7946267016</v>
      </c>
      <c r="D668" s="67">
        <f t="array" ref="D668">SUM($B$7:$B663*$F$1009*EXP(-$F$1009*($A668-$A$7:$A663)))*$F$1010</f>
        <v>67750717.551095843</v>
      </c>
      <c r="E668" s="67">
        <f t="shared" si="65"/>
        <v>129.16076197369395</v>
      </c>
      <c r="F668" s="70">
        <f t="shared" si="69"/>
        <v>7.8426414670426965</v>
      </c>
      <c r="G668" s="67">
        <f>E668/'Lookup Tables'!$C$48</f>
        <v>258.3215239473879</v>
      </c>
      <c r="H668" s="70">
        <f t="shared" si="66"/>
        <v>4.4125500199918011E-2</v>
      </c>
      <c r="I668" s="71">
        <f t="shared" si="70"/>
        <v>0.37198299448423855</v>
      </c>
      <c r="L668" s="74"/>
      <c r="M668" s="74"/>
      <c r="N668" s="74"/>
      <c r="O668" s="74"/>
      <c r="P668" s="74"/>
      <c r="Q668" s="74"/>
      <c r="R668" s="74"/>
      <c r="S668" s="74"/>
      <c r="T668" s="74"/>
      <c r="U668" s="74"/>
      <c r="V668" s="74"/>
      <c r="W668" s="74"/>
      <c r="X668" s="74"/>
      <c r="Y668" s="74"/>
      <c r="Z668" s="74"/>
    </row>
    <row r="669" spans="1:26" x14ac:dyDescent="0.3">
      <c r="A669" s="66">
        <f t="shared" si="68"/>
        <v>2056.1999999999398</v>
      </c>
      <c r="B669" s="67">
        <f>LOOKUP(A669+0.01,AmountsB!$A$4:$A$103,AmountsB!$B$4:$B$103)*0.1*$A$2</f>
        <v>0</v>
      </c>
      <c r="C669" s="68">
        <f t="shared" si="67"/>
        <v>1538495.7946267016</v>
      </c>
      <c r="D669" s="67">
        <f t="array" ref="D669">SUM($B$7:$B664*$F$1009*EXP(-$F$1009*($A669-$A$7:$A664)))*$F$1010</f>
        <v>67561280.877061889</v>
      </c>
      <c r="E669" s="67">
        <f t="shared" si="65"/>
        <v>128.79961767812938</v>
      </c>
      <c r="F669" s="70">
        <f t="shared" si="69"/>
        <v>7.8207127854160161</v>
      </c>
      <c r="G669" s="67">
        <f>E669/'Lookup Tables'!$C$48</f>
        <v>257.59923535625876</v>
      </c>
      <c r="H669" s="70">
        <f t="shared" si="66"/>
        <v>4.4002121609991604E-2</v>
      </c>
      <c r="I669" s="71">
        <f t="shared" si="70"/>
        <v>0.37094289891301258</v>
      </c>
      <c r="L669" s="74"/>
      <c r="M669" s="74"/>
      <c r="N669" s="74"/>
      <c r="O669" s="74"/>
      <c r="P669" s="74"/>
      <c r="Q669" s="74"/>
      <c r="R669" s="74"/>
      <c r="S669" s="74"/>
      <c r="T669" s="74"/>
      <c r="U669" s="74"/>
      <c r="V669" s="74"/>
      <c r="W669" s="74"/>
      <c r="X669" s="74"/>
      <c r="Y669" s="74"/>
      <c r="Z669" s="74"/>
    </row>
    <row r="670" spans="1:26" x14ac:dyDescent="0.3">
      <c r="A670" s="66">
        <f t="shared" si="68"/>
        <v>2056.2999999999397</v>
      </c>
      <c r="B670" s="67">
        <f>LOOKUP(A670+0.01,AmountsB!$A$4:$A$103,AmountsB!$B$4:$B$103)*0.1*$A$2</f>
        <v>0</v>
      </c>
      <c r="C670" s="68">
        <f t="shared" si="67"/>
        <v>1538495.7946267016</v>
      </c>
      <c r="D670" s="67">
        <f t="array" ref="D670">SUM($B$7:$B665*$F$1009*EXP(-$F$1009*($A670-$A$7:$A665)))*$F$1010</f>
        <v>67372373.883816034</v>
      </c>
      <c r="E670" s="67">
        <f t="shared" si="65"/>
        <v>128.439483172227</v>
      </c>
      <c r="F670" s="70">
        <f t="shared" si="69"/>
        <v>7.7988454182176232</v>
      </c>
      <c r="G670" s="67">
        <f>E670/'Lookup Tables'!$C$48</f>
        <v>256.878966344454</v>
      </c>
      <c r="H670" s="70">
        <f t="shared" si="66"/>
        <v>4.3879087996923971E-2</v>
      </c>
      <c r="I670" s="71">
        <f t="shared" si="70"/>
        <v>0.36990571153601376</v>
      </c>
      <c r="L670" s="74"/>
      <c r="M670" s="74"/>
      <c r="N670" s="74"/>
      <c r="O670" s="74"/>
      <c r="P670" s="74"/>
      <c r="Q670" s="74"/>
      <c r="R670" s="74"/>
      <c r="S670" s="74"/>
      <c r="T670" s="74"/>
      <c r="U670" s="74"/>
      <c r="V670" s="74"/>
      <c r="W670" s="74"/>
      <c r="X670" s="74"/>
      <c r="Y670" s="74"/>
      <c r="Z670" s="74"/>
    </row>
    <row r="671" spans="1:26" x14ac:dyDescent="0.3">
      <c r="A671" s="66">
        <f t="shared" si="68"/>
        <v>2056.3999999999396</v>
      </c>
      <c r="B671" s="67">
        <f>LOOKUP(A671+0.01,AmountsB!$A$4:$A$103,AmountsB!$B$4:$B$103)*0.1*$A$2</f>
        <v>0</v>
      </c>
      <c r="C671" s="68">
        <f t="shared" si="67"/>
        <v>1538495.7946267016</v>
      </c>
      <c r="D671" s="67">
        <f t="array" ref="D671">SUM($B$7:$B666*$F$1009*EXP(-$F$1009*($A671-$A$7:$A666)))*$F$1010</f>
        <v>67183995.090326533</v>
      </c>
      <c r="E671" s="67">
        <f t="shared" si="65"/>
        <v>128.08035563253063</v>
      </c>
      <c r="F671" s="70">
        <f t="shared" si="69"/>
        <v>7.7770391940072594</v>
      </c>
      <c r="G671" s="67">
        <f>E671/'Lookup Tables'!$C$48</f>
        <v>256.16071126506125</v>
      </c>
      <c r="H671" s="70">
        <f t="shared" si="66"/>
        <v>4.3756398396130998E-2</v>
      </c>
      <c r="I671" s="71">
        <f t="shared" si="70"/>
        <v>0.36887142422168817</v>
      </c>
      <c r="L671" s="74"/>
      <c r="M671" s="74"/>
      <c r="N671" s="74"/>
      <c r="O671" s="74"/>
      <c r="P671" s="74"/>
      <c r="Q671" s="74"/>
      <c r="R671" s="74"/>
      <c r="S671" s="74"/>
      <c r="T671" s="74"/>
      <c r="U671" s="74"/>
      <c r="V671" s="74"/>
      <c r="W671" s="74"/>
      <c r="X671" s="74"/>
      <c r="Y671" s="74"/>
      <c r="Z671" s="74"/>
    </row>
    <row r="672" spans="1:26" x14ac:dyDescent="0.3">
      <c r="A672" s="66">
        <f t="shared" si="68"/>
        <v>2056.4999999999395</v>
      </c>
      <c r="B672" s="67">
        <f>LOOKUP(A672+0.01,AmountsB!$A$4:$A$103,AmountsB!$B$4:$B$103)*0.1*$A$2</f>
        <v>0</v>
      </c>
      <c r="C672" s="68">
        <f t="shared" si="67"/>
        <v>1538495.7946267016</v>
      </c>
      <c r="D672" s="67">
        <f t="array" ref="D672">SUM($B$7:$B667*$F$1009*EXP(-$F$1009*($A672-$A$7:$A667)))*$F$1010</f>
        <v>66996143.019702666</v>
      </c>
      <c r="E672" s="67">
        <f t="shared" si="65"/>
        <v>127.72223224347844</v>
      </c>
      <c r="F672" s="70">
        <f t="shared" si="69"/>
        <v>7.7552939418240117</v>
      </c>
      <c r="G672" s="67">
        <f>E672/'Lookup Tables'!$C$48</f>
        <v>255.44446448695689</v>
      </c>
      <c r="H672" s="70">
        <f t="shared" si="66"/>
        <v>4.3634051845725573E-2</v>
      </c>
      <c r="I672" s="71">
        <f t="shared" si="70"/>
        <v>0.36784002886121792</v>
      </c>
      <c r="L672" s="74"/>
      <c r="M672" s="74"/>
      <c r="N672" s="74"/>
      <c r="O672" s="74"/>
      <c r="P672" s="74"/>
      <c r="Q672" s="74"/>
      <c r="R672" s="74"/>
      <c r="S672" s="74"/>
      <c r="T672" s="74"/>
      <c r="U672" s="74"/>
      <c r="V672" s="74"/>
      <c r="W672" s="74"/>
      <c r="X672" s="74"/>
      <c r="Y672" s="74"/>
      <c r="Z672" s="74"/>
    </row>
    <row r="673" spans="1:26" x14ac:dyDescent="0.3">
      <c r="A673" s="66">
        <f t="shared" si="68"/>
        <v>2056.5999999999394</v>
      </c>
      <c r="B673" s="67">
        <f>LOOKUP(A673+0.01,AmountsB!$A$4:$A$103,AmountsB!$B$4:$B$103)*0.1*$A$2</f>
        <v>0</v>
      </c>
      <c r="C673" s="68">
        <f t="shared" si="67"/>
        <v>1538495.7946267016</v>
      </c>
      <c r="D673" s="67">
        <f t="array" ref="D673">SUM($B$7:$B668*$F$1009*EXP(-$F$1009*($A673-$A$7:$A668)))*$F$1010</f>
        <v>66808816.199183233</v>
      </c>
      <c r="E673" s="67">
        <f t="shared" si="65"/>
        <v>127.36511019738127</v>
      </c>
      <c r="F673" s="70">
        <f t="shared" si="69"/>
        <v>7.7336094911849909</v>
      </c>
      <c r="G673" s="67">
        <f>E673/'Lookup Tables'!$C$48</f>
        <v>254.73022039476254</v>
      </c>
      <c r="H673" s="70">
        <f t="shared" si="66"/>
        <v>4.3512047386510135E-2</v>
      </c>
      <c r="I673" s="71">
        <f t="shared" si="70"/>
        <v>0.36681151736845807</v>
      </c>
      <c r="L673" s="74"/>
      <c r="M673" s="74"/>
      <c r="N673" s="74"/>
      <c r="O673" s="74"/>
      <c r="P673" s="74"/>
      <c r="Q673" s="74"/>
      <c r="R673" s="74"/>
      <c r="S673" s="74"/>
      <c r="T673" s="74"/>
      <c r="U673" s="74"/>
      <c r="V673" s="74"/>
      <c r="W673" s="74"/>
      <c r="X673" s="74"/>
      <c r="Y673" s="74"/>
      <c r="Z673" s="74"/>
    </row>
    <row r="674" spans="1:26" x14ac:dyDescent="0.3">
      <c r="A674" s="66">
        <f t="shared" si="68"/>
        <v>2056.6999999999393</v>
      </c>
      <c r="B674" s="67">
        <f>LOOKUP(A674+0.01,AmountsB!$A$4:$A$103,AmountsB!$B$4:$B$103)*0.1*$A$2</f>
        <v>0</v>
      </c>
      <c r="C674" s="68">
        <f t="shared" si="67"/>
        <v>1538495.7946267016</v>
      </c>
      <c r="D674" s="67">
        <f t="array" ref="D674">SUM($B$7:$B669*$F$1009*EXP(-$F$1009*($A674-$A$7:$A669)))*$F$1010</f>
        <v>66622013.160125017</v>
      </c>
      <c r="E674" s="67">
        <f t="shared" si="65"/>
        <v>127.00898669440043</v>
      </c>
      <c r="F674" s="70">
        <f t="shared" si="69"/>
        <v>7.7119856720839941</v>
      </c>
      <c r="G674" s="67">
        <f>E674/'Lookup Tables'!$C$48</f>
        <v>254.01797338880087</v>
      </c>
      <c r="H674" s="70">
        <f t="shared" si="66"/>
        <v>4.3390384061969073E-2</v>
      </c>
      <c r="I674" s="71">
        <f t="shared" si="70"/>
        <v>0.36578588167987325</v>
      </c>
      <c r="L674" s="74"/>
      <c r="M674" s="74"/>
      <c r="N674" s="74"/>
      <c r="O674" s="74"/>
      <c r="P674" s="74"/>
      <c r="Q674" s="74"/>
      <c r="R674" s="74"/>
      <c r="S674" s="74"/>
      <c r="T674" s="74"/>
      <c r="U674" s="74"/>
      <c r="V674" s="74"/>
      <c r="W674" s="74"/>
      <c r="X674" s="74"/>
      <c r="Y674" s="74"/>
      <c r="Z674" s="74"/>
    </row>
    <row r="675" spans="1:26" x14ac:dyDescent="0.3">
      <c r="A675" s="66">
        <f t="shared" si="68"/>
        <v>2056.7999999999392</v>
      </c>
      <c r="B675" s="67">
        <f>LOOKUP(A675+0.01,AmountsB!$A$4:$A$103,AmountsB!$B$4:$B$103)*0.1*$A$2</f>
        <v>0</v>
      </c>
      <c r="C675" s="68">
        <f t="shared" si="67"/>
        <v>1538495.7946267016</v>
      </c>
      <c r="D675" s="67">
        <f t="array" ref="D675">SUM($B$7:$B670*$F$1009*EXP(-$F$1009*($A675-$A$7:$A670)))*$F$1010</f>
        <v>66435732.437991217</v>
      </c>
      <c r="E675" s="67">
        <f t="shared" si="65"/>
        <v>126.65385894252584</v>
      </c>
      <c r="F675" s="70">
        <f t="shared" si="69"/>
        <v>7.6904223149901689</v>
      </c>
      <c r="G675" s="67">
        <f>E675/'Lookup Tables'!$C$48</f>
        <v>253.30771788505169</v>
      </c>
      <c r="H675" s="70">
        <f t="shared" si="66"/>
        <v>4.3269060918261305E-2</v>
      </c>
      <c r="I675" s="71">
        <f t="shared" si="70"/>
        <v>0.36476311375447446</v>
      </c>
      <c r="L675" s="74"/>
      <c r="M675" s="74"/>
      <c r="N675" s="74"/>
      <c r="O675" s="74"/>
      <c r="P675" s="74"/>
      <c r="Q675" s="74"/>
      <c r="R675" s="74"/>
      <c r="S675" s="74"/>
      <c r="T675" s="74"/>
      <c r="U675" s="74"/>
      <c r="V675" s="74"/>
      <c r="W675" s="74"/>
      <c r="X675" s="74"/>
      <c r="Y675" s="74"/>
      <c r="Z675" s="74"/>
    </row>
    <row r="676" spans="1:26" x14ac:dyDescent="0.3">
      <c r="A676" s="66">
        <f t="shared" si="68"/>
        <v>2056.8999999999392</v>
      </c>
      <c r="B676" s="67">
        <f>LOOKUP(A676+0.01,AmountsB!$A$4:$A$103,AmountsB!$B$4:$B$103)*0.1*$A$2</f>
        <v>0</v>
      </c>
      <c r="C676" s="68">
        <f t="shared" si="67"/>
        <v>1538495.7946267016</v>
      </c>
      <c r="D676" s="67">
        <f t="array" ref="D676">SUM($B$7:$B671*$F$1009*EXP(-$F$1009*($A676-$A$7:$A671)))*$F$1010</f>
        <v>66249972.572340026</v>
      </c>
      <c r="E676" s="67">
        <f t="shared" si="65"/>
        <v>126.2997241575541</v>
      </c>
      <c r="F676" s="70">
        <f t="shared" si="69"/>
        <v>7.6689192508466846</v>
      </c>
      <c r="G676" s="67">
        <f>E676/'Lookup Tables'!$C$48</f>
        <v>252.59944831510819</v>
      </c>
      <c r="H676" s="70">
        <f t="shared" si="66"/>
        <v>4.3148077004212769E-2</v>
      </c>
      <c r="I676" s="71">
        <f t="shared" si="70"/>
        <v>0.36374320557375578</v>
      </c>
      <c r="L676" s="74"/>
      <c r="M676" s="74"/>
      <c r="N676" s="74"/>
      <c r="O676" s="74"/>
      <c r="P676" s="74"/>
      <c r="Q676" s="74"/>
      <c r="R676" s="74"/>
      <c r="S676" s="74"/>
      <c r="T676" s="74"/>
      <c r="U676" s="74"/>
      <c r="V676" s="74"/>
      <c r="W676" s="74"/>
      <c r="X676" s="74"/>
      <c r="Y676" s="74"/>
      <c r="Z676" s="74"/>
    </row>
    <row r="677" spans="1:26" x14ac:dyDescent="0.3">
      <c r="A677" s="66">
        <f t="shared" si="68"/>
        <v>2056.9999999999391</v>
      </c>
      <c r="B677" s="67">
        <f>LOOKUP(A677+0.01,AmountsB!$A$4:$A$103,AmountsB!$B$4:$B$103)*0.1*$A$2</f>
        <v>0</v>
      </c>
      <c r="C677" s="68">
        <f t="shared" si="67"/>
        <v>1538495.7946267016</v>
      </c>
      <c r="D677" s="67">
        <f t="array" ref="D677">SUM($B$7:$B672*$F$1009*EXP(-$F$1009*($A677-$A$7:$A672)))*$F$1010</f>
        <v>66064732.10681314</v>
      </c>
      <c r="E677" s="67">
        <f t="shared" si="65"/>
        <v>125.94657956306666</v>
      </c>
      <c r="F677" s="70">
        <f t="shared" si="69"/>
        <v>7.6474763110694077</v>
      </c>
      <c r="G677" s="67">
        <f>E677/'Lookup Tables'!$C$48</f>
        <v>251.89315912613333</v>
      </c>
      <c r="H677" s="70">
        <f t="shared" si="66"/>
        <v>4.3027431371308954E-2</v>
      </c>
      <c r="I677" s="71">
        <f t="shared" si="70"/>
        <v>0.36272614914163198</v>
      </c>
      <c r="L677" s="74"/>
      <c r="M677" s="74"/>
      <c r="N677" s="74"/>
      <c r="O677" s="74"/>
      <c r="P677" s="74"/>
      <c r="Q677" s="74"/>
      <c r="R677" s="74"/>
      <c r="S677" s="74"/>
      <c r="T677" s="74"/>
      <c r="U677" s="74"/>
      <c r="V677" s="74"/>
      <c r="W677" s="74"/>
      <c r="X677" s="74"/>
      <c r="Y677" s="74"/>
      <c r="Z677" s="74"/>
    </row>
    <row r="678" spans="1:26" x14ac:dyDescent="0.3">
      <c r="A678" s="66">
        <f t="shared" si="68"/>
        <v>2057.099999999939</v>
      </c>
      <c r="B678" s="67">
        <f>LOOKUP(A678+0.01,AmountsB!$A$4:$A$103,AmountsB!$B$4:$B$103)*0.1*$A$2</f>
        <v>0</v>
      </c>
      <c r="C678" s="68">
        <f t="shared" si="67"/>
        <v>1538495.7946267016</v>
      </c>
      <c r="D678" s="67">
        <f t="array" ref="D678">SUM($B$7:$B673*$F$1009*EXP(-$F$1009*($A678-$A$7:$A673)))*$F$1010</f>
        <v>65880009.589124352</v>
      </c>
      <c r="E678" s="67">
        <f t="shared" si="65"/>
        <v>125.5944223904081</v>
      </c>
      <c r="F678" s="70">
        <f t="shared" si="69"/>
        <v>7.6260933275455809</v>
      </c>
      <c r="G678" s="67">
        <f>E678/'Lookup Tables'!$C$48</f>
        <v>251.1888447808162</v>
      </c>
      <c r="H678" s="70">
        <f t="shared" si="66"/>
        <v>4.2907123073687471E-2</v>
      </c>
      <c r="I678" s="71">
        <f t="shared" si="70"/>
        <v>0.36171193648437533</v>
      </c>
      <c r="L678" s="74"/>
      <c r="M678" s="74"/>
      <c r="N678" s="74"/>
      <c r="O678" s="74"/>
      <c r="P678" s="74"/>
      <c r="Q678" s="74"/>
      <c r="R678" s="74"/>
      <c r="S678" s="74"/>
      <c r="T678" s="74"/>
      <c r="U678" s="74"/>
      <c r="V678" s="74"/>
      <c r="W678" s="74"/>
      <c r="X678" s="74"/>
      <c r="Y678" s="74"/>
      <c r="Z678" s="74"/>
    </row>
    <row r="679" spans="1:26" x14ac:dyDescent="0.3">
      <c r="A679" s="66">
        <f t="shared" si="68"/>
        <v>2057.1999999999389</v>
      </c>
      <c r="B679" s="67">
        <f>LOOKUP(A679+0.01,AmountsB!$A$4:$A$103,AmountsB!$B$4:$B$103)*0.1*$A$2</f>
        <v>0</v>
      </c>
      <c r="C679" s="68">
        <f t="shared" si="67"/>
        <v>1538495.7946267016</v>
      </c>
      <c r="D679" s="67">
        <f t="array" ref="D679">SUM($B$7:$B674*$F$1009*EXP(-$F$1009*($A679-$A$7:$A674)))*$F$1010</f>
        <v>65695803.5710482</v>
      </c>
      <c r="E679" s="67">
        <f t="shared" si="65"/>
        <v>125.24324987866441</v>
      </c>
      <c r="F679" s="70">
        <f t="shared" si="69"/>
        <v>7.6047701326325035</v>
      </c>
      <c r="G679" s="67">
        <f>E679/'Lookup Tables'!$C$48</f>
        <v>250.48649975732883</v>
      </c>
      <c r="H679" s="70">
        <f t="shared" si="66"/>
        <v>4.2787151168130678E-2</v>
      </c>
      <c r="I679" s="71">
        <f t="shared" si="70"/>
        <v>0.36070055965055353</v>
      </c>
      <c r="L679" s="74"/>
      <c r="M679" s="74"/>
      <c r="N679" s="74"/>
      <c r="O679" s="74"/>
      <c r="P679" s="74"/>
      <c r="Q679" s="74"/>
      <c r="R679" s="74"/>
      <c r="S679" s="74"/>
      <c r="T679" s="74"/>
      <c r="U679" s="74"/>
      <c r="V679" s="74"/>
      <c r="W679" s="74"/>
      <c r="X679" s="74"/>
      <c r="Y679" s="74"/>
      <c r="Z679" s="74"/>
    </row>
    <row r="680" spans="1:26" x14ac:dyDescent="0.3">
      <c r="A680" s="66">
        <f t="shared" si="68"/>
        <v>2057.2999999999388</v>
      </c>
      <c r="B680" s="67">
        <f>LOOKUP(A680+0.01,AmountsB!$A$4:$A$103,AmountsB!$B$4:$B$103)*0.1*$A$2</f>
        <v>0</v>
      </c>
      <c r="C680" s="68">
        <f t="shared" si="67"/>
        <v>1538495.7946267016</v>
      </c>
      <c r="D680" s="67">
        <f t="array" ref="D680">SUM($B$7:$B675*$F$1009*EXP(-$F$1009*($A680-$A$7:$A675)))*$F$1010</f>
        <v>65512112.608408518</v>
      </c>
      <c r="E680" s="67">
        <f t="shared" si="65"/>
        <v>124.89305927464122</v>
      </c>
      <c r="F680" s="70">
        <f t="shared" si="69"/>
        <v>7.5835065591562145</v>
      </c>
      <c r="G680" s="67">
        <f>E680/'Lookup Tables'!$C$48</f>
        <v>249.78611854928243</v>
      </c>
      <c r="H680" s="70">
        <f t="shared" si="66"/>
        <v>4.2667514714058184E-2</v>
      </c>
      <c r="I680" s="71">
        <f t="shared" si="70"/>
        <v>0.35969201071096674</v>
      </c>
      <c r="L680" s="74"/>
      <c r="M680" s="74"/>
      <c r="N680" s="74"/>
      <c r="O680" s="74"/>
      <c r="P680" s="74"/>
      <c r="Q680" s="74"/>
      <c r="R680" s="74"/>
      <c r="S680" s="74"/>
      <c r="T680" s="74"/>
      <c r="U680" s="74"/>
      <c r="V680" s="74"/>
      <c r="W680" s="74"/>
      <c r="X680" s="74"/>
      <c r="Y680" s="74"/>
      <c r="Z680" s="74"/>
    </row>
    <row r="681" spans="1:26" x14ac:dyDescent="0.3">
      <c r="A681" s="66">
        <f t="shared" si="68"/>
        <v>2057.3999999999387</v>
      </c>
      <c r="B681" s="67">
        <f>LOOKUP(A681+0.01,AmountsB!$A$4:$A$103,AmountsB!$B$4:$B$103)*0.1*$A$2</f>
        <v>0</v>
      </c>
      <c r="C681" s="68">
        <f t="shared" si="67"/>
        <v>1538495.7946267016</v>
      </c>
      <c r="D681" s="67">
        <f t="array" ref="D681">SUM($B$7:$B676*$F$1009*EXP(-$F$1009*($A681-$A$7:$A676)))*$F$1010</f>
        <v>65328935.261067279</v>
      </c>
      <c r="E681" s="67">
        <f t="shared" si="65"/>
        <v>124.54384783284252</v>
      </c>
      <c r="F681" s="70">
        <f t="shared" si="69"/>
        <v>7.5623024404101979</v>
      </c>
      <c r="G681" s="67">
        <f>E681/'Lookup Tables'!$C$48</f>
        <v>249.08769566568503</v>
      </c>
      <c r="H681" s="70">
        <f t="shared" si="66"/>
        <v>4.2548212773519611E-2</v>
      </c>
      <c r="I681" s="71">
        <f t="shared" si="70"/>
        <v>0.35868628175858647</v>
      </c>
      <c r="L681" s="74"/>
      <c r="M681" s="74"/>
      <c r="N681" s="74"/>
      <c r="O681" s="74"/>
      <c r="P681" s="74"/>
      <c r="Q681" s="74"/>
      <c r="R681" s="74"/>
      <c r="S681" s="74"/>
      <c r="T681" s="74"/>
      <c r="U681" s="74"/>
      <c r="V681" s="74"/>
      <c r="W681" s="74"/>
      <c r="X681" s="74"/>
      <c r="Y681" s="74"/>
      <c r="Z681" s="74"/>
    </row>
    <row r="682" spans="1:26" x14ac:dyDescent="0.3">
      <c r="A682" s="66">
        <f t="shared" si="68"/>
        <v>2057.4999999999386</v>
      </c>
      <c r="B682" s="67">
        <f>LOOKUP(A682+0.01,AmountsB!$A$4:$A$103,AmountsB!$B$4:$B$103)*0.1*$A$2</f>
        <v>0</v>
      </c>
      <c r="C682" s="68">
        <f t="shared" si="67"/>
        <v>1538495.7946267016</v>
      </c>
      <c r="D682" s="67">
        <f t="array" ref="D682">SUM($B$7:$B677*$F$1009*EXP(-$F$1009*($A682-$A$7:$A677)))*$F$1010</f>
        <v>65146270.092913099</v>
      </c>
      <c r="E682" s="67">
        <f t="shared" si="65"/>
        <v>124.19561281544874</v>
      </c>
      <c r="F682" s="70">
        <f t="shared" si="69"/>
        <v>7.5411576101540465</v>
      </c>
      <c r="G682" s="67">
        <f>E682/'Lookup Tables'!$C$48</f>
        <v>248.39122563089748</v>
      </c>
      <c r="H682" s="70">
        <f t="shared" si="66"/>
        <v>4.2429244411187117E-2</v>
      </c>
      <c r="I682" s="71">
        <f t="shared" si="70"/>
        <v>0.35768336490849234</v>
      </c>
      <c r="L682" s="74"/>
      <c r="M682" s="74"/>
      <c r="N682" s="74"/>
      <c r="O682" s="74"/>
      <c r="P682" s="74"/>
      <c r="Q682" s="74"/>
      <c r="R682" s="74"/>
      <c r="S682" s="74"/>
      <c r="T682" s="74"/>
      <c r="U682" s="74"/>
      <c r="V682" s="74"/>
      <c r="W682" s="74"/>
      <c r="X682" s="74"/>
      <c r="Y682" s="74"/>
      <c r="Z682" s="74"/>
    </row>
    <row r="683" spans="1:26" x14ac:dyDescent="0.3">
      <c r="A683" s="66">
        <f t="shared" si="68"/>
        <v>2057.5999999999385</v>
      </c>
      <c r="B683" s="67">
        <f>LOOKUP(A683+0.01,AmountsB!$A$4:$A$103,AmountsB!$B$4:$B$103)*0.1*$A$2</f>
        <v>0</v>
      </c>
      <c r="C683" s="68">
        <f t="shared" si="67"/>
        <v>1538495.7946267016</v>
      </c>
      <c r="D683" s="67">
        <f t="array" ref="D683">SUM($B$7:$B678*$F$1009*EXP(-$F$1009*($A683-$A$7:$A678)))*$F$1010</f>
        <v>64964115.671850137</v>
      </c>
      <c r="E683" s="67">
        <f t="shared" si="65"/>
        <v>123.84835149229559</v>
      </c>
      <c r="F683" s="70">
        <f t="shared" si="69"/>
        <v>7.5200719026121892</v>
      </c>
      <c r="G683" s="67">
        <f>E683/'Lookup Tables'!$C$48</f>
        <v>247.69670298459118</v>
      </c>
      <c r="H683" s="70">
        <f t="shared" si="66"/>
        <v>4.2310608694348134E-2</v>
      </c>
      <c r="I683" s="71">
        <f t="shared" si="70"/>
        <v>0.35668325229781134</v>
      </c>
      <c r="L683" s="74"/>
      <c r="M683" s="74"/>
      <c r="N683" s="74"/>
      <c r="O683" s="74"/>
      <c r="P683" s="74"/>
      <c r="Q683" s="74"/>
      <c r="R683" s="74"/>
      <c r="S683" s="74"/>
      <c r="T683" s="74"/>
      <c r="U683" s="74"/>
      <c r="V683" s="74"/>
      <c r="W683" s="74"/>
      <c r="X683" s="74"/>
      <c r="Y683" s="74"/>
      <c r="Z683" s="74"/>
    </row>
    <row r="684" spans="1:26" x14ac:dyDescent="0.3">
      <c r="A684" s="66">
        <f t="shared" si="68"/>
        <v>2057.6999999999384</v>
      </c>
      <c r="B684" s="67">
        <f>LOOKUP(A684+0.01,AmountsB!$A$4:$A$103,AmountsB!$B$4:$B$103)*0.1*$A$2</f>
        <v>0</v>
      </c>
      <c r="C684" s="68">
        <f t="shared" si="67"/>
        <v>1538495.7946267016</v>
      </c>
      <c r="D684" s="67">
        <f t="array" ref="D684">SUM($B$7:$B679*$F$1009*EXP(-$F$1009*($A684-$A$7:$A679)))*$F$1010</f>
        <v>64782470.569786802</v>
      </c>
      <c r="E684" s="67">
        <f t="shared" si="65"/>
        <v>123.50206114085252</v>
      </c>
      <c r="F684" s="70">
        <f t="shared" si="69"/>
        <v>7.499045152472565</v>
      </c>
      <c r="G684" s="67">
        <f>E684/'Lookup Tables'!$C$48</f>
        <v>247.00412228170504</v>
      </c>
      <c r="H684" s="70">
        <f t="shared" si="66"/>
        <v>4.2192304692898037E-2</v>
      </c>
      <c r="I684" s="71">
        <f t="shared" si="70"/>
        <v>0.35568593608565524</v>
      </c>
      <c r="L684" s="74"/>
      <c r="M684" s="74"/>
      <c r="N684" s="74"/>
      <c r="O684" s="74"/>
      <c r="P684" s="74"/>
      <c r="Q684" s="74"/>
      <c r="R684" s="74"/>
      <c r="S684" s="74"/>
      <c r="T684" s="74"/>
      <c r="U684" s="74"/>
      <c r="V684" s="74"/>
      <c r="W684" s="74"/>
      <c r="X684" s="74"/>
      <c r="Y684" s="74"/>
      <c r="Z684" s="74"/>
    </row>
    <row r="685" spans="1:26" x14ac:dyDescent="0.3">
      <c r="A685" s="66">
        <f t="shared" si="68"/>
        <v>2057.7999999999383</v>
      </c>
      <c r="B685" s="67">
        <f>LOOKUP(A685+0.01,AmountsB!$A$4:$A$103,AmountsB!$B$4:$B$103)*0.1*$A$2</f>
        <v>0</v>
      </c>
      <c r="C685" s="68">
        <f t="shared" si="67"/>
        <v>1538495.7946267016</v>
      </c>
      <c r="D685" s="67">
        <f t="array" ref="D685">SUM($B$7:$B680*$F$1009*EXP(-$F$1009*($A685-$A$7:$A680)))*$F$1010</f>
        <v>64601333.362624533</v>
      </c>
      <c r="E685" s="67">
        <f t="shared" si="65"/>
        <v>123.15673904620131</v>
      </c>
      <c r="F685" s="70">
        <f t="shared" si="69"/>
        <v>7.4780771948853442</v>
      </c>
      <c r="G685" s="67">
        <f>E685/'Lookup Tables'!$C$48</f>
        <v>246.31347809240262</v>
      </c>
      <c r="H685" s="70">
        <f t="shared" si="66"/>
        <v>4.2074331479332837E-2</v>
      </c>
      <c r="I685" s="71">
        <f t="shared" si="70"/>
        <v>0.3546914084530598</v>
      </c>
      <c r="L685" s="74"/>
      <c r="M685" s="74"/>
      <c r="N685" s="74"/>
      <c r="O685" s="74"/>
      <c r="P685" s="74"/>
      <c r="Q685" s="74"/>
      <c r="R685" s="74"/>
      <c r="S685" s="74"/>
      <c r="T685" s="74"/>
      <c r="U685" s="74"/>
      <c r="V685" s="74"/>
      <c r="W685" s="74"/>
      <c r="X685" s="74"/>
      <c r="Y685" s="74"/>
      <c r="Z685" s="74"/>
    </row>
    <row r="686" spans="1:26" x14ac:dyDescent="0.3">
      <c r="A686" s="66">
        <f t="shared" si="68"/>
        <v>2057.8999999999382</v>
      </c>
      <c r="B686" s="67">
        <f>LOOKUP(A686+0.01,AmountsB!$A$4:$A$103,AmountsB!$B$4:$B$103)*0.1*$A$2</f>
        <v>0</v>
      </c>
      <c r="C686" s="68">
        <f t="shared" si="67"/>
        <v>1538495.7946267016</v>
      </c>
      <c r="D686" s="67">
        <f t="array" ref="D686">SUM($B$7:$B681*$F$1009*EXP(-$F$1009*($A686-$A$7:$A681)))*$F$1010</f>
        <v>64420702.630246729</v>
      </c>
      <c r="E686" s="67">
        <f t="shared" si="65"/>
        <v>122.81238250101509</v>
      </c>
      <c r="F686" s="70">
        <f t="shared" si="69"/>
        <v>7.4571678654616376</v>
      </c>
      <c r="G686" s="67">
        <f>E686/'Lookup Tables'!$C$48</f>
        <v>245.62476500203019</v>
      </c>
      <c r="H686" s="70">
        <f t="shared" si="66"/>
        <v>4.1956688128741947E-2</v>
      </c>
      <c r="I686" s="71">
        <f t="shared" si="70"/>
        <v>0.35369966160292349</v>
      </c>
      <c r="L686" s="74"/>
      <c r="M686" s="74"/>
      <c r="N686" s="74"/>
      <c r="O686" s="74"/>
      <c r="P686" s="74"/>
      <c r="Q686" s="74"/>
      <c r="R686" s="74"/>
      <c r="S686" s="74"/>
      <c r="T686" s="74"/>
      <c r="U686" s="74"/>
      <c r="V686" s="74"/>
      <c r="W686" s="74"/>
      <c r="X686" s="74"/>
      <c r="Y686" s="74"/>
      <c r="Z686" s="74"/>
    </row>
    <row r="687" spans="1:26" x14ac:dyDescent="0.3">
      <c r="A687" s="66">
        <f t="shared" si="68"/>
        <v>2057.9999999999382</v>
      </c>
      <c r="B687" s="67">
        <f>LOOKUP(A687+0.01,AmountsB!$A$4:$A$103,AmountsB!$B$4:$B$103)*0.1*$A$2</f>
        <v>0</v>
      </c>
      <c r="C687" s="68">
        <f t="shared" si="67"/>
        <v>1538495.7946267016</v>
      </c>
      <c r="D687" s="67">
        <f t="array" ref="D687">SUM($B$7:$B682*$F$1009*EXP(-$F$1009*($A687-$A$7:$A682)))*$F$1010</f>
        <v>64240576.956507519</v>
      </c>
      <c r="E687" s="67">
        <f t="shared" si="65"/>
        <v>122.46898880553672</v>
      </c>
      <c r="F687" s="70">
        <f t="shared" si="69"/>
        <v>7.4363170002721892</v>
      </c>
      <c r="G687" s="67">
        <f>E687/'Lookup Tables'!$C$48</f>
        <v>244.93797761107345</v>
      </c>
      <c r="H687" s="70">
        <f t="shared" si="66"/>
        <v>4.1839373718800879E-2</v>
      </c>
      <c r="I687" s="71">
        <f t="shared" si="70"/>
        <v>0.35271068775994574</v>
      </c>
      <c r="L687" s="74"/>
      <c r="M687" s="74"/>
      <c r="N687" s="74"/>
      <c r="O687" s="74"/>
      <c r="P687" s="74"/>
      <c r="Q687" s="74"/>
      <c r="R687" s="74"/>
      <c r="S687" s="74"/>
      <c r="T687" s="74"/>
      <c r="U687" s="74"/>
      <c r="V687" s="74"/>
      <c r="W687" s="74"/>
      <c r="X687" s="74"/>
      <c r="Y687" s="74"/>
      <c r="Z687" s="74"/>
    </row>
    <row r="688" spans="1:26" x14ac:dyDescent="0.3">
      <c r="A688" s="66">
        <f t="shared" si="68"/>
        <v>2058.0999999999381</v>
      </c>
      <c r="B688" s="67">
        <f>LOOKUP(A688+0.01,AmountsB!$A$4:$A$103,AmountsB!$B$4:$B$103)*0.1*$A$2</f>
        <v>0</v>
      </c>
      <c r="C688" s="68">
        <f t="shared" si="67"/>
        <v>1538495.7946267016</v>
      </c>
      <c r="D688" s="67">
        <f t="array" ref="D688">SUM($B$7:$B683*$F$1009*EXP(-$F$1009*($A688-$A$7:$A683)))*$F$1010</f>
        <v>64060954.929220721</v>
      </c>
      <c r="E688" s="67">
        <f t="shared" si="65"/>
        <v>122.12655526755795</v>
      </c>
      <c r="F688" s="70">
        <f t="shared" si="69"/>
        <v>7.4155244358461179</v>
      </c>
      <c r="G688" s="67">
        <f>E688/'Lookup Tables'!$C$48</f>
        <v>244.25311053511589</v>
      </c>
      <c r="H688" s="70">
        <f t="shared" si="66"/>
        <v>4.1722387329764105E-2</v>
      </c>
      <c r="I688" s="71">
        <f t="shared" si="70"/>
        <v>0.35172447917056687</v>
      </c>
      <c r="L688" s="74"/>
      <c r="M688" s="74"/>
      <c r="N688" s="74"/>
      <c r="O688" s="74"/>
      <c r="P688" s="74"/>
      <c r="Q688" s="74"/>
      <c r="R688" s="74"/>
      <c r="S688" s="74"/>
      <c r="T688" s="74"/>
      <c r="U688" s="74"/>
      <c r="V688" s="74"/>
      <c r="W688" s="74"/>
      <c r="X688" s="74"/>
      <c r="Y688" s="74"/>
      <c r="Z688" s="74"/>
    </row>
    <row r="689" spans="1:26" x14ac:dyDescent="0.3">
      <c r="A689" s="66">
        <f t="shared" si="68"/>
        <v>2058.199999999938</v>
      </c>
      <c r="B689" s="67">
        <f>LOOKUP(A689+0.01,AmountsB!$A$4:$A$103,AmountsB!$B$4:$B$103)*0.1*$A$2</f>
        <v>0</v>
      </c>
      <c r="C689" s="68">
        <f t="shared" si="67"/>
        <v>1538495.7946267016</v>
      </c>
      <c r="D689" s="67">
        <f t="array" ref="D689">SUM($B$7:$B684*$F$1009*EXP(-$F$1009*($A689-$A$7:$A684)))*$F$1010</f>
        <v>63881835.140148677</v>
      </c>
      <c r="E689" s="67">
        <f t="shared" si="65"/>
        <v>121.78507920239798</v>
      </c>
      <c r="F689" s="70">
        <f t="shared" si="69"/>
        <v>7.3947900091696059</v>
      </c>
      <c r="G689" s="67">
        <f>E689/'Lookup Tables'!$C$48</f>
        <v>243.57015840479596</v>
      </c>
      <c r="H689" s="70">
        <f t="shared" si="66"/>
        <v>4.1605728044457689E-2</v>
      </c>
      <c r="I689" s="71">
        <f t="shared" si="70"/>
        <v>0.35074102810290619</v>
      </c>
      <c r="L689" s="74"/>
      <c r="M689" s="74"/>
      <c r="N689" s="74"/>
      <c r="O689" s="74"/>
      <c r="P689" s="74"/>
      <c r="Q689" s="74"/>
      <c r="R689" s="74"/>
      <c r="S689" s="74"/>
      <c r="T689" s="74"/>
      <c r="U689" s="74"/>
      <c r="V689" s="74"/>
      <c r="W689" s="74"/>
      <c r="X689" s="74"/>
      <c r="Y689" s="74"/>
      <c r="Z689" s="74"/>
    </row>
    <row r="690" spans="1:26" x14ac:dyDescent="0.3">
      <c r="A690" s="66">
        <f t="shared" si="68"/>
        <v>2058.2999999999379</v>
      </c>
      <c r="B690" s="67">
        <f>LOOKUP(A690+0.01,AmountsB!$A$4:$A$103,AmountsB!$B$4:$B$103)*0.1*$A$2</f>
        <v>0</v>
      </c>
      <c r="C690" s="68">
        <f t="shared" si="67"/>
        <v>1538495.7946267016</v>
      </c>
      <c r="D690" s="67">
        <f t="array" ref="D690">SUM($B$7:$B685*$F$1009*EXP(-$F$1009*($A690-$A$7:$A685)))*$F$1010</f>
        <v>63703216.18499136</v>
      </c>
      <c r="E690" s="67">
        <f t="shared" si="65"/>
        <v>121.4445579328828</v>
      </c>
      <c r="F690" s="70">
        <f t="shared" si="69"/>
        <v>7.3741135576846428</v>
      </c>
      <c r="G690" s="67">
        <f>E690/'Lookup Tables'!$C$48</f>
        <v>242.8891158657656</v>
      </c>
      <c r="H690" s="70">
        <f t="shared" si="66"/>
        <v>4.1489394948272272E-2</v>
      </c>
      <c r="I690" s="71">
        <f t="shared" si="70"/>
        <v>0.3497603268467025</v>
      </c>
      <c r="L690" s="74"/>
      <c r="M690" s="74"/>
      <c r="N690" s="74"/>
      <c r="O690" s="74"/>
      <c r="P690" s="74"/>
      <c r="Q690" s="74"/>
      <c r="R690" s="74"/>
      <c r="S690" s="74"/>
      <c r="T690" s="74"/>
      <c r="U690" s="74"/>
      <c r="V690" s="74"/>
      <c r="W690" s="74"/>
      <c r="X690" s="74"/>
      <c r="Y690" s="74"/>
      <c r="Z690" s="74"/>
    </row>
    <row r="691" spans="1:26" x14ac:dyDescent="0.3">
      <c r="A691" s="66">
        <f t="shared" si="68"/>
        <v>2058.3999999999378</v>
      </c>
      <c r="B691" s="67">
        <f>LOOKUP(A691+0.01,AmountsB!$A$4:$A$103,AmountsB!$B$4:$B$103)*0.1*$A$2</f>
        <v>0</v>
      </c>
      <c r="C691" s="68">
        <f t="shared" si="67"/>
        <v>1538495.7946267016</v>
      </c>
      <c r="D691" s="67">
        <f t="array" ref="D691">SUM($B$7:$B686*$F$1009*EXP(-$F$1009*($A691-$A$7:$A686)))*$F$1010</f>
        <v>63525096.663375229</v>
      </c>
      <c r="E691" s="67">
        <f t="shared" si="65"/>
        <v>121.10498878932385</v>
      </c>
      <c r="F691" s="70">
        <f t="shared" si="69"/>
        <v>7.3534949192877441</v>
      </c>
      <c r="G691" s="67">
        <f>E691/'Lookup Tables'!$C$48</f>
        <v>242.20997757864771</v>
      </c>
      <c r="H691" s="70">
        <f t="shared" si="66"/>
        <v>4.1373387129155739E-2</v>
      </c>
      <c r="I691" s="71">
        <f t="shared" si="70"/>
        <v>0.34878236771325266</v>
      </c>
      <c r="L691" s="74"/>
      <c r="M691" s="74"/>
      <c r="N691" s="74"/>
      <c r="O691" s="74"/>
      <c r="P691" s="74"/>
      <c r="Q691" s="74"/>
      <c r="R691" s="74"/>
      <c r="S691" s="74"/>
      <c r="T691" s="74"/>
      <c r="U691" s="74"/>
      <c r="V691" s="74"/>
      <c r="W691" s="74"/>
      <c r="X691" s="74"/>
      <c r="Y691" s="74"/>
      <c r="Z691" s="74"/>
    </row>
    <row r="692" spans="1:26" x14ac:dyDescent="0.3">
      <c r="A692" s="66">
        <f t="shared" si="68"/>
        <v>2058.4999999999377</v>
      </c>
      <c r="B692" s="67">
        <f>LOOKUP(A692+0.01,AmountsB!$A$4:$A$103,AmountsB!$B$4:$B$103)*0.1*$A$2</f>
        <v>0</v>
      </c>
      <c r="C692" s="68">
        <f t="shared" si="67"/>
        <v>1538495.7946267016</v>
      </c>
      <c r="D692" s="67">
        <f t="array" ref="D692">SUM($B$7:$B687*$F$1009*EXP(-$F$1009*($A692-$A$7:$A687)))*$F$1010</f>
        <v>63347475.178842299</v>
      </c>
      <c r="E692" s="67">
        <f t="shared" si="65"/>
        <v>120.7663691094973</v>
      </c>
      <c r="F692" s="70">
        <f t="shared" si="69"/>
        <v>7.3329339323286771</v>
      </c>
      <c r="G692" s="67">
        <f>E692/'Lookup Tables'!$C$48</f>
        <v>241.53273821899461</v>
      </c>
      <c r="H692" s="70">
        <f t="shared" si="66"/>
        <v>4.1257703677606228E-2</v>
      </c>
      <c r="I692" s="71">
        <f t="shared" si="70"/>
        <v>0.34780714303535221</v>
      </c>
      <c r="L692" s="74"/>
      <c r="M692" s="74"/>
      <c r="N692" s="74"/>
      <c r="O692" s="74"/>
      <c r="P692" s="74"/>
      <c r="Q692" s="74"/>
      <c r="R692" s="74"/>
      <c r="S692" s="74"/>
      <c r="T692" s="74"/>
      <c r="U692" s="74"/>
      <c r="V692" s="74"/>
      <c r="W692" s="74"/>
      <c r="X692" s="74"/>
      <c r="Y692" s="74"/>
      <c r="Z692" s="74"/>
    </row>
    <row r="693" spans="1:26" x14ac:dyDescent="0.3">
      <c r="A693" s="66">
        <f t="shared" si="68"/>
        <v>2058.5999999999376</v>
      </c>
      <c r="B693" s="67">
        <f>LOOKUP(A693+0.01,AmountsB!$A$4:$A$103,AmountsB!$B$4:$B$103)*0.1*$A$2</f>
        <v>0</v>
      </c>
      <c r="C693" s="68">
        <f t="shared" si="67"/>
        <v>1538495.7946267016</v>
      </c>
      <c r="D693" s="67">
        <f t="array" ref="D693">SUM($B$7:$B688*$F$1009*EXP(-$F$1009*($A693-$A$7:$A688)))*$F$1010</f>
        <v>63170350.338839248</v>
      </c>
      <c r="E693" s="67">
        <f t="shared" si="65"/>
        <v>120.42869623862313</v>
      </c>
      <c r="F693" s="70">
        <f t="shared" si="69"/>
        <v>7.3124304356091967</v>
      </c>
      <c r="G693" s="67">
        <f>E693/'Lookup Tables'!$C$48</f>
        <v>240.85739247724626</v>
      </c>
      <c r="H693" s="70">
        <f t="shared" si="66"/>
        <v>4.1142343686664862E-2</v>
      </c>
      <c r="I693" s="71">
        <f t="shared" si="70"/>
        <v>0.34683464516723461</v>
      </c>
      <c r="L693" s="74"/>
      <c r="M693" s="74"/>
      <c r="N693" s="74"/>
      <c r="O693" s="74"/>
      <c r="P693" s="74"/>
      <c r="Q693" s="74"/>
      <c r="R693" s="74"/>
      <c r="S693" s="74"/>
      <c r="T693" s="74"/>
      <c r="U693" s="74"/>
      <c r="V693" s="74"/>
      <c r="W693" s="74"/>
      <c r="X693" s="74"/>
      <c r="Y693" s="74"/>
      <c r="Z693" s="74"/>
    </row>
    <row r="694" spans="1:26" x14ac:dyDescent="0.3">
      <c r="A694" s="66">
        <f t="shared" si="68"/>
        <v>2058.6999999999375</v>
      </c>
      <c r="B694" s="67">
        <f>LOOKUP(A694+0.01,AmountsB!$A$4:$A$103,AmountsB!$B$4:$B$103)*0.1*$A$2</f>
        <v>0</v>
      </c>
      <c r="C694" s="68">
        <f t="shared" si="67"/>
        <v>1538495.7946267016</v>
      </c>
      <c r="D694" s="67">
        <f t="array" ref="D694">SUM($B$7:$B689*$F$1009*EXP(-$F$1009*($A694-$A$7:$A689)))*$F$1010</f>
        <v>62993720.75470639</v>
      </c>
      <c r="E694" s="67">
        <f t="shared" si="65"/>
        <v>120.09196752934427</v>
      </c>
      <c r="F694" s="70">
        <f t="shared" si="69"/>
        <v>7.2919842683817846</v>
      </c>
      <c r="G694" s="67">
        <f>E694/'Lookup Tables'!$C$48</f>
        <v>240.18393505868855</v>
      </c>
      <c r="H694" s="70">
        <f t="shared" si="66"/>
        <v>4.1027306251908723E-2</v>
      </c>
      <c r="I694" s="71">
        <f t="shared" si="70"/>
        <v>0.34586486648451154</v>
      </c>
      <c r="L694" s="74"/>
      <c r="M694" s="74"/>
      <c r="N694" s="74"/>
      <c r="O694" s="74"/>
      <c r="P694" s="74"/>
      <c r="Q694" s="74"/>
      <c r="R694" s="74"/>
      <c r="S694" s="74"/>
      <c r="T694" s="74"/>
      <c r="U694" s="74"/>
      <c r="V694" s="74"/>
      <c r="W694" s="74"/>
      <c r="X694" s="74"/>
      <c r="Y694" s="74"/>
      <c r="Z694" s="74"/>
    </row>
    <row r="695" spans="1:26" x14ac:dyDescent="0.3">
      <c r="A695" s="66">
        <f t="shared" si="68"/>
        <v>2058.7999999999374</v>
      </c>
      <c r="B695" s="67">
        <f>LOOKUP(A695+0.01,AmountsB!$A$4:$A$103,AmountsB!$B$4:$B$103)*0.1*$A$2</f>
        <v>0</v>
      </c>
      <c r="C695" s="68">
        <f t="shared" si="67"/>
        <v>1538495.7946267016</v>
      </c>
      <c r="D695" s="67">
        <f t="array" ref="D695">SUM($B$7:$B690*$F$1009*EXP(-$F$1009*($A695-$A$7:$A690)))*$F$1010</f>
        <v>62817585.041666962</v>
      </c>
      <c r="E695" s="67">
        <f t="shared" si="65"/>
        <v>119.75618034170608</v>
      </c>
      <c r="F695" s="70">
        <f t="shared" si="69"/>
        <v>7.271595270348393</v>
      </c>
      <c r="G695" s="67">
        <f>E695/'Lookup Tables'!$C$48</f>
        <v>239.51236068341217</v>
      </c>
      <c r="H695" s="70">
        <f t="shared" si="66"/>
        <v>4.0912590471443779E-2</v>
      </c>
      <c r="I695" s="71">
        <f t="shared" si="70"/>
        <v>0.34489779938411352</v>
      </c>
      <c r="L695" s="74"/>
      <c r="M695" s="74"/>
      <c r="N695" s="74"/>
      <c r="O695" s="74"/>
      <c r="P695" s="74"/>
      <c r="Q695" s="74"/>
      <c r="R695" s="74"/>
      <c r="S695" s="74"/>
      <c r="T695" s="74"/>
      <c r="U695" s="74"/>
      <c r="V695" s="74"/>
      <c r="W695" s="74"/>
      <c r="X695" s="74"/>
      <c r="Y695" s="74"/>
      <c r="Z695" s="74"/>
    </row>
    <row r="696" spans="1:26" x14ac:dyDescent="0.3">
      <c r="A696" s="66">
        <f t="shared" si="68"/>
        <v>2058.8999999999373</v>
      </c>
      <c r="B696" s="67">
        <f>LOOKUP(A696+0.01,AmountsB!$A$4:$A$103,AmountsB!$B$4:$B$103)*0.1*$A$2</f>
        <v>0</v>
      </c>
      <c r="C696" s="68">
        <f t="shared" si="67"/>
        <v>1538495.7946267016</v>
      </c>
      <c r="D696" s="67">
        <f t="array" ref="D696">SUM($B$7:$B691*$F$1009*EXP(-$F$1009*($A696-$A$7:$A691)))*$F$1010</f>
        <v>62641941.818815991</v>
      </c>
      <c r="E696" s="67">
        <f t="shared" si="65"/>
        <v>119.42133204313512</v>
      </c>
      <c r="F696" s="70">
        <f t="shared" si="69"/>
        <v>7.2512632816591642</v>
      </c>
      <c r="G696" s="67">
        <f>E696/'Lookup Tables'!$C$48</f>
        <v>238.84266408627025</v>
      </c>
      <c r="H696" s="70">
        <f t="shared" si="66"/>
        <v>4.0798195445897675E-2</v>
      </c>
      <c r="I696" s="71">
        <f t="shared" si="70"/>
        <v>0.34393343628422918</v>
      </c>
      <c r="L696" s="74"/>
      <c r="M696" s="74"/>
      <c r="N696" s="74"/>
      <c r="O696" s="74"/>
      <c r="P696" s="74"/>
      <c r="Q696" s="74"/>
      <c r="R696" s="74"/>
      <c r="S696" s="74"/>
      <c r="T696" s="74"/>
      <c r="U696" s="74"/>
      <c r="V696" s="74"/>
      <c r="W696" s="74"/>
      <c r="X696" s="74"/>
      <c r="Y696" s="74"/>
      <c r="Z696" s="74"/>
    </row>
    <row r="697" spans="1:26" x14ac:dyDescent="0.3">
      <c r="A697" s="66">
        <f t="shared" si="68"/>
        <v>2058.9999999999372</v>
      </c>
      <c r="B697" s="67">
        <f>LOOKUP(A697+0.01,AmountsB!$A$4:$A$103,AmountsB!$B$4:$B$103)*0.1*$A$2</f>
        <v>0</v>
      </c>
      <c r="C697" s="68">
        <f t="shared" si="67"/>
        <v>1538495.7946267016</v>
      </c>
      <c r="D697" s="67">
        <f t="array" ref="D697">SUM($B$7:$B692*$F$1009*EXP(-$F$1009*($A697-$A$7:$A692)))*$F$1010</f>
        <v>62466789.709109746</v>
      </c>
      <c r="E697" s="67">
        <f t="shared" si="65"/>
        <v>119.08742000841907</v>
      </c>
      <c r="F697" s="70">
        <f t="shared" si="69"/>
        <v>7.2309881429112064</v>
      </c>
      <c r="G697" s="67">
        <f>E697/'Lookup Tables'!$C$48</f>
        <v>238.17484001683815</v>
      </c>
      <c r="H697" s="70">
        <f t="shared" si="66"/>
        <v>4.0684120278412839E-2</v>
      </c>
      <c r="I697" s="71">
        <f t="shared" si="70"/>
        <v>0.34297176962424691</v>
      </c>
      <c r="L697" s="74"/>
      <c r="M697" s="74"/>
      <c r="N697" s="74"/>
      <c r="O697" s="74"/>
      <c r="P697" s="74"/>
      <c r="Q697" s="74"/>
      <c r="R697" s="74"/>
      <c r="S697" s="74"/>
      <c r="T697" s="74"/>
      <c r="U697" s="74"/>
      <c r="V697" s="74"/>
      <c r="W697" s="74"/>
      <c r="X697" s="74"/>
      <c r="Y697" s="74"/>
      <c r="Z697" s="74"/>
    </row>
    <row r="698" spans="1:26" x14ac:dyDescent="0.3">
      <c r="A698" s="66">
        <f t="shared" si="68"/>
        <v>2059.0999999999372</v>
      </c>
      <c r="B698" s="67">
        <f>LOOKUP(A698+0.01,AmountsB!$A$4:$A$103,AmountsB!$B$4:$B$103)*0.1*$A$2</f>
        <v>0</v>
      </c>
      <c r="C698" s="68">
        <f t="shared" si="67"/>
        <v>1538495.7946267016</v>
      </c>
      <c r="D698" s="67">
        <f t="array" ref="D698">SUM($B$7:$B693*$F$1009*EXP(-$F$1009*($A698-$A$7:$A693)))*$F$1010</f>
        <v>62292127.339354776</v>
      </c>
      <c r="E698" s="67">
        <f t="shared" si="65"/>
        <v>118.75444161968585</v>
      </c>
      <c r="F698" s="70">
        <f t="shared" si="69"/>
        <v>7.2107696951473246</v>
      </c>
      <c r="G698" s="67">
        <f>E698/'Lookup Tables'!$C$48</f>
        <v>237.5088832393717</v>
      </c>
      <c r="H698" s="70">
        <f t="shared" si="66"/>
        <v>4.0570364074639369E-2</v>
      </c>
      <c r="I698" s="71">
        <f t="shared" si="70"/>
        <v>0.34201279186469524</v>
      </c>
      <c r="L698" s="74"/>
      <c r="M698" s="74"/>
      <c r="N698" s="74"/>
      <c r="O698" s="74"/>
      <c r="P698" s="74"/>
      <c r="Q698" s="74"/>
      <c r="R698" s="74"/>
      <c r="S698" s="74"/>
      <c r="T698" s="74"/>
      <c r="U698" s="74"/>
      <c r="V698" s="74"/>
      <c r="W698" s="74"/>
      <c r="X698" s="74"/>
      <c r="Y698" s="74"/>
      <c r="Z698" s="74"/>
    </row>
    <row r="699" spans="1:26" x14ac:dyDescent="0.3">
      <c r="A699" s="66">
        <f t="shared" si="68"/>
        <v>2059.1999999999371</v>
      </c>
      <c r="B699" s="67">
        <f>LOOKUP(A699+0.01,AmountsB!$A$4:$A$103,AmountsB!$B$4:$B$103)*0.1*$A$2</f>
        <v>0</v>
      </c>
      <c r="C699" s="68">
        <f t="shared" si="67"/>
        <v>1538495.7946267016</v>
      </c>
      <c r="D699" s="67">
        <f t="array" ref="D699">SUM($B$7:$B694*$F$1009*EXP(-$F$1009*($A699-$A$7:$A694)))*$F$1010</f>
        <v>62117953.340197213</v>
      </c>
      <c r="E699" s="67">
        <f t="shared" si="65"/>
        <v>118.42239426638321</v>
      </c>
      <c r="F699" s="70">
        <f t="shared" si="69"/>
        <v>7.1906077798547887</v>
      </c>
      <c r="G699" s="67">
        <f>E699/'Lookup Tables'!$C$48</f>
        <v>236.84478853276642</v>
      </c>
      <c r="H699" s="70">
        <f t="shared" si="66"/>
        <v>4.0456925942728053E-2</v>
      </c>
      <c r="I699" s="71">
        <f t="shared" si="70"/>
        <v>0.34105649548718364</v>
      </c>
      <c r="L699" s="74"/>
      <c r="M699" s="74"/>
      <c r="N699" s="74"/>
      <c r="O699" s="74"/>
      <c r="P699" s="74"/>
      <c r="Q699" s="74"/>
      <c r="R699" s="74"/>
      <c r="S699" s="74"/>
      <c r="T699" s="74"/>
      <c r="U699" s="74"/>
      <c r="V699" s="74"/>
      <c r="W699" s="74"/>
      <c r="X699" s="74"/>
      <c r="Y699" s="74"/>
      <c r="Z699" s="74"/>
    </row>
    <row r="700" spans="1:26" x14ac:dyDescent="0.3">
      <c r="A700" s="66">
        <f t="shared" si="68"/>
        <v>2059.299999999937</v>
      </c>
      <c r="B700" s="67">
        <f>LOOKUP(A700+0.01,AmountsB!$A$4:$A$103,AmountsB!$B$4:$B$103)*0.1*$A$2</f>
        <v>0</v>
      </c>
      <c r="C700" s="68">
        <f t="shared" si="67"/>
        <v>1538495.7946267016</v>
      </c>
      <c r="D700" s="67">
        <f t="array" ref="D700">SUM($B$7:$B695*$F$1009*EXP(-$F$1009*($A700-$A$7:$A695)))*$F$1010</f>
        <v>61944266.346112035</v>
      </c>
      <c r="E700" s="67">
        <f t="shared" si="65"/>
        <v>118.09127534525823</v>
      </c>
      <c r="F700" s="70">
        <f t="shared" si="69"/>
        <v>7.1705022389640787</v>
      </c>
      <c r="G700" s="67">
        <f>E700/'Lookup Tables'!$C$48</f>
        <v>236.18255069051645</v>
      </c>
      <c r="H700" s="70">
        <f t="shared" si="66"/>
        <v>4.0343804993323372E-2</v>
      </c>
      <c r="I700" s="71">
        <f t="shared" si="70"/>
        <v>0.34010287299434372</v>
      </c>
      <c r="L700" s="74"/>
      <c r="M700" s="74"/>
      <c r="N700" s="74"/>
      <c r="O700" s="74"/>
      <c r="P700" s="74"/>
      <c r="Q700" s="74"/>
      <c r="R700" s="74"/>
      <c r="S700" s="74"/>
      <c r="T700" s="74"/>
      <c r="U700" s="74"/>
      <c r="V700" s="74"/>
      <c r="W700" s="74"/>
      <c r="X700" s="74"/>
      <c r="Y700" s="74"/>
      <c r="Z700" s="74"/>
    </row>
    <row r="701" spans="1:26" x14ac:dyDescent="0.3">
      <c r="A701" s="66">
        <f t="shared" si="68"/>
        <v>2059.3999999999369</v>
      </c>
      <c r="B701" s="67">
        <f>LOOKUP(A701+0.01,AmountsB!$A$4:$A$103,AmountsB!$B$4:$B$103)*0.1*$A$2</f>
        <v>0</v>
      </c>
      <c r="C701" s="68">
        <f t="shared" si="67"/>
        <v>1538495.7946267016</v>
      </c>
      <c r="D701" s="67">
        <f t="array" ref="D701">SUM($B$7:$B696*$F$1009*EXP(-$F$1009*($A701-$A$7:$A696)))*$F$1010</f>
        <v>61771064.995392278</v>
      </c>
      <c r="E701" s="67">
        <f t="shared" si="65"/>
        <v>117.76108226033679</v>
      </c>
      <c r="F701" s="70">
        <f t="shared" si="69"/>
        <v>7.1504529148476506</v>
      </c>
      <c r="G701" s="67">
        <f>E701/'Lookup Tables'!$C$48</f>
        <v>235.52216452067358</v>
      </c>
      <c r="H701" s="70">
        <f t="shared" si="66"/>
        <v>4.0231000339556462E-2</v>
      </c>
      <c r="I701" s="71">
        <f t="shared" si="70"/>
        <v>0.33915191690976998</v>
      </c>
      <c r="L701" s="74"/>
      <c r="M701" s="74"/>
      <c r="N701" s="74"/>
      <c r="O701" s="74"/>
      <c r="P701" s="74"/>
      <c r="Q701" s="74"/>
      <c r="R701" s="74"/>
      <c r="S701" s="74"/>
      <c r="T701" s="74"/>
      <c r="U701" s="74"/>
      <c r="V701" s="74"/>
      <c r="W701" s="74"/>
      <c r="X701" s="74"/>
      <c r="Y701" s="74"/>
      <c r="Z701" s="74"/>
    </row>
    <row r="702" spans="1:26" x14ac:dyDescent="0.3">
      <c r="A702" s="66">
        <f t="shared" si="68"/>
        <v>2059.4999999999368</v>
      </c>
      <c r="B702" s="67">
        <f>LOOKUP(A702+0.01,AmountsB!$A$4:$A$103,AmountsB!$B$4:$B$103)*0.1*$A$2</f>
        <v>0</v>
      </c>
      <c r="C702" s="68">
        <f t="shared" si="67"/>
        <v>1538495.7946267016</v>
      </c>
      <c r="D702" s="67">
        <f t="array" ref="D702">SUM($B$7:$B697*$F$1009*EXP(-$F$1009*($A702-$A$7:$A697)))*$F$1010</f>
        <v>61598347.930138491</v>
      </c>
      <c r="E702" s="67">
        <f t="shared" si="65"/>
        <v>117.43181242290349</v>
      </c>
      <c r="F702" s="70">
        <f t="shared" si="69"/>
        <v>7.1304596503187003</v>
      </c>
      <c r="G702" s="67">
        <f>E702/'Lookup Tables'!$C$48</f>
        <v>234.86362484580698</v>
      </c>
      <c r="H702" s="70">
        <f t="shared" si="66"/>
        <v>4.011851109703829E-2</v>
      </c>
      <c r="I702" s="71">
        <f t="shared" si="70"/>
        <v>0.33820361977796204</v>
      </c>
      <c r="L702" s="74"/>
      <c r="M702" s="74"/>
      <c r="N702" s="74"/>
      <c r="O702" s="74"/>
      <c r="P702" s="74"/>
      <c r="Q702" s="74"/>
      <c r="R702" s="74"/>
      <c r="S702" s="74"/>
      <c r="T702" s="74"/>
      <c r="U702" s="74"/>
      <c r="V702" s="74"/>
      <c r="W702" s="74"/>
      <c r="X702" s="74"/>
      <c r="Y702" s="74"/>
      <c r="Z702" s="74"/>
    </row>
    <row r="703" spans="1:26" x14ac:dyDescent="0.3">
      <c r="A703" s="66">
        <f t="shared" si="68"/>
        <v>2059.5999999999367</v>
      </c>
      <c r="B703" s="67">
        <f>LOOKUP(A703+0.01,AmountsB!$A$4:$A$103,AmountsB!$B$4:$B$103)*0.1*$A$2</f>
        <v>0</v>
      </c>
      <c r="C703" s="68">
        <f t="shared" si="67"/>
        <v>1538495.7946267016</v>
      </c>
      <c r="D703" s="67">
        <f t="array" ref="D703">SUM($B$7:$B698*$F$1009*EXP(-$F$1009*($A703-$A$7:$A698)))*$F$1010</f>
        <v>61426113.796248011</v>
      </c>
      <c r="E703" s="67">
        <f t="shared" si="65"/>
        <v>117.10346325148112</v>
      </c>
      <c r="F703" s="70">
        <f t="shared" si="69"/>
        <v>7.1105222886299329</v>
      </c>
      <c r="G703" s="67">
        <f>E703/'Lookup Tables'!$C$48</f>
        <v>234.20692650296223</v>
      </c>
      <c r="H703" s="70">
        <f t="shared" si="66"/>
        <v>4.0006336383852627E-2</v>
      </c>
      <c r="I703" s="71">
        <f t="shared" si="70"/>
        <v>0.33725797416426562</v>
      </c>
      <c r="L703" s="74"/>
      <c r="M703" s="74"/>
      <c r="N703" s="74"/>
      <c r="O703" s="74"/>
      <c r="P703" s="74"/>
      <c r="Q703" s="74"/>
      <c r="R703" s="74"/>
      <c r="S703" s="74"/>
      <c r="T703" s="74"/>
      <c r="U703" s="74"/>
      <c r="V703" s="74"/>
      <c r="W703" s="74"/>
      <c r="X703" s="74"/>
      <c r="Y703" s="74"/>
      <c r="Z703" s="74"/>
    </row>
    <row r="704" spans="1:26" x14ac:dyDescent="0.3">
      <c r="A704" s="66">
        <f t="shared" si="68"/>
        <v>2059.6999999999366</v>
      </c>
      <c r="B704" s="67">
        <f>LOOKUP(A704+0.01,AmountsB!$A$4:$A$103,AmountsB!$B$4:$B$103)*0.1*$A$2</f>
        <v>0</v>
      </c>
      <c r="C704" s="68">
        <f t="shared" si="67"/>
        <v>1538495.7946267016</v>
      </c>
      <c r="D704" s="67">
        <f t="array" ref="D704">SUM($B$7:$B699*$F$1009*EXP(-$F$1009*($A704-$A$7:$A699)))*$F$1010</f>
        <v>61254361.243404299</v>
      </c>
      <c r="E704" s="67">
        <f t="shared" si="65"/>
        <v>116.7760321718104</v>
      </c>
      <c r="F704" s="70">
        <f t="shared" si="69"/>
        <v>7.0906406734723273</v>
      </c>
      <c r="G704" s="67">
        <f>E704/'Lookup Tables'!$C$48</f>
        <v>233.5520643436208</v>
      </c>
      <c r="H704" s="70">
        <f t="shared" si="66"/>
        <v>3.9894475320549121E-2</v>
      </c>
      <c r="I704" s="71">
        <f t="shared" si="70"/>
        <v>0.33631497265481397</v>
      </c>
      <c r="L704" s="74"/>
      <c r="M704" s="74"/>
      <c r="N704" s="74"/>
      <c r="O704" s="74"/>
      <c r="P704" s="74"/>
      <c r="Q704" s="74"/>
      <c r="R704" s="74"/>
      <c r="S704" s="74"/>
      <c r="T704" s="74"/>
      <c r="U704" s="74"/>
      <c r="V704" s="74"/>
      <c r="W704" s="74"/>
      <c r="X704" s="74"/>
      <c r="Y704" s="74"/>
      <c r="Z704" s="74"/>
    </row>
    <row r="705" spans="1:26" x14ac:dyDescent="0.3">
      <c r="A705" s="66">
        <f t="shared" si="68"/>
        <v>2059.7999999999365</v>
      </c>
      <c r="B705" s="67">
        <f>LOOKUP(A705+0.01,AmountsB!$A$4:$A$103,AmountsB!$B$4:$B$103)*0.1*$A$2</f>
        <v>0</v>
      </c>
      <c r="C705" s="68">
        <f t="shared" si="67"/>
        <v>1538495.7946267016</v>
      </c>
      <c r="D705" s="67">
        <f t="array" ref="D705">SUM($B$7:$B700*$F$1009*EXP(-$F$1009*($A705-$A$7:$A700)))*$F$1010</f>
        <v>61083088.925066516</v>
      </c>
      <c r="E705" s="67">
        <f t="shared" si="65"/>
        <v>116.44951661683011</v>
      </c>
      <c r="F705" s="70">
        <f t="shared" si="69"/>
        <v>7.0708146489739239</v>
      </c>
      <c r="G705" s="67">
        <f>E705/'Lookup Tables'!$C$48</f>
        <v>232.89903323366022</v>
      </c>
      <c r="H705" s="70">
        <f t="shared" si="66"/>
        <v>3.9782927030136479E-2</v>
      </c>
      <c r="I705" s="71">
        <f t="shared" si="70"/>
        <v>0.33537460785647072</v>
      </c>
      <c r="L705" s="74"/>
      <c r="M705" s="74"/>
      <c r="N705" s="74"/>
      <c r="O705" s="74"/>
      <c r="P705" s="74"/>
      <c r="Q705" s="74"/>
      <c r="R705" s="74"/>
      <c r="S705" s="74"/>
      <c r="T705" s="74"/>
      <c r="U705" s="74"/>
      <c r="V705" s="74"/>
      <c r="W705" s="74"/>
      <c r="X705" s="74"/>
      <c r="Y705" s="74"/>
      <c r="Z705" s="74"/>
    </row>
    <row r="706" spans="1:26" x14ac:dyDescent="0.3">
      <c r="A706" s="66">
        <f t="shared" si="68"/>
        <v>2059.8999999999364</v>
      </c>
      <c r="B706" s="67">
        <f>LOOKUP(A706+0.01,AmountsB!$A$4:$A$103,AmountsB!$B$4:$B$103)*0.1*$A$2</f>
        <v>0</v>
      </c>
      <c r="C706" s="68">
        <f t="shared" si="67"/>
        <v>1538495.7946267016</v>
      </c>
      <c r="D706" s="67">
        <f t="array" ref="D706">SUM($B$7:$B701*$F$1009*EXP(-$F$1009*($A706-$A$7:$A701)))*$F$1010</f>
        <v>60912295.498458765</v>
      </c>
      <c r="E706" s="67">
        <f t="shared" si="65"/>
        <v>116.12391402665654</v>
      </c>
      <c r="F706" s="70">
        <f t="shared" si="69"/>
        <v>7.0510440596985848</v>
      </c>
      <c r="G706" s="67">
        <f>E706/'Lookup Tables'!$C$48</f>
        <v>232.24782805331307</v>
      </c>
      <c r="H706" s="70">
        <f t="shared" si="66"/>
        <v>3.9671690638075519E-2</v>
      </c>
      <c r="I706" s="71">
        <f t="shared" si="70"/>
        <v>0.33443687239677078</v>
      </c>
      <c r="L706" s="74"/>
      <c r="M706" s="74"/>
      <c r="N706" s="74"/>
      <c r="O706" s="74"/>
      <c r="P706" s="74"/>
      <c r="Q706" s="74"/>
      <c r="R706" s="74"/>
      <c r="S706" s="74"/>
      <c r="T706" s="74"/>
      <c r="U706" s="74"/>
      <c r="V706" s="74"/>
      <c r="W706" s="74"/>
      <c r="X706" s="74"/>
      <c r="Y706" s="74"/>
      <c r="Z706" s="74"/>
    </row>
    <row r="707" spans="1:26" x14ac:dyDescent="0.3">
      <c r="A707" s="66">
        <f t="shared" si="68"/>
        <v>2059.9999999999363</v>
      </c>
      <c r="B707" s="67">
        <f>LOOKUP(A707+0.01,AmountsB!$A$4:$A$103,AmountsB!$B$4:$B$103)*0.1*$A$2</f>
        <v>0</v>
      </c>
      <c r="C707" s="68">
        <f t="shared" si="67"/>
        <v>1538495.7946267016</v>
      </c>
      <c r="D707" s="67">
        <f t="array" ref="D707">SUM($B$7:$B702*$F$1009*EXP(-$F$1009*($A707-$A$7:$A702)))*$F$1010</f>
        <v>60741979.624559723</v>
      </c>
      <c r="E707" s="67">
        <f t="shared" si="65"/>
        <v>115.79922184856373</v>
      </c>
      <c r="F707" s="70">
        <f t="shared" si="69"/>
        <v>7.0313287506447901</v>
      </c>
      <c r="G707" s="67">
        <f>E707/'Lookup Tables'!$C$48</f>
        <v>231.59844369712746</v>
      </c>
      <c r="H707" s="70">
        <f t="shared" si="66"/>
        <v>3.9560765272272362E-2</v>
      </c>
      <c r="I707" s="71">
        <f t="shared" si="70"/>
        <v>0.33350175892386352</v>
      </c>
      <c r="L707" s="74"/>
      <c r="M707" s="74"/>
      <c r="N707" s="74"/>
      <c r="O707" s="74"/>
      <c r="P707" s="74"/>
      <c r="Q707" s="74"/>
      <c r="R707" s="74"/>
      <c r="S707" s="74"/>
      <c r="T707" s="74"/>
      <c r="U707" s="74"/>
      <c r="V707" s="74"/>
      <c r="W707" s="74"/>
      <c r="X707" s="74"/>
      <c r="Y707" s="74"/>
      <c r="Z707" s="74"/>
    </row>
    <row r="708" spans="1:26" x14ac:dyDescent="0.3">
      <c r="A708" s="66">
        <f t="shared" si="68"/>
        <v>2060.0999999999362</v>
      </c>
      <c r="B708" s="67">
        <f>LOOKUP(A708+0.01,AmountsB!$A$4:$A$103,AmountsB!$B$4:$B$103)*0.1*$A$2</f>
        <v>0</v>
      </c>
      <c r="C708" s="68">
        <f t="shared" si="67"/>
        <v>1538495.7946267016</v>
      </c>
      <c r="D708" s="67">
        <f t="array" ref="D708">SUM($B$7:$B703*$F$1009*EXP(-$F$1009*($A708-$A$7:$A703)))*$F$1010</f>
        <v>60572139.968092047</v>
      </c>
      <c r="E708" s="67">
        <f t="shared" si="65"/>
        <v>115.47543753696331</v>
      </c>
      <c r="F708" s="70">
        <f t="shared" si="69"/>
        <v>7.0116685672444126</v>
      </c>
      <c r="G708" s="67">
        <f>E708/'Lookup Tables'!$C$48</f>
        <v>230.95087507392662</v>
      </c>
      <c r="H708" s="70">
        <f t="shared" si="66"/>
        <v>3.9450150063071572E-2</v>
      </c>
      <c r="I708" s="71">
        <f t="shared" si="70"/>
        <v>0.33256926010645438</v>
      </c>
      <c r="L708" s="74"/>
      <c r="M708" s="74"/>
      <c r="N708" s="74"/>
      <c r="O708" s="74"/>
      <c r="P708" s="74"/>
      <c r="Q708" s="74"/>
      <c r="R708" s="74"/>
      <c r="S708" s="74"/>
      <c r="T708" s="74"/>
      <c r="U708" s="74"/>
      <c r="V708" s="74"/>
      <c r="W708" s="74"/>
      <c r="X708" s="74"/>
      <c r="Y708" s="74"/>
      <c r="Z708" s="74"/>
    </row>
    <row r="709" spans="1:26" x14ac:dyDescent="0.3">
      <c r="A709" s="66">
        <f t="shared" si="68"/>
        <v>2060.1999999999362</v>
      </c>
      <c r="B709" s="67">
        <f>LOOKUP(A709+0.01,AmountsB!$A$4:$A$103,AmountsB!$B$4:$B$103)*0.1*$A$2</f>
        <v>0</v>
      </c>
      <c r="C709" s="68">
        <f t="shared" si="67"/>
        <v>1538495.7946267016</v>
      </c>
      <c r="D709" s="67">
        <f t="array" ref="D709">SUM($B$7:$B704*$F$1009*EXP(-$F$1009*($A709-$A$7:$A704)))*$F$1010</f>
        <v>60402775.197511993</v>
      </c>
      <c r="E709" s="67">
        <f t="shared" si="65"/>
        <v>115.15255855338471</v>
      </c>
      <c r="F709" s="70">
        <f t="shared" si="69"/>
        <v>6.9920633553615197</v>
      </c>
      <c r="G709" s="67">
        <f>E709/'Lookup Tables'!$C$48</f>
        <v>230.30511710676942</v>
      </c>
      <c r="H709" s="70">
        <f t="shared" si="66"/>
        <v>3.9339844143249349E-2</v>
      </c>
      <c r="I709" s="71">
        <f t="shared" si="70"/>
        <v>0.33163936863374793</v>
      </c>
      <c r="L709" s="74"/>
      <c r="M709" s="74"/>
      <c r="N709" s="74"/>
      <c r="O709" s="74"/>
      <c r="P709" s="74"/>
      <c r="Q709" s="74"/>
      <c r="R709" s="74"/>
      <c r="S709" s="74"/>
      <c r="T709" s="74"/>
      <c r="U709" s="74"/>
      <c r="V709" s="74"/>
      <c r="W709" s="74"/>
      <c r="X709" s="74"/>
      <c r="Y709" s="74"/>
      <c r="Z709" s="74"/>
    </row>
    <row r="710" spans="1:26" x14ac:dyDescent="0.3">
      <c r="A710" s="66">
        <f t="shared" si="68"/>
        <v>2060.2999999999361</v>
      </c>
      <c r="B710" s="67">
        <f>LOOKUP(A710+0.01,AmountsB!$A$4:$A$103,AmountsB!$B$4:$B$103)*0.1*$A$2</f>
        <v>0</v>
      </c>
      <c r="C710" s="68">
        <f t="shared" si="67"/>
        <v>1538495.7946267016</v>
      </c>
      <c r="D710" s="67">
        <f t="array" ref="D710">SUM($B$7:$B705*$F$1009*EXP(-$F$1009*($A710-$A$7:$A705)))*$F$1010</f>
        <v>60233883.984998867</v>
      </c>
      <c r="E710" s="67">
        <f t="shared" si="65"/>
        <v>114.83058236645495</v>
      </c>
      <c r="F710" s="70">
        <f t="shared" si="69"/>
        <v>6.9725129612911445</v>
      </c>
      <c r="G710" s="67">
        <f>E710/'Lookup Tables'!$C$48</f>
        <v>229.6611647329099</v>
      </c>
      <c r="H710" s="70">
        <f t="shared" si="66"/>
        <v>3.9229846648006703E-2</v>
      </c>
      <c r="I710" s="71">
        <f t="shared" si="70"/>
        <v>0.3307120772153902</v>
      </c>
      <c r="L710" s="74"/>
      <c r="M710" s="74"/>
      <c r="N710" s="74"/>
      <c r="O710" s="74"/>
      <c r="P710" s="74"/>
      <c r="Q710" s="74"/>
      <c r="R710" s="74"/>
      <c r="S710" s="74"/>
      <c r="T710" s="74"/>
      <c r="U710" s="74"/>
      <c r="V710" s="74"/>
      <c r="W710" s="74"/>
      <c r="X710" s="74"/>
      <c r="Y710" s="74"/>
      <c r="Z710" s="74"/>
    </row>
    <row r="711" spans="1:26" x14ac:dyDescent="0.3">
      <c r="A711" s="66">
        <f t="shared" si="68"/>
        <v>2060.399999999936</v>
      </c>
      <c r="B711" s="67">
        <f>LOOKUP(A711+0.01,AmountsB!$A$4:$A$103,AmountsB!$B$4:$B$103)*0.1*$A$2</f>
        <v>0</v>
      </c>
      <c r="C711" s="68">
        <f t="shared" si="67"/>
        <v>1538495.7946267016</v>
      </c>
      <c r="D711" s="67">
        <f t="array" ref="D711">SUM($B$7:$B706*$F$1009*EXP(-$F$1009*($A711-$A$7:$A706)))*$F$1010</f>
        <v>60065465.006444715</v>
      </c>
      <c r="E711" s="67">
        <f t="shared" ref="E711:E774" si="71">D711/(365*24*60)*1.00201</f>
        <v>114.50950645187913</v>
      </c>
      <c r="F711" s="70">
        <f t="shared" si="69"/>
        <v>6.9530172317581007</v>
      </c>
      <c r="G711" s="67">
        <f>E711/'Lookup Tables'!$C$48</f>
        <v>229.01901290375827</v>
      </c>
      <c r="H711" s="70">
        <f t="shared" ref="H711:H774" si="72">G711*60*24*365/(C711*2000)</f>
        <v>3.9120156714962724E-2</v>
      </c>
      <c r="I711" s="71">
        <f t="shared" si="70"/>
        <v>0.32978737858141188</v>
      </c>
      <c r="L711" s="74"/>
      <c r="M711" s="74"/>
      <c r="N711" s="74"/>
      <c r="O711" s="74"/>
      <c r="P711" s="74"/>
      <c r="Q711" s="74"/>
      <c r="R711" s="74"/>
      <c r="S711" s="74"/>
      <c r="T711" s="74"/>
      <c r="U711" s="74"/>
      <c r="V711" s="74"/>
      <c r="W711" s="74"/>
      <c r="X711" s="74"/>
      <c r="Y711" s="74"/>
      <c r="Z711" s="74"/>
    </row>
    <row r="712" spans="1:26" x14ac:dyDescent="0.3">
      <c r="A712" s="66">
        <f t="shared" si="68"/>
        <v>2060.4999999999359</v>
      </c>
      <c r="B712" s="67">
        <f>LOOKUP(A712+0.01,AmountsB!$A$4:$A$103,AmountsB!$B$4:$B$103)*0.1*$A$2</f>
        <v>0</v>
      </c>
      <c r="C712" s="68">
        <f t="shared" si="67"/>
        <v>1538495.7946267016</v>
      </c>
      <c r="D712" s="67">
        <f t="array" ref="D712">SUM($B$7:$B707*$F$1009*EXP(-$F$1009*($A712-$A$7:$A707)))*$F$1010</f>
        <v>59897516.941443875</v>
      </c>
      <c r="E712" s="67">
        <f t="shared" si="71"/>
        <v>114.18932829242043</v>
      </c>
      <c r="F712" s="70">
        <f t="shared" si="69"/>
        <v>6.9335760139157676</v>
      </c>
      <c r="G712" s="67">
        <f>E712/'Lookup Tables'!$C$48</f>
        <v>228.37865658484085</v>
      </c>
      <c r="H712" s="70">
        <f t="shared" si="72"/>
        <v>3.9010773484147769E-2</v>
      </c>
      <c r="I712" s="71">
        <f t="shared" si="70"/>
        <v>0.32886526548217088</v>
      </c>
      <c r="L712" s="74"/>
      <c r="M712" s="74"/>
      <c r="N712" s="74"/>
      <c r="O712" s="74"/>
      <c r="P712" s="74"/>
      <c r="Q712" s="74"/>
      <c r="R712" s="74"/>
      <c r="S712" s="74"/>
      <c r="T712" s="74"/>
      <c r="U712" s="74"/>
      <c r="V712" s="74"/>
      <c r="W712" s="74"/>
      <c r="X712" s="74"/>
      <c r="Y712" s="74"/>
      <c r="Z712" s="74"/>
    </row>
    <row r="713" spans="1:26" x14ac:dyDescent="0.3">
      <c r="A713" s="66">
        <f t="shared" si="68"/>
        <v>2060.5999999999358</v>
      </c>
      <c r="B713" s="67">
        <f>LOOKUP(A713+0.01,AmountsB!$A$4:$A$103,AmountsB!$B$4:$B$103)*0.1*$A$2</f>
        <v>0</v>
      </c>
      <c r="C713" s="68">
        <f t="shared" ref="C713:C776" si="73">C712+B713</f>
        <v>1538495.7946267016</v>
      </c>
      <c r="D713" s="67">
        <f t="array" ref="D713">SUM($B$7:$B708*$F$1009*EXP(-$F$1009*($A713-$A$7:$A708)))*$F$1010</f>
        <v>59730038.473282665</v>
      </c>
      <c r="E713" s="67">
        <f t="shared" si="71"/>
        <v>113.87004537788046</v>
      </c>
      <c r="F713" s="70">
        <f t="shared" si="69"/>
        <v>6.9141891553449017</v>
      </c>
      <c r="G713" s="67">
        <f>E713/'Lookup Tables'!$C$48</f>
        <v>227.74009075576092</v>
      </c>
      <c r="H713" s="70">
        <f t="shared" si="72"/>
        <v>3.8901696097996756E-2</v>
      </c>
      <c r="I713" s="71">
        <f t="shared" si="70"/>
        <v>0.32794573068829574</v>
      </c>
      <c r="L713" s="74"/>
      <c r="M713" s="74"/>
      <c r="N713" s="74"/>
      <c r="O713" s="74"/>
      <c r="P713" s="74"/>
      <c r="Q713" s="74"/>
      <c r="R713" s="74"/>
      <c r="S713" s="74"/>
      <c r="T713" s="74"/>
      <c r="U713" s="74"/>
      <c r="V713" s="74"/>
      <c r="W713" s="74"/>
      <c r="X713" s="74"/>
      <c r="Y713" s="74"/>
      <c r="Z713" s="74"/>
    </row>
    <row r="714" spans="1:26" x14ac:dyDescent="0.3">
      <c r="A714" s="66">
        <f t="shared" si="68"/>
        <v>2060.6999999999357</v>
      </c>
      <c r="B714" s="67">
        <f>LOOKUP(A714+0.01,AmountsB!$A$4:$A$103,AmountsB!$B$4:$B$103)*0.1*$A$2</f>
        <v>0</v>
      </c>
      <c r="C714" s="68">
        <f t="shared" si="73"/>
        <v>1538495.7946267016</v>
      </c>
      <c r="D714" s="67">
        <f t="array" ref="D714">SUM($B$7:$B709*$F$1009*EXP(-$F$1009*($A714-$A$7:$A709)))*$F$1010</f>
        <v>59563028.288929045</v>
      </c>
      <c r="E714" s="67">
        <f t="shared" si="71"/>
        <v>113.55165520507953</v>
      </c>
      <c r="F714" s="70">
        <f t="shared" si="69"/>
        <v>6.8948565040524299</v>
      </c>
      <c r="G714" s="67">
        <f>E714/'Lookup Tables'!$C$48</f>
        <v>227.10331041015905</v>
      </c>
      <c r="H714" s="70">
        <f t="shared" si="72"/>
        <v>3.8792923701342415E-2</v>
      </c>
      <c r="I714" s="71">
        <f t="shared" si="70"/>
        <v>0.32702876699062905</v>
      </c>
      <c r="L714" s="74"/>
      <c r="M714" s="74"/>
      <c r="N714" s="74"/>
      <c r="O714" s="74"/>
      <c r="P714" s="74"/>
      <c r="Q714" s="74"/>
      <c r="R714" s="74"/>
      <c r="S714" s="74"/>
      <c r="T714" s="74"/>
      <c r="U714" s="74"/>
      <c r="V714" s="74"/>
      <c r="W714" s="74"/>
      <c r="X714" s="74"/>
      <c r="Y714" s="74"/>
      <c r="Z714" s="74"/>
    </row>
    <row r="715" spans="1:26" x14ac:dyDescent="0.3">
      <c r="A715" s="66">
        <f t="shared" si="68"/>
        <v>2060.7999999999356</v>
      </c>
      <c r="B715" s="67">
        <f>LOOKUP(A715+0.01,AmountsB!$A$4:$A$103,AmountsB!$B$4:$B$103)*0.1*$A$2</f>
        <v>0</v>
      </c>
      <c r="C715" s="68">
        <f t="shared" si="73"/>
        <v>1538495.7946267016</v>
      </c>
      <c r="D715" s="67">
        <f t="array" ref="D715">SUM($B$7:$B710*$F$1009*EXP(-$F$1009*($A715-$A$7:$A710)))*$F$1010</f>
        <v>59396485.079022281</v>
      </c>
      <c r="E715" s="67">
        <f t="shared" si="71"/>
        <v>113.23415527783699</v>
      </c>
      <c r="F715" s="70">
        <f t="shared" si="69"/>
        <v>6.8755779084702615</v>
      </c>
      <c r="G715" s="67">
        <f>E715/'Lookup Tables'!$C$48</f>
        <v>226.46831055567398</v>
      </c>
      <c r="H715" s="70">
        <f t="shared" si="72"/>
        <v>3.8684455441408576E-2</v>
      </c>
      <c r="I715" s="71">
        <f t="shared" si="70"/>
        <v>0.32611436720017051</v>
      </c>
      <c r="L715" s="74"/>
      <c r="M715" s="74"/>
      <c r="N715" s="74"/>
      <c r="O715" s="74"/>
      <c r="P715" s="74"/>
      <c r="Q715" s="74"/>
      <c r="R715" s="74"/>
      <c r="S715" s="74"/>
      <c r="T715" s="74"/>
      <c r="U715" s="74"/>
      <c r="V715" s="74"/>
      <c r="W715" s="74"/>
      <c r="X715" s="74"/>
      <c r="Y715" s="74"/>
      <c r="Z715" s="74"/>
    </row>
    <row r="716" spans="1:26" x14ac:dyDescent="0.3">
      <c r="A716" s="66">
        <f t="shared" si="68"/>
        <v>2060.8999999999355</v>
      </c>
      <c r="B716" s="67">
        <f>LOOKUP(A716+0.01,AmountsB!$A$4:$A$103,AmountsB!$B$4:$B$103)*0.1*$A$2</f>
        <v>0</v>
      </c>
      <c r="C716" s="68">
        <f t="shared" si="73"/>
        <v>1538495.7946267016</v>
      </c>
      <c r="D716" s="67">
        <f t="array" ref="D716">SUM($B$7:$B711*$F$1009*EXP(-$F$1009*($A716-$A$7:$A711)))*$F$1010</f>
        <v>59230407.537862785</v>
      </c>
      <c r="E716" s="67">
        <f t="shared" si="71"/>
        <v>112.91754310695185</v>
      </c>
      <c r="F716" s="70">
        <f t="shared" si="69"/>
        <v>6.8563532174541164</v>
      </c>
      <c r="G716" s="67">
        <f>E716/'Lookup Tables'!$C$48</f>
        <v>225.83508621390371</v>
      </c>
      <c r="H716" s="70">
        <f t="shared" si="72"/>
        <v>3.8576290467803566E-2</v>
      </c>
      <c r="I716" s="71">
        <f t="shared" si="70"/>
        <v>0.32520252414802137</v>
      </c>
      <c r="L716" s="74"/>
      <c r="M716" s="74"/>
      <c r="N716" s="74"/>
      <c r="O716" s="74"/>
      <c r="P716" s="74"/>
      <c r="Q716" s="74"/>
      <c r="R716" s="74"/>
      <c r="S716" s="74"/>
      <c r="T716" s="74"/>
      <c r="U716" s="74"/>
      <c r="V716" s="74"/>
      <c r="W716" s="74"/>
      <c r="X716" s="74"/>
      <c r="Y716" s="74"/>
      <c r="Z716" s="74"/>
    </row>
    <row r="717" spans="1:26" x14ac:dyDescent="0.3">
      <c r="A717" s="66">
        <f t="shared" si="68"/>
        <v>2060.9999999999354</v>
      </c>
      <c r="B717" s="67">
        <f>LOOKUP(A717+0.01,AmountsB!$A$4:$A$103,AmountsB!$B$4:$B$103)*0.1*$A$2</f>
        <v>0</v>
      </c>
      <c r="C717" s="68">
        <f t="shared" si="73"/>
        <v>1538495.7946267016</v>
      </c>
      <c r="D717" s="67">
        <f t="array" ref="D717">SUM($B$7:$B712*$F$1009*EXP(-$F$1009*($A717-$A$7:$A712)))*$F$1010</f>
        <v>59064794.363401748</v>
      </c>
      <c r="E717" s="67">
        <f t="shared" si="71"/>
        <v>112.60181621018302</v>
      </c>
      <c r="F717" s="70">
        <f t="shared" si="69"/>
        <v>6.8371822802823132</v>
      </c>
      <c r="G717" s="67">
        <f>E717/'Lookup Tables'!$C$48</f>
        <v>225.20363242036603</v>
      </c>
      <c r="H717" s="70">
        <f t="shared" si="72"/>
        <v>3.8468427932513392E-2</v>
      </c>
      <c r="I717" s="71">
        <f t="shared" si="70"/>
        <v>0.32429323068532706</v>
      </c>
      <c r="L717" s="74"/>
      <c r="M717" s="74"/>
      <c r="N717" s="74"/>
      <c r="O717" s="74"/>
      <c r="P717" s="74"/>
      <c r="Q717" s="74"/>
      <c r="R717" s="74"/>
      <c r="S717" s="74"/>
      <c r="T717" s="74"/>
      <c r="U717" s="74"/>
      <c r="V717" s="74"/>
      <c r="W717" s="74"/>
      <c r="X717" s="74"/>
      <c r="Y717" s="74"/>
      <c r="Z717" s="74"/>
    </row>
    <row r="718" spans="1:26" x14ac:dyDescent="0.3">
      <c r="A718" s="66">
        <f t="shared" si="68"/>
        <v>2061.0999999999353</v>
      </c>
      <c r="B718" s="67">
        <f>LOOKUP(A718+0.01,AmountsB!$A$4:$A$103,AmountsB!$B$4:$B$103)*0.1*$A$2</f>
        <v>0</v>
      </c>
      <c r="C718" s="68">
        <f t="shared" si="73"/>
        <v>1538495.7946267016</v>
      </c>
      <c r="D718" s="67">
        <f t="array" ref="D718">SUM($B$7:$B713*$F$1009*EXP(-$F$1009*($A718-$A$7:$A713)))*$F$1010</f>
        <v>58899644.257231072</v>
      </c>
      <c r="E718" s="67">
        <f t="shared" si="71"/>
        <v>112.28697211223005</v>
      </c>
      <c r="F718" s="70">
        <f t="shared" si="69"/>
        <v>6.8180649466546077</v>
      </c>
      <c r="G718" s="67">
        <f>E718/'Lookup Tables'!$C$48</f>
        <v>224.57394422446009</v>
      </c>
      <c r="H718" s="70">
        <f t="shared" si="72"/>
        <v>3.836086698989525E-2</v>
      </c>
      <c r="I718" s="71">
        <f t="shared" si="70"/>
        <v>0.32338647968322248</v>
      </c>
      <c r="L718" s="74"/>
      <c r="M718" s="74"/>
      <c r="N718" s="74"/>
      <c r="O718" s="74"/>
      <c r="P718" s="74"/>
      <c r="Q718" s="74"/>
      <c r="R718" s="74"/>
      <c r="S718" s="74"/>
      <c r="T718" s="74"/>
      <c r="U718" s="74"/>
      <c r="V718" s="74"/>
      <c r="W718" s="74"/>
      <c r="X718" s="74"/>
      <c r="Y718" s="74"/>
      <c r="Z718" s="74"/>
    </row>
    <row r="719" spans="1:26" x14ac:dyDescent="0.3">
      <c r="A719" s="66">
        <f t="shared" si="68"/>
        <v>2061.1999999999352</v>
      </c>
      <c r="B719" s="67">
        <f>LOOKUP(A719+0.01,AmountsB!$A$4:$A$103,AmountsB!$B$4:$B$103)*0.1*$A$2</f>
        <v>0</v>
      </c>
      <c r="C719" s="68">
        <f t="shared" si="73"/>
        <v>1538495.7946267016</v>
      </c>
      <c r="D719" s="67">
        <f t="array" ref="D719">SUM($B$7:$B714*$F$1009*EXP(-$F$1009*($A719-$A$7:$A714)))*$F$1010</f>
        <v>58734955.924573049</v>
      </c>
      <c r="E719" s="67">
        <f t="shared" si="71"/>
        <v>111.97300834471355</v>
      </c>
      <c r="F719" s="70">
        <f t="shared" si="69"/>
        <v>6.7990010666910079</v>
      </c>
      <c r="G719" s="67">
        <f>E719/'Lookup Tables'!$C$48</f>
        <v>223.9460166894271</v>
      </c>
      <c r="H719" s="70">
        <f t="shared" si="72"/>
        <v>3.8253606796670808E-2</v>
      </c>
      <c r="I719" s="71">
        <f t="shared" si="70"/>
        <v>0.32248226403277508</v>
      </c>
      <c r="L719" s="74"/>
      <c r="M719" s="74"/>
      <c r="N719" s="74"/>
      <c r="O719" s="74"/>
      <c r="P719" s="74"/>
      <c r="Q719" s="74"/>
      <c r="R719" s="74"/>
      <c r="S719" s="74"/>
      <c r="T719" s="74"/>
      <c r="U719" s="74"/>
      <c r="V719" s="74"/>
      <c r="W719" s="74"/>
      <c r="X719" s="74"/>
      <c r="Y719" s="74"/>
      <c r="Z719" s="74"/>
    </row>
    <row r="720" spans="1:26" x14ac:dyDescent="0.3">
      <c r="A720" s="66">
        <f t="shared" si="68"/>
        <v>2061.2999999999352</v>
      </c>
      <c r="B720" s="67">
        <f>LOOKUP(A720+0.01,AmountsB!$A$4:$A$103,AmountsB!$B$4:$B$103)*0.1*$A$2</f>
        <v>0</v>
      </c>
      <c r="C720" s="68">
        <f t="shared" si="73"/>
        <v>1538495.7946267016</v>
      </c>
      <c r="D720" s="67">
        <f t="array" ref="D720">SUM($B$7:$B715*$F$1009*EXP(-$F$1009*($A720-$A$7:$A715)))*$F$1010</f>
        <v>58570728.074270345</v>
      </c>
      <c r="E720" s="67">
        <f t="shared" si="71"/>
        <v>111.65992244615607</v>
      </c>
      <c r="F720" s="70">
        <f t="shared" si="69"/>
        <v>6.7799904909305964</v>
      </c>
      <c r="G720" s="67">
        <f>E720/'Lookup Tables'!$C$48</f>
        <v>223.31984489231215</v>
      </c>
      <c r="H720" s="70">
        <f t="shared" si="72"/>
        <v>3.8146646511919589E-2</v>
      </c>
      <c r="I720" s="71">
        <f t="shared" si="70"/>
        <v>0.32158057664492945</v>
      </c>
      <c r="L720" s="74"/>
      <c r="M720" s="74"/>
      <c r="N720" s="74"/>
      <c r="O720" s="74"/>
      <c r="P720" s="74"/>
      <c r="Q720" s="74"/>
      <c r="R720" s="74"/>
      <c r="S720" s="74"/>
      <c r="T720" s="74"/>
      <c r="U720" s="74"/>
      <c r="V720" s="74"/>
      <c r="W720" s="74"/>
      <c r="X720" s="74"/>
      <c r="Y720" s="74"/>
      <c r="Z720" s="74"/>
    </row>
    <row r="721" spans="1:26" x14ac:dyDescent="0.3">
      <c r="A721" s="66">
        <f t="shared" si="68"/>
        <v>2061.3999999999351</v>
      </c>
      <c r="B721" s="67">
        <f>LOOKUP(A721+0.01,AmountsB!$A$4:$A$103,AmountsB!$B$4:$B$103)*0.1*$A$2</f>
        <v>0</v>
      </c>
      <c r="C721" s="68">
        <f t="shared" si="73"/>
        <v>1538495.7946267016</v>
      </c>
      <c r="D721" s="67">
        <f t="array" ref="D721">SUM($B$7:$B716*$F$1009*EXP(-$F$1009*($A721-$A$7:$A716)))*$F$1010</f>
        <v>58406959.418775737</v>
      </c>
      <c r="E721" s="67">
        <f t="shared" si="71"/>
        <v>111.34771196196249</v>
      </c>
      <c r="F721" s="70">
        <f t="shared" si="69"/>
        <v>6.7610330703303632</v>
      </c>
      <c r="G721" s="67">
        <f>E721/'Lookup Tables'!$C$48</f>
        <v>222.69542392392498</v>
      </c>
      <c r="H721" s="70">
        <f t="shared" si="72"/>
        <v>3.8039985297072428E-2</v>
      </c>
      <c r="I721" s="71">
        <f t="shared" si="70"/>
        <v>0.32068141045045201</v>
      </c>
      <c r="L721" s="74"/>
      <c r="M721" s="74"/>
      <c r="N721" s="74"/>
      <c r="O721" s="74"/>
      <c r="P721" s="74"/>
      <c r="Q721" s="74"/>
      <c r="R721" s="74"/>
      <c r="S721" s="74"/>
      <c r="T721" s="74"/>
      <c r="U721" s="74"/>
      <c r="V721" s="74"/>
      <c r="W721" s="74"/>
      <c r="X721" s="74"/>
      <c r="Y721" s="74"/>
      <c r="Z721" s="74"/>
    </row>
    <row r="722" spans="1:26" x14ac:dyDescent="0.3">
      <c r="A722" s="66">
        <f t="shared" si="68"/>
        <v>2061.499999999935</v>
      </c>
      <c r="B722" s="67">
        <f>LOOKUP(A722+0.01,AmountsB!$A$4:$A$103,AmountsB!$B$4:$B$103)*0.1*$A$2</f>
        <v>0</v>
      </c>
      <c r="C722" s="68">
        <f t="shared" si="73"/>
        <v>1538495.7946267016</v>
      </c>
      <c r="D722" s="67">
        <f t="array" ref="D722">SUM($B$7:$B717*$F$1009*EXP(-$F$1009*($A722-$A$7:$A717)))*$F$1010</f>
        <v>58243648.674142137</v>
      </c>
      <c r="E722" s="67">
        <f t="shared" si="71"/>
        <v>111.03637444440101</v>
      </c>
      <c r="F722" s="70">
        <f t="shared" si="69"/>
        <v>6.742128656264029</v>
      </c>
      <c r="G722" s="67">
        <f>E722/'Lookup Tables'!$C$48</f>
        <v>222.07274888880201</v>
      </c>
      <c r="H722" s="70">
        <f t="shared" si="72"/>
        <v>3.7933622315904823E-2</v>
      </c>
      <c r="I722" s="71">
        <f t="shared" si="70"/>
        <v>0.31978475839987491</v>
      </c>
      <c r="L722" s="74"/>
      <c r="M722" s="74"/>
      <c r="N722" s="74"/>
      <c r="O722" s="74"/>
      <c r="P722" s="74"/>
      <c r="Q722" s="74"/>
      <c r="R722" s="74"/>
      <c r="S722" s="74"/>
      <c r="T722" s="74"/>
      <c r="U722" s="74"/>
      <c r="V722" s="74"/>
      <c r="W722" s="74"/>
      <c r="X722" s="74"/>
      <c r="Y722" s="74"/>
      <c r="Z722" s="74"/>
    </row>
    <row r="723" spans="1:26" x14ac:dyDescent="0.3">
      <c r="A723" s="66">
        <f t="shared" ref="A723:A786" si="74">A722+0.1</f>
        <v>2061.5999999999349</v>
      </c>
      <c r="B723" s="67">
        <f>LOOKUP(A723+0.01,AmountsB!$A$4:$A$103,AmountsB!$B$4:$B$103)*0.1*$A$2</f>
        <v>0</v>
      </c>
      <c r="C723" s="68">
        <f t="shared" si="73"/>
        <v>1538495.7946267016</v>
      </c>
      <c r="D723" s="67">
        <f t="array" ref="D723">SUM($B$7:$B718*$F$1009*EXP(-$F$1009*($A723-$A$7:$A718)))*$F$1010</f>
        <v>58080794.56001249</v>
      </c>
      <c r="E723" s="67">
        <f t="shared" si="71"/>
        <v>110.72590745258394</v>
      </c>
      <c r="F723" s="70">
        <f t="shared" ref="F723:F786" si="75">E723*60*1012/1000000</f>
        <v>6.7232771005208969</v>
      </c>
      <c r="G723" s="67">
        <f>E723/'Lookup Tables'!$C$48</f>
        <v>221.45181490516788</v>
      </c>
      <c r="H723" s="70">
        <f t="shared" si="72"/>
        <v>3.7827556734530483E-2</v>
      </c>
      <c r="I723" s="71">
        <f t="shared" ref="I723:I786" si="76">G723*60*24/1000000</f>
        <v>0.31889061346344172</v>
      </c>
      <c r="L723" s="74"/>
      <c r="M723" s="74"/>
      <c r="N723" s="74"/>
      <c r="O723" s="74"/>
      <c r="P723" s="74"/>
      <c r="Q723" s="74"/>
      <c r="R723" s="74"/>
      <c r="S723" s="74"/>
      <c r="T723" s="74"/>
      <c r="U723" s="74"/>
      <c r="V723" s="74"/>
      <c r="W723" s="74"/>
      <c r="X723" s="74"/>
      <c r="Y723" s="74"/>
      <c r="Z723" s="74"/>
    </row>
    <row r="724" spans="1:26" x14ac:dyDescent="0.3">
      <c r="A724" s="66">
        <f t="shared" si="74"/>
        <v>2061.6999999999348</v>
      </c>
      <c r="B724" s="67">
        <f>LOOKUP(A724+0.01,AmountsB!$A$4:$A$103,AmountsB!$B$4:$B$103)*0.1*$A$2</f>
        <v>0</v>
      </c>
      <c r="C724" s="68">
        <f t="shared" si="73"/>
        <v>1538495.7946267016</v>
      </c>
      <c r="D724" s="67">
        <f t="array" ref="D724">SUM($B$7:$B719*$F$1009*EXP(-$F$1009*($A724-$A$7:$A719)))*$F$1010</f>
        <v>57918395.799609669</v>
      </c>
      <c r="E724" s="67">
        <f t="shared" si="71"/>
        <v>110.41630855244841</v>
      </c>
      <c r="F724" s="70">
        <f t="shared" si="75"/>
        <v>6.704478255304668</v>
      </c>
      <c r="G724" s="67">
        <f>E724/'Lookup Tables'!$C$48</f>
        <v>220.83261710489683</v>
      </c>
      <c r="H724" s="70">
        <f t="shared" si="72"/>
        <v>3.7721787721394701E-2</v>
      </c>
      <c r="I724" s="71">
        <f t="shared" si="76"/>
        <v>0.31799896863105148</v>
      </c>
      <c r="L724" s="74"/>
      <c r="M724" s="74"/>
      <c r="N724" s="74"/>
      <c r="O724" s="74"/>
      <c r="P724" s="74"/>
      <c r="Q724" s="74"/>
      <c r="R724" s="74"/>
      <c r="S724" s="74"/>
      <c r="T724" s="74"/>
      <c r="U724" s="74"/>
      <c r="V724" s="74"/>
      <c r="W724" s="74"/>
      <c r="X724" s="74"/>
      <c r="Y724" s="74"/>
      <c r="Z724" s="74"/>
    </row>
    <row r="725" spans="1:26" x14ac:dyDescent="0.3">
      <c r="A725" s="66">
        <f t="shared" si="74"/>
        <v>2061.7999999999347</v>
      </c>
      <c r="B725" s="67">
        <f>LOOKUP(A725+0.01,AmountsB!$A$4:$A$103,AmountsB!$B$4:$B$103)*0.1*$A$2</f>
        <v>0</v>
      </c>
      <c r="C725" s="68">
        <f t="shared" si="73"/>
        <v>1538495.7946267016</v>
      </c>
      <c r="D725" s="67">
        <f t="array" ref="D725">SUM($B$7:$B720*$F$1009*EXP(-$F$1009*($A725-$A$7:$A720)))*$F$1010</f>
        <v>57756451.119726598</v>
      </c>
      <c r="E725" s="67">
        <f t="shared" si="71"/>
        <v>110.10757531673754</v>
      </c>
      <c r="F725" s="70">
        <f t="shared" si="75"/>
        <v>6.6857319732323042</v>
      </c>
      <c r="G725" s="67">
        <f>E725/'Lookup Tables'!$C$48</f>
        <v>220.21515063347508</v>
      </c>
      <c r="H725" s="70">
        <f t="shared" si="72"/>
        <v>3.7616314447267873E-2</v>
      </c>
      <c r="I725" s="71">
        <f t="shared" si="76"/>
        <v>0.31710981691220413</v>
      </c>
      <c r="L725" s="74"/>
      <c r="M725" s="74"/>
      <c r="N725" s="74"/>
      <c r="O725" s="74"/>
      <c r="P725" s="74"/>
      <c r="Q725" s="74"/>
      <c r="R725" s="74"/>
      <c r="S725" s="74"/>
      <c r="T725" s="74"/>
      <c r="U725" s="74"/>
      <c r="V725" s="74"/>
      <c r="W725" s="74"/>
      <c r="X725" s="74"/>
      <c r="Y725" s="74"/>
      <c r="Z725" s="74"/>
    </row>
    <row r="726" spans="1:26" x14ac:dyDescent="0.3">
      <c r="A726" s="66">
        <f t="shared" si="74"/>
        <v>2061.8999999999346</v>
      </c>
      <c r="B726" s="67">
        <f>LOOKUP(A726+0.01,AmountsB!$A$4:$A$103,AmountsB!$B$4:$B$103)*0.1*$A$2</f>
        <v>0</v>
      </c>
      <c r="C726" s="68">
        <f t="shared" si="73"/>
        <v>1538495.7946267016</v>
      </c>
      <c r="D726" s="67">
        <f t="array" ref="D726">SUM($B$7:$B721*$F$1009*EXP(-$F$1009*($A726-$A$7:$A721)))*$F$1010</f>
        <v>57594959.250716135</v>
      </c>
      <c r="E726" s="67">
        <f t="shared" si="71"/>
        <v>109.79970532498113</v>
      </c>
      <c r="F726" s="70">
        <f t="shared" si="75"/>
        <v>6.6670381073328535</v>
      </c>
      <c r="G726" s="67">
        <f>E726/'Lookup Tables'!$C$48</f>
        <v>219.59941064996227</v>
      </c>
      <c r="H726" s="70">
        <f t="shared" si="72"/>
        <v>3.7511136085238976E-2</v>
      </c>
      <c r="I726" s="71">
        <f t="shared" si="76"/>
        <v>0.31622315133594564</v>
      </c>
      <c r="L726" s="74"/>
      <c r="M726" s="74"/>
      <c r="N726" s="74"/>
      <c r="O726" s="74"/>
      <c r="P726" s="74"/>
      <c r="Q726" s="74"/>
      <c r="R726" s="74"/>
      <c r="S726" s="74"/>
      <c r="T726" s="74"/>
      <c r="U726" s="74"/>
      <c r="V726" s="74"/>
      <c r="W726" s="74"/>
      <c r="X726" s="74"/>
      <c r="Y726" s="74"/>
      <c r="Z726" s="74"/>
    </row>
    <row r="727" spans="1:26" x14ac:dyDescent="0.3">
      <c r="A727" s="66">
        <f t="shared" si="74"/>
        <v>2061.9999999999345</v>
      </c>
      <c r="B727" s="67">
        <f>LOOKUP(A727+0.01,AmountsB!$A$4:$A$103,AmountsB!$B$4:$B$103)*0.1*$A$2</f>
        <v>0</v>
      </c>
      <c r="C727" s="68">
        <f t="shared" si="73"/>
        <v>1538495.7946267016</v>
      </c>
      <c r="D727" s="67">
        <f t="array" ref="D727">SUM($B$7:$B722*$F$1009*EXP(-$F$1009*($A727-$A$7:$A722)))*$F$1010</f>
        <v>57433918.92648121</v>
      </c>
      <c r="E727" s="67">
        <f t="shared" si="71"/>
        <v>109.49269616347686</v>
      </c>
      <c r="F727" s="70">
        <f t="shared" si="75"/>
        <v>6.6483965110463146</v>
      </c>
      <c r="G727" s="67">
        <f>E727/'Lookup Tables'!$C$48</f>
        <v>218.98539232695373</v>
      </c>
      <c r="H727" s="70">
        <f t="shared" si="72"/>
        <v>3.7406251810709126E-2</v>
      </c>
      <c r="I727" s="71">
        <f t="shared" si="76"/>
        <v>0.31533896495081332</v>
      </c>
      <c r="L727" s="74"/>
      <c r="M727" s="74"/>
      <c r="N727" s="74"/>
      <c r="O727" s="74"/>
      <c r="P727" s="74"/>
      <c r="Q727" s="74"/>
      <c r="R727" s="74"/>
      <c r="S727" s="74"/>
      <c r="T727" s="74"/>
      <c r="U727" s="74"/>
      <c r="V727" s="74"/>
      <c r="W727" s="74"/>
      <c r="X727" s="74"/>
      <c r="Y727" s="74"/>
      <c r="Z727" s="74"/>
    </row>
    <row r="728" spans="1:26" x14ac:dyDescent="0.3">
      <c r="A728" s="66">
        <f t="shared" si="74"/>
        <v>2062.0999999999344</v>
      </c>
      <c r="B728" s="67">
        <f>LOOKUP(A728+0.01,AmountsB!$A$4:$A$103,AmountsB!$B$4:$B$103)*0.1*$A$2</f>
        <v>0</v>
      </c>
      <c r="C728" s="68">
        <f t="shared" si="73"/>
        <v>1538495.7946267016</v>
      </c>
      <c r="D728" s="67">
        <f t="array" ref="D728">SUM($B$7:$B723*$F$1009*EXP(-$F$1009*($A728-$A$7:$A723)))*$F$1010</f>
        <v>57273328.884464853</v>
      </c>
      <c r="E728" s="67">
        <f t="shared" si="71"/>
        <v>109.18654542527136</v>
      </c>
      <c r="F728" s="70">
        <f t="shared" si="75"/>
        <v>6.6298070382224772</v>
      </c>
      <c r="G728" s="67">
        <f>E728/'Lookup Tables'!$C$48</f>
        <v>218.37309085054272</v>
      </c>
      <c r="H728" s="70">
        <f t="shared" si="72"/>
        <v>3.7301660801385084E-2</v>
      </c>
      <c r="I728" s="71">
        <f t="shared" si="76"/>
        <v>0.31445725082478154</v>
      </c>
      <c r="L728" s="74"/>
      <c r="M728" s="74"/>
      <c r="N728" s="74"/>
      <c r="O728" s="74"/>
      <c r="P728" s="74"/>
      <c r="Q728" s="74"/>
      <c r="R728" s="74"/>
      <c r="S728" s="74"/>
      <c r="T728" s="74"/>
      <c r="U728" s="74"/>
      <c r="V728" s="74"/>
      <c r="W728" s="74"/>
      <c r="X728" s="74"/>
      <c r="Y728" s="74"/>
      <c r="Z728" s="74"/>
    </row>
    <row r="729" spans="1:26" x14ac:dyDescent="0.3">
      <c r="A729" s="66">
        <f t="shared" si="74"/>
        <v>2062.1999999999343</v>
      </c>
      <c r="B729" s="67">
        <f>LOOKUP(A729+0.01,AmountsB!$A$4:$A$103,AmountsB!$B$4:$B$103)*0.1*$A$2</f>
        <v>0</v>
      </c>
      <c r="C729" s="68">
        <f t="shared" si="73"/>
        <v>1538495.7946267016</v>
      </c>
      <c r="D729" s="67">
        <f t="array" ref="D729">SUM($B$7:$B724*$F$1009*EXP(-$F$1009*($A729-$A$7:$A724)))*$F$1010</f>
        <v>57113187.865640283</v>
      </c>
      <c r="E729" s="67">
        <f t="shared" si="71"/>
        <v>108.88125071014122</v>
      </c>
      <c r="F729" s="70">
        <f t="shared" si="75"/>
        <v>6.611269543119775</v>
      </c>
      <c r="G729" s="67">
        <f>E729/'Lookup Tables'!$C$48</f>
        <v>217.76250142028243</v>
      </c>
      <c r="H729" s="70">
        <f t="shared" si="72"/>
        <v>3.7197362237272769E-2</v>
      </c>
      <c r="I729" s="71">
        <f t="shared" si="76"/>
        <v>0.31357800204520675</v>
      </c>
      <c r="L729" s="74"/>
      <c r="M729" s="74"/>
      <c r="N729" s="74"/>
      <c r="O729" s="74"/>
      <c r="P729" s="74"/>
      <c r="Q729" s="74"/>
      <c r="R729" s="74"/>
      <c r="S729" s="74"/>
      <c r="T729" s="74"/>
      <c r="U729" s="74"/>
      <c r="V729" s="74"/>
      <c r="W729" s="74"/>
      <c r="X729" s="74"/>
      <c r="Y729" s="74"/>
      <c r="Z729" s="74"/>
    </row>
    <row r="730" spans="1:26" x14ac:dyDescent="0.3">
      <c r="A730" s="66">
        <f t="shared" si="74"/>
        <v>2062.2999999999342</v>
      </c>
      <c r="B730" s="67">
        <f>LOOKUP(A730+0.01,AmountsB!$A$4:$A$103,AmountsB!$B$4:$B$103)*0.1*$A$2</f>
        <v>0</v>
      </c>
      <c r="C730" s="68">
        <f t="shared" si="73"/>
        <v>1538495.7946267016</v>
      </c>
      <c r="D730" s="67">
        <f t="array" ref="D730">SUM($B$7:$B725*$F$1009*EXP(-$F$1009*($A730-$A$7:$A725)))*$F$1010</f>
        <v>56953494.614501148</v>
      </c>
      <c r="E730" s="67">
        <f t="shared" si="71"/>
        <v>108.57680962457439</v>
      </c>
      <c r="F730" s="70">
        <f t="shared" si="75"/>
        <v>6.5927838804041565</v>
      </c>
      <c r="G730" s="67">
        <f>E730/'Lookup Tables'!$C$48</f>
        <v>217.15361924914879</v>
      </c>
      <c r="H730" s="70">
        <f t="shared" si="72"/>
        <v>3.7093355300670927E-2</v>
      </c>
      <c r="I730" s="71">
        <f t="shared" si="76"/>
        <v>0.31270121171877424</v>
      </c>
      <c r="L730" s="74"/>
      <c r="M730" s="74"/>
      <c r="N730" s="74"/>
      <c r="O730" s="74"/>
      <c r="P730" s="74"/>
      <c r="Q730" s="74"/>
      <c r="R730" s="74"/>
      <c r="S730" s="74"/>
      <c r="T730" s="74"/>
      <c r="U730" s="74"/>
      <c r="V730" s="74"/>
      <c r="W730" s="74"/>
      <c r="X730" s="74"/>
      <c r="Y730" s="74"/>
      <c r="Z730" s="74"/>
    </row>
    <row r="731" spans="1:26" x14ac:dyDescent="0.3">
      <c r="A731" s="66">
        <f t="shared" si="74"/>
        <v>2062.3999999999342</v>
      </c>
      <c r="B731" s="67">
        <f>LOOKUP(A731+0.01,AmountsB!$A$4:$A$103,AmountsB!$B$4:$B$103)*0.1*$A$2</f>
        <v>0</v>
      </c>
      <c r="C731" s="68">
        <f t="shared" si="73"/>
        <v>1538495.7946267016</v>
      </c>
      <c r="D731" s="67">
        <f t="array" ref="D731">SUM($B$7:$B726*$F$1009*EXP(-$F$1009*($A731-$A$7:$A726)))*$F$1010</f>
        <v>56794247.879051499</v>
      </c>
      <c r="E731" s="67">
        <f t="shared" si="71"/>
        <v>108.27321978175112</v>
      </c>
      <c r="F731" s="70">
        <f t="shared" si="75"/>
        <v>6.5743499051479288</v>
      </c>
      <c r="G731" s="67">
        <f>E731/'Lookup Tables'!$C$48</f>
        <v>216.54643956350225</v>
      </c>
      <c r="H731" s="70">
        <f t="shared" si="72"/>
        <v>3.6989639176164643E-2</v>
      </c>
      <c r="I731" s="71">
        <f t="shared" si="76"/>
        <v>0.31182687297144324</v>
      </c>
      <c r="L731" s="74"/>
      <c r="M731" s="74"/>
      <c r="N731" s="74"/>
      <c r="O731" s="74"/>
      <c r="P731" s="74"/>
      <c r="Q731" s="74"/>
      <c r="R731" s="74"/>
      <c r="S731" s="74"/>
      <c r="T731" s="74"/>
      <c r="U731" s="74"/>
      <c r="V731" s="74"/>
      <c r="W731" s="74"/>
      <c r="X731" s="74"/>
      <c r="Y731" s="74"/>
      <c r="Z731" s="74"/>
    </row>
    <row r="732" spans="1:26" x14ac:dyDescent="0.3">
      <c r="A732" s="66">
        <f t="shared" si="74"/>
        <v>2062.4999999999341</v>
      </c>
      <c r="B732" s="67">
        <f>LOOKUP(A732+0.01,AmountsB!$A$4:$A$103,AmountsB!$B$4:$B$103)*0.1*$A$2</f>
        <v>0</v>
      </c>
      <c r="C732" s="68">
        <f t="shared" si="73"/>
        <v>1538495.7946267016</v>
      </c>
      <c r="D732" s="67">
        <f t="array" ref="D732">SUM($B$7:$B727*$F$1009*EXP(-$F$1009*($A732-$A$7:$A727)))*$F$1010</f>
        <v>56635446.410796143</v>
      </c>
      <c r="E732" s="67">
        <f t="shared" si="71"/>
        <v>107.97047880152559</v>
      </c>
      <c r="F732" s="70">
        <f t="shared" si="75"/>
        <v>6.5559674728286339</v>
      </c>
      <c r="G732" s="67">
        <f>E732/'Lookup Tables'!$C$48</f>
        <v>215.94095760305117</v>
      </c>
      <c r="H732" s="70">
        <f t="shared" si="72"/>
        <v>3.6886213050618975E-2</v>
      </c>
      <c r="I732" s="71">
        <f t="shared" si="76"/>
        <v>0.31095497894839375</v>
      </c>
      <c r="L732" s="74"/>
      <c r="M732" s="74"/>
      <c r="N732" s="74"/>
      <c r="O732" s="74"/>
      <c r="P732" s="74"/>
      <c r="Q732" s="74"/>
      <c r="R732" s="74"/>
      <c r="S732" s="74"/>
      <c r="T732" s="74"/>
      <c r="U732" s="74"/>
      <c r="V732" s="74"/>
      <c r="W732" s="74"/>
      <c r="X732" s="74"/>
      <c r="Y732" s="74"/>
      <c r="Z732" s="74"/>
    </row>
    <row r="733" spans="1:26" x14ac:dyDescent="0.3">
      <c r="A733" s="66">
        <f t="shared" si="74"/>
        <v>2062.599999999934</v>
      </c>
      <c r="B733" s="67">
        <f>LOOKUP(A733+0.01,AmountsB!$A$4:$A$103,AmountsB!$B$4:$B$103)*0.1*$A$2</f>
        <v>0</v>
      </c>
      <c r="C733" s="68">
        <f t="shared" si="73"/>
        <v>1538495.7946267016</v>
      </c>
      <c r="D733" s="67">
        <f t="array" ref="D733">SUM($B$7:$B728*$F$1009*EXP(-$F$1009*($A733-$A$7:$A728)))*$F$1010</f>
        <v>56477088.964730732</v>
      </c>
      <c r="E733" s="67">
        <f t="shared" si="71"/>
        <v>107.66858431040686</v>
      </c>
      <c r="F733" s="70">
        <f t="shared" si="75"/>
        <v>6.5376364393279038</v>
      </c>
      <c r="G733" s="67">
        <f>E733/'Lookup Tables'!$C$48</f>
        <v>215.33716862081371</v>
      </c>
      <c r="H733" s="70">
        <f t="shared" si="72"/>
        <v>3.6783076113172546E-2</v>
      </c>
      <c r="I733" s="71">
        <f t="shared" si="76"/>
        <v>0.31008552281397173</v>
      </c>
      <c r="L733" s="74"/>
      <c r="M733" s="74"/>
      <c r="N733" s="74"/>
      <c r="O733" s="74"/>
      <c r="P733" s="74"/>
      <c r="Q733" s="74"/>
      <c r="R733" s="74"/>
      <c r="S733" s="74"/>
      <c r="T733" s="74"/>
      <c r="U733" s="74"/>
      <c r="V733" s="74"/>
      <c r="W733" s="74"/>
      <c r="X733" s="74"/>
      <c r="Y733" s="74"/>
      <c r="Z733" s="74"/>
    </row>
    <row r="734" spans="1:26" x14ac:dyDescent="0.3">
      <c r="A734" s="66">
        <f t="shared" si="74"/>
        <v>2062.6999999999339</v>
      </c>
      <c r="B734" s="67">
        <f>LOOKUP(A734+0.01,AmountsB!$A$4:$A$103,AmountsB!$B$4:$B$103)*0.1*$A$2</f>
        <v>0</v>
      </c>
      <c r="C734" s="68">
        <f t="shared" si="73"/>
        <v>1538495.7946267016</v>
      </c>
      <c r="D734" s="67">
        <f t="array" ref="D734">SUM($B$7:$B729*$F$1009*EXP(-$F$1009*($A734-$A$7:$A729)))*$F$1010</f>
        <v>56319174.299332082</v>
      </c>
      <c r="E734" s="67">
        <f t="shared" si="71"/>
        <v>107.3675339415406</v>
      </c>
      <c r="F734" s="70">
        <f t="shared" si="75"/>
        <v>6.5193566609303453</v>
      </c>
      <c r="G734" s="67">
        <f>E734/'Lookup Tables'!$C$48</f>
        <v>214.7350678830812</v>
      </c>
      <c r="H734" s="70">
        <f t="shared" si="72"/>
        <v>3.6680227555231246E-2</v>
      </c>
      <c r="I734" s="71">
        <f t="shared" si="76"/>
        <v>0.3092184977516369</v>
      </c>
      <c r="L734" s="74"/>
      <c r="M734" s="74"/>
      <c r="N734" s="74"/>
      <c r="O734" s="74"/>
      <c r="P734" s="74"/>
      <c r="Q734" s="74"/>
      <c r="R734" s="74"/>
      <c r="S734" s="74"/>
      <c r="T734" s="74"/>
      <c r="U734" s="74"/>
      <c r="V734" s="74"/>
      <c r="W734" s="74"/>
      <c r="X734" s="74"/>
      <c r="Y734" s="74"/>
      <c r="Z734" s="74"/>
    </row>
    <row r="735" spans="1:26" x14ac:dyDescent="0.3">
      <c r="A735" s="66">
        <f t="shared" si="74"/>
        <v>2062.7999999999338</v>
      </c>
      <c r="B735" s="67">
        <f>LOOKUP(A735+0.01,AmountsB!$A$4:$A$103,AmountsB!$B$4:$B$103)*0.1*$A$2</f>
        <v>0</v>
      </c>
      <c r="C735" s="68">
        <f t="shared" si="73"/>
        <v>1538495.7946267016</v>
      </c>
      <c r="D735" s="67">
        <f t="array" ref="D735">SUM($B$7:$B730*$F$1009*EXP(-$F$1009*($A735-$A$7:$A730)))*$F$1010</f>
        <v>56161701.176548429</v>
      </c>
      <c r="E735" s="67">
        <f t="shared" si="71"/>
        <v>107.06732533469044</v>
      </c>
      <c r="F735" s="70">
        <f t="shared" si="75"/>
        <v>6.5011279943224034</v>
      </c>
      <c r="G735" s="67">
        <f>E735/'Lookup Tables'!$C$48</f>
        <v>214.13465066938087</v>
      </c>
      <c r="H735" s="70">
        <f t="shared" si="72"/>
        <v>3.6577666570461881E-2</v>
      </c>
      <c r="I735" s="71">
        <f t="shared" si="76"/>
        <v>0.30835389696390847</v>
      </c>
      <c r="L735" s="74"/>
      <c r="M735" s="74"/>
      <c r="N735" s="74"/>
      <c r="O735" s="74"/>
      <c r="P735" s="74"/>
      <c r="Q735" s="74"/>
      <c r="R735" s="74"/>
      <c r="S735" s="74"/>
      <c r="T735" s="74"/>
      <c r="U735" s="74"/>
      <c r="V735" s="74"/>
      <c r="W735" s="74"/>
      <c r="X735" s="74"/>
      <c r="Y735" s="74"/>
      <c r="Z735" s="74"/>
    </row>
    <row r="736" spans="1:26" x14ac:dyDescent="0.3">
      <c r="A736" s="66">
        <f t="shared" si="74"/>
        <v>2062.8999999999337</v>
      </c>
      <c r="B736" s="67">
        <f>LOOKUP(A736+0.01,AmountsB!$A$4:$A$103,AmountsB!$B$4:$B$103)*0.1*$A$2</f>
        <v>0</v>
      </c>
      <c r="C736" s="68">
        <f t="shared" si="73"/>
        <v>1538495.7946267016</v>
      </c>
      <c r="D736" s="67">
        <f t="array" ref="D736">SUM($B$7:$B731*$F$1009*EXP(-$F$1009*($A736-$A$7:$A731)))*$F$1010</f>
        <v>56004668.361789629</v>
      </c>
      <c r="E736" s="67">
        <f t="shared" si="71"/>
        <v>106.76795613621924</v>
      </c>
      <c r="F736" s="70">
        <f t="shared" si="75"/>
        <v>6.4829502965912322</v>
      </c>
      <c r="G736" s="67">
        <f>E736/'Lookup Tables'!$C$48</f>
        <v>213.53591227243848</v>
      </c>
      <c r="H736" s="70">
        <f t="shared" si="72"/>
        <v>3.6475392354785759E-2</v>
      </c>
      <c r="I736" s="71">
        <f t="shared" si="76"/>
        <v>0.30749171367231137</v>
      </c>
      <c r="L736" s="74"/>
      <c r="M736" s="74"/>
      <c r="N736" s="74"/>
      <c r="O736" s="74"/>
      <c r="P736" s="74"/>
      <c r="Q736" s="74"/>
      <c r="R736" s="74"/>
      <c r="S736" s="74"/>
      <c r="T736" s="74"/>
      <c r="U736" s="74"/>
      <c r="V736" s="74"/>
      <c r="W736" s="74"/>
      <c r="X736" s="74"/>
      <c r="Y736" s="74"/>
      <c r="Z736" s="74"/>
    </row>
    <row r="737" spans="1:26" x14ac:dyDescent="0.3">
      <c r="A737" s="66">
        <f t="shared" si="74"/>
        <v>2062.9999999999336</v>
      </c>
      <c r="B737" s="67">
        <f>LOOKUP(A737+0.01,AmountsB!$A$4:$A$103,AmountsB!$B$4:$B$103)*0.1*$A$2</f>
        <v>0</v>
      </c>
      <c r="C737" s="68">
        <f t="shared" si="73"/>
        <v>1538495.7946267016</v>
      </c>
      <c r="D737" s="67">
        <f t="array" ref="D737">SUM($B$7:$B732*$F$1009*EXP(-$F$1009*($A737-$A$7:$A732)))*$F$1010</f>
        <v>55848074.623917677</v>
      </c>
      <c r="E737" s="67">
        <f t="shared" si="71"/>
        <v>106.46942399907107</v>
      </c>
      <c r="F737" s="70">
        <f t="shared" si="75"/>
        <v>6.4648234252235959</v>
      </c>
      <c r="G737" s="67">
        <f>E737/'Lookup Tables'!$C$48</f>
        <v>212.93884799814214</v>
      </c>
      <c r="H737" s="70">
        <f t="shared" si="72"/>
        <v>3.6373404106372541E-2</v>
      </c>
      <c r="I737" s="71">
        <f t="shared" si="76"/>
        <v>0.30663194111732467</v>
      </c>
      <c r="L737" s="74"/>
      <c r="M737" s="74"/>
      <c r="N737" s="74"/>
      <c r="O737" s="74"/>
      <c r="P737" s="74"/>
      <c r="Q737" s="74"/>
      <c r="R737" s="74"/>
      <c r="S737" s="74"/>
      <c r="T737" s="74"/>
      <c r="U737" s="74"/>
      <c r="V737" s="74"/>
      <c r="W737" s="74"/>
      <c r="X737" s="74"/>
      <c r="Y737" s="74"/>
      <c r="Z737" s="74"/>
    </row>
    <row r="738" spans="1:26" x14ac:dyDescent="0.3">
      <c r="A738" s="66">
        <f t="shared" si="74"/>
        <v>2063.0999999999335</v>
      </c>
      <c r="B738" s="67">
        <f>LOOKUP(A738+0.01,AmountsB!$A$4:$A$103,AmountsB!$B$4:$B$103)*0.1*$A$2</f>
        <v>0</v>
      </c>
      <c r="C738" s="68">
        <f t="shared" si="73"/>
        <v>1538495.7946267016</v>
      </c>
      <c r="D738" s="67">
        <f t="array" ref="D738">SUM($B$7:$B733*$F$1009*EXP(-$F$1009*($A738-$A$7:$A733)))*$F$1010</f>
        <v>55691918.735236838</v>
      </c>
      <c r="E738" s="67">
        <f t="shared" si="71"/>
        <v>106.17172658275241</v>
      </c>
      <c r="F738" s="70">
        <f t="shared" si="75"/>
        <v>6.4467472381047264</v>
      </c>
      <c r="G738" s="67">
        <f>E738/'Lookup Tables'!$C$48</f>
        <v>212.34345316550483</v>
      </c>
      <c r="H738" s="70">
        <f t="shared" si="72"/>
        <v>3.6271701025633832E-2</v>
      </c>
      <c r="I738" s="71">
        <f t="shared" si="76"/>
        <v>0.30577457255832696</v>
      </c>
      <c r="L738" s="74"/>
      <c r="M738" s="74"/>
      <c r="N738" s="74"/>
      <c r="O738" s="74"/>
      <c r="P738" s="74"/>
      <c r="Q738" s="74"/>
      <c r="R738" s="74"/>
      <c r="S738" s="74"/>
      <c r="T738" s="74"/>
      <c r="U738" s="74"/>
      <c r="V738" s="74"/>
      <c r="W738" s="74"/>
      <c r="X738" s="74"/>
      <c r="Y738" s="74"/>
      <c r="Z738" s="74"/>
    </row>
    <row r="739" spans="1:26" x14ac:dyDescent="0.3">
      <c r="A739" s="66">
        <f t="shared" si="74"/>
        <v>2063.1999999999334</v>
      </c>
      <c r="B739" s="67">
        <f>LOOKUP(A739+0.01,AmountsB!$A$4:$A$103,AmountsB!$B$4:$B$103)*0.1*$A$2</f>
        <v>0</v>
      </c>
      <c r="C739" s="68">
        <f t="shared" si="73"/>
        <v>1538495.7946267016</v>
      </c>
      <c r="D739" s="67">
        <f t="array" ref="D739">SUM($B$7:$B734*$F$1009*EXP(-$F$1009*($A739-$A$7:$A734)))*$F$1010</f>
        <v>55536199.471484154</v>
      </c>
      <c r="E739" s="67">
        <f t="shared" si="71"/>
        <v>105.87486155331401</v>
      </c>
      <c r="F739" s="70">
        <f t="shared" si="75"/>
        <v>6.4287215935172259</v>
      </c>
      <c r="G739" s="67">
        <f>E739/'Lookup Tables'!$C$48</f>
        <v>211.74972310662801</v>
      </c>
      <c r="H739" s="70">
        <f t="shared" si="72"/>
        <v>3.6170282315216955E-2</v>
      </c>
      <c r="I739" s="71">
        <f t="shared" si="76"/>
        <v>0.30491960127354428</v>
      </c>
      <c r="L739" s="74"/>
      <c r="M739" s="74"/>
      <c r="N739" s="74"/>
      <c r="O739" s="74"/>
      <c r="P739" s="74"/>
      <c r="Q739" s="74"/>
      <c r="R739" s="74"/>
      <c r="S739" s="74"/>
      <c r="T739" s="74"/>
      <c r="U739" s="74"/>
      <c r="V739" s="74"/>
      <c r="W739" s="74"/>
      <c r="X739" s="74"/>
      <c r="Y739" s="74"/>
      <c r="Z739" s="74"/>
    </row>
    <row r="740" spans="1:26" x14ac:dyDescent="0.3">
      <c r="A740" s="66">
        <f t="shared" si="74"/>
        <v>2063.2999999999333</v>
      </c>
      <c r="B740" s="67">
        <f>LOOKUP(A740+0.01,AmountsB!$A$4:$A$103,AmountsB!$B$4:$B$103)*0.1*$A$2</f>
        <v>0</v>
      </c>
      <c r="C740" s="68">
        <f t="shared" si="73"/>
        <v>1538495.7946267016</v>
      </c>
      <c r="D740" s="67">
        <f t="array" ref="D740">SUM($B$7:$B735*$F$1009*EXP(-$F$1009*($A740-$A$7:$A735)))*$F$1010</f>
        <v>55380915.611819766</v>
      </c>
      <c r="E740" s="67">
        <f t="shared" si="71"/>
        <v>105.57882658333244</v>
      </c>
      <c r="F740" s="70">
        <f t="shared" si="75"/>
        <v>6.410746350139946</v>
      </c>
      <c r="G740" s="67">
        <f>E740/'Lookup Tables'!$C$48</f>
        <v>211.15765316666489</v>
      </c>
      <c r="H740" s="70">
        <f t="shared" si="72"/>
        <v>3.6069147179998685E-2</v>
      </c>
      <c r="I740" s="71">
        <f t="shared" si="76"/>
        <v>0.3040670205599974</v>
      </c>
      <c r="L740" s="74"/>
      <c r="M740" s="74"/>
      <c r="N740" s="74"/>
      <c r="O740" s="74"/>
      <c r="P740" s="74"/>
      <c r="Q740" s="74"/>
      <c r="R740" s="74"/>
      <c r="S740" s="74"/>
      <c r="T740" s="74"/>
      <c r="U740" s="74"/>
      <c r="V740" s="74"/>
      <c r="W740" s="74"/>
      <c r="X740" s="74"/>
      <c r="Y740" s="74"/>
      <c r="Z740" s="74"/>
    </row>
    <row r="741" spans="1:26" x14ac:dyDescent="0.3">
      <c r="A741" s="66">
        <f t="shared" si="74"/>
        <v>2063.3999999999332</v>
      </c>
      <c r="B741" s="67">
        <f>LOOKUP(A741+0.01,AmountsB!$A$4:$A$103,AmountsB!$B$4:$B$103)*0.1*$A$2</f>
        <v>0</v>
      </c>
      <c r="C741" s="68">
        <f t="shared" si="73"/>
        <v>1538495.7946267016</v>
      </c>
      <c r="D741" s="67">
        <f t="array" ref="D741">SUM($B$7:$B736*$F$1009*EXP(-$F$1009*($A741-$A$7:$A736)))*$F$1010</f>
        <v>55226065.938817456</v>
      </c>
      <c r="E741" s="67">
        <f t="shared" si="71"/>
        <v>105.2836193518921</v>
      </c>
      <c r="F741" s="70">
        <f t="shared" si="75"/>
        <v>6.3928213670468876</v>
      </c>
      <c r="G741" s="67">
        <f>E741/'Lookup Tables'!$C$48</f>
        <v>210.5672387037842</v>
      </c>
      <c r="H741" s="70">
        <f t="shared" si="72"/>
        <v>3.5968294827079063E-2</v>
      </c>
      <c r="I741" s="71">
        <f t="shared" si="76"/>
        <v>0.30321682373344921</v>
      </c>
      <c r="L741" s="74"/>
      <c r="M741" s="74"/>
      <c r="N741" s="74"/>
      <c r="O741" s="74"/>
      <c r="P741" s="74"/>
      <c r="Q741" s="74"/>
      <c r="R741" s="74"/>
      <c r="S741" s="74"/>
      <c r="T741" s="74"/>
      <c r="U741" s="74"/>
      <c r="V741" s="74"/>
      <c r="W741" s="74"/>
      <c r="X741" s="74"/>
      <c r="Y741" s="74"/>
      <c r="Z741" s="74"/>
    </row>
    <row r="742" spans="1:26" x14ac:dyDescent="0.3">
      <c r="A742" s="66">
        <f t="shared" si="74"/>
        <v>2063.4999999999332</v>
      </c>
      <c r="B742" s="67">
        <f>LOOKUP(A742+0.01,AmountsB!$A$4:$A$103,AmountsB!$B$4:$B$103)*0.1*$A$2</f>
        <v>0</v>
      </c>
      <c r="C742" s="68">
        <f t="shared" si="73"/>
        <v>1538495.7946267016</v>
      </c>
      <c r="D742" s="67">
        <f t="array" ref="D742">SUM($B$7:$B737*$F$1009*EXP(-$F$1009*($A742-$A$7:$A737)))*$F$1010</f>
        <v>55071649.238454968</v>
      </c>
      <c r="E742" s="67">
        <f t="shared" si="71"/>
        <v>104.98923754456671</v>
      </c>
      <c r="F742" s="70">
        <f t="shared" si="75"/>
        <v>6.3749465037060897</v>
      </c>
      <c r="G742" s="67">
        <f>E742/'Lookup Tables'!$C$48</f>
        <v>209.97847508913341</v>
      </c>
      <c r="H742" s="70">
        <f t="shared" si="72"/>
        <v>3.5867724465775103E-2</v>
      </c>
      <c r="I742" s="71">
        <f t="shared" si="76"/>
        <v>0.3023690041283521</v>
      </c>
      <c r="L742" s="74"/>
      <c r="M742" s="74"/>
      <c r="N742" s="74"/>
      <c r="O742" s="74"/>
      <c r="P742" s="74"/>
      <c r="Q742" s="74"/>
      <c r="R742" s="74"/>
      <c r="S742" s="74"/>
      <c r="T742" s="74"/>
      <c r="U742" s="74"/>
      <c r="V742" s="74"/>
      <c r="W742" s="74"/>
      <c r="X742" s="74"/>
      <c r="Y742" s="74"/>
      <c r="Z742" s="74"/>
    </row>
    <row r="743" spans="1:26" x14ac:dyDescent="0.3">
      <c r="A743" s="66">
        <f t="shared" si="74"/>
        <v>2063.5999999999331</v>
      </c>
      <c r="B743" s="67">
        <f>LOOKUP(A743+0.01,AmountsB!$A$4:$A$103,AmountsB!$B$4:$B$103)*0.1*$A$2</f>
        <v>0</v>
      </c>
      <c r="C743" s="68">
        <f t="shared" si="73"/>
        <v>1538495.7946267016</v>
      </c>
      <c r="D743" s="67">
        <f t="array" ref="D743">SUM($B$7:$B738*$F$1009*EXP(-$F$1009*($A743-$A$7:$A738)))*$F$1010</f>
        <v>54917664.300104618</v>
      </c>
      <c r="E743" s="67">
        <f t="shared" si="71"/>
        <v>104.6956788534015</v>
      </c>
      <c r="F743" s="70">
        <f t="shared" si="75"/>
        <v>6.3571216199785399</v>
      </c>
      <c r="G743" s="67">
        <f>E743/'Lookup Tables'!$C$48</f>
        <v>209.39135770680301</v>
      </c>
      <c r="H743" s="70">
        <f t="shared" si="72"/>
        <v>3.5767435307614712E-2</v>
      </c>
      <c r="I743" s="71">
        <f t="shared" si="76"/>
        <v>0.30152355509779638</v>
      </c>
      <c r="L743" s="74"/>
      <c r="M743" s="74"/>
      <c r="N743" s="74"/>
      <c r="O743" s="74"/>
      <c r="P743" s="74"/>
      <c r="Q743" s="74"/>
      <c r="R743" s="74"/>
      <c r="S743" s="74"/>
      <c r="T743" s="74"/>
      <c r="U743" s="74"/>
      <c r="V743" s="74"/>
      <c r="W743" s="74"/>
      <c r="X743" s="74"/>
      <c r="Y743" s="74"/>
      <c r="Z743" s="74"/>
    </row>
    <row r="744" spans="1:26" x14ac:dyDescent="0.3">
      <c r="A744" s="66">
        <f t="shared" si="74"/>
        <v>2063.699999999933</v>
      </c>
      <c r="B744" s="67">
        <f>LOOKUP(A744+0.01,AmountsB!$A$4:$A$103,AmountsB!$B$4:$B$103)*0.1*$A$2</f>
        <v>0</v>
      </c>
      <c r="C744" s="68">
        <f t="shared" si="73"/>
        <v>1538495.7946267016</v>
      </c>
      <c r="D744" s="67">
        <f t="array" ref="D744">SUM($B$7:$B739*$F$1009*EXP(-$F$1009*($A744-$A$7:$A739)))*$F$1010</f>
        <v>54764109.916523658</v>
      </c>
      <c r="E744" s="67">
        <f t="shared" si="71"/>
        <v>104.40294097689474</v>
      </c>
      <c r="F744" s="70">
        <f t="shared" si="75"/>
        <v>6.3393465761170482</v>
      </c>
      <c r="G744" s="67">
        <f>E744/'Lookup Tables'!$C$48</f>
        <v>208.80588195378948</v>
      </c>
      <c r="H744" s="70">
        <f t="shared" si="72"/>
        <v>3.5667426566330311E-2</v>
      </c>
      <c r="I744" s="71">
        <f t="shared" si="76"/>
        <v>0.30068047001345682</v>
      </c>
      <c r="L744" s="74"/>
      <c r="M744" s="74"/>
      <c r="N744" s="74"/>
      <c r="O744" s="74"/>
      <c r="P744" s="74"/>
      <c r="Q744" s="74"/>
      <c r="R744" s="74"/>
      <c r="S744" s="74"/>
      <c r="T744" s="74"/>
      <c r="U744" s="74"/>
      <c r="V744" s="74"/>
      <c r="W744" s="74"/>
      <c r="X744" s="74"/>
      <c r="Y744" s="74"/>
      <c r="Z744" s="74"/>
    </row>
    <row r="745" spans="1:26" x14ac:dyDescent="0.3">
      <c r="A745" s="66">
        <f t="shared" si="74"/>
        <v>2063.7999999999329</v>
      </c>
      <c r="B745" s="67">
        <f>LOOKUP(A745+0.01,AmountsB!$A$4:$A$103,AmountsB!$B$4:$B$103)*0.1*$A$2</f>
        <v>0</v>
      </c>
      <c r="C745" s="68">
        <f t="shared" si="73"/>
        <v>1538495.7946267016</v>
      </c>
      <c r="D745" s="67">
        <f t="array" ref="D745">SUM($B$7:$B740*$F$1009*EXP(-$F$1009*($A745-$A$7:$A740)))*$F$1010</f>
        <v>54610984.883844957</v>
      </c>
      <c r="E745" s="67">
        <f t="shared" si="71"/>
        <v>104.11102161998001</v>
      </c>
      <c r="F745" s="70">
        <f t="shared" si="75"/>
        <v>6.3216212327651862</v>
      </c>
      <c r="G745" s="67">
        <f>E745/'Lookup Tables'!$C$48</f>
        <v>208.22204323996002</v>
      </c>
      <c r="H745" s="70">
        <f t="shared" si="72"/>
        <v>3.556769745785289E-2</v>
      </c>
      <c r="I745" s="71">
        <f t="shared" si="76"/>
        <v>0.29983974226554244</v>
      </c>
      <c r="L745" s="74"/>
      <c r="M745" s="74"/>
      <c r="N745" s="74"/>
      <c r="O745" s="74"/>
      <c r="P745" s="74"/>
      <c r="Q745" s="74"/>
      <c r="R745" s="74"/>
      <c r="S745" s="74"/>
      <c r="T745" s="74"/>
      <c r="U745" s="74"/>
      <c r="V745" s="74"/>
      <c r="W745" s="74"/>
      <c r="X745" s="74"/>
      <c r="Y745" s="74"/>
      <c r="Z745" s="74"/>
    </row>
    <row r="746" spans="1:26" x14ac:dyDescent="0.3">
      <c r="A746" s="66">
        <f t="shared" si="74"/>
        <v>2063.8999999999328</v>
      </c>
      <c r="B746" s="67">
        <f>LOOKUP(A746+0.01,AmountsB!$A$4:$A$103,AmountsB!$B$4:$B$103)*0.1*$A$2</f>
        <v>0</v>
      </c>
      <c r="C746" s="68">
        <f t="shared" si="73"/>
        <v>1538495.7946267016</v>
      </c>
      <c r="D746" s="67">
        <f t="array" ref="D746">SUM($B$7:$B741*$F$1009*EXP(-$F$1009*($A746-$A$7:$A741)))*$F$1010</f>
        <v>54458288.00156749</v>
      </c>
      <c r="E746" s="67">
        <f t="shared" si="71"/>
        <v>103.81991849400806</v>
      </c>
      <c r="F746" s="70">
        <f t="shared" si="75"/>
        <v>6.3039454509561699</v>
      </c>
      <c r="G746" s="67">
        <f>E746/'Lookup Tables'!$C$48</f>
        <v>207.63983698801613</v>
      </c>
      <c r="H746" s="70">
        <f t="shared" si="72"/>
        <v>3.5468247200305725E-2</v>
      </c>
      <c r="I746" s="71">
        <f t="shared" si="76"/>
        <v>0.29900136526274318</v>
      </c>
      <c r="L746" s="74"/>
      <c r="M746" s="74"/>
      <c r="N746" s="74"/>
      <c r="O746" s="74"/>
      <c r="P746" s="74"/>
      <c r="Q746" s="74"/>
      <c r="R746" s="74"/>
      <c r="S746" s="74"/>
      <c r="T746" s="74"/>
      <c r="U746" s="74"/>
      <c r="V746" s="74"/>
      <c r="W746" s="74"/>
      <c r="X746" s="74"/>
      <c r="Y746" s="74"/>
      <c r="Z746" s="74"/>
    </row>
    <row r="747" spans="1:26" x14ac:dyDescent="0.3">
      <c r="A747" s="66">
        <f t="shared" si="74"/>
        <v>2063.9999999999327</v>
      </c>
      <c r="B747" s="67">
        <f>LOOKUP(A747+0.01,AmountsB!$A$4:$A$103,AmountsB!$B$4:$B$103)*0.1*$A$2</f>
        <v>0</v>
      </c>
      <c r="C747" s="68">
        <f t="shared" si="73"/>
        <v>1538495.7946267016</v>
      </c>
      <c r="D747" s="67">
        <f t="array" ref="D747">SUM($B$7:$B742*$F$1009*EXP(-$F$1009*($A747-$A$7:$A742)))*$F$1010</f>
        <v>54306018.072546884</v>
      </c>
      <c r="E747" s="67">
        <f t="shared" si="71"/>
        <v>103.52962931672889</v>
      </c>
      <c r="F747" s="70">
        <f t="shared" si="75"/>
        <v>6.2863190921117775</v>
      </c>
      <c r="G747" s="67">
        <f>E747/'Lookup Tables'!$C$48</f>
        <v>207.05925863345777</v>
      </c>
      <c r="H747" s="70">
        <f t="shared" si="72"/>
        <v>3.5369075013998282E-2</v>
      </c>
      <c r="I747" s="71">
        <f t="shared" si="76"/>
        <v>0.29816533243217919</v>
      </c>
      <c r="L747" s="74"/>
      <c r="M747" s="74"/>
      <c r="N747" s="74"/>
      <c r="O747" s="74"/>
      <c r="P747" s="74"/>
      <c r="Q747" s="74"/>
      <c r="R747" s="74"/>
      <c r="S747" s="74"/>
      <c r="T747" s="74"/>
      <c r="U747" s="74"/>
      <c r="V747" s="74"/>
      <c r="W747" s="74"/>
      <c r="X747" s="74"/>
      <c r="Y747" s="74"/>
      <c r="Z747" s="74"/>
    </row>
    <row r="748" spans="1:26" x14ac:dyDescent="0.3">
      <c r="A748" s="66">
        <f t="shared" si="74"/>
        <v>2064.0999999999326</v>
      </c>
      <c r="B748" s="67">
        <f>LOOKUP(A748+0.01,AmountsB!$A$4:$A$103,AmountsB!$B$4:$B$103)*0.1*$A$2</f>
        <v>0</v>
      </c>
      <c r="C748" s="68">
        <f t="shared" si="73"/>
        <v>1538495.7946267016</v>
      </c>
      <c r="D748" s="67">
        <f t="array" ref="D748">SUM($B$7:$B743*$F$1009*EXP(-$F$1009*($A748-$A$7:$A743)))*$F$1010</f>
        <v>54154173.902986124</v>
      </c>
      <c r="E748" s="67">
        <f t="shared" si="71"/>
        <v>103.24015181227384</v>
      </c>
      <c r="F748" s="70">
        <f t="shared" si="75"/>
        <v>6.2687420180412676</v>
      </c>
      <c r="G748" s="67">
        <f>E748/'Lookup Tables'!$C$48</f>
        <v>206.48030362454767</v>
      </c>
      <c r="H748" s="70">
        <f t="shared" si="72"/>
        <v>3.5270180121420115E-2</v>
      </c>
      <c r="I748" s="71">
        <f t="shared" si="76"/>
        <v>0.29733163721934869</v>
      </c>
      <c r="L748" s="74"/>
      <c r="M748" s="74"/>
      <c r="N748" s="74"/>
      <c r="O748" s="74"/>
      <c r="P748" s="74"/>
      <c r="Q748" s="74"/>
      <c r="R748" s="74"/>
      <c r="S748" s="74"/>
      <c r="T748" s="74"/>
      <c r="U748" s="74"/>
      <c r="V748" s="74"/>
      <c r="W748" s="74"/>
      <c r="X748" s="74"/>
      <c r="Y748" s="74"/>
      <c r="Z748" s="74"/>
    </row>
    <row r="749" spans="1:26" x14ac:dyDescent="0.3">
      <c r="A749" s="66">
        <f t="shared" si="74"/>
        <v>2064.1999999999325</v>
      </c>
      <c r="B749" s="67">
        <f>LOOKUP(A749+0.01,AmountsB!$A$4:$A$103,AmountsB!$B$4:$B$103)*0.1*$A$2</f>
        <v>0</v>
      </c>
      <c r="C749" s="68">
        <f t="shared" si="73"/>
        <v>1538495.7946267016</v>
      </c>
      <c r="D749" s="67">
        <f t="array" ref="D749">SUM($B$7:$B744*$F$1009*EXP(-$F$1009*($A749-$A$7:$A744)))*$F$1010</f>
        <v>54002754.302426137</v>
      </c>
      <c r="E749" s="67">
        <f t="shared" si="71"/>
        <v>102.95148371113778</v>
      </c>
      <c r="F749" s="70">
        <f t="shared" si="75"/>
        <v>6.2512140909402865</v>
      </c>
      <c r="G749" s="67">
        <f>E749/'Lookup Tables'!$C$48</f>
        <v>205.90296742227557</v>
      </c>
      <c r="H749" s="70">
        <f t="shared" si="72"/>
        <v>3.5171561747234743E-2</v>
      </c>
      <c r="I749" s="71">
        <f t="shared" si="76"/>
        <v>0.2965002730880768</v>
      </c>
      <c r="L749" s="74"/>
      <c r="M749" s="74"/>
      <c r="N749" s="74"/>
      <c r="O749" s="74"/>
      <c r="P749" s="74"/>
      <c r="Q749" s="74"/>
      <c r="R749" s="74"/>
      <c r="S749" s="74"/>
      <c r="T749" s="74"/>
      <c r="U749" s="74"/>
      <c r="V749" s="74"/>
      <c r="W749" s="74"/>
      <c r="X749" s="74"/>
      <c r="Y749" s="74"/>
      <c r="Z749" s="74"/>
    </row>
    <row r="750" spans="1:26" x14ac:dyDescent="0.3">
      <c r="A750" s="66">
        <f t="shared" si="74"/>
        <v>2064.2999999999324</v>
      </c>
      <c r="B750" s="67">
        <f>LOOKUP(A750+0.01,AmountsB!$A$4:$A$103,AmountsB!$B$4:$B$103)*0.1*$A$2</f>
        <v>0</v>
      </c>
      <c r="C750" s="68">
        <f t="shared" si="73"/>
        <v>1538495.7946267016</v>
      </c>
      <c r="D750" s="67">
        <f t="array" ref="D750">SUM($B$7:$B745*$F$1009*EXP(-$F$1009*($A750-$A$7:$A745)))*$F$1010</f>
        <v>53851758.083736487</v>
      </c>
      <c r="E750" s="67">
        <f t="shared" si="71"/>
        <v>102.66362275016134</v>
      </c>
      <c r="F750" s="70">
        <f t="shared" si="75"/>
        <v>6.233735173389797</v>
      </c>
      <c r="G750" s="67">
        <f>E750/'Lookup Tables'!$C$48</f>
        <v>205.32724550032268</v>
      </c>
      <c r="H750" s="70">
        <f t="shared" si="72"/>
        <v>3.5073219118273623E-2</v>
      </c>
      <c r="I750" s="71">
        <f t="shared" si="76"/>
        <v>0.2956712335204647</v>
      </c>
      <c r="L750" s="74"/>
      <c r="M750" s="74"/>
      <c r="N750" s="74"/>
      <c r="O750" s="74"/>
      <c r="P750" s="74"/>
      <c r="Q750" s="74"/>
      <c r="R750" s="74"/>
      <c r="S750" s="74"/>
      <c r="T750" s="74"/>
      <c r="U750" s="74"/>
      <c r="V750" s="74"/>
      <c r="W750" s="74"/>
      <c r="X750" s="74"/>
      <c r="Y750" s="74"/>
      <c r="Z750" s="74"/>
    </row>
    <row r="751" spans="1:26" x14ac:dyDescent="0.3">
      <c r="A751" s="66">
        <f t="shared" si="74"/>
        <v>2064.3999999999323</v>
      </c>
      <c r="B751" s="67">
        <f>LOOKUP(A751+0.01,AmountsB!$A$4:$A$103,AmountsB!$B$4:$B$103)*0.1*$A$2</f>
        <v>0</v>
      </c>
      <c r="C751" s="68">
        <f t="shared" si="73"/>
        <v>1538495.7946267016</v>
      </c>
      <c r="D751" s="67">
        <f t="array" ref="D751">SUM($B$7:$B746*$F$1009*EXP(-$F$1009*($A751-$A$7:$A746)))*$F$1010</f>
        <v>53701184.06310606</v>
      </c>
      <c r="E751" s="67">
        <f t="shared" si="71"/>
        <v>102.37656667251314</v>
      </c>
      <c r="F751" s="70">
        <f t="shared" si="75"/>
        <v>6.2163051283549979</v>
      </c>
      <c r="G751" s="67">
        <f>E751/'Lookup Tables'!$C$48</f>
        <v>204.75313334502627</v>
      </c>
      <c r="H751" s="70">
        <f t="shared" si="72"/>
        <v>3.4975151463530051E-2</v>
      </c>
      <c r="I751" s="71">
        <f t="shared" si="76"/>
        <v>0.29484451201683781</v>
      </c>
      <c r="L751" s="74"/>
      <c r="M751" s="74"/>
      <c r="N751" s="74"/>
      <c r="O751" s="74"/>
      <c r="P751" s="74"/>
      <c r="Q751" s="74"/>
      <c r="R751" s="74"/>
      <c r="S751" s="74"/>
      <c r="T751" s="74"/>
      <c r="U751" s="74"/>
      <c r="V751" s="74"/>
      <c r="W751" s="74"/>
      <c r="X751" s="74"/>
      <c r="Y751" s="74"/>
      <c r="Z751" s="74"/>
    </row>
    <row r="752" spans="1:26" x14ac:dyDescent="0.3">
      <c r="A752" s="66">
        <f t="shared" si="74"/>
        <v>2064.4999999999322</v>
      </c>
      <c r="B752" s="67">
        <f>LOOKUP(A752+0.01,AmountsB!$A$4:$A$103,AmountsB!$B$4:$B$103)*0.1*$A$2</f>
        <v>0</v>
      </c>
      <c r="C752" s="68">
        <f t="shared" si="73"/>
        <v>1538495.7946267016</v>
      </c>
      <c r="D752" s="67">
        <f t="array" ref="D752">SUM($B$7:$B747*$F$1009*EXP(-$F$1009*($A752-$A$7:$A747)))*$F$1010</f>
        <v>53551031.060033739</v>
      </c>
      <c r="E752" s="67">
        <f t="shared" si="71"/>
        <v>102.09031322767201</v>
      </c>
      <c r="F752" s="70">
        <f t="shared" si="75"/>
        <v>6.1989238191842446</v>
      </c>
      <c r="G752" s="67">
        <f>E752/'Lookup Tables'!$C$48</f>
        <v>204.18062645534403</v>
      </c>
      <c r="H752" s="70">
        <f t="shared" si="72"/>
        <v>3.4877358014153093E-2</v>
      </c>
      <c r="I752" s="71">
        <f t="shared" si="76"/>
        <v>0.29402010209569546</v>
      </c>
      <c r="L752" s="74"/>
      <c r="M752" s="74"/>
      <c r="N752" s="74"/>
      <c r="O752" s="74"/>
      <c r="P752" s="74"/>
      <c r="Q752" s="74"/>
      <c r="R752" s="74"/>
      <c r="S752" s="74"/>
      <c r="T752" s="74"/>
      <c r="U752" s="74"/>
      <c r="V752" s="74"/>
      <c r="W752" s="74"/>
      <c r="X752" s="74"/>
      <c r="Y752" s="74"/>
      <c r="Z752" s="74"/>
    </row>
    <row r="753" spans="1:26" x14ac:dyDescent="0.3">
      <c r="A753" s="66">
        <f t="shared" si="74"/>
        <v>2064.5999999999322</v>
      </c>
      <c r="B753" s="67">
        <f>LOOKUP(A753+0.01,AmountsB!$A$4:$A$103,AmountsB!$B$4:$B$103)*0.1*$A$2</f>
        <v>0</v>
      </c>
      <c r="C753" s="68">
        <f t="shared" si="73"/>
        <v>1538495.7946267016</v>
      </c>
      <c r="D753" s="67">
        <f t="array" ref="D753">SUM($B$7:$B748*$F$1009*EXP(-$F$1009*($A753-$A$7:$A748)))*$F$1010</f>
        <v>53401297.897319242</v>
      </c>
      <c r="E753" s="67">
        <f t="shared" si="71"/>
        <v>101.80486017140954</v>
      </c>
      <c r="F753" s="70">
        <f t="shared" si="75"/>
        <v>6.1815911096079876</v>
      </c>
      <c r="G753" s="67">
        <f>E753/'Lookup Tables'!$C$48</f>
        <v>203.60972034281909</v>
      </c>
      <c r="H753" s="70">
        <f t="shared" si="72"/>
        <v>3.4779838003441609E-2</v>
      </c>
      <c r="I753" s="71">
        <f t="shared" si="76"/>
        <v>0.29319799729365947</v>
      </c>
      <c r="L753" s="74"/>
      <c r="M753" s="74"/>
      <c r="N753" s="74"/>
      <c r="O753" s="74"/>
      <c r="P753" s="74"/>
      <c r="Q753" s="74"/>
      <c r="R753" s="74"/>
      <c r="S753" s="74"/>
      <c r="T753" s="74"/>
      <c r="U753" s="74"/>
      <c r="V753" s="74"/>
      <c r="W753" s="74"/>
      <c r="X753" s="74"/>
      <c r="Y753" s="74"/>
      <c r="Z753" s="74"/>
    </row>
    <row r="754" spans="1:26" x14ac:dyDescent="0.3">
      <c r="A754" s="66">
        <f t="shared" si="74"/>
        <v>2064.6999999999321</v>
      </c>
      <c r="B754" s="67">
        <f>LOOKUP(A754+0.01,AmountsB!$A$4:$A$103,AmountsB!$B$4:$B$103)*0.1*$A$2</f>
        <v>0</v>
      </c>
      <c r="C754" s="68">
        <f t="shared" si="73"/>
        <v>1538495.7946267016</v>
      </c>
      <c r="D754" s="67">
        <f t="array" ref="D754">SUM($B$7:$B749*$F$1009*EXP(-$F$1009*($A754-$A$7:$A749)))*$F$1010</f>
        <v>53251983.401053786</v>
      </c>
      <c r="E754" s="67">
        <f t="shared" si="71"/>
        <v>101.52020526577228</v>
      </c>
      <c r="F754" s="70">
        <f t="shared" si="75"/>
        <v>6.1643068637376919</v>
      </c>
      <c r="G754" s="67">
        <f>E754/'Lookup Tables'!$C$48</f>
        <v>203.04041053154455</v>
      </c>
      <c r="H754" s="70">
        <f t="shared" si="72"/>
        <v>3.468259066683823E-2</v>
      </c>
      <c r="I754" s="71">
        <f t="shared" si="76"/>
        <v>0.29237819116542413</v>
      </c>
      <c r="L754" s="74"/>
      <c r="M754" s="74"/>
      <c r="N754" s="74"/>
      <c r="O754" s="74"/>
      <c r="P754" s="74"/>
      <c r="Q754" s="74"/>
      <c r="R754" s="74"/>
      <c r="S754" s="74"/>
      <c r="T754" s="74"/>
      <c r="U754" s="74"/>
      <c r="V754" s="74"/>
      <c r="W754" s="74"/>
      <c r="X754" s="74"/>
      <c r="Y754" s="74"/>
      <c r="Z754" s="74"/>
    </row>
    <row r="755" spans="1:26" x14ac:dyDescent="0.3">
      <c r="A755" s="66">
        <f t="shared" si="74"/>
        <v>2064.799999999932</v>
      </c>
      <c r="B755" s="67">
        <f>LOOKUP(A755+0.01,AmountsB!$A$4:$A$103,AmountsB!$B$4:$B$103)*0.1*$A$2</f>
        <v>0</v>
      </c>
      <c r="C755" s="68">
        <f t="shared" si="73"/>
        <v>1538495.7946267016</v>
      </c>
      <c r="D755" s="67">
        <f t="array" ref="D755">SUM($B$7:$B750*$F$1009*EXP(-$F$1009*($A755-$A$7:$A750)))*$F$1010</f>
        <v>53103086.400610946</v>
      </c>
      <c r="E755" s="67">
        <f t="shared" si="71"/>
        <v>101.23634627906426</v>
      </c>
      <c r="F755" s="70">
        <f t="shared" si="75"/>
        <v>6.1470709460647823</v>
      </c>
      <c r="G755" s="67">
        <f>E755/'Lookup Tables'!$C$48</f>
        <v>202.47269255812853</v>
      </c>
      <c r="H755" s="70">
        <f t="shared" si="72"/>
        <v>3.4585615241923322E-2</v>
      </c>
      <c r="I755" s="71">
        <f t="shared" si="76"/>
        <v>0.29156067728370511</v>
      </c>
      <c r="L755" s="74"/>
      <c r="M755" s="74"/>
      <c r="N755" s="74"/>
      <c r="O755" s="74"/>
      <c r="P755" s="74"/>
      <c r="Q755" s="74"/>
      <c r="R755" s="74"/>
      <c r="S755" s="74"/>
      <c r="T755" s="74"/>
      <c r="U755" s="74"/>
      <c r="V755" s="74"/>
      <c r="W755" s="74"/>
      <c r="X755" s="74"/>
      <c r="Y755" s="74"/>
      <c r="Z755" s="74"/>
    </row>
    <row r="756" spans="1:26" x14ac:dyDescent="0.3">
      <c r="A756" s="66">
        <f t="shared" si="74"/>
        <v>2064.8999999999319</v>
      </c>
      <c r="B756" s="67">
        <f>LOOKUP(A756+0.01,AmountsB!$A$4:$A$103,AmountsB!$B$4:$B$103)*0.1*$A$2</f>
        <v>0</v>
      </c>
      <c r="C756" s="68">
        <f t="shared" si="73"/>
        <v>1538495.7946267016</v>
      </c>
      <c r="D756" s="67">
        <f t="array" ref="D756">SUM($B$7:$B751*$F$1009*EXP(-$F$1009*($A756-$A$7:$A751)))*$F$1010</f>
        <v>52954605.728637494</v>
      </c>
      <c r="E756" s="67">
        <f t="shared" si="71"/>
        <v>100.95328098582965</v>
      </c>
      <c r="F756" s="70">
        <f t="shared" si="75"/>
        <v>6.1298832214595755</v>
      </c>
      <c r="G756" s="67">
        <f>E756/'Lookup Tables'!$C$48</f>
        <v>201.9065619716593</v>
      </c>
      <c r="H756" s="70">
        <f t="shared" si="72"/>
        <v>3.4488910968409059E-2</v>
      </c>
      <c r="I756" s="71">
        <f t="shared" si="76"/>
        <v>0.29074544923918938</v>
      </c>
      <c r="L756" s="74"/>
      <c r="M756" s="74"/>
      <c r="N756" s="74"/>
      <c r="O756" s="74"/>
      <c r="P756" s="74"/>
      <c r="Q756" s="74"/>
      <c r="R756" s="74"/>
      <c r="S756" s="74"/>
      <c r="T756" s="74"/>
      <c r="U756" s="74"/>
      <c r="V756" s="74"/>
      <c r="W756" s="74"/>
      <c r="X756" s="74"/>
      <c r="Y756" s="74"/>
      <c r="Z756" s="74"/>
    </row>
    <row r="757" spans="1:26" x14ac:dyDescent="0.3">
      <c r="A757" s="66">
        <f t="shared" si="74"/>
        <v>2064.9999999999318</v>
      </c>
      <c r="B757" s="67">
        <f>LOOKUP(A757+0.01,AmountsB!$A$4:$A$103,AmountsB!$B$4:$B$103)*0.1*$A$2</f>
        <v>0</v>
      </c>
      <c r="C757" s="68">
        <f t="shared" si="73"/>
        <v>1538495.7946267016</v>
      </c>
      <c r="D757" s="67">
        <f t="array" ref="D757">SUM($B$7:$B752*$F$1009*EXP(-$F$1009*($A757-$A$7:$A752)))*$F$1010</f>
        <v>52806540.221044198</v>
      </c>
      <c r="E757" s="67">
        <f t="shared" si="71"/>
        <v>100.67100716683504</v>
      </c>
      <c r="F757" s="70">
        <f t="shared" si="75"/>
        <v>6.1127435551702227</v>
      </c>
      <c r="G757" s="67">
        <f>E757/'Lookup Tables'!$C$48</f>
        <v>201.34201433367008</v>
      </c>
      <c r="H757" s="70">
        <f t="shared" si="72"/>
        <v>3.4392477088133443E-2</v>
      </c>
      <c r="I757" s="71">
        <f t="shared" si="76"/>
        <v>0.28993250064048492</v>
      </c>
      <c r="L757" s="74"/>
      <c r="M757" s="74"/>
      <c r="N757" s="74"/>
      <c r="O757" s="74"/>
      <c r="P757" s="74"/>
      <c r="Q757" s="74"/>
      <c r="R757" s="74"/>
      <c r="S757" s="74"/>
      <c r="T757" s="74"/>
      <c r="U757" s="74"/>
      <c r="V757" s="74"/>
      <c r="W757" s="74"/>
      <c r="X757" s="74"/>
      <c r="Y757" s="74"/>
      <c r="Z757" s="74"/>
    </row>
    <row r="758" spans="1:26" x14ac:dyDescent="0.3">
      <c r="A758" s="66">
        <f t="shared" si="74"/>
        <v>2065.0999999999317</v>
      </c>
      <c r="B758" s="67">
        <f>LOOKUP(A758+0.01,AmountsB!$A$4:$A$103,AmountsB!$B$4:$B$103)*0.1*$A$2</f>
        <v>0</v>
      </c>
      <c r="C758" s="68">
        <f t="shared" si="73"/>
        <v>1538495.7946267016</v>
      </c>
      <c r="D758" s="67">
        <f t="array" ref="D758">SUM($B$7:$B753*$F$1009*EXP(-$F$1009*($A758-$A$7:$A753)))*$F$1010</f>
        <v>52658888.716996707</v>
      </c>
      <c r="E758" s="67">
        <f t="shared" si="71"/>
        <v>100.38952260905228</v>
      </c>
      <c r="F758" s="70">
        <f t="shared" si="75"/>
        <v>6.0956518128216546</v>
      </c>
      <c r="G758" s="67">
        <f>E758/'Lookup Tables'!$C$48</f>
        <v>200.77904521810456</v>
      </c>
      <c r="H758" s="70">
        <f t="shared" si="72"/>
        <v>3.4296312845054369E-2</v>
      </c>
      <c r="I758" s="71">
        <f t="shared" si="76"/>
        <v>0.28912182511407053</v>
      </c>
      <c r="L758" s="74"/>
      <c r="M758" s="74"/>
      <c r="N758" s="74"/>
      <c r="O758" s="74"/>
      <c r="P758" s="74"/>
      <c r="Q758" s="74"/>
      <c r="R758" s="74"/>
      <c r="S758" s="74"/>
      <c r="T758" s="74"/>
      <c r="U758" s="74"/>
      <c r="V758" s="74"/>
      <c r="W758" s="74"/>
      <c r="X758" s="74"/>
      <c r="Y758" s="74"/>
      <c r="Z758" s="74"/>
    </row>
    <row r="759" spans="1:26" x14ac:dyDescent="0.3">
      <c r="A759" s="66">
        <f t="shared" si="74"/>
        <v>2065.1999999999316</v>
      </c>
      <c r="B759" s="67">
        <f>LOOKUP(A759+0.01,AmountsB!$A$4:$A$103,AmountsB!$B$4:$B$103)*0.1*$A$2</f>
        <v>0</v>
      </c>
      <c r="C759" s="68">
        <f t="shared" si="73"/>
        <v>1538495.7946267016</v>
      </c>
      <c r="D759" s="67">
        <f t="array" ref="D759">SUM($B$7:$B754*$F$1009*EXP(-$F$1009*($A759-$A$7:$A754)))*$F$1010</f>
        <v>52511650.058906496</v>
      </c>
      <c r="E759" s="67">
        <f t="shared" si="71"/>
        <v>100.10882510564099</v>
      </c>
      <c r="F759" s="70">
        <f t="shared" si="75"/>
        <v>6.0786078604145208</v>
      </c>
      <c r="G759" s="67">
        <f>E759/'Lookup Tables'!$C$48</f>
        <v>200.21765021128198</v>
      </c>
      <c r="H759" s="70">
        <f t="shared" si="72"/>
        <v>3.4200417485243668E-2</v>
      </c>
      <c r="I759" s="71">
        <f t="shared" si="76"/>
        <v>0.28831341630424606</v>
      </c>
      <c r="L759" s="74"/>
      <c r="M759" s="74"/>
      <c r="N759" s="74"/>
      <c r="O759" s="74"/>
      <c r="P759" s="74"/>
      <c r="Q759" s="74"/>
      <c r="R759" s="74"/>
      <c r="S759" s="74"/>
      <c r="T759" s="74"/>
      <c r="U759" s="74"/>
      <c r="V759" s="74"/>
      <c r="W759" s="74"/>
      <c r="X759" s="74"/>
      <c r="Y759" s="74"/>
      <c r="Z759" s="74"/>
    </row>
    <row r="760" spans="1:26" x14ac:dyDescent="0.3">
      <c r="A760" s="66">
        <f t="shared" si="74"/>
        <v>2065.2999999999315</v>
      </c>
      <c r="B760" s="67">
        <f>LOOKUP(A760+0.01,AmountsB!$A$4:$A$103,AmountsB!$B$4:$B$103)*0.1*$A$2</f>
        <v>0</v>
      </c>
      <c r="C760" s="68">
        <f t="shared" si="73"/>
        <v>1538495.7946267016</v>
      </c>
      <c r="D760" s="67">
        <f t="array" ref="D760">SUM($B$7:$B755*$F$1009*EXP(-$F$1009*($A760-$A$7:$A755)))*$F$1010</f>
        <v>52364823.092421725</v>
      </c>
      <c r="E760" s="67">
        <f t="shared" si="71"/>
        <v>99.828912455931317</v>
      </c>
      <c r="F760" s="70">
        <f t="shared" si="75"/>
        <v>6.0616115643241502</v>
      </c>
      <c r="G760" s="67">
        <f>E760/'Lookup Tables'!$C$48</f>
        <v>199.65782491186263</v>
      </c>
      <c r="H760" s="70">
        <f t="shared" si="72"/>
        <v>3.4104790256881241E-2</v>
      </c>
      <c r="I760" s="71">
        <f t="shared" si="76"/>
        <v>0.28750726787308217</v>
      </c>
      <c r="L760" s="74"/>
      <c r="M760" s="74"/>
      <c r="N760" s="74"/>
      <c r="O760" s="74"/>
      <c r="P760" s="74"/>
      <c r="Q760" s="74"/>
      <c r="R760" s="74"/>
      <c r="S760" s="74"/>
      <c r="T760" s="74"/>
      <c r="U760" s="74"/>
      <c r="V760" s="74"/>
      <c r="W760" s="74"/>
      <c r="X760" s="74"/>
      <c r="Y760" s="74"/>
      <c r="Z760" s="74"/>
    </row>
    <row r="761" spans="1:26" x14ac:dyDescent="0.3">
      <c r="A761" s="66">
        <f t="shared" si="74"/>
        <v>2065.3999999999314</v>
      </c>
      <c r="B761" s="67">
        <f>LOOKUP(A761+0.01,AmountsB!$A$4:$A$103,AmountsB!$B$4:$B$103)*0.1*$A$2</f>
        <v>0</v>
      </c>
      <c r="C761" s="68">
        <f t="shared" si="73"/>
        <v>1538495.7946267016</v>
      </c>
      <c r="D761" s="67">
        <f t="array" ref="D761">SUM($B$7:$B756*$F$1009*EXP(-$F$1009*($A761-$A$7:$A756)))*$F$1010</f>
        <v>52218406.666418217</v>
      </c>
      <c r="E761" s="67">
        <f t="shared" si="71"/>
        <v>99.549782465406622</v>
      </c>
      <c r="F761" s="70">
        <f t="shared" si="75"/>
        <v>6.0446627912994906</v>
      </c>
      <c r="G761" s="67">
        <f>E761/'Lookup Tables'!$C$48</f>
        <v>199.09956493081324</v>
      </c>
      <c r="H761" s="70">
        <f t="shared" si="72"/>
        <v>3.4009430410249113E-2</v>
      </c>
      <c r="I761" s="71">
        <f t="shared" si="76"/>
        <v>0.28670337350037106</v>
      </c>
      <c r="L761" s="74"/>
      <c r="M761" s="74"/>
      <c r="N761" s="74"/>
      <c r="O761" s="74"/>
      <c r="P761" s="74"/>
      <c r="Q761" s="74"/>
      <c r="R761" s="74"/>
      <c r="S761" s="74"/>
      <c r="T761" s="74"/>
      <c r="U761" s="74"/>
      <c r="V761" s="74"/>
      <c r="W761" s="74"/>
      <c r="X761" s="74"/>
      <c r="Y761" s="74"/>
      <c r="Z761" s="74"/>
    </row>
    <row r="762" spans="1:26" x14ac:dyDescent="0.3">
      <c r="A762" s="66">
        <f t="shared" si="74"/>
        <v>2065.4999999999313</v>
      </c>
      <c r="B762" s="67">
        <f>LOOKUP(A762+0.01,AmountsB!$A$4:$A$103,AmountsB!$B$4:$B$103)*0.1*$A$2</f>
        <v>0</v>
      </c>
      <c r="C762" s="68">
        <f t="shared" si="73"/>
        <v>1538495.7946267016</v>
      </c>
      <c r="D762" s="67">
        <f t="array" ref="D762">SUM($B$7:$B757*$F$1009*EXP(-$F$1009*($A762-$A$7:$A757)))*$F$1010</f>
        <v>52072399.63299042</v>
      </c>
      <c r="E762" s="67">
        <f t="shared" si="71"/>
        <v>99.271432945686328</v>
      </c>
      <c r="F762" s="70">
        <f t="shared" si="75"/>
        <v>6.0277614084620748</v>
      </c>
      <c r="G762" s="67">
        <f>E762/'Lookup Tables'!$C$48</f>
        <v>198.54286589137266</v>
      </c>
      <c r="H762" s="70">
        <f t="shared" si="72"/>
        <v>3.3914337197725596E-2</v>
      </c>
      <c r="I762" s="71">
        <f t="shared" si="76"/>
        <v>0.28590172688357668</v>
      </c>
      <c r="L762" s="74"/>
      <c r="M762" s="74"/>
      <c r="N762" s="74"/>
      <c r="O762" s="74"/>
      <c r="P762" s="74"/>
      <c r="Q762" s="74"/>
      <c r="R762" s="74"/>
      <c r="S762" s="74"/>
      <c r="T762" s="74"/>
      <c r="U762" s="74"/>
      <c r="V762" s="74"/>
      <c r="W762" s="74"/>
      <c r="X762" s="74"/>
      <c r="Y762" s="74"/>
      <c r="Z762" s="74"/>
    </row>
    <row r="763" spans="1:26" x14ac:dyDescent="0.3">
      <c r="A763" s="66">
        <f t="shared" si="74"/>
        <v>2065.5999999999312</v>
      </c>
      <c r="B763" s="67">
        <f>LOOKUP(A763+0.01,AmountsB!$A$4:$A$103,AmountsB!$B$4:$B$103)*0.1*$A$2</f>
        <v>0</v>
      </c>
      <c r="C763" s="68">
        <f t="shared" si="73"/>
        <v>1538495.7946267016</v>
      </c>
      <c r="D763" s="67">
        <f t="array" ref="D763">SUM($B$7:$B758*$F$1009*EXP(-$F$1009*($A763-$A$7:$A758)))*$F$1010</f>
        <v>51926800.847442463</v>
      </c>
      <c r="E763" s="67">
        <f t="shared" si="71"/>
        <v>98.99386171450881</v>
      </c>
      <c r="F763" s="70">
        <f t="shared" si="75"/>
        <v>6.0109072833049755</v>
      </c>
      <c r="G763" s="67">
        <f>E763/'Lookup Tables'!$C$48</f>
        <v>197.98772342901762</v>
      </c>
      <c r="H763" s="70">
        <f t="shared" si="72"/>
        <v>3.3819509873779408E-2</v>
      </c>
      <c r="I763" s="71">
        <f t="shared" si="76"/>
        <v>0.28510232173778538</v>
      </c>
      <c r="L763" s="74"/>
      <c r="M763" s="74"/>
      <c r="N763" s="74"/>
      <c r="O763" s="74"/>
      <c r="P763" s="74"/>
      <c r="Q763" s="74"/>
      <c r="R763" s="74"/>
      <c r="S763" s="74"/>
      <c r="T763" s="74"/>
      <c r="U763" s="74"/>
      <c r="V763" s="74"/>
      <c r="W763" s="74"/>
      <c r="X763" s="74"/>
      <c r="Y763" s="74"/>
      <c r="Z763" s="74"/>
    </row>
    <row r="764" spans="1:26" x14ac:dyDescent="0.3">
      <c r="A764" s="66">
        <f t="shared" si="74"/>
        <v>2065.6999999999312</v>
      </c>
      <c r="B764" s="67">
        <f>LOOKUP(A764+0.01,AmountsB!$A$4:$A$103,AmountsB!$B$4:$B$103)*0.1*$A$2</f>
        <v>0</v>
      </c>
      <c r="C764" s="68">
        <f t="shared" si="73"/>
        <v>1538495.7946267016</v>
      </c>
      <c r="D764" s="67">
        <f t="array" ref="D764">SUM($B$7:$B759*$F$1009*EXP(-$F$1009*($A764-$A$7:$A759)))*$F$1010</f>
        <v>51781609.168279134</v>
      </c>
      <c r="E764" s="67">
        <f t="shared" si="71"/>
        <v>98.717066595714186</v>
      </c>
      <c r="F764" s="70">
        <f t="shared" si="75"/>
        <v>5.9941002836917656</v>
      </c>
      <c r="G764" s="67">
        <f>E764/'Lookup Tables'!$C$48</f>
        <v>197.43413319142837</v>
      </c>
      <c r="H764" s="70">
        <f t="shared" si="72"/>
        <v>3.3724947694963862E-2</v>
      </c>
      <c r="I764" s="71">
        <f t="shared" si="76"/>
        <v>0.28430515179565691</v>
      </c>
      <c r="L764" s="74"/>
      <c r="M764" s="74"/>
      <c r="N764" s="74"/>
      <c r="O764" s="74"/>
      <c r="P764" s="74"/>
      <c r="Q764" s="74"/>
      <c r="R764" s="74"/>
      <c r="S764" s="74"/>
      <c r="T764" s="74"/>
      <c r="U764" s="74"/>
      <c r="V764" s="74"/>
      <c r="W764" s="74"/>
      <c r="X764" s="74"/>
      <c r="Y764" s="74"/>
      <c r="Z764" s="74"/>
    </row>
    <row r="765" spans="1:26" x14ac:dyDescent="0.3">
      <c r="A765" s="66">
        <f t="shared" si="74"/>
        <v>2065.7999999999311</v>
      </c>
      <c r="B765" s="67">
        <f>LOOKUP(A765+0.01,AmountsB!$A$4:$A$103,AmountsB!$B$4:$B$103)*0.1*$A$2</f>
        <v>0</v>
      </c>
      <c r="C765" s="68">
        <f t="shared" si="73"/>
        <v>1538495.7946267016</v>
      </c>
      <c r="D765" s="67">
        <f t="array" ref="D765">SUM($B$7:$B760*$F$1009*EXP(-$F$1009*($A765-$A$7:$A760)))*$F$1010</f>
        <v>51636823.457196914</v>
      </c>
      <c r="E765" s="67">
        <f t="shared" si="71"/>
        <v>98.441045419227322</v>
      </c>
      <c r="F765" s="70">
        <f t="shared" si="75"/>
        <v>5.9773402778554825</v>
      </c>
      <c r="G765" s="67">
        <f>E765/'Lookup Tables'!$C$48</f>
        <v>196.88209083845464</v>
      </c>
      <c r="H765" s="70">
        <f t="shared" si="72"/>
        <v>3.3630649919910993E-2</v>
      </c>
      <c r="I765" s="71">
        <f t="shared" si="76"/>
        <v>0.28351021080737465</v>
      </c>
      <c r="L765" s="74"/>
      <c r="M765" s="74"/>
      <c r="N765" s="74"/>
      <c r="O765" s="74"/>
      <c r="P765" s="74"/>
      <c r="Q765" s="74"/>
      <c r="R765" s="74"/>
      <c r="S765" s="74"/>
      <c r="T765" s="74"/>
      <c r="U765" s="74"/>
      <c r="V765" s="74"/>
      <c r="W765" s="74"/>
      <c r="X765" s="74"/>
      <c r="Y765" s="74"/>
      <c r="Z765" s="74"/>
    </row>
    <row r="766" spans="1:26" x14ac:dyDescent="0.3">
      <c r="A766" s="66">
        <f t="shared" si="74"/>
        <v>2065.899999999931</v>
      </c>
      <c r="B766" s="67">
        <f>LOOKUP(A766+0.01,AmountsB!$A$4:$A$103,AmountsB!$B$4:$B$103)*0.1*$A$2</f>
        <v>0</v>
      </c>
      <c r="C766" s="68">
        <f t="shared" si="73"/>
        <v>1538495.7946267016</v>
      </c>
      <c r="D766" s="67">
        <f t="array" ref="D766">SUM($B$7:$B761*$F$1009*EXP(-$F$1009*($A766-$A$7:$A761)))*$F$1010</f>
        <v>51492442.579075091</v>
      </c>
      <c r="E766" s="67">
        <f t="shared" si="71"/>
        <v>98.165796021040777</v>
      </c>
      <c r="F766" s="70">
        <f t="shared" si="75"/>
        <v>5.9606271343975958</v>
      </c>
      <c r="G766" s="67">
        <f>E766/'Lookup Tables'!$C$48</f>
        <v>196.33159204208155</v>
      </c>
      <c r="H766" s="70">
        <f t="shared" si="72"/>
        <v>3.3536615809325758E-2</v>
      </c>
      <c r="I766" s="71">
        <f t="shared" si="76"/>
        <v>0.28271749254059747</v>
      </c>
      <c r="L766" s="74"/>
      <c r="M766" s="74"/>
      <c r="N766" s="74"/>
      <c r="O766" s="74"/>
      <c r="P766" s="74"/>
      <c r="Q766" s="74"/>
      <c r="R766" s="74"/>
      <c r="S766" s="74"/>
      <c r="T766" s="74"/>
      <c r="U766" s="74"/>
      <c r="V766" s="74"/>
      <c r="W766" s="74"/>
      <c r="X766" s="74"/>
      <c r="Y766" s="74"/>
      <c r="Z766" s="74"/>
    </row>
    <row r="767" spans="1:26" x14ac:dyDescent="0.3">
      <c r="A767" s="66">
        <f t="shared" si="74"/>
        <v>2065.9999999999309</v>
      </c>
      <c r="B767" s="67">
        <f>LOOKUP(A767+0.01,AmountsB!$A$4:$A$103,AmountsB!$B$4:$B$103)*0.1*$A$2</f>
        <v>0</v>
      </c>
      <c r="C767" s="68">
        <f t="shared" si="73"/>
        <v>1538495.7946267016</v>
      </c>
      <c r="D767" s="67">
        <f t="array" ref="D767">SUM($B$7:$B762*$F$1009*EXP(-$F$1009*($A767-$A$7:$A762)))*$F$1010</f>
        <v>51348465.401966825</v>
      </c>
      <c r="E767" s="67">
        <f t="shared" si="71"/>
        <v>97.891316243197835</v>
      </c>
      <c r="F767" s="70">
        <f t="shared" si="75"/>
        <v>5.9439607222869721</v>
      </c>
      <c r="G767" s="67">
        <f>E767/'Lookup Tables'!$C$48</f>
        <v>195.78263248639567</v>
      </c>
      <c r="H767" s="70">
        <f t="shared" si="72"/>
        <v>3.3442844625980239E-2</v>
      </c>
      <c r="I767" s="71">
        <f t="shared" si="76"/>
        <v>0.28192699078040978</v>
      </c>
      <c r="L767" s="74"/>
      <c r="M767" s="74"/>
      <c r="N767" s="74"/>
      <c r="O767" s="74"/>
      <c r="P767" s="74"/>
      <c r="Q767" s="74"/>
      <c r="R767" s="74"/>
      <c r="S767" s="74"/>
      <c r="T767" s="74"/>
      <c r="U767" s="74"/>
      <c r="V767" s="74"/>
      <c r="W767" s="74"/>
      <c r="X767" s="74"/>
      <c r="Y767" s="74"/>
      <c r="Z767" s="74"/>
    </row>
    <row r="768" spans="1:26" x14ac:dyDescent="0.3">
      <c r="A768" s="66">
        <f t="shared" si="74"/>
        <v>2066.0999999999308</v>
      </c>
      <c r="B768" s="67">
        <f>LOOKUP(A768+0.01,AmountsB!$A$4:$A$103,AmountsB!$B$4:$B$103)*0.1*$A$2</f>
        <v>0</v>
      </c>
      <c r="C768" s="68">
        <f t="shared" si="73"/>
        <v>1538495.7946267016</v>
      </c>
      <c r="D768" s="67">
        <f t="array" ref="D768">SUM($B$7:$B763*$F$1009*EXP(-$F$1009*($A768-$A$7:$A763)))*$F$1010</f>
        <v>51204890.797090352</v>
      </c>
      <c r="E768" s="67">
        <f t="shared" si="71"/>
        <v>97.617603933775698</v>
      </c>
      <c r="F768" s="70">
        <f t="shared" si="75"/>
        <v>5.9273409108588604</v>
      </c>
      <c r="G768" s="67">
        <f>E768/'Lookup Tables'!$C$48</f>
        <v>195.2352078675514</v>
      </c>
      <c r="H768" s="70">
        <f t="shared" si="72"/>
        <v>3.3349335634707898E-2</v>
      </c>
      <c r="I768" s="71">
        <f t="shared" si="76"/>
        <v>0.28113869932927399</v>
      </c>
      <c r="L768" s="74"/>
      <c r="M768" s="74"/>
      <c r="N768" s="74"/>
      <c r="O768" s="74"/>
      <c r="P768" s="74"/>
      <c r="Q768" s="74"/>
      <c r="R768" s="74"/>
      <c r="S768" s="74"/>
      <c r="T768" s="74"/>
      <c r="U768" s="74"/>
      <c r="V768" s="74"/>
      <c r="W768" s="74"/>
      <c r="X768" s="74"/>
      <c r="Y768" s="74"/>
      <c r="Z768" s="74"/>
    </row>
    <row r="769" spans="1:26" x14ac:dyDescent="0.3">
      <c r="A769" s="66">
        <f t="shared" si="74"/>
        <v>2066.1999999999307</v>
      </c>
      <c r="B769" s="67">
        <f>LOOKUP(A769+0.01,AmountsB!$A$4:$A$103,AmountsB!$B$4:$B$103)*0.1*$A$2</f>
        <v>0</v>
      </c>
      <c r="C769" s="68">
        <f t="shared" si="73"/>
        <v>1538495.7946267016</v>
      </c>
      <c r="D769" s="67">
        <f t="array" ref="D769">SUM($B$7:$B764*$F$1009*EXP(-$F$1009*($A769-$A$7:$A764)))*$F$1010</f>
        <v>51061717.638819993</v>
      </c>
      <c r="E769" s="67">
        <f t="shared" si="71"/>
        <v>97.344656946868398</v>
      </c>
      <c r="F769" s="70">
        <f t="shared" si="75"/>
        <v>5.9107675698138493</v>
      </c>
      <c r="G769" s="67">
        <f>E769/'Lookup Tables'!$C$48</f>
        <v>194.6893138937368</v>
      </c>
      <c r="H769" s="70">
        <f t="shared" si="72"/>
        <v>3.3256088102397753E-2</v>
      </c>
      <c r="I769" s="71">
        <f t="shared" si="76"/>
        <v>0.28035261200698097</v>
      </c>
      <c r="L769" s="74"/>
      <c r="M769" s="74"/>
      <c r="N769" s="74"/>
      <c r="O769" s="74"/>
      <c r="P769" s="74"/>
      <c r="Q769" s="74"/>
      <c r="R769" s="74"/>
      <c r="S769" s="74"/>
      <c r="T769" s="74"/>
      <c r="U769" s="74"/>
      <c r="V769" s="74"/>
      <c r="W769" s="74"/>
      <c r="X769" s="74"/>
      <c r="Y769" s="74"/>
      <c r="Z769" s="74"/>
    </row>
    <row r="770" spans="1:26" x14ac:dyDescent="0.3">
      <c r="A770" s="66">
        <f t="shared" si="74"/>
        <v>2066.2999999999306</v>
      </c>
      <c r="B770" s="67">
        <f>LOOKUP(A770+0.01,AmountsB!$A$4:$A$103,AmountsB!$B$4:$B$103)*0.1*$A$2</f>
        <v>0</v>
      </c>
      <c r="C770" s="68">
        <f t="shared" si="73"/>
        <v>1538495.7946267016</v>
      </c>
      <c r="D770" s="67">
        <f t="array" ref="D770">SUM($B$7:$B765*$F$1009*EXP(-$F$1009*($A770-$A$7:$A765)))*$F$1010</f>
        <v>50918944.804677457</v>
      </c>
      <c r="E770" s="67">
        <f t="shared" si="71"/>
        <v>97.072473142570132</v>
      </c>
      <c r="F770" s="70">
        <f t="shared" si="75"/>
        <v>5.8942405692168585</v>
      </c>
      <c r="G770" s="67">
        <f>E770/'Lookup Tables'!$C$48</f>
        <v>194.14494628514026</v>
      </c>
      <c r="H770" s="70">
        <f t="shared" si="72"/>
        <v>3.3163101297988662E-2</v>
      </c>
      <c r="I770" s="71">
        <f t="shared" si="76"/>
        <v>0.27956872265060201</v>
      </c>
      <c r="L770" s="74"/>
      <c r="M770" s="74"/>
      <c r="N770" s="74"/>
      <c r="O770" s="74"/>
      <c r="P770" s="74"/>
      <c r="Q770" s="74"/>
      <c r="R770" s="74"/>
      <c r="S770" s="74"/>
      <c r="T770" s="74"/>
      <c r="U770" s="74"/>
      <c r="V770" s="74"/>
      <c r="W770" s="74"/>
      <c r="X770" s="74"/>
      <c r="Y770" s="74"/>
      <c r="Z770" s="74"/>
    </row>
    <row r="771" spans="1:26" x14ac:dyDescent="0.3">
      <c r="A771" s="66">
        <f t="shared" si="74"/>
        <v>2066.3999999999305</v>
      </c>
      <c r="B771" s="67">
        <f>LOOKUP(A771+0.01,AmountsB!$A$4:$A$103,AmountsB!$B$4:$B$103)*0.1*$A$2</f>
        <v>0</v>
      </c>
      <c r="C771" s="68">
        <f t="shared" si="73"/>
        <v>1538495.7946267016</v>
      </c>
      <c r="D771" s="67">
        <f t="array" ref="D771">SUM($B$7:$B766*$F$1009*EXP(-$F$1009*($A771-$A$7:$A766)))*$F$1010</f>
        <v>50776571.175323002</v>
      </c>
      <c r="E771" s="67">
        <f t="shared" si="71"/>
        <v>96.801050386958536</v>
      </c>
      <c r="F771" s="70">
        <f t="shared" si="75"/>
        <v>5.8777597794961221</v>
      </c>
      <c r="G771" s="67">
        <f>E771/'Lookup Tables'!$C$48</f>
        <v>193.60210077391707</v>
      </c>
      <c r="H771" s="70">
        <f t="shared" si="72"/>
        <v>3.3070374492463611E-2</v>
      </c>
      <c r="I771" s="71">
        <f t="shared" si="76"/>
        <v>0.27878702511444059</v>
      </c>
      <c r="L771" s="74"/>
      <c r="M771" s="74"/>
      <c r="N771" s="74"/>
      <c r="O771" s="74"/>
      <c r="P771" s="74"/>
      <c r="Q771" s="74"/>
      <c r="R771" s="74"/>
      <c r="S771" s="74"/>
      <c r="T771" s="74"/>
      <c r="U771" s="74"/>
      <c r="V771" s="74"/>
      <c r="W771" s="74"/>
      <c r="X771" s="74"/>
      <c r="Y771" s="74"/>
      <c r="Z771" s="74"/>
    </row>
    <row r="772" spans="1:26" x14ac:dyDescent="0.3">
      <c r="A772" s="66">
        <f t="shared" si="74"/>
        <v>2066.4999999999304</v>
      </c>
      <c r="B772" s="67">
        <f>LOOKUP(A772+0.01,AmountsB!$A$4:$A$103,AmountsB!$B$4:$B$103)*0.1*$A$2</f>
        <v>0</v>
      </c>
      <c r="C772" s="68">
        <f t="shared" si="73"/>
        <v>1538495.7946267016</v>
      </c>
      <c r="D772" s="67">
        <f t="array" ref="D772">SUM($B$7:$B767*$F$1009*EXP(-$F$1009*($A772-$A$7:$A767)))*$F$1010</f>
        <v>50634595.63454666</v>
      </c>
      <c r="E772" s="67">
        <f t="shared" si="71"/>
        <v>96.530386552077815</v>
      </c>
      <c r="F772" s="70">
        <f t="shared" si="75"/>
        <v>5.861325071442165</v>
      </c>
      <c r="G772" s="67">
        <f>E772/'Lookup Tables'!$C$48</f>
        <v>193.06077310415563</v>
      </c>
      <c r="H772" s="70">
        <f t="shared" si="72"/>
        <v>3.2977906958843978E-2</v>
      </c>
      <c r="I772" s="71">
        <f t="shared" si="76"/>
        <v>0.27800751326998413</v>
      </c>
      <c r="L772" s="74"/>
      <c r="M772" s="74"/>
      <c r="N772" s="74"/>
      <c r="O772" s="74"/>
      <c r="P772" s="74"/>
      <c r="Q772" s="74"/>
      <c r="R772" s="74"/>
      <c r="S772" s="74"/>
      <c r="T772" s="74"/>
      <c r="U772" s="74"/>
      <c r="V772" s="74"/>
      <c r="W772" s="74"/>
      <c r="X772" s="74"/>
      <c r="Y772" s="74"/>
      <c r="Z772" s="74"/>
    </row>
    <row r="773" spans="1:26" x14ac:dyDescent="0.3">
      <c r="A773" s="66">
        <f t="shared" si="74"/>
        <v>2066.5999999999303</v>
      </c>
      <c r="B773" s="67">
        <f>LOOKUP(A773+0.01,AmountsB!$A$4:$A$103,AmountsB!$B$4:$B$103)*0.1*$A$2</f>
        <v>0</v>
      </c>
      <c r="C773" s="68">
        <f t="shared" si="73"/>
        <v>1538495.7946267016</v>
      </c>
      <c r="D773" s="67">
        <f t="array" ref="D773">SUM($B$7:$B768*$F$1009*EXP(-$F$1009*($A773-$A$7:$A768)))*$F$1010</f>
        <v>50493017.069259442</v>
      </c>
      <c r="E773" s="67">
        <f t="shared" si="71"/>
        <v>96.260479515922114</v>
      </c>
      <c r="F773" s="70">
        <f t="shared" si="75"/>
        <v>5.8449363162067911</v>
      </c>
      <c r="G773" s="67">
        <f>E773/'Lookup Tables'!$C$48</f>
        <v>192.52095903184423</v>
      </c>
      <c r="H773" s="70">
        <f t="shared" si="72"/>
        <v>3.2885697972183825E-2</v>
      </c>
      <c r="I773" s="71">
        <f t="shared" si="76"/>
        <v>0.27723018100585567</v>
      </c>
      <c r="L773" s="74"/>
      <c r="M773" s="74"/>
      <c r="N773" s="74"/>
      <c r="O773" s="74"/>
      <c r="P773" s="74"/>
      <c r="Q773" s="74"/>
      <c r="R773" s="74"/>
      <c r="S773" s="74"/>
      <c r="T773" s="74"/>
      <c r="U773" s="74"/>
      <c r="V773" s="74"/>
      <c r="W773" s="74"/>
      <c r="X773" s="74"/>
      <c r="Y773" s="74"/>
      <c r="Z773" s="74"/>
    </row>
    <row r="774" spans="1:26" x14ac:dyDescent="0.3">
      <c r="A774" s="66">
        <f t="shared" si="74"/>
        <v>2066.6999999999302</v>
      </c>
      <c r="B774" s="67">
        <f>LOOKUP(A774+0.01,AmountsB!$A$4:$A$103,AmountsB!$B$4:$B$103)*0.1*$A$2</f>
        <v>0</v>
      </c>
      <c r="C774" s="68">
        <f t="shared" si="73"/>
        <v>1538495.7946267016</v>
      </c>
      <c r="D774" s="67">
        <f t="array" ref="D774">SUM($B$7:$B769*$F$1009*EXP(-$F$1009*($A774-$A$7:$A769)))*$F$1010</f>
        <v>50351834.3694847</v>
      </c>
      <c r="E774" s="67">
        <f t="shared" si="71"/>
        <v>95.991327162418898</v>
      </c>
      <c r="F774" s="70">
        <f t="shared" si="75"/>
        <v>5.8285933853020753</v>
      </c>
      <c r="G774" s="67">
        <f>E774/'Lookup Tables'!$C$48</f>
        <v>191.9826543248378</v>
      </c>
      <c r="H774" s="70">
        <f t="shared" si="72"/>
        <v>3.2793746809564227E-2</v>
      </c>
      <c r="I774" s="71">
        <f t="shared" si="76"/>
        <v>0.27645502222776647</v>
      </c>
      <c r="L774" s="74"/>
      <c r="M774" s="74"/>
      <c r="N774" s="74"/>
      <c r="O774" s="74"/>
      <c r="P774" s="74"/>
      <c r="Q774" s="74"/>
      <c r="R774" s="74"/>
      <c r="S774" s="74"/>
      <c r="T774" s="74"/>
      <c r="U774" s="74"/>
      <c r="V774" s="74"/>
      <c r="W774" s="74"/>
      <c r="X774" s="74"/>
      <c r="Y774" s="74"/>
      <c r="Z774" s="74"/>
    </row>
    <row r="775" spans="1:26" x14ac:dyDescent="0.3">
      <c r="A775" s="66">
        <f t="shared" si="74"/>
        <v>2066.7999999999302</v>
      </c>
      <c r="B775" s="67">
        <f>LOOKUP(A775+0.01,AmountsB!$A$4:$A$103,AmountsB!$B$4:$B$103)*0.1*$A$2</f>
        <v>0</v>
      </c>
      <c r="C775" s="68">
        <f t="shared" si="73"/>
        <v>1538495.7946267016</v>
      </c>
      <c r="D775" s="67">
        <f t="array" ref="D775">SUM($B$7:$B770*$F$1009*EXP(-$F$1009*($A775-$A$7:$A770)))*$F$1010</f>
        <v>50211046.428349309</v>
      </c>
      <c r="E775" s="67">
        <f t="shared" ref="E775:E838" si="77">D775/(365*24*60)*1.00201</f>
        <v>95.722927381412291</v>
      </c>
      <c r="F775" s="70">
        <f t="shared" si="75"/>
        <v>5.8122961505993542</v>
      </c>
      <c r="G775" s="67">
        <f>E775/'Lookup Tables'!$C$48</f>
        <v>191.44585476282458</v>
      </c>
      <c r="H775" s="70">
        <f t="shared" ref="H775:H838" si="78">G775*60*24*365/(C775*2000)</f>
        <v>3.2702052750087578E-2</v>
      </c>
      <c r="I775" s="71">
        <f t="shared" si="76"/>
        <v>0.27568203085846738</v>
      </c>
      <c r="L775" s="74"/>
      <c r="M775" s="74"/>
      <c r="N775" s="74"/>
      <c r="O775" s="74"/>
      <c r="P775" s="74"/>
      <c r="Q775" s="74"/>
      <c r="R775" s="74"/>
      <c r="S775" s="74"/>
      <c r="T775" s="74"/>
      <c r="U775" s="74"/>
      <c r="V775" s="74"/>
      <c r="W775" s="74"/>
      <c r="X775" s="74"/>
      <c r="Y775" s="74"/>
      <c r="Z775" s="74"/>
    </row>
    <row r="776" spans="1:26" x14ac:dyDescent="0.3">
      <c r="A776" s="66">
        <f t="shared" si="74"/>
        <v>2066.8999999999301</v>
      </c>
      <c r="B776" s="67">
        <f>LOOKUP(A776+0.01,AmountsB!$A$4:$A$103,AmountsB!$B$4:$B$103)*0.1*$A$2</f>
        <v>0</v>
      </c>
      <c r="C776" s="68">
        <f t="shared" si="73"/>
        <v>1538495.7946267016</v>
      </c>
      <c r="D776" s="67">
        <f t="array" ref="D776">SUM($B$7:$B771*$F$1009*EXP(-$F$1009*($A776-$A$7:$A771)))*$F$1010</f>
        <v>50070652.142075084</v>
      </c>
      <c r="E776" s="67">
        <f t="shared" si="77"/>
        <v>95.455278068646606</v>
      </c>
      <c r="F776" s="70">
        <f t="shared" si="75"/>
        <v>5.7960444843282222</v>
      </c>
      <c r="G776" s="67">
        <f>E776/'Lookup Tables'!$C$48</f>
        <v>190.91055613729321</v>
      </c>
      <c r="H776" s="70">
        <f t="shared" si="78"/>
        <v>3.2610615074871979E-2</v>
      </c>
      <c r="I776" s="71">
        <f t="shared" si="76"/>
        <v>0.27491120083770226</v>
      </c>
      <c r="L776" s="74"/>
      <c r="M776" s="74"/>
      <c r="N776" s="74"/>
      <c r="O776" s="74"/>
      <c r="P776" s="74"/>
      <c r="Q776" s="74"/>
      <c r="R776" s="74"/>
      <c r="S776" s="74"/>
      <c r="T776" s="74"/>
      <c r="U776" s="74"/>
      <c r="V776" s="74"/>
      <c r="W776" s="74"/>
      <c r="X776" s="74"/>
      <c r="Y776" s="74"/>
      <c r="Z776" s="74"/>
    </row>
    <row r="777" spans="1:26" x14ac:dyDescent="0.3">
      <c r="A777" s="66">
        <f t="shared" si="74"/>
        <v>2066.99999999993</v>
      </c>
      <c r="B777" s="67">
        <f>LOOKUP(A777+0.01,AmountsB!$A$4:$A$103,AmountsB!$B$4:$B$103)*0.1*$A$2</f>
        <v>0</v>
      </c>
      <c r="C777" s="68">
        <f t="shared" ref="C777:C840" si="79">C776+B777</f>
        <v>1538495.7946267016</v>
      </c>
      <c r="D777" s="67">
        <f t="array" ref="D777">SUM($B$7:$B772*$F$1009*EXP(-$F$1009*($A777-$A$7:$A772)))*$F$1010</f>
        <v>49930650.40997012</v>
      </c>
      <c r="E777" s="67">
        <f t="shared" si="77"/>
        <v>95.188377125749938</v>
      </c>
      <c r="F777" s="70">
        <f t="shared" si="75"/>
        <v>5.7798382590755368</v>
      </c>
      <c r="G777" s="67">
        <f>E777/'Lookup Tables'!$C$48</f>
        <v>190.37675425149988</v>
      </c>
      <c r="H777" s="70">
        <f t="shared" si="78"/>
        <v>3.2519433067045612E-2</v>
      </c>
      <c r="I777" s="71">
        <f t="shared" si="76"/>
        <v>0.27414252612215984</v>
      </c>
      <c r="L777" s="74"/>
      <c r="M777" s="74"/>
      <c r="N777" s="74"/>
      <c r="O777" s="74"/>
      <c r="P777" s="74"/>
      <c r="Q777" s="74"/>
      <c r="R777" s="74"/>
      <c r="S777" s="74"/>
      <c r="T777" s="74"/>
      <c r="U777" s="74"/>
      <c r="V777" s="74"/>
      <c r="W777" s="74"/>
      <c r="X777" s="74"/>
      <c r="Y777" s="74"/>
      <c r="Z777" s="74"/>
    </row>
    <row r="778" spans="1:26" x14ac:dyDescent="0.3">
      <c r="A778" s="66">
        <f t="shared" si="74"/>
        <v>2067.0999999999299</v>
      </c>
      <c r="B778" s="67">
        <f>LOOKUP(A778+0.01,AmountsB!$A$4:$A$103,AmountsB!$B$4:$B$103)*0.1*$A$2</f>
        <v>0</v>
      </c>
      <c r="C778" s="68">
        <f t="shared" si="79"/>
        <v>1538495.7946267016</v>
      </c>
      <c r="D778" s="67">
        <f t="array" ref="D778">SUM($B$7:$B773*$F$1009*EXP(-$F$1009*($A778-$A$7:$A773)))*$F$1010</f>
        <v>49791040.134420134</v>
      </c>
      <c r="E778" s="67">
        <f t="shared" si="77"/>
        <v>94.922222460217512</v>
      </c>
      <c r="F778" s="70">
        <f t="shared" si="75"/>
        <v>5.7636773477844079</v>
      </c>
      <c r="G778" s="67">
        <f>E778/'Lookup Tables'!$C$48</f>
        <v>189.84444492043502</v>
      </c>
      <c r="H778" s="70">
        <f t="shared" si="78"/>
        <v>3.2428506011741062E-2</v>
      </c>
      <c r="I778" s="71">
        <f t="shared" si="76"/>
        <v>0.27337600068542645</v>
      </c>
      <c r="L778" s="74"/>
      <c r="M778" s="74"/>
      <c r="N778" s="74"/>
      <c r="O778" s="74"/>
      <c r="P778" s="74"/>
      <c r="Q778" s="74"/>
      <c r="R778" s="74"/>
      <c r="S778" s="74"/>
      <c r="T778" s="74"/>
      <c r="U778" s="74"/>
      <c r="V778" s="74"/>
      <c r="W778" s="74"/>
      <c r="X778" s="74"/>
      <c r="Y778" s="74"/>
      <c r="Z778" s="74"/>
    </row>
    <row r="779" spans="1:26" x14ac:dyDescent="0.3">
      <c r="A779" s="66">
        <f t="shared" si="74"/>
        <v>2067.1999999999298</v>
      </c>
      <c r="B779" s="67">
        <f>LOOKUP(A779+0.01,AmountsB!$A$4:$A$103,AmountsB!$B$4:$B$103)*0.1*$A$2</f>
        <v>0</v>
      </c>
      <c r="C779" s="68">
        <f t="shared" si="79"/>
        <v>1538495.7946267016</v>
      </c>
      <c r="D779" s="67">
        <f t="array" ref="D779">SUM($B$7:$B774*$F$1009*EXP(-$F$1009*($A779-$A$7:$A774)))*$F$1010</f>
        <v>49651820.220879838</v>
      </c>
      <c r="E779" s="67">
        <f t="shared" si="77"/>
        <v>94.656811985395379</v>
      </c>
      <c r="F779" s="70">
        <f t="shared" si="75"/>
        <v>5.7475616237532074</v>
      </c>
      <c r="G779" s="67">
        <f>E779/'Lookup Tables'!$C$48</f>
        <v>189.31362397079076</v>
      </c>
      <c r="H779" s="70">
        <f t="shared" si="78"/>
        <v>3.2337833196089738E-2</v>
      </c>
      <c r="I779" s="71">
        <f t="shared" si="76"/>
        <v>0.27261161851793869</v>
      </c>
      <c r="L779" s="74"/>
      <c r="M779" s="74"/>
      <c r="N779" s="74"/>
      <c r="O779" s="74"/>
      <c r="P779" s="74"/>
      <c r="Q779" s="74"/>
      <c r="R779" s="74"/>
      <c r="S779" s="74"/>
      <c r="T779" s="74"/>
      <c r="U779" s="74"/>
      <c r="V779" s="74"/>
      <c r="W779" s="74"/>
      <c r="X779" s="74"/>
      <c r="Y779" s="74"/>
      <c r="Z779" s="74"/>
    </row>
    <row r="780" spans="1:26" x14ac:dyDescent="0.3">
      <c r="A780" s="66">
        <f t="shared" si="74"/>
        <v>2067.2999999999297</v>
      </c>
      <c r="B780" s="67">
        <f>LOOKUP(A780+0.01,AmountsB!$A$4:$A$103,AmountsB!$B$4:$B$103)*0.1*$A$2</f>
        <v>0</v>
      </c>
      <c r="C780" s="68">
        <f t="shared" si="79"/>
        <v>1538495.7946267016</v>
      </c>
      <c r="D780" s="67">
        <f t="array" ref="D780">SUM($B$7:$B775*$F$1009*EXP(-$F$1009*($A780-$A$7:$A775)))*$F$1010</f>
        <v>49512989.577864394</v>
      </c>
      <c r="E780" s="67">
        <f t="shared" si="77"/>
        <v>94.39214362046404</v>
      </c>
      <c r="F780" s="70">
        <f t="shared" si="75"/>
        <v>5.7314909606345763</v>
      </c>
      <c r="G780" s="67">
        <f>E780/'Lookup Tables'!$C$48</f>
        <v>188.78428724092808</v>
      </c>
      <c r="H780" s="70">
        <f t="shared" si="78"/>
        <v>3.2247413909216309E-2</v>
      </c>
      <c r="I780" s="71">
        <f t="shared" si="76"/>
        <v>0.2718493736269364</v>
      </c>
      <c r="L780" s="74"/>
      <c r="M780" s="74"/>
      <c r="N780" s="74"/>
      <c r="O780" s="74"/>
      <c r="P780" s="74"/>
      <c r="Q780" s="74"/>
      <c r="R780" s="74"/>
      <c r="S780" s="74"/>
      <c r="T780" s="74"/>
      <c r="U780" s="74"/>
      <c r="V780" s="74"/>
      <c r="W780" s="74"/>
      <c r="X780" s="74"/>
      <c r="Y780" s="74"/>
      <c r="Z780" s="74"/>
    </row>
    <row r="781" spans="1:26" x14ac:dyDescent="0.3">
      <c r="A781" s="66">
        <f t="shared" si="74"/>
        <v>2067.3999999999296</v>
      </c>
      <c r="B781" s="67">
        <f>LOOKUP(A781+0.01,AmountsB!$A$4:$A$103,AmountsB!$B$4:$B$103)*0.1*$A$2</f>
        <v>0</v>
      </c>
      <c r="C781" s="68">
        <f t="shared" si="79"/>
        <v>1538495.7946267016</v>
      </c>
      <c r="D781" s="67">
        <f t="array" ref="D781">SUM($B$7:$B776*$F$1009*EXP(-$F$1009*($A781-$A$7:$A776)))*$F$1010</f>
        <v>49374547.116940863</v>
      </c>
      <c r="E781" s="67">
        <f t="shared" si="77"/>
        <v>94.128215290422219</v>
      </c>
      <c r="F781" s="70">
        <f t="shared" si="75"/>
        <v>5.715465232434437</v>
      </c>
      <c r="G781" s="67">
        <f>E781/'Lookup Tables'!$C$48</f>
        <v>188.25643058084444</v>
      </c>
      <c r="H781" s="70">
        <f t="shared" si="78"/>
        <v>3.2157247442233125E-2</v>
      </c>
      <c r="I781" s="71">
        <f t="shared" si="76"/>
        <v>0.27108926003641598</v>
      </c>
      <c r="L781" s="74"/>
      <c r="M781" s="74"/>
      <c r="N781" s="74"/>
      <c r="O781" s="74"/>
      <c r="P781" s="74"/>
      <c r="Q781" s="74"/>
      <c r="R781" s="74"/>
      <c r="S781" s="74"/>
      <c r="T781" s="74"/>
      <c r="U781" s="74"/>
      <c r="V781" s="74"/>
      <c r="W781" s="74"/>
      <c r="X781" s="74"/>
      <c r="Y781" s="74"/>
      <c r="Z781" s="74"/>
    </row>
    <row r="782" spans="1:26" x14ac:dyDescent="0.3">
      <c r="A782" s="66">
        <f t="shared" si="74"/>
        <v>2067.4999999999295</v>
      </c>
      <c r="B782" s="67">
        <f>LOOKUP(A782+0.01,AmountsB!$A$4:$A$103,AmountsB!$B$4:$B$103)*0.1*$A$2</f>
        <v>0</v>
      </c>
      <c r="C782" s="68">
        <f t="shared" si="79"/>
        <v>1538495.7946267016</v>
      </c>
      <c r="D782" s="67">
        <f t="array" ref="D782">SUM($B$7:$B777*$F$1009*EXP(-$F$1009*($A782-$A$7:$A777)))*$F$1010</f>
        <v>49236491.752719611</v>
      </c>
      <c r="E782" s="67">
        <f t="shared" si="77"/>
        <v>93.865024926070362</v>
      </c>
      <c r="F782" s="70">
        <f t="shared" si="75"/>
        <v>5.6994843135109923</v>
      </c>
      <c r="G782" s="67">
        <f>E782/'Lookup Tables'!$C$48</f>
        <v>187.73004985214072</v>
      </c>
      <c r="H782" s="70">
        <f t="shared" si="78"/>
        <v>3.2067333088234583E-2</v>
      </c>
      <c r="I782" s="71">
        <f t="shared" si="76"/>
        <v>0.27033127178708266</v>
      </c>
      <c r="L782" s="74"/>
      <c r="M782" s="74"/>
      <c r="N782" s="74"/>
      <c r="O782" s="74"/>
      <c r="P782" s="74"/>
      <c r="Q782" s="74"/>
      <c r="R782" s="74"/>
      <c r="S782" s="74"/>
      <c r="T782" s="74"/>
      <c r="U782" s="74"/>
      <c r="V782" s="74"/>
      <c r="W782" s="74"/>
      <c r="X782" s="74"/>
      <c r="Y782" s="74"/>
      <c r="Z782" s="74"/>
    </row>
    <row r="783" spans="1:26" x14ac:dyDescent="0.3">
      <c r="A783" s="66">
        <f t="shared" si="74"/>
        <v>2067.5999999999294</v>
      </c>
      <c r="B783" s="67">
        <f>LOOKUP(A783+0.01,AmountsB!$A$4:$A$103,AmountsB!$B$4:$B$103)*0.1*$A$2</f>
        <v>0</v>
      </c>
      <c r="C783" s="68">
        <f t="shared" si="79"/>
        <v>1538495.7946267016</v>
      </c>
      <c r="D783" s="67">
        <f t="array" ref="D783">SUM($B$7:$B778*$F$1009*EXP(-$F$1009*($A783-$A$7:$A778)))*$F$1010</f>
        <v>49098822.402845912</v>
      </c>
      <c r="E783" s="67">
        <f t="shared" si="77"/>
        <v>93.602570463994738</v>
      </c>
      <c r="F783" s="70">
        <f t="shared" si="75"/>
        <v>5.6835480785737609</v>
      </c>
      <c r="G783" s="67">
        <f>E783/'Lookup Tables'!$C$48</f>
        <v>187.20514092798948</v>
      </c>
      <c r="H783" s="70">
        <f t="shared" si="78"/>
        <v>3.1977670142291713E-2</v>
      </c>
      <c r="I783" s="71">
        <f t="shared" si="76"/>
        <v>0.26957540293630489</v>
      </c>
      <c r="L783" s="74"/>
      <c r="M783" s="74"/>
      <c r="N783" s="74"/>
      <c r="O783" s="74"/>
      <c r="P783" s="74"/>
      <c r="Q783" s="74"/>
      <c r="R783" s="74"/>
      <c r="S783" s="74"/>
      <c r="T783" s="74"/>
      <c r="U783" s="74"/>
      <c r="V783" s="74"/>
      <c r="W783" s="74"/>
      <c r="X783" s="74"/>
      <c r="Y783" s="74"/>
      <c r="Z783" s="74"/>
    </row>
    <row r="784" spans="1:26" x14ac:dyDescent="0.3">
      <c r="A784" s="66">
        <f t="shared" si="74"/>
        <v>2067.6999999999293</v>
      </c>
      <c r="B784" s="67">
        <f>LOOKUP(A784+0.01,AmountsB!$A$4:$A$103,AmountsB!$B$4:$B$103)*0.1*$A$2</f>
        <v>0</v>
      </c>
      <c r="C784" s="68">
        <f t="shared" si="79"/>
        <v>1538495.7946267016</v>
      </c>
      <c r="D784" s="67">
        <f t="array" ref="D784">SUM($B$7:$B779*$F$1009*EXP(-$F$1009*($A784-$A$7:$A779)))*$F$1010</f>
        <v>48961537.987991318</v>
      </c>
      <c r="E784" s="67">
        <f t="shared" si="77"/>
        <v>93.340849846550967</v>
      </c>
      <c r="F784" s="70">
        <f t="shared" si="75"/>
        <v>5.6676564026825744</v>
      </c>
      <c r="G784" s="67">
        <f>E784/'Lookup Tables'!$C$48</f>
        <v>186.68169969310193</v>
      </c>
      <c r="H784" s="70">
        <f t="shared" si="78"/>
        <v>3.1888257901446539E-2</v>
      </c>
      <c r="I784" s="71">
        <f t="shared" si="76"/>
        <v>0.26882164755806676</v>
      </c>
      <c r="L784" s="74"/>
      <c r="M784" s="74"/>
      <c r="N784" s="74"/>
      <c r="O784" s="74"/>
      <c r="P784" s="74"/>
      <c r="Q784" s="74"/>
      <c r="R784" s="74"/>
      <c r="S784" s="74"/>
      <c r="T784" s="74"/>
      <c r="U784" s="74"/>
      <c r="V784" s="74"/>
      <c r="W784" s="74"/>
      <c r="X784" s="74"/>
      <c r="Y784" s="74"/>
      <c r="Z784" s="74"/>
    </row>
    <row r="785" spans="1:26" x14ac:dyDescent="0.3">
      <c r="A785" s="66">
        <f t="shared" si="74"/>
        <v>2067.7999999999292</v>
      </c>
      <c r="B785" s="67">
        <f>LOOKUP(A785+0.01,AmountsB!$A$4:$A$103,AmountsB!$B$4:$B$103)*0.1*$A$2</f>
        <v>0</v>
      </c>
      <c r="C785" s="68">
        <f t="shared" si="79"/>
        <v>1538495.7946267016</v>
      </c>
      <c r="D785" s="67">
        <f t="array" ref="D785">SUM($B$7:$B780*$F$1009*EXP(-$F$1009*($A785-$A$7:$A780)))*$F$1010</f>
        <v>48824637.43184536</v>
      </c>
      <c r="E785" s="67">
        <f t="shared" si="77"/>
        <v>93.079861021848131</v>
      </c>
      <c r="F785" s="70">
        <f t="shared" si="75"/>
        <v>5.6518091612466188</v>
      </c>
      <c r="G785" s="67">
        <f>E785/'Lookup Tables'!$C$48</f>
        <v>186.15972204369626</v>
      </c>
      <c r="H785" s="70">
        <f t="shared" si="78"/>
        <v>3.1799095664706657E-2</v>
      </c>
      <c r="I785" s="71">
        <f t="shared" si="76"/>
        <v>0.26806999974292262</v>
      </c>
      <c r="L785" s="74"/>
      <c r="M785" s="74"/>
      <c r="N785" s="74"/>
      <c r="O785" s="74"/>
      <c r="P785" s="74"/>
      <c r="Q785" s="74"/>
      <c r="R785" s="74"/>
      <c r="S785" s="74"/>
      <c r="T785" s="74"/>
      <c r="U785" s="74"/>
      <c r="V785" s="74"/>
      <c r="W785" s="74"/>
      <c r="X785" s="74"/>
      <c r="Y785" s="74"/>
      <c r="Z785" s="74"/>
    </row>
    <row r="786" spans="1:26" x14ac:dyDescent="0.3">
      <c r="A786" s="66">
        <f t="shared" si="74"/>
        <v>2067.8999999999292</v>
      </c>
      <c r="B786" s="67">
        <f>LOOKUP(A786+0.01,AmountsB!$A$4:$A$103,AmountsB!$B$4:$B$103)*0.1*$A$2</f>
        <v>0</v>
      </c>
      <c r="C786" s="68">
        <f t="shared" si="79"/>
        <v>1538495.7946267016</v>
      </c>
      <c r="D786" s="67">
        <f t="array" ref="D786">SUM($B$7:$B781*$F$1009*EXP(-$F$1009*($A786-$A$7:$A781)))*$F$1010</f>
        <v>48688119.661106944</v>
      </c>
      <c r="E786" s="67">
        <f t="shared" si="77"/>
        <v>92.819601943732437</v>
      </c>
      <c r="F786" s="70">
        <f t="shared" si="75"/>
        <v>5.6360062300234341</v>
      </c>
      <c r="G786" s="67">
        <f>E786/'Lookup Tables'!$C$48</f>
        <v>185.63920388746487</v>
      </c>
      <c r="H786" s="70">
        <f t="shared" si="78"/>
        <v>3.1710182733039667E-2</v>
      </c>
      <c r="I786" s="71">
        <f t="shared" si="76"/>
        <v>0.26732045359794948</v>
      </c>
      <c r="L786" s="74"/>
      <c r="M786" s="74"/>
      <c r="N786" s="74"/>
      <c r="O786" s="74"/>
      <c r="P786" s="74"/>
      <c r="Q786" s="74"/>
      <c r="R786" s="74"/>
      <c r="S786" s="74"/>
      <c r="T786" s="74"/>
      <c r="U786" s="74"/>
      <c r="V786" s="74"/>
      <c r="W786" s="74"/>
      <c r="X786" s="74"/>
      <c r="Y786" s="74"/>
      <c r="Z786" s="74"/>
    </row>
    <row r="787" spans="1:26" x14ac:dyDescent="0.3">
      <c r="A787" s="66">
        <f t="shared" ref="A787:A850" si="80">A786+0.1</f>
        <v>2067.9999999999291</v>
      </c>
      <c r="B787" s="67">
        <f>LOOKUP(A787+0.01,AmountsB!$A$4:$A$103,AmountsB!$B$4:$B$103)*0.1*$A$2</f>
        <v>0</v>
      </c>
      <c r="C787" s="68">
        <f t="shared" si="79"/>
        <v>1538495.7946267016</v>
      </c>
      <c r="D787" s="67">
        <f t="array" ref="D787">SUM($B$7:$B782*$F$1009*EXP(-$F$1009*($A787-$A$7:$A782)))*$F$1010</f>
        <v>48551983.605476066</v>
      </c>
      <c r="E787" s="67">
        <f t="shared" si="77"/>
        <v>92.560070571771462</v>
      </c>
      <c r="F787" s="70">
        <f t="shared" ref="F787:F850" si="81">E787*60*1012/1000000</f>
        <v>5.6202474851179627</v>
      </c>
      <c r="G787" s="67">
        <f>E787/'Lookup Tables'!$C$48</f>
        <v>185.12014114354292</v>
      </c>
      <c r="H787" s="70">
        <f t="shared" si="78"/>
        <v>3.1621518409367728E-2</v>
      </c>
      <c r="I787" s="71">
        <f t="shared" ref="I787:I850" si="82">G787*60*24/1000000</f>
        <v>0.2665730032467018</v>
      </c>
      <c r="L787" s="74"/>
      <c r="M787" s="74"/>
      <c r="N787" s="74"/>
      <c r="O787" s="74"/>
      <c r="P787" s="74"/>
      <c r="Q787" s="74"/>
      <c r="R787" s="74"/>
      <c r="S787" s="74"/>
      <c r="T787" s="74"/>
      <c r="U787" s="74"/>
      <c r="V787" s="74"/>
      <c r="W787" s="74"/>
      <c r="X787" s="74"/>
      <c r="Y787" s="74"/>
      <c r="Z787" s="74"/>
    </row>
    <row r="788" spans="1:26" x14ac:dyDescent="0.3">
      <c r="A788" s="66">
        <f t="shared" si="80"/>
        <v>2068.099999999929</v>
      </c>
      <c r="B788" s="67">
        <f>LOOKUP(A788+0.01,AmountsB!$A$4:$A$103,AmountsB!$B$4:$B$103)*0.1*$A$2</f>
        <v>0</v>
      </c>
      <c r="C788" s="68">
        <f t="shared" si="79"/>
        <v>1538495.7946267016</v>
      </c>
      <c r="D788" s="67">
        <f t="array" ref="D788">SUM($B$7:$B783*$F$1009*EXP(-$F$1009*($A788-$A$7:$A783)))*$F$1010</f>
        <v>48416228.197645351</v>
      </c>
      <c r="E788" s="67">
        <f t="shared" si="77"/>
        <v>92.301264871237862</v>
      </c>
      <c r="F788" s="70">
        <f t="shared" si="81"/>
        <v>5.6045328029815629</v>
      </c>
      <c r="G788" s="67">
        <f>E788/'Lookup Tables'!$C$48</f>
        <v>184.60252974247572</v>
      </c>
      <c r="H788" s="70">
        <f t="shared" si="78"/>
        <v>3.1533101998562095E-2</v>
      </c>
      <c r="I788" s="71">
        <f t="shared" si="82"/>
        <v>0.26582764282916505</v>
      </c>
      <c r="L788" s="74"/>
      <c r="M788" s="74"/>
      <c r="N788" s="74"/>
      <c r="O788" s="74"/>
      <c r="P788" s="74"/>
      <c r="Q788" s="74"/>
      <c r="R788" s="74"/>
      <c r="S788" s="74"/>
      <c r="T788" s="74"/>
      <c r="U788" s="74"/>
      <c r="V788" s="74"/>
      <c r="W788" s="74"/>
      <c r="X788" s="74"/>
      <c r="Y788" s="74"/>
      <c r="Z788" s="74"/>
    </row>
    <row r="789" spans="1:26" x14ac:dyDescent="0.3">
      <c r="A789" s="66">
        <f t="shared" si="80"/>
        <v>2068.1999999999289</v>
      </c>
      <c r="B789" s="67">
        <f>LOOKUP(A789+0.01,AmountsB!$A$4:$A$103,AmountsB!$B$4:$B$103)*0.1*$A$2</f>
        <v>0</v>
      </c>
      <c r="C789" s="68">
        <f t="shared" si="79"/>
        <v>1538495.7946267016</v>
      </c>
      <c r="D789" s="67">
        <f t="array" ref="D789">SUM($B$7:$B784*$F$1009*EXP(-$F$1009*($A789-$A$7:$A784)))*$F$1010</f>
        <v>48280852.373291686</v>
      </c>
      <c r="E789" s="67">
        <f t="shared" si="77"/>
        <v>92.043182813093622</v>
      </c>
      <c r="F789" s="70">
        <f t="shared" si="81"/>
        <v>5.5888620604110448</v>
      </c>
      <c r="G789" s="67">
        <f>E789/'Lookup Tables'!$C$48</f>
        <v>184.08636562618724</v>
      </c>
      <c r="H789" s="70">
        <f t="shared" si="78"/>
        <v>3.1444932807437639E-2</v>
      </c>
      <c r="I789" s="71">
        <f t="shared" si="82"/>
        <v>0.26508436650170963</v>
      </c>
      <c r="L789" s="74"/>
      <c r="M789" s="74"/>
      <c r="N789" s="74"/>
      <c r="O789" s="74"/>
      <c r="P789" s="74"/>
      <c r="Q789" s="74"/>
      <c r="R789" s="74"/>
      <c r="S789" s="74"/>
      <c r="T789" s="74"/>
      <c r="U789" s="74"/>
      <c r="V789" s="74"/>
      <c r="W789" s="74"/>
      <c r="X789" s="74"/>
      <c r="Y789" s="74"/>
      <c r="Z789" s="74"/>
    </row>
    <row r="790" spans="1:26" x14ac:dyDescent="0.3">
      <c r="A790" s="66">
        <f t="shared" si="80"/>
        <v>2068.2999999999288</v>
      </c>
      <c r="B790" s="67">
        <f>LOOKUP(A790+0.01,AmountsB!$A$4:$A$103,AmountsB!$B$4:$B$103)*0.1*$A$2</f>
        <v>0</v>
      </c>
      <c r="C790" s="68">
        <f t="shared" si="79"/>
        <v>1538495.7946267016</v>
      </c>
      <c r="D790" s="67">
        <f t="array" ref="D790">SUM($B$7:$B785*$F$1009*EXP(-$F$1009*($A790-$A$7:$A785)))*$F$1010</f>
        <v>48145855.071067929</v>
      </c>
      <c r="E790" s="67">
        <f t="shared" si="77"/>
        <v>91.785822373974085</v>
      </c>
      <c r="F790" s="70">
        <f t="shared" si="81"/>
        <v>5.5732351345477067</v>
      </c>
      <c r="G790" s="67">
        <f>E790/'Lookup Tables'!$C$48</f>
        <v>183.57164474794817</v>
      </c>
      <c r="H790" s="70">
        <f t="shared" si="78"/>
        <v>3.1357010144747455E-2</v>
      </c>
      <c r="I790" s="71">
        <f t="shared" si="82"/>
        <v>0.26434316843704536</v>
      </c>
      <c r="L790" s="74"/>
      <c r="M790" s="74"/>
      <c r="N790" s="74"/>
      <c r="O790" s="74"/>
      <c r="P790" s="74"/>
      <c r="Q790" s="74"/>
      <c r="R790" s="74"/>
      <c r="S790" s="74"/>
      <c r="T790" s="74"/>
      <c r="U790" s="74"/>
      <c r="V790" s="74"/>
      <c r="W790" s="74"/>
      <c r="X790" s="74"/>
      <c r="Y790" s="74"/>
      <c r="Z790" s="74"/>
    </row>
    <row r="791" spans="1:26" x14ac:dyDescent="0.3">
      <c r="A791" s="66">
        <f t="shared" si="80"/>
        <v>2068.3999999999287</v>
      </c>
      <c r="B791" s="67">
        <f>LOOKUP(A791+0.01,AmountsB!$A$4:$A$103,AmountsB!$B$4:$B$103)*0.1*$A$2</f>
        <v>0</v>
      </c>
      <c r="C791" s="68">
        <f t="shared" si="79"/>
        <v>1538495.7946267016</v>
      </c>
      <c r="D791" s="67">
        <f t="array" ref="D791">SUM($B$7:$B786*$F$1009*EXP(-$F$1009*($A791-$A$7:$A786)))*$F$1010</f>
        <v>48011235.232594542</v>
      </c>
      <c r="E791" s="67">
        <f t="shared" si="77"/>
        <v>91.529181536172104</v>
      </c>
      <c r="F791" s="70">
        <f t="shared" si="81"/>
        <v>5.5576519028763709</v>
      </c>
      <c r="G791" s="67">
        <f>E791/'Lookup Tables'!$C$48</f>
        <v>183.05836307234421</v>
      </c>
      <c r="H791" s="70">
        <f t="shared" si="78"/>
        <v>3.1269333321177421E-2</v>
      </c>
      <c r="I791" s="71">
        <f t="shared" si="82"/>
        <v>0.26360404282417566</v>
      </c>
      <c r="L791" s="74"/>
      <c r="M791" s="74"/>
      <c r="N791" s="74"/>
      <c r="O791" s="74"/>
      <c r="P791" s="74"/>
      <c r="Q791" s="74"/>
      <c r="R791" s="74"/>
      <c r="S791" s="74"/>
      <c r="T791" s="74"/>
      <c r="U791" s="74"/>
      <c r="V791" s="74"/>
      <c r="W791" s="74"/>
      <c r="X791" s="74"/>
      <c r="Y791" s="74"/>
      <c r="Z791" s="74"/>
    </row>
    <row r="792" spans="1:26" x14ac:dyDescent="0.3">
      <c r="A792" s="66">
        <f t="shared" si="80"/>
        <v>2068.4999999999286</v>
      </c>
      <c r="B792" s="67">
        <f>LOOKUP(A792+0.01,AmountsB!$A$4:$A$103,AmountsB!$B$4:$B$103)*0.1*$A$2</f>
        <v>0</v>
      </c>
      <c r="C792" s="68">
        <f t="shared" si="79"/>
        <v>1538495.7946267016</v>
      </c>
      <c r="D792" s="67">
        <f t="array" ref="D792">SUM($B$7:$B787*$F$1009*EXP(-$F$1009*($A792-$A$7:$A787)))*$F$1010</f>
        <v>47876991.802451305</v>
      </c>
      <c r="E792" s="67">
        <f t="shared" si="77"/>
        <v>91.273258287622212</v>
      </c>
      <c r="F792" s="70">
        <f t="shared" si="81"/>
        <v>5.5421122432244205</v>
      </c>
      <c r="G792" s="67">
        <f>E792/'Lookup Tables'!$C$48</f>
        <v>182.54651657524442</v>
      </c>
      <c r="H792" s="70">
        <f t="shared" si="78"/>
        <v>3.1181901649340798E-2</v>
      </c>
      <c r="I792" s="71">
        <f t="shared" si="82"/>
        <v>0.26286698386835194</v>
      </c>
      <c r="L792" s="74"/>
      <c r="M792" s="74"/>
      <c r="N792" s="74"/>
      <c r="O792" s="74"/>
      <c r="P792" s="74"/>
      <c r="Q792" s="74"/>
      <c r="R792" s="74"/>
      <c r="S792" s="74"/>
      <c r="T792" s="74"/>
      <c r="U792" s="74"/>
      <c r="V792" s="74"/>
      <c r="W792" s="74"/>
      <c r="X792" s="74"/>
      <c r="Y792" s="74"/>
      <c r="Z792" s="74"/>
    </row>
    <row r="793" spans="1:26" x14ac:dyDescent="0.3">
      <c r="A793" s="66">
        <f t="shared" si="80"/>
        <v>2068.5999999999285</v>
      </c>
      <c r="B793" s="67">
        <f>LOOKUP(A793+0.01,AmountsB!$A$4:$A$103,AmountsB!$B$4:$B$103)*0.1*$A$2</f>
        <v>0</v>
      </c>
      <c r="C793" s="68">
        <f t="shared" si="79"/>
        <v>1538495.7946267016</v>
      </c>
      <c r="D793" s="67">
        <f t="array" ref="D793">SUM($B$7:$B788*$F$1009*EXP(-$F$1009*($A793-$A$7:$A788)))*$F$1010</f>
        <v>47743123.728169017</v>
      </c>
      <c r="E793" s="67">
        <f t="shared" si="77"/>
        <v>91.018050621884782</v>
      </c>
      <c r="F793" s="70">
        <f t="shared" si="81"/>
        <v>5.5266160337608436</v>
      </c>
      <c r="G793" s="67">
        <f>E793/'Lookup Tables'!$C$48</f>
        <v>182.03610124376956</v>
      </c>
      <c r="H793" s="70">
        <f t="shared" si="78"/>
        <v>3.109471444377282E-2</v>
      </c>
      <c r="I793" s="71">
        <f t="shared" si="82"/>
        <v>0.26213198579102814</v>
      </c>
      <c r="L793" s="74"/>
      <c r="M793" s="74"/>
      <c r="N793" s="74"/>
      <c r="O793" s="74"/>
      <c r="P793" s="74"/>
      <c r="Q793" s="74"/>
      <c r="R793" s="74"/>
      <c r="S793" s="74"/>
      <c r="T793" s="74"/>
      <c r="U793" s="74"/>
      <c r="V793" s="74"/>
      <c r="W793" s="74"/>
      <c r="X793" s="74"/>
      <c r="Y793" s="74"/>
      <c r="Z793" s="74"/>
    </row>
    <row r="794" spans="1:26" x14ac:dyDescent="0.3">
      <c r="A794" s="66">
        <f t="shared" si="80"/>
        <v>2068.6999999999284</v>
      </c>
      <c r="B794" s="67">
        <f>LOOKUP(A794+0.01,AmountsB!$A$4:$A$103,AmountsB!$B$4:$B$103)*0.1*$A$2</f>
        <v>0</v>
      </c>
      <c r="C794" s="68">
        <f t="shared" si="79"/>
        <v>1538495.7946267016</v>
      </c>
      <c r="D794" s="67">
        <f t="array" ref="D794">SUM($B$7:$B789*$F$1009*EXP(-$F$1009*($A794-$A$7:$A789)))*$F$1010</f>
        <v>47609629.960221305</v>
      </c>
      <c r="E794" s="67">
        <f t="shared" si="77"/>
        <v>90.76355653813043</v>
      </c>
      <c r="F794" s="70">
        <f t="shared" si="81"/>
        <v>5.5111631529952803</v>
      </c>
      <c r="G794" s="67">
        <f>E794/'Lookup Tables'!$C$48</f>
        <v>181.52711307626086</v>
      </c>
      <c r="H794" s="70">
        <f t="shared" si="78"/>
        <v>3.1007771020925352E-2</v>
      </c>
      <c r="I794" s="71">
        <f t="shared" si="82"/>
        <v>0.26139904282981563</v>
      </c>
      <c r="L794" s="74"/>
      <c r="M794" s="74"/>
      <c r="N794" s="74"/>
      <c r="O794" s="74"/>
      <c r="P794" s="74"/>
      <c r="Q794" s="74"/>
      <c r="R794" s="74"/>
      <c r="S794" s="74"/>
      <c r="T794" s="74"/>
      <c r="U794" s="74"/>
      <c r="V794" s="74"/>
      <c r="W794" s="74"/>
      <c r="X794" s="74"/>
      <c r="Y794" s="74"/>
      <c r="Z794" s="74"/>
    </row>
    <row r="795" spans="1:26" x14ac:dyDescent="0.3">
      <c r="A795" s="66">
        <f t="shared" si="80"/>
        <v>2068.7999999999283</v>
      </c>
      <c r="B795" s="67">
        <f>LOOKUP(A795+0.01,AmountsB!$A$4:$A$103,AmountsB!$B$4:$B$103)*0.1*$A$2</f>
        <v>0</v>
      </c>
      <c r="C795" s="68">
        <f t="shared" si="79"/>
        <v>1538495.7946267016</v>
      </c>
      <c r="D795" s="67">
        <f t="array" ref="D795">SUM($B$7:$B790*$F$1009*EXP(-$F$1009*($A795-$A$7:$A790)))*$F$1010</f>
        <v>47476509.452016346</v>
      </c>
      <c r="E795" s="67">
        <f t="shared" si="77"/>
        <v>90.509774041124246</v>
      </c>
      <c r="F795" s="70">
        <f t="shared" si="81"/>
        <v>5.495753479777064</v>
      </c>
      <c r="G795" s="67">
        <f>E795/'Lookup Tables'!$C$48</f>
        <v>181.01954808224849</v>
      </c>
      <c r="H795" s="70">
        <f t="shared" si="78"/>
        <v>3.0921070699161508E-2</v>
      </c>
      <c r="I795" s="71">
        <f t="shared" si="82"/>
        <v>0.26066814923843784</v>
      </c>
      <c r="L795" s="74"/>
      <c r="M795" s="74"/>
      <c r="N795" s="74"/>
      <c r="O795" s="74"/>
      <c r="P795" s="74"/>
      <c r="Q795" s="74"/>
      <c r="R795" s="74"/>
      <c r="S795" s="74"/>
      <c r="T795" s="74"/>
      <c r="U795" s="74"/>
      <c r="V795" s="74"/>
      <c r="W795" s="74"/>
      <c r="X795" s="74"/>
      <c r="Y795" s="74"/>
      <c r="Z795" s="74"/>
    </row>
    <row r="796" spans="1:26" x14ac:dyDescent="0.3">
      <c r="A796" s="66">
        <f t="shared" si="80"/>
        <v>2068.8999999999282</v>
      </c>
      <c r="B796" s="67">
        <f>LOOKUP(A796+0.01,AmountsB!$A$4:$A$103,AmountsB!$B$4:$B$103)*0.1*$A$2</f>
        <v>0</v>
      </c>
      <c r="C796" s="68">
        <f t="shared" si="79"/>
        <v>1538495.7946267016</v>
      </c>
      <c r="D796" s="67">
        <f t="array" ref="D796">SUM($B$7:$B791*$F$1009*EXP(-$F$1009*($A796-$A$7:$A791)))*$F$1010</f>
        <v>47343761.159888677</v>
      </c>
      <c r="E796" s="67">
        <f t="shared" si="77"/>
        <v>90.256701141210158</v>
      </c>
      <c r="F796" s="70">
        <f t="shared" si="81"/>
        <v>5.4803868932942805</v>
      </c>
      <c r="G796" s="67">
        <f>E796/'Lookup Tables'!$C$48</f>
        <v>180.51340228242032</v>
      </c>
      <c r="H796" s="70">
        <f t="shared" si="78"/>
        <v>3.0834612798750334E-2</v>
      </c>
      <c r="I796" s="71">
        <f t="shared" si="82"/>
        <v>0.25993929928668524</v>
      </c>
      <c r="L796" s="74"/>
      <c r="M796" s="74"/>
      <c r="N796" s="74"/>
      <c r="O796" s="74"/>
      <c r="P796" s="74"/>
      <c r="Q796" s="74"/>
      <c r="R796" s="74"/>
      <c r="S796" s="74"/>
      <c r="T796" s="74"/>
      <c r="U796" s="74"/>
      <c r="V796" s="74"/>
      <c r="W796" s="74"/>
      <c r="X796" s="74"/>
      <c r="Y796" s="74"/>
      <c r="Z796" s="74"/>
    </row>
    <row r="797" spans="1:26" x14ac:dyDescent="0.3">
      <c r="A797" s="66">
        <f t="shared" si="80"/>
        <v>2068.9999999999281</v>
      </c>
      <c r="B797" s="67">
        <f>LOOKUP(A797+0.01,AmountsB!$A$4:$A$103,AmountsB!$B$4:$B$103)*0.1*$A$2</f>
        <v>0</v>
      </c>
      <c r="C797" s="68">
        <f t="shared" si="79"/>
        <v>1538495.7946267016</v>
      </c>
      <c r="D797" s="67">
        <f t="array" ref="D797">SUM($B$7:$B792*$F$1009*EXP(-$F$1009*($A797-$A$7:$A792)))*$F$1010</f>
        <v>47211384.043090992</v>
      </c>
      <c r="E797" s="67">
        <f t="shared" si="77"/>
        <v>90.004335854295292</v>
      </c>
      <c r="F797" s="70">
        <f t="shared" si="81"/>
        <v>5.4650632730728095</v>
      </c>
      <c r="G797" s="67">
        <f>E797/'Lookup Tables'!$C$48</f>
        <v>180.00867170859058</v>
      </c>
      <c r="H797" s="70">
        <f t="shared" si="78"/>
        <v>3.0748396641861433E-2</v>
      </c>
      <c r="I797" s="71">
        <f t="shared" si="82"/>
        <v>0.25921248726037044</v>
      </c>
      <c r="L797" s="74"/>
      <c r="M797" s="74"/>
      <c r="N797" s="74"/>
      <c r="O797" s="74"/>
      <c r="P797" s="74"/>
      <c r="Q797" s="74"/>
      <c r="R797" s="74"/>
      <c r="S797" s="74"/>
      <c r="T797" s="74"/>
      <c r="U797" s="74"/>
      <c r="V797" s="74"/>
      <c r="W797" s="74"/>
      <c r="X797" s="74"/>
      <c r="Y797" s="74"/>
      <c r="Z797" s="74"/>
    </row>
    <row r="798" spans="1:26" x14ac:dyDescent="0.3">
      <c r="A798" s="66">
        <f t="shared" si="80"/>
        <v>2069.0999999999281</v>
      </c>
      <c r="B798" s="67">
        <f>LOOKUP(A798+0.01,AmountsB!$A$4:$A$103,AmountsB!$B$4:$B$103)*0.1*$A$2</f>
        <v>0</v>
      </c>
      <c r="C798" s="68">
        <f t="shared" si="79"/>
        <v>1538495.7946267016</v>
      </c>
      <c r="D798" s="67">
        <f t="array" ref="D798">SUM($B$7:$B793*$F$1009*EXP(-$F$1009*($A798-$A$7:$A793)))*$F$1010</f>
        <v>47079377.063786045</v>
      </c>
      <c r="E798" s="67">
        <f t="shared" si="77"/>
        <v>89.752676201834589</v>
      </c>
      <c r="F798" s="70">
        <f t="shared" si="81"/>
        <v>5.449782498975396</v>
      </c>
      <c r="G798" s="67">
        <f>E798/'Lookup Tables'!$C$48</f>
        <v>179.50535240366918</v>
      </c>
      <c r="H798" s="70">
        <f t="shared" si="78"/>
        <v>3.0662421552559712E-2</v>
      </c>
      <c r="I798" s="71">
        <f t="shared" si="82"/>
        <v>0.25848770746128358</v>
      </c>
      <c r="L798" s="74"/>
      <c r="M798" s="74"/>
      <c r="N798" s="74"/>
      <c r="O798" s="74"/>
      <c r="P798" s="74"/>
      <c r="Q798" s="74"/>
      <c r="R798" s="74"/>
      <c r="S798" s="74"/>
      <c r="T798" s="74"/>
      <c r="U798" s="74"/>
      <c r="V798" s="74"/>
      <c r="W798" s="74"/>
      <c r="X798" s="74"/>
      <c r="Y798" s="74"/>
      <c r="Z798" s="74"/>
    </row>
    <row r="799" spans="1:26" x14ac:dyDescent="0.3">
      <c r="A799" s="66">
        <f t="shared" si="80"/>
        <v>2069.199999999928</v>
      </c>
      <c r="B799" s="67">
        <f>LOOKUP(A799+0.01,AmountsB!$A$4:$A$103,AmountsB!$B$4:$B$103)*0.1*$A$2</f>
        <v>0</v>
      </c>
      <c r="C799" s="68">
        <f t="shared" si="79"/>
        <v>1538495.7946267016</v>
      </c>
      <c r="D799" s="67">
        <f t="array" ref="D799">SUM($B$7:$B794*$F$1009*EXP(-$F$1009*($A799-$A$7:$A794)))*$F$1010</f>
        <v>46947739.187038422</v>
      </c>
      <c r="E799" s="67">
        <f t="shared" si="77"/>
        <v>89.501720210815009</v>
      </c>
      <c r="F799" s="70">
        <f t="shared" si="81"/>
        <v>5.4345444512006873</v>
      </c>
      <c r="G799" s="67">
        <f>E799/'Lookup Tables'!$C$48</f>
        <v>179.00344042163002</v>
      </c>
      <c r="H799" s="70">
        <f t="shared" si="78"/>
        <v>3.0576686856800019E-2</v>
      </c>
      <c r="I799" s="71">
        <f t="shared" si="82"/>
        <v>0.25776495420714723</v>
      </c>
      <c r="L799" s="74"/>
      <c r="M799" s="74"/>
      <c r="N799" s="74"/>
      <c r="O799" s="74"/>
      <c r="P799" s="74"/>
      <c r="Q799" s="74"/>
      <c r="R799" s="74"/>
      <c r="S799" s="74"/>
      <c r="T799" s="74"/>
      <c r="U799" s="74"/>
      <c r="V799" s="74"/>
      <c r="W799" s="74"/>
      <c r="X799" s="74"/>
      <c r="Y799" s="74"/>
      <c r="Z799" s="74"/>
    </row>
    <row r="800" spans="1:26" x14ac:dyDescent="0.3">
      <c r="A800" s="66">
        <f t="shared" si="80"/>
        <v>2069.2999999999279</v>
      </c>
      <c r="B800" s="67">
        <f>LOOKUP(A800+0.01,AmountsB!$A$4:$A$103,AmountsB!$B$4:$B$103)*0.1*$A$2</f>
        <v>0</v>
      </c>
      <c r="C800" s="68">
        <f t="shared" si="79"/>
        <v>1538495.7946267016</v>
      </c>
      <c r="D800" s="67">
        <f t="array" ref="D800">SUM($B$7:$B795*$F$1009*EXP(-$F$1009*($A800-$A$7:$A795)))*$F$1010</f>
        <v>46816469.380806491</v>
      </c>
      <c r="E800" s="67">
        <f t="shared" si="77"/>
        <v>89.251465913740333</v>
      </c>
      <c r="F800" s="70">
        <f t="shared" si="81"/>
        <v>5.4193490102823132</v>
      </c>
      <c r="G800" s="67">
        <f>E800/'Lookup Tables'!$C$48</f>
        <v>178.50293182748067</v>
      </c>
      <c r="H800" s="70">
        <f t="shared" si="78"/>
        <v>3.0491191882421904E-2</v>
      </c>
      <c r="I800" s="71">
        <f t="shared" si="82"/>
        <v>0.25704422183157216</v>
      </c>
      <c r="L800" s="74"/>
      <c r="M800" s="74"/>
      <c r="N800" s="74"/>
      <c r="O800" s="74"/>
      <c r="P800" s="74"/>
      <c r="Q800" s="74"/>
      <c r="R800" s="74"/>
      <c r="S800" s="74"/>
      <c r="T800" s="74"/>
      <c r="U800" s="74"/>
      <c r="V800" s="74"/>
      <c r="W800" s="74"/>
      <c r="X800" s="74"/>
      <c r="Y800" s="74"/>
      <c r="Z800" s="74"/>
    </row>
    <row r="801" spans="1:26" x14ac:dyDescent="0.3">
      <c r="A801" s="66">
        <f t="shared" si="80"/>
        <v>2069.3999999999278</v>
      </c>
      <c r="B801" s="67">
        <f>LOOKUP(A801+0.01,AmountsB!$A$4:$A$103,AmountsB!$B$4:$B$103)*0.1*$A$2</f>
        <v>0</v>
      </c>
      <c r="C801" s="68">
        <f t="shared" si="79"/>
        <v>1538495.7946267016</v>
      </c>
      <c r="D801" s="67">
        <f t="array" ref="D801">SUM($B$7:$B796*$F$1009*EXP(-$F$1009*($A801-$A$7:$A796)))*$F$1010</f>
        <v>46685566.61593429</v>
      </c>
      <c r="E801" s="67">
        <f t="shared" si="77"/>
        <v>89.001911348615536</v>
      </c>
      <c r="F801" s="70">
        <f t="shared" si="81"/>
        <v>5.4041960570879359</v>
      </c>
      <c r="G801" s="67">
        <f>E801/'Lookup Tables'!$C$48</f>
        <v>178.00382269723107</v>
      </c>
      <c r="H801" s="70">
        <f t="shared" si="78"/>
        <v>3.0405935959144308E-2</v>
      </c>
      <c r="I801" s="71">
        <f t="shared" si="82"/>
        <v>0.25632550468401272</v>
      </c>
      <c r="L801" s="74"/>
      <c r="M801" s="74"/>
      <c r="N801" s="74"/>
      <c r="O801" s="74"/>
      <c r="P801" s="74"/>
      <c r="Q801" s="74"/>
      <c r="R801" s="74"/>
      <c r="S801" s="74"/>
      <c r="T801" s="74"/>
      <c r="U801" s="74"/>
      <c r="V801" s="74"/>
      <c r="W801" s="74"/>
      <c r="X801" s="74"/>
      <c r="Y801" s="74"/>
      <c r="Z801" s="74"/>
    </row>
    <row r="802" spans="1:26" x14ac:dyDescent="0.3">
      <c r="A802" s="66">
        <f t="shared" si="80"/>
        <v>2069.4999999999277</v>
      </c>
      <c r="B802" s="67">
        <f>LOOKUP(A802+0.01,AmountsB!$A$4:$A$103,AmountsB!$B$4:$B$103)*0.1*$A$2</f>
        <v>0</v>
      </c>
      <c r="C802" s="68">
        <f t="shared" si="79"/>
        <v>1538495.7946267016</v>
      </c>
      <c r="D802" s="67">
        <f t="array" ref="D802">SUM($B$7:$B797*$F$1009*EXP(-$F$1009*($A802-$A$7:$A797)))*$F$1010</f>
        <v>46555029.866143502</v>
      </c>
      <c r="E802" s="67">
        <f t="shared" si="77"/>
        <v>88.753054558931609</v>
      </c>
      <c r="F802" s="70">
        <f t="shared" si="81"/>
        <v>5.3890854728183273</v>
      </c>
      <c r="G802" s="67">
        <f>E802/'Lookup Tables'!$C$48</f>
        <v>177.50610911786322</v>
      </c>
      <c r="H802" s="70">
        <f t="shared" si="78"/>
        <v>3.0320918418560383E-2</v>
      </c>
      <c r="I802" s="71">
        <f t="shared" si="82"/>
        <v>0.25560879712972306</v>
      </c>
      <c r="L802" s="74"/>
      <c r="M802" s="74"/>
      <c r="N802" s="74"/>
      <c r="O802" s="74"/>
      <c r="P802" s="74"/>
      <c r="Q802" s="74"/>
      <c r="R802" s="74"/>
      <c r="S802" s="74"/>
      <c r="T802" s="74"/>
      <c r="U802" s="74"/>
      <c r="V802" s="74"/>
      <c r="W802" s="74"/>
      <c r="X802" s="74"/>
      <c r="Y802" s="74"/>
      <c r="Z802" s="74"/>
    </row>
    <row r="803" spans="1:26" x14ac:dyDescent="0.3">
      <c r="A803" s="66">
        <f t="shared" si="80"/>
        <v>2069.5999999999276</v>
      </c>
      <c r="B803" s="67">
        <f>LOOKUP(A803+0.01,AmountsB!$A$4:$A$103,AmountsB!$B$4:$B$103)*0.1*$A$2</f>
        <v>0</v>
      </c>
      <c r="C803" s="68">
        <f t="shared" si="79"/>
        <v>1538495.7946267016</v>
      </c>
      <c r="D803" s="67">
        <f t="array" ref="D803">SUM($B$7:$B798*$F$1009*EXP(-$F$1009*($A803-$A$7:$A798)))*$F$1010</f>
        <v>46424858.10802532</v>
      </c>
      <c r="E803" s="67">
        <f t="shared" si="77"/>
        <v>88.504893593650024</v>
      </c>
      <c r="F803" s="70">
        <f t="shared" si="81"/>
        <v>5.3740171390064297</v>
      </c>
      <c r="G803" s="67">
        <f>E803/'Lookup Tables'!$C$48</f>
        <v>177.00978718730005</v>
      </c>
      <c r="H803" s="70">
        <f t="shared" si="78"/>
        <v>3.0236138594132173E-2</v>
      </c>
      <c r="I803" s="71">
        <f t="shared" si="82"/>
        <v>0.2548940935497121</v>
      </c>
      <c r="L803" s="74"/>
      <c r="M803" s="74"/>
      <c r="N803" s="74"/>
      <c r="O803" s="74"/>
      <c r="P803" s="74"/>
      <c r="Q803" s="74"/>
      <c r="R803" s="74"/>
      <c r="S803" s="74"/>
      <c r="T803" s="74"/>
      <c r="U803" s="74"/>
      <c r="V803" s="74"/>
      <c r="W803" s="74"/>
      <c r="X803" s="74"/>
      <c r="Y803" s="74"/>
      <c r="Z803" s="74"/>
    </row>
    <row r="804" spans="1:26" x14ac:dyDescent="0.3">
      <c r="A804" s="66">
        <f t="shared" si="80"/>
        <v>2069.6999999999275</v>
      </c>
      <c r="B804" s="67">
        <f>LOOKUP(A804+0.01,AmountsB!$A$4:$A$103,AmountsB!$B$4:$B$103)*0.1*$A$2</f>
        <v>0</v>
      </c>
      <c r="C804" s="68">
        <f t="shared" si="79"/>
        <v>1538495.7946267016</v>
      </c>
      <c r="D804" s="67">
        <f t="array" ref="D804">SUM($B$7:$B799*$F$1009*EXP(-$F$1009*($A804-$A$7:$A799)))*$F$1010</f>
        <v>46295050.321032494</v>
      </c>
      <c r="E804" s="67">
        <f t="shared" si="77"/>
        <v>88.257426507187546</v>
      </c>
      <c r="F804" s="70">
        <f t="shared" si="81"/>
        <v>5.3589909375164275</v>
      </c>
      <c r="G804" s="67">
        <f>E804/'Lookup Tables'!$C$48</f>
        <v>176.51485301437509</v>
      </c>
      <c r="H804" s="70">
        <f t="shared" si="78"/>
        <v>3.0151595821185404E-2</v>
      </c>
      <c r="I804" s="71">
        <f t="shared" si="82"/>
        <v>0.25418138834070014</v>
      </c>
      <c r="L804" s="74"/>
      <c r="M804" s="74"/>
      <c r="N804" s="74"/>
      <c r="O804" s="74"/>
      <c r="P804" s="74"/>
      <c r="Q804" s="74"/>
      <c r="R804" s="74"/>
      <c r="S804" s="74"/>
      <c r="T804" s="74"/>
      <c r="U804" s="74"/>
      <c r="V804" s="74"/>
      <c r="W804" s="74"/>
      <c r="X804" s="74"/>
      <c r="Y804" s="74"/>
      <c r="Z804" s="74"/>
    </row>
    <row r="805" spans="1:26" x14ac:dyDescent="0.3">
      <c r="A805" s="66">
        <f t="shared" si="80"/>
        <v>2069.7999999999274</v>
      </c>
      <c r="B805" s="67">
        <f>LOOKUP(A805+0.01,AmountsB!$A$4:$A$103,AmountsB!$B$4:$B$103)*0.1*$A$2</f>
        <v>0</v>
      </c>
      <c r="C805" s="68">
        <f t="shared" si="79"/>
        <v>1538495.7946267016</v>
      </c>
      <c r="D805" s="67">
        <f t="array" ref="D805">SUM($B$7:$B800*$F$1009*EXP(-$F$1009*($A805-$A$7:$A800)))*$F$1010</f>
        <v>46165605.487471327</v>
      </c>
      <c r="E805" s="67">
        <f t="shared" si="77"/>
        <v>88.010651359400967</v>
      </c>
      <c r="F805" s="70">
        <f t="shared" si="81"/>
        <v>5.3440067505428273</v>
      </c>
      <c r="G805" s="67">
        <f>E805/'Lookup Tables'!$C$48</f>
        <v>176.02130271880193</v>
      </c>
      <c r="H805" s="70">
        <f t="shared" si="78"/>
        <v>3.0067289436904319E-2</v>
      </c>
      <c r="I805" s="71">
        <f t="shared" si="82"/>
        <v>0.25347067591507477</v>
      </c>
      <c r="L805" s="74"/>
      <c r="M805" s="74"/>
      <c r="N805" s="74"/>
      <c r="O805" s="74"/>
      <c r="P805" s="74"/>
      <c r="Q805" s="74"/>
      <c r="R805" s="74"/>
      <c r="S805" s="74"/>
      <c r="T805" s="74"/>
      <c r="U805" s="74"/>
      <c r="V805" s="74"/>
      <c r="W805" s="74"/>
      <c r="X805" s="74"/>
      <c r="Y805" s="74"/>
      <c r="Z805" s="74"/>
    </row>
    <row r="806" spans="1:26" x14ac:dyDescent="0.3">
      <c r="A806" s="66">
        <f t="shared" si="80"/>
        <v>2069.8999999999273</v>
      </c>
      <c r="B806" s="67">
        <f>LOOKUP(A806+0.01,AmountsB!$A$4:$A$103,AmountsB!$B$4:$B$103)*0.1*$A$2</f>
        <v>0</v>
      </c>
      <c r="C806" s="68">
        <f t="shared" si="79"/>
        <v>1538495.7946267016</v>
      </c>
      <c r="D806" s="67">
        <f t="array" ref="D806">SUM($B$7:$B801*$F$1009*EXP(-$F$1009*($A806-$A$7:$A801)))*$F$1010</f>
        <v>46036522.592493646</v>
      </c>
      <c r="E806" s="67">
        <f t="shared" si="77"/>
        <v>87.764566215571847</v>
      </c>
      <c r="F806" s="70">
        <f t="shared" si="81"/>
        <v>5.3290644606095228</v>
      </c>
      <c r="G806" s="67">
        <f>E806/'Lookup Tables'!$C$48</f>
        <v>175.52913243114369</v>
      </c>
      <c r="H806" s="70">
        <f t="shared" si="78"/>
        <v>2.9983218780326438E-2</v>
      </c>
      <c r="I806" s="71">
        <f t="shared" si="82"/>
        <v>0.25276195070084689</v>
      </c>
      <c r="L806" s="74"/>
      <c r="M806" s="74"/>
      <c r="N806" s="74"/>
      <c r="O806" s="74"/>
      <c r="P806" s="74"/>
      <c r="Q806" s="74"/>
      <c r="R806" s="74"/>
      <c r="S806" s="74"/>
      <c r="T806" s="74"/>
      <c r="U806" s="74"/>
      <c r="V806" s="74"/>
      <c r="W806" s="74"/>
      <c r="X806" s="74"/>
      <c r="Y806" s="74"/>
      <c r="Z806" s="74"/>
    </row>
    <row r="807" spans="1:26" x14ac:dyDescent="0.3">
      <c r="A807" s="66">
        <f t="shared" si="80"/>
        <v>2069.9999999999272</v>
      </c>
      <c r="B807" s="67">
        <f>LOOKUP(A807+0.01,AmountsB!$A$4:$A$103,AmountsB!$B$4:$B$103)*0.1*$A$2</f>
        <v>0</v>
      </c>
      <c r="C807" s="68">
        <f t="shared" si="79"/>
        <v>1538495.7946267016</v>
      </c>
      <c r="D807" s="67">
        <f t="array" ref="D807">SUM($B$7:$B802*$F$1009*EXP(-$F$1009*($A807-$A$7:$A802)))*$F$1010</f>
        <v>45907800.624088898</v>
      </c>
      <c r="E807" s="67">
        <f t="shared" si="77"/>
        <v>87.519169146391405</v>
      </c>
      <c r="F807" s="70">
        <f t="shared" si="81"/>
        <v>5.3141639505688856</v>
      </c>
      <c r="G807" s="67">
        <f>E807/'Lookup Tables'!$C$48</f>
        <v>175.03833829278281</v>
      </c>
      <c r="H807" s="70">
        <f t="shared" si="78"/>
        <v>2.9899383192337363E-2</v>
      </c>
      <c r="I807" s="71">
        <f t="shared" si="82"/>
        <v>0.25205520714160723</v>
      </c>
      <c r="L807" s="74"/>
      <c r="M807" s="74"/>
      <c r="N807" s="74"/>
      <c r="O807" s="74"/>
      <c r="P807" s="74"/>
      <c r="Q807" s="74"/>
      <c r="R807" s="74"/>
      <c r="S807" s="74"/>
      <c r="T807" s="74"/>
      <c r="U807" s="74"/>
      <c r="V807" s="74"/>
      <c r="W807" s="74"/>
      <c r="X807" s="74"/>
      <c r="Y807" s="74"/>
      <c r="Z807" s="74"/>
    </row>
    <row r="808" spans="1:26" x14ac:dyDescent="0.3">
      <c r="A808" s="66">
        <f t="shared" si="80"/>
        <v>2070.0999999999271</v>
      </c>
      <c r="B808" s="67">
        <f>LOOKUP(A808+0.01,AmountsB!$A$4:$A$103,AmountsB!$B$4:$B$103)*0.1*$A$2</f>
        <v>0</v>
      </c>
      <c r="C808" s="68">
        <f t="shared" si="79"/>
        <v>1538495.7946267016</v>
      </c>
      <c r="D808" s="67">
        <f t="array" ref="D808">SUM($B$7:$B803*$F$1009*EXP(-$F$1009*($A808-$A$7:$A803)))*$F$1010</f>
        <v>45779438.573076174</v>
      </c>
      <c r="E808" s="67">
        <f t="shared" si="77"/>
        <v>87.274458227945317</v>
      </c>
      <c r="F808" s="70">
        <f t="shared" si="81"/>
        <v>5.2993051036008394</v>
      </c>
      <c r="G808" s="67">
        <f>E808/'Lookup Tables'!$C$48</f>
        <v>174.54891645589063</v>
      </c>
      <c r="H808" s="70">
        <f t="shared" si="78"/>
        <v>2.9815782015665662E-2</v>
      </c>
      <c r="I808" s="71">
        <f t="shared" si="82"/>
        <v>0.25135043969648252</v>
      </c>
      <c r="L808" s="74"/>
      <c r="M808" s="74"/>
      <c r="N808" s="74"/>
      <c r="O808" s="74"/>
      <c r="P808" s="74"/>
      <c r="Q808" s="74"/>
      <c r="R808" s="74"/>
      <c r="S808" s="74"/>
      <c r="T808" s="74"/>
      <c r="U808" s="74"/>
      <c r="V808" s="74"/>
      <c r="W808" s="74"/>
      <c r="X808" s="74"/>
      <c r="Y808" s="74"/>
      <c r="Z808" s="74"/>
    </row>
    <row r="809" spans="1:26" x14ac:dyDescent="0.3">
      <c r="A809" s="66">
        <f t="shared" si="80"/>
        <v>2070.1999999999271</v>
      </c>
      <c r="B809" s="67">
        <f>LOOKUP(A809+0.01,AmountsB!$A$4:$A$103,AmountsB!$B$4:$B$103)*0.1*$A$2</f>
        <v>0</v>
      </c>
      <c r="C809" s="68">
        <f t="shared" si="79"/>
        <v>1538495.7946267016</v>
      </c>
      <c r="D809" s="67">
        <f t="array" ref="D809">SUM($B$7:$B804*$F$1009*EXP(-$F$1009*($A809-$A$7:$A804)))*$F$1010</f>
        <v>45651435.433096334</v>
      </c>
      <c r="E809" s="67">
        <f t="shared" si="77"/>
        <v>87.030431541698746</v>
      </c>
      <c r="F809" s="70">
        <f t="shared" si="81"/>
        <v>5.284487803211948</v>
      </c>
      <c r="G809" s="67">
        <f>E809/'Lookup Tables'!$C$48</f>
        <v>174.06086308339749</v>
      </c>
      <c r="H809" s="70">
        <f t="shared" si="78"/>
        <v>2.9732414594877667E-2</v>
      </c>
      <c r="I809" s="71">
        <f t="shared" si="82"/>
        <v>0.25064764284009239</v>
      </c>
      <c r="L809" s="74"/>
      <c r="M809" s="74"/>
      <c r="N809" s="74"/>
      <c r="O809" s="74"/>
      <c r="P809" s="74"/>
      <c r="Q809" s="74"/>
      <c r="R809" s="74"/>
      <c r="S809" s="74"/>
      <c r="T809" s="74"/>
      <c r="U809" s="74"/>
      <c r="V809" s="74"/>
      <c r="W809" s="74"/>
      <c r="X809" s="74"/>
      <c r="Y809" s="74"/>
      <c r="Z809" s="74"/>
    </row>
    <row r="810" spans="1:26" x14ac:dyDescent="0.3">
      <c r="A810" s="66">
        <f t="shared" si="80"/>
        <v>2070.299999999927</v>
      </c>
      <c r="B810" s="67">
        <f>LOOKUP(A810+0.01,AmountsB!$A$4:$A$103,AmountsB!$B$4:$B$103)*0.1*$A$2</f>
        <v>0</v>
      </c>
      <c r="C810" s="68">
        <f t="shared" si="79"/>
        <v>1538495.7946267016</v>
      </c>
      <c r="D810" s="67">
        <f t="array" ref="D810">SUM($B$7:$B805*$F$1009*EXP(-$F$1009*($A810-$A$7:$A805)))*$F$1010</f>
        <v>45523790.200604156</v>
      </c>
      <c r="E810" s="67">
        <f t="shared" si="77"/>
        <v>86.787087174481314</v>
      </c>
      <c r="F810" s="70">
        <f t="shared" si="81"/>
        <v>5.2697119332345057</v>
      </c>
      <c r="G810" s="67">
        <f>E810/'Lookup Tables'!$C$48</f>
        <v>173.57417434896263</v>
      </c>
      <c r="H810" s="70">
        <f t="shared" si="78"/>
        <v>2.9649280276372425E-2</v>
      </c>
      <c r="I810" s="71">
        <f t="shared" si="82"/>
        <v>0.24994681106250619</v>
      </c>
      <c r="L810" s="74"/>
      <c r="M810" s="74"/>
      <c r="N810" s="74"/>
      <c r="O810" s="74"/>
      <c r="P810" s="74"/>
      <c r="Q810" s="74"/>
      <c r="R810" s="74"/>
      <c r="S810" s="74"/>
      <c r="T810" s="74"/>
      <c r="U810" s="74"/>
      <c r="V810" s="74"/>
      <c r="W810" s="74"/>
      <c r="X810" s="74"/>
      <c r="Y810" s="74"/>
      <c r="Z810" s="74"/>
    </row>
    <row r="811" spans="1:26" x14ac:dyDescent="0.3">
      <c r="A811" s="66">
        <f t="shared" si="80"/>
        <v>2070.3999999999269</v>
      </c>
      <c r="B811" s="67">
        <f>LOOKUP(A811+0.01,AmountsB!$A$4:$A$103,AmountsB!$B$4:$B$103)*0.1*$A$2</f>
        <v>0</v>
      </c>
      <c r="C811" s="68">
        <f t="shared" si="79"/>
        <v>1538495.7946267016</v>
      </c>
      <c r="D811" s="67">
        <f t="array" ref="D811">SUM($B$7:$B806*$F$1009*EXP(-$F$1009*($A811-$A$7:$A806)))*$F$1010</f>
        <v>45396501.874860331</v>
      </c>
      <c r="E811" s="67">
        <f t="shared" si="77"/>
        <v>86.544423218471849</v>
      </c>
      <c r="F811" s="70">
        <f t="shared" si="81"/>
        <v>5.2549773778256101</v>
      </c>
      <c r="G811" s="67">
        <f>E811/'Lookup Tables'!$C$48</f>
        <v>173.0888464369437</v>
      </c>
      <c r="H811" s="70">
        <f t="shared" si="78"/>
        <v>2.9566378408376399E-2</v>
      </c>
      <c r="I811" s="71">
        <f t="shared" si="82"/>
        <v>0.24924793886919894</v>
      </c>
      <c r="L811" s="74"/>
      <c r="M811" s="74"/>
      <c r="N811" s="74"/>
      <c r="O811" s="74"/>
      <c r="P811" s="74"/>
      <c r="Q811" s="74"/>
      <c r="R811" s="74"/>
      <c r="S811" s="74"/>
      <c r="T811" s="74"/>
      <c r="U811" s="74"/>
      <c r="V811" s="74"/>
      <c r="W811" s="74"/>
      <c r="X811" s="74"/>
      <c r="Y811" s="74"/>
      <c r="Z811" s="74"/>
    </row>
    <row r="812" spans="1:26" x14ac:dyDescent="0.3">
      <c r="A812" s="66">
        <f t="shared" si="80"/>
        <v>2070.4999999999268</v>
      </c>
      <c r="B812" s="67">
        <f>LOOKUP(A812+0.01,AmountsB!$A$4:$A$103,AmountsB!$B$4:$B$103)*0.1*$A$2</f>
        <v>0</v>
      </c>
      <c r="C812" s="68">
        <f t="shared" si="79"/>
        <v>1538495.7946267016</v>
      </c>
      <c r="D812" s="67">
        <f t="array" ref="D812">SUM($B$7:$B807*$F$1009*EXP(-$F$1009*($A812-$A$7:$A807)))*$F$1010</f>
        <v>45269569.457923718</v>
      </c>
      <c r="E812" s="67">
        <f t="shared" si="77"/>
        <v>86.302437771183691</v>
      </c>
      <c r="F812" s="70">
        <f t="shared" si="81"/>
        <v>5.240284021466274</v>
      </c>
      <c r="G812" s="67">
        <f>E812/'Lookup Tables'!$C$48</f>
        <v>172.60487554236738</v>
      </c>
      <c r="H812" s="70">
        <f t="shared" si="78"/>
        <v>2.9483708340938542E-2</v>
      </c>
      <c r="I812" s="71">
        <f t="shared" si="82"/>
        <v>0.24855102078100905</v>
      </c>
      <c r="L812" s="74"/>
      <c r="M812" s="74"/>
      <c r="N812" s="74"/>
      <c r="O812" s="74"/>
      <c r="P812" s="74"/>
      <c r="Q812" s="74"/>
      <c r="R812" s="74"/>
      <c r="S812" s="74"/>
      <c r="T812" s="74"/>
      <c r="U812" s="74"/>
      <c r="V812" s="74"/>
      <c r="W812" s="74"/>
      <c r="X812" s="74"/>
      <c r="Y812" s="74"/>
      <c r="Z812" s="74"/>
    </row>
    <row r="813" spans="1:26" x14ac:dyDescent="0.3">
      <c r="A813" s="66">
        <f t="shared" si="80"/>
        <v>2070.5999999999267</v>
      </c>
      <c r="B813" s="67">
        <f>LOOKUP(A813+0.01,AmountsB!$A$4:$A$103,AmountsB!$B$4:$B$103)*0.1*$A$2</f>
        <v>0</v>
      </c>
      <c r="C813" s="68">
        <f t="shared" si="79"/>
        <v>1538495.7946267016</v>
      </c>
      <c r="D813" s="67">
        <f t="array" ref="D813">SUM($B$7:$B808*$F$1009*EXP(-$F$1009*($A813-$A$7:$A808)))*$F$1010</f>
        <v>45142991.954643518</v>
      </c>
      <c r="E813" s="67">
        <f t="shared" si="77"/>
        <v>86.061128935449688</v>
      </c>
      <c r="F813" s="70">
        <f t="shared" si="81"/>
        <v>5.2256317489605051</v>
      </c>
      <c r="G813" s="67">
        <f>E813/'Lookup Tables'!$C$48</f>
        <v>172.12225787089938</v>
      </c>
      <c r="H813" s="70">
        <f t="shared" si="78"/>
        <v>2.9401269425925081E-2</v>
      </c>
      <c r="I813" s="71">
        <f t="shared" si="82"/>
        <v>0.24785605133409511</v>
      </c>
      <c r="L813" s="74"/>
      <c r="M813" s="74"/>
      <c r="N813" s="74"/>
      <c r="O813" s="74"/>
      <c r="P813" s="74"/>
      <c r="Q813" s="74"/>
      <c r="R813" s="74"/>
      <c r="S813" s="74"/>
      <c r="T813" s="74"/>
      <c r="U813" s="74"/>
      <c r="V813" s="74"/>
      <c r="W813" s="74"/>
      <c r="X813" s="74"/>
      <c r="Y813" s="74"/>
      <c r="Z813" s="74"/>
    </row>
    <row r="814" spans="1:26" x14ac:dyDescent="0.3">
      <c r="A814" s="66">
        <f t="shared" si="80"/>
        <v>2070.6999999999266</v>
      </c>
      <c r="B814" s="67">
        <f>LOOKUP(A814+0.01,AmountsB!$A$4:$A$103,AmountsB!$B$4:$B$103)*0.1*$A$2</f>
        <v>0</v>
      </c>
      <c r="C814" s="68">
        <f t="shared" si="79"/>
        <v>1538495.7946267016</v>
      </c>
      <c r="D814" s="67">
        <f t="array" ref="D814">SUM($B$7:$B809*$F$1009*EXP(-$F$1009*($A814-$A$7:$A809)))*$F$1010</f>
        <v>45016768.372651495</v>
      </c>
      <c r="E814" s="67">
        <f t="shared" si="77"/>
        <v>85.820494819407386</v>
      </c>
      <c r="F814" s="70">
        <f t="shared" si="81"/>
        <v>5.211020445434416</v>
      </c>
      <c r="G814" s="67">
        <f>E814/'Lookup Tables'!$C$48</f>
        <v>171.64098963881477</v>
      </c>
      <c r="H814" s="70">
        <f t="shared" si="78"/>
        <v>2.9319061017014529E-2</v>
      </c>
      <c r="I814" s="71">
        <f t="shared" si="82"/>
        <v>0.24716302507989324</v>
      </c>
      <c r="L814" s="74"/>
      <c r="M814" s="74"/>
      <c r="N814" s="74"/>
      <c r="O814" s="74"/>
      <c r="P814" s="74"/>
      <c r="Q814" s="74"/>
      <c r="R814" s="74"/>
      <c r="S814" s="74"/>
      <c r="T814" s="74"/>
      <c r="U814" s="74"/>
      <c r="V814" s="74"/>
      <c r="W814" s="74"/>
      <c r="X814" s="74"/>
      <c r="Y814" s="74"/>
      <c r="Z814" s="74"/>
    </row>
    <row r="815" spans="1:26" x14ac:dyDescent="0.3">
      <c r="A815" s="66">
        <f t="shared" si="80"/>
        <v>2070.7999999999265</v>
      </c>
      <c r="B815" s="67">
        <f>LOOKUP(A815+0.01,AmountsB!$A$4:$A$103,AmountsB!$B$4:$B$103)*0.1*$A$2</f>
        <v>0</v>
      </c>
      <c r="C815" s="68">
        <f t="shared" si="79"/>
        <v>1538495.7946267016</v>
      </c>
      <c r="D815" s="67">
        <f t="array" ref="D815">SUM($B$7:$B810*$F$1009*EXP(-$F$1009*($A815-$A$7:$A810)))*$F$1010</f>
        <v>44890897.722354077</v>
      </c>
      <c r="E815" s="67">
        <f t="shared" si="77"/>
        <v>85.58053353648404</v>
      </c>
      <c r="F815" s="70">
        <f t="shared" si="81"/>
        <v>5.1964499963353115</v>
      </c>
      <c r="G815" s="67">
        <f>E815/'Lookup Tables'!$C$48</f>
        <v>171.16106707296808</v>
      </c>
      <c r="H815" s="70">
        <f t="shared" si="78"/>
        <v>2.9237082469692529E-2</v>
      </c>
      <c r="I815" s="71">
        <f t="shared" si="82"/>
        <v>0.24647193658507405</v>
      </c>
      <c r="L815" s="74"/>
      <c r="M815" s="74"/>
      <c r="N815" s="74"/>
      <c r="O815" s="74"/>
      <c r="P815" s="74"/>
      <c r="Q815" s="74"/>
      <c r="R815" s="74"/>
      <c r="S815" s="74"/>
      <c r="T815" s="74"/>
      <c r="U815" s="74"/>
      <c r="V815" s="74"/>
      <c r="W815" s="74"/>
      <c r="X815" s="74"/>
      <c r="Y815" s="74"/>
      <c r="Z815" s="74"/>
    </row>
    <row r="816" spans="1:26" x14ac:dyDescent="0.3">
      <c r="A816" s="66">
        <f t="shared" si="80"/>
        <v>2070.8999999999264</v>
      </c>
      <c r="B816" s="67">
        <f>LOOKUP(A816+0.01,AmountsB!$A$4:$A$103,AmountsB!$B$4:$B$103)*0.1*$A$2</f>
        <v>0</v>
      </c>
      <c r="C816" s="68">
        <f t="shared" si="79"/>
        <v>1538495.7946267016</v>
      </c>
      <c r="D816" s="67">
        <f t="array" ref="D816">SUM($B$7:$B811*$F$1009*EXP(-$F$1009*($A816-$A$7:$A811)))*$F$1010</f>
        <v>44765379.016924739</v>
      </c>
      <c r="E816" s="67">
        <f t="shared" si="77"/>
        <v>85.341243205381957</v>
      </c>
      <c r="F816" s="70">
        <f t="shared" si="81"/>
        <v>5.1819202874307919</v>
      </c>
      <c r="G816" s="67">
        <f>E816/'Lookup Tables'!$C$48</f>
        <v>170.68248641076391</v>
      </c>
      <c r="H816" s="70">
        <f t="shared" si="78"/>
        <v>2.9155333141246836E-2</v>
      </c>
      <c r="I816" s="71">
        <f t="shared" si="82"/>
        <v>0.24578278043150006</v>
      </c>
      <c r="L816" s="74"/>
      <c r="M816" s="74"/>
      <c r="N816" s="74"/>
      <c r="O816" s="74"/>
      <c r="P816" s="74"/>
      <c r="Q816" s="74"/>
      <c r="R816" s="74"/>
      <c r="S816" s="74"/>
      <c r="T816" s="74"/>
      <c r="U816" s="74"/>
      <c r="V816" s="74"/>
      <c r="W816" s="74"/>
      <c r="X816" s="74"/>
      <c r="Y816" s="74"/>
      <c r="Z816" s="74"/>
    </row>
    <row r="817" spans="1:26" x14ac:dyDescent="0.3">
      <c r="A817" s="66">
        <f t="shared" si="80"/>
        <v>2070.9999999999263</v>
      </c>
      <c r="B817" s="67">
        <f>LOOKUP(A817+0.01,AmountsB!$A$4:$A$103,AmountsB!$B$4:$B$103)*0.1*$A$2</f>
        <v>0</v>
      </c>
      <c r="C817" s="68">
        <f t="shared" si="79"/>
        <v>1538495.7946267016</v>
      </c>
      <c r="D817" s="67">
        <f t="array" ref="D817">SUM($B$7:$B812*$F$1009*EXP(-$F$1009*($A817-$A$7:$A812)))*$F$1010</f>
        <v>44640211.27229619</v>
      </c>
      <c r="E817" s="67">
        <f t="shared" si="77"/>
        <v>85.10262195006375</v>
      </c>
      <c r="F817" s="70">
        <f t="shared" si="81"/>
        <v>5.1674312048078699</v>
      </c>
      <c r="G817" s="67">
        <f>E817/'Lookup Tables'!$C$48</f>
        <v>170.2052439001275</v>
      </c>
      <c r="H817" s="70">
        <f t="shared" si="78"/>
        <v>2.9073812390762309E-2</v>
      </c>
      <c r="I817" s="71">
        <f t="shared" si="82"/>
        <v>0.24509555121618357</v>
      </c>
      <c r="L817" s="74"/>
      <c r="M817" s="74"/>
      <c r="N817" s="74"/>
      <c r="O817" s="74"/>
      <c r="P817" s="74"/>
      <c r="Q817" s="74"/>
      <c r="R817" s="74"/>
      <c r="S817" s="74"/>
      <c r="T817" s="74"/>
      <c r="U817" s="74"/>
      <c r="V817" s="74"/>
      <c r="W817" s="74"/>
      <c r="X817" s="74"/>
      <c r="Y817" s="74"/>
      <c r="Z817" s="74"/>
    </row>
    <row r="818" spans="1:26" x14ac:dyDescent="0.3">
      <c r="A818" s="66">
        <f t="shared" si="80"/>
        <v>2071.0999999999262</v>
      </c>
      <c r="B818" s="67">
        <f>LOOKUP(A818+0.01,AmountsB!$A$4:$A$103,AmountsB!$B$4:$B$103)*0.1*$A$2</f>
        <v>0</v>
      </c>
      <c r="C818" s="68">
        <f t="shared" si="79"/>
        <v>1538495.7946267016</v>
      </c>
      <c r="D818" s="67">
        <f t="array" ref="D818">SUM($B$7:$B813*$F$1009*EXP(-$F$1009*($A818-$A$7:$A813)))*$F$1010</f>
        <v>44515393.507152677</v>
      </c>
      <c r="E818" s="67">
        <f t="shared" si="77"/>
        <v>84.864667899737555</v>
      </c>
      <c r="F818" s="70">
        <f t="shared" si="81"/>
        <v>5.1529826348720649</v>
      </c>
      <c r="G818" s="67">
        <f>E818/'Lookup Tables'!$C$48</f>
        <v>169.72933579947511</v>
      </c>
      <c r="H818" s="70">
        <f t="shared" si="78"/>
        <v>2.8992519579115864E-2</v>
      </c>
      <c r="I818" s="71">
        <f t="shared" si="82"/>
        <v>0.24441024355124416</v>
      </c>
      <c r="L818" s="74"/>
      <c r="M818" s="74"/>
      <c r="N818" s="74"/>
      <c r="O818" s="74"/>
      <c r="P818" s="74"/>
      <c r="Q818" s="74"/>
      <c r="R818" s="74"/>
      <c r="S818" s="74"/>
      <c r="T818" s="74"/>
      <c r="U818" s="74"/>
      <c r="V818" s="74"/>
      <c r="W818" s="74"/>
      <c r="X818" s="74"/>
      <c r="Y818" s="74"/>
      <c r="Z818" s="74"/>
    </row>
    <row r="819" spans="1:26" x14ac:dyDescent="0.3">
      <c r="A819" s="66">
        <f t="shared" si="80"/>
        <v>2071.1999999999261</v>
      </c>
      <c r="B819" s="67">
        <f>LOOKUP(A819+0.01,AmountsB!$A$4:$A$103,AmountsB!$B$4:$B$103)*0.1*$A$2</f>
        <v>0</v>
      </c>
      <c r="C819" s="68">
        <f t="shared" si="79"/>
        <v>1538495.7946267016</v>
      </c>
      <c r="D819" s="67">
        <f t="array" ref="D819">SUM($B$7:$B814*$F$1009*EXP(-$F$1009*($A819-$A$7:$A814)))*$F$1010</f>
        <v>44390924.742922261</v>
      </c>
      <c r="E819" s="67">
        <f t="shared" si="77"/>
        <v>84.62737918884234</v>
      </c>
      <c r="F819" s="70">
        <f t="shared" si="81"/>
        <v>5.1385744643465072</v>
      </c>
      <c r="G819" s="67">
        <f>E819/'Lookup Tables'!$C$48</f>
        <v>169.25475837768468</v>
      </c>
      <c r="H819" s="70">
        <f t="shared" si="78"/>
        <v>2.8911454068971398E-2</v>
      </c>
      <c r="I819" s="71">
        <f t="shared" si="82"/>
        <v>0.24372685206386596</v>
      </c>
      <c r="L819" s="74"/>
      <c r="M819" s="74"/>
      <c r="N819" s="74"/>
      <c r="O819" s="74"/>
      <c r="P819" s="74"/>
      <c r="Q819" s="74"/>
      <c r="R819" s="74"/>
      <c r="S819" s="74"/>
      <c r="T819" s="74"/>
      <c r="U819" s="74"/>
      <c r="V819" s="74"/>
      <c r="W819" s="74"/>
      <c r="X819" s="74"/>
      <c r="Y819" s="74"/>
      <c r="Z819" s="74"/>
    </row>
    <row r="820" spans="1:26" x14ac:dyDescent="0.3">
      <c r="A820" s="66">
        <f t="shared" si="80"/>
        <v>2071.2999999999261</v>
      </c>
      <c r="B820" s="67">
        <f>LOOKUP(A820+0.01,AmountsB!$A$4:$A$103,AmountsB!$B$4:$B$103)*0.1*$A$2</f>
        <v>0</v>
      </c>
      <c r="C820" s="68">
        <f t="shared" si="79"/>
        <v>1538495.7946267016</v>
      </c>
      <c r="D820" s="67">
        <f t="array" ref="D820">SUM($B$7:$B815*$F$1009*EXP(-$F$1009*($A820-$A$7:$A815)))*$F$1010</f>
        <v>44266804.003769226</v>
      </c>
      <c r="E820" s="67">
        <f t="shared" si="77"/>
        <v>84.390753957033496</v>
      </c>
      <c r="F820" s="70">
        <f t="shared" si="81"/>
        <v>5.1242065802710748</v>
      </c>
      <c r="G820" s="67">
        <f>E820/'Lookup Tables'!$C$48</f>
        <v>168.78150791406699</v>
      </c>
      <c r="H820" s="70">
        <f t="shared" si="78"/>
        <v>2.8830615224774949E-2</v>
      </c>
      <c r="I820" s="71">
        <f t="shared" si="82"/>
        <v>0.24304537139625648</v>
      </c>
      <c r="L820" s="74"/>
      <c r="M820" s="74"/>
      <c r="N820" s="74"/>
      <c r="O820" s="74"/>
      <c r="P820" s="74"/>
      <c r="Q820" s="74"/>
      <c r="R820" s="74"/>
      <c r="S820" s="74"/>
      <c r="T820" s="74"/>
      <c r="U820" s="74"/>
      <c r="V820" s="74"/>
      <c r="W820" s="74"/>
      <c r="X820" s="74"/>
      <c r="Y820" s="74"/>
      <c r="Z820" s="74"/>
    </row>
    <row r="821" spans="1:26" x14ac:dyDescent="0.3">
      <c r="A821" s="66">
        <f t="shared" si="80"/>
        <v>2071.399999999926</v>
      </c>
      <c r="B821" s="67">
        <f>LOOKUP(A821+0.01,AmountsB!$A$4:$A$103,AmountsB!$B$4:$B$103)*0.1*$A$2</f>
        <v>0</v>
      </c>
      <c r="C821" s="68">
        <f t="shared" si="79"/>
        <v>1538495.7946267016</v>
      </c>
      <c r="D821" s="67">
        <f t="array" ref="D821">SUM($B$7:$B816*$F$1009*EXP(-$F$1009*($A821-$A$7:$A816)))*$F$1010</f>
        <v>44143030.316586301</v>
      </c>
      <c r="E821" s="67">
        <f t="shared" si="77"/>
        <v>84.154790349167897</v>
      </c>
      <c r="F821" s="70">
        <f t="shared" si="81"/>
        <v>5.1098788700014754</v>
      </c>
      <c r="G821" s="67">
        <f>E821/'Lookup Tables'!$C$48</f>
        <v>168.30958069833579</v>
      </c>
      <c r="H821" s="70">
        <f t="shared" si="78"/>
        <v>2.8750002412749515E-2</v>
      </c>
      <c r="I821" s="71">
        <f t="shared" si="82"/>
        <v>0.24236579620560358</v>
      </c>
      <c r="L821" s="74"/>
      <c r="M821" s="74"/>
      <c r="N821" s="74"/>
      <c r="O821" s="74"/>
      <c r="P821" s="74"/>
      <c r="Q821" s="74"/>
      <c r="R821" s="74"/>
      <c r="S821" s="74"/>
      <c r="T821" s="74"/>
      <c r="U821" s="74"/>
      <c r="V821" s="74"/>
      <c r="W821" s="74"/>
      <c r="X821" s="74"/>
      <c r="Y821" s="74"/>
      <c r="Z821" s="74"/>
    </row>
    <row r="822" spans="1:26" x14ac:dyDescent="0.3">
      <c r="A822" s="66">
        <f t="shared" si="80"/>
        <v>2071.4999999999259</v>
      </c>
      <c r="B822" s="67">
        <f>LOOKUP(A822+0.01,AmountsB!$A$4:$A$103,AmountsB!$B$4:$B$103)*0.1*$A$2</f>
        <v>0</v>
      </c>
      <c r="C822" s="68">
        <f t="shared" si="79"/>
        <v>1538495.7946267016</v>
      </c>
      <c r="D822" s="67">
        <f t="array" ref="D822">SUM($B$7:$B817*$F$1009*EXP(-$F$1009*($A822-$A$7:$A817)))*$F$1010</f>
        <v>44019602.710987151</v>
      </c>
      <c r="E822" s="67">
        <f t="shared" si="77"/>
        <v>83.919486515289634</v>
      </c>
      <c r="F822" s="70">
        <f t="shared" si="81"/>
        <v>5.0955912212083865</v>
      </c>
      <c r="G822" s="67">
        <f>E822/'Lookup Tables'!$C$48</f>
        <v>167.83897303057927</v>
      </c>
      <c r="H822" s="70">
        <f t="shared" si="78"/>
        <v>2.8669615000890235E-2</v>
      </c>
      <c r="I822" s="71">
        <f t="shared" si="82"/>
        <v>0.24168812116403413</v>
      </c>
      <c r="L822" s="74"/>
      <c r="M822" s="74"/>
      <c r="N822" s="74"/>
      <c r="O822" s="74"/>
      <c r="P822" s="74"/>
      <c r="Q822" s="74"/>
      <c r="R822" s="74"/>
      <c r="S822" s="74"/>
      <c r="T822" s="74"/>
      <c r="U822" s="74"/>
      <c r="V822" s="74"/>
      <c r="W822" s="74"/>
      <c r="X822" s="74"/>
      <c r="Y822" s="74"/>
      <c r="Z822" s="74"/>
    </row>
    <row r="823" spans="1:26" x14ac:dyDescent="0.3">
      <c r="A823" s="66">
        <f t="shared" si="80"/>
        <v>2071.5999999999258</v>
      </c>
      <c r="B823" s="67">
        <f>LOOKUP(A823+0.01,AmountsB!$A$4:$A$103,AmountsB!$B$4:$B$103)*0.1*$A$2</f>
        <v>0</v>
      </c>
      <c r="C823" s="68">
        <f t="shared" si="79"/>
        <v>1538495.7946267016</v>
      </c>
      <c r="D823" s="67">
        <f t="array" ref="D823">SUM($B$7:$B818*$F$1009*EXP(-$F$1009*($A823-$A$7:$A818)))*$F$1010</f>
        <v>43896520.219298758</v>
      </c>
      <c r="E823" s="67">
        <f t="shared" si="77"/>
        <v>83.684840610615581</v>
      </c>
      <c r="F823" s="70">
        <f t="shared" si="81"/>
        <v>5.0813435218765779</v>
      </c>
      <c r="G823" s="67">
        <f>E823/'Lookup Tables'!$C$48</f>
        <v>167.36968122123116</v>
      </c>
      <c r="H823" s="70">
        <f t="shared" si="78"/>
        <v>2.858945235895945E-2</v>
      </c>
      <c r="I823" s="71">
        <f t="shared" si="82"/>
        <v>0.24101234095857288</v>
      </c>
      <c r="L823" s="74"/>
      <c r="M823" s="74"/>
      <c r="N823" s="74"/>
      <c r="O823" s="74"/>
      <c r="P823" s="74"/>
      <c r="Q823" s="74"/>
      <c r="R823" s="74"/>
      <c r="S823" s="74"/>
      <c r="T823" s="74"/>
      <c r="U823" s="74"/>
      <c r="V823" s="74"/>
      <c r="W823" s="74"/>
      <c r="X823" s="74"/>
      <c r="Y823" s="74"/>
      <c r="Z823" s="74"/>
    </row>
    <row r="824" spans="1:26" x14ac:dyDescent="0.3">
      <c r="A824" s="66">
        <f t="shared" si="80"/>
        <v>2071.6999999999257</v>
      </c>
      <c r="B824" s="67">
        <f>LOOKUP(A824+0.01,AmountsB!$A$4:$A$103,AmountsB!$B$4:$B$103)*0.1*$A$2</f>
        <v>0</v>
      </c>
      <c r="C824" s="68">
        <f t="shared" si="79"/>
        <v>1538495.7946267016</v>
      </c>
      <c r="D824" s="67">
        <f t="array" ref="D824">SUM($B$7:$B819*$F$1009*EXP(-$F$1009*($A824-$A$7:$A819)))*$F$1010</f>
        <v>43773781.876553707</v>
      </c>
      <c r="E824" s="67">
        <f t="shared" si="77"/>
        <v>83.450850795520523</v>
      </c>
      <c r="F824" s="70">
        <f t="shared" si="81"/>
        <v>5.0671356603040056</v>
      </c>
      <c r="G824" s="67">
        <f>E824/'Lookup Tables'!$C$48</f>
        <v>166.90170159104105</v>
      </c>
      <c r="H824" s="70">
        <f t="shared" si="78"/>
        <v>2.8509513858481581E-2</v>
      </c>
      <c r="I824" s="71">
        <f t="shared" si="82"/>
        <v>0.2403384502910991</v>
      </c>
      <c r="L824" s="74"/>
      <c r="M824" s="74"/>
      <c r="N824" s="74"/>
      <c r="O824" s="74"/>
      <c r="P824" s="74"/>
      <c r="Q824" s="74"/>
      <c r="R824" s="74"/>
      <c r="S824" s="74"/>
      <c r="T824" s="74"/>
      <c r="U824" s="74"/>
      <c r="V824" s="74"/>
      <c r="W824" s="74"/>
      <c r="X824" s="74"/>
      <c r="Y824" s="74"/>
      <c r="Z824" s="74"/>
    </row>
    <row r="825" spans="1:26" x14ac:dyDescent="0.3">
      <c r="A825" s="66">
        <f t="shared" si="80"/>
        <v>2071.7999999999256</v>
      </c>
      <c r="B825" s="67">
        <f>LOOKUP(A825+0.01,AmountsB!$A$4:$A$103,AmountsB!$B$4:$B$103)*0.1*$A$2</f>
        <v>0</v>
      </c>
      <c r="C825" s="68">
        <f t="shared" si="79"/>
        <v>1538495.7946267016</v>
      </c>
      <c r="D825" s="67">
        <f t="array" ref="D825">SUM($B$7:$B820*$F$1009*EXP(-$F$1009*($A825-$A$7:$A820)))*$F$1010</f>
        <v>43651386.720482804</v>
      </c>
      <c r="E825" s="67">
        <f t="shared" si="77"/>
        <v>83.217515235523166</v>
      </c>
      <c r="F825" s="70">
        <f t="shared" si="81"/>
        <v>5.052967525100966</v>
      </c>
      <c r="G825" s="67">
        <f>E825/'Lookup Tables'!$C$48</f>
        <v>166.43503047104633</v>
      </c>
      <c r="H825" s="70">
        <f t="shared" si="78"/>
        <v>2.8429798872738405E-2</v>
      </c>
      <c r="I825" s="71">
        <f t="shared" si="82"/>
        <v>0.23966644387830671</v>
      </c>
      <c r="L825" s="74"/>
      <c r="M825" s="74"/>
      <c r="N825" s="74"/>
      <c r="O825" s="74"/>
      <c r="P825" s="74"/>
      <c r="Q825" s="74"/>
      <c r="R825" s="74"/>
      <c r="S825" s="74"/>
      <c r="T825" s="74"/>
      <c r="U825" s="74"/>
      <c r="V825" s="74"/>
      <c r="W825" s="74"/>
      <c r="X825" s="74"/>
      <c r="Y825" s="74"/>
      <c r="Z825" s="74"/>
    </row>
    <row r="826" spans="1:26" x14ac:dyDescent="0.3">
      <c r="A826" s="66">
        <f t="shared" si="80"/>
        <v>2071.8999999999255</v>
      </c>
      <c r="B826" s="67">
        <f>LOOKUP(A826+0.01,AmountsB!$A$4:$A$103,AmountsB!$B$4:$B$103)*0.1*$A$2</f>
        <v>0</v>
      </c>
      <c r="C826" s="68">
        <f t="shared" si="79"/>
        <v>1538495.7946267016</v>
      </c>
      <c r="D826" s="67">
        <f t="array" ref="D826">SUM($B$7:$B821*$F$1009*EXP(-$F$1009*($A826-$A$7:$A821)))*$F$1010</f>
        <v>43529333.791507363</v>
      </c>
      <c r="E826" s="67">
        <f t="shared" si="77"/>
        <v>82.984832101271493</v>
      </c>
      <c r="F826" s="70">
        <f t="shared" si="81"/>
        <v>5.0388390051892058</v>
      </c>
      <c r="G826" s="67">
        <f>E826/'Lookup Tables'!$C$48</f>
        <v>165.96966420254299</v>
      </c>
      <c r="H826" s="70">
        <f t="shared" si="78"/>
        <v>2.8350306776764006E-2</v>
      </c>
      <c r="I826" s="71">
        <f t="shared" si="82"/>
        <v>0.23899631645166192</v>
      </c>
      <c r="L826" s="74"/>
      <c r="M826" s="74"/>
      <c r="N826" s="74"/>
      <c r="O826" s="74"/>
      <c r="P826" s="74"/>
      <c r="Q826" s="74"/>
      <c r="R826" s="74"/>
      <c r="S826" s="74"/>
      <c r="T826" s="74"/>
      <c r="U826" s="74"/>
      <c r="V826" s="74"/>
      <c r="W826" s="74"/>
      <c r="X826" s="74"/>
      <c r="Y826" s="74"/>
      <c r="Z826" s="74"/>
    </row>
    <row r="827" spans="1:26" x14ac:dyDescent="0.3">
      <c r="A827" s="66">
        <f t="shared" si="80"/>
        <v>2071.9999999999254</v>
      </c>
      <c r="B827" s="67">
        <f>LOOKUP(A827+0.01,AmountsB!$A$4:$A$103,AmountsB!$B$4:$B$103)*0.1*$A$2</f>
        <v>0</v>
      </c>
      <c r="C827" s="68">
        <f t="shared" si="79"/>
        <v>1538495.7946267016</v>
      </c>
      <c r="D827" s="67">
        <f t="array" ref="D827">SUM($B$7:$B822*$F$1009*EXP(-$F$1009*($A827-$A$7:$A822)))*$F$1010</f>
        <v>43407622.132731803</v>
      </c>
      <c r="E827" s="67">
        <f t="shared" si="77"/>
        <v>82.75279956852853</v>
      </c>
      <c r="F827" s="70">
        <f t="shared" si="81"/>
        <v>5.0247499898010517</v>
      </c>
      <c r="G827" s="67">
        <f>E827/'Lookup Tables'!$C$48</f>
        <v>165.50559913705706</v>
      </c>
      <c r="H827" s="70">
        <f t="shared" si="78"/>
        <v>2.8271036947339935E-2</v>
      </c>
      <c r="I827" s="71">
        <f t="shared" si="82"/>
        <v>0.23832806275736215</v>
      </c>
      <c r="L827" s="74"/>
      <c r="M827" s="74"/>
      <c r="N827" s="74"/>
      <c r="O827" s="74"/>
      <c r="P827" s="74"/>
      <c r="Q827" s="74"/>
      <c r="R827" s="74"/>
      <c r="S827" s="74"/>
      <c r="T827" s="74"/>
      <c r="U827" s="74"/>
      <c r="V827" s="74"/>
      <c r="W827" s="74"/>
      <c r="X827" s="74"/>
      <c r="Y827" s="74"/>
      <c r="Z827" s="74"/>
    </row>
    <row r="828" spans="1:26" x14ac:dyDescent="0.3">
      <c r="A828" s="66">
        <f t="shared" si="80"/>
        <v>2072.0999999999253</v>
      </c>
      <c r="B828" s="67">
        <f>LOOKUP(A828+0.01,AmountsB!$A$4:$A$103,AmountsB!$B$4:$B$103)*0.1*$A$2</f>
        <v>0</v>
      </c>
      <c r="C828" s="68">
        <f t="shared" si="79"/>
        <v>1538495.7946267016</v>
      </c>
      <c r="D828" s="67">
        <f t="array" ref="D828">SUM($B$7:$B823*$F$1009*EXP(-$F$1009*($A828-$A$7:$A823)))*$F$1010</f>
        <v>43286250.789936118</v>
      </c>
      <c r="E828" s="67">
        <f t="shared" si="77"/>
        <v>82.52141581815809</v>
      </c>
      <c r="F828" s="70">
        <f t="shared" si="81"/>
        <v>5.0107003684785587</v>
      </c>
      <c r="G828" s="67">
        <f>E828/'Lookup Tables'!$C$48</f>
        <v>165.04283163631618</v>
      </c>
      <c r="H828" s="70">
        <f t="shared" si="78"/>
        <v>2.819198876299036E-2</v>
      </c>
      <c r="I828" s="71">
        <f t="shared" si="82"/>
        <v>0.2376616775562953</v>
      </c>
      <c r="L828" s="74"/>
      <c r="M828" s="74"/>
      <c r="N828" s="74"/>
      <c r="O828" s="74"/>
      <c r="P828" s="74"/>
      <c r="Q828" s="74"/>
      <c r="R828" s="74"/>
      <c r="S828" s="74"/>
      <c r="T828" s="74"/>
      <c r="U828" s="74"/>
      <c r="V828" s="74"/>
      <c r="W828" s="74"/>
      <c r="X828" s="74"/>
      <c r="Y828" s="74"/>
      <c r="Z828" s="74"/>
    </row>
    <row r="829" spans="1:26" x14ac:dyDescent="0.3">
      <c r="A829" s="66">
        <f t="shared" si="80"/>
        <v>2072.1999999999252</v>
      </c>
      <c r="B829" s="67">
        <f>LOOKUP(A829+0.01,AmountsB!$A$4:$A$103,AmountsB!$B$4:$B$103)*0.1*$A$2</f>
        <v>0</v>
      </c>
      <c r="C829" s="68">
        <f t="shared" si="79"/>
        <v>1538495.7946267016</v>
      </c>
      <c r="D829" s="67">
        <f t="array" ref="D829">SUM($B$7:$B824*$F$1009*EXP(-$F$1009*($A829-$A$7:$A824)))*$F$1010</f>
        <v>43165218.81156832</v>
      </c>
      <c r="E829" s="67">
        <f t="shared" si="77"/>
        <v>82.290679036110305</v>
      </c>
      <c r="F829" s="70">
        <f t="shared" si="81"/>
        <v>4.9966900310726174</v>
      </c>
      <c r="G829" s="67">
        <f>E829/'Lookup Tables'!$C$48</f>
        <v>164.58135807222061</v>
      </c>
      <c r="H829" s="70">
        <f t="shared" si="78"/>
        <v>2.8113161603977071E-2</v>
      </c>
      <c r="I829" s="71">
        <f t="shared" si="82"/>
        <v>0.23699715562399767</v>
      </c>
      <c r="L829" s="74"/>
      <c r="M829" s="74"/>
      <c r="N829" s="74"/>
      <c r="O829" s="74"/>
      <c r="P829" s="74"/>
      <c r="Q829" s="74"/>
      <c r="R829" s="74"/>
      <c r="S829" s="74"/>
      <c r="T829" s="74"/>
      <c r="U829" s="74"/>
      <c r="V829" s="74"/>
      <c r="W829" s="74"/>
      <c r="X829" s="74"/>
      <c r="Y829" s="74"/>
      <c r="Z829" s="74"/>
    </row>
    <row r="830" spans="1:26" x14ac:dyDescent="0.3">
      <c r="A830" s="66">
        <f t="shared" si="80"/>
        <v>2072.2999999999251</v>
      </c>
      <c r="B830" s="67">
        <f>LOOKUP(A830+0.01,AmountsB!$A$4:$A$103,AmountsB!$B$4:$B$103)*0.1*$A$2</f>
        <v>0</v>
      </c>
      <c r="C830" s="68">
        <f t="shared" si="79"/>
        <v>1538495.7946267016</v>
      </c>
      <c r="D830" s="67">
        <f t="array" ref="D830">SUM($B$7:$B825*$F$1009*EXP(-$F$1009*($A830-$A$7:$A825)))*$F$1010</f>
        <v>43044525.248737119</v>
      </c>
      <c r="E830" s="67">
        <f t="shared" si="77"/>
        <v>82.060587413407688</v>
      </c>
      <c r="F830" s="70">
        <f t="shared" si="81"/>
        <v>4.9827188677421157</v>
      </c>
      <c r="G830" s="67">
        <f>E830/'Lookup Tables'!$C$48</f>
        <v>164.12117482681538</v>
      </c>
      <c r="H830" s="70">
        <f t="shared" si="78"/>
        <v>2.8034554852294762E-2</v>
      </c>
      <c r="I830" s="71">
        <f t="shared" si="82"/>
        <v>0.23633449175061416</v>
      </c>
      <c r="L830" s="74"/>
      <c r="M830" s="74"/>
      <c r="N830" s="74"/>
      <c r="O830" s="74"/>
      <c r="P830" s="74"/>
      <c r="Q830" s="74"/>
      <c r="R830" s="74"/>
      <c r="S830" s="74"/>
      <c r="T830" s="74"/>
      <c r="U830" s="74"/>
      <c r="V830" s="74"/>
      <c r="W830" s="74"/>
      <c r="X830" s="74"/>
      <c r="Y830" s="74"/>
      <c r="Z830" s="74"/>
    </row>
    <row r="831" spans="1:26" x14ac:dyDescent="0.3">
      <c r="A831" s="66">
        <f t="shared" si="80"/>
        <v>2072.3999999999251</v>
      </c>
      <c r="B831" s="67">
        <f>LOOKUP(A831+0.01,AmountsB!$A$4:$A$103,AmountsB!$B$4:$B$103)*0.1*$A$2</f>
        <v>0</v>
      </c>
      <c r="C831" s="68">
        <f t="shared" si="79"/>
        <v>1538495.7946267016</v>
      </c>
      <c r="D831" s="67">
        <f t="array" ref="D831">SUM($B$7:$B826*$F$1009*EXP(-$F$1009*($A831-$A$7:$A826)))*$F$1010</f>
        <v>42924169.155204356</v>
      </c>
      <c r="E831" s="67">
        <f t="shared" si="77"/>
        <v>81.831139146130752</v>
      </c>
      <c r="F831" s="70">
        <f t="shared" si="81"/>
        <v>4.96878676895306</v>
      </c>
      <c r="G831" s="67">
        <f>E831/'Lookup Tables'!$C$48</f>
        <v>163.6622782922615</v>
      </c>
      <c r="H831" s="70">
        <f t="shared" si="78"/>
        <v>2.7956167891666103E-2</v>
      </c>
      <c r="I831" s="71">
        <f t="shared" si="82"/>
        <v>0.23567368074085657</v>
      </c>
      <c r="L831" s="74"/>
      <c r="M831" s="74"/>
      <c r="N831" s="74"/>
      <c r="O831" s="74"/>
      <c r="P831" s="74"/>
      <c r="Q831" s="74"/>
      <c r="R831" s="74"/>
      <c r="S831" s="74"/>
      <c r="T831" s="74"/>
      <c r="U831" s="74"/>
      <c r="V831" s="74"/>
      <c r="W831" s="74"/>
      <c r="X831" s="74"/>
      <c r="Y831" s="74"/>
      <c r="Z831" s="74"/>
    </row>
    <row r="832" spans="1:26" x14ac:dyDescent="0.3">
      <c r="A832" s="66">
        <f t="shared" si="80"/>
        <v>2072.499999999925</v>
      </c>
      <c r="B832" s="67">
        <f>LOOKUP(A832+0.01,AmountsB!$A$4:$A$103,AmountsB!$B$4:$B$103)*0.1*$A$2</f>
        <v>0</v>
      </c>
      <c r="C832" s="68">
        <f t="shared" si="79"/>
        <v>1538495.7946267016</v>
      </c>
      <c r="D832" s="67">
        <f t="array" ref="D832">SUM($B$7:$B827*$F$1009*EXP(-$F$1009*($A832-$A$7:$A827)))*$F$1010</f>
        <v>42804149.587377623</v>
      </c>
      <c r="E832" s="67">
        <f t="shared" si="77"/>
        <v>81.602332435403838</v>
      </c>
      <c r="F832" s="70">
        <f t="shared" si="81"/>
        <v>4.9548936254777214</v>
      </c>
      <c r="G832" s="67">
        <f>E832/'Lookup Tables'!$C$48</f>
        <v>163.20466487080768</v>
      </c>
      <c r="H832" s="70">
        <f t="shared" si="78"/>
        <v>2.7878000107536903E-2</v>
      </c>
      <c r="I832" s="71">
        <f t="shared" si="82"/>
        <v>0.23501471741396304</v>
      </c>
      <c r="L832" s="74"/>
      <c r="M832" s="74"/>
      <c r="N832" s="74"/>
      <c r="O832" s="74"/>
      <c r="P832" s="74"/>
      <c r="Q832" s="74"/>
      <c r="R832" s="74"/>
      <c r="S832" s="74"/>
      <c r="T832" s="74"/>
      <c r="U832" s="74"/>
      <c r="V832" s="74"/>
      <c r="W832" s="74"/>
      <c r="X832" s="74"/>
      <c r="Y832" s="74"/>
      <c r="Z832" s="74"/>
    </row>
    <row r="833" spans="1:26" x14ac:dyDescent="0.3">
      <c r="A833" s="66">
        <f t="shared" si="80"/>
        <v>2072.5999999999249</v>
      </c>
      <c r="B833" s="67">
        <f>LOOKUP(A833+0.01,AmountsB!$A$4:$A$103,AmountsB!$B$4:$B$103)*0.1*$A$2</f>
        <v>0</v>
      </c>
      <c r="C833" s="68">
        <f t="shared" si="79"/>
        <v>1538495.7946267016</v>
      </c>
      <c r="D833" s="67">
        <f t="array" ref="D833">SUM($B$7:$B828*$F$1009*EXP(-$F$1009*($A833-$A$7:$A828)))*$F$1010</f>
        <v>42684465.604302905</v>
      </c>
      <c r="E833" s="67">
        <f t="shared" si="77"/>
        <v>81.374165487381191</v>
      </c>
      <c r="F833" s="70">
        <f t="shared" si="81"/>
        <v>4.9410393283937859</v>
      </c>
      <c r="G833" s="67">
        <f>E833/'Lookup Tables'!$C$48</f>
        <v>162.74833097476238</v>
      </c>
      <c r="H833" s="70">
        <f t="shared" si="78"/>
        <v>2.780005088707134E-2</v>
      </c>
      <c r="I833" s="71">
        <f t="shared" si="82"/>
        <v>0.23435759660365785</v>
      </c>
      <c r="L833" s="74"/>
      <c r="M833" s="74"/>
      <c r="N833" s="74"/>
      <c r="O833" s="74"/>
      <c r="P833" s="74"/>
      <c r="Q833" s="74"/>
      <c r="R833" s="74"/>
      <c r="S833" s="74"/>
      <c r="T833" s="74"/>
      <c r="U833" s="74"/>
      <c r="V833" s="74"/>
      <c r="W833" s="74"/>
      <c r="X833" s="74"/>
      <c r="Y833" s="74"/>
      <c r="Z833" s="74"/>
    </row>
    <row r="834" spans="1:26" x14ac:dyDescent="0.3">
      <c r="A834" s="66">
        <f t="shared" si="80"/>
        <v>2072.6999999999248</v>
      </c>
      <c r="B834" s="67">
        <f>LOOKUP(A834+0.01,AmountsB!$A$4:$A$103,AmountsB!$B$4:$B$103)*0.1*$A$2</f>
        <v>0</v>
      </c>
      <c r="C834" s="68">
        <f t="shared" si="79"/>
        <v>1538495.7946267016</v>
      </c>
      <c r="D834" s="67">
        <f t="array" ref="D834">SUM($B$7:$B829*$F$1009*EXP(-$F$1009*($A834-$A$7:$A829)))*$F$1010</f>
        <v>42565116.267657153</v>
      </c>
      <c r="E834" s="67">
        <f t="shared" si="77"/>
        <v>81.146636513232778</v>
      </c>
      <c r="F834" s="70">
        <f t="shared" si="81"/>
        <v>4.9272237690834944</v>
      </c>
      <c r="G834" s="67">
        <f>E834/'Lookup Tables'!$C$48</f>
        <v>162.29327302646556</v>
      </c>
      <c r="H834" s="70">
        <f t="shared" si="78"/>
        <v>2.7722319619147121E-2</v>
      </c>
      <c r="I834" s="71">
        <f t="shared" si="82"/>
        <v>0.23370231315811041</v>
      </c>
      <c r="L834" s="74"/>
      <c r="M834" s="74"/>
      <c r="N834" s="74"/>
      <c r="O834" s="74"/>
      <c r="P834" s="74"/>
      <c r="Q834" s="74"/>
      <c r="R834" s="74"/>
      <c r="S834" s="74"/>
      <c r="T834" s="74"/>
      <c r="U834" s="74"/>
      <c r="V834" s="74"/>
      <c r="W834" s="74"/>
      <c r="X834" s="74"/>
      <c r="Y834" s="74"/>
      <c r="Z834" s="74"/>
    </row>
    <row r="835" spans="1:26" x14ac:dyDescent="0.3">
      <c r="A835" s="66">
        <f t="shared" si="80"/>
        <v>2072.7999999999247</v>
      </c>
      <c r="B835" s="67">
        <f>LOOKUP(A835+0.01,AmountsB!$A$4:$A$103,AmountsB!$B$4:$B$103)*0.1*$A$2</f>
        <v>0</v>
      </c>
      <c r="C835" s="68">
        <f t="shared" si="79"/>
        <v>1538495.7946267016</v>
      </c>
      <c r="D835" s="67">
        <f t="array" ref="D835">SUM($B$7:$B830*$F$1009*EXP(-$F$1009*($A835-$A$7:$A830)))*$F$1010</f>
        <v>42446100.64174097</v>
      </c>
      <c r="E835" s="67">
        <f t="shared" si="77"/>
        <v>80.919743729130275</v>
      </c>
      <c r="F835" s="70">
        <f t="shared" si="81"/>
        <v>4.9134468392327904</v>
      </c>
      <c r="G835" s="67">
        <f>E835/'Lookup Tables'!$C$48</f>
        <v>161.83948745826055</v>
      </c>
      <c r="H835" s="70">
        <f t="shared" si="78"/>
        <v>2.7644805694350717E-2</v>
      </c>
      <c r="I835" s="71">
        <f t="shared" si="82"/>
        <v>0.23304886193989521</v>
      </c>
      <c r="L835" s="74"/>
      <c r="M835" s="74"/>
      <c r="N835" s="74"/>
      <c r="O835" s="74"/>
      <c r="P835" s="74"/>
      <c r="Q835" s="74"/>
      <c r="R835" s="74"/>
      <c r="S835" s="74"/>
      <c r="T835" s="74"/>
      <c r="U835" s="74"/>
      <c r="V835" s="74"/>
      <c r="W835" s="74"/>
      <c r="X835" s="74"/>
      <c r="Y835" s="74"/>
      <c r="Z835" s="74"/>
    </row>
    <row r="836" spans="1:26" x14ac:dyDescent="0.3">
      <c r="A836" s="66">
        <f t="shared" si="80"/>
        <v>2072.8999999999246</v>
      </c>
      <c r="B836" s="67">
        <f>LOOKUP(A836+0.01,AmountsB!$A$4:$A$103,AmountsB!$B$4:$B$103)*0.1*$A$2</f>
        <v>0</v>
      </c>
      <c r="C836" s="68">
        <f t="shared" si="79"/>
        <v>1538495.7946267016</v>
      </c>
      <c r="D836" s="67">
        <f t="array" ref="D836">SUM($B$7:$B831*$F$1009*EXP(-$F$1009*($A836-$A$7:$A831)))*$F$1010</f>
        <v>42327417.793471225</v>
      </c>
      <c r="E836" s="67">
        <f t="shared" si="77"/>
        <v>80.693485356233083</v>
      </c>
      <c r="F836" s="70">
        <f t="shared" si="81"/>
        <v>4.8997084308304721</v>
      </c>
      <c r="G836" s="67">
        <f>E836/'Lookup Tables'!$C$48</f>
        <v>161.38697071246617</v>
      </c>
      <c r="H836" s="70">
        <f t="shared" si="78"/>
        <v>2.7567508504972554E-2</v>
      </c>
      <c r="I836" s="71">
        <f t="shared" si="82"/>
        <v>0.23239723782595126</v>
      </c>
      <c r="L836" s="74"/>
      <c r="M836" s="74"/>
      <c r="N836" s="74"/>
      <c r="O836" s="74"/>
      <c r="P836" s="74"/>
      <c r="Q836" s="74"/>
      <c r="R836" s="74"/>
      <c r="S836" s="74"/>
      <c r="T836" s="74"/>
      <c r="U836" s="74"/>
      <c r="V836" s="74"/>
      <c r="W836" s="74"/>
      <c r="X836" s="74"/>
      <c r="Y836" s="74"/>
      <c r="Z836" s="74"/>
    </row>
    <row r="837" spans="1:26" x14ac:dyDescent="0.3">
      <c r="A837" s="66">
        <f t="shared" si="80"/>
        <v>2072.9999999999245</v>
      </c>
      <c r="B837" s="67">
        <f>LOOKUP(A837+0.01,AmountsB!$A$4:$A$103,AmountsB!$B$4:$B$103)*0.1*$A$2</f>
        <v>0</v>
      </c>
      <c r="C837" s="68">
        <f t="shared" si="79"/>
        <v>1538495.7946267016</v>
      </c>
      <c r="D837" s="67">
        <f t="array" ref="D837">SUM($B$7:$B832*$F$1009*EXP(-$F$1009*($A837-$A$7:$A832)))*$F$1010</f>
        <v>42209066.792373806</v>
      </c>
      <c r="E837" s="67">
        <f t="shared" si="77"/>
        <v>80.467859620674432</v>
      </c>
      <c r="F837" s="70">
        <f t="shared" si="81"/>
        <v>4.8860084361673506</v>
      </c>
      <c r="G837" s="67">
        <f>E837/'Lookup Tables'!$C$48</f>
        <v>160.93571924134886</v>
      </c>
      <c r="H837" s="70">
        <f t="shared" si="78"/>
        <v>2.7490427445002286E-2</v>
      </c>
      <c r="I837" s="71">
        <f t="shared" si="82"/>
        <v>0.23174743570754236</v>
      </c>
      <c r="L837" s="74"/>
      <c r="M837" s="74"/>
      <c r="N837" s="74"/>
      <c r="O837" s="74"/>
      <c r="P837" s="74"/>
      <c r="Q837" s="74"/>
      <c r="R837" s="74"/>
      <c r="S837" s="74"/>
      <c r="T837" s="74"/>
      <c r="U837" s="74"/>
      <c r="V837" s="74"/>
      <c r="W837" s="74"/>
      <c r="X837" s="74"/>
      <c r="Y837" s="74"/>
      <c r="Z837" s="74"/>
    </row>
    <row r="838" spans="1:26" x14ac:dyDescent="0.3">
      <c r="A838" s="66">
        <f t="shared" si="80"/>
        <v>2073.0999999999244</v>
      </c>
      <c r="B838" s="67">
        <f>LOOKUP(A838+0.01,AmountsB!$A$4:$A$103,AmountsB!$B$4:$B$103)*0.1*$A$2</f>
        <v>0</v>
      </c>
      <c r="C838" s="68">
        <f t="shared" si="79"/>
        <v>1538495.7946267016</v>
      </c>
      <c r="D838" s="67">
        <f t="array" ref="D838">SUM($B$7:$B833*$F$1009*EXP(-$F$1009*($A838-$A$7:$A833)))*$F$1010</f>
        <v>42091046.710576229</v>
      </c>
      <c r="E838" s="67">
        <f t="shared" si="77"/>
        <v>80.242864753547352</v>
      </c>
      <c r="F838" s="70">
        <f t="shared" si="81"/>
        <v>4.8723467478353948</v>
      </c>
      <c r="G838" s="67">
        <f>E838/'Lookup Tables'!$C$48</f>
        <v>160.4857295070947</v>
      </c>
      <c r="H838" s="70">
        <f t="shared" si="78"/>
        <v>2.741356191012399E-2</v>
      </c>
      <c r="I838" s="71">
        <f t="shared" si="82"/>
        <v>0.23109945049021638</v>
      </c>
      <c r="L838" s="74"/>
      <c r="M838" s="74"/>
      <c r="N838" s="74"/>
      <c r="O838" s="74"/>
      <c r="P838" s="74"/>
      <c r="Q838" s="74"/>
      <c r="R838" s="74"/>
      <c r="S838" s="74"/>
      <c r="T838" s="74"/>
      <c r="U838" s="74"/>
      <c r="V838" s="74"/>
      <c r="W838" s="74"/>
      <c r="X838" s="74"/>
      <c r="Y838" s="74"/>
      <c r="Z838" s="74"/>
    </row>
    <row r="839" spans="1:26" x14ac:dyDescent="0.3">
      <c r="A839" s="66">
        <f t="shared" si="80"/>
        <v>2073.1999999999243</v>
      </c>
      <c r="B839" s="67">
        <f>LOOKUP(A839+0.01,AmountsB!$A$4:$A$103,AmountsB!$B$4:$B$103)*0.1*$A$2</f>
        <v>0</v>
      </c>
      <c r="C839" s="68">
        <f t="shared" si="79"/>
        <v>1538495.7946267016</v>
      </c>
      <c r="D839" s="67">
        <f t="array" ref="D839">SUM($B$7:$B834*$F$1009*EXP(-$F$1009*($A839-$A$7:$A834)))*$F$1010</f>
        <v>41973356.622800447</v>
      </c>
      <c r="E839" s="67">
        <f t="shared" ref="E839:E902" si="83">D839/(365*24*60)*1.00201</f>
        <v>80.018498990890947</v>
      </c>
      <c r="F839" s="70">
        <f t="shared" si="81"/>
        <v>4.8587232587268989</v>
      </c>
      <c r="G839" s="67">
        <f>E839/'Lookup Tables'!$C$48</f>
        <v>160.03699798178189</v>
      </c>
      <c r="H839" s="70">
        <f t="shared" ref="H839:H902" si="84">G839*60*24*365/(C839*2000)</f>
        <v>2.7336911297711479E-2</v>
      </c>
      <c r="I839" s="71">
        <f t="shared" si="82"/>
        <v>0.2304532770937659</v>
      </c>
      <c r="L839" s="74"/>
      <c r="M839" s="74"/>
      <c r="N839" s="74"/>
      <c r="O839" s="74"/>
      <c r="P839" s="74"/>
      <c r="Q839" s="74"/>
      <c r="R839" s="74"/>
      <c r="S839" s="74"/>
      <c r="T839" s="74"/>
      <c r="U839" s="74"/>
      <c r="V839" s="74"/>
      <c r="W839" s="74"/>
      <c r="X839" s="74"/>
      <c r="Y839" s="74"/>
      <c r="Z839" s="74"/>
    </row>
    <row r="840" spans="1:26" x14ac:dyDescent="0.3">
      <c r="A840" s="66">
        <f t="shared" si="80"/>
        <v>2073.2999999999242</v>
      </c>
      <c r="B840" s="67">
        <f>LOOKUP(A840+0.01,AmountsB!$A$4:$A$103,AmountsB!$B$4:$B$103)*0.1*$A$2</f>
        <v>0</v>
      </c>
      <c r="C840" s="68">
        <f t="shared" si="79"/>
        <v>1538495.7946267016</v>
      </c>
      <c r="D840" s="67">
        <f t="array" ref="D840">SUM($B$7:$B835*$F$1009*EXP(-$F$1009*($A840-$A$7:$A835)))*$F$1010</f>
        <v>41855995.606355608</v>
      </c>
      <c r="E840" s="67">
        <f t="shared" si="83"/>
        <v>79.794760573676527</v>
      </c>
      <c r="F840" s="70">
        <f t="shared" si="81"/>
        <v>4.8451378620336394</v>
      </c>
      <c r="G840" s="67">
        <f>E840/'Lookup Tables'!$C$48</f>
        <v>159.58952114735305</v>
      </c>
      <c r="H840" s="70">
        <f t="shared" si="84"/>
        <v>2.7260475006823583E-2</v>
      </c>
      <c r="I840" s="71">
        <f t="shared" si="82"/>
        <v>0.2298089104521884</v>
      </c>
      <c r="L840" s="74"/>
      <c r="M840" s="74"/>
      <c r="N840" s="74"/>
      <c r="O840" s="74"/>
      <c r="P840" s="74"/>
      <c r="Q840" s="74"/>
      <c r="R840" s="74"/>
      <c r="S840" s="74"/>
      <c r="T840" s="74"/>
      <c r="U840" s="74"/>
      <c r="V840" s="74"/>
      <c r="W840" s="74"/>
      <c r="X840" s="74"/>
      <c r="Y840" s="74"/>
      <c r="Z840" s="74"/>
    </row>
    <row r="841" spans="1:26" x14ac:dyDescent="0.3">
      <c r="A841" s="66">
        <f t="shared" si="80"/>
        <v>2073.3999999999241</v>
      </c>
      <c r="B841" s="67">
        <f>LOOKUP(A841+0.01,AmountsB!$A$4:$A$103,AmountsB!$B$4:$B$103)*0.1*$A$2</f>
        <v>0</v>
      </c>
      <c r="C841" s="68">
        <f t="shared" ref="C841:C904" si="85">C840+B841</f>
        <v>1538495.7946267016</v>
      </c>
      <c r="D841" s="67">
        <f t="array" ref="D841">SUM($B$7:$B836*$F$1009*EXP(-$F$1009*($A841-$A$7:$A836)))*$F$1010</f>
        <v>41738962.741130687</v>
      </c>
      <c r="E841" s="67">
        <f t="shared" si="83"/>
        <v>79.571647747793691</v>
      </c>
      <c r="F841" s="70">
        <f t="shared" si="81"/>
        <v>4.8315904512460337</v>
      </c>
      <c r="G841" s="67">
        <f>E841/'Lookup Tables'!$C$48</f>
        <v>159.14329549558738</v>
      </c>
      <c r="H841" s="70">
        <f t="shared" si="84"/>
        <v>2.7184252438199354E-2</v>
      </c>
      <c r="I841" s="71">
        <f t="shared" si="82"/>
        <v>0.22916634551364584</v>
      </c>
      <c r="L841" s="74"/>
      <c r="M841" s="74"/>
      <c r="N841" s="74"/>
      <c r="O841" s="74"/>
      <c r="P841" s="74"/>
      <c r="Q841" s="74"/>
      <c r="R841" s="74"/>
      <c r="S841" s="74"/>
      <c r="T841" s="74"/>
      <c r="U841" s="74"/>
      <c r="V841" s="74"/>
      <c r="W841" s="74"/>
      <c r="X841" s="74"/>
      <c r="Y841" s="74"/>
      <c r="Z841" s="74"/>
    </row>
    <row r="842" spans="1:26" x14ac:dyDescent="0.3">
      <c r="A842" s="66">
        <f t="shared" si="80"/>
        <v>2073.4999999999241</v>
      </c>
      <c r="B842" s="67">
        <f>LOOKUP(A842+0.01,AmountsB!$A$4:$A$103,AmountsB!$B$4:$B$103)*0.1*$A$2</f>
        <v>0</v>
      </c>
      <c r="C842" s="68">
        <f t="shared" si="85"/>
        <v>1538495.7946267016</v>
      </c>
      <c r="D842" s="67">
        <f t="array" ref="D842">SUM($B$7:$B837*$F$1009*EXP(-$F$1009*($A842-$A$7:$A837)))*$F$1010</f>
        <v>41622257.109587461</v>
      </c>
      <c r="E842" s="67">
        <f t="shared" si="83"/>
        <v>79.349158764036787</v>
      </c>
      <c r="F842" s="70">
        <f t="shared" si="81"/>
        <v>4.8180809201523136</v>
      </c>
      <c r="G842" s="67">
        <f>E842/'Lookup Tables'!$C$48</f>
        <v>158.69831752807357</v>
      </c>
      <c r="H842" s="70">
        <f t="shared" si="84"/>
        <v>2.710824299425349E-2</v>
      </c>
      <c r="I842" s="71">
        <f t="shared" si="82"/>
        <v>0.22852557724042596</v>
      </c>
      <c r="L842" s="74"/>
      <c r="M842" s="74"/>
      <c r="N842" s="74"/>
      <c r="O842" s="74"/>
      <c r="P842" s="74"/>
      <c r="Q842" s="74"/>
      <c r="R842" s="74"/>
      <c r="S842" s="74"/>
      <c r="T842" s="74"/>
      <c r="U842" s="74"/>
      <c r="V842" s="74"/>
      <c r="W842" s="74"/>
      <c r="X842" s="74"/>
      <c r="Y842" s="74"/>
      <c r="Z842" s="74"/>
    </row>
    <row r="843" spans="1:26" x14ac:dyDescent="0.3">
      <c r="A843" s="66">
        <f t="shared" si="80"/>
        <v>2073.599999999924</v>
      </c>
      <c r="B843" s="67">
        <f>LOOKUP(A843+0.01,AmountsB!$A$4:$A$103,AmountsB!$B$4:$B$103)*0.1*$A$2</f>
        <v>0</v>
      </c>
      <c r="C843" s="68">
        <f t="shared" si="85"/>
        <v>1538495.7946267016</v>
      </c>
      <c r="D843" s="67">
        <f t="array" ref="D843">SUM($B$7:$B838*$F$1009*EXP(-$F$1009*($A843-$A$7:$A838)))*$F$1010</f>
        <v>41505877.796753168</v>
      </c>
      <c r="E843" s="67">
        <f t="shared" si="83"/>
        <v>79.127291878091029</v>
      </c>
      <c r="F843" s="70">
        <f t="shared" si="81"/>
        <v>4.8046091628376866</v>
      </c>
      <c r="G843" s="67">
        <f>E843/'Lookup Tables'!$C$48</f>
        <v>158.25458375618206</v>
      </c>
      <c r="H843" s="70">
        <f t="shared" si="84"/>
        <v>2.7032446079071546E-2</v>
      </c>
      <c r="I843" s="71">
        <f t="shared" si="82"/>
        <v>0.22788660060890217</v>
      </c>
      <c r="L843" s="74"/>
      <c r="M843" s="74"/>
      <c r="N843" s="74"/>
      <c r="O843" s="74"/>
      <c r="P843" s="74"/>
      <c r="Q843" s="74"/>
      <c r="R843" s="74"/>
      <c r="S843" s="74"/>
      <c r="T843" s="74"/>
      <c r="U843" s="74"/>
      <c r="V843" s="74"/>
      <c r="W843" s="74"/>
      <c r="X843" s="74"/>
      <c r="Y843" s="74"/>
      <c r="Z843" s="74"/>
    </row>
    <row r="844" spans="1:26" x14ac:dyDescent="0.3">
      <c r="A844" s="66">
        <f t="shared" si="80"/>
        <v>2073.6999999999239</v>
      </c>
      <c r="B844" s="67">
        <f>LOOKUP(A844+0.01,AmountsB!$A$4:$A$103,AmountsB!$B$4:$B$103)*0.1*$A$2</f>
        <v>0</v>
      </c>
      <c r="C844" s="68">
        <f t="shared" si="85"/>
        <v>1538495.7946267016</v>
      </c>
      <c r="D844" s="67">
        <f t="array" ref="D844">SUM($B$7:$B839*$F$1009*EXP(-$F$1009*($A844-$A$7:$A839)))*$F$1010</f>
        <v>41389823.890213385</v>
      </c>
      <c r="E844" s="67">
        <f t="shared" si="83"/>
        <v>78.90604535051888</v>
      </c>
      <c r="F844" s="70">
        <f t="shared" si="81"/>
        <v>4.7911750736835055</v>
      </c>
      <c r="G844" s="67">
        <f>E844/'Lookup Tables'!$C$48</f>
        <v>157.81209070103776</v>
      </c>
      <c r="H844" s="70">
        <f t="shared" si="84"/>
        <v>2.6956861098405328E-2</v>
      </c>
      <c r="I844" s="71">
        <f t="shared" si="82"/>
        <v>0.22724941060949438</v>
      </c>
      <c r="L844" s="74"/>
      <c r="M844" s="74"/>
      <c r="N844" s="74"/>
      <c r="O844" s="74"/>
      <c r="P844" s="74"/>
      <c r="Q844" s="74"/>
      <c r="R844" s="74"/>
      <c r="S844" s="74"/>
      <c r="T844" s="74"/>
      <c r="U844" s="74"/>
      <c r="V844" s="74"/>
      <c r="W844" s="74"/>
      <c r="X844" s="74"/>
      <c r="Y844" s="74"/>
      <c r="Z844" s="74"/>
    </row>
    <row r="845" spans="1:26" x14ac:dyDescent="0.3">
      <c r="A845" s="66">
        <f t="shared" si="80"/>
        <v>2073.7999999999238</v>
      </c>
      <c r="B845" s="67">
        <f>LOOKUP(A845+0.01,AmountsB!$A$4:$A$103,AmountsB!$B$4:$B$103)*0.1*$A$2</f>
        <v>0</v>
      </c>
      <c r="C845" s="68">
        <f t="shared" si="85"/>
        <v>1538495.7946267016</v>
      </c>
      <c r="D845" s="67">
        <f t="array" ref="D845">SUM($B$7:$B840*$F$1009*EXP(-$F$1009*($A845-$A$7:$A840)))*$F$1010</f>
        <v>41274094.480104908</v>
      </c>
      <c r="E845" s="67">
        <f t="shared" si="83"/>
        <v>78.685417446746428</v>
      </c>
      <c r="F845" s="70">
        <f t="shared" si="81"/>
        <v>4.7777785473664434</v>
      </c>
      <c r="G845" s="67">
        <f>E845/'Lookup Tables'!$C$48</f>
        <v>157.37083489349286</v>
      </c>
      <c r="H845" s="70">
        <f t="shared" si="84"/>
        <v>2.6881487459668188E-2</v>
      </c>
      <c r="I845" s="71">
        <f t="shared" si="82"/>
        <v>0.2266140022466297</v>
      </c>
      <c r="L845" s="74"/>
      <c r="M845" s="74"/>
      <c r="N845" s="74"/>
      <c r="O845" s="74"/>
      <c r="P845" s="74"/>
      <c r="Q845" s="74"/>
      <c r="R845" s="74"/>
      <c r="S845" s="74"/>
      <c r="T845" s="74"/>
      <c r="U845" s="74"/>
      <c r="V845" s="74"/>
      <c r="W845" s="74"/>
      <c r="X845" s="74"/>
      <c r="Y845" s="74"/>
      <c r="Z845" s="74"/>
    </row>
    <row r="846" spans="1:26" x14ac:dyDescent="0.3">
      <c r="A846" s="66">
        <f t="shared" si="80"/>
        <v>2073.8999999999237</v>
      </c>
      <c r="B846" s="67">
        <f>LOOKUP(A846+0.01,AmountsB!$A$4:$A$103,AmountsB!$B$4:$B$103)*0.1*$A$2</f>
        <v>0</v>
      </c>
      <c r="C846" s="68">
        <f t="shared" si="85"/>
        <v>1538495.7946267016</v>
      </c>
      <c r="D846" s="67">
        <f t="array" ref="D846">SUM($B$7:$B841*$F$1009*EXP(-$F$1009*($A846-$A$7:$A841)))*$F$1010</f>
        <v>41158688.659108587</v>
      </c>
      <c r="E846" s="67">
        <f t="shared" si="83"/>
        <v>78.465406437049836</v>
      </c>
      <c r="F846" s="70">
        <f t="shared" si="81"/>
        <v>4.7644194788576666</v>
      </c>
      <c r="G846" s="67">
        <f>E846/'Lookup Tables'!$C$48</f>
        <v>156.93081287409967</v>
      </c>
      <c r="H846" s="70">
        <f t="shared" si="84"/>
        <v>2.680632457193044E-2</v>
      </c>
      <c r="I846" s="71">
        <f t="shared" si="82"/>
        <v>0.22598037053870354</v>
      </c>
      <c r="L846" s="74"/>
      <c r="M846" s="74"/>
      <c r="N846" s="74"/>
      <c r="O846" s="74"/>
      <c r="P846" s="74"/>
      <c r="Q846" s="74"/>
      <c r="R846" s="74"/>
      <c r="S846" s="74"/>
      <c r="T846" s="74"/>
      <c r="U846" s="74"/>
      <c r="V846" s="74"/>
      <c r="W846" s="74"/>
      <c r="X846" s="74"/>
      <c r="Y846" s="74"/>
      <c r="Z846" s="74"/>
    </row>
    <row r="847" spans="1:26" x14ac:dyDescent="0.3">
      <c r="A847" s="66">
        <f t="shared" si="80"/>
        <v>2073.9999999999236</v>
      </c>
      <c r="B847" s="67">
        <f>LOOKUP(A847+0.01,AmountsB!$A$4:$A$103,AmountsB!$B$4:$B$103)*0.1*$A$2</f>
        <v>0</v>
      </c>
      <c r="C847" s="68">
        <f t="shared" si="85"/>
        <v>1538495.7946267016</v>
      </c>
      <c r="D847" s="67">
        <f t="array" ref="D847">SUM($B$7:$B842*$F$1009*EXP(-$F$1009*($A847-$A$7:$A842)))*$F$1010</f>
        <v>41043605.522442155</v>
      </c>
      <c r="E847" s="67">
        <f t="shared" si="83"/>
        <v>78.246010596541609</v>
      </c>
      <c r="F847" s="70">
        <f t="shared" si="81"/>
        <v>4.7510977634220071</v>
      </c>
      <c r="G847" s="67">
        <f>E847/'Lookup Tables'!$C$48</f>
        <v>156.49202119308322</v>
      </c>
      <c r="H847" s="70">
        <f t="shared" si="84"/>
        <v>2.6731371845914634E-2</v>
      </c>
      <c r="I847" s="71">
        <f t="shared" si="82"/>
        <v>0.22534851051803986</v>
      </c>
      <c r="L847" s="74"/>
      <c r="M847" s="74"/>
      <c r="N847" s="74"/>
      <c r="O847" s="74"/>
      <c r="P847" s="74"/>
      <c r="Q847" s="74"/>
      <c r="R847" s="74"/>
      <c r="S847" s="74"/>
      <c r="T847" s="74"/>
      <c r="U847" s="74"/>
      <c r="V847" s="74"/>
      <c r="W847" s="74"/>
      <c r="X847" s="74"/>
      <c r="Y847" s="74"/>
      <c r="Z847" s="74"/>
    </row>
    <row r="848" spans="1:26" x14ac:dyDescent="0.3">
      <c r="A848" s="66">
        <f t="shared" si="80"/>
        <v>2074.0999999999235</v>
      </c>
      <c r="B848" s="67">
        <f>LOOKUP(A848+0.01,AmountsB!$A$4:$A$103,AmountsB!$B$4:$B$103)*0.1*$A$2</f>
        <v>0</v>
      </c>
      <c r="C848" s="68">
        <f t="shared" si="85"/>
        <v>1538495.7946267016</v>
      </c>
      <c r="D848" s="67">
        <f t="array" ref="D848">SUM($B$7:$B843*$F$1009*EXP(-$F$1009*($A848-$A$7:$A843)))*$F$1010</f>
        <v>40928844.167853244</v>
      </c>
      <c r="E848" s="67">
        <f t="shared" si="83"/>
        <v>78.027228205157215</v>
      </c>
      <c r="F848" s="70">
        <f t="shared" si="81"/>
        <v>4.7378132966171469</v>
      </c>
      <c r="G848" s="67">
        <f>E848/'Lookup Tables'!$C$48</f>
        <v>156.05445641031443</v>
      </c>
      <c r="H848" s="70">
        <f t="shared" si="84"/>
        <v>2.6656628693991009E-2</v>
      </c>
      <c r="I848" s="71">
        <f t="shared" si="82"/>
        <v>0.22471841723085278</v>
      </c>
      <c r="L848" s="74"/>
      <c r="M848" s="74"/>
      <c r="N848" s="74"/>
      <c r="O848" s="74"/>
      <c r="P848" s="74"/>
      <c r="Q848" s="74"/>
      <c r="R848" s="74"/>
      <c r="S848" s="74"/>
      <c r="T848" s="74"/>
      <c r="U848" s="74"/>
      <c r="V848" s="74"/>
      <c r="W848" s="74"/>
      <c r="X848" s="74"/>
      <c r="Y848" s="74"/>
      <c r="Z848" s="74"/>
    </row>
    <row r="849" spans="1:26" x14ac:dyDescent="0.3">
      <c r="A849" s="66">
        <f t="shared" si="80"/>
        <v>2074.1999999999234</v>
      </c>
      <c r="B849" s="67">
        <f>LOOKUP(A849+0.01,AmountsB!$A$4:$A$103,AmountsB!$B$4:$B$103)*0.1*$A$2</f>
        <v>0</v>
      </c>
      <c r="C849" s="68">
        <f t="shared" si="85"/>
        <v>1538495.7946267016</v>
      </c>
      <c r="D849" s="67">
        <f t="array" ref="D849">SUM($B$7:$B844*$F$1009*EXP(-$F$1009*($A849-$A$7:$A844)))*$F$1010</f>
        <v>40814403.695612259</v>
      </c>
      <c r="E849" s="67">
        <f t="shared" si="83"/>
        <v>77.809057547641629</v>
      </c>
      <c r="F849" s="70">
        <f t="shared" si="81"/>
        <v>4.7245659742927995</v>
      </c>
      <c r="G849" s="67">
        <f>E849/'Lookup Tables'!$C$48</f>
        <v>155.61811509528326</v>
      </c>
      <c r="H849" s="70">
        <f t="shared" si="84"/>
        <v>2.6582094530172889E-2</v>
      </c>
      <c r="I849" s="71">
        <f t="shared" si="82"/>
        <v>0.22409008573720787</v>
      </c>
      <c r="L849" s="74"/>
      <c r="M849" s="74"/>
      <c r="N849" s="74"/>
      <c r="O849" s="74"/>
      <c r="P849" s="74"/>
      <c r="Q849" s="74"/>
      <c r="R849" s="74"/>
      <c r="S849" s="74"/>
      <c r="T849" s="74"/>
      <c r="U849" s="74"/>
      <c r="V849" s="74"/>
      <c r="W849" s="74"/>
      <c r="X849" s="74"/>
      <c r="Y849" s="74"/>
      <c r="Z849" s="74"/>
    </row>
    <row r="850" spans="1:26" x14ac:dyDescent="0.3">
      <c r="A850" s="66">
        <f t="shared" si="80"/>
        <v>2074.2999999999233</v>
      </c>
      <c r="B850" s="67">
        <f>LOOKUP(A850+0.01,AmountsB!$A$4:$A$103,AmountsB!$B$4:$B$103)*0.1*$A$2</f>
        <v>0</v>
      </c>
      <c r="C850" s="68">
        <f t="shared" si="85"/>
        <v>1538495.7946267016</v>
      </c>
      <c r="D850" s="67">
        <f t="array" ref="D850">SUM($B$7:$B845*$F$1009*EXP(-$F$1009*($A850-$A$7:$A845)))*$F$1010</f>
        <v>40700283.208505303</v>
      </c>
      <c r="E850" s="67">
        <f t="shared" si="83"/>
        <v>77.591496913535764</v>
      </c>
      <c r="F850" s="70">
        <f t="shared" si="81"/>
        <v>4.7113556925898914</v>
      </c>
      <c r="G850" s="67">
        <f>E850/'Lookup Tables'!$C$48</f>
        <v>155.18299382707153</v>
      </c>
      <c r="H850" s="70">
        <f t="shared" si="84"/>
        <v>2.6507768770112045E-2</v>
      </c>
      <c r="I850" s="71">
        <f t="shared" si="82"/>
        <v>0.22346351111098298</v>
      </c>
      <c r="L850" s="74"/>
      <c r="M850" s="74"/>
      <c r="N850" s="74"/>
      <c r="O850" s="74"/>
      <c r="P850" s="74"/>
      <c r="Q850" s="74"/>
      <c r="R850" s="74"/>
      <c r="S850" s="74"/>
      <c r="T850" s="74"/>
      <c r="U850" s="74"/>
      <c r="V850" s="74"/>
      <c r="W850" s="74"/>
      <c r="X850" s="74"/>
      <c r="Y850" s="74"/>
      <c r="Z850" s="74"/>
    </row>
    <row r="851" spans="1:26" x14ac:dyDescent="0.3">
      <c r="A851" s="66">
        <f t="shared" ref="A851:A914" si="86">A850+0.1</f>
        <v>2074.3999999999232</v>
      </c>
      <c r="B851" s="67">
        <f>LOOKUP(A851+0.01,AmountsB!$A$4:$A$103,AmountsB!$B$4:$B$103)*0.1*$A$2</f>
        <v>0</v>
      </c>
      <c r="C851" s="68">
        <f t="shared" si="85"/>
        <v>1538495.7946267016</v>
      </c>
      <c r="D851" s="67">
        <f t="array" ref="D851">SUM($B$7:$B846*$F$1009*EXP(-$F$1009*($A851-$A$7:$A846)))*$F$1010</f>
        <v>40586481.811827175</v>
      </c>
      <c r="E851" s="67">
        <f t="shared" si="83"/>
        <v>77.374544597163151</v>
      </c>
      <c r="F851" s="70">
        <f t="shared" ref="F851:F914" si="87">E851*60*1012/1000000</f>
        <v>4.6981823479397464</v>
      </c>
      <c r="G851" s="67">
        <f>E851/'Lookup Tables'!$C$48</f>
        <v>154.7490891943263</v>
      </c>
      <c r="H851" s="70">
        <f t="shared" si="84"/>
        <v>2.6433650831094141E-2</v>
      </c>
      <c r="I851" s="71">
        <f t="shared" ref="I851:I914" si="88">G851*60*24/1000000</f>
        <v>0.22283868843982987</v>
      </c>
      <c r="L851" s="74"/>
      <c r="M851" s="74"/>
      <c r="N851" s="74"/>
      <c r="O851" s="74"/>
      <c r="P851" s="74"/>
      <c r="Q851" s="74"/>
      <c r="R851" s="74"/>
      <c r="S851" s="74"/>
      <c r="T851" s="74"/>
      <c r="U851" s="74"/>
      <c r="V851" s="74"/>
      <c r="W851" s="74"/>
      <c r="X851" s="74"/>
      <c r="Y851" s="74"/>
      <c r="Z851" s="74"/>
    </row>
    <row r="852" spans="1:26" x14ac:dyDescent="0.3">
      <c r="A852" s="66">
        <f t="shared" si="86"/>
        <v>2074.4999999999231</v>
      </c>
      <c r="B852" s="67">
        <f>LOOKUP(A852+0.01,AmountsB!$A$4:$A$103,AmountsB!$B$4:$B$103)*0.1*$A$2</f>
        <v>0</v>
      </c>
      <c r="C852" s="68">
        <f t="shared" si="85"/>
        <v>1538495.7946267016</v>
      </c>
      <c r="D852" s="67">
        <f t="array" ref="D852">SUM($B$7:$B847*$F$1009*EXP(-$F$1009*($A852-$A$7:$A847)))*$F$1010</f>
        <v>40472998.613374352</v>
      </c>
      <c r="E852" s="67">
        <f t="shared" si="83"/>
        <v>77.158198897616515</v>
      </c>
      <c r="F852" s="70">
        <f t="shared" si="87"/>
        <v>4.6850458370632744</v>
      </c>
      <c r="G852" s="67">
        <f>E852/'Lookup Tables'!$C$48</f>
        <v>154.31639779523303</v>
      </c>
      <c r="H852" s="70">
        <f t="shared" si="84"/>
        <v>2.6359740132034151E-2</v>
      </c>
      <c r="I852" s="71">
        <f t="shared" si="88"/>
        <v>0.22221561282513555</v>
      </c>
      <c r="L852" s="74"/>
      <c r="M852" s="74"/>
      <c r="N852" s="74"/>
      <c r="O852" s="74"/>
      <c r="P852" s="74"/>
      <c r="Q852" s="74"/>
      <c r="R852" s="74"/>
      <c r="S852" s="74"/>
      <c r="T852" s="74"/>
      <c r="U852" s="74"/>
      <c r="V852" s="74"/>
      <c r="W852" s="74"/>
      <c r="X852" s="74"/>
      <c r="Y852" s="74"/>
      <c r="Z852" s="74"/>
    </row>
    <row r="853" spans="1:26" x14ac:dyDescent="0.3">
      <c r="A853" s="66">
        <f t="shared" si="86"/>
        <v>2074.5999999999231</v>
      </c>
      <c r="B853" s="67">
        <f>LOOKUP(A853+0.01,AmountsB!$A$4:$A$103,AmountsB!$B$4:$B$103)*0.1*$A$2</f>
        <v>0</v>
      </c>
      <c r="C853" s="68">
        <f t="shared" si="85"/>
        <v>1538495.7946267016</v>
      </c>
      <c r="D853" s="67">
        <f t="array" ref="D853">SUM($B$7:$B848*$F$1009*EXP(-$F$1009*($A853-$A$7:$A848)))*$F$1010</f>
        <v>40359832.723437957</v>
      </c>
      <c r="E853" s="67">
        <f t="shared" si="83"/>
        <v>76.942458118744426</v>
      </c>
      <c r="F853" s="70">
        <f t="shared" si="87"/>
        <v>4.6719460569701612</v>
      </c>
      <c r="G853" s="67">
        <f>E853/'Lookup Tables'!$C$48</f>
        <v>153.88491623748885</v>
      </c>
      <c r="H853" s="70">
        <f t="shared" si="84"/>
        <v>2.6286036093471805E-2</v>
      </c>
      <c r="I853" s="71">
        <f t="shared" si="88"/>
        <v>0.22159427938198392</v>
      </c>
      <c r="L853" s="74"/>
      <c r="M853" s="74"/>
      <c r="N853" s="74"/>
      <c r="O853" s="74"/>
      <c r="P853" s="74"/>
      <c r="Q853" s="74"/>
      <c r="R853" s="74"/>
      <c r="S853" s="74"/>
      <c r="T853" s="74"/>
      <c r="U853" s="74"/>
      <c r="V853" s="74"/>
      <c r="W853" s="74"/>
      <c r="X853" s="74"/>
      <c r="Y853" s="74"/>
      <c r="Z853" s="74"/>
    </row>
    <row r="854" spans="1:26" x14ac:dyDescent="0.3">
      <c r="A854" s="66">
        <f t="shared" si="86"/>
        <v>2074.699999999923</v>
      </c>
      <c r="B854" s="67">
        <f>LOOKUP(A854+0.01,AmountsB!$A$4:$A$103,AmountsB!$B$4:$B$103)*0.1*$A$2</f>
        <v>0</v>
      </c>
      <c r="C854" s="68">
        <f t="shared" si="85"/>
        <v>1538495.7946267016</v>
      </c>
      <c r="D854" s="67">
        <f t="array" ref="D854">SUM($B$7:$B849*$F$1009*EXP(-$F$1009*($A854-$A$7:$A849)))*$F$1010</f>
        <v>40246983.25479684</v>
      </c>
      <c r="E854" s="67">
        <f t="shared" si="83"/>
        <v>76.727320569138101</v>
      </c>
      <c r="F854" s="70">
        <f t="shared" si="87"/>
        <v>4.658882904958066</v>
      </c>
      <c r="G854" s="67">
        <f>E854/'Lookup Tables'!$C$48</f>
        <v>153.4546411382762</v>
      </c>
      <c r="H854" s="70">
        <f t="shared" si="84"/>
        <v>2.621253813756708E-2</v>
      </c>
      <c r="I854" s="71">
        <f t="shared" si="88"/>
        <v>0.22097468323911773</v>
      </c>
      <c r="L854" s="74"/>
      <c r="M854" s="74"/>
      <c r="N854" s="74"/>
      <c r="O854" s="74"/>
      <c r="P854" s="74"/>
      <c r="Q854" s="74"/>
      <c r="R854" s="74"/>
      <c r="S854" s="74"/>
      <c r="T854" s="74"/>
      <c r="U854" s="74"/>
      <c r="V854" s="74"/>
      <c r="W854" s="74"/>
      <c r="X854" s="74"/>
      <c r="Y854" s="74"/>
      <c r="Z854" s="74"/>
    </row>
    <row r="855" spans="1:26" x14ac:dyDescent="0.3">
      <c r="A855" s="66">
        <f t="shared" si="86"/>
        <v>2074.7999999999229</v>
      </c>
      <c r="B855" s="67">
        <f>LOOKUP(A855+0.01,AmountsB!$A$4:$A$103,AmountsB!$B$4:$B$103)*0.1*$A$2</f>
        <v>0</v>
      </c>
      <c r="C855" s="68">
        <f t="shared" si="85"/>
        <v>1538495.7946267016</v>
      </c>
      <c r="D855" s="67">
        <f t="array" ref="D855">SUM($B$7:$B850*$F$1009*EXP(-$F$1009*($A855-$A$7:$A850)))*$F$1010</f>
        <v>40134449.322710603</v>
      </c>
      <c r="E855" s="67">
        <f t="shared" si="83"/>
        <v>76.512784562118071</v>
      </c>
      <c r="F855" s="70">
        <f t="shared" si="87"/>
        <v>4.6458562786118103</v>
      </c>
      <c r="G855" s="67">
        <f>E855/'Lookup Tables'!$C$48</f>
        <v>153.02556912423614</v>
      </c>
      <c r="H855" s="70">
        <f t="shared" si="84"/>
        <v>2.6139245688095624E-2</v>
      </c>
      <c r="I855" s="71">
        <f t="shared" si="88"/>
        <v>0.22035681953890005</v>
      </c>
      <c r="L855" s="74"/>
      <c r="M855" s="74"/>
      <c r="N855" s="74"/>
      <c r="O855" s="74"/>
      <c r="P855" s="74"/>
      <c r="Q855" s="74"/>
      <c r="R855" s="74"/>
      <c r="S855" s="74"/>
      <c r="T855" s="74"/>
      <c r="U855" s="74"/>
      <c r="V855" s="74"/>
      <c r="W855" s="74"/>
      <c r="X855" s="74"/>
      <c r="Y855" s="74"/>
      <c r="Z855" s="74"/>
    </row>
    <row r="856" spans="1:26" x14ac:dyDescent="0.3">
      <c r="A856" s="66">
        <f t="shared" si="86"/>
        <v>2074.8999999999228</v>
      </c>
      <c r="B856" s="67">
        <f>LOOKUP(A856+0.01,AmountsB!$A$4:$A$103,AmountsB!$B$4:$B$103)*0.1*$A$2</f>
        <v>0</v>
      </c>
      <c r="C856" s="68">
        <f t="shared" si="85"/>
        <v>1538495.7946267016</v>
      </c>
      <c r="D856" s="67">
        <f t="array" ref="D856">SUM($B$7:$B851*$F$1009*EXP(-$F$1009*($A856-$A$7:$A851)))*$F$1010</f>
        <v>40022230.044912614</v>
      </c>
      <c r="E856" s="67">
        <f t="shared" si="83"/>
        <v>76.298848415720869</v>
      </c>
      <c r="F856" s="70">
        <f t="shared" si="87"/>
        <v>4.6328660758025713</v>
      </c>
      <c r="G856" s="67">
        <f>E856/'Lookup Tables'!$C$48</f>
        <v>152.59769683144174</v>
      </c>
      <c r="H856" s="70">
        <f t="shared" si="84"/>
        <v>2.6066158170444231E-2</v>
      </c>
      <c r="I856" s="71">
        <f t="shared" si="88"/>
        <v>0.2197406834372761</v>
      </c>
      <c r="L856" s="74"/>
      <c r="M856" s="74"/>
      <c r="N856" s="74"/>
      <c r="O856" s="74"/>
      <c r="P856" s="74"/>
      <c r="Q856" s="74"/>
      <c r="R856" s="74"/>
      <c r="S856" s="74"/>
      <c r="T856" s="74"/>
      <c r="U856" s="74"/>
      <c r="V856" s="74"/>
      <c r="W856" s="74"/>
      <c r="X856" s="74"/>
      <c r="Y856" s="74"/>
      <c r="Z856" s="74"/>
    </row>
    <row r="857" spans="1:26" x14ac:dyDescent="0.3">
      <c r="A857" s="66">
        <f t="shared" si="86"/>
        <v>2074.9999999999227</v>
      </c>
      <c r="B857" s="67">
        <f>LOOKUP(A857+0.01,AmountsB!$A$4:$A$103,AmountsB!$B$4:$B$103)*0.1*$A$2</f>
        <v>0</v>
      </c>
      <c r="C857" s="68">
        <f t="shared" si="85"/>
        <v>1538495.7946267016</v>
      </c>
      <c r="D857" s="67">
        <f t="array" ref="D857">SUM($B$7:$B852*$F$1009*EXP(-$F$1009*($A857-$A$7:$A852)))*$F$1010</f>
        <v>39910324.541603178</v>
      </c>
      <c r="E857" s="67">
        <f t="shared" si="83"/>
        <v>76.08551045268608</v>
      </c>
      <c r="F857" s="70">
        <f t="shared" si="87"/>
        <v>4.6199121946870987</v>
      </c>
      <c r="G857" s="67">
        <f>E857/'Lookup Tables'!$C$48</f>
        <v>152.17102090537216</v>
      </c>
      <c r="H857" s="70">
        <f t="shared" si="84"/>
        <v>2.599327501160642E-2</v>
      </c>
      <c r="I857" s="71">
        <f t="shared" si="88"/>
        <v>0.21912627010373592</v>
      </c>
      <c r="L857" s="74"/>
      <c r="M857" s="74"/>
      <c r="N857" s="74"/>
      <c r="O857" s="74"/>
      <c r="P857" s="74"/>
      <c r="Q857" s="74"/>
      <c r="R857" s="74"/>
      <c r="S857" s="74"/>
      <c r="T857" s="74"/>
      <c r="U857" s="74"/>
      <c r="V857" s="74"/>
      <c r="W857" s="74"/>
      <c r="X857" s="74"/>
      <c r="Y857" s="74"/>
      <c r="Z857" s="74"/>
    </row>
    <row r="858" spans="1:26" x14ac:dyDescent="0.3">
      <c r="A858" s="66">
        <f t="shared" si="86"/>
        <v>2075.0999999999226</v>
      </c>
      <c r="B858" s="67">
        <f>LOOKUP(A858+0.01,AmountsB!$A$4:$A$103,AmountsB!$B$4:$B$103)*0.1*$A$2</f>
        <v>0</v>
      </c>
      <c r="C858" s="68">
        <f t="shared" si="85"/>
        <v>1538495.7946267016</v>
      </c>
      <c r="D858" s="67">
        <f t="array" ref="D858">SUM($B$7:$B853*$F$1009*EXP(-$F$1009*($A858-$A$7:$A853)))*$F$1010</f>
        <v>39798731.935442567</v>
      </c>
      <c r="E858" s="67">
        <f t="shared" si="83"/>
        <v>75.872769000442943</v>
      </c>
      <c r="F858" s="70">
        <f t="shared" si="87"/>
        <v>4.6069945337068949</v>
      </c>
      <c r="G858" s="67">
        <f>E858/'Lookup Tables'!$C$48</f>
        <v>151.74553800088589</v>
      </c>
      <c r="H858" s="70">
        <f t="shared" si="84"/>
        <v>2.5920595640177829E-2</v>
      </c>
      <c r="I858" s="71">
        <f t="shared" si="88"/>
        <v>0.21851357472127567</v>
      </c>
      <c r="L858" s="74"/>
      <c r="M858" s="74"/>
      <c r="N858" s="74"/>
      <c r="O858" s="74"/>
      <c r="P858" s="74"/>
      <c r="Q858" s="74"/>
      <c r="R858" s="74"/>
      <c r="S858" s="74"/>
      <c r="T858" s="74"/>
      <c r="U858" s="74"/>
      <c r="V858" s="74"/>
      <c r="W858" s="74"/>
      <c r="X858" s="74"/>
      <c r="Y858" s="74"/>
      <c r="Z858" s="74"/>
    </row>
    <row r="859" spans="1:26" x14ac:dyDescent="0.3">
      <c r="A859" s="66">
        <f t="shared" si="86"/>
        <v>2075.1999999999225</v>
      </c>
      <c r="B859" s="67">
        <f>LOOKUP(A859+0.01,AmountsB!$A$4:$A$103,AmountsB!$B$4:$B$103)*0.1*$A$2</f>
        <v>0</v>
      </c>
      <c r="C859" s="68">
        <f t="shared" si="85"/>
        <v>1538495.7946267016</v>
      </c>
      <c r="D859" s="67">
        <f t="array" ref="D859">SUM($B$7:$B854*$F$1009*EXP(-$F$1009*($A859-$A$7:$A854)))*$F$1010</f>
        <v>39687451.351544201</v>
      </c>
      <c r="E859" s="67">
        <f t="shared" si="83"/>
        <v>75.660622391097419</v>
      </c>
      <c r="F859" s="70">
        <f t="shared" si="87"/>
        <v>4.5941129915874361</v>
      </c>
      <c r="G859" s="67">
        <f>E859/'Lookup Tables'!$C$48</f>
        <v>151.32124478219484</v>
      </c>
      <c r="H859" s="70">
        <f t="shared" si="84"/>
        <v>2.5848119486351843E-2</v>
      </c>
      <c r="I859" s="71">
        <f t="shared" si="88"/>
        <v>0.21790259248636057</v>
      </c>
      <c r="L859" s="74"/>
      <c r="M859" s="74"/>
      <c r="N859" s="74"/>
      <c r="O859" s="74"/>
      <c r="P859" s="74"/>
      <c r="Q859" s="74"/>
      <c r="R859" s="74"/>
      <c r="S859" s="74"/>
      <c r="T859" s="74"/>
      <c r="U859" s="74"/>
      <c r="V859" s="74"/>
      <c r="W859" s="74"/>
      <c r="X859" s="74"/>
      <c r="Y859" s="74"/>
      <c r="Z859" s="74"/>
    </row>
    <row r="860" spans="1:26" x14ac:dyDescent="0.3">
      <c r="A860" s="66">
        <f t="shared" si="86"/>
        <v>2075.2999999999224</v>
      </c>
      <c r="B860" s="67">
        <f>LOOKUP(A860+0.01,AmountsB!$A$4:$A$103,AmountsB!$B$4:$B$103)*0.1*$A$2</f>
        <v>0</v>
      </c>
      <c r="C860" s="68">
        <f t="shared" si="85"/>
        <v>1538495.7946267016</v>
      </c>
      <c r="D860" s="67">
        <f t="array" ref="D860">SUM($B$7:$B855*$F$1009*EXP(-$F$1009*($A860-$A$7:$A855)))*$F$1010</f>
        <v>39576481.917467721</v>
      </c>
      <c r="E860" s="67">
        <f t="shared" si="83"/>
        <v>75.449068961419016</v>
      </c>
      <c r="F860" s="70">
        <f t="shared" si="87"/>
        <v>4.5812674673373621</v>
      </c>
      <c r="G860" s="67">
        <f>E860/'Lookup Tables'!$C$48</f>
        <v>150.89813792283803</v>
      </c>
      <c r="H860" s="70">
        <f t="shared" si="84"/>
        <v>2.5775845981915031E-2</v>
      </c>
      <c r="I860" s="71">
        <f t="shared" si="88"/>
        <v>0.21729331860888676</v>
      </c>
      <c r="L860" s="74"/>
      <c r="M860" s="74"/>
      <c r="N860" s="74"/>
      <c r="O860" s="74"/>
      <c r="P860" s="74"/>
      <c r="Q860" s="74"/>
      <c r="R860" s="74"/>
      <c r="S860" s="74"/>
      <c r="T860" s="74"/>
      <c r="U860" s="74"/>
      <c r="V860" s="74"/>
      <c r="W860" s="74"/>
      <c r="X860" s="74"/>
      <c r="Y860" s="74"/>
      <c r="Z860" s="74"/>
    </row>
    <row r="861" spans="1:26" x14ac:dyDescent="0.3">
      <c r="A861" s="66">
        <f t="shared" si="86"/>
        <v>2075.3999999999223</v>
      </c>
      <c r="B861" s="67">
        <f>LOOKUP(A861+0.01,AmountsB!$A$4:$A$103,AmountsB!$B$4:$B$103)*0.1*$A$2</f>
        <v>0</v>
      </c>
      <c r="C861" s="68">
        <f t="shared" si="85"/>
        <v>1538495.7946267016</v>
      </c>
      <c r="D861" s="67">
        <f t="array" ref="D861">SUM($B$7:$B856*$F$1009*EXP(-$F$1009*($A861-$A$7:$A856)))*$F$1010</f>
        <v>39465822.763212182</v>
      </c>
      <c r="E861" s="67">
        <f t="shared" si="83"/>
        <v>75.238107052827701</v>
      </c>
      <c r="F861" s="70">
        <f t="shared" si="87"/>
        <v>4.5684578602476975</v>
      </c>
      <c r="G861" s="67">
        <f>E861/'Lookup Tables'!$C$48</f>
        <v>150.4762141056554</v>
      </c>
      <c r="H861" s="70">
        <f t="shared" si="84"/>
        <v>2.5703774560242733E-2</v>
      </c>
      <c r="I861" s="71">
        <f t="shared" si="88"/>
        <v>0.21668574831214379</v>
      </c>
      <c r="L861" s="74"/>
      <c r="M861" s="74"/>
      <c r="N861" s="74"/>
      <c r="O861" s="74"/>
      <c r="P861" s="74"/>
      <c r="Q861" s="74"/>
      <c r="R861" s="74"/>
      <c r="S861" s="74"/>
      <c r="T861" s="74"/>
      <c r="U861" s="74"/>
      <c r="V861" s="74"/>
      <c r="W861" s="74"/>
      <c r="X861" s="74"/>
      <c r="Y861" s="74"/>
      <c r="Z861" s="74"/>
    </row>
    <row r="862" spans="1:26" x14ac:dyDescent="0.3">
      <c r="A862" s="66">
        <f t="shared" si="86"/>
        <v>2075.4999999999222</v>
      </c>
      <c r="B862" s="67">
        <f>LOOKUP(A862+0.01,AmountsB!$A$4:$A$103,AmountsB!$B$4:$B$103)*0.1*$A$2</f>
        <v>0</v>
      </c>
      <c r="C862" s="68">
        <f t="shared" si="85"/>
        <v>1538495.7946267016</v>
      </c>
      <c r="D862" s="67">
        <f t="array" ref="D862">SUM($B$7:$B857*$F$1009*EXP(-$F$1009*($A862-$A$7:$A857)))*$F$1010</f>
        <v>39355473.021209247</v>
      </c>
      <c r="E862" s="67">
        <f t="shared" si="83"/>
        <v>75.027735011381054</v>
      </c>
      <c r="F862" s="70">
        <f t="shared" si="87"/>
        <v>4.5556840698910577</v>
      </c>
      <c r="G862" s="67">
        <f>E862/'Lookup Tables'!$C$48</f>
        <v>150.05547002276211</v>
      </c>
      <c r="H862" s="70">
        <f t="shared" si="84"/>
        <v>2.5631904656294644E-2</v>
      </c>
      <c r="I862" s="71">
        <f t="shared" si="88"/>
        <v>0.21607987683277743</v>
      </c>
      <c r="L862" s="74"/>
      <c r="M862" s="74"/>
      <c r="N862" s="74"/>
      <c r="O862" s="74"/>
      <c r="P862" s="74"/>
      <c r="Q862" s="74"/>
      <c r="R862" s="74"/>
      <c r="S862" s="74"/>
      <c r="T862" s="74"/>
      <c r="U862" s="74"/>
      <c r="V862" s="74"/>
      <c r="W862" s="74"/>
      <c r="X862" s="74"/>
      <c r="Y862" s="74"/>
      <c r="Z862" s="74"/>
    </row>
    <row r="863" spans="1:26" x14ac:dyDescent="0.3">
      <c r="A863" s="66">
        <f t="shared" si="86"/>
        <v>2075.5999999999221</v>
      </c>
      <c r="B863" s="67">
        <f>LOOKUP(A863+0.01,AmountsB!$A$4:$A$103,AmountsB!$B$4:$B$103)*0.1*$A$2</f>
        <v>0</v>
      </c>
      <c r="C863" s="68">
        <f t="shared" si="85"/>
        <v>1538495.7946267016</v>
      </c>
      <c r="D863" s="67">
        <f t="array" ref="D863">SUM($B$7:$B858*$F$1009*EXP(-$F$1009*($A863-$A$7:$A858)))*$F$1010</f>
        <v>39245431.826316386</v>
      </c>
      <c r="E863" s="67">
        <f t="shared" si="83"/>
        <v>74.81795118776121</v>
      </c>
      <c r="F863" s="70">
        <f t="shared" si="87"/>
        <v>4.54294599612086</v>
      </c>
      <c r="G863" s="67">
        <f>E863/'Lookup Tables'!$C$48</f>
        <v>149.63590237552242</v>
      </c>
      <c r="H863" s="70">
        <f t="shared" si="84"/>
        <v>2.5560235706610354E-2</v>
      </c>
      <c r="I863" s="71">
        <f t="shared" si="88"/>
        <v>0.21547569942075226</v>
      </c>
      <c r="L863" s="74"/>
      <c r="M863" s="74"/>
      <c r="N863" s="74"/>
      <c r="O863" s="74"/>
      <c r="P863" s="74"/>
      <c r="Q863" s="74"/>
      <c r="R863" s="74"/>
      <c r="S863" s="74"/>
      <c r="T863" s="74"/>
      <c r="U863" s="74"/>
      <c r="V863" s="74"/>
      <c r="W863" s="74"/>
      <c r="X863" s="74"/>
      <c r="Y863" s="74"/>
      <c r="Z863" s="74"/>
    </row>
    <row r="864" spans="1:26" x14ac:dyDescent="0.3">
      <c r="A864" s="66">
        <f t="shared" si="86"/>
        <v>2075.6999999999221</v>
      </c>
      <c r="B864" s="67">
        <f>LOOKUP(A864+0.01,AmountsB!$A$4:$A$103,AmountsB!$B$4:$B$103)*0.1*$A$2</f>
        <v>0</v>
      </c>
      <c r="C864" s="68">
        <f t="shared" si="85"/>
        <v>1538495.7946267016</v>
      </c>
      <c r="D864" s="67">
        <f t="array" ref="D864">SUM($B$7:$B859*$F$1009*EXP(-$F$1009*($A864-$A$7:$A859)))*$F$1010</f>
        <v>39135698.315810062</v>
      </c>
      <c r="E864" s="67">
        <f t="shared" si="83"/>
        <v>74.608753937261866</v>
      </c>
      <c r="F864" s="70">
        <f t="shared" si="87"/>
        <v>4.5302435390705407</v>
      </c>
      <c r="G864" s="67">
        <f>E864/'Lookup Tables'!$C$48</f>
        <v>149.21750787452373</v>
      </c>
      <c r="H864" s="70">
        <f t="shared" si="84"/>
        <v>2.5488767149304918E-2</v>
      </c>
      <c r="I864" s="71">
        <f t="shared" si="88"/>
        <v>0.21487321133931417</v>
      </c>
      <c r="L864" s="74"/>
      <c r="M864" s="74"/>
      <c r="N864" s="74"/>
      <c r="O864" s="74"/>
      <c r="P864" s="74"/>
      <c r="Q864" s="74"/>
      <c r="R864" s="74"/>
      <c r="S864" s="74"/>
      <c r="T864" s="74"/>
      <c r="U864" s="74"/>
      <c r="V864" s="74"/>
      <c r="W864" s="74"/>
      <c r="X864" s="74"/>
      <c r="Y864" s="74"/>
      <c r="Z864" s="74"/>
    </row>
    <row r="865" spans="1:26" x14ac:dyDescent="0.3">
      <c r="A865" s="66">
        <f t="shared" si="86"/>
        <v>2075.799999999922</v>
      </c>
      <c r="B865" s="67">
        <f>LOOKUP(A865+0.01,AmountsB!$A$4:$A$103,AmountsB!$B$4:$B$103)*0.1*$A$2</f>
        <v>0</v>
      </c>
      <c r="C865" s="68">
        <f t="shared" si="85"/>
        <v>1538495.7946267016</v>
      </c>
      <c r="D865" s="67">
        <f t="array" ref="D865">SUM($B$7:$B860*$F$1009*EXP(-$F$1009*($A865-$A$7:$A860)))*$F$1010</f>
        <v>39026271.629378997</v>
      </c>
      <c r="E865" s="67">
        <f t="shared" si="83"/>
        <v>74.400141619775596</v>
      </c>
      <c r="F865" s="70">
        <f t="shared" si="87"/>
        <v>4.5175765991527737</v>
      </c>
      <c r="G865" s="67">
        <f>E865/'Lookup Tables'!$C$48</f>
        <v>148.80028323955119</v>
      </c>
      <c r="H865" s="70">
        <f t="shared" si="84"/>
        <v>2.5417498424064499E-2</v>
      </c>
      <c r="I865" s="71">
        <f t="shared" si="88"/>
        <v>0.21427240786495369</v>
      </c>
      <c r="L865" s="74"/>
      <c r="M865" s="74"/>
      <c r="N865" s="74"/>
      <c r="O865" s="74"/>
      <c r="P865" s="74"/>
      <c r="Q865" s="74"/>
      <c r="R865" s="74"/>
      <c r="S865" s="74"/>
      <c r="T865" s="74"/>
      <c r="U865" s="74"/>
      <c r="V865" s="74"/>
      <c r="W865" s="74"/>
      <c r="X865" s="74"/>
      <c r="Y865" s="74"/>
      <c r="Z865" s="74"/>
    </row>
    <row r="866" spans="1:26" x14ac:dyDescent="0.3">
      <c r="A866" s="66">
        <f t="shared" si="86"/>
        <v>2075.8999999999219</v>
      </c>
      <c r="B866" s="67">
        <f>LOOKUP(A866+0.01,AmountsB!$A$4:$A$103,AmountsB!$B$4:$B$103)*0.1*$A$2</f>
        <v>0</v>
      </c>
      <c r="C866" s="68">
        <f t="shared" si="85"/>
        <v>1538495.7946267016</v>
      </c>
      <c r="D866" s="67">
        <f t="array" ref="D866">SUM($B$7:$B861*$F$1009*EXP(-$F$1009*($A866-$A$7:$A861)))*$F$1010</f>
        <v>38917150.909117401</v>
      </c>
      <c r="E866" s="67">
        <f t="shared" si="83"/>
        <v>74.192112599780685</v>
      </c>
      <c r="F866" s="70">
        <f t="shared" si="87"/>
        <v>4.5049450770586832</v>
      </c>
      <c r="G866" s="67">
        <f>E866/'Lookup Tables'!$C$48</f>
        <v>148.38422519956137</v>
      </c>
      <c r="H866" s="70">
        <f t="shared" si="84"/>
        <v>2.5346428972141913E-2</v>
      </c>
      <c r="I866" s="71">
        <f t="shared" si="88"/>
        <v>0.21367328428736834</v>
      </c>
      <c r="L866" s="74"/>
      <c r="M866" s="74"/>
      <c r="N866" s="74"/>
      <c r="O866" s="74"/>
      <c r="P866" s="74"/>
      <c r="Q866" s="74"/>
      <c r="R866" s="74"/>
      <c r="S866" s="74"/>
      <c r="T866" s="74"/>
      <c r="U866" s="74"/>
      <c r="V866" s="74"/>
      <c r="W866" s="74"/>
      <c r="X866" s="74"/>
      <c r="Y866" s="74"/>
      <c r="Z866" s="74"/>
    </row>
    <row r="867" spans="1:26" x14ac:dyDescent="0.3">
      <c r="A867" s="66">
        <f t="shared" si="86"/>
        <v>2075.9999999999218</v>
      </c>
      <c r="B867" s="67">
        <f>LOOKUP(A867+0.01,AmountsB!$A$4:$A$103,AmountsB!$B$4:$B$103)*0.1*$A$2</f>
        <v>0</v>
      </c>
      <c r="C867" s="68">
        <f t="shared" si="85"/>
        <v>1538495.7946267016</v>
      </c>
      <c r="D867" s="67">
        <f t="array" ref="D867">SUM($B$7:$B862*$F$1009*EXP(-$F$1009*($A867-$A$7:$A862)))*$F$1010</f>
        <v>38808335.299518257</v>
      </c>
      <c r="E867" s="67">
        <f t="shared" si="83"/>
        <v>73.984665246328561</v>
      </c>
      <c r="F867" s="70">
        <f t="shared" si="87"/>
        <v>4.49234887375707</v>
      </c>
      <c r="G867" s="67">
        <f>E867/'Lookup Tables'!$C$48</f>
        <v>147.96933049265712</v>
      </c>
      <c r="H867" s="70">
        <f t="shared" si="84"/>
        <v>2.5275558236352292E-2</v>
      </c>
      <c r="I867" s="71">
        <f t="shared" si="88"/>
        <v>0.21307583590942625</v>
      </c>
      <c r="L867" s="74"/>
      <c r="M867" s="74"/>
      <c r="N867" s="74"/>
      <c r="O867" s="74"/>
      <c r="P867" s="74"/>
      <c r="Q867" s="74"/>
      <c r="R867" s="74"/>
      <c r="S867" s="74"/>
      <c r="T867" s="74"/>
      <c r="U867" s="74"/>
      <c r="V867" s="74"/>
      <c r="W867" s="74"/>
      <c r="X867" s="74"/>
      <c r="Y867" s="74"/>
      <c r="Z867" s="74"/>
    </row>
    <row r="868" spans="1:26" x14ac:dyDescent="0.3">
      <c r="A868" s="66">
        <f t="shared" si="86"/>
        <v>2076.0999999999217</v>
      </c>
      <c r="B868" s="67">
        <f>LOOKUP(A868+0.01,AmountsB!$A$4:$A$103,AmountsB!$B$4:$B$103)*0.1*$A$2</f>
        <v>0</v>
      </c>
      <c r="C868" s="68">
        <f t="shared" si="85"/>
        <v>1538495.7946267016</v>
      </c>
      <c r="D868" s="67">
        <f t="array" ref="D868">SUM($B$7:$B863*$F$1009*EXP(-$F$1009*($A868-$A$7:$A863)))*$F$1010</f>
        <v>38699823.947466642</v>
      </c>
      <c r="E868" s="67">
        <f t="shared" si="83"/>
        <v>73.777797933030925</v>
      </c>
      <c r="F868" s="70">
        <f t="shared" si="87"/>
        <v>4.479787890493637</v>
      </c>
      <c r="G868" s="67">
        <f>E868/'Lookup Tables'!$C$48</f>
        <v>147.55559586606185</v>
      </c>
      <c r="H868" s="70">
        <f t="shared" si="84"/>
        <v>2.52048856610687E-2</v>
      </c>
      <c r="I868" s="71">
        <f t="shared" si="88"/>
        <v>0.21248005804712905</v>
      </c>
      <c r="L868" s="74"/>
      <c r="M868" s="74"/>
      <c r="N868" s="74"/>
      <c r="O868" s="74"/>
      <c r="P868" s="74"/>
      <c r="Q868" s="74"/>
      <c r="R868" s="74"/>
      <c r="S868" s="74"/>
      <c r="T868" s="74"/>
      <c r="U868" s="74"/>
      <c r="V868" s="74"/>
      <c r="W868" s="74"/>
      <c r="X868" s="74"/>
      <c r="Y868" s="74"/>
      <c r="Z868" s="74"/>
    </row>
    <row r="869" spans="1:26" x14ac:dyDescent="0.3">
      <c r="A869" s="66">
        <f t="shared" si="86"/>
        <v>2076.1999999999216</v>
      </c>
      <c r="B869" s="67">
        <f>LOOKUP(A869+0.01,AmountsB!$A$4:$A$103,AmountsB!$B$4:$B$103)*0.1*$A$2</f>
        <v>0</v>
      </c>
      <c r="C869" s="68">
        <f t="shared" si="85"/>
        <v>1538495.7946267016</v>
      </c>
      <c r="D869" s="67">
        <f t="array" ref="D869">SUM($B$7:$B864*$F$1009*EXP(-$F$1009*($A869-$A$7:$A864)))*$F$1010</f>
        <v>38591616.002233021</v>
      </c>
      <c r="E869" s="67">
        <f t="shared" si="83"/>
        <v>73.571509038047012</v>
      </c>
      <c r="F869" s="70">
        <f t="shared" si="87"/>
        <v>4.4672620287902154</v>
      </c>
      <c r="G869" s="67">
        <f>E869/'Lookup Tables'!$C$48</f>
        <v>147.14301807609402</v>
      </c>
      <c r="H869" s="70">
        <f t="shared" si="84"/>
        <v>2.5134410692217814E-2</v>
      </c>
      <c r="I869" s="71">
        <f t="shared" si="88"/>
        <v>0.21188594602957539</v>
      </c>
      <c r="L869" s="74"/>
      <c r="M869" s="74"/>
      <c r="N869" s="74"/>
      <c r="O869" s="74"/>
      <c r="P869" s="74"/>
      <c r="Q869" s="74"/>
      <c r="R869" s="74"/>
      <c r="S869" s="74"/>
      <c r="T869" s="74"/>
      <c r="U869" s="74"/>
      <c r="V869" s="74"/>
      <c r="W869" s="74"/>
      <c r="X869" s="74"/>
      <c r="Y869" s="74"/>
      <c r="Z869" s="74"/>
    </row>
    <row r="870" spans="1:26" x14ac:dyDescent="0.3">
      <c r="A870" s="66">
        <f t="shared" si="86"/>
        <v>2076.2999999999215</v>
      </c>
      <c r="B870" s="67">
        <f>LOOKUP(A870+0.01,AmountsB!$A$4:$A$103,AmountsB!$B$4:$B$103)*0.1*$A$2</f>
        <v>0</v>
      </c>
      <c r="C870" s="68">
        <f t="shared" si="85"/>
        <v>1538495.7946267016</v>
      </c>
      <c r="D870" s="67">
        <f t="array" ref="D870">SUM($B$7:$B865*$F$1009*EXP(-$F$1009*($A870-$A$7:$A865)))*$F$1010</f>
        <v>38483710.615466513</v>
      </c>
      <c r="E870" s="67">
        <f t="shared" si="83"/>
        <v>73.36579694407078</v>
      </c>
      <c r="F870" s="70">
        <f t="shared" si="87"/>
        <v>4.454771190443978</v>
      </c>
      <c r="G870" s="67">
        <f>E870/'Lookup Tables'!$C$48</f>
        <v>146.73159388814156</v>
      </c>
      <c r="H870" s="70">
        <f t="shared" si="84"/>
        <v>2.5064132777275486E-2</v>
      </c>
      <c r="I870" s="71">
        <f t="shared" si="88"/>
        <v>0.21129349519892388</v>
      </c>
      <c r="L870" s="74"/>
      <c r="M870" s="74"/>
      <c r="N870" s="74"/>
      <c r="O870" s="74"/>
      <c r="P870" s="74"/>
      <c r="Q870" s="74"/>
      <c r="R870" s="74"/>
      <c r="S870" s="74"/>
      <c r="T870" s="74"/>
      <c r="U870" s="74"/>
      <c r="V870" s="74"/>
      <c r="W870" s="74"/>
      <c r="X870" s="74"/>
      <c r="Y870" s="74"/>
      <c r="Z870" s="74"/>
    </row>
    <row r="871" spans="1:26" x14ac:dyDescent="0.3">
      <c r="A871" s="66">
        <f t="shared" si="86"/>
        <v>2076.3999999999214</v>
      </c>
      <c r="B871" s="67">
        <f>LOOKUP(A871+0.01,AmountsB!$A$4:$A$103,AmountsB!$B$4:$B$103)*0.1*$A$2</f>
        <v>0</v>
      </c>
      <c r="C871" s="68">
        <f t="shared" si="85"/>
        <v>1538495.7946267016</v>
      </c>
      <c r="D871" s="67">
        <f t="array" ref="D871">SUM($B$7:$B866*$F$1009*EXP(-$F$1009*($A871-$A$7:$A866)))*$F$1010</f>
        <v>38376106.94118835</v>
      </c>
      <c r="E871" s="67">
        <f t="shared" si="83"/>
        <v>73.160660038318383</v>
      </c>
      <c r="F871" s="70">
        <f t="shared" si="87"/>
        <v>4.4423152775266921</v>
      </c>
      <c r="G871" s="67">
        <f>E871/'Lookup Tables'!$C$48</f>
        <v>146.32132007663677</v>
      </c>
      <c r="H871" s="70">
        <f t="shared" si="84"/>
        <v>2.4994051365262508E-2</v>
      </c>
      <c r="I871" s="71">
        <f t="shared" si="88"/>
        <v>0.21070270091035695</v>
      </c>
      <c r="L871" s="74"/>
      <c r="M871" s="74"/>
      <c r="N871" s="74"/>
      <c r="O871" s="74"/>
      <c r="P871" s="74"/>
      <c r="Q871" s="74"/>
      <c r="R871" s="74"/>
      <c r="S871" s="74"/>
      <c r="T871" s="74"/>
      <c r="U871" s="74"/>
      <c r="V871" s="74"/>
      <c r="W871" s="74"/>
      <c r="X871" s="74"/>
      <c r="Y871" s="74"/>
      <c r="Z871" s="74"/>
    </row>
    <row r="872" spans="1:26" x14ac:dyDescent="0.3">
      <c r="A872" s="66">
        <f t="shared" si="86"/>
        <v>2076.4999999999213</v>
      </c>
      <c r="B872" s="67">
        <f>LOOKUP(A872+0.01,AmountsB!$A$4:$A$103,AmountsB!$B$4:$B$103)*0.1*$A$2</f>
        <v>0</v>
      </c>
      <c r="C872" s="68">
        <f t="shared" si="85"/>
        <v>1538495.7946267016</v>
      </c>
      <c r="D872" s="67">
        <f t="array" ref="D872">SUM($B$7:$B867*$F$1009*EXP(-$F$1009*($A872-$A$7:$A867)))*$F$1010</f>
        <v>38268804.13578517</v>
      </c>
      <c r="E872" s="67">
        <f t="shared" si="83"/>
        <v>72.956096712515404</v>
      </c>
      <c r="F872" s="70">
        <f t="shared" si="87"/>
        <v>4.4298941923839354</v>
      </c>
      <c r="G872" s="67">
        <f>E872/'Lookup Tables'!$C$48</f>
        <v>145.91219342503081</v>
      </c>
      <c r="H872" s="70">
        <f t="shared" si="84"/>
        <v>2.4924165906740257E-2</v>
      </c>
      <c r="I872" s="71">
        <f t="shared" si="88"/>
        <v>0.21011355853204439</v>
      </c>
      <c r="L872" s="74"/>
      <c r="M872" s="74"/>
      <c r="N872" s="74"/>
      <c r="O872" s="74"/>
      <c r="P872" s="74"/>
      <c r="Q872" s="74"/>
      <c r="R872" s="74"/>
      <c r="S872" s="74"/>
      <c r="T872" s="74"/>
      <c r="U872" s="74"/>
      <c r="V872" s="74"/>
      <c r="W872" s="74"/>
      <c r="X872" s="74"/>
      <c r="Y872" s="74"/>
      <c r="Z872" s="74"/>
    </row>
    <row r="873" spans="1:26" x14ac:dyDescent="0.3">
      <c r="A873" s="66">
        <f t="shared" si="86"/>
        <v>2076.5999999999212</v>
      </c>
      <c r="B873" s="67">
        <f>LOOKUP(A873+0.01,AmountsB!$A$4:$A$103,AmountsB!$B$4:$B$103)*0.1*$A$2</f>
        <v>0</v>
      </c>
      <c r="C873" s="68">
        <f t="shared" si="85"/>
        <v>1538495.7946267016</v>
      </c>
      <c r="D873" s="67">
        <f t="array" ref="D873">SUM($B$7:$B868*$F$1009*EXP(-$F$1009*($A873-$A$7:$A868)))*$F$1010</f>
        <v>38161801.358002432</v>
      </c>
      <c r="E873" s="67">
        <f t="shared" si="83"/>
        <v>72.75210536288435</v>
      </c>
      <c r="F873" s="70">
        <f t="shared" si="87"/>
        <v>4.4175078376343384</v>
      </c>
      <c r="G873" s="67">
        <f>E873/'Lookup Tables'!$C$48</f>
        <v>145.5042107257687</v>
      </c>
      <c r="H873" s="70">
        <f t="shared" si="84"/>
        <v>2.4854475853806381E-2</v>
      </c>
      <c r="I873" s="71">
        <f t="shared" si="88"/>
        <v>0.20952606344510694</v>
      </c>
      <c r="L873" s="74"/>
      <c r="M873" s="74"/>
      <c r="N873" s="74"/>
      <c r="O873" s="74"/>
      <c r="P873" s="74"/>
      <c r="Q873" s="74"/>
      <c r="R873" s="74"/>
      <c r="S873" s="74"/>
      <c r="T873" s="74"/>
      <c r="U873" s="74"/>
      <c r="V873" s="74"/>
      <c r="W873" s="74"/>
      <c r="X873" s="74"/>
      <c r="Y873" s="74"/>
      <c r="Z873" s="74"/>
    </row>
    <row r="874" spans="1:26" x14ac:dyDescent="0.3">
      <c r="A874" s="66">
        <f t="shared" si="86"/>
        <v>2076.6999999999211</v>
      </c>
      <c r="B874" s="67">
        <f>LOOKUP(A874+0.01,AmountsB!$A$4:$A$103,AmountsB!$B$4:$B$103)*0.1*$A$2</f>
        <v>0</v>
      </c>
      <c r="C874" s="68">
        <f t="shared" si="85"/>
        <v>1538495.7946267016</v>
      </c>
      <c r="D874" s="67">
        <f t="array" ref="D874">SUM($B$7:$B869*$F$1009*EXP(-$F$1009*($A874-$A$7:$A869)))*$F$1010</f>
        <v>38055097.768937819</v>
      </c>
      <c r="E874" s="67">
        <f t="shared" si="83"/>
        <v>72.548684390132024</v>
      </c>
      <c r="F874" s="70">
        <f t="shared" si="87"/>
        <v>4.4051561161688166</v>
      </c>
      <c r="G874" s="67">
        <f>E874/'Lookup Tables'!$C$48</f>
        <v>145.09736878026405</v>
      </c>
      <c r="H874" s="70">
        <f t="shared" si="84"/>
        <v>2.4784980660090522E-2</v>
      </c>
      <c r="I874" s="71">
        <f t="shared" si="88"/>
        <v>0.20894021104358027</v>
      </c>
      <c r="L874" s="74"/>
      <c r="M874" s="74"/>
      <c r="N874" s="74"/>
      <c r="O874" s="74"/>
      <c r="P874" s="74"/>
      <c r="Q874" s="74"/>
      <c r="R874" s="74"/>
      <c r="S874" s="74"/>
      <c r="T874" s="74"/>
      <c r="U874" s="74"/>
      <c r="V874" s="74"/>
      <c r="W874" s="74"/>
      <c r="X874" s="74"/>
      <c r="Y874" s="74"/>
      <c r="Z874" s="74"/>
    </row>
    <row r="875" spans="1:26" x14ac:dyDescent="0.3">
      <c r="A875" s="66">
        <f t="shared" si="86"/>
        <v>2076.7999999999211</v>
      </c>
      <c r="B875" s="67">
        <f>LOOKUP(A875+0.01,AmountsB!$A$4:$A$103,AmountsB!$B$4:$B$103)*0.1*$A$2</f>
        <v>0</v>
      </c>
      <c r="C875" s="68">
        <f t="shared" si="85"/>
        <v>1538495.7946267016</v>
      </c>
      <c r="D875" s="67">
        <f t="array" ref="D875">SUM($B$7:$B870*$F$1009*EXP(-$F$1009*($A875-$A$7:$A870)))*$F$1010</f>
        <v>37948692.532034636</v>
      </c>
      <c r="E875" s="67">
        <f t="shared" si="83"/>
        <v>72.345832199436884</v>
      </c>
      <c r="F875" s="70">
        <f t="shared" si="87"/>
        <v>4.3928389311498082</v>
      </c>
      <c r="G875" s="67">
        <f>E875/'Lookup Tables'!$C$48</f>
        <v>144.69166439887377</v>
      </c>
      <c r="H875" s="70">
        <f t="shared" si="84"/>
        <v>2.4715679780749969E-2</v>
      </c>
      <c r="I875" s="71">
        <f t="shared" si="88"/>
        <v>0.20835599673437821</v>
      </c>
      <c r="L875" s="74"/>
      <c r="M875" s="74"/>
      <c r="N875" s="74"/>
      <c r="O875" s="74"/>
      <c r="P875" s="74"/>
      <c r="Q875" s="74"/>
      <c r="R875" s="74"/>
      <c r="S875" s="74"/>
      <c r="T875" s="74"/>
      <c r="U875" s="74"/>
      <c r="V875" s="74"/>
      <c r="W875" s="74"/>
      <c r="X875" s="74"/>
      <c r="Y875" s="74"/>
      <c r="Z875" s="74"/>
    </row>
    <row r="876" spans="1:26" x14ac:dyDescent="0.3">
      <c r="A876" s="66">
        <f t="shared" si="86"/>
        <v>2076.899999999921</v>
      </c>
      <c r="B876" s="67">
        <f>LOOKUP(A876+0.01,AmountsB!$A$4:$A$103,AmountsB!$B$4:$B$103)*0.1*$A$2</f>
        <v>0</v>
      </c>
      <c r="C876" s="68">
        <f t="shared" si="85"/>
        <v>1538495.7946267016</v>
      </c>
      <c r="D876" s="67">
        <f t="array" ref="D876">SUM($B$7:$B871*$F$1009*EXP(-$F$1009*($A876-$A$7:$A871)))*$F$1010</f>
        <v>37842584.813075282</v>
      </c>
      <c r="E876" s="67">
        <f t="shared" si="83"/>
        <v>72.143547200436771</v>
      </c>
      <c r="F876" s="70">
        <f t="shared" si="87"/>
        <v>4.3805561860105211</v>
      </c>
      <c r="G876" s="67">
        <f>E876/'Lookup Tables'!$C$48</f>
        <v>144.28709440087354</v>
      </c>
      <c r="H876" s="70">
        <f t="shared" si="84"/>
        <v>2.4646572672465502E-2</v>
      </c>
      <c r="I876" s="71">
        <f t="shared" si="88"/>
        <v>0.20777341593725787</v>
      </c>
      <c r="L876" s="74"/>
      <c r="M876" s="74"/>
      <c r="N876" s="74"/>
      <c r="O876" s="74"/>
      <c r="P876" s="74"/>
      <c r="Q876" s="74"/>
      <c r="R876" s="74"/>
      <c r="S876" s="74"/>
      <c r="T876" s="74"/>
      <c r="U876" s="74"/>
      <c r="V876" s="74"/>
      <c r="W876" s="74"/>
      <c r="X876" s="74"/>
      <c r="Y876" s="74"/>
      <c r="Z876" s="74"/>
    </row>
    <row r="877" spans="1:26" x14ac:dyDescent="0.3">
      <c r="A877" s="66">
        <f t="shared" si="86"/>
        <v>2076.9999999999209</v>
      </c>
      <c r="B877" s="67">
        <f>LOOKUP(A877+0.01,AmountsB!$A$4:$A$103,AmountsB!$B$4:$B$103)*0.1*$A$2</f>
        <v>0</v>
      </c>
      <c r="C877" s="68">
        <f t="shared" si="85"/>
        <v>1538495.7946267016</v>
      </c>
      <c r="D877" s="67">
        <f t="array" ref="D877">SUM($B$7:$B872*$F$1009*EXP(-$F$1009*($A877-$A$7:$A872)))*$F$1010</f>
        <v>37736773.780174702</v>
      </c>
      <c r="E877" s="67">
        <f t="shared" si="83"/>
        <v>71.941827807216242</v>
      </c>
      <c r="F877" s="70">
        <f t="shared" si="87"/>
        <v>4.3683077844541707</v>
      </c>
      <c r="G877" s="67">
        <f>E877/'Lookup Tables'!$C$48</f>
        <v>143.88365561443248</v>
      </c>
      <c r="H877" s="70">
        <f t="shared" si="84"/>
        <v>2.4577658793437041E-2</v>
      </c>
      <c r="I877" s="71">
        <f t="shared" si="88"/>
        <v>0.20719246408478278</v>
      </c>
      <c r="L877" s="74"/>
      <c r="M877" s="74"/>
      <c r="N877" s="74"/>
      <c r="O877" s="74"/>
      <c r="P877" s="74"/>
      <c r="Q877" s="74"/>
      <c r="R877" s="74"/>
      <c r="S877" s="74"/>
      <c r="T877" s="74"/>
      <c r="U877" s="74"/>
      <c r="V877" s="74"/>
      <c r="W877" s="74"/>
      <c r="X877" s="74"/>
      <c r="Y877" s="74"/>
      <c r="Z877" s="74"/>
    </row>
    <row r="878" spans="1:26" x14ac:dyDescent="0.3">
      <c r="A878" s="66">
        <f t="shared" si="86"/>
        <v>2077.0999999999208</v>
      </c>
      <c r="B878" s="67">
        <f>LOOKUP(A878+0.01,AmountsB!$A$4:$A$103,AmountsB!$B$4:$B$103)*0.1*$A$2</f>
        <v>0</v>
      </c>
      <c r="C878" s="68">
        <f t="shared" si="85"/>
        <v>1538495.7946267016</v>
      </c>
      <c r="D878" s="67">
        <f t="array" ref="D878">SUM($B$7:$B873*$F$1009*EXP(-$F$1009*($A878-$A$7:$A873)))*$F$1010</f>
        <v>37631258.603773847</v>
      </c>
      <c r="E878" s="67">
        <f t="shared" si="83"/>
        <v>71.740672438294212</v>
      </c>
      <c r="F878" s="70">
        <f t="shared" si="87"/>
        <v>4.3560936304532243</v>
      </c>
      <c r="G878" s="67">
        <f>E878/'Lookup Tables'!$C$48</f>
        <v>143.48134487658842</v>
      </c>
      <c r="H878" s="70">
        <f t="shared" si="84"/>
        <v>2.4508937603379397E-2</v>
      </c>
      <c r="I878" s="71">
        <f t="shared" si="88"/>
        <v>0.20661313662228734</v>
      </c>
      <c r="L878" s="74"/>
      <c r="M878" s="74"/>
      <c r="N878" s="74"/>
      <c r="O878" s="74"/>
      <c r="P878" s="74"/>
      <c r="Q878" s="74"/>
      <c r="R878" s="74"/>
      <c r="S878" s="74"/>
      <c r="T878" s="74"/>
      <c r="U878" s="74"/>
      <c r="V878" s="74"/>
      <c r="W878" s="74"/>
      <c r="X878" s="74"/>
      <c r="Y878" s="74"/>
      <c r="Z878" s="74"/>
    </row>
    <row r="879" spans="1:26" x14ac:dyDescent="0.3">
      <c r="A879" s="66">
        <f t="shared" si="86"/>
        <v>2077.1999999999207</v>
      </c>
      <c r="B879" s="67">
        <f>LOOKUP(A879+0.01,AmountsB!$A$4:$A$103,AmountsB!$B$4:$B$103)*0.1*$A$2</f>
        <v>0</v>
      </c>
      <c r="C879" s="68">
        <f t="shared" si="85"/>
        <v>1538495.7946267016</v>
      </c>
      <c r="D879" s="67">
        <f t="array" ref="D879">SUM($B$7:$B874*$F$1009*EXP(-$F$1009*($A879-$A$7:$A874)))*$F$1010</f>
        <v>37526038.456633188</v>
      </c>
      <c r="E879" s="67">
        <f t="shared" si="83"/>
        <v>71.540079516611542</v>
      </c>
      <c r="F879" s="70">
        <f t="shared" si="87"/>
        <v>4.3439136282486537</v>
      </c>
      <c r="G879" s="67">
        <f>E879/'Lookup Tables'!$C$48</f>
        <v>143.08015903322308</v>
      </c>
      <c r="H879" s="70">
        <f t="shared" si="84"/>
        <v>2.4440408563518104E-2</v>
      </c>
      <c r="I879" s="71">
        <f t="shared" si="88"/>
        <v>0.20603542900784125</v>
      </c>
      <c r="L879" s="74"/>
      <c r="M879" s="74"/>
      <c r="N879" s="74"/>
      <c r="O879" s="74"/>
      <c r="P879" s="74"/>
      <c r="Q879" s="74"/>
      <c r="R879" s="74"/>
      <c r="S879" s="74"/>
      <c r="T879" s="74"/>
      <c r="U879" s="74"/>
      <c r="V879" s="74"/>
      <c r="W879" s="74"/>
      <c r="X879" s="74"/>
      <c r="Y879" s="74"/>
      <c r="Z879" s="74"/>
    </row>
    <row r="880" spans="1:26" x14ac:dyDescent="0.3">
      <c r="A880" s="66">
        <f t="shared" si="86"/>
        <v>2077.2999999999206</v>
      </c>
      <c r="B880" s="67">
        <f>LOOKUP(A880+0.01,AmountsB!$A$4:$A$103,AmountsB!$B$4:$B$103)*0.1*$A$2</f>
        <v>0</v>
      </c>
      <c r="C880" s="68">
        <f t="shared" si="85"/>
        <v>1538495.7946267016</v>
      </c>
      <c r="D880" s="67">
        <f t="array" ref="D880">SUM($B$7:$B875*$F$1009*EXP(-$F$1009*($A880-$A$7:$A875)))*$F$1010</f>
        <v>37421112.513826244</v>
      </c>
      <c r="E880" s="67">
        <f t="shared" si="83"/>
        <v>71.340047469518709</v>
      </c>
      <c r="F880" s="70">
        <f t="shared" si="87"/>
        <v>4.3317676823491764</v>
      </c>
      <c r="G880" s="67">
        <f>E880/'Lookup Tables'!$C$48</f>
        <v>142.68009493903742</v>
      </c>
      <c r="H880" s="70">
        <f t="shared" si="84"/>
        <v>2.4372071136585131E-2</v>
      </c>
      <c r="I880" s="71">
        <f t="shared" si="88"/>
        <v>0.20545933671221389</v>
      </c>
      <c r="L880" s="74"/>
      <c r="M880" s="74"/>
      <c r="N880" s="74"/>
      <c r="O880" s="74"/>
      <c r="P880" s="74"/>
      <c r="Q880" s="74"/>
      <c r="R880" s="74"/>
      <c r="S880" s="74"/>
      <c r="T880" s="74"/>
      <c r="U880" s="74"/>
      <c r="V880" s="74"/>
      <c r="W880" s="74"/>
      <c r="X880" s="74"/>
      <c r="Y880" s="74"/>
      <c r="Z880" s="74"/>
    </row>
    <row r="881" spans="1:26" x14ac:dyDescent="0.3">
      <c r="A881" s="66">
        <f t="shared" si="86"/>
        <v>2077.3999999999205</v>
      </c>
      <c r="B881" s="67">
        <f>LOOKUP(A881+0.01,AmountsB!$A$4:$A$103,AmountsB!$B$4:$B$103)*0.1*$A$2</f>
        <v>0</v>
      </c>
      <c r="C881" s="68">
        <f t="shared" si="85"/>
        <v>1538495.7946267016</v>
      </c>
      <c r="D881" s="67">
        <f t="array" ref="D881">SUM($B$7:$B876*$F$1009*EXP(-$F$1009*($A881-$A$7:$A876)))*$F$1010</f>
        <v>37316479.952733077</v>
      </c>
      <c r="E881" s="67">
        <f t="shared" si="83"/>
        <v>71.140574728763454</v>
      </c>
      <c r="F881" s="70">
        <f t="shared" si="87"/>
        <v>4.319655697530516</v>
      </c>
      <c r="G881" s="67">
        <f>E881/'Lookup Tables'!$C$48</f>
        <v>142.28114945752691</v>
      </c>
      <c r="H881" s="70">
        <f t="shared" si="84"/>
        <v>2.4303924786814694E-2</v>
      </c>
      <c r="I881" s="71">
        <f t="shared" si="88"/>
        <v>0.20488485521883873</v>
      </c>
      <c r="L881" s="74"/>
      <c r="M881" s="74"/>
      <c r="N881" s="74"/>
      <c r="O881" s="74"/>
      <c r="P881" s="74"/>
      <c r="Q881" s="74"/>
      <c r="R881" s="74"/>
      <c r="S881" s="74"/>
      <c r="T881" s="74"/>
      <c r="U881" s="74"/>
      <c r="V881" s="74"/>
      <c r="W881" s="74"/>
      <c r="X881" s="74"/>
      <c r="Y881" s="74"/>
      <c r="Z881" s="74"/>
    </row>
    <row r="882" spans="1:26" x14ac:dyDescent="0.3">
      <c r="A882" s="66">
        <f t="shared" si="86"/>
        <v>2077.4999999999204</v>
      </c>
      <c r="B882" s="67">
        <f>LOOKUP(A882+0.01,AmountsB!$A$4:$A$103,AmountsB!$B$4:$B$103)*0.1*$A$2</f>
        <v>0</v>
      </c>
      <c r="C882" s="68">
        <f t="shared" si="85"/>
        <v>1538495.7946267016</v>
      </c>
      <c r="D882" s="67">
        <f t="array" ref="D882">SUM($B$7:$B877*$F$1009*EXP(-$F$1009*($A882-$A$7:$A877)))*$F$1010</f>
        <v>37212139.953033887</v>
      </c>
      <c r="E882" s="67">
        <f t="shared" si="83"/>
        <v>70.941659730478477</v>
      </c>
      <c r="F882" s="70">
        <f t="shared" si="87"/>
        <v>4.3075775788346533</v>
      </c>
      <c r="G882" s="67">
        <f>E882/'Lookup Tables'!$C$48</f>
        <v>141.88331946095695</v>
      </c>
      <c r="H882" s="70">
        <f t="shared" si="84"/>
        <v>2.4235968979939095E-2</v>
      </c>
      <c r="I882" s="71">
        <f t="shared" si="88"/>
        <v>0.20431198002377801</v>
      </c>
      <c r="L882" s="74"/>
      <c r="M882" s="74"/>
      <c r="N882" s="74"/>
      <c r="O882" s="74"/>
      <c r="P882" s="74"/>
      <c r="Q882" s="74"/>
      <c r="R882" s="74"/>
      <c r="S882" s="74"/>
      <c r="T882" s="74"/>
      <c r="U882" s="74"/>
      <c r="V882" s="74"/>
      <c r="W882" s="74"/>
      <c r="X882" s="74"/>
      <c r="Y882" s="74"/>
      <c r="Z882" s="74"/>
    </row>
    <row r="883" spans="1:26" x14ac:dyDescent="0.3">
      <c r="A883" s="66">
        <f t="shared" si="86"/>
        <v>2077.5999999999203</v>
      </c>
      <c r="B883" s="67">
        <f>LOOKUP(A883+0.01,AmountsB!$A$4:$A$103,AmountsB!$B$4:$B$103)*0.1*$A$2</f>
        <v>0</v>
      </c>
      <c r="C883" s="68">
        <f t="shared" si="85"/>
        <v>1538495.7946267016</v>
      </c>
      <c r="D883" s="67">
        <f t="array" ref="D883">SUM($B$7:$B878*$F$1009*EXP(-$F$1009*($A883-$A$7:$A878)))*$F$1010</f>
        <v>37108091.69670254</v>
      </c>
      <c r="E883" s="67">
        <f t="shared" si="83"/>
        <v>70.743300915169158</v>
      </c>
      <c r="F883" s="70">
        <f t="shared" si="87"/>
        <v>4.2955332315690713</v>
      </c>
      <c r="G883" s="67">
        <f>E883/'Lookup Tables'!$C$48</f>
        <v>141.48660183033832</v>
      </c>
      <c r="H883" s="70">
        <f t="shared" si="84"/>
        <v>2.4168203183184429E-2</v>
      </c>
      <c r="I883" s="71">
        <f t="shared" si="88"/>
        <v>0.20374070663568719</v>
      </c>
      <c r="L883" s="74"/>
      <c r="M883" s="74"/>
      <c r="N883" s="74"/>
      <c r="O883" s="74"/>
      <c r="P883" s="74"/>
      <c r="Q883" s="74"/>
      <c r="R883" s="74"/>
      <c r="S883" s="74"/>
      <c r="T883" s="74"/>
      <c r="U883" s="74"/>
      <c r="V883" s="74"/>
      <c r="W883" s="74"/>
      <c r="X883" s="74"/>
      <c r="Y883" s="74"/>
      <c r="Z883" s="74"/>
    </row>
    <row r="884" spans="1:26" x14ac:dyDescent="0.3">
      <c r="A884" s="66">
        <f t="shared" si="86"/>
        <v>2077.6999999999202</v>
      </c>
      <c r="B884" s="67">
        <f>LOOKUP(A884+0.01,AmountsB!$A$4:$A$103,AmountsB!$B$4:$B$103)*0.1*$A$2</f>
        <v>0</v>
      </c>
      <c r="C884" s="68">
        <f t="shared" si="85"/>
        <v>1538495.7946267016</v>
      </c>
      <c r="D884" s="67">
        <f t="array" ref="D884">SUM($B$7:$B879*$F$1009*EXP(-$F$1009*($A884-$A$7:$A879)))*$F$1010</f>
        <v>37004334.368000165</v>
      </c>
      <c r="E884" s="67">
        <f t="shared" si="83"/>
        <v>70.545496727701391</v>
      </c>
      <c r="F884" s="70">
        <f t="shared" si="87"/>
        <v>4.2835225613060288</v>
      </c>
      <c r="G884" s="67">
        <f>E884/'Lookup Tables'!$C$48</f>
        <v>141.09099345540278</v>
      </c>
      <c r="H884" s="70">
        <f t="shared" si="84"/>
        <v>2.4100626865266518E-2</v>
      </c>
      <c r="I884" s="71">
        <f t="shared" si="88"/>
        <v>0.20317103057577998</v>
      </c>
      <c r="L884" s="74"/>
      <c r="M884" s="74"/>
      <c r="N884" s="74"/>
      <c r="O884" s="74"/>
      <c r="P884" s="74"/>
      <c r="Q884" s="74"/>
      <c r="R884" s="74"/>
      <c r="S884" s="74"/>
      <c r="T884" s="74"/>
      <c r="U884" s="74"/>
      <c r="V884" s="74"/>
      <c r="W884" s="74"/>
      <c r="X884" s="74"/>
      <c r="Y884" s="74"/>
      <c r="Z884" s="74"/>
    </row>
    <row r="885" spans="1:26" x14ac:dyDescent="0.3">
      <c r="A885" s="66">
        <f t="shared" si="86"/>
        <v>2077.7999999999201</v>
      </c>
      <c r="B885" s="67">
        <f>LOOKUP(A885+0.01,AmountsB!$A$4:$A$103,AmountsB!$B$4:$B$103)*0.1*$A$2</f>
        <v>0</v>
      </c>
      <c r="C885" s="68">
        <f t="shared" si="85"/>
        <v>1538495.7946267016</v>
      </c>
      <c r="D885" s="67">
        <f t="array" ref="D885">SUM($B$7:$B880*$F$1009*EXP(-$F$1009*($A885-$A$7:$A880)))*$F$1010</f>
        <v>36900867.153468773</v>
      </c>
      <c r="E885" s="67">
        <f t="shared" si="83"/>
        <v>70.348245617289294</v>
      </c>
      <c r="F885" s="70">
        <f t="shared" si="87"/>
        <v>4.2715454738818064</v>
      </c>
      <c r="G885" s="67">
        <f>E885/'Lookup Tables'!$C$48</f>
        <v>140.69649123457859</v>
      </c>
      <c r="H885" s="70">
        <f t="shared" si="84"/>
        <v>2.403323949638668E-2</v>
      </c>
      <c r="I885" s="71">
        <f t="shared" si="88"/>
        <v>0.20260294737779319</v>
      </c>
      <c r="L885" s="74"/>
      <c r="M885" s="74"/>
      <c r="N885" s="74"/>
      <c r="O885" s="74"/>
      <c r="P885" s="74"/>
      <c r="Q885" s="74"/>
      <c r="R885" s="74"/>
      <c r="S885" s="74"/>
      <c r="T885" s="74"/>
      <c r="U885" s="74"/>
      <c r="V885" s="74"/>
      <c r="W885" s="74"/>
      <c r="X885" s="74"/>
      <c r="Y885" s="74"/>
      <c r="Z885" s="74"/>
    </row>
    <row r="886" spans="1:26" x14ac:dyDescent="0.3">
      <c r="A886" s="66">
        <f t="shared" si="86"/>
        <v>2077.8999999999201</v>
      </c>
      <c r="B886" s="67">
        <f>LOOKUP(A886+0.01,AmountsB!$A$4:$A$103,AmountsB!$B$4:$B$103)*0.1*$A$2</f>
        <v>0</v>
      </c>
      <c r="C886" s="68">
        <f t="shared" si="85"/>
        <v>1538495.7946267016</v>
      </c>
      <c r="D886" s="67">
        <f t="array" ref="D886">SUM($B$7:$B881*$F$1009*EXP(-$F$1009*($A886-$A$7:$A881)))*$F$1010</f>
        <v>36797689.241924867</v>
      </c>
      <c r="E886" s="67">
        <f t="shared" si="83"/>
        <v>70.151546037483143</v>
      </c>
      <c r="F886" s="70">
        <f t="shared" si="87"/>
        <v>4.259601875395977</v>
      </c>
      <c r="G886" s="67">
        <f>E886/'Lookup Tables'!$C$48</f>
        <v>140.30309207496629</v>
      </c>
      <c r="H886" s="70">
        <f t="shared" si="84"/>
        <v>2.3966040548227579E-2</v>
      </c>
      <c r="I886" s="71">
        <f t="shared" si="88"/>
        <v>0.20203645258795147</v>
      </c>
      <c r="L886" s="74"/>
      <c r="M886" s="74"/>
      <c r="N886" s="74"/>
      <c r="O886" s="74"/>
      <c r="P886" s="74"/>
      <c r="Q886" s="74"/>
      <c r="R886" s="74"/>
      <c r="S886" s="74"/>
      <c r="T886" s="74"/>
      <c r="U886" s="74"/>
      <c r="V886" s="74"/>
      <c r="W886" s="74"/>
      <c r="X886" s="74"/>
      <c r="Y886" s="74"/>
      <c r="Z886" s="74"/>
    </row>
    <row r="887" spans="1:26" x14ac:dyDescent="0.3">
      <c r="A887" s="66">
        <f t="shared" si="86"/>
        <v>2077.99999999992</v>
      </c>
      <c r="B887" s="67">
        <f>LOOKUP(A887+0.01,AmountsB!$A$4:$A$103,AmountsB!$B$4:$B$103)*0.1*$A$2</f>
        <v>0</v>
      </c>
      <c r="C887" s="68">
        <f t="shared" si="85"/>
        <v>1538495.7946267016</v>
      </c>
      <c r="D887" s="67">
        <f t="array" ref="D887">SUM($B$7:$B882*$F$1009*EXP(-$F$1009*($A887-$A$7:$A882)))*$F$1010</f>
        <v>36694799.824453101</v>
      </c>
      <c r="E887" s="67">
        <f t="shared" si="83"/>
        <v>69.955396446157266</v>
      </c>
      <c r="F887" s="70">
        <f t="shared" si="87"/>
        <v>4.247691672210669</v>
      </c>
      <c r="G887" s="67">
        <f>E887/'Lookup Tables'!$C$48</f>
        <v>139.91079289231453</v>
      </c>
      <c r="H887" s="70">
        <f t="shared" si="84"/>
        <v>2.3899029493949137E-2</v>
      </c>
      <c r="I887" s="71">
        <f t="shared" si="88"/>
        <v>0.20147154176493293</v>
      </c>
      <c r="L887" s="74"/>
      <c r="M887" s="74"/>
      <c r="N887" s="74"/>
      <c r="O887" s="74"/>
      <c r="P887" s="74"/>
      <c r="Q887" s="74"/>
      <c r="R887" s="74"/>
      <c r="S887" s="74"/>
      <c r="T887" s="74"/>
      <c r="U887" s="74"/>
      <c r="V887" s="74"/>
      <c r="W887" s="74"/>
      <c r="X887" s="74"/>
      <c r="Y887" s="74"/>
      <c r="Z887" s="74"/>
    </row>
    <row r="888" spans="1:26" x14ac:dyDescent="0.3">
      <c r="A888" s="66">
        <f t="shared" si="86"/>
        <v>2078.0999999999199</v>
      </c>
      <c r="B888" s="67">
        <f>LOOKUP(A888+0.01,AmountsB!$A$4:$A$103,AmountsB!$B$4:$B$103)*0.1*$A$2</f>
        <v>0</v>
      </c>
      <c r="C888" s="68">
        <f t="shared" si="85"/>
        <v>1538495.7946267016</v>
      </c>
      <c r="D888" s="67">
        <f t="array" ref="D888">SUM($B$7:$B883*$F$1009*EXP(-$F$1009*($A888-$A$7:$A883)))*$F$1010</f>
        <v>36592198.094399914</v>
      </c>
      <c r="E888" s="67">
        <f t="shared" si="83"/>
        <v>69.759795305497832</v>
      </c>
      <c r="F888" s="70">
        <f t="shared" si="87"/>
        <v>4.2358147709498288</v>
      </c>
      <c r="G888" s="67">
        <f>E888/'Lookup Tables'!$C$48</f>
        <v>139.51959061099566</v>
      </c>
      <c r="H888" s="70">
        <f t="shared" si="84"/>
        <v>2.3832205808184345E-2</v>
      </c>
      <c r="I888" s="71">
        <f t="shared" si="88"/>
        <v>0.20090821047983376</v>
      </c>
      <c r="L888" s="74"/>
      <c r="M888" s="74"/>
      <c r="N888" s="74"/>
      <c r="O888" s="74"/>
      <c r="P888" s="74"/>
      <c r="Q888" s="74"/>
      <c r="R888" s="74"/>
      <c r="S888" s="74"/>
      <c r="T888" s="74"/>
      <c r="U888" s="74"/>
      <c r="V888" s="74"/>
      <c r="W888" s="74"/>
      <c r="X888" s="74"/>
      <c r="Y888" s="74"/>
      <c r="Z888" s="74"/>
    </row>
    <row r="889" spans="1:26" x14ac:dyDescent="0.3">
      <c r="A889" s="66">
        <f t="shared" si="86"/>
        <v>2078.1999999999198</v>
      </c>
      <c r="B889" s="67">
        <f>LOOKUP(A889+0.01,AmountsB!$A$4:$A$103,AmountsB!$B$4:$B$103)*0.1*$A$2</f>
        <v>0</v>
      </c>
      <c r="C889" s="68">
        <f t="shared" si="85"/>
        <v>1538495.7946267016</v>
      </c>
      <c r="D889" s="67">
        <f t="array" ref="D889">SUM($B$7:$B884*$F$1009*EXP(-$F$1009*($A889-$A$7:$A884)))*$F$1010</f>
        <v>36489883.247367218</v>
      </c>
      <c r="E889" s="67">
        <f t="shared" si="83"/>
        <v>69.564741081990917</v>
      </c>
      <c r="F889" s="70">
        <f t="shared" si="87"/>
        <v>4.2239710784984883</v>
      </c>
      <c r="G889" s="67">
        <f>E889/'Lookup Tables'!$C$48</f>
        <v>139.12948216398183</v>
      </c>
      <c r="H889" s="70">
        <f t="shared" si="84"/>
        <v>2.3765568967035154E-2</v>
      </c>
      <c r="I889" s="71">
        <f t="shared" si="88"/>
        <v>0.20034645431613388</v>
      </c>
      <c r="L889" s="74"/>
      <c r="M889" s="74"/>
      <c r="N889" s="74"/>
      <c r="O889" s="74"/>
      <c r="P889" s="74"/>
      <c r="Q889" s="74"/>
      <c r="R889" s="74"/>
      <c r="S889" s="74"/>
      <c r="T889" s="74"/>
      <c r="U889" s="74"/>
      <c r="V889" s="74"/>
      <c r="W889" s="74"/>
      <c r="X889" s="74"/>
      <c r="Y889" s="74"/>
      <c r="Z889" s="74"/>
    </row>
    <row r="890" spans="1:26" x14ac:dyDescent="0.3">
      <c r="A890" s="66">
        <f t="shared" si="86"/>
        <v>2078.2999999999197</v>
      </c>
      <c r="B890" s="67">
        <f>LOOKUP(A890+0.01,AmountsB!$A$4:$A$103,AmountsB!$B$4:$B$103)*0.1*$A$2</f>
        <v>0</v>
      </c>
      <c r="C890" s="68">
        <f t="shared" si="85"/>
        <v>1538495.7946267016</v>
      </c>
      <c r="D890" s="67">
        <f t="array" ref="D890">SUM($B$7:$B885*$F$1009*EXP(-$F$1009*($A890-$A$7:$A885)))*$F$1010</f>
        <v>36387854.481206104</v>
      </c>
      <c r="E890" s="67">
        <f t="shared" si="83"/>
        <v>69.370232246410453</v>
      </c>
      <c r="F890" s="70">
        <f t="shared" si="87"/>
        <v>4.2121605020020425</v>
      </c>
      <c r="G890" s="67">
        <f>E890/'Lookup Tables'!$C$48</f>
        <v>138.74046449282091</v>
      </c>
      <c r="H890" s="70">
        <f t="shared" si="84"/>
        <v>2.369911844806841E-2</v>
      </c>
      <c r="I890" s="71">
        <f t="shared" si="88"/>
        <v>0.19978626886966208</v>
      </c>
      <c r="L890" s="74"/>
      <c r="M890" s="74"/>
      <c r="N890" s="74"/>
      <c r="O890" s="74"/>
      <c r="P890" s="74"/>
      <c r="Q890" s="74"/>
      <c r="R890" s="74"/>
      <c r="S890" s="74"/>
      <c r="T890" s="74"/>
      <c r="U890" s="74"/>
      <c r="V890" s="74"/>
      <c r="W890" s="74"/>
      <c r="X890" s="74"/>
      <c r="Y890" s="74"/>
      <c r="Z890" s="74"/>
    </row>
    <row r="891" spans="1:26" x14ac:dyDescent="0.3">
      <c r="A891" s="66">
        <f t="shared" si="86"/>
        <v>2078.3999999999196</v>
      </c>
      <c r="B891" s="67">
        <f>LOOKUP(A891+0.01,AmountsB!$A$4:$A$103,AmountsB!$B$4:$B$103)*0.1*$A$2</f>
        <v>0</v>
      </c>
      <c r="C891" s="68">
        <f t="shared" si="85"/>
        <v>1538495.7946267016</v>
      </c>
      <c r="D891" s="67">
        <f t="array" ref="D891">SUM($B$7:$B886*$F$1009*EXP(-$F$1009*($A891-$A$7:$A886)))*$F$1010</f>
        <v>36286110.996010497</v>
      </c>
      <c r="E891" s="67">
        <f t="shared" si="83"/>
        <v>69.17626727380609</v>
      </c>
      <c r="F891" s="70">
        <f t="shared" si="87"/>
        <v>4.2003829488655056</v>
      </c>
      <c r="G891" s="67">
        <f>E891/'Lookup Tables'!$C$48</f>
        <v>138.35253454761218</v>
      </c>
      <c r="H891" s="70">
        <f t="shared" si="84"/>
        <v>2.3632853730311681E-2</v>
      </c>
      <c r="I891" s="71">
        <f t="shared" si="88"/>
        <v>0.19922764974856152</v>
      </c>
      <c r="L891" s="74"/>
      <c r="M891" s="74"/>
      <c r="N891" s="74"/>
      <c r="O891" s="74"/>
      <c r="P891" s="74"/>
      <c r="Q891" s="74"/>
      <c r="R891" s="74"/>
      <c r="S891" s="74"/>
      <c r="T891" s="74"/>
      <c r="U891" s="74"/>
      <c r="V891" s="74"/>
      <c r="W891" s="74"/>
      <c r="X891" s="74"/>
      <c r="Y891" s="74"/>
      <c r="Z891" s="74"/>
    </row>
    <row r="892" spans="1:26" x14ac:dyDescent="0.3">
      <c r="A892" s="66">
        <f t="shared" si="86"/>
        <v>2078.4999999999195</v>
      </c>
      <c r="B892" s="67">
        <f>LOOKUP(A892+0.01,AmountsB!$A$4:$A$103,AmountsB!$B$4:$B$103)*0.1*$A$2</f>
        <v>0</v>
      </c>
      <c r="C892" s="68">
        <f t="shared" si="85"/>
        <v>1538495.7946267016</v>
      </c>
      <c r="D892" s="67">
        <f t="array" ref="D892">SUM($B$7:$B887*$F$1009*EXP(-$F$1009*($A892-$A$7:$A887)))*$F$1010</f>
        <v>36184651.994110964</v>
      </c>
      <c r="E892" s="67">
        <f t="shared" si="83"/>
        <v>68.982844643491504</v>
      </c>
      <c r="F892" s="70">
        <f t="shared" si="87"/>
        <v>4.1886383267528045</v>
      </c>
      <c r="G892" s="67">
        <f>E892/'Lookup Tables'!$C$48</f>
        <v>137.96568928698301</v>
      </c>
      <c r="H892" s="70">
        <f t="shared" si="84"/>
        <v>2.3566774294249259E-2</v>
      </c>
      <c r="I892" s="71">
        <f t="shared" si="88"/>
        <v>0.19867059257325553</v>
      </c>
      <c r="L892" s="74"/>
      <c r="M892" s="74"/>
      <c r="N892" s="74"/>
      <c r="O892" s="74"/>
      <c r="P892" s="74"/>
      <c r="Q892" s="74"/>
      <c r="R892" s="74"/>
      <c r="S892" s="74"/>
      <c r="T892" s="74"/>
      <c r="U892" s="74"/>
      <c r="V892" s="74"/>
      <c r="W892" s="74"/>
      <c r="X892" s="74"/>
      <c r="Y892" s="74"/>
      <c r="Z892" s="74"/>
    </row>
    <row r="893" spans="1:26" x14ac:dyDescent="0.3">
      <c r="A893" s="66">
        <f t="shared" si="86"/>
        <v>2078.5999999999194</v>
      </c>
      <c r="B893" s="67">
        <f>LOOKUP(A893+0.01,AmountsB!$A$4:$A$103,AmountsB!$B$4:$B$103)*0.1*$A$2</f>
        <v>0</v>
      </c>
      <c r="C893" s="68">
        <f t="shared" si="85"/>
        <v>1538495.7946267016</v>
      </c>
      <c r="D893" s="67">
        <f t="array" ref="D893">SUM($B$7:$B888*$F$1009*EXP(-$F$1009*($A893-$A$7:$A888)))*$F$1010</f>
        <v>36083476.680068396</v>
      </c>
      <c r="E893" s="67">
        <f t="shared" si="83"/>
        <v>68.789962839032214</v>
      </c>
      <c r="F893" s="70">
        <f t="shared" si="87"/>
        <v>4.1769265435860365</v>
      </c>
      <c r="G893" s="67">
        <f>E893/'Lookup Tables'!$C$48</f>
        <v>137.57992567806443</v>
      </c>
      <c r="H893" s="70">
        <f t="shared" si="84"/>
        <v>2.3500879621817995E-2</v>
      </c>
      <c r="I893" s="71">
        <f t="shared" si="88"/>
        <v>0.1981150929764128</v>
      </c>
      <c r="L893" s="74"/>
      <c r="M893" s="74"/>
      <c r="N893" s="74"/>
      <c r="O893" s="74"/>
      <c r="P893" s="74"/>
      <c r="Q893" s="74"/>
      <c r="R893" s="74"/>
      <c r="S893" s="74"/>
      <c r="T893" s="74"/>
      <c r="U893" s="74"/>
      <c r="V893" s="74"/>
      <c r="W893" s="74"/>
      <c r="X893" s="74"/>
      <c r="Y893" s="74"/>
      <c r="Z893" s="74"/>
    </row>
    <row r="894" spans="1:26" x14ac:dyDescent="0.3">
      <c r="A894" s="66">
        <f t="shared" si="86"/>
        <v>2078.6999999999193</v>
      </c>
      <c r="B894" s="67">
        <f>LOOKUP(A894+0.01,AmountsB!$A$4:$A$103,AmountsB!$B$4:$B$103)*0.1*$A$2</f>
        <v>0</v>
      </c>
      <c r="C894" s="68">
        <f t="shared" si="85"/>
        <v>1538495.7946267016</v>
      </c>
      <c r="D894" s="67">
        <f t="array" ref="D894">SUM($B$7:$B889*$F$1009*EXP(-$F$1009*($A894-$A$7:$A889)))*$F$1010</f>
        <v>35982584.260667823</v>
      </c>
      <c r="E894" s="67">
        <f t="shared" si="83"/>
        <v>68.59762034823396</v>
      </c>
      <c r="F894" s="70">
        <f t="shared" si="87"/>
        <v>4.1652475075447661</v>
      </c>
      <c r="G894" s="67">
        <f>E894/'Lookup Tables'!$C$48</f>
        <v>137.19524069646792</v>
      </c>
      <c r="H894" s="70">
        <f t="shared" si="84"/>
        <v>2.3435169196403344E-2</v>
      </c>
      <c r="I894" s="71">
        <f t="shared" si="88"/>
        <v>0.1975611466029138</v>
      </c>
      <c r="L894" s="74"/>
      <c r="M894" s="74"/>
      <c r="N894" s="74"/>
      <c r="O894" s="74"/>
      <c r="P894" s="74"/>
      <c r="Q894" s="74"/>
      <c r="R894" s="74"/>
      <c r="S894" s="74"/>
      <c r="T894" s="74"/>
      <c r="U894" s="74"/>
      <c r="V894" s="74"/>
      <c r="W894" s="74"/>
      <c r="X894" s="74"/>
      <c r="Y894" s="74"/>
      <c r="Z894" s="74"/>
    </row>
    <row r="895" spans="1:26" x14ac:dyDescent="0.3">
      <c r="A895" s="66">
        <f t="shared" si="86"/>
        <v>2078.7999999999192</v>
      </c>
      <c r="B895" s="67">
        <f>LOOKUP(A895+0.01,AmountsB!$A$4:$A$103,AmountsB!$B$4:$B$103)*0.1*$A$2</f>
        <v>0</v>
      </c>
      <c r="C895" s="68">
        <f t="shared" si="85"/>
        <v>1538495.7946267016</v>
      </c>
      <c r="D895" s="67">
        <f t="array" ref="D895">SUM($B$7:$B890*$F$1009*EXP(-$F$1009*($A895-$A$7:$A890)))*$F$1010</f>
        <v>35881973.944912158</v>
      </c>
      <c r="E895" s="67">
        <f t="shared" si="83"/>
        <v>68.405815663130582</v>
      </c>
      <c r="F895" s="70">
        <f t="shared" si="87"/>
        <v>4.1536011270652891</v>
      </c>
      <c r="G895" s="67">
        <f>E895/'Lookup Tables'!$C$48</f>
        <v>136.81163132626116</v>
      </c>
      <c r="H895" s="70">
        <f t="shared" si="84"/>
        <v>2.3369642502835231E-2</v>
      </c>
      <c r="I895" s="71">
        <f t="shared" si="88"/>
        <v>0.19700874910981606</v>
      </c>
      <c r="L895" s="74"/>
      <c r="M895" s="74"/>
      <c r="N895" s="74"/>
      <c r="O895" s="74"/>
      <c r="P895" s="74"/>
      <c r="Q895" s="74"/>
      <c r="R895" s="74"/>
      <c r="S895" s="74"/>
      <c r="T895" s="74"/>
      <c r="U895" s="74"/>
      <c r="V895" s="74"/>
      <c r="W895" s="74"/>
      <c r="X895" s="74"/>
      <c r="Y895" s="74"/>
      <c r="Z895" s="74"/>
    </row>
    <row r="896" spans="1:26" x14ac:dyDescent="0.3">
      <c r="A896" s="66">
        <f t="shared" si="86"/>
        <v>2078.8999999999191</v>
      </c>
      <c r="B896" s="67">
        <f>LOOKUP(A896+0.01,AmountsB!$A$4:$A$103,AmountsB!$B$4:$B$103)*0.1*$A$2</f>
        <v>0</v>
      </c>
      <c r="C896" s="68">
        <f t="shared" si="85"/>
        <v>1538495.7946267016</v>
      </c>
      <c r="D896" s="67">
        <f t="array" ref="D896">SUM($B$7:$B891*$F$1009*EXP(-$F$1009*($A896-$A$7:$A891)))*$F$1010</f>
        <v>35781644.944016017</v>
      </c>
      <c r="E896" s="67">
        <f t="shared" si="83"/>
        <v>68.214547279972393</v>
      </c>
      <c r="F896" s="70">
        <f t="shared" si="87"/>
        <v>4.1419873108399239</v>
      </c>
      <c r="G896" s="67">
        <f>E896/'Lookup Tables'!$C$48</f>
        <v>136.42909455994479</v>
      </c>
      <c r="H896" s="70">
        <f t="shared" si="84"/>
        <v>2.3304299027384047E-2</v>
      </c>
      <c r="I896" s="71">
        <f t="shared" si="88"/>
        <v>0.19645789616632048</v>
      </c>
      <c r="L896" s="74"/>
      <c r="M896" s="74"/>
      <c r="N896" s="74"/>
      <c r="O896" s="74"/>
      <c r="P896" s="74"/>
      <c r="Q896" s="74"/>
      <c r="R896" s="74"/>
      <c r="S896" s="74"/>
      <c r="T896" s="74"/>
      <c r="U896" s="74"/>
      <c r="V896" s="74"/>
      <c r="W896" s="74"/>
      <c r="X896" s="74"/>
      <c r="Y896" s="74"/>
      <c r="Z896" s="74"/>
    </row>
    <row r="897" spans="1:26" x14ac:dyDescent="0.3">
      <c r="A897" s="66">
        <f t="shared" si="86"/>
        <v>2078.9999999999191</v>
      </c>
      <c r="B897" s="67">
        <f>LOOKUP(A897+0.01,AmountsB!$A$4:$A$103,AmountsB!$B$4:$B$103)*0.1*$A$2</f>
        <v>0</v>
      </c>
      <c r="C897" s="68">
        <f t="shared" si="85"/>
        <v>1538495.7946267016</v>
      </c>
      <c r="D897" s="67">
        <f t="array" ref="D897">SUM($B$7:$B892*$F$1009*EXP(-$F$1009*($A897-$A$7:$A892)))*$F$1010</f>
        <v>35681596.471399531</v>
      </c>
      <c r="E897" s="67">
        <f t="shared" si="83"/>
        <v>68.023813699214315</v>
      </c>
      <c r="F897" s="70">
        <f t="shared" si="87"/>
        <v>4.1304059678162934</v>
      </c>
      <c r="G897" s="67">
        <f>E897/'Lookup Tables'!$C$48</f>
        <v>136.04762739842863</v>
      </c>
      <c r="H897" s="70">
        <f t="shared" si="84"/>
        <v>2.3239138257756614E-2</v>
      </c>
      <c r="I897" s="71">
        <f t="shared" si="88"/>
        <v>0.19590858345373724</v>
      </c>
      <c r="L897" s="74"/>
      <c r="M897" s="74"/>
      <c r="N897" s="74"/>
      <c r="O897" s="74"/>
      <c r="P897" s="74"/>
      <c r="Q897" s="74"/>
      <c r="R897" s="74"/>
      <c r="S897" s="74"/>
      <c r="T897" s="74"/>
      <c r="U897" s="74"/>
      <c r="V897" s="74"/>
      <c r="W897" s="74"/>
      <c r="X897" s="74"/>
      <c r="Y897" s="74"/>
      <c r="Z897" s="74"/>
    </row>
    <row r="898" spans="1:26" x14ac:dyDescent="0.3">
      <c r="A898" s="66">
        <f t="shared" si="86"/>
        <v>2079.099999999919</v>
      </c>
      <c r="B898" s="67">
        <f>LOOKUP(A898+0.01,AmountsB!$A$4:$A$103,AmountsB!$B$4:$B$103)*0.1*$A$2</f>
        <v>0</v>
      </c>
      <c r="C898" s="68">
        <f t="shared" si="85"/>
        <v>1538495.7946267016</v>
      </c>
      <c r="D898" s="67">
        <f t="array" ref="D898">SUM($B$7:$B893*$F$1009*EXP(-$F$1009*($A898-$A$7:$A893)))*$F$1010</f>
        <v>35581827.742682137</v>
      </c>
      <c r="E898" s="67">
        <f t="shared" si="83"/>
        <v>67.833613425504055</v>
      </c>
      <c r="F898" s="70">
        <f t="shared" si="87"/>
        <v>4.1188570071966062</v>
      </c>
      <c r="G898" s="67">
        <f>E898/'Lookup Tables'!$C$48</f>
        <v>135.66722685100811</v>
      </c>
      <c r="H898" s="70">
        <f t="shared" si="84"/>
        <v>2.3174159683092152E-2</v>
      </c>
      <c r="I898" s="71">
        <f t="shared" si="88"/>
        <v>0.19536080666545166</v>
      </c>
      <c r="L898" s="74"/>
      <c r="M898" s="74"/>
      <c r="N898" s="74"/>
      <c r="O898" s="74"/>
      <c r="P898" s="74"/>
      <c r="Q898" s="74"/>
      <c r="R898" s="74"/>
      <c r="S898" s="74"/>
      <c r="T898" s="74"/>
      <c r="U898" s="74"/>
      <c r="V898" s="74"/>
      <c r="W898" s="74"/>
      <c r="X898" s="74"/>
      <c r="Y898" s="74"/>
      <c r="Z898" s="74"/>
    </row>
    <row r="899" spans="1:26" x14ac:dyDescent="0.3">
      <c r="A899" s="66">
        <f t="shared" si="86"/>
        <v>2079.1999999999189</v>
      </c>
      <c r="B899" s="67">
        <f>LOOKUP(A899+0.01,AmountsB!$A$4:$A$103,AmountsB!$B$4:$B$103)*0.1*$A$2</f>
        <v>0</v>
      </c>
      <c r="C899" s="68">
        <f t="shared" si="85"/>
        <v>1538495.7946267016</v>
      </c>
      <c r="D899" s="67">
        <f t="array" ref="D899">SUM($B$7:$B894*$F$1009*EXP(-$F$1009*($A899-$A$7:$A894)))*$F$1010</f>
        <v>35482337.975676499</v>
      </c>
      <c r="E899" s="67">
        <f t="shared" si="83"/>
        <v>67.643944967670492</v>
      </c>
      <c r="F899" s="70">
        <f t="shared" si="87"/>
        <v>4.107340338436952</v>
      </c>
      <c r="G899" s="67">
        <f>E899/'Lookup Tables'!$C$48</f>
        <v>135.28788993534098</v>
      </c>
      <c r="H899" s="70">
        <f t="shared" si="84"/>
        <v>2.3109362793958307E-2</v>
      </c>
      <c r="I899" s="71">
        <f t="shared" si="88"/>
        <v>0.19481456150689105</v>
      </c>
      <c r="L899" s="74"/>
      <c r="M899" s="74"/>
      <c r="N899" s="74"/>
      <c r="O899" s="74"/>
      <c r="P899" s="74"/>
      <c r="Q899" s="74"/>
      <c r="R899" s="74"/>
      <c r="S899" s="74"/>
      <c r="T899" s="74"/>
      <c r="U899" s="74"/>
      <c r="V899" s="74"/>
      <c r="W899" s="74"/>
      <c r="X899" s="74"/>
      <c r="Y899" s="74"/>
      <c r="Z899" s="74"/>
    </row>
    <row r="900" spans="1:26" x14ac:dyDescent="0.3">
      <c r="A900" s="66">
        <f t="shared" si="86"/>
        <v>2079.2999999999188</v>
      </c>
      <c r="B900" s="67">
        <f>LOOKUP(A900+0.01,AmountsB!$A$4:$A$103,AmountsB!$B$4:$B$103)*0.1*$A$2</f>
        <v>0</v>
      </c>
      <c r="C900" s="68">
        <f t="shared" si="85"/>
        <v>1538495.7946267016</v>
      </c>
      <c r="D900" s="67">
        <f t="array" ref="D900">SUM($B$7:$B895*$F$1009*EXP(-$F$1009*($A900-$A$7:$A895)))*$F$1010</f>
        <v>35383126.390382335</v>
      </c>
      <c r="E900" s="67">
        <f t="shared" si="83"/>
        <v>67.45480683871196</v>
      </c>
      <c r="F900" s="70">
        <f t="shared" si="87"/>
        <v>4.0958558712465907</v>
      </c>
      <c r="G900" s="67">
        <f>E900/'Lookup Tables'!$C$48</f>
        <v>134.90961367742392</v>
      </c>
      <c r="H900" s="70">
        <f t="shared" si="84"/>
        <v>2.3044747082347126E-2</v>
      </c>
      <c r="I900" s="71">
        <f t="shared" si="88"/>
        <v>0.19426984369549044</v>
      </c>
      <c r="L900" s="74"/>
      <c r="M900" s="74"/>
      <c r="N900" s="74"/>
      <c r="O900" s="74"/>
      <c r="P900" s="74"/>
      <c r="Q900" s="74"/>
      <c r="R900" s="74"/>
      <c r="S900" s="74"/>
      <c r="T900" s="74"/>
      <c r="U900" s="74"/>
      <c r="V900" s="74"/>
      <c r="W900" s="74"/>
      <c r="X900" s="74"/>
      <c r="Y900" s="74"/>
      <c r="Z900" s="74"/>
    </row>
    <row r="901" spans="1:26" x14ac:dyDescent="0.3">
      <c r="A901" s="66">
        <f t="shared" si="86"/>
        <v>2079.3999999999187</v>
      </c>
      <c r="B901" s="67">
        <f>LOOKUP(A901+0.01,AmountsB!$A$4:$A$103,AmountsB!$B$4:$B$103)*0.1*$A$2</f>
        <v>0</v>
      </c>
      <c r="C901" s="68">
        <f t="shared" si="85"/>
        <v>1538495.7946267016</v>
      </c>
      <c r="D901" s="67">
        <f t="array" ref="D901">SUM($B$7:$B896*$F$1009*EXP(-$F$1009*($A901-$A$7:$A896)))*$F$1010</f>
        <v>35284192.208980314</v>
      </c>
      <c r="E901" s="67">
        <f t="shared" si="83"/>
        <v>67.266197555784572</v>
      </c>
      <c r="F901" s="70">
        <f t="shared" si="87"/>
        <v>4.0844035155872387</v>
      </c>
      <c r="G901" s="67">
        <f>E901/'Lookup Tables'!$C$48</f>
        <v>134.53239511156914</v>
      </c>
      <c r="H901" s="70">
        <f t="shared" si="84"/>
        <v>2.2980312041671121E-2</v>
      </c>
      <c r="I901" s="71">
        <f t="shared" si="88"/>
        <v>0.19372664896065958</v>
      </c>
      <c r="L901" s="74"/>
      <c r="M901" s="74"/>
      <c r="N901" s="74"/>
      <c r="O901" s="74"/>
      <c r="P901" s="74"/>
      <c r="Q901" s="74"/>
      <c r="R901" s="74"/>
      <c r="S901" s="74"/>
      <c r="T901" s="74"/>
      <c r="U901" s="74"/>
      <c r="V901" s="74"/>
      <c r="W901" s="74"/>
      <c r="X901" s="74"/>
      <c r="Y901" s="74"/>
      <c r="Z901" s="74"/>
    </row>
    <row r="902" spans="1:26" x14ac:dyDescent="0.3">
      <c r="A902" s="66">
        <f t="shared" si="86"/>
        <v>2079.4999999999186</v>
      </c>
      <c r="B902" s="67">
        <f>LOOKUP(A902+0.01,AmountsB!$A$4:$A$103,AmountsB!$B$4:$B$103)*0.1*$A$2</f>
        <v>0</v>
      </c>
      <c r="C902" s="68">
        <f t="shared" si="85"/>
        <v>1538495.7946267016</v>
      </c>
      <c r="D902" s="67">
        <f t="array" ref="D902">SUM($B$7:$B897*$F$1009*EXP(-$F$1009*($A902-$A$7:$A897)))*$F$1010</f>
        <v>35185534.655825928</v>
      </c>
      <c r="E902" s="67">
        <f t="shared" si="83"/>
        <v>67.078115640190518</v>
      </c>
      <c r="F902" s="70">
        <f t="shared" si="87"/>
        <v>4.0729831816723685</v>
      </c>
      <c r="G902" s="67">
        <f>E902/'Lookup Tables'!$C$48</f>
        <v>134.15623128038104</v>
      </c>
      <c r="H902" s="70">
        <f t="shared" si="84"/>
        <v>2.2916057166759214E-2</v>
      </c>
      <c r="I902" s="71">
        <f t="shared" si="88"/>
        <v>0.19318497304374871</v>
      </c>
      <c r="L902" s="74"/>
      <c r="M902" s="74"/>
      <c r="N902" s="74"/>
      <c r="O902" s="74"/>
      <c r="P902" s="74"/>
      <c r="Q902" s="74"/>
      <c r="R902" s="74"/>
      <c r="S902" s="74"/>
      <c r="T902" s="74"/>
      <c r="U902" s="74"/>
      <c r="V902" s="74"/>
      <c r="W902" s="74"/>
      <c r="X902" s="74"/>
      <c r="Y902" s="74"/>
      <c r="Z902" s="74"/>
    </row>
    <row r="903" spans="1:26" x14ac:dyDescent="0.3">
      <c r="A903" s="66">
        <f t="shared" si="86"/>
        <v>2079.5999999999185</v>
      </c>
      <c r="B903" s="67">
        <f>LOOKUP(A903+0.01,AmountsB!$A$4:$A$103,AmountsB!$B$4:$B$103)*0.1*$A$2</f>
        <v>0</v>
      </c>
      <c r="C903" s="68">
        <f t="shared" si="85"/>
        <v>1538495.7946267016</v>
      </c>
      <c r="D903" s="67">
        <f t="array" ref="D903">SUM($B$7:$B898*$F$1009*EXP(-$F$1009*($A903-$A$7:$A898)))*$F$1010</f>
        <v>35087152.957443476</v>
      </c>
      <c r="E903" s="67">
        <f t="shared" ref="E903:E966" si="89">D903/(365*24*60)*1.00201</f>
        <v>66.890559617366705</v>
      </c>
      <c r="F903" s="70">
        <f t="shared" si="87"/>
        <v>4.061594779966506</v>
      </c>
      <c r="G903" s="67">
        <f>E903/'Lookup Tables'!$C$48</f>
        <v>133.78111923473341</v>
      </c>
      <c r="H903" s="70">
        <f t="shared" ref="H903:H966" si="90">G903*60*24*365/(C903*2000)</f>
        <v>2.2851981953852886E-2</v>
      </c>
      <c r="I903" s="71">
        <f t="shared" si="88"/>
        <v>0.19264481169801609</v>
      </c>
      <c r="L903" s="74"/>
      <c r="M903" s="74"/>
      <c r="N903" s="74"/>
      <c r="O903" s="74"/>
      <c r="P903" s="74"/>
      <c r="Q903" s="74"/>
      <c r="R903" s="74"/>
      <c r="S903" s="74"/>
      <c r="T903" s="74"/>
      <c r="U903" s="74"/>
      <c r="V903" s="74"/>
      <c r="W903" s="74"/>
      <c r="X903" s="74"/>
      <c r="Y903" s="74"/>
      <c r="Z903" s="74"/>
    </row>
    <row r="904" spans="1:26" x14ac:dyDescent="0.3">
      <c r="A904" s="66">
        <f t="shared" si="86"/>
        <v>2079.6999999999184</v>
      </c>
      <c r="B904" s="67">
        <f>LOOKUP(A904+0.01,AmountsB!$A$4:$A$103,AmountsB!$B$4:$B$103)*0.1*$A$2</f>
        <v>0</v>
      </c>
      <c r="C904" s="68">
        <f t="shared" si="85"/>
        <v>1538495.7946267016</v>
      </c>
      <c r="D904" s="67">
        <f t="array" ref="D904">SUM($B$7:$B899*$F$1009*EXP(-$F$1009*($A904-$A$7:$A899)))*$F$1010</f>
        <v>34989046.342519946</v>
      </c>
      <c r="E904" s="67">
        <f t="shared" si="89"/>
        <v>66.703528016872937</v>
      </c>
      <c r="F904" s="70">
        <f t="shared" si="87"/>
        <v>4.0502382211845251</v>
      </c>
      <c r="G904" s="67">
        <f>E904/'Lookup Tables'!$C$48</f>
        <v>133.40705603374587</v>
      </c>
      <c r="H904" s="70">
        <f t="shared" si="90"/>
        <v>2.2788085900602131E-2</v>
      </c>
      <c r="I904" s="71">
        <f t="shared" si="88"/>
        <v>0.19210616068859404</v>
      </c>
      <c r="L904" s="74"/>
      <c r="M904" s="74"/>
      <c r="N904" s="74"/>
      <c r="O904" s="74"/>
      <c r="P904" s="74"/>
      <c r="Q904" s="74"/>
      <c r="R904" s="74"/>
      <c r="S904" s="74"/>
      <c r="T904" s="74"/>
      <c r="U904" s="74"/>
      <c r="V904" s="74"/>
      <c r="W904" s="74"/>
      <c r="X904" s="74"/>
      <c r="Y904" s="74"/>
      <c r="Z904" s="74"/>
    </row>
    <row r="905" spans="1:26" x14ac:dyDescent="0.3">
      <c r="A905" s="66">
        <f t="shared" si="86"/>
        <v>2079.7999999999183</v>
      </c>
      <c r="B905" s="67">
        <f>LOOKUP(A905+0.01,AmountsB!$A$4:$A$103,AmountsB!$B$4:$B$103)*0.1*$A$2</f>
        <v>0</v>
      </c>
      <c r="C905" s="68">
        <f t="shared" ref="C905:C968" si="91">C904+B905</f>
        <v>1538495.7946267016</v>
      </c>
      <c r="D905" s="67">
        <f t="array" ref="D905">SUM($B$7:$B900*$F$1009*EXP(-$F$1009*($A905-$A$7:$A900)))*$F$1010</f>
        <v>34891214.041898951</v>
      </c>
      <c r="E905" s="67">
        <f t="shared" si="89"/>
        <v>66.51701937238046</v>
      </c>
      <c r="F905" s="70">
        <f t="shared" si="87"/>
        <v>4.0389134162909412</v>
      </c>
      <c r="G905" s="67">
        <f>E905/'Lookup Tables'!$C$48</f>
        <v>133.03403874476092</v>
      </c>
      <c r="H905" s="70">
        <f t="shared" si="90"/>
        <v>2.2724368506061559E-2</v>
      </c>
      <c r="I905" s="71">
        <f t="shared" si="88"/>
        <v>0.19156901579245572</v>
      </c>
      <c r="L905" s="74"/>
      <c r="M905" s="74"/>
      <c r="N905" s="74"/>
      <c r="O905" s="74"/>
      <c r="P905" s="74"/>
      <c r="Q905" s="74"/>
      <c r="R905" s="74"/>
      <c r="S905" s="74"/>
      <c r="T905" s="74"/>
      <c r="U905" s="74"/>
      <c r="V905" s="74"/>
      <c r="W905" s="74"/>
      <c r="X905" s="74"/>
      <c r="Y905" s="74"/>
      <c r="Z905" s="74"/>
    </row>
    <row r="906" spans="1:26" x14ac:dyDescent="0.3">
      <c r="A906" s="66">
        <f t="shared" si="86"/>
        <v>2079.8999999999182</v>
      </c>
      <c r="B906" s="67">
        <f>LOOKUP(A906+0.01,AmountsB!$A$4:$A$103,AmountsB!$B$4:$B$103)*0.1*$A$2</f>
        <v>0</v>
      </c>
      <c r="C906" s="68">
        <f t="shared" si="91"/>
        <v>1538495.7946267016</v>
      </c>
      <c r="D906" s="67">
        <f t="array" ref="D906">SUM($B$7:$B901*$F$1009*EXP(-$F$1009*($A906-$A$7:$A901)))*$F$1010</f>
        <v>34793655.288574755</v>
      </c>
      <c r="E906" s="67">
        <f t="shared" si="89"/>
        <v>66.331032221660564</v>
      </c>
      <c r="F906" s="70">
        <f t="shared" si="87"/>
        <v>4.0276202764992295</v>
      </c>
      <c r="G906" s="67">
        <f>E906/'Lookup Tables'!$C$48</f>
        <v>132.66206444332113</v>
      </c>
      <c r="H906" s="70">
        <f t="shared" si="90"/>
        <v>2.2660829270686463E-2</v>
      </c>
      <c r="I906" s="71">
        <f t="shared" si="88"/>
        <v>0.19103337279838242</v>
      </c>
      <c r="L906" s="74"/>
      <c r="M906" s="74"/>
      <c r="N906" s="74"/>
      <c r="O906" s="74"/>
      <c r="P906" s="74"/>
      <c r="Q906" s="74"/>
      <c r="R906" s="74"/>
      <c r="S906" s="74"/>
      <c r="T906" s="74"/>
      <c r="U906" s="74"/>
      <c r="V906" s="74"/>
      <c r="W906" s="74"/>
      <c r="X906" s="74"/>
      <c r="Y906" s="74"/>
      <c r="Z906" s="74"/>
    </row>
    <row r="907" spans="1:26" x14ac:dyDescent="0.3">
      <c r="A907" s="66">
        <f t="shared" si="86"/>
        <v>2079.9999999999181</v>
      </c>
      <c r="B907" s="67">
        <f>LOOKUP(A907+0.01,AmountsB!$A$4:$A$103,AmountsB!$B$4:$B$103)*0.1*$A$2</f>
        <v>0</v>
      </c>
      <c r="C907" s="68">
        <f t="shared" si="91"/>
        <v>1538495.7946267016</v>
      </c>
      <c r="D907" s="67">
        <f t="array" ref="D907">SUM($B$7:$B902*$F$1009*EXP(-$F$1009*($A907-$A$7:$A902)))*$F$1010</f>
        <v>34696369.317686245</v>
      </c>
      <c r="E907" s="67">
        <f t="shared" si="89"/>
        <v>66.145565106573045</v>
      </c>
      <c r="F907" s="70">
        <f t="shared" si="87"/>
        <v>4.0163587132711154</v>
      </c>
      <c r="G907" s="67">
        <f>E907/'Lookup Tables'!$C$48</f>
        <v>132.29113021314609</v>
      </c>
      <c r="H907" s="70">
        <f t="shared" si="90"/>
        <v>2.2597467696328928E-2</v>
      </c>
      <c r="I907" s="71">
        <f t="shared" si="88"/>
        <v>0.19049922750693035</v>
      </c>
      <c r="L907" s="74"/>
      <c r="M907" s="74"/>
      <c r="N907" s="74"/>
      <c r="O907" s="74"/>
      <c r="P907" s="74"/>
      <c r="Q907" s="74"/>
      <c r="R907" s="74"/>
      <c r="S907" s="74"/>
      <c r="T907" s="74"/>
      <c r="U907" s="74"/>
      <c r="V907" s="74"/>
      <c r="W907" s="74"/>
      <c r="X907" s="74"/>
      <c r="Y907" s="74"/>
      <c r="Z907" s="74"/>
    </row>
    <row r="908" spans="1:26" x14ac:dyDescent="0.3">
      <c r="A908" s="66">
        <f t="shared" si="86"/>
        <v>2080.0999999999181</v>
      </c>
      <c r="B908" s="67">
        <f>LOOKUP(A908+0.01,AmountsB!$A$4:$A$103,AmountsB!$B$4:$B$103)*0.1*$A$2</f>
        <v>0</v>
      </c>
      <c r="C908" s="68">
        <f t="shared" si="91"/>
        <v>1538495.7946267016</v>
      </c>
      <c r="D908" s="67">
        <f t="array" ref="D908">SUM($B$7:$B903*$F$1009*EXP(-$F$1009*($A908-$A$7:$A903)))*$F$1010</f>
        <v>34599355.36651089</v>
      </c>
      <c r="E908" s="67">
        <f t="shared" si="89"/>
        <v>65.960616573054764</v>
      </c>
      <c r="F908" s="70">
        <f t="shared" si="87"/>
        <v>4.0051286383158855</v>
      </c>
      <c r="G908" s="67">
        <f>E908/'Lookup Tables'!$C$48</f>
        <v>131.92123314610953</v>
      </c>
      <c r="H908" s="70">
        <f t="shared" si="90"/>
        <v>2.2534283286233876E-2</v>
      </c>
      <c r="I908" s="71">
        <f t="shared" si="88"/>
        <v>0.18996657573039771</v>
      </c>
      <c r="L908" s="74"/>
      <c r="M908" s="74"/>
      <c r="N908" s="74"/>
      <c r="O908" s="74"/>
      <c r="P908" s="74"/>
      <c r="Q908" s="74"/>
      <c r="R908" s="74"/>
      <c r="S908" s="74"/>
      <c r="T908" s="74"/>
      <c r="U908" s="74"/>
      <c r="V908" s="74"/>
      <c r="W908" s="74"/>
      <c r="X908" s="74"/>
      <c r="Y908" s="74"/>
      <c r="Z908" s="74"/>
    </row>
    <row r="909" spans="1:26" x14ac:dyDescent="0.3">
      <c r="A909" s="66">
        <f t="shared" si="86"/>
        <v>2080.199999999918</v>
      </c>
      <c r="B909" s="67">
        <f>LOOKUP(A909+0.01,AmountsB!$A$4:$A$103,AmountsB!$B$4:$B$103)*0.1*$A$2</f>
        <v>0</v>
      </c>
      <c r="C909" s="68">
        <f t="shared" si="91"/>
        <v>1538495.7946267016</v>
      </c>
      <c r="D909" s="67">
        <f t="array" ref="D909">SUM($B$7:$B904*$F$1009*EXP(-$F$1009*($A909-$A$7:$A904)))*$F$1010</f>
        <v>34502612.674458839</v>
      </c>
      <c r="E909" s="67">
        <f t="shared" si="89"/>
        <v>65.776185171108267</v>
      </c>
      <c r="F909" s="70">
        <f t="shared" si="87"/>
        <v>3.9939299635896939</v>
      </c>
      <c r="G909" s="67">
        <f>E909/'Lookup Tables'!$C$48</f>
        <v>131.55237034221653</v>
      </c>
      <c r="H909" s="70">
        <f t="shared" si="90"/>
        <v>2.2471275545035207E-2</v>
      </c>
      <c r="I909" s="71">
        <f t="shared" si="88"/>
        <v>0.18943541329279182</v>
      </c>
      <c r="L909" s="74"/>
      <c r="M909" s="74"/>
      <c r="N909" s="74"/>
      <c r="O909" s="74"/>
      <c r="P909" s="74"/>
      <c r="Q909" s="74"/>
      <c r="R909" s="74"/>
      <c r="S909" s="74"/>
      <c r="T909" s="74"/>
      <c r="U909" s="74"/>
      <c r="V909" s="74"/>
      <c r="W909" s="74"/>
      <c r="X909" s="74"/>
      <c r="Y909" s="74"/>
      <c r="Z909" s="74"/>
    </row>
    <row r="910" spans="1:26" x14ac:dyDescent="0.3">
      <c r="A910" s="66">
        <f t="shared" si="86"/>
        <v>2080.2999999999179</v>
      </c>
      <c r="B910" s="67">
        <f>LOOKUP(A910+0.01,AmountsB!$A$4:$A$103,AmountsB!$B$4:$B$103)*0.1*$A$2</f>
        <v>0</v>
      </c>
      <c r="C910" s="68">
        <f t="shared" si="91"/>
        <v>1538495.7946267016</v>
      </c>
      <c r="D910" s="67">
        <f t="array" ref="D910">SUM($B$7:$B905*$F$1009*EXP(-$F$1009*($A910-$A$7:$A905)))*$F$1010</f>
        <v>34406140.483066879</v>
      </c>
      <c r="E910" s="67">
        <f t="shared" si="89"/>
        <v>65.592269454790426</v>
      </c>
      <c r="F910" s="70">
        <f t="shared" si="87"/>
        <v>3.9827626012948745</v>
      </c>
      <c r="G910" s="67">
        <f>E910/'Lookup Tables'!$C$48</f>
        <v>131.18453890958085</v>
      </c>
      <c r="H910" s="70">
        <f t="shared" si="90"/>
        <v>2.2408443978751909E-2</v>
      </c>
      <c r="I910" s="71">
        <f t="shared" si="88"/>
        <v>0.18890573602979641</v>
      </c>
      <c r="L910" s="74"/>
      <c r="M910" s="74"/>
      <c r="N910" s="74"/>
      <c r="O910" s="74"/>
      <c r="P910" s="74"/>
      <c r="Q910" s="74"/>
      <c r="R910" s="74"/>
      <c r="S910" s="74"/>
      <c r="T910" s="74"/>
      <c r="U910" s="74"/>
      <c r="V910" s="74"/>
      <c r="W910" s="74"/>
      <c r="X910" s="74"/>
      <c r="Y910" s="74"/>
      <c r="Z910" s="74"/>
    </row>
    <row r="911" spans="1:26" x14ac:dyDescent="0.3">
      <c r="A911" s="66">
        <f t="shared" si="86"/>
        <v>2080.3999999999178</v>
      </c>
      <c r="B911" s="67">
        <f>LOOKUP(A911+0.01,AmountsB!$A$4:$A$103,AmountsB!$B$4:$B$103)*0.1*$A$2</f>
        <v>0</v>
      </c>
      <c r="C911" s="68">
        <f t="shared" si="91"/>
        <v>1538495.7946267016</v>
      </c>
      <c r="D911" s="67">
        <f t="array" ref="D911">SUM($B$7:$B906*$F$1009*EXP(-$F$1009*($A911-$A$7:$A906)))*$F$1010</f>
        <v>34309938.035992533</v>
      </c>
      <c r="E911" s="67">
        <f t="shared" si="89"/>
        <v>65.408867982201073</v>
      </c>
      <c r="F911" s="70">
        <f t="shared" si="87"/>
        <v>3.9716264638792489</v>
      </c>
      <c r="G911" s="67">
        <f>E911/'Lookup Tables'!$C$48</f>
        <v>130.81773596440215</v>
      </c>
      <c r="H911" s="70">
        <f t="shared" si="90"/>
        <v>2.2345788094784186E-2</v>
      </c>
      <c r="I911" s="71">
        <f t="shared" si="88"/>
        <v>0.18837753978873908</v>
      </c>
      <c r="L911" s="74"/>
      <c r="M911" s="74"/>
      <c r="N911" s="74"/>
      <c r="O911" s="74"/>
      <c r="P911" s="74"/>
      <c r="Q911" s="74"/>
      <c r="R911" s="74"/>
      <c r="S911" s="74"/>
      <c r="T911" s="74"/>
      <c r="U911" s="74"/>
      <c r="V911" s="74"/>
      <c r="W911" s="74"/>
      <c r="X911" s="74"/>
      <c r="Y911" s="74"/>
      <c r="Z911" s="74"/>
    </row>
    <row r="912" spans="1:26" x14ac:dyDescent="0.3">
      <c r="A912" s="66">
        <f t="shared" si="86"/>
        <v>2080.4999999999177</v>
      </c>
      <c r="B912" s="67">
        <f>LOOKUP(A912+0.01,AmountsB!$A$4:$A$103,AmountsB!$B$4:$B$103)*0.1*$A$2</f>
        <v>0</v>
      </c>
      <c r="C912" s="68">
        <f t="shared" si="91"/>
        <v>1538495.7946267016</v>
      </c>
      <c r="D912" s="67">
        <f t="array" ref="D912">SUM($B$7:$B907*$F$1009*EXP(-$F$1009*($A912-$A$7:$A907)))*$F$1010</f>
        <v>34214004.579008132</v>
      </c>
      <c r="E912" s="67">
        <f t="shared" si="89"/>
        <v>65.225979315471733</v>
      </c>
      <c r="F912" s="70">
        <f t="shared" si="87"/>
        <v>3.9605214640354438</v>
      </c>
      <c r="G912" s="67">
        <f>E912/'Lookup Tables'!$C$48</f>
        <v>130.45195863094347</v>
      </c>
      <c r="H912" s="70">
        <f t="shared" si="90"/>
        <v>2.2283307401909584E-2</v>
      </c>
      <c r="I912" s="71">
        <f t="shared" si="88"/>
        <v>0.18785082042855861</v>
      </c>
      <c r="L912" s="74"/>
      <c r="M912" s="74"/>
      <c r="N912" s="74"/>
      <c r="O912" s="74"/>
      <c r="P912" s="74"/>
      <c r="Q912" s="74"/>
      <c r="R912" s="74"/>
      <c r="S912" s="74"/>
      <c r="T912" s="74"/>
      <c r="U912" s="74"/>
      <c r="V912" s="74"/>
      <c r="W912" s="74"/>
      <c r="X912" s="74"/>
      <c r="Y912" s="74"/>
      <c r="Z912" s="74"/>
    </row>
    <row r="913" spans="1:26" x14ac:dyDescent="0.3">
      <c r="A913" s="66">
        <f t="shared" si="86"/>
        <v>2080.5999999999176</v>
      </c>
      <c r="B913" s="67">
        <f>LOOKUP(A913+0.01,AmountsB!$A$4:$A$103,AmountsB!$B$4:$B$103)*0.1*$A$2</f>
        <v>0</v>
      </c>
      <c r="C913" s="68">
        <f t="shared" si="91"/>
        <v>1538495.7946267016</v>
      </c>
      <c r="D913" s="67">
        <f t="array" ref="D913">SUM($B$7:$B908*$F$1009*EXP(-$F$1009*($A913-$A$7:$A908)))*$F$1010</f>
        <v>34118339.359994888</v>
      </c>
      <c r="E913" s="67">
        <f t="shared" si="89"/>
        <v>65.043602020754335</v>
      </c>
      <c r="F913" s="70">
        <f t="shared" si="87"/>
        <v>3.9494475147002031</v>
      </c>
      <c r="G913" s="67">
        <f>E913/'Lookup Tables'!$C$48</f>
        <v>130.08720404150867</v>
      </c>
      <c r="H913" s="70">
        <f t="shared" si="90"/>
        <v>2.2221001410279148E-2</v>
      </c>
      <c r="I913" s="71">
        <f t="shared" si="88"/>
        <v>0.1873255738197725</v>
      </c>
      <c r="L913" s="74"/>
      <c r="M913" s="74"/>
      <c r="N913" s="74"/>
      <c r="O913" s="74"/>
      <c r="P913" s="74"/>
      <c r="Q913" s="74"/>
      <c r="R913" s="74"/>
      <c r="S913" s="74"/>
      <c r="T913" s="74"/>
      <c r="U913" s="74"/>
      <c r="V913" s="74"/>
      <c r="W913" s="74"/>
      <c r="X913" s="74"/>
      <c r="Y913" s="74"/>
      <c r="Z913" s="74"/>
    </row>
    <row r="914" spans="1:26" x14ac:dyDescent="0.3">
      <c r="A914" s="66">
        <f t="shared" si="86"/>
        <v>2080.6999999999175</v>
      </c>
      <c r="B914" s="67">
        <f>LOOKUP(A914+0.01,AmountsB!$A$4:$A$103,AmountsB!$B$4:$B$103)*0.1*$A$2</f>
        <v>0</v>
      </c>
      <c r="C914" s="68">
        <f t="shared" si="91"/>
        <v>1538495.7946267016</v>
      </c>
      <c r="D914" s="67">
        <f t="array" ref="D914">SUM($B$7:$B909*$F$1009*EXP(-$F$1009*($A914-$A$7:$A909)))*$F$1010</f>
        <v>34022941.628936984</v>
      </c>
      <c r="E914" s="67">
        <f t="shared" si="89"/>
        <v>64.861734668209962</v>
      </c>
      <c r="F914" s="70">
        <f t="shared" si="87"/>
        <v>3.9384045290537091</v>
      </c>
      <c r="G914" s="67">
        <f>E914/'Lookup Tables'!$C$48</f>
        <v>129.72346933641992</v>
      </c>
      <c r="H914" s="70">
        <f t="shared" si="90"/>
        <v>2.2158869631413607E-2</v>
      </c>
      <c r="I914" s="71">
        <f t="shared" si="88"/>
        <v>0.1868017958444447</v>
      </c>
      <c r="L914" s="74"/>
      <c r="M914" s="74"/>
      <c r="N914" s="74"/>
      <c r="O914" s="74"/>
      <c r="P914" s="74"/>
      <c r="Q914" s="74"/>
      <c r="R914" s="74"/>
      <c r="S914" s="74"/>
      <c r="T914" s="74"/>
      <c r="U914" s="74"/>
      <c r="V914" s="74"/>
      <c r="W914" s="74"/>
      <c r="X914" s="74"/>
      <c r="Y914" s="74"/>
      <c r="Z914" s="74"/>
    </row>
    <row r="915" spans="1:26" x14ac:dyDescent="0.3">
      <c r="A915" s="66">
        <f t="shared" ref="A915:A978" si="92">A914+0.1</f>
        <v>2080.7999999999174</v>
      </c>
      <c r="B915" s="67">
        <f>LOOKUP(A915+0.01,AmountsB!$A$4:$A$103,AmountsB!$B$4:$B$103)*0.1*$A$2</f>
        <v>0</v>
      </c>
      <c r="C915" s="68">
        <f t="shared" si="91"/>
        <v>1538495.7946267016</v>
      </c>
      <c r="D915" s="67">
        <f t="array" ref="D915">SUM($B$7:$B910*$F$1009*EXP(-$F$1009*($A915-$A$7:$A910)))*$F$1010</f>
        <v>33927810.637915701</v>
      </c>
      <c r="E915" s="67">
        <f t="shared" si="89"/>
        <v>64.680375831997551</v>
      </c>
      <c r="F915" s="70">
        <f t="shared" ref="F915:F978" si="93">E915*60*1012/1000000</f>
        <v>3.927392420518891</v>
      </c>
      <c r="G915" s="67">
        <f>E915/'Lookup Tables'!$C$48</f>
        <v>129.3607516639951</v>
      </c>
      <c r="H915" s="70">
        <f t="shared" si="90"/>
        <v>2.209691157819944E-2</v>
      </c>
      <c r="I915" s="71">
        <f t="shared" ref="I915:I978" si="94">G915*60*24/1000000</f>
        <v>0.18627948239615294</v>
      </c>
      <c r="L915" s="74"/>
      <c r="M915" s="74"/>
      <c r="N915" s="74"/>
      <c r="O915" s="74"/>
      <c r="P915" s="74"/>
      <c r="Q915" s="74"/>
      <c r="R915" s="74"/>
      <c r="S915" s="74"/>
      <c r="T915" s="74"/>
      <c r="U915" s="74"/>
      <c r="V915" s="74"/>
      <c r="W915" s="74"/>
      <c r="X915" s="74"/>
      <c r="Y915" s="74"/>
      <c r="Z915" s="74"/>
    </row>
    <row r="916" spans="1:26" x14ac:dyDescent="0.3">
      <c r="A916" s="66">
        <f t="shared" si="92"/>
        <v>2080.8999999999173</v>
      </c>
      <c r="B916" s="67">
        <f>LOOKUP(A916+0.01,AmountsB!$A$4:$A$103,AmountsB!$B$4:$B$103)*0.1*$A$2</f>
        <v>0</v>
      </c>
      <c r="C916" s="68">
        <f t="shared" si="91"/>
        <v>1538495.7946267016</v>
      </c>
      <c r="D916" s="67">
        <f t="array" ref="D916">SUM($B$7:$B911*$F$1009*EXP(-$F$1009*($A916-$A$7:$A911)))*$F$1010</f>
        <v>33832945.641103618</v>
      </c>
      <c r="E916" s="67">
        <f t="shared" si="89"/>
        <v>64.499524090263009</v>
      </c>
      <c r="F916" s="70">
        <f t="shared" si="93"/>
        <v>3.9164111027607698</v>
      </c>
      <c r="G916" s="67">
        <f>E916/'Lookup Tables'!$C$48</f>
        <v>128.99904818052602</v>
      </c>
      <c r="H916" s="70">
        <f t="shared" si="90"/>
        <v>2.2035126764885254E-2</v>
      </c>
      <c r="I916" s="71">
        <f t="shared" si="94"/>
        <v>0.18575862937995749</v>
      </c>
      <c r="L916" s="74"/>
      <c r="M916" s="74"/>
      <c r="N916" s="74"/>
      <c r="O916" s="74"/>
      <c r="P916" s="74"/>
      <c r="Q916" s="74"/>
      <c r="R916" s="74"/>
      <c r="S916" s="74"/>
      <c r="T916" s="74"/>
      <c r="U916" s="74"/>
      <c r="V916" s="74"/>
      <c r="W916" s="74"/>
      <c r="X916" s="74"/>
      <c r="Y916" s="74"/>
      <c r="Z916" s="74"/>
    </row>
    <row r="917" spans="1:26" x14ac:dyDescent="0.3">
      <c r="A917" s="66">
        <f t="shared" si="92"/>
        <v>2080.9999999999172</v>
      </c>
      <c r="B917" s="67">
        <f>LOOKUP(A917+0.01,AmountsB!$A$4:$A$103,AmountsB!$B$4:$B$103)*0.1*$A$2</f>
        <v>0</v>
      </c>
      <c r="C917" s="68">
        <f t="shared" si="91"/>
        <v>1538495.7946267016</v>
      </c>
      <c r="D917" s="67">
        <f t="array" ref="D917">SUM($B$7:$B912*$F$1009*EXP(-$F$1009*($A917-$A$7:$A912)))*$F$1010</f>
        <v>33738345.894758657</v>
      </c>
      <c r="E917" s="67">
        <f t="shared" si="89"/>
        <v>64.319178025127712</v>
      </c>
      <c r="F917" s="70">
        <f t="shared" si="93"/>
        <v>3.9054604896857548</v>
      </c>
      <c r="G917" s="67">
        <f>E917/'Lookup Tables'!$C$48</f>
        <v>128.63835605025542</v>
      </c>
      <c r="H917" s="70">
        <f t="shared" si="90"/>
        <v>2.1973514707077771E-2</v>
      </c>
      <c r="I917" s="71">
        <f t="shared" si="94"/>
        <v>0.18523923271236781</v>
      </c>
      <c r="L917" s="74"/>
      <c r="M917" s="74"/>
      <c r="N917" s="74"/>
      <c r="O917" s="74"/>
      <c r="P917" s="74"/>
      <c r="Q917" s="74"/>
      <c r="R917" s="74"/>
      <c r="S917" s="74"/>
      <c r="T917" s="74"/>
      <c r="U917" s="74"/>
      <c r="V917" s="74"/>
      <c r="W917" s="74"/>
      <c r="X917" s="74"/>
      <c r="Y917" s="74"/>
      <c r="Z917" s="74"/>
    </row>
    <row r="918" spans="1:26" x14ac:dyDescent="0.3">
      <c r="A918" s="66">
        <f t="shared" si="92"/>
        <v>2081.0999999999171</v>
      </c>
      <c r="B918" s="67">
        <f>LOOKUP(A918+0.01,AmountsB!$A$4:$A$103,AmountsB!$B$4:$B$103)*0.1*$A$2</f>
        <v>0</v>
      </c>
      <c r="C918" s="68">
        <f t="shared" si="91"/>
        <v>1538495.7946267016</v>
      </c>
      <c r="D918" s="67">
        <f t="array" ref="D918">SUM($B$7:$B913*$F$1009*EXP(-$F$1009*($A918-$A$7:$A913)))*$F$1010</f>
        <v>33644010.657218322</v>
      </c>
      <c r="E918" s="67">
        <f t="shared" si="89"/>
        <v>64.139336222677585</v>
      </c>
      <c r="F918" s="70">
        <f t="shared" si="93"/>
        <v>3.894540495440983</v>
      </c>
      <c r="G918" s="67">
        <f>E918/'Lookup Tables'!$C$48</f>
        <v>128.27867244535517</v>
      </c>
      <c r="H918" s="70">
        <f t="shared" si="90"/>
        <v>2.1912074921738137E-2</v>
      </c>
      <c r="I918" s="71">
        <f t="shared" si="94"/>
        <v>0.18472128832131143</v>
      </c>
      <c r="L918" s="74"/>
      <c r="M918" s="74"/>
      <c r="N918" s="74"/>
      <c r="O918" s="74"/>
      <c r="P918" s="74"/>
      <c r="Q918" s="74"/>
      <c r="R918" s="74"/>
      <c r="S918" s="74"/>
      <c r="T918" s="74"/>
      <c r="U918" s="74"/>
      <c r="V918" s="74"/>
      <c r="W918" s="74"/>
      <c r="X918" s="74"/>
      <c r="Y918" s="74"/>
      <c r="Z918" s="74"/>
    </row>
    <row r="919" spans="1:26" x14ac:dyDescent="0.3">
      <c r="A919" s="66">
        <f t="shared" si="92"/>
        <v>2081.1999999999171</v>
      </c>
      <c r="B919" s="67">
        <f>LOOKUP(A919+0.01,AmountsB!$A$4:$A$103,AmountsB!$B$4:$B$103)*0.1*$A$2</f>
        <v>0</v>
      </c>
      <c r="C919" s="68">
        <f t="shared" si="91"/>
        <v>1538495.7946267016</v>
      </c>
      <c r="D919" s="67">
        <f t="array" ref="D919">SUM($B$7:$B914*$F$1009*EXP(-$F$1009*($A919-$A$7:$A914)))*$F$1010</f>
        <v>33549939.188893877</v>
      </c>
      <c r="E919" s="67">
        <f t="shared" si="89"/>
        <v>63.959997272951973</v>
      </c>
      <c r="F919" s="70">
        <f t="shared" si="93"/>
        <v>3.8836510344136435</v>
      </c>
      <c r="G919" s="67">
        <f>E919/'Lookup Tables'!$C$48</f>
        <v>127.91999454590395</v>
      </c>
      <c r="H919" s="70">
        <f t="shared" si="90"/>
        <v>2.1850806927178133E-2</v>
      </c>
      <c r="I919" s="71">
        <f t="shared" si="94"/>
        <v>0.18420479214610169</v>
      </c>
      <c r="L919" s="74"/>
      <c r="M919" s="74"/>
      <c r="N919" s="74"/>
      <c r="O919" s="74"/>
      <c r="P919" s="74"/>
      <c r="Q919" s="74"/>
      <c r="R919" s="74"/>
      <c r="S919" s="74"/>
      <c r="T919" s="74"/>
      <c r="U919" s="74"/>
      <c r="V919" s="74"/>
      <c r="W919" s="74"/>
      <c r="X919" s="74"/>
      <c r="Y919" s="74"/>
      <c r="Z919" s="74"/>
    </row>
    <row r="920" spans="1:26" x14ac:dyDescent="0.3">
      <c r="A920" s="66">
        <f t="shared" si="92"/>
        <v>2081.299999999917</v>
      </c>
      <c r="B920" s="67">
        <f>LOOKUP(A920+0.01,AmountsB!$A$4:$A$103,AmountsB!$B$4:$B$103)*0.1*$A$2</f>
        <v>0</v>
      </c>
      <c r="C920" s="68">
        <f t="shared" si="91"/>
        <v>1538495.7946267016</v>
      </c>
      <c r="D920" s="67">
        <f t="array" ref="D920">SUM($B$7:$B915*$F$1009*EXP(-$F$1009*($A920-$A$7:$A915)))*$F$1010</f>
        <v>33456130.752264518</v>
      </c>
      <c r="E920" s="67">
        <f t="shared" si="89"/>
        <v>63.781159769932593</v>
      </c>
      <c r="F920" s="70">
        <f t="shared" si="93"/>
        <v>3.8727920212303069</v>
      </c>
      <c r="G920" s="67">
        <f>E920/'Lookup Tables'!$C$48</f>
        <v>127.56231953986519</v>
      </c>
      <c r="H920" s="70">
        <f t="shared" si="90"/>
        <v>2.178971024305636E-2</v>
      </c>
      <c r="I920" s="71">
        <f t="shared" si="94"/>
        <v>0.18368974013740585</v>
      </c>
      <c r="L920" s="74"/>
      <c r="M920" s="74"/>
      <c r="N920" s="74"/>
      <c r="O920" s="74"/>
      <c r="P920" s="74"/>
      <c r="Q920" s="74"/>
      <c r="R920" s="74"/>
      <c r="S920" s="74"/>
      <c r="T920" s="74"/>
      <c r="U920" s="74"/>
      <c r="V920" s="74"/>
      <c r="W920" s="74"/>
      <c r="X920" s="74"/>
      <c r="Y920" s="74"/>
      <c r="Z920" s="74"/>
    </row>
    <row r="921" spans="1:26" x14ac:dyDescent="0.3">
      <c r="A921" s="66">
        <f t="shared" si="92"/>
        <v>2081.3999999999169</v>
      </c>
      <c r="B921" s="67">
        <f>LOOKUP(A921+0.01,AmountsB!$A$4:$A$103,AmountsB!$B$4:$B$103)*0.1*$A$2</f>
        <v>0</v>
      </c>
      <c r="C921" s="68">
        <f t="shared" si="91"/>
        <v>1538495.7946267016</v>
      </c>
      <c r="D921" s="67">
        <f t="array" ref="D921">SUM($B$7:$B916*$F$1009*EXP(-$F$1009*($A921-$A$7:$A916)))*$F$1010</f>
        <v>33362584.611871615</v>
      </c>
      <c r="E921" s="67">
        <f t="shared" si="89"/>
        <v>63.602822311532492</v>
      </c>
      <c r="F921" s="70">
        <f t="shared" si="93"/>
        <v>3.8619633707562531</v>
      </c>
      <c r="G921" s="67">
        <f>E921/'Lookup Tables'!$C$48</f>
        <v>127.20564462306498</v>
      </c>
      <c r="H921" s="70">
        <f t="shared" si="90"/>
        <v>2.1728784390374494E-2</v>
      </c>
      <c r="I921" s="71">
        <f t="shared" si="94"/>
        <v>0.18317612825721358</v>
      </c>
      <c r="L921" s="74"/>
      <c r="M921" s="74"/>
      <c r="N921" s="74"/>
      <c r="O921" s="74"/>
      <c r="P921" s="74"/>
      <c r="Q921" s="74"/>
      <c r="R921" s="74"/>
      <c r="S921" s="74"/>
      <c r="T921" s="74"/>
      <c r="U921" s="74"/>
      <c r="V921" s="74"/>
      <c r="W921" s="74"/>
      <c r="X921" s="74"/>
      <c r="Y921" s="74"/>
      <c r="Z921" s="74"/>
    </row>
    <row r="922" spans="1:26" x14ac:dyDescent="0.3">
      <c r="A922" s="66">
        <f t="shared" si="92"/>
        <v>2081.4999999999168</v>
      </c>
      <c r="B922" s="67">
        <f>LOOKUP(A922+0.01,AmountsB!$A$4:$A$103,AmountsB!$B$4:$B$103)*0.1*$A$2</f>
        <v>0</v>
      </c>
      <c r="C922" s="68">
        <f t="shared" si="91"/>
        <v>1538495.7946267016</v>
      </c>
      <c r="D922" s="67">
        <f t="array" ref="D922">SUM($B$7:$B917*$F$1009*EXP(-$F$1009*($A922-$A$7:$A917)))*$F$1010</f>
        <v>33269300.03431296</v>
      </c>
      <c r="E922" s="67">
        <f t="shared" si="89"/>
        <v>63.424983499585103</v>
      </c>
      <c r="F922" s="70">
        <f t="shared" si="93"/>
        <v>3.8511649980948075</v>
      </c>
      <c r="G922" s="67">
        <f>E922/'Lookup Tables'!$C$48</f>
        <v>126.84996699917021</v>
      </c>
      <c r="H922" s="70">
        <f t="shared" si="90"/>
        <v>2.166802889147355E-2</v>
      </c>
      <c r="I922" s="71">
        <f t="shared" si="94"/>
        <v>0.1826639524788051</v>
      </c>
      <c r="L922" s="74"/>
      <c r="M922" s="74"/>
      <c r="N922" s="74"/>
      <c r="O922" s="74"/>
      <c r="P922" s="74"/>
      <c r="Q922" s="74"/>
      <c r="R922" s="74"/>
      <c r="S922" s="74"/>
      <c r="T922" s="74"/>
      <c r="U922" s="74"/>
      <c r="V922" s="74"/>
      <c r="W922" s="74"/>
      <c r="X922" s="74"/>
      <c r="Y922" s="74"/>
      <c r="Z922" s="74"/>
    </row>
    <row r="923" spans="1:26" x14ac:dyDescent="0.3">
      <c r="A923" s="66">
        <f t="shared" si="92"/>
        <v>2081.5999999999167</v>
      </c>
      <c r="B923" s="67">
        <f>LOOKUP(A923+0.01,AmountsB!$A$4:$A$103,AmountsB!$B$4:$B$103)*0.1*$A$2</f>
        <v>0</v>
      </c>
      <c r="C923" s="68">
        <f t="shared" si="91"/>
        <v>1538495.7946267016</v>
      </c>
      <c r="D923" s="67">
        <f t="array" ref="D923">SUM($B$7:$B918*$F$1009*EXP(-$F$1009*($A923-$A$7:$A918)))*$F$1010</f>
        <v>33176276.288236976</v>
      </c>
      <c r="E923" s="67">
        <f t="shared" si="89"/>
        <v>63.247641939833208</v>
      </c>
      <c r="F923" s="70">
        <f t="shared" si="93"/>
        <v>3.8403968185866724</v>
      </c>
      <c r="G923" s="67">
        <f>E923/'Lookup Tables'!$C$48</f>
        <v>126.49528387966642</v>
      </c>
      <c r="H923" s="70">
        <f t="shared" si="90"/>
        <v>2.1607443270030099E-2</v>
      </c>
      <c r="I923" s="71">
        <f t="shared" si="94"/>
        <v>0.18215320878671964</v>
      </c>
      <c r="L923" s="74"/>
      <c r="M923" s="74"/>
      <c r="N923" s="74"/>
      <c r="O923" s="74"/>
      <c r="P923" s="74"/>
      <c r="Q923" s="74"/>
      <c r="R923" s="74"/>
      <c r="S923" s="74"/>
      <c r="T923" s="74"/>
      <c r="U923" s="74"/>
      <c r="V923" s="74"/>
      <c r="W923" s="74"/>
      <c r="X923" s="74"/>
      <c r="Y923" s="74"/>
      <c r="Z923" s="74"/>
    </row>
    <row r="924" spans="1:26" x14ac:dyDescent="0.3">
      <c r="A924" s="66">
        <f t="shared" si="92"/>
        <v>2081.6999999999166</v>
      </c>
      <c r="B924" s="67">
        <f>LOOKUP(A924+0.01,AmountsB!$A$4:$A$103,AmountsB!$B$4:$B$103)*0.1*$A$2</f>
        <v>0</v>
      </c>
      <c r="C924" s="68">
        <f t="shared" si="91"/>
        <v>1538495.7946267016</v>
      </c>
      <c r="D924" s="67">
        <f t="array" ref="D924">SUM($B$7:$B919*$F$1009*EXP(-$F$1009*($A924-$A$7:$A919)))*$F$1010</f>
        <v>33083512.644337028</v>
      </c>
      <c r="E924" s="67">
        <f t="shared" si="89"/>
        <v>63.070796241918089</v>
      </c>
      <c r="F924" s="70">
        <f t="shared" si="93"/>
        <v>3.8296587478092667</v>
      </c>
      <c r="G924" s="67">
        <f>E924/'Lookup Tables'!$C$48</f>
        <v>126.14159248383618</v>
      </c>
      <c r="H924" s="70">
        <f t="shared" si="90"/>
        <v>2.1547027051052561E-2</v>
      </c>
      <c r="I924" s="71">
        <f t="shared" si="94"/>
        <v>0.18164389317672408</v>
      </c>
      <c r="L924" s="74"/>
      <c r="M924" s="74"/>
      <c r="N924" s="74"/>
      <c r="O924" s="74"/>
      <c r="P924" s="74"/>
      <c r="Q924" s="74"/>
      <c r="R924" s="74"/>
      <c r="S924" s="74"/>
      <c r="T924" s="74"/>
      <c r="U924" s="74"/>
      <c r="V924" s="74"/>
      <c r="W924" s="74"/>
      <c r="X924" s="74"/>
      <c r="Y924" s="74"/>
      <c r="Z924" s="74"/>
    </row>
    <row r="925" spans="1:26" x14ac:dyDescent="0.3">
      <c r="A925" s="66">
        <f t="shared" si="92"/>
        <v>2081.7999999999165</v>
      </c>
      <c r="B925" s="67">
        <f>LOOKUP(A925+0.01,AmountsB!$A$4:$A$103,AmountsB!$B$4:$B$103)*0.1*$A$2</f>
        <v>0</v>
      </c>
      <c r="C925" s="68">
        <f t="shared" si="91"/>
        <v>1538495.7946267016</v>
      </c>
      <c r="D925" s="67">
        <f t="array" ref="D925">SUM($B$7:$B920*$F$1009*EXP(-$F$1009*($A925-$A$7:$A920)))*$F$1010</f>
        <v>32991008.37534567</v>
      </c>
      <c r="E925" s="67">
        <f t="shared" si="89"/>
        <v>62.894445019368561</v>
      </c>
      <c r="F925" s="70">
        <f t="shared" si="93"/>
        <v>3.8189507015760591</v>
      </c>
      <c r="G925" s="67">
        <f>E925/'Lookup Tables'!$C$48</f>
        <v>125.78889003873712</v>
      </c>
      <c r="H925" s="70">
        <f t="shared" si="90"/>
        <v>2.1486779760877473E-2</v>
      </c>
      <c r="I925" s="71">
        <f t="shared" si="94"/>
        <v>0.18113600165578148</v>
      </c>
      <c r="L925" s="74"/>
      <c r="M925" s="74"/>
      <c r="N925" s="74"/>
      <c r="O925" s="74"/>
      <c r="P925" s="74"/>
      <c r="Q925" s="74"/>
      <c r="R925" s="74"/>
      <c r="S925" s="74"/>
      <c r="T925" s="74"/>
      <c r="U925" s="74"/>
      <c r="V925" s="74"/>
      <c r="W925" s="74"/>
      <c r="X925" s="74"/>
      <c r="Y925" s="74"/>
      <c r="Z925" s="74"/>
    </row>
    <row r="926" spans="1:26" x14ac:dyDescent="0.3">
      <c r="A926" s="66">
        <f t="shared" si="92"/>
        <v>2081.8999999999164</v>
      </c>
      <c r="B926" s="67">
        <f>LOOKUP(A926+0.01,AmountsB!$A$4:$A$103,AmountsB!$B$4:$B$103)*0.1*$A$2</f>
        <v>0</v>
      </c>
      <c r="C926" s="68">
        <f t="shared" si="91"/>
        <v>1538495.7946267016</v>
      </c>
      <c r="D926" s="67">
        <f t="array" ref="D926">SUM($B$7:$B921*$F$1009*EXP(-$F$1009*($A926-$A$7:$A921)))*$F$1010</f>
        <v>32898762.756028961</v>
      </c>
      <c r="E926" s="67">
        <f t="shared" si="89"/>
        <v>62.718586889590142</v>
      </c>
      <c r="F926" s="70">
        <f t="shared" si="93"/>
        <v>3.8082725959359132</v>
      </c>
      <c r="G926" s="67">
        <f>E926/'Lookup Tables'!$C$48</f>
        <v>125.43717377918028</v>
      </c>
      <c r="H926" s="70">
        <f t="shared" si="90"/>
        <v>2.1426700927165768E-2</v>
      </c>
      <c r="I926" s="71">
        <f t="shared" si="94"/>
        <v>0.18062953024201964</v>
      </c>
      <c r="L926" s="74"/>
      <c r="M926" s="74"/>
      <c r="N926" s="74"/>
      <c r="O926" s="74"/>
      <c r="P926" s="74"/>
      <c r="Q926" s="74"/>
      <c r="R926" s="74"/>
      <c r="S926" s="74"/>
      <c r="T926" s="74"/>
      <c r="U926" s="74"/>
      <c r="V926" s="74"/>
      <c r="W926" s="74"/>
      <c r="X926" s="74"/>
      <c r="Y926" s="74"/>
      <c r="Z926" s="74"/>
    </row>
    <row r="927" spans="1:26" x14ac:dyDescent="0.3">
      <c r="A927" s="66">
        <f t="shared" si="92"/>
        <v>2081.9999999999163</v>
      </c>
      <c r="B927" s="67">
        <f>LOOKUP(A927+0.01,AmountsB!$A$4:$A$103,AmountsB!$B$4:$B$103)*0.1*$A$2</f>
        <v>0</v>
      </c>
      <c r="C927" s="68">
        <f t="shared" si="91"/>
        <v>1538495.7946267016</v>
      </c>
      <c r="D927" s="67">
        <f t="array" ref="D927">SUM($B$7:$B922*$F$1009*EXP(-$F$1009*($A927-$A$7:$A922)))*$F$1010</f>
        <v>32806775.063180767</v>
      </c>
      <c r="E927" s="67">
        <f t="shared" si="89"/>
        <v>62.543220473854191</v>
      </c>
      <c r="F927" s="70">
        <f t="shared" si="93"/>
        <v>3.7976243471724267</v>
      </c>
      <c r="G927" s="67">
        <f>E927/'Lookup Tables'!$C$48</f>
        <v>125.08644094770838</v>
      </c>
      <c r="H927" s="70">
        <f t="shared" si="90"/>
        <v>2.1366790078899082E-2</v>
      </c>
      <c r="I927" s="71">
        <f t="shared" si="94"/>
        <v>0.18012447496470008</v>
      </c>
      <c r="L927" s="74"/>
      <c r="M927" s="74"/>
      <c r="N927" s="74"/>
      <c r="O927" s="74"/>
      <c r="P927" s="74"/>
      <c r="Q927" s="74"/>
      <c r="R927" s="74"/>
      <c r="S927" s="74"/>
      <c r="T927" s="74"/>
      <c r="U927" s="74"/>
      <c r="V927" s="74"/>
      <c r="W927" s="74"/>
      <c r="X927" s="74"/>
      <c r="Y927" s="74"/>
      <c r="Z927" s="74"/>
    </row>
    <row r="928" spans="1:26" x14ac:dyDescent="0.3">
      <c r="A928" s="66">
        <f t="shared" si="92"/>
        <v>2082.0999999999162</v>
      </c>
      <c r="B928" s="67">
        <f>LOOKUP(A928+0.01,AmountsB!$A$4:$A$103,AmountsB!$B$4:$B$103)*0.1*$A$2</f>
        <v>0</v>
      </c>
      <c r="C928" s="68">
        <f t="shared" si="91"/>
        <v>1538495.7946267016</v>
      </c>
      <c r="D928" s="67">
        <f t="array" ref="D928">SUM($B$7:$B923*$F$1009*EXP(-$F$1009*($A928-$A$7:$A923)))*$F$1010</f>
        <v>32715044.575617108</v>
      </c>
      <c r="E928" s="67">
        <f t="shared" si="89"/>
        <v>62.368344397287103</v>
      </c>
      <c r="F928" s="70">
        <f t="shared" si="93"/>
        <v>3.7870058718032729</v>
      </c>
      <c r="G928" s="67">
        <f>E928/'Lookup Tables'!$C$48</f>
        <v>124.73668879457421</v>
      </c>
      <c r="H928" s="70">
        <f t="shared" si="90"/>
        <v>2.1307046746376051E-2</v>
      </c>
      <c r="I928" s="71">
        <f t="shared" si="94"/>
        <v>0.17962083186418684</v>
      </c>
      <c r="L928" s="74"/>
      <c r="M928" s="74"/>
      <c r="N928" s="74"/>
      <c r="O928" s="74"/>
      <c r="P928" s="74"/>
      <c r="Q928" s="74"/>
      <c r="R928" s="74"/>
      <c r="S928" s="74"/>
      <c r="T928" s="74"/>
      <c r="U928" s="74"/>
      <c r="V928" s="74"/>
      <c r="W928" s="74"/>
      <c r="X928" s="74"/>
      <c r="Y928" s="74"/>
      <c r="Z928" s="74"/>
    </row>
    <row r="929" spans="1:26" x14ac:dyDescent="0.3">
      <c r="A929" s="66">
        <f t="shared" si="92"/>
        <v>2082.1999999999161</v>
      </c>
      <c r="B929" s="67">
        <f>LOOKUP(A929+0.01,AmountsB!$A$4:$A$103,AmountsB!$B$4:$B$103)*0.1*$A$2</f>
        <v>0</v>
      </c>
      <c r="C929" s="68">
        <f t="shared" si="91"/>
        <v>1538495.7946267016</v>
      </c>
      <c r="D929" s="67">
        <f t="array" ref="D929">SUM($B$7:$B924*$F$1009*EXP(-$F$1009*($A929-$A$7:$A924)))*$F$1010</f>
        <v>32623570.574170481</v>
      </c>
      <c r="E929" s="67">
        <f t="shared" si="89"/>
        <v>62.193957288859522</v>
      </c>
      <c r="F929" s="70">
        <f t="shared" si="93"/>
        <v>3.7764170865795501</v>
      </c>
      <c r="G929" s="67">
        <f>E929/'Lookup Tables'!$C$48</f>
        <v>124.38791457771904</v>
      </c>
      <c r="H929" s="70">
        <f t="shared" si="90"/>
        <v>2.1247470461208645E-2</v>
      </c>
      <c r="I929" s="71">
        <f t="shared" si="94"/>
        <v>0.17911859699191543</v>
      </c>
      <c r="L929" s="74"/>
      <c r="M929" s="74"/>
      <c r="N929" s="74"/>
      <c r="O929" s="74"/>
      <c r="P929" s="74"/>
      <c r="Q929" s="74"/>
      <c r="R929" s="74"/>
      <c r="S929" s="74"/>
      <c r="T929" s="74"/>
      <c r="U929" s="74"/>
      <c r="V929" s="74"/>
      <c r="W929" s="74"/>
      <c r="X929" s="74"/>
      <c r="Y929" s="74"/>
      <c r="Z929" s="74"/>
    </row>
    <row r="930" spans="1:26" x14ac:dyDescent="0.3">
      <c r="A930" s="66">
        <f t="shared" si="92"/>
        <v>2082.2999999999161</v>
      </c>
      <c r="B930" s="67">
        <f>LOOKUP(A930+0.01,AmountsB!$A$4:$A$103,AmountsB!$B$4:$B$103)*0.1*$A$2</f>
        <v>0</v>
      </c>
      <c r="C930" s="68">
        <f t="shared" si="91"/>
        <v>1538495.7946267016</v>
      </c>
      <c r="D930" s="67">
        <f t="array" ref="D930">SUM($B$7:$B925*$F$1009*EXP(-$F$1009*($A930-$A$7:$A925)))*$F$1010</f>
        <v>32532352.341684282</v>
      </c>
      <c r="E930" s="67">
        <f t="shared" si="89"/>
        <v>62.020057781375698</v>
      </c>
      <c r="F930" s="70">
        <f t="shared" si="93"/>
        <v>3.7658579084851325</v>
      </c>
      <c r="G930" s="67">
        <f>E930/'Lookup Tables'!$C$48</f>
        <v>124.0401155627514</v>
      </c>
      <c r="H930" s="70">
        <f t="shared" si="90"/>
        <v>2.1188060756318502E-2</v>
      </c>
      <c r="I930" s="71">
        <f t="shared" si="94"/>
        <v>0.17861776641036201</v>
      </c>
      <c r="L930" s="74"/>
      <c r="M930" s="74"/>
      <c r="N930" s="74"/>
      <c r="O930" s="74"/>
      <c r="P930" s="74"/>
      <c r="Q930" s="74"/>
      <c r="R930" s="74"/>
      <c r="S930" s="74"/>
      <c r="T930" s="74"/>
      <c r="U930" s="74"/>
      <c r="V930" s="74"/>
      <c r="W930" s="74"/>
      <c r="X930" s="74"/>
      <c r="Y930" s="74"/>
      <c r="Z930" s="74"/>
    </row>
    <row r="931" spans="1:26" x14ac:dyDescent="0.3">
      <c r="A931" s="66">
        <f t="shared" si="92"/>
        <v>2082.399999999916</v>
      </c>
      <c r="B931" s="67">
        <f>LOOKUP(A931+0.01,AmountsB!$A$4:$A$103,AmountsB!$B$4:$B$103)*0.1*$A$2</f>
        <v>0</v>
      </c>
      <c r="C931" s="68">
        <f t="shared" si="91"/>
        <v>1538495.7946267016</v>
      </c>
      <c r="D931" s="67">
        <f t="array" ref="D931">SUM($B$7:$B926*$F$1009*EXP(-$F$1009*($A931-$A$7:$A926)))*$F$1010</f>
        <v>32441389.163007058</v>
      </c>
      <c r="E931" s="67">
        <f t="shared" si="89"/>
        <v>61.846644511462522</v>
      </c>
      <c r="F931" s="70">
        <f t="shared" si="93"/>
        <v>3.7553282547360043</v>
      </c>
      <c r="G931" s="67">
        <f>E931/'Lookup Tables'!$C$48</f>
        <v>123.69328902292504</v>
      </c>
      <c r="H931" s="70">
        <f t="shared" si="90"/>
        <v>2.1128817165933206E-2</v>
      </c>
      <c r="I931" s="71">
        <f t="shared" si="94"/>
        <v>0.17811833619301207</v>
      </c>
      <c r="L931" s="74"/>
      <c r="M931" s="74"/>
      <c r="N931" s="74"/>
      <c r="O931" s="74"/>
      <c r="P931" s="74"/>
      <c r="Q931" s="74"/>
      <c r="R931" s="74"/>
      <c r="S931" s="74"/>
      <c r="T931" s="74"/>
      <c r="U931" s="74"/>
      <c r="V931" s="74"/>
      <c r="W931" s="74"/>
      <c r="X931" s="74"/>
      <c r="Y931" s="74"/>
      <c r="Z931" s="74"/>
    </row>
    <row r="932" spans="1:26" x14ac:dyDescent="0.3">
      <c r="A932" s="66">
        <f t="shared" si="92"/>
        <v>2082.4999999999159</v>
      </c>
      <c r="B932" s="67">
        <f>LOOKUP(A932+0.01,AmountsB!$A$4:$A$103,AmountsB!$B$4:$B$103)*0.1*$A$2</f>
        <v>0</v>
      </c>
      <c r="C932" s="68">
        <f t="shared" si="91"/>
        <v>1538495.7946267016</v>
      </c>
      <c r="D932" s="67">
        <f t="array" ref="D932">SUM($B$7:$B927*$F$1009*EXP(-$F$1009*($A932-$A$7:$A927)))*$F$1010</f>
        <v>32350680.324987058</v>
      </c>
      <c r="E932" s="67">
        <f t="shared" si="89"/>
        <v>61.673716119559138</v>
      </c>
      <c r="F932" s="70">
        <f t="shared" si="93"/>
        <v>3.744828042779631</v>
      </c>
      <c r="G932" s="67">
        <f>E932/'Lookup Tables'!$C$48</f>
        <v>123.34743223911828</v>
      </c>
      <c r="H932" s="70">
        <f t="shared" si="90"/>
        <v>2.1069739225582727E-2</v>
      </c>
      <c r="I932" s="71">
        <f t="shared" si="94"/>
        <v>0.17762030242433033</v>
      </c>
      <c r="L932" s="74"/>
      <c r="M932" s="74"/>
      <c r="N932" s="74"/>
      <c r="O932" s="74"/>
      <c r="P932" s="74"/>
      <c r="Q932" s="74"/>
      <c r="R932" s="74"/>
      <c r="S932" s="74"/>
      <c r="T932" s="74"/>
      <c r="U932" s="74"/>
      <c r="V932" s="74"/>
      <c r="W932" s="74"/>
      <c r="X932" s="74"/>
      <c r="Y932" s="74"/>
      <c r="Z932" s="74"/>
    </row>
    <row r="933" spans="1:26" x14ac:dyDescent="0.3">
      <c r="A933" s="66">
        <f t="shared" si="92"/>
        <v>2082.5999999999158</v>
      </c>
      <c r="B933" s="67">
        <f>LOOKUP(A933+0.01,AmountsB!$A$4:$A$103,AmountsB!$B$4:$B$103)*0.1*$A$2</f>
        <v>0</v>
      </c>
      <c r="C933" s="68">
        <f t="shared" si="91"/>
        <v>1538495.7946267016</v>
      </c>
      <c r="D933" s="67">
        <f t="array" ref="D933">SUM($B$7:$B928*$F$1009*EXP(-$F$1009*($A933-$A$7:$A928)))*$F$1010</f>
        <v>32260225.116466496</v>
      </c>
      <c r="E933" s="67">
        <f t="shared" si="89"/>
        <v>61.501271249906004</v>
      </c>
      <c r="F933" s="70">
        <f t="shared" si="93"/>
        <v>3.7343571902942925</v>
      </c>
      <c r="G933" s="67">
        <f>E933/'Lookup Tables'!$C$48</f>
        <v>123.00254249981201</v>
      </c>
      <c r="H933" s="70">
        <f t="shared" si="90"/>
        <v>2.1010826472095689E-2</v>
      </c>
      <c r="I933" s="71">
        <f t="shared" si="94"/>
        <v>0.17712366119972928</v>
      </c>
      <c r="L933" s="74"/>
      <c r="M933" s="74"/>
      <c r="N933" s="74"/>
      <c r="O933" s="74"/>
      <c r="P933" s="74"/>
      <c r="Q933" s="74"/>
      <c r="R933" s="74"/>
      <c r="S933" s="74"/>
      <c r="T933" s="74"/>
      <c r="U933" s="74"/>
      <c r="V933" s="74"/>
      <c r="W933" s="74"/>
      <c r="X933" s="74"/>
      <c r="Y933" s="74"/>
      <c r="Z933" s="74"/>
    </row>
    <row r="934" spans="1:26" x14ac:dyDescent="0.3">
      <c r="A934" s="66">
        <f t="shared" si="92"/>
        <v>2082.6999999999157</v>
      </c>
      <c r="B934" s="67">
        <f>LOOKUP(A934+0.01,AmountsB!$A$4:$A$103,AmountsB!$B$4:$B$103)*0.1*$A$2</f>
        <v>0</v>
      </c>
      <c r="C934" s="68">
        <f t="shared" si="91"/>
        <v>1538495.7946267016</v>
      </c>
      <c r="D934" s="67">
        <f t="array" ref="D934">SUM($B$7:$B929*$F$1009*EXP(-$F$1009*($A934-$A$7:$A929)))*$F$1010</f>
        <v>32170022.828276094</v>
      </c>
      <c r="E934" s="67">
        <f t="shared" si="89"/>
        <v>61.329308550534492</v>
      </c>
      <c r="F934" s="70">
        <f t="shared" si="93"/>
        <v>3.7239156151884543</v>
      </c>
      <c r="G934" s="67">
        <f>E934/'Lookup Tables'!$C$48</f>
        <v>122.65861710106898</v>
      </c>
      <c r="H934" s="70">
        <f t="shared" si="90"/>
        <v>2.0952078443595815E-2</v>
      </c>
      <c r="I934" s="71">
        <f t="shared" si="94"/>
        <v>0.17662840862553933</v>
      </c>
      <c r="L934" s="74"/>
      <c r="M934" s="74"/>
      <c r="N934" s="74"/>
      <c r="O934" s="74"/>
      <c r="P934" s="74"/>
      <c r="Q934" s="74"/>
      <c r="R934" s="74"/>
      <c r="S934" s="74"/>
      <c r="T934" s="74"/>
      <c r="U934" s="74"/>
      <c r="V934" s="74"/>
      <c r="W934" s="74"/>
      <c r="X934" s="74"/>
      <c r="Y934" s="74"/>
      <c r="Z934" s="74"/>
    </row>
    <row r="935" spans="1:26" x14ac:dyDescent="0.3">
      <c r="A935" s="66">
        <f t="shared" si="92"/>
        <v>2082.7999999999156</v>
      </c>
      <c r="B935" s="67">
        <f>LOOKUP(A935+0.01,AmountsB!$A$4:$A$103,AmountsB!$B$4:$B$103)*0.1*$A$2</f>
        <v>0</v>
      </c>
      <c r="C935" s="68">
        <f t="shared" si="91"/>
        <v>1538495.7946267016</v>
      </c>
      <c r="D935" s="67">
        <f t="array" ref="D935">SUM($B$7:$B930*$F$1009*EXP(-$F$1009*($A935-$A$7:$A930)))*$F$1010</f>
        <v>32080072.753229436</v>
      </c>
      <c r="E935" s="67">
        <f t="shared" si="89"/>
        <v>61.157826673256139</v>
      </c>
      <c r="F935" s="70">
        <f t="shared" si="93"/>
        <v>3.7135032356001125</v>
      </c>
      <c r="G935" s="67">
        <f>E935/'Lookup Tables'!$C$48</f>
        <v>122.31565334651228</v>
      </c>
      <c r="H935" s="70">
        <f t="shared" si="90"/>
        <v>2.0893494679498251E-2</v>
      </c>
      <c r="I935" s="71">
        <f t="shared" si="94"/>
        <v>0.17613454081897767</v>
      </c>
      <c r="L935" s="74"/>
      <c r="M935" s="74"/>
      <c r="N935" s="74"/>
      <c r="O935" s="74"/>
      <c r="P935" s="74"/>
      <c r="Q935" s="74"/>
      <c r="R935" s="74"/>
      <c r="S935" s="74"/>
      <c r="T935" s="74"/>
      <c r="U935" s="74"/>
      <c r="V935" s="74"/>
      <c r="W935" s="74"/>
      <c r="X935" s="74"/>
      <c r="Y935" s="74"/>
      <c r="Z935" s="74"/>
    </row>
    <row r="936" spans="1:26" x14ac:dyDescent="0.3">
      <c r="A936" s="66">
        <f t="shared" si="92"/>
        <v>2082.8999999999155</v>
      </c>
      <c r="B936" s="67">
        <f>LOOKUP(A936+0.01,AmountsB!$A$4:$A$103,AmountsB!$B$4:$B$103)*0.1*$A$2</f>
        <v>0</v>
      </c>
      <c r="C936" s="68">
        <f t="shared" si="91"/>
        <v>1538495.7946267016</v>
      </c>
      <c r="D936" s="67">
        <f t="array" ref="D936">SUM($B$7:$B931*$F$1009*EXP(-$F$1009*($A936-$A$7:$A931)))*$F$1010</f>
        <v>31990374.186117478</v>
      </c>
      <c r="E936" s="67">
        <f t="shared" si="89"/>
        <v>60.986824273652161</v>
      </c>
      <c r="F936" s="70">
        <f t="shared" si="93"/>
        <v>3.703119969896159</v>
      </c>
      <c r="G936" s="67">
        <f>E936/'Lookup Tables'!$C$48</f>
        <v>121.97364854730432</v>
      </c>
      <c r="H936" s="70">
        <f t="shared" si="90"/>
        <v>2.0835074720505997E-2</v>
      </c>
      <c r="I936" s="71">
        <f t="shared" si="94"/>
        <v>0.17564205390811821</v>
      </c>
      <c r="L936" s="74"/>
      <c r="M936" s="74"/>
      <c r="N936" s="74"/>
      <c r="O936" s="74"/>
      <c r="P936" s="74"/>
      <c r="Q936" s="74"/>
      <c r="R936" s="74"/>
      <c r="S936" s="74"/>
      <c r="T936" s="74"/>
      <c r="U936" s="74"/>
      <c r="V936" s="74"/>
      <c r="W936" s="74"/>
      <c r="X936" s="74"/>
      <c r="Y936" s="74"/>
      <c r="Z936" s="74"/>
    </row>
    <row r="937" spans="1:26" x14ac:dyDescent="0.3">
      <c r="A937" s="66">
        <f t="shared" si="92"/>
        <v>2082.9999999999154</v>
      </c>
      <c r="B937" s="67">
        <f>LOOKUP(A937+0.01,AmountsB!$A$4:$A$103,AmountsB!$B$4:$B$103)*0.1*$A$2</f>
        <v>0</v>
      </c>
      <c r="C937" s="68">
        <f t="shared" si="91"/>
        <v>1538495.7946267016</v>
      </c>
      <c r="D937" s="67">
        <f t="array" ref="D937">SUM($B$7:$B932*$F$1009*EXP(-$F$1009*($A937-$A$7:$A932)))*$F$1010</f>
        <v>31900926.423703011</v>
      </c>
      <c r="E937" s="67">
        <f t="shared" si="89"/>
        <v>60.816300011062893</v>
      </c>
      <c r="F937" s="70">
        <f t="shared" si="93"/>
        <v>3.6927657366717388</v>
      </c>
      <c r="G937" s="67">
        <f>E937/'Lookup Tables'!$C$48</f>
        <v>121.63260002212579</v>
      </c>
      <c r="H937" s="70">
        <f t="shared" si="90"/>
        <v>2.0776818108606276E-2</v>
      </c>
      <c r="I937" s="71">
        <f t="shared" si="94"/>
        <v>0.17515094403186113</v>
      </c>
      <c r="L937" s="74"/>
      <c r="M937" s="74"/>
      <c r="N937" s="74"/>
      <c r="O937" s="74"/>
      <c r="P937" s="74"/>
      <c r="Q937" s="74"/>
      <c r="R937" s="74"/>
      <c r="S937" s="74"/>
      <c r="T937" s="74"/>
      <c r="U937" s="74"/>
      <c r="V937" s="74"/>
      <c r="W937" s="74"/>
      <c r="X937" s="74"/>
      <c r="Y937" s="74"/>
      <c r="Z937" s="74"/>
    </row>
    <row r="938" spans="1:26" x14ac:dyDescent="0.3">
      <c r="A938" s="66">
        <f t="shared" si="92"/>
        <v>2083.0999999999153</v>
      </c>
      <c r="B938" s="67">
        <f>LOOKUP(A938+0.01,AmountsB!$A$4:$A$103,AmountsB!$B$4:$B$103)*0.1*$A$2</f>
        <v>0</v>
      </c>
      <c r="C938" s="68">
        <f t="shared" si="91"/>
        <v>1538495.7946267016</v>
      </c>
      <c r="D938" s="67">
        <f t="array" ref="D938">SUM($B$7:$B933*$F$1009*EXP(-$F$1009*($A938-$A$7:$A933)))*$F$1010</f>
        <v>31811728.764715102</v>
      </c>
      <c r="E938" s="67">
        <f t="shared" si="89"/>
        <v>60.646252548577209</v>
      </c>
      <c r="F938" s="70">
        <f t="shared" si="93"/>
        <v>3.6824404547496083</v>
      </c>
      <c r="G938" s="67">
        <f>E938/'Lookup Tables'!$C$48</f>
        <v>121.29250509715442</v>
      </c>
      <c r="H938" s="70">
        <f t="shared" si="90"/>
        <v>2.0718724387066942E-2</v>
      </c>
      <c r="I938" s="71">
        <f t="shared" si="94"/>
        <v>0.17466120733990234</v>
      </c>
      <c r="L938" s="74"/>
      <c r="M938" s="74"/>
      <c r="N938" s="74"/>
      <c r="O938" s="74"/>
      <c r="P938" s="74"/>
      <c r="Q938" s="74"/>
      <c r="R938" s="74"/>
      <c r="S938" s="74"/>
      <c r="T938" s="74"/>
      <c r="U938" s="74"/>
      <c r="V938" s="74"/>
      <c r="W938" s="74"/>
      <c r="X938" s="74"/>
      <c r="Y938" s="74"/>
      <c r="Z938" s="74"/>
    </row>
    <row r="939" spans="1:26" x14ac:dyDescent="0.3">
      <c r="A939" s="66">
        <f t="shared" si="92"/>
        <v>2083.1999999999152</v>
      </c>
      <c r="B939" s="67">
        <f>LOOKUP(A939+0.01,AmountsB!$A$4:$A$103,AmountsB!$B$4:$B$103)*0.1*$A$2</f>
        <v>0</v>
      </c>
      <c r="C939" s="68">
        <f t="shared" si="91"/>
        <v>1538495.7946267016</v>
      </c>
      <c r="D939" s="67">
        <f t="array" ref="D939">SUM($B$7:$B934*$F$1009*EXP(-$F$1009*($A939-$A$7:$A934)))*$F$1010</f>
        <v>31722780.509843655</v>
      </c>
      <c r="E939" s="67">
        <f t="shared" si="89"/>
        <v>60.476680553022149</v>
      </c>
      <c r="F939" s="70">
        <f t="shared" si="93"/>
        <v>3.6721440431795052</v>
      </c>
      <c r="G939" s="67">
        <f>E939/'Lookup Tables'!$C$48</f>
        <v>120.9533611060443</v>
      </c>
      <c r="H939" s="70">
        <f t="shared" si="90"/>
        <v>2.0660793100432936E-2</v>
      </c>
      <c r="I939" s="71">
        <f t="shared" si="94"/>
        <v>0.1741728399927038</v>
      </c>
      <c r="L939" s="74"/>
      <c r="M939" s="74"/>
      <c r="N939" s="74"/>
      <c r="O939" s="74"/>
      <c r="P939" s="74"/>
      <c r="Q939" s="74"/>
      <c r="R939" s="74"/>
      <c r="S939" s="74"/>
      <c r="T939" s="74"/>
      <c r="U939" s="74"/>
      <c r="V939" s="74"/>
      <c r="W939" s="74"/>
      <c r="X939" s="74"/>
      <c r="Y939" s="74"/>
      <c r="Z939" s="74"/>
    </row>
    <row r="940" spans="1:26" x14ac:dyDescent="0.3">
      <c r="A940" s="66">
        <f t="shared" si="92"/>
        <v>2083.2999999999151</v>
      </c>
      <c r="B940" s="67">
        <f>LOOKUP(A940+0.01,AmountsB!$A$4:$A$103,AmountsB!$B$4:$B$103)*0.1*$A$2</f>
        <v>0</v>
      </c>
      <c r="C940" s="68">
        <f t="shared" si="91"/>
        <v>1538495.7946267016</v>
      </c>
      <c r="D940" s="67">
        <f t="array" ref="D940">SUM($B$7:$B935*$F$1009*EXP(-$F$1009*($A940-$A$7:$A935)))*$F$1010</f>
        <v>31634080.961733893</v>
      </c>
      <c r="E940" s="67">
        <f t="shared" si="89"/>
        <v>60.307582694952401</v>
      </c>
      <c r="F940" s="70">
        <f t="shared" si="93"/>
        <v>3.6618764212375097</v>
      </c>
      <c r="G940" s="67">
        <f>E940/'Lookup Tables'!$C$48</f>
        <v>120.6151653899048</v>
      </c>
      <c r="H940" s="70">
        <f t="shared" si="90"/>
        <v>2.0603023794522661E-2</v>
      </c>
      <c r="I940" s="71">
        <f t="shared" si="94"/>
        <v>0.17368583816146291</v>
      </c>
      <c r="L940" s="74"/>
      <c r="M940" s="74"/>
      <c r="N940" s="74"/>
      <c r="O940" s="74"/>
      <c r="P940" s="74"/>
      <c r="Q940" s="74"/>
      <c r="R940" s="74"/>
      <c r="S940" s="74"/>
      <c r="T940" s="74"/>
      <c r="U940" s="74"/>
      <c r="V940" s="74"/>
      <c r="W940" s="74"/>
      <c r="X940" s="74"/>
      <c r="Y940" s="74"/>
      <c r="Z940" s="74"/>
    </row>
    <row r="941" spans="1:26" x14ac:dyDescent="0.3">
      <c r="A941" s="66">
        <f t="shared" si="92"/>
        <v>2083.3999999999151</v>
      </c>
      <c r="B941" s="67">
        <f>LOOKUP(A941+0.01,AmountsB!$A$4:$A$103,AmountsB!$B$4:$B$103)*0.1*$A$2</f>
        <v>0</v>
      </c>
      <c r="C941" s="68">
        <f t="shared" si="91"/>
        <v>1538495.7946267016</v>
      </c>
      <c r="D941" s="67">
        <f t="array" ref="D941">SUM($B$7:$B936*$F$1009*EXP(-$F$1009*($A941-$A$7:$A936)))*$F$1010</f>
        <v>31545629.424980894</v>
      </c>
      <c r="E941" s="67">
        <f t="shared" si="89"/>
        <v>60.138957648639852</v>
      </c>
      <c r="F941" s="70">
        <f t="shared" si="93"/>
        <v>3.651637508425412</v>
      </c>
      <c r="G941" s="67">
        <f>E941/'Lookup Tables'!$C$48</f>
        <v>120.2779152972797</v>
      </c>
      <c r="H941" s="70">
        <f t="shared" si="90"/>
        <v>2.0545416016424456E-2</v>
      </c>
      <c r="I941" s="71">
        <f t="shared" si="94"/>
        <v>0.17320019802808279</v>
      </c>
      <c r="L941" s="74"/>
      <c r="M941" s="74"/>
      <c r="N941" s="74"/>
      <c r="O941" s="74"/>
      <c r="P941" s="74"/>
      <c r="Q941" s="74"/>
      <c r="R941" s="74"/>
      <c r="S941" s="74"/>
      <c r="T941" s="74"/>
      <c r="U941" s="74"/>
      <c r="V941" s="74"/>
      <c r="W941" s="74"/>
      <c r="X941" s="74"/>
      <c r="Y941" s="74"/>
      <c r="Z941" s="74"/>
    </row>
    <row r="942" spans="1:26" x14ac:dyDescent="0.3">
      <c r="A942" s="66">
        <f t="shared" si="92"/>
        <v>2083.499999999915</v>
      </c>
      <c r="B942" s="67">
        <f>LOOKUP(A942+0.01,AmountsB!$A$4:$A$103,AmountsB!$B$4:$B$103)*0.1*$A$2</f>
        <v>0</v>
      </c>
      <c r="C942" s="68">
        <f t="shared" si="91"/>
        <v>1538495.7946267016</v>
      </c>
      <c r="D942" s="67">
        <f t="array" ref="D942">SUM($B$7:$B937*$F$1009*EXP(-$F$1009*($A942-$A$7:$A937)))*$F$1010</f>
        <v>31457425.206124179</v>
      </c>
      <c r="E942" s="67">
        <f t="shared" si="89"/>
        <v>59.970804092063339</v>
      </c>
      <c r="F942" s="70">
        <f t="shared" si="93"/>
        <v>3.6414272244700858</v>
      </c>
      <c r="G942" s="67">
        <f>E942/'Lookup Tables'!$C$48</f>
        <v>119.94160818412668</v>
      </c>
      <c r="H942" s="70">
        <f t="shared" si="90"/>
        <v>2.0487969314493069E-2</v>
      </c>
      <c r="I942" s="71">
        <f t="shared" si="94"/>
        <v>0.17271591578514242</v>
      </c>
      <c r="L942" s="74"/>
      <c r="M942" s="74"/>
      <c r="N942" s="74"/>
      <c r="O942" s="74"/>
      <c r="P942" s="74"/>
      <c r="Q942" s="74"/>
      <c r="R942" s="74"/>
      <c r="S942" s="74"/>
      <c r="T942" s="74"/>
      <c r="U942" s="74"/>
      <c r="V942" s="74"/>
      <c r="W942" s="74"/>
      <c r="X942" s="74"/>
      <c r="Y942" s="74"/>
      <c r="Z942" s="74"/>
    </row>
    <row r="943" spans="1:26" x14ac:dyDescent="0.3">
      <c r="A943" s="66">
        <f t="shared" si="92"/>
        <v>2083.5999999999149</v>
      </c>
      <c r="B943" s="67">
        <f>LOOKUP(A943+0.01,AmountsB!$A$4:$A$103,AmountsB!$B$4:$B$103)*0.1*$A$2</f>
        <v>0</v>
      </c>
      <c r="C943" s="68">
        <f t="shared" si="91"/>
        <v>1538495.7946267016</v>
      </c>
      <c r="D943" s="67">
        <f t="array" ref="D943">SUM($B$7:$B938*$F$1009*EXP(-$F$1009*($A943-$A$7:$A938)))*$F$1010</f>
        <v>31369467.613642201</v>
      </c>
      <c r="E943" s="67">
        <f t="shared" si="89"/>
        <v>59.803120706898063</v>
      </c>
      <c r="F943" s="70">
        <f t="shared" si="93"/>
        <v>3.6312454893228505</v>
      </c>
      <c r="G943" s="67">
        <f>E943/'Lookup Tables'!$C$48</f>
        <v>119.60624141379613</v>
      </c>
      <c r="H943" s="70">
        <f t="shared" si="90"/>
        <v>2.0430683238346039E-2</v>
      </c>
      <c r="I943" s="71">
        <f t="shared" si="94"/>
        <v>0.17223298763586642</v>
      </c>
      <c r="L943" s="74"/>
      <c r="M943" s="74"/>
      <c r="N943" s="74"/>
      <c r="O943" s="74"/>
      <c r="P943" s="74"/>
      <c r="Q943" s="74"/>
      <c r="R943" s="74"/>
      <c r="S943" s="74"/>
      <c r="T943" s="74"/>
      <c r="U943" s="74"/>
      <c r="V943" s="74"/>
      <c r="W943" s="74"/>
      <c r="X943" s="74"/>
      <c r="Y943" s="74"/>
      <c r="Z943" s="74"/>
    </row>
    <row r="944" spans="1:26" x14ac:dyDescent="0.3">
      <c r="A944" s="66">
        <f t="shared" si="92"/>
        <v>2083.6999999999148</v>
      </c>
      <c r="B944" s="67">
        <f>LOOKUP(A944+0.01,AmountsB!$A$4:$A$103,AmountsB!$B$4:$B$103)*0.1*$A$2</f>
        <v>0</v>
      </c>
      <c r="C944" s="68">
        <f t="shared" si="91"/>
        <v>1538495.7946267016</v>
      </c>
      <c r="D944" s="67">
        <f t="array" ref="D944">SUM($B$7:$B939*$F$1009*EXP(-$F$1009*($A944-$A$7:$A939)))*$F$1010</f>
        <v>31281755.957946997</v>
      </c>
      <c r="E944" s="67">
        <f t="shared" si="89"/>
        <v>59.635906178505465</v>
      </c>
      <c r="F944" s="70">
        <f t="shared" si="93"/>
        <v>3.6210922231588518</v>
      </c>
      <c r="G944" s="67">
        <f>E944/'Lookup Tables'!$C$48</f>
        <v>119.27181235701093</v>
      </c>
      <c r="H944" s="70">
        <f t="shared" si="90"/>
        <v>2.0373557338860253E-2</v>
      </c>
      <c r="I944" s="71">
        <f t="shared" si="94"/>
        <v>0.17175140979409573</v>
      </c>
      <c r="L944" s="74"/>
      <c r="M944" s="74"/>
      <c r="N944" s="74"/>
      <c r="O944" s="74"/>
      <c r="P944" s="74"/>
      <c r="Q944" s="74"/>
      <c r="R944" s="74"/>
      <c r="S944" s="74"/>
      <c r="T944" s="74"/>
      <c r="U944" s="74"/>
      <c r="V944" s="74"/>
      <c r="W944" s="74"/>
      <c r="X944" s="74"/>
      <c r="Y944" s="74"/>
      <c r="Z944" s="74"/>
    </row>
    <row r="945" spans="1:26" x14ac:dyDescent="0.3">
      <c r="A945" s="66">
        <f t="shared" si="92"/>
        <v>2083.7999999999147</v>
      </c>
      <c r="B945" s="67">
        <f>LOOKUP(A945+0.01,AmountsB!$A$4:$A$103,AmountsB!$B$4:$B$103)*0.1*$A$2</f>
        <v>0</v>
      </c>
      <c r="C945" s="68">
        <f t="shared" si="91"/>
        <v>1538495.7946267016</v>
      </c>
      <c r="D945" s="67">
        <f t="array" ref="D945">SUM($B$7:$B940*$F$1009*EXP(-$F$1009*($A945-$A$7:$A940)))*$F$1010</f>
        <v>31194289.551378738</v>
      </c>
      <c r="E945" s="67">
        <f t="shared" si="89"/>
        <v>59.469159195922778</v>
      </c>
      <c r="F945" s="70">
        <f t="shared" si="93"/>
        <v>3.6109673463764311</v>
      </c>
      <c r="G945" s="67">
        <f>E945/'Lookup Tables'!$C$48</f>
        <v>118.93831839184556</v>
      </c>
      <c r="H945" s="70">
        <f t="shared" si="90"/>
        <v>2.0316591168168363E-2</v>
      </c>
      <c r="I945" s="71">
        <f t="shared" si="94"/>
        <v>0.1712711784842576</v>
      </c>
      <c r="L945" s="74"/>
      <c r="M945" s="74"/>
      <c r="N945" s="74"/>
      <c r="O945" s="74"/>
      <c r="P945" s="74"/>
      <c r="Q945" s="74"/>
      <c r="R945" s="74"/>
      <c r="S945" s="74"/>
      <c r="T945" s="74"/>
      <c r="U945" s="74"/>
      <c r="V945" s="74"/>
      <c r="W945" s="74"/>
      <c r="X945" s="74"/>
      <c r="Y945" s="74"/>
      <c r="Z945" s="74"/>
    </row>
    <row r="946" spans="1:26" x14ac:dyDescent="0.3">
      <c r="A946" s="66">
        <f t="shared" si="92"/>
        <v>2083.8999999999146</v>
      </c>
      <c r="B946" s="67">
        <f>LOOKUP(A946+0.01,AmountsB!$A$4:$A$103,AmountsB!$B$4:$B$103)*0.1*$A$2</f>
        <v>0</v>
      </c>
      <c r="C946" s="68">
        <f t="shared" si="91"/>
        <v>1538495.7946267016</v>
      </c>
      <c r="D946" s="67">
        <f t="array" ref="D946">SUM($B$7:$B941*$F$1009*EXP(-$F$1009*($A946-$A$7:$A941)))*$F$1010</f>
        <v>31107067.708200343</v>
      </c>
      <c r="E946" s="67">
        <f t="shared" si="89"/>
        <v>59.302878451852791</v>
      </c>
      <c r="F946" s="70">
        <f t="shared" si="93"/>
        <v>3.6008707795965011</v>
      </c>
      <c r="G946" s="67">
        <f>E946/'Lookup Tables'!$C$48</f>
        <v>118.60575690370558</v>
      </c>
      <c r="H946" s="70">
        <f t="shared" si="90"/>
        <v>2.0259784279655291E-2</v>
      </c>
      <c r="I946" s="71">
        <f t="shared" si="94"/>
        <v>0.17079228994133602</v>
      </c>
      <c r="L946" s="74"/>
      <c r="M946" s="74"/>
      <c r="N946" s="74"/>
      <c r="O946" s="74"/>
      <c r="P946" s="74"/>
      <c r="Q946" s="74"/>
      <c r="R946" s="74"/>
      <c r="S946" s="74"/>
      <c r="T946" s="74"/>
      <c r="U946" s="74"/>
      <c r="V946" s="74"/>
      <c r="W946" s="74"/>
      <c r="X946" s="74"/>
      <c r="Y946" s="74"/>
      <c r="Z946" s="74"/>
    </row>
    <row r="947" spans="1:26" x14ac:dyDescent="0.3">
      <c r="A947" s="66">
        <f t="shared" si="92"/>
        <v>2083.9999999999145</v>
      </c>
      <c r="B947" s="67">
        <f>LOOKUP(A947+0.01,AmountsB!$A$4:$A$103,AmountsB!$B$4:$B$103)*0.1*$A$2</f>
        <v>0</v>
      </c>
      <c r="C947" s="68">
        <f t="shared" si="91"/>
        <v>1538495.7946267016</v>
      </c>
      <c r="D947" s="67">
        <f t="array" ref="D947">SUM($B$7:$B942*$F$1009*EXP(-$F$1009*($A947-$A$7:$A942)))*$F$1010</f>
        <v>31020089.744592108</v>
      </c>
      <c r="E947" s="67">
        <f t="shared" si="89"/>
        <v>59.137062642653611</v>
      </c>
      <c r="F947" s="70">
        <f t="shared" si="93"/>
        <v>3.5908024436619272</v>
      </c>
      <c r="G947" s="67">
        <f>E947/'Lookup Tables'!$C$48</f>
        <v>118.27412528530722</v>
      </c>
      <c r="H947" s="70">
        <f t="shared" si="90"/>
        <v>2.0203136227954745E-2</v>
      </c>
      <c r="I947" s="71">
        <f t="shared" si="94"/>
        <v>0.17031474041084241</v>
      </c>
      <c r="L947" s="74"/>
      <c r="M947" s="74"/>
      <c r="N947" s="74"/>
      <c r="O947" s="74"/>
      <c r="P947" s="74"/>
      <c r="Q947" s="74"/>
      <c r="R947" s="74"/>
      <c r="S947" s="74"/>
      <c r="T947" s="74"/>
      <c r="U947" s="74"/>
      <c r="V947" s="74"/>
      <c r="W947" s="74"/>
      <c r="X947" s="74"/>
      <c r="Y947" s="74"/>
      <c r="Z947" s="74"/>
    </row>
    <row r="948" spans="1:26" x14ac:dyDescent="0.3">
      <c r="A948" s="66">
        <f t="shared" si="92"/>
        <v>2084.0999999999144</v>
      </c>
      <c r="B948" s="67">
        <f>LOOKUP(A948+0.01,AmountsB!$A$4:$A$103,AmountsB!$B$4:$B$103)*0.1*$A$2</f>
        <v>0</v>
      </c>
      <c r="C948" s="68">
        <f t="shared" si="91"/>
        <v>1538495.7946267016</v>
      </c>
      <c r="D948" s="67">
        <f t="array" ref="D948">SUM($B$7:$B943*$F$1009*EXP(-$F$1009*($A948-$A$7:$A943)))*$F$1010</f>
        <v>30933354.978646368</v>
      </c>
      <c r="E948" s="67">
        <f t="shared" si="89"/>
        <v>58.971710468328482</v>
      </c>
      <c r="F948" s="70">
        <f t="shared" si="93"/>
        <v>3.5807622596369049</v>
      </c>
      <c r="G948" s="67">
        <f>E948/'Lookup Tables'!$C$48</f>
        <v>117.94342093665696</v>
      </c>
      <c r="H948" s="70">
        <f t="shared" si="90"/>
        <v>2.0146646568945714E-2</v>
      </c>
      <c r="I948" s="71">
        <f t="shared" si="94"/>
        <v>0.169838526148786</v>
      </c>
      <c r="L948" s="74"/>
      <c r="M948" s="74"/>
      <c r="N948" s="74"/>
      <c r="O948" s="74"/>
      <c r="P948" s="74"/>
      <c r="Q948" s="74"/>
      <c r="R948" s="74"/>
      <c r="S948" s="74"/>
      <c r="T948" s="74"/>
      <c r="U948" s="74"/>
      <c r="V948" s="74"/>
      <c r="W948" s="74"/>
      <c r="X948" s="74"/>
      <c r="Y948" s="74"/>
      <c r="Z948" s="74"/>
    </row>
    <row r="949" spans="1:26" x14ac:dyDescent="0.3">
      <c r="A949" s="66">
        <f t="shared" si="92"/>
        <v>2084.1999999999143</v>
      </c>
      <c r="B949" s="67">
        <f>LOOKUP(A949+0.01,AmountsB!$A$4:$A$103,AmountsB!$B$4:$B$103)*0.1*$A$2</f>
        <v>0</v>
      </c>
      <c r="C949" s="68">
        <f t="shared" si="91"/>
        <v>1538495.7946267016</v>
      </c>
      <c r="D949" s="67">
        <f t="array" ref="D949">SUM($B$7:$B944*$F$1009*EXP(-$F$1009*($A949-$A$7:$A944)))*$F$1010</f>
        <v>30846862.730362102</v>
      </c>
      <c r="E949" s="67">
        <f t="shared" si="89"/>
        <v>58.806820632515475</v>
      </c>
      <c r="F949" s="70">
        <f t="shared" si="93"/>
        <v>3.5707501488063396</v>
      </c>
      <c r="G949" s="67">
        <f>E949/'Lookup Tables'!$C$48</f>
        <v>117.61364126503095</v>
      </c>
      <c r="H949" s="70">
        <f t="shared" si="90"/>
        <v>2.0090314859748978E-2</v>
      </c>
      <c r="I949" s="71">
        <f t="shared" si="94"/>
        <v>0.16936364342164459</v>
      </c>
      <c r="L949" s="74"/>
      <c r="M949" s="74"/>
      <c r="N949" s="74"/>
      <c r="O949" s="74"/>
      <c r="P949" s="74"/>
      <c r="Q949" s="74"/>
      <c r="R949" s="74"/>
      <c r="S949" s="74"/>
      <c r="T949" s="74"/>
      <c r="U949" s="74"/>
      <c r="V949" s="74"/>
      <c r="W949" s="74"/>
      <c r="X949" s="74"/>
      <c r="Y949" s="74"/>
      <c r="Z949" s="74"/>
    </row>
    <row r="950" spans="1:26" x14ac:dyDescent="0.3">
      <c r="A950" s="66">
        <f t="shared" si="92"/>
        <v>2084.2999999999142</v>
      </c>
      <c r="B950" s="67">
        <f>LOOKUP(A950+0.01,AmountsB!$A$4:$A$103,AmountsB!$B$4:$B$103)*0.1*$A$2</f>
        <v>0</v>
      </c>
      <c r="C950" s="68">
        <f t="shared" si="91"/>
        <v>1538495.7946267016</v>
      </c>
      <c r="D950" s="67">
        <f t="array" ref="D950">SUM($B$7:$B945*$F$1009*EXP(-$F$1009*($A950-$A$7:$A945)))*$F$1010</f>
        <v>30760612.321639642</v>
      </c>
      <c r="E950" s="67">
        <f t="shared" si="89"/>
        <v>58.642391842477437</v>
      </c>
      <c r="F950" s="70">
        <f t="shared" si="93"/>
        <v>3.5607660326752297</v>
      </c>
      <c r="G950" s="67">
        <f>E950/'Lookup Tables'!$C$48</f>
        <v>117.28478368495487</v>
      </c>
      <c r="H950" s="70">
        <f t="shared" si="90"/>
        <v>2.0034140658723644E-2</v>
      </c>
      <c r="I950" s="71">
        <f t="shared" si="94"/>
        <v>0.16889008850633502</v>
      </c>
      <c r="L950" s="74"/>
      <c r="M950" s="74"/>
      <c r="N950" s="74"/>
      <c r="O950" s="74"/>
      <c r="P950" s="74"/>
      <c r="Q950" s="74"/>
      <c r="R950" s="74"/>
      <c r="S950" s="74"/>
      <c r="T950" s="74"/>
      <c r="U950" s="74"/>
      <c r="V950" s="74"/>
      <c r="W950" s="74"/>
      <c r="X950" s="74"/>
      <c r="Y950" s="74"/>
      <c r="Z950" s="74"/>
    </row>
    <row r="951" spans="1:26" x14ac:dyDescent="0.3">
      <c r="A951" s="66">
        <f t="shared" si="92"/>
        <v>2084.3999999999141</v>
      </c>
      <c r="B951" s="67">
        <f>LOOKUP(A951+0.01,AmountsB!$A$4:$A$103,AmountsB!$B$4:$B$103)*0.1*$A$2</f>
        <v>0</v>
      </c>
      <c r="C951" s="68">
        <f t="shared" si="91"/>
        <v>1538495.7946267016</v>
      </c>
      <c r="D951" s="67">
        <f t="array" ref="D951">SUM($B$7:$B946*$F$1009*EXP(-$F$1009*($A951-$A$7:$A946)))*$F$1010</f>
        <v>30674603.076275341</v>
      </c>
      <c r="E951" s="67">
        <f t="shared" si="89"/>
        <v>58.478422809091811</v>
      </c>
      <c r="F951" s="70">
        <f t="shared" si="93"/>
        <v>3.5508098329680542</v>
      </c>
      <c r="G951" s="67">
        <f>E951/'Lookup Tables'!$C$48</f>
        <v>116.95684561818362</v>
      </c>
      <c r="H951" s="70">
        <f t="shared" si="90"/>
        <v>1.9978123525463687E-2</v>
      </c>
      <c r="I951" s="71">
        <f t="shared" si="94"/>
        <v>0.16841785769018441</v>
      </c>
      <c r="L951" s="74"/>
      <c r="M951" s="74"/>
      <c r="N951" s="74"/>
      <c r="O951" s="74"/>
      <c r="P951" s="74"/>
      <c r="Q951" s="74"/>
      <c r="R951" s="74"/>
      <c r="S951" s="74"/>
      <c r="T951" s="74"/>
      <c r="U951" s="74"/>
      <c r="V951" s="74"/>
      <c r="W951" s="74"/>
      <c r="X951" s="74"/>
      <c r="Y951" s="74"/>
      <c r="Z951" s="74"/>
    </row>
    <row r="952" spans="1:26" x14ac:dyDescent="0.3">
      <c r="A952" s="66">
        <f t="shared" si="92"/>
        <v>2084.4999999999141</v>
      </c>
      <c r="B952" s="67">
        <f>LOOKUP(A952+0.01,AmountsB!$A$4:$A$103,AmountsB!$B$4:$B$103)*0.1*$A$2</f>
        <v>0</v>
      </c>
      <c r="C952" s="68">
        <f t="shared" si="91"/>
        <v>1538495.7946267016</v>
      </c>
      <c r="D952" s="67">
        <f t="array" ref="D952">SUM($B$7:$B947*$F$1009*EXP(-$F$1009*($A952-$A$7:$A947)))*$F$1010</f>
        <v>30588834.319956277</v>
      </c>
      <c r="E952" s="67">
        <f t="shared" si="89"/>
        <v>58.314912246840542</v>
      </c>
      <c r="F952" s="70">
        <f t="shared" si="93"/>
        <v>3.540881471628158</v>
      </c>
      <c r="G952" s="67">
        <f>E952/'Lookup Tables'!$C$48</f>
        <v>116.62982449368108</v>
      </c>
      <c r="H952" s="70">
        <f t="shared" si="90"/>
        <v>1.9922263020794501E-2</v>
      </c>
      <c r="I952" s="71">
        <f t="shared" si="94"/>
        <v>0.16794694727090076</v>
      </c>
      <c r="L952" s="74"/>
      <c r="M952" s="74"/>
      <c r="N952" s="74"/>
      <c r="O952" s="74"/>
      <c r="P952" s="74"/>
      <c r="Q952" s="74"/>
      <c r="R952" s="74"/>
      <c r="S952" s="74"/>
      <c r="T952" s="74"/>
      <c r="U952" s="74"/>
      <c r="V952" s="74"/>
      <c r="W952" s="74"/>
      <c r="X952" s="74"/>
      <c r="Y952" s="74"/>
      <c r="Z952" s="74"/>
    </row>
    <row r="953" spans="1:26" x14ac:dyDescent="0.3">
      <c r="A953" s="66">
        <f t="shared" si="92"/>
        <v>2084.599999999914</v>
      </c>
      <c r="B953" s="67">
        <f>LOOKUP(A953+0.01,AmountsB!$A$4:$A$103,AmountsB!$B$4:$B$103)*0.1*$A$2</f>
        <v>0</v>
      </c>
      <c r="C953" s="68">
        <f t="shared" si="91"/>
        <v>1538495.7946267016</v>
      </c>
      <c r="D953" s="67">
        <f t="array" ref="D953">SUM($B$7:$B948*$F$1009*EXP(-$F$1009*($A953-$A$7:$A948)))*$F$1010</f>
        <v>30503305.380254962</v>
      </c>
      <c r="E953" s="67">
        <f t="shared" si="89"/>
        <v>58.151858873799995</v>
      </c>
      <c r="F953" s="70">
        <f t="shared" si="93"/>
        <v>3.5309808708171362</v>
      </c>
      <c r="G953" s="67">
        <f>E953/'Lookup Tables'!$C$48</f>
        <v>116.30371774759999</v>
      </c>
      <c r="H953" s="70">
        <f t="shared" si="90"/>
        <v>1.9866558706769448E-2</v>
      </c>
      <c r="I953" s="71">
        <f t="shared" si="94"/>
        <v>0.167477353556544</v>
      </c>
      <c r="L953" s="74"/>
      <c r="M953" s="74"/>
      <c r="N953" s="74"/>
      <c r="O953" s="74"/>
      <c r="P953" s="74"/>
      <c r="Q953" s="74"/>
      <c r="R953" s="74"/>
      <c r="S953" s="74"/>
      <c r="T953" s="74"/>
      <c r="U953" s="74"/>
      <c r="V953" s="74"/>
      <c r="W953" s="74"/>
      <c r="X953" s="74"/>
      <c r="Y953" s="74"/>
      <c r="Z953" s="74"/>
    </row>
    <row r="954" spans="1:26" x14ac:dyDescent="0.3">
      <c r="A954" s="66">
        <f t="shared" si="92"/>
        <v>2084.6999999999139</v>
      </c>
      <c r="B954" s="67">
        <f>LOOKUP(A954+0.01,AmountsB!$A$4:$A$103,AmountsB!$B$4:$B$103)*0.1*$A$2</f>
        <v>0</v>
      </c>
      <c r="C954" s="68">
        <f t="shared" si="91"/>
        <v>1538495.7946267016</v>
      </c>
      <c r="D954" s="67">
        <f t="array" ref="D954">SUM($B$7:$B949*$F$1009*EXP(-$F$1009*($A954-$A$7:$A949)))*$F$1010</f>
        <v>30418015.586624071</v>
      </c>
      <c r="E954" s="67">
        <f t="shared" si="89"/>
        <v>57.989261411630871</v>
      </c>
      <c r="F954" s="70">
        <f t="shared" si="93"/>
        <v>3.5211079529142264</v>
      </c>
      <c r="G954" s="67">
        <f>E954/'Lookup Tables'!$C$48</f>
        <v>115.97852282326174</v>
      </c>
      <c r="H954" s="70">
        <f t="shared" si="90"/>
        <v>1.9811010146666412E-2</v>
      </c>
      <c r="I954" s="71">
        <f t="shared" si="94"/>
        <v>0.1670090728654969</v>
      </c>
      <c r="L954" s="74"/>
      <c r="M954" s="74"/>
      <c r="N954" s="74"/>
      <c r="O954" s="74"/>
      <c r="P954" s="74"/>
      <c r="Q954" s="74"/>
      <c r="R954" s="74"/>
      <c r="S954" s="74"/>
      <c r="T954" s="74"/>
      <c r="U954" s="74"/>
      <c r="V954" s="74"/>
      <c r="W954" s="74"/>
      <c r="X954" s="74"/>
      <c r="Y954" s="74"/>
      <c r="Z954" s="74"/>
    </row>
    <row r="955" spans="1:26" x14ac:dyDescent="0.3">
      <c r="A955" s="66">
        <f t="shared" si="92"/>
        <v>2084.7999999999138</v>
      </c>
      <c r="B955" s="67">
        <f>LOOKUP(A955+0.01,AmountsB!$A$4:$A$103,AmountsB!$B$4:$B$103)*0.1*$A$2</f>
        <v>0</v>
      </c>
      <c r="C955" s="68">
        <f t="shared" si="91"/>
        <v>1538495.7946267016</v>
      </c>
      <c r="D955" s="67">
        <f t="array" ref="D955">SUM($B$7:$B950*$F$1009*EXP(-$F$1009*($A955-$A$7:$A950)))*$F$1010</f>
        <v>30332964.270391177</v>
      </c>
      <c r="E955" s="67">
        <f t="shared" si="89"/>
        <v>57.827118585568236</v>
      </c>
      <c r="F955" s="70">
        <f t="shared" si="93"/>
        <v>3.511262640515703</v>
      </c>
      <c r="G955" s="67">
        <f>E955/'Lookup Tables'!$C$48</f>
        <v>115.65423717113647</v>
      </c>
      <c r="H955" s="70">
        <f t="shared" si="90"/>
        <v>1.9755616904984393E-2</v>
      </c>
      <c r="I955" s="71">
        <f t="shared" si="94"/>
        <v>0.1665421015264365</v>
      </c>
      <c r="L955" s="74"/>
      <c r="M955" s="74"/>
      <c r="N955" s="74"/>
      <c r="O955" s="74"/>
      <c r="P955" s="74"/>
      <c r="Q955" s="74"/>
      <c r="R955" s="74"/>
      <c r="S955" s="74"/>
      <c r="T955" s="74"/>
      <c r="U955" s="74"/>
      <c r="V955" s="74"/>
      <c r="W955" s="74"/>
      <c r="X955" s="74"/>
      <c r="Y955" s="74"/>
      <c r="Z955" s="74"/>
    </row>
    <row r="956" spans="1:26" x14ac:dyDescent="0.3">
      <c r="A956" s="66">
        <f t="shared" si="92"/>
        <v>2084.8999999999137</v>
      </c>
      <c r="B956" s="67">
        <f>LOOKUP(A956+0.01,AmountsB!$A$4:$A$103,AmountsB!$B$4:$B$103)*0.1*$A$2</f>
        <v>0</v>
      </c>
      <c r="C956" s="68">
        <f t="shared" si="91"/>
        <v>1538495.7946267016</v>
      </c>
      <c r="D956" s="67">
        <f t="array" ref="D956">SUM($B$7:$B951*$F$1009*EXP(-$F$1009*($A956-$A$7:$A951)))*$F$1010</f>
        <v>30248150.764753528</v>
      </c>
      <c r="E956" s="67">
        <f t="shared" si="89"/>
        <v>57.665429124411503</v>
      </c>
      <c r="F956" s="70">
        <f t="shared" si="93"/>
        <v>3.5014448564342664</v>
      </c>
      <c r="G956" s="67">
        <f>E956/'Lookup Tables'!$C$48</f>
        <v>115.33085824882301</v>
      </c>
      <c r="H956" s="70">
        <f t="shared" si="90"/>
        <v>1.9700378547440101E-2</v>
      </c>
      <c r="I956" s="71">
        <f t="shared" si="94"/>
        <v>0.16607643587830512</v>
      </c>
      <c r="L956" s="74"/>
      <c r="M956" s="74"/>
      <c r="N956" s="74"/>
      <c r="O956" s="74"/>
      <c r="P956" s="74"/>
      <c r="Q956" s="74"/>
      <c r="R956" s="74"/>
      <c r="S956" s="74"/>
      <c r="T956" s="74"/>
      <c r="U956" s="74"/>
      <c r="V956" s="74"/>
      <c r="W956" s="74"/>
      <c r="X956" s="74"/>
      <c r="Y956" s="74"/>
      <c r="Z956" s="74"/>
    </row>
    <row r="957" spans="1:26" x14ac:dyDescent="0.3">
      <c r="A957" s="66">
        <f t="shared" si="92"/>
        <v>2084.9999999999136</v>
      </c>
      <c r="B957" s="67">
        <f>LOOKUP(A957+0.01,AmountsB!$A$4:$A$103,AmountsB!$B$4:$B$103)*0.1*$A$2</f>
        <v>0</v>
      </c>
      <c r="C957" s="68">
        <f t="shared" si="91"/>
        <v>1538495.7946267016</v>
      </c>
      <c r="D957" s="67">
        <f t="array" ref="D957">SUM($B$7:$B952*$F$1009*EXP(-$F$1009*($A957-$A$7:$A952)))*$F$1010</f>
        <v>30163574.404772814</v>
      </c>
      <c r="E957" s="67">
        <f t="shared" si="89"/>
        <v>57.50419176051448</v>
      </c>
      <c r="F957" s="70">
        <f t="shared" si="93"/>
        <v>3.4916545236984393</v>
      </c>
      <c r="G957" s="67">
        <f>E957/'Lookup Tables'!$C$48</f>
        <v>115.00838352102896</v>
      </c>
      <c r="H957" s="70">
        <f t="shared" si="90"/>
        <v>1.9645294640964532E-2</v>
      </c>
      <c r="I957" s="71">
        <f t="shared" si="94"/>
        <v>0.16561207227028171</v>
      </c>
      <c r="L957" s="74"/>
      <c r="M957" s="74"/>
      <c r="N957" s="74"/>
      <c r="O957" s="74"/>
      <c r="P957" s="74"/>
      <c r="Q957" s="74"/>
      <c r="R957" s="74"/>
      <c r="S957" s="74"/>
      <c r="T957" s="74"/>
      <c r="U957" s="74"/>
      <c r="V957" s="74"/>
      <c r="W957" s="74"/>
      <c r="X957" s="74"/>
      <c r="Y957" s="74"/>
      <c r="Z957" s="74"/>
    </row>
    <row r="958" spans="1:26" x14ac:dyDescent="0.3">
      <c r="A958" s="66">
        <f t="shared" si="92"/>
        <v>2085.0999999999135</v>
      </c>
      <c r="B958" s="67">
        <f>LOOKUP(A958+0.01,AmountsB!$A$4:$A$103,AmountsB!$B$4:$B$103)*0.1*$A$2</f>
        <v>0</v>
      </c>
      <c r="C958" s="68">
        <f t="shared" si="91"/>
        <v>1538495.7946267016</v>
      </c>
      <c r="D958" s="67">
        <f t="array" ref="D958">SUM($B$7:$B953*$F$1009*EXP(-$F$1009*($A958-$A$7:$A953)))*$F$1010</f>
        <v>30079234.527369931</v>
      </c>
      <c r="E958" s="67">
        <f t="shared" si="89"/>
        <v>57.343405229775399</v>
      </c>
      <c r="F958" s="70">
        <f t="shared" si="93"/>
        <v>3.4818915655519622</v>
      </c>
      <c r="G958" s="67">
        <f>E958/'Lookup Tables'!$C$48</f>
        <v>114.6868104595508</v>
      </c>
      <c r="H958" s="70">
        <f t="shared" si="90"/>
        <v>1.9590364753699574E-2</v>
      </c>
      <c r="I958" s="71">
        <f t="shared" si="94"/>
        <v>0.16514900706175317</v>
      </c>
      <c r="L958" s="74"/>
      <c r="M958" s="74"/>
      <c r="N958" s="74"/>
      <c r="O958" s="74"/>
      <c r="P958" s="74"/>
      <c r="Q958" s="74"/>
      <c r="R958" s="74"/>
      <c r="S958" s="74"/>
      <c r="T958" s="74"/>
      <c r="U958" s="74"/>
      <c r="V958" s="74"/>
      <c r="W958" s="74"/>
      <c r="X958" s="74"/>
      <c r="Y958" s="74"/>
      <c r="Z958" s="74"/>
    </row>
    <row r="959" spans="1:26" x14ac:dyDescent="0.3">
      <c r="A959" s="66">
        <f t="shared" si="92"/>
        <v>2085.1999999999134</v>
      </c>
      <c r="B959" s="67">
        <f>LOOKUP(A959+0.01,AmountsB!$A$4:$A$103,AmountsB!$B$4:$B$103)*0.1*$A$2</f>
        <v>0</v>
      </c>
      <c r="C959" s="68">
        <f t="shared" si="91"/>
        <v>1538495.7946267016</v>
      </c>
      <c r="D959" s="67">
        <f t="array" ref="D959">SUM($B$7:$B954*$F$1009*EXP(-$F$1009*($A959-$A$7:$A954)))*$F$1010</f>
        <v>29995130.471319813</v>
      </c>
      <c r="E959" s="67">
        <f t="shared" si="89"/>
        <v>57.183068271627029</v>
      </c>
      <c r="F959" s="70">
        <f t="shared" si="93"/>
        <v>3.4721559054531936</v>
      </c>
      <c r="G959" s="67">
        <f>E959/'Lookup Tables'!$C$48</f>
        <v>114.36613654325406</v>
      </c>
      <c r="H959" s="70">
        <f t="shared" si="90"/>
        <v>1.9535588454994621E-2</v>
      </c>
      <c r="I959" s="71">
        <f t="shared" si="94"/>
        <v>0.16468723662228585</v>
      </c>
      <c r="L959" s="74"/>
      <c r="M959" s="74"/>
      <c r="N959" s="74"/>
      <c r="O959" s="74"/>
      <c r="P959" s="74"/>
      <c r="Q959" s="74"/>
      <c r="R959" s="74"/>
      <c r="S959" s="74"/>
      <c r="T959" s="74"/>
      <c r="U959" s="74"/>
      <c r="V959" s="74"/>
      <c r="W959" s="74"/>
      <c r="X959" s="74"/>
      <c r="Y959" s="74"/>
      <c r="Z959" s="74"/>
    </row>
    <row r="960" spans="1:26" x14ac:dyDescent="0.3">
      <c r="A960" s="66">
        <f t="shared" si="92"/>
        <v>2085.2999999999133</v>
      </c>
      <c r="B960" s="67">
        <f>LOOKUP(A960+0.01,AmountsB!$A$4:$A$103,AmountsB!$B$4:$B$103)*0.1*$A$2</f>
        <v>0</v>
      </c>
      <c r="C960" s="68">
        <f t="shared" si="91"/>
        <v>1538495.7946267016</v>
      </c>
      <c r="D960" s="67">
        <f t="array" ref="D960">SUM($B$7:$B955*$F$1009*EXP(-$F$1009*($A960-$A$7:$A955)))*$F$1010</f>
        <v>29911261.577246241</v>
      </c>
      <c r="E960" s="67">
        <f t="shared" si="89"/>
        <v>57.023179629026842</v>
      </c>
      <c r="F960" s="70">
        <f t="shared" si="93"/>
        <v>3.4624474670745102</v>
      </c>
      <c r="G960" s="67">
        <f>E960/'Lookup Tables'!$C$48</f>
        <v>114.04635925805368</v>
      </c>
      <c r="H960" s="70">
        <f t="shared" si="90"/>
        <v>1.9480965315403234E-2</v>
      </c>
      <c r="I960" s="71">
        <f t="shared" si="94"/>
        <v>0.16422675733159733</v>
      </c>
      <c r="L960" s="74"/>
      <c r="M960" s="74"/>
      <c r="N960" s="74"/>
      <c r="O960" s="74"/>
      <c r="P960" s="74"/>
      <c r="Q960" s="74"/>
      <c r="R960" s="74"/>
      <c r="S960" s="74"/>
      <c r="T960" s="74"/>
      <c r="U960" s="74"/>
      <c r="V960" s="74"/>
      <c r="W960" s="74"/>
      <c r="X960" s="74"/>
      <c r="Y960" s="74"/>
      <c r="Z960" s="74"/>
    </row>
    <row r="961" spans="1:26" x14ac:dyDescent="0.3">
      <c r="A961" s="66">
        <f t="shared" si="92"/>
        <v>2085.3999999999132</v>
      </c>
      <c r="B961" s="67">
        <f>LOOKUP(A961+0.01,AmountsB!$A$4:$A$103,AmountsB!$B$4:$B$103)*0.1*$A$2</f>
        <v>0</v>
      </c>
      <c r="C961" s="68">
        <f t="shared" si="91"/>
        <v>1538495.7946267016</v>
      </c>
      <c r="D961" s="67">
        <f t="array" ref="D961">SUM($B$7:$B956*$F$1009*EXP(-$F$1009*($A961-$A$7:$A956)))*$F$1010</f>
        <v>29827627.187616635</v>
      </c>
      <c r="E961" s="67">
        <f t="shared" si="89"/>
        <v>56.863738048447004</v>
      </c>
      <c r="F961" s="70">
        <f t="shared" si="93"/>
        <v>3.452766174301702</v>
      </c>
      <c r="G961" s="67">
        <f>E961/'Lookup Tables'!$C$48</f>
        <v>113.72747609689401</v>
      </c>
      <c r="H961" s="70">
        <f t="shared" si="90"/>
        <v>1.9426494906679692E-2</v>
      </c>
      <c r="I961" s="71">
        <f t="shared" si="94"/>
        <v>0.16376756557952737</v>
      </c>
      <c r="L961" s="74"/>
      <c r="M961" s="74"/>
      <c r="N961" s="74"/>
      <c r="O961" s="74"/>
      <c r="P961" s="74"/>
      <c r="Q961" s="74"/>
      <c r="R961" s="74"/>
      <c r="S961" s="74"/>
      <c r="T961" s="74"/>
      <c r="U961" s="74"/>
      <c r="V961" s="74"/>
      <c r="W961" s="74"/>
      <c r="X961" s="74"/>
      <c r="Y961" s="74"/>
      <c r="Z961" s="74"/>
    </row>
    <row r="962" spans="1:26" x14ac:dyDescent="0.3">
      <c r="A962" s="66">
        <f t="shared" si="92"/>
        <v>2085.4999999999131</v>
      </c>
      <c r="B962" s="67">
        <f>LOOKUP(A962+0.01,AmountsB!$A$4:$A$103,AmountsB!$B$4:$B$103)*0.1*$A$2</f>
        <v>0</v>
      </c>
      <c r="C962" s="68">
        <f t="shared" si="91"/>
        <v>1538495.7946267016</v>
      </c>
      <c r="D962" s="67">
        <f t="array" ref="D962">SUM($B$7:$B957*$F$1009*EXP(-$F$1009*($A962-$A$7:$A957)))*$F$1010</f>
        <v>29744226.646736965</v>
      </c>
      <c r="E962" s="67">
        <f t="shared" si="89"/>
        <v>56.704742279864739</v>
      </c>
      <c r="F962" s="70">
        <f t="shared" si="93"/>
        <v>3.4431119512333872</v>
      </c>
      <c r="G962" s="67">
        <f>E962/'Lookup Tables'!$C$48</f>
        <v>113.40948455972948</v>
      </c>
      <c r="H962" s="70">
        <f t="shared" si="90"/>
        <v>1.9372176801775731E-2</v>
      </c>
      <c r="I962" s="71">
        <f t="shared" si="94"/>
        <v>0.16330965776601045</v>
      </c>
      <c r="L962" s="74"/>
      <c r="M962" s="74"/>
      <c r="N962" s="74"/>
      <c r="O962" s="74"/>
      <c r="P962" s="74"/>
      <c r="Q962" s="74"/>
      <c r="R962" s="74"/>
      <c r="S962" s="74"/>
      <c r="T962" s="74"/>
      <c r="U962" s="74"/>
      <c r="V962" s="74"/>
      <c r="W962" s="74"/>
      <c r="X962" s="74"/>
      <c r="Y962" s="74"/>
      <c r="Z962" s="74"/>
    </row>
    <row r="963" spans="1:26" x14ac:dyDescent="0.3">
      <c r="A963" s="66">
        <f t="shared" si="92"/>
        <v>2085.5999999999131</v>
      </c>
      <c r="B963" s="67">
        <f>LOOKUP(A963+0.01,AmountsB!$A$4:$A$103,AmountsB!$B$4:$B$103)*0.1*$A$2</f>
        <v>0</v>
      </c>
      <c r="C963" s="68">
        <f t="shared" si="91"/>
        <v>1538495.7946267016</v>
      </c>
      <c r="D963" s="67">
        <f t="array" ref="D963">SUM($B$7:$B958*$F$1009*EXP(-$F$1009*($A963-$A$7:$A958)))*$F$1010</f>
        <v>29661059.30074656</v>
      </c>
      <c r="E963" s="67">
        <f t="shared" si="89"/>
        <v>56.5461910767524</v>
      </c>
      <c r="F963" s="70">
        <f t="shared" si="93"/>
        <v>3.4334847221804057</v>
      </c>
      <c r="G963" s="67">
        <f>E963/'Lookup Tables'!$C$48</f>
        <v>113.0923821535048</v>
      </c>
      <c r="H963" s="70">
        <f t="shared" si="90"/>
        <v>1.9318010574837119E-2</v>
      </c>
      <c r="I963" s="71">
        <f t="shared" si="94"/>
        <v>0.16285303030104692</v>
      </c>
      <c r="L963" s="74"/>
      <c r="M963" s="74"/>
      <c r="N963" s="74"/>
      <c r="O963" s="74"/>
      <c r="P963" s="74"/>
      <c r="Q963" s="74"/>
      <c r="R963" s="74"/>
      <c r="S963" s="74"/>
      <c r="T963" s="74"/>
      <c r="U963" s="74"/>
      <c r="V963" s="74"/>
      <c r="W963" s="74"/>
      <c r="X963" s="74"/>
      <c r="Y963" s="74"/>
      <c r="Z963" s="74"/>
    </row>
    <row r="964" spans="1:26" x14ac:dyDescent="0.3">
      <c r="A964" s="66">
        <f t="shared" si="92"/>
        <v>2085.699999999913</v>
      </c>
      <c r="B964" s="67">
        <f>LOOKUP(A964+0.01,AmountsB!$A$4:$A$103,AmountsB!$B$4:$B$103)*0.1*$A$2</f>
        <v>0</v>
      </c>
      <c r="C964" s="68">
        <f t="shared" si="91"/>
        <v>1538495.7946267016</v>
      </c>
      <c r="D964" s="67">
        <f t="array" ref="D964">SUM($B$7:$B959*$F$1009*EXP(-$F$1009*($A964-$A$7:$A959)))*$F$1010</f>
        <v>29578124.497613002</v>
      </c>
      <c r="E964" s="67">
        <f t="shared" si="89"/>
        <v>56.38808319606774</v>
      </c>
      <c r="F964" s="70">
        <f t="shared" si="93"/>
        <v>3.4238844116652327</v>
      </c>
      <c r="G964" s="67">
        <f>E964/'Lookup Tables'!$C$48</f>
        <v>112.77616639213548</v>
      </c>
      <c r="H964" s="70">
        <f t="shared" si="90"/>
        <v>1.9263995801200369E-2</v>
      </c>
      <c r="I964" s="71">
        <f t="shared" si="94"/>
        <v>0.1623976796046751</v>
      </c>
      <c r="L964" s="74"/>
      <c r="M964" s="74"/>
      <c r="N964" s="74"/>
      <c r="O964" s="74"/>
      <c r="P964" s="74"/>
      <c r="Q964" s="74"/>
      <c r="R964" s="74"/>
      <c r="S964" s="74"/>
      <c r="T964" s="74"/>
      <c r="U964" s="74"/>
      <c r="V964" s="74"/>
      <c r="W964" s="74"/>
      <c r="X964" s="74"/>
      <c r="Y964" s="74"/>
      <c r="Z964" s="74"/>
    </row>
    <row r="965" spans="1:26" x14ac:dyDescent="0.3">
      <c r="A965" s="66">
        <f t="shared" si="92"/>
        <v>2085.7999999999129</v>
      </c>
      <c r="B965" s="67">
        <f>LOOKUP(A965+0.01,AmountsB!$A$4:$A$103,AmountsB!$B$4:$B$103)*0.1*$A$2</f>
        <v>0</v>
      </c>
      <c r="C965" s="68">
        <f t="shared" si="91"/>
        <v>1538495.7946267016</v>
      </c>
      <c r="D965" s="67">
        <f t="array" ref="D965">SUM($B$7:$B960*$F$1009*EXP(-$F$1009*($A965-$A$7:$A960)))*$F$1010</f>
        <v>29495421.587126996</v>
      </c>
      <c r="E965" s="67">
        <f t="shared" si="89"/>
        <v>56.230417398244143</v>
      </c>
      <c r="F965" s="70">
        <f t="shared" si="93"/>
        <v>3.4143109444213842</v>
      </c>
      <c r="G965" s="67">
        <f>E965/'Lookup Tables'!$C$48</f>
        <v>112.46083479648829</v>
      </c>
      <c r="H965" s="70">
        <f t="shared" si="90"/>
        <v>1.9210132057389362E-2</v>
      </c>
      <c r="I965" s="71">
        <f t="shared" si="94"/>
        <v>0.16194360210694311</v>
      </c>
      <c r="L965" s="74"/>
      <c r="M965" s="74"/>
      <c r="N965" s="74"/>
      <c r="O965" s="74"/>
      <c r="P965" s="74"/>
      <c r="Q965" s="74"/>
      <c r="R965" s="74"/>
      <c r="S965" s="74"/>
      <c r="T965" s="74"/>
      <c r="U965" s="74"/>
      <c r="V965" s="74"/>
      <c r="W965" s="74"/>
      <c r="X965" s="74"/>
      <c r="Y965" s="74"/>
      <c r="Z965" s="74"/>
    </row>
    <row r="966" spans="1:26" x14ac:dyDescent="0.3">
      <c r="A966" s="66">
        <f t="shared" si="92"/>
        <v>2085.8999999999128</v>
      </c>
      <c r="B966" s="67">
        <f>LOOKUP(A966+0.01,AmountsB!$A$4:$A$103,AmountsB!$B$4:$B$103)*0.1*$A$2</f>
        <v>0</v>
      </c>
      <c r="C966" s="68">
        <f t="shared" si="91"/>
        <v>1538495.7946267016</v>
      </c>
      <c r="D966" s="67">
        <f t="array" ref="D966">SUM($B$7:$B961*$F$1009*EXP(-$F$1009*($A966-$A$7:$A961)))*$F$1010</f>
        <v>29412949.920897316</v>
      </c>
      <c r="E966" s="67">
        <f t="shared" si="89"/>
        <v>56.073192447180979</v>
      </c>
      <c r="F966" s="70">
        <f t="shared" si="93"/>
        <v>3.4047642453928293</v>
      </c>
      <c r="G966" s="67">
        <f>E966/'Lookup Tables'!$C$48</f>
        <v>112.14638489436196</v>
      </c>
      <c r="H966" s="70">
        <f t="shared" si="90"/>
        <v>1.9156418921112087E-2</v>
      </c>
      <c r="I966" s="71">
        <f t="shared" si="94"/>
        <v>0.16149079424788121</v>
      </c>
      <c r="L966" s="74"/>
      <c r="M966" s="74"/>
      <c r="N966" s="74"/>
      <c r="O966" s="74"/>
      <c r="P966" s="74"/>
      <c r="Q966" s="74"/>
      <c r="R966" s="74"/>
      <c r="S966" s="74"/>
      <c r="T966" s="74"/>
      <c r="U966" s="74"/>
      <c r="V966" s="74"/>
      <c r="W966" s="74"/>
      <c r="X966" s="74"/>
      <c r="Y966" s="74"/>
      <c r="Z966" s="74"/>
    </row>
    <row r="967" spans="1:26" x14ac:dyDescent="0.3">
      <c r="A967" s="66">
        <f t="shared" si="92"/>
        <v>2085.9999999999127</v>
      </c>
      <c r="B967" s="67">
        <f>LOOKUP(A967+0.01,AmountsB!$A$4:$A$103,AmountsB!$B$4:$B$103)*0.1*$A$2</f>
        <v>0</v>
      </c>
      <c r="C967" s="68">
        <f t="shared" si="91"/>
        <v>1538495.7946267016</v>
      </c>
      <c r="D967" s="67">
        <f t="array" ref="D967">SUM($B$7:$B962*$F$1009*EXP(-$F$1009*($A967-$A$7:$A962)))*$F$1010</f>
        <v>29330708.852345672</v>
      </c>
      <c r="E967" s="67">
        <f t="shared" ref="E967:E1007" si="95">D967/(365*24*60)*1.00201</f>
        <v>55.916407110233806</v>
      </c>
      <c r="F967" s="70">
        <f t="shared" si="93"/>
        <v>3.3952442397333971</v>
      </c>
      <c r="G967" s="67">
        <f>E967/'Lookup Tables'!$C$48</f>
        <v>111.83281422046761</v>
      </c>
      <c r="H967" s="70">
        <f t="shared" ref="H967:H1007" si="96">G967*60*24*365/(C967*2000)</f>
        <v>1.9102855971257274E-2</v>
      </c>
      <c r="I967" s="71">
        <f t="shared" si="94"/>
        <v>0.16103925247747339</v>
      </c>
      <c r="L967" s="74"/>
      <c r="M967" s="74"/>
      <c r="N967" s="74"/>
      <c r="O967" s="74"/>
      <c r="P967" s="74"/>
      <c r="Q967" s="74"/>
      <c r="R967" s="74"/>
      <c r="S967" s="74"/>
      <c r="T967" s="74"/>
      <c r="U967" s="74"/>
      <c r="V967" s="74"/>
      <c r="W967" s="74"/>
      <c r="X967" s="74"/>
      <c r="Y967" s="74"/>
      <c r="Z967" s="74"/>
    </row>
    <row r="968" spans="1:26" x14ac:dyDescent="0.3">
      <c r="A968" s="66">
        <f t="shared" si="92"/>
        <v>2086.0999999999126</v>
      </c>
      <c r="B968" s="67">
        <f>LOOKUP(A968+0.01,AmountsB!$A$4:$A$103,AmountsB!$B$4:$B$103)*0.1*$A$2</f>
        <v>0</v>
      </c>
      <c r="C968" s="68">
        <f t="shared" si="91"/>
        <v>1538495.7946267016</v>
      </c>
      <c r="D968" s="67">
        <f t="array" ref="D968">SUM($B$7:$B963*$F$1009*EXP(-$F$1009*($A968-$A$7:$A963)))*$F$1010</f>
        <v>29248697.736701664</v>
      </c>
      <c r="E968" s="67">
        <f t="shared" si="95"/>
        <v>55.760060158204787</v>
      </c>
      <c r="F968" s="70">
        <f t="shared" si="93"/>
        <v>3.3857508528061948</v>
      </c>
      <c r="G968" s="67">
        <f>E968/'Lookup Tables'!$C$48</f>
        <v>111.52012031640957</v>
      </c>
      <c r="H968" s="70">
        <f t="shared" si="96"/>
        <v>1.904944278789112E-2</v>
      </c>
      <c r="I968" s="71">
        <f t="shared" si="94"/>
        <v>0.16058897325562979</v>
      </c>
      <c r="L968" s="74"/>
      <c r="M968" s="74"/>
      <c r="N968" s="74"/>
      <c r="O968" s="74"/>
      <c r="P968" s="74"/>
      <c r="Q968" s="74"/>
      <c r="R968" s="74"/>
      <c r="S968" s="74"/>
      <c r="T968" s="74"/>
      <c r="U968" s="74"/>
      <c r="V968" s="74"/>
      <c r="W968" s="74"/>
      <c r="X968" s="74"/>
      <c r="Y968" s="74"/>
      <c r="Z968" s="74"/>
    </row>
    <row r="969" spans="1:26" x14ac:dyDescent="0.3">
      <c r="A969" s="66">
        <f t="shared" si="92"/>
        <v>2086.1999999999125</v>
      </c>
      <c r="B969" s="67">
        <f>LOOKUP(A969+0.01,AmountsB!$A$4:$A$103,AmountsB!$B$4:$B$103)*0.1*$A$2</f>
        <v>0</v>
      </c>
      <c r="C969" s="68">
        <f t="shared" ref="C969:C1006" si="97">C968+B969</f>
        <v>1538495.7946267016</v>
      </c>
      <c r="D969" s="67">
        <f t="array" ref="D969">SUM($B$7:$B964*$F$1009*EXP(-$F$1009*($A969-$A$7:$A964)))*$F$1010</f>
        <v>29166915.930997733</v>
      </c>
      <c r="E969" s="67">
        <f t="shared" si="95"/>
        <v>55.604150365333034</v>
      </c>
      <c r="F969" s="70">
        <f t="shared" si="93"/>
        <v>3.376284010183022</v>
      </c>
      <c r="G969" s="67">
        <f>E969/'Lookup Tables'!$C$48</f>
        <v>111.20830073066607</v>
      </c>
      <c r="H969" s="70">
        <f t="shared" si="96"/>
        <v>1.8996178952254E-2</v>
      </c>
      <c r="I969" s="71">
        <f t="shared" si="94"/>
        <v>0.16013995305215914</v>
      </c>
      <c r="L969" s="74"/>
      <c r="M969" s="74"/>
      <c r="N969" s="74"/>
      <c r="O969" s="74"/>
      <c r="P969" s="74"/>
      <c r="Q969" s="74"/>
      <c r="R969" s="74"/>
      <c r="S969" s="74"/>
      <c r="T969" s="74"/>
      <c r="U969" s="74"/>
      <c r="V969" s="74"/>
      <c r="W969" s="74"/>
      <c r="X969" s="74"/>
      <c r="Y969" s="74"/>
      <c r="Z969" s="74"/>
    </row>
    <row r="970" spans="1:26" x14ac:dyDescent="0.3">
      <c r="A970" s="66">
        <f t="shared" si="92"/>
        <v>2086.2999999999124</v>
      </c>
      <c r="B970" s="67">
        <f>LOOKUP(A970+0.01,AmountsB!$A$4:$A$103,AmountsB!$B$4:$B$103)*0.1*$A$2</f>
        <v>0</v>
      </c>
      <c r="C970" s="68">
        <f t="shared" si="97"/>
        <v>1538495.7946267016</v>
      </c>
      <c r="D970" s="67">
        <f t="array" ref="D970">SUM($B$7:$B965*$F$1009*EXP(-$F$1009*($A970-$A$7:$A965)))*$F$1010</f>
        <v>29085362.794064101</v>
      </c>
      <c r="E970" s="67">
        <f t="shared" si="95"/>
        <v>55.448676509284951</v>
      </c>
      <c r="F970" s="70">
        <f t="shared" si="93"/>
        <v>3.3668436376437825</v>
      </c>
      <c r="G970" s="67">
        <f>E970/'Lookup Tables'!$C$48</f>
        <v>110.8973530185699</v>
      </c>
      <c r="H970" s="70">
        <f t="shared" si="96"/>
        <v>1.894306404675717E-2</v>
      </c>
      <c r="I970" s="71">
        <f t="shared" si="94"/>
        <v>0.15969218834674068</v>
      </c>
      <c r="L970" s="74"/>
      <c r="M970" s="74"/>
      <c r="N970" s="74"/>
      <c r="O970" s="74"/>
      <c r="P970" s="74"/>
      <c r="Q970" s="74"/>
      <c r="R970" s="74"/>
      <c r="S970" s="74"/>
      <c r="T970" s="74"/>
      <c r="U970" s="74"/>
      <c r="V970" s="74"/>
      <c r="W970" s="74"/>
      <c r="X970" s="74"/>
      <c r="Y970" s="74"/>
      <c r="Z970" s="74"/>
    </row>
    <row r="971" spans="1:26" x14ac:dyDescent="0.3">
      <c r="A971" s="66">
        <f t="shared" si="92"/>
        <v>2086.3999999999123</v>
      </c>
      <c r="B971" s="67">
        <f>LOOKUP(A971+0.01,AmountsB!$A$4:$A$103,AmountsB!$B$4:$B$103)*0.1*$A$2</f>
        <v>0</v>
      </c>
      <c r="C971" s="68">
        <f t="shared" si="97"/>
        <v>1538495.7946267016</v>
      </c>
      <c r="D971" s="67">
        <f t="array" ref="D971">SUM($B$7:$B966*$F$1009*EXP(-$F$1009*($A971-$A$7:$A966)))*$F$1010</f>
        <v>29004037.686523739</v>
      </c>
      <c r="E971" s="67">
        <f t="shared" si="95"/>
        <v>55.293637371144698</v>
      </c>
      <c r="F971" s="70">
        <f t="shared" si="93"/>
        <v>3.3574296611759062</v>
      </c>
      <c r="G971" s="67">
        <f>E971/'Lookup Tables'!$C$48</f>
        <v>110.5872747422894</v>
      </c>
      <c r="H971" s="70">
        <f t="shared" si="96"/>
        <v>1.8890097654979485E-2</v>
      </c>
      <c r="I971" s="71">
        <f t="shared" si="94"/>
        <v>0.15924567562889674</v>
      </c>
      <c r="L971" s="74"/>
      <c r="M971" s="74"/>
      <c r="N971" s="74"/>
      <c r="O971" s="74"/>
      <c r="P971" s="74"/>
      <c r="Q971" s="74"/>
      <c r="R971" s="74"/>
      <c r="S971" s="74"/>
      <c r="T971" s="74"/>
      <c r="U971" s="74"/>
      <c r="V971" s="74"/>
      <c r="W971" s="74"/>
      <c r="X971" s="74"/>
      <c r="Y971" s="74"/>
      <c r="Z971" s="74"/>
    </row>
    <row r="972" spans="1:26" x14ac:dyDescent="0.3">
      <c r="A972" s="66">
        <f t="shared" si="92"/>
        <v>2086.4999999999122</v>
      </c>
      <c r="B972" s="67">
        <f>LOOKUP(A972+0.01,AmountsB!$A$4:$A$103,AmountsB!$B$4:$B$103)*0.1*$A$2</f>
        <v>0</v>
      </c>
      <c r="C972" s="68">
        <f t="shared" si="97"/>
        <v>1538495.7946267016</v>
      </c>
      <c r="D972" s="67">
        <f t="array" ref="D972">SUM($B$7:$B967*$F$1009*EXP(-$F$1009*($A972-$A$7:$A967)))*$F$1010</f>
        <v>28922939.970787413</v>
      </c>
      <c r="E972" s="67">
        <f t="shared" si="95"/>
        <v>55.139031735404679</v>
      </c>
      <c r="F972" s="70">
        <f t="shared" si="93"/>
        <v>3.3480420069737717</v>
      </c>
      <c r="G972" s="67">
        <f>E972/'Lookup Tables'!$C$48</f>
        <v>110.27806347080936</v>
      </c>
      <c r="H972" s="70">
        <f t="shared" si="96"/>
        <v>1.883727936166418E-2</v>
      </c>
      <c r="I972" s="71">
        <f t="shared" si="94"/>
        <v>0.15880041139796544</v>
      </c>
      <c r="L972" s="74"/>
      <c r="M972" s="74"/>
      <c r="N972" s="74"/>
      <c r="O972" s="74"/>
      <c r="P972" s="74"/>
      <c r="Q972" s="74"/>
      <c r="R972" s="74"/>
      <c r="S972" s="74"/>
      <c r="T972" s="74"/>
      <c r="U972" s="74"/>
      <c r="V972" s="74"/>
      <c r="W972" s="74"/>
      <c r="X972" s="74"/>
      <c r="Y972" s="74"/>
      <c r="Z972" s="74"/>
    </row>
    <row r="973" spans="1:26" x14ac:dyDescent="0.3">
      <c r="A973" s="66">
        <f t="shared" si="92"/>
        <v>2086.5999999999121</v>
      </c>
      <c r="B973" s="67">
        <f>LOOKUP(A973+0.01,AmountsB!$A$4:$A$103,AmountsB!$B$4:$B$103)*0.1*$A$2</f>
        <v>0</v>
      </c>
      <c r="C973" s="68">
        <f t="shared" si="97"/>
        <v>1538495.7946267016</v>
      </c>
      <c r="D973" s="67">
        <f t="array" ref="D973">SUM($B$7:$B968*$F$1009*EXP(-$F$1009*($A973-$A$7:$A968)))*$F$1010</f>
        <v>28842069.011048596</v>
      </c>
      <c r="E973" s="67">
        <f t="shared" si="95"/>
        <v>54.984858389955875</v>
      </c>
      <c r="F973" s="70">
        <f t="shared" si="93"/>
        <v>3.3386806014381203</v>
      </c>
      <c r="G973" s="67">
        <f>E973/'Lookup Tables'!$C$48</f>
        <v>109.96971677991175</v>
      </c>
      <c r="H973" s="70">
        <f t="shared" si="96"/>
        <v>1.8784608752715551E-2</v>
      </c>
      <c r="I973" s="71">
        <f t="shared" si="94"/>
        <v>0.15835639216307293</v>
      </c>
      <c r="L973" s="74"/>
      <c r="M973" s="74"/>
      <c r="N973" s="74"/>
      <c r="O973" s="74"/>
      <c r="P973" s="74"/>
      <c r="Q973" s="74"/>
      <c r="R973" s="74"/>
      <c r="S973" s="74"/>
      <c r="T973" s="74"/>
      <c r="U973" s="74"/>
      <c r="V973" s="74"/>
      <c r="W973" s="74"/>
      <c r="X973" s="74"/>
      <c r="Y973" s="74"/>
      <c r="Z973" s="74"/>
    </row>
    <row r="974" spans="1:26" x14ac:dyDescent="0.3">
      <c r="A974" s="66">
        <f t="shared" si="92"/>
        <v>2086.6999999999121</v>
      </c>
      <c r="B974" s="67">
        <f>LOOKUP(A974+0.01,AmountsB!$A$4:$A$103,AmountsB!$B$4:$B$103)*0.1*$A$2</f>
        <v>0</v>
      </c>
      <c r="C974" s="68">
        <f t="shared" si="97"/>
        <v>1538495.7946267016</v>
      </c>
      <c r="D974" s="67">
        <f t="array" ref="D974">SUM($B$7:$B969*$F$1009*EXP(-$F$1009*($A974-$A$7:$A969)))*$F$1010</f>
        <v>28761424.173278566</v>
      </c>
      <c r="E974" s="67">
        <f t="shared" si="95"/>
        <v>54.831116126078498</v>
      </c>
      <c r="F974" s="70">
        <f t="shared" si="93"/>
        <v>3.3293453711754863</v>
      </c>
      <c r="G974" s="67">
        <f>E974/'Lookup Tables'!$C$48</f>
        <v>109.662232252157</v>
      </c>
      <c r="H974" s="70">
        <f t="shared" si="96"/>
        <v>1.8732085415195766E-2</v>
      </c>
      <c r="I974" s="71">
        <f t="shared" si="94"/>
        <v>0.15791361444310606</v>
      </c>
      <c r="L974" s="74"/>
      <c r="M974" s="74"/>
      <c r="N974" s="74"/>
      <c r="O974" s="74"/>
      <c r="P974" s="74"/>
      <c r="Q974" s="74"/>
      <c r="R974" s="74"/>
      <c r="S974" s="74"/>
      <c r="T974" s="74"/>
      <c r="U974" s="74"/>
      <c r="V974" s="74"/>
      <c r="W974" s="74"/>
      <c r="X974" s="74"/>
      <c r="Y974" s="74"/>
      <c r="Z974" s="74"/>
    </row>
    <row r="975" spans="1:26" x14ac:dyDescent="0.3">
      <c r="A975" s="66">
        <f t="shared" si="92"/>
        <v>2086.799999999912</v>
      </c>
      <c r="B975" s="67">
        <f>LOOKUP(A975+0.01,AmountsB!$A$4:$A$103,AmountsB!$B$4:$B$103)*0.1*$A$2</f>
        <v>0</v>
      </c>
      <c r="C975" s="68">
        <f t="shared" si="97"/>
        <v>1538495.7946267016</v>
      </c>
      <c r="D975" s="67">
        <f t="array" ref="D975">SUM($B$7:$B970*$F$1009*EXP(-$F$1009*($A975-$A$7:$A970)))*$F$1010</f>
        <v>28681004.825221375</v>
      </c>
      <c r="E975" s="67">
        <f t="shared" si="95"/>
        <v>54.677803738432402</v>
      </c>
      <c r="F975" s="70">
        <f t="shared" si="93"/>
        <v>3.3200362429976153</v>
      </c>
      <c r="G975" s="67">
        <f>E975/'Lookup Tables'!$C$48</f>
        <v>109.3556074768648</v>
      </c>
      <c r="H975" s="70">
        <f t="shared" si="96"/>
        <v>1.8679708937321585E-2</v>
      </c>
      <c r="I975" s="71">
        <f t="shared" si="94"/>
        <v>0.15747207476668532</v>
      </c>
      <c r="L975" s="74"/>
      <c r="M975" s="74"/>
      <c r="N975" s="74"/>
      <c r="O975" s="74"/>
      <c r="P975" s="74"/>
      <c r="Q975" s="74"/>
      <c r="R975" s="74"/>
      <c r="S975" s="74"/>
      <c r="T975" s="74"/>
      <c r="U975" s="74"/>
      <c r="V975" s="74"/>
      <c r="W975" s="74"/>
      <c r="X975" s="74"/>
      <c r="Y975" s="74"/>
      <c r="Z975" s="74"/>
    </row>
    <row r="976" spans="1:26" x14ac:dyDescent="0.3">
      <c r="A976" s="66">
        <f t="shared" si="92"/>
        <v>2086.8999999999119</v>
      </c>
      <c r="B976" s="67">
        <f>LOOKUP(A976+0.01,AmountsB!$A$4:$A$103,AmountsB!$B$4:$B$103)*0.1*$A$2</f>
        <v>0</v>
      </c>
      <c r="C976" s="68">
        <f t="shared" si="97"/>
        <v>1538495.7946267016</v>
      </c>
      <c r="D976" s="67">
        <f t="array" ref="D976">SUM($B$7:$B971*$F$1009*EXP(-$F$1009*($A976-$A$7:$A971)))*$F$1010</f>
        <v>28600810.336388916</v>
      </c>
      <c r="E976" s="67">
        <f t="shared" si="95"/>
        <v>54.524920025047678</v>
      </c>
      <c r="F976" s="70">
        <f t="shared" si="93"/>
        <v>3.3107531439208953</v>
      </c>
      <c r="G976" s="67">
        <f>E976/'Lookup Tables'!$C$48</f>
        <v>109.04984005009536</v>
      </c>
      <c r="H976" s="70">
        <f t="shared" si="96"/>
        <v>1.8627478908461149E-2</v>
      </c>
      <c r="I976" s="71">
        <f t="shared" si="94"/>
        <v>0.15703176967213731</v>
      </c>
      <c r="L976" s="74"/>
      <c r="M976" s="74"/>
      <c r="N976" s="74"/>
      <c r="O976" s="74"/>
      <c r="P976" s="74"/>
      <c r="Q976" s="74"/>
      <c r="R976" s="74"/>
      <c r="S976" s="74"/>
      <c r="T976" s="74"/>
      <c r="U976" s="74"/>
      <c r="V976" s="74"/>
      <c r="W976" s="74"/>
      <c r="X976" s="74"/>
      <c r="Y976" s="74"/>
      <c r="Z976" s="74"/>
    </row>
    <row r="977" spans="1:26" x14ac:dyDescent="0.3">
      <c r="A977" s="66">
        <f t="shared" si="92"/>
        <v>2086.9999999999118</v>
      </c>
      <c r="B977" s="67">
        <f>LOOKUP(A977+0.01,AmountsB!$A$4:$A$103,AmountsB!$B$4:$B$103)*0.1*$A$2</f>
        <v>0</v>
      </c>
      <c r="C977" s="68">
        <f t="shared" si="97"/>
        <v>1538495.7946267016</v>
      </c>
      <c r="D977" s="67">
        <f t="array" ref="D977">SUM($B$7:$B972*$F$1009*EXP(-$F$1009*($A977-$A$7:$A972)))*$F$1010</f>
        <v>28520840.078055996</v>
      </c>
      <c r="E977" s="67">
        <f t="shared" si="95"/>
        <v>54.37246378731524</v>
      </c>
      <c r="F977" s="70">
        <f t="shared" si="93"/>
        <v>3.301496001165781</v>
      </c>
      <c r="G977" s="67">
        <f>E977/'Lookup Tables'!$C$48</f>
        <v>108.74492757463048</v>
      </c>
      <c r="H977" s="70">
        <f t="shared" si="96"/>
        <v>1.8575394919130767E-2</v>
      </c>
      <c r="I977" s="71">
        <f t="shared" si="94"/>
        <v>0.15659269570746787</v>
      </c>
      <c r="L977" s="74"/>
      <c r="M977" s="74"/>
      <c r="N977" s="74"/>
      <c r="O977" s="74"/>
      <c r="P977" s="74"/>
      <c r="Q977" s="74"/>
      <c r="R977" s="74"/>
      <c r="S977" s="74"/>
      <c r="T977" s="74"/>
      <c r="U977" s="74"/>
      <c r="V977" s="74"/>
      <c r="W977" s="74"/>
      <c r="X977" s="74"/>
      <c r="Y977" s="74"/>
      <c r="Z977" s="74"/>
    </row>
    <row r="978" spans="1:26" x14ac:dyDescent="0.3">
      <c r="A978" s="66">
        <f t="shared" si="92"/>
        <v>2087.0999999999117</v>
      </c>
      <c r="B978" s="67">
        <f>LOOKUP(A978+0.01,AmountsB!$A$4:$A$103,AmountsB!$B$4:$B$103)*0.1*$A$2</f>
        <v>0</v>
      </c>
      <c r="C978" s="68">
        <f t="shared" si="97"/>
        <v>1538495.7946267016</v>
      </c>
      <c r="D978" s="67">
        <f t="array" ref="D978">SUM($B$7:$B973*$F$1009*EXP(-$F$1009*($A978-$A$7:$A973)))*$F$1010</f>
        <v>28441093.423255373</v>
      </c>
      <c r="E978" s="67">
        <f t="shared" si="95"/>
        <v>54.220433829977395</v>
      </c>
      <c r="F978" s="70">
        <f t="shared" si="93"/>
        <v>3.292264742156227</v>
      </c>
      <c r="G978" s="67">
        <f>E978/'Lookup Tables'!$C$48</f>
        <v>108.44086765995479</v>
      </c>
      <c r="H978" s="70">
        <f t="shared" si="96"/>
        <v>1.8523456560991702E-2</v>
      </c>
      <c r="I978" s="71">
        <f t="shared" si="94"/>
        <v>0.15615484943033489</v>
      </c>
      <c r="L978" s="74"/>
      <c r="M978" s="74"/>
      <c r="N978" s="74"/>
      <c r="O978" s="74"/>
      <c r="P978" s="74"/>
      <c r="Q978" s="74"/>
      <c r="R978" s="74"/>
      <c r="S978" s="74"/>
      <c r="T978" s="74"/>
      <c r="U978" s="74"/>
      <c r="V978" s="74"/>
      <c r="W978" s="74"/>
      <c r="X978" s="74"/>
      <c r="Y978" s="74"/>
      <c r="Z978" s="74"/>
    </row>
    <row r="979" spans="1:26" x14ac:dyDescent="0.3">
      <c r="A979" s="66">
        <f t="shared" ref="A979:A1006" si="98">A978+0.1</f>
        <v>2087.1999999999116</v>
      </c>
      <c r="B979" s="67">
        <f>LOOKUP(A979+0.01,AmountsB!$A$4:$A$103,AmountsB!$B$4:$B$103)*0.1*$A$2</f>
        <v>0</v>
      </c>
      <c r="C979" s="68">
        <f t="shared" si="97"/>
        <v>1538495.7946267016</v>
      </c>
      <c r="D979" s="67">
        <f t="array" ref="D979">SUM($B$7:$B974*$F$1009*EXP(-$F$1009*($A979-$A$7:$A974)))*$F$1010</f>
        <v>28361569.746772874</v>
      </c>
      <c r="E979" s="67">
        <f t="shared" si="95"/>
        <v>54.068828961118513</v>
      </c>
      <c r="F979" s="70">
        <f t="shared" ref="F979:F1007" si="99">E979*60*1012/1000000</f>
        <v>3.2830592945191164</v>
      </c>
      <c r="G979" s="67">
        <f>E979/'Lookup Tables'!$C$48</f>
        <v>108.13765792223703</v>
      </c>
      <c r="H979" s="70">
        <f t="shared" si="96"/>
        <v>1.847166342684696E-2</v>
      </c>
      <c r="I979" s="71">
        <f t="shared" ref="I979:I1006" si="100">G979*60*24/1000000</f>
        <v>0.15571822740802133</v>
      </c>
      <c r="L979" s="74"/>
      <c r="M979" s="74"/>
      <c r="N979" s="74"/>
      <c r="O979" s="74"/>
      <c r="P979" s="74"/>
      <c r="Q979" s="74"/>
      <c r="R979" s="74"/>
      <c r="S979" s="74"/>
      <c r="T979" s="74"/>
      <c r="U979" s="74"/>
      <c r="V979" s="74"/>
      <c r="W979" s="74"/>
      <c r="X979" s="74"/>
      <c r="Y979" s="74"/>
      <c r="Z979" s="74"/>
    </row>
    <row r="980" spans="1:26" x14ac:dyDescent="0.3">
      <c r="A980" s="66">
        <f t="shared" si="98"/>
        <v>2087.2999999999115</v>
      </c>
      <c r="B980" s="67">
        <f>LOOKUP(A980+0.01,AmountsB!$A$4:$A$103,AmountsB!$B$4:$B$103)*0.1*$A$2</f>
        <v>0</v>
      </c>
      <c r="C980" s="68">
        <f t="shared" si="97"/>
        <v>1538495.7946267016</v>
      </c>
      <c r="D980" s="67">
        <f t="array" ref="D980">SUM($B$7:$B975*$F$1009*EXP(-$F$1009*($A980-$A$7:$A975)))*$F$1010</f>
        <v>28282268.425142456</v>
      </c>
      <c r="E980" s="67">
        <f t="shared" si="95"/>
        <v>53.917647992155622</v>
      </c>
      <c r="F980" s="70">
        <f t="shared" si="99"/>
        <v>3.2738795860836896</v>
      </c>
      <c r="G980" s="67">
        <f>E980/'Lookup Tables'!$C$48</f>
        <v>107.83529598431124</v>
      </c>
      <c r="H980" s="70">
        <f t="shared" si="96"/>
        <v>1.842001511063809E-2</v>
      </c>
      <c r="I980" s="71">
        <f t="shared" si="100"/>
        <v>0.15528282621740822</v>
      </c>
      <c r="L980" s="74"/>
      <c r="M980" s="74"/>
      <c r="N980" s="74"/>
      <c r="O980" s="74"/>
      <c r="P980" s="74"/>
      <c r="Q980" s="74"/>
      <c r="R980" s="74"/>
      <c r="S980" s="74"/>
      <c r="T980" s="74"/>
      <c r="U980" s="74"/>
      <c r="V980" s="74"/>
      <c r="W980" s="74"/>
      <c r="X980" s="74"/>
      <c r="Y980" s="74"/>
      <c r="Z980" s="74"/>
    </row>
    <row r="981" spans="1:26" x14ac:dyDescent="0.3">
      <c r="A981" s="66">
        <f t="shared" si="98"/>
        <v>2087.3999999999114</v>
      </c>
      <c r="B981" s="67">
        <f>LOOKUP(A981+0.01,AmountsB!$A$4:$A$103,AmountsB!$B$4:$B$103)*0.1*$A$2</f>
        <v>0</v>
      </c>
      <c r="C981" s="68">
        <f t="shared" si="97"/>
        <v>1538495.7946267016</v>
      </c>
      <c r="D981" s="67">
        <f t="array" ref="D981">SUM($B$7:$B976*$F$1009*EXP(-$F$1009*($A981-$A$7:$A976)))*$F$1010</f>
        <v>28203188.836641356</v>
      </c>
      <c r="E981" s="67">
        <f t="shared" si="95"/>
        <v>53.76688973782916</v>
      </c>
      <c r="F981" s="70">
        <f t="shared" si="99"/>
        <v>3.2647255448809869</v>
      </c>
      <c r="G981" s="67">
        <f>E981/'Lookup Tables'!$C$48</f>
        <v>107.53377947565832</v>
      </c>
      <c r="H981" s="70">
        <f t="shared" si="96"/>
        <v>1.8368511207442033E-2</v>
      </c>
      <c r="I981" s="71">
        <f t="shared" si="100"/>
        <v>0.15484864244494798</v>
      </c>
      <c r="L981" s="74"/>
      <c r="M981" s="74"/>
      <c r="N981" s="74"/>
      <c r="O981" s="74"/>
      <c r="P981" s="74"/>
      <c r="Q981" s="74"/>
      <c r="R981" s="74"/>
      <c r="S981" s="74"/>
      <c r="T981" s="74"/>
      <c r="U981" s="74"/>
      <c r="V981" s="74"/>
      <c r="W981" s="74"/>
      <c r="X981" s="74"/>
      <c r="Y981" s="74"/>
      <c r="Z981" s="74"/>
    </row>
    <row r="982" spans="1:26" x14ac:dyDescent="0.3">
      <c r="A982" s="66">
        <f t="shared" si="98"/>
        <v>2087.4999999999113</v>
      </c>
      <c r="B982" s="67">
        <f>LOOKUP(A982+0.01,AmountsB!$A$4:$A$103,AmountsB!$B$4:$B$103)*0.1*$A$2</f>
        <v>0</v>
      </c>
      <c r="C982" s="68">
        <f t="shared" si="97"/>
        <v>1538495.7946267016</v>
      </c>
      <c r="D982" s="67">
        <f t="array" ref="D982">SUM($B$7:$B977*$F$1009*EXP(-$F$1009*($A982-$A$7:$A977)))*$F$1010</f>
        <v>28124330.361285191</v>
      </c>
      <c r="E982" s="67">
        <f t="shared" si="95"/>
        <v>53.616553016193635</v>
      </c>
      <c r="F982" s="70">
        <f t="shared" si="99"/>
        <v>3.2555970991432774</v>
      </c>
      <c r="G982" s="67">
        <f>E982/'Lookup Tables'!$C$48</f>
        <v>107.23310603238727</v>
      </c>
      <c r="H982" s="70">
        <f t="shared" si="96"/>
        <v>1.8317151313467932E-2</v>
      </c>
      <c r="I982" s="71">
        <f t="shared" si="100"/>
        <v>0.15441567268663767</v>
      </c>
      <c r="L982" s="74"/>
      <c r="M982" s="74"/>
      <c r="N982" s="74"/>
      <c r="O982" s="74"/>
      <c r="P982" s="74"/>
      <c r="Q982" s="74"/>
      <c r="R982" s="74"/>
      <c r="S982" s="74"/>
      <c r="T982" s="74"/>
      <c r="U982" s="74"/>
      <c r="V982" s="74"/>
      <c r="W982" s="74"/>
      <c r="X982" s="74"/>
      <c r="Y982" s="74"/>
      <c r="Z982" s="74"/>
    </row>
    <row r="983" spans="1:26" x14ac:dyDescent="0.3">
      <c r="A983" s="66">
        <f t="shared" si="98"/>
        <v>2087.5999999999112</v>
      </c>
      <c r="B983" s="67">
        <f>LOOKUP(A983+0.01,AmountsB!$A$4:$A$103,AmountsB!$B$4:$B$103)*0.1*$A$2</f>
        <v>0</v>
      </c>
      <c r="C983" s="68">
        <f t="shared" si="97"/>
        <v>1538495.7946267016</v>
      </c>
      <c r="D983" s="67">
        <f t="array" ref="D983">SUM($B$7:$B978*$F$1009*EXP(-$F$1009*($A983-$A$7:$A978)))*$F$1010</f>
        <v>28045692.380823117</v>
      </c>
      <c r="E983" s="67">
        <f t="shared" si="95"/>
        <v>53.4666366486084</v>
      </c>
      <c r="F983" s="70">
        <f t="shared" si="99"/>
        <v>3.2464941773035019</v>
      </c>
      <c r="G983" s="67">
        <f>E983/'Lookup Tables'!$C$48</f>
        <v>106.9332732972168</v>
      </c>
      <c r="H983" s="70">
        <f t="shared" si="96"/>
        <v>1.8265935026053948E-2</v>
      </c>
      <c r="I983" s="71">
        <f t="shared" si="100"/>
        <v>0.15398391354799218</v>
      </c>
      <c r="L983" s="74"/>
      <c r="M983" s="74"/>
      <c r="N983" s="74"/>
      <c r="O983" s="74"/>
      <c r="P983" s="74"/>
      <c r="Q983" s="74"/>
      <c r="R983" s="74"/>
      <c r="S983" s="74"/>
      <c r="T983" s="74"/>
      <c r="U983" s="74"/>
      <c r="V983" s="74"/>
      <c r="W983" s="74"/>
      <c r="X983" s="74"/>
      <c r="Y983" s="74"/>
      <c r="Z983" s="74"/>
    </row>
    <row r="984" spans="1:26" x14ac:dyDescent="0.3">
      <c r="A984" s="66">
        <f t="shared" si="98"/>
        <v>2087.6999999999111</v>
      </c>
      <c r="B984" s="67">
        <f>LOOKUP(A984+0.01,AmountsB!$A$4:$A$103,AmountsB!$B$4:$B$103)*0.1*$A$2</f>
        <v>0</v>
      </c>
      <c r="C984" s="68">
        <f t="shared" si="97"/>
        <v>1538495.7946267016</v>
      </c>
      <c r="D984" s="67">
        <f t="array" ref="D984">SUM($B$7:$B979*$F$1009*EXP(-$F$1009*($A984-$A$7:$A979)))*$F$1010</f>
        <v>27967274.27873297</v>
      </c>
      <c r="E984" s="67">
        <f t="shared" si="95"/>
        <v>53.317139459728359</v>
      </c>
      <c r="F984" s="70">
        <f t="shared" si="99"/>
        <v>3.237416707994706</v>
      </c>
      <c r="G984" s="67">
        <f>E984/'Lookup Tables'!$C$48</f>
        <v>106.63427891945672</v>
      </c>
      <c r="H984" s="70">
        <f t="shared" si="96"/>
        <v>1.8214861943664139E-2</v>
      </c>
      <c r="I984" s="71">
        <f t="shared" si="100"/>
        <v>0.15355336164401767</v>
      </c>
      <c r="L984" s="74"/>
      <c r="M984" s="74"/>
      <c r="N984" s="74"/>
      <c r="O984" s="74"/>
      <c r="P984" s="74"/>
      <c r="Q984" s="74"/>
      <c r="R984" s="74"/>
      <c r="S984" s="74"/>
      <c r="T984" s="74"/>
      <c r="U984" s="74"/>
      <c r="V984" s="74"/>
      <c r="W984" s="74"/>
      <c r="X984" s="74"/>
      <c r="Y984" s="74"/>
      <c r="Z984" s="74"/>
    </row>
    <row r="985" spans="1:26" x14ac:dyDescent="0.3">
      <c r="A985" s="66">
        <f t="shared" si="98"/>
        <v>2087.7999999999111</v>
      </c>
      <c r="B985" s="67">
        <f>LOOKUP(A985+0.01,AmountsB!$A$4:$A$103,AmountsB!$B$4:$B$103)*0.1*$A$2</f>
        <v>0</v>
      </c>
      <c r="C985" s="68">
        <f t="shared" si="97"/>
        <v>1538495.7946267016</v>
      </c>
      <c r="D985" s="67">
        <f t="array" ref="D985">SUM($B$7:$B980*$F$1009*EXP(-$F$1009*($A985-$A$7:$A980)))*$F$1010</f>
        <v>27889075.440216418</v>
      </c>
      <c r="E985" s="67">
        <f t="shared" si="95"/>
        <v>53.168060277494774</v>
      </c>
      <c r="F985" s="70">
        <f t="shared" si="99"/>
        <v>3.2283646200494829</v>
      </c>
      <c r="G985" s="67">
        <f>E985/'Lookup Tables'!$C$48</f>
        <v>106.33612055498955</v>
      </c>
      <c r="H985" s="70">
        <f t="shared" si="96"/>
        <v>1.8163931665885261E-2</v>
      </c>
      <c r="I985" s="71">
        <f t="shared" si="100"/>
        <v>0.15312401359918495</v>
      </c>
      <c r="L985" s="74"/>
      <c r="M985" s="74"/>
      <c r="N985" s="74"/>
      <c r="O985" s="74"/>
      <c r="P985" s="74"/>
      <c r="Q985" s="74"/>
      <c r="R985" s="74"/>
      <c r="S985" s="74"/>
      <c r="T985" s="74"/>
      <c r="U985" s="74"/>
      <c r="V985" s="74"/>
      <c r="W985" s="74"/>
      <c r="X985" s="74"/>
      <c r="Y985" s="74"/>
      <c r="Z985" s="74"/>
    </row>
    <row r="986" spans="1:26" x14ac:dyDescent="0.3">
      <c r="A986" s="66">
        <f t="shared" si="98"/>
        <v>2087.899999999911</v>
      </c>
      <c r="B986" s="67">
        <f>LOOKUP(A986+0.01,AmountsB!$A$4:$A$103,AmountsB!$B$4:$B$103)*0.1*$A$2</f>
        <v>0</v>
      </c>
      <c r="C986" s="68">
        <f t="shared" si="97"/>
        <v>1538495.7946267016</v>
      </c>
      <c r="D986" s="67">
        <f t="array" ref="D986">SUM($B$7:$B981*$F$1009*EXP(-$F$1009*($A986-$A$7:$A981)))*$F$1010</f>
        <v>27811095.252194155</v>
      </c>
      <c r="E986" s="67">
        <f t="shared" si="95"/>
        <v>53.019397933126079</v>
      </c>
      <c r="F986" s="70">
        <f t="shared" si="99"/>
        <v>3.2193378424994155</v>
      </c>
      <c r="G986" s="67">
        <f>E986/'Lookup Tables'!$C$48</f>
        <v>106.03879586625216</v>
      </c>
      <c r="H986" s="70">
        <f t="shared" si="96"/>
        <v>1.8113143793423676E-2</v>
      </c>
      <c r="I986" s="71">
        <f t="shared" si="100"/>
        <v>0.15269586604740309</v>
      </c>
      <c r="L986" s="74"/>
      <c r="M986" s="74"/>
      <c r="N986" s="74"/>
      <c r="O986" s="74"/>
      <c r="P986" s="74"/>
      <c r="Q986" s="74"/>
      <c r="R986" s="74"/>
      <c r="S986" s="74"/>
      <c r="T986" s="74"/>
      <c r="U986" s="74"/>
      <c r="V986" s="74"/>
      <c r="W986" s="74"/>
      <c r="X986" s="74"/>
      <c r="Y986" s="74"/>
      <c r="Z986" s="74"/>
    </row>
    <row r="987" spans="1:26" x14ac:dyDescent="0.3">
      <c r="A987" s="66">
        <f t="shared" si="98"/>
        <v>2087.9999999999109</v>
      </c>
      <c r="B987" s="67">
        <f>LOOKUP(A987+0.01,AmountsB!$A$4:$A$103,AmountsB!$B$4:$B$103)*0.1*$A$2</f>
        <v>0</v>
      </c>
      <c r="C987" s="68">
        <f t="shared" si="97"/>
        <v>1538495.7946267016</v>
      </c>
      <c r="D987" s="67">
        <f t="array" ref="D987">SUM($B$7:$B982*$F$1009*EXP(-$F$1009*($A987-$A$7:$A982)))*$F$1010</f>
        <v>27733333.10330113</v>
      </c>
      <c r="E987" s="67">
        <f t="shared" si="95"/>
        <v>52.871151261108771</v>
      </c>
      <c r="F987" s="70">
        <f t="shared" si="99"/>
        <v>3.2103363045745246</v>
      </c>
      <c r="G987" s="67">
        <f>E987/'Lookup Tables'!$C$48</f>
        <v>105.74230252221754</v>
      </c>
      <c r="H987" s="70">
        <f t="shared" si="96"/>
        <v>1.8062497928102217E-2</v>
      </c>
      <c r="I987" s="71">
        <f t="shared" si="100"/>
        <v>0.15226891563199327</v>
      </c>
      <c r="L987" s="74"/>
      <c r="M987" s="74"/>
      <c r="N987" s="74"/>
      <c r="O987" s="74"/>
      <c r="P987" s="74"/>
      <c r="Q987" s="74"/>
      <c r="R987" s="74"/>
      <c r="S987" s="74"/>
      <c r="T987" s="74"/>
      <c r="U987" s="74"/>
      <c r="V987" s="74"/>
      <c r="W987" s="74"/>
      <c r="X987" s="74"/>
      <c r="Y987" s="74"/>
      <c r="Z987" s="74"/>
    </row>
    <row r="988" spans="1:26" x14ac:dyDescent="0.3">
      <c r="A988" s="66">
        <f t="shared" si="98"/>
        <v>2088.0999999999108</v>
      </c>
      <c r="B988" s="67">
        <f>LOOKUP(A988+0.01,AmountsB!$A$4:$A$103,AmountsB!$B$4:$B$103)*0.1*$A$2</f>
        <v>0</v>
      </c>
      <c r="C988" s="68">
        <f t="shared" si="97"/>
        <v>1538495.7946267016</v>
      </c>
      <c r="D988" s="67">
        <f t="array" ref="D988">SUM($B$7:$B983*$F$1009*EXP(-$F$1009*($A988-$A$7:$A983)))*$F$1010</f>
        <v>27655788.383881699</v>
      </c>
      <c r="E988" s="67">
        <f t="shared" si="95"/>
        <v>52.723319099188174</v>
      </c>
      <c r="F988" s="70">
        <f t="shared" si="99"/>
        <v>3.2013599357027056</v>
      </c>
      <c r="G988" s="67">
        <f>E988/'Lookup Tables'!$C$48</f>
        <v>105.44663819837635</v>
      </c>
      <c r="H988" s="70">
        <f t="shared" si="96"/>
        <v>1.8011993672857034E-2</v>
      </c>
      <c r="I988" s="71">
        <f t="shared" si="100"/>
        <v>0.15184315900566192</v>
      </c>
      <c r="L988" s="74"/>
      <c r="M988" s="74"/>
      <c r="N988" s="74"/>
      <c r="O988" s="74"/>
      <c r="P988" s="74"/>
      <c r="Q988" s="74"/>
      <c r="R988" s="74"/>
      <c r="S988" s="74"/>
      <c r="T988" s="74"/>
      <c r="U988" s="74"/>
      <c r="V988" s="74"/>
      <c r="W988" s="74"/>
      <c r="X988" s="74"/>
      <c r="Y988" s="74"/>
      <c r="Z988" s="74"/>
    </row>
    <row r="989" spans="1:26" x14ac:dyDescent="0.3">
      <c r="A989" s="66">
        <f t="shared" si="98"/>
        <v>2088.1999999999107</v>
      </c>
      <c r="B989" s="67">
        <f>LOOKUP(A989+0.01,AmountsB!$A$4:$A$103,AmountsB!$B$4:$B$103)*0.1*$A$2</f>
        <v>0</v>
      </c>
      <c r="C989" s="68">
        <f t="shared" si="97"/>
        <v>1538495.7946267016</v>
      </c>
      <c r="D989" s="67">
        <f t="array" ref="D989">SUM($B$7:$B984*$F$1009*EXP(-$F$1009*($A989-$A$7:$A984)))*$F$1010</f>
        <v>27578460.485984832</v>
      </c>
      <c r="E989" s="67">
        <f t="shared" si="95"/>
        <v>52.575900288359328</v>
      </c>
      <c r="F989" s="70">
        <f t="shared" si="99"/>
        <v>3.1924086655091783</v>
      </c>
      <c r="G989" s="67">
        <f>E989/'Lookup Tables'!$C$48</f>
        <v>105.15180057671866</v>
      </c>
      <c r="H989" s="70">
        <f t="shared" si="96"/>
        <v>1.7961630631734494E-2</v>
      </c>
      <c r="I989" s="71">
        <f t="shared" si="100"/>
        <v>0.15141859283047487</v>
      </c>
      <c r="L989" s="74"/>
      <c r="M989" s="74"/>
      <c r="N989" s="74"/>
      <c r="O989" s="74"/>
      <c r="P989" s="74"/>
      <c r="Q989" s="74"/>
      <c r="R989" s="74"/>
      <c r="S989" s="74"/>
      <c r="T989" s="74"/>
      <c r="U989" s="74"/>
      <c r="V989" s="74"/>
      <c r="W989" s="74"/>
      <c r="X989" s="74"/>
      <c r="Y989" s="74"/>
      <c r="Z989" s="74"/>
    </row>
    <row r="990" spans="1:26" x14ac:dyDescent="0.3">
      <c r="A990" s="66">
        <f t="shared" si="98"/>
        <v>2088.2999999999106</v>
      </c>
      <c r="B990" s="67">
        <f>LOOKUP(A990+0.01,AmountsB!$A$4:$A$103,AmountsB!$B$4:$B$103)*0.1*$A$2</f>
        <v>0</v>
      </c>
      <c r="C990" s="68">
        <f t="shared" si="97"/>
        <v>1538495.7946267016</v>
      </c>
      <c r="D990" s="67">
        <f t="array" ref="D990">SUM($B$7:$B985*$F$1009*EXP(-$F$1009*($A990-$A$7:$A985)))*$F$1010</f>
        <v>27501348.803359449</v>
      </c>
      <c r="E990" s="67">
        <f t="shared" si="95"/>
        <v>52.428893672858074</v>
      </c>
      <c r="F990" s="70">
        <f t="shared" si="99"/>
        <v>3.1834824238159425</v>
      </c>
      <c r="G990" s="67">
        <f>E990/'Lookup Tables'!$C$48</f>
        <v>104.85778734571615</v>
      </c>
      <c r="H990" s="70">
        <f t="shared" si="96"/>
        <v>1.7911408409888117E-2</v>
      </c>
      <c r="I990" s="71">
        <f t="shared" si="100"/>
        <v>0.15099521377783126</v>
      </c>
      <c r="L990" s="74"/>
      <c r="M990" s="74"/>
      <c r="N990" s="74"/>
      <c r="O990" s="74"/>
      <c r="P990" s="74"/>
      <c r="Q990" s="74"/>
      <c r="R990" s="74"/>
      <c r="S990" s="74"/>
      <c r="T990" s="74"/>
      <c r="U990" s="74"/>
      <c r="V990" s="74"/>
      <c r="W990" s="74"/>
      <c r="X990" s="74"/>
      <c r="Y990" s="74"/>
      <c r="Z990" s="74"/>
    </row>
    <row r="991" spans="1:26" x14ac:dyDescent="0.3">
      <c r="A991" s="66">
        <f t="shared" si="98"/>
        <v>2088.3999999999105</v>
      </c>
      <c r="B991" s="67">
        <f>LOOKUP(A991+0.01,AmountsB!$A$4:$A$103,AmountsB!$B$4:$B$103)*0.1*$A$2</f>
        <v>0</v>
      </c>
      <c r="C991" s="68">
        <f t="shared" si="97"/>
        <v>1538495.7946267016</v>
      </c>
      <c r="D991" s="67">
        <f t="array" ref="D991">SUM($B$7:$B986*$F$1009*EXP(-$F$1009*($A991-$A$7:$A986)))*$F$1010</f>
        <v>27424452.731449548</v>
      </c>
      <c r="E991" s="67">
        <f t="shared" si="95"/>
        <v>52.282298100151763</v>
      </c>
      <c r="F991" s="70">
        <f t="shared" si="99"/>
        <v>3.174581140641215</v>
      </c>
      <c r="G991" s="67">
        <f>E991/'Lookup Tables'!$C$48</f>
        <v>104.56459620030353</v>
      </c>
      <c r="H991" s="70">
        <f t="shared" si="96"/>
        <v>1.7861326613575416E-2</v>
      </c>
      <c r="I991" s="71">
        <f t="shared" si="100"/>
        <v>0.15057301852843707</v>
      </c>
      <c r="L991" s="74"/>
      <c r="M991" s="74"/>
      <c r="N991" s="74"/>
      <c r="O991" s="74"/>
      <c r="P991" s="74"/>
      <c r="Q991" s="74"/>
      <c r="R991" s="74"/>
      <c r="S991" s="74"/>
      <c r="T991" s="74"/>
      <c r="U991" s="74"/>
      <c r="V991" s="74"/>
      <c r="W991" s="74"/>
      <c r="X991" s="74"/>
      <c r="Y991" s="74"/>
      <c r="Z991" s="74"/>
    </row>
    <row r="992" spans="1:26" x14ac:dyDescent="0.3">
      <c r="A992" s="66">
        <f t="shared" si="98"/>
        <v>2088.4999999999104</v>
      </c>
      <c r="B992" s="67">
        <f>LOOKUP(A992+0.01,AmountsB!$A$4:$A$103,AmountsB!$B$4:$B$103)*0.1*$A$2</f>
        <v>0</v>
      </c>
      <c r="C992" s="68">
        <f t="shared" si="97"/>
        <v>1538495.7946267016</v>
      </c>
      <c r="D992" s="67">
        <f t="array" ref="D992">SUM($B$7:$B987*$F$1009*EXP(-$F$1009*($A992-$A$7:$A987)))*$F$1010</f>
        <v>27347771.667389531</v>
      </c>
      <c r="E992" s="67">
        <f t="shared" si="95"/>
        <v>52.136112420930338</v>
      </c>
      <c r="F992" s="70">
        <f t="shared" si="99"/>
        <v>3.1657047461988901</v>
      </c>
      <c r="G992" s="67">
        <f>E992/'Lookup Tables'!$C$48</f>
        <v>104.27222484186068</v>
      </c>
      <c r="H992" s="70">
        <f t="shared" si="96"/>
        <v>1.7811384850154852E-2</v>
      </c>
      <c r="I992" s="71">
        <f t="shared" si="100"/>
        <v>0.15015200377227936</v>
      </c>
      <c r="L992" s="74"/>
      <c r="M992" s="74"/>
      <c r="N992" s="74"/>
      <c r="O992" s="74"/>
      <c r="P992" s="74"/>
      <c r="Q992" s="74"/>
      <c r="R992" s="74"/>
      <c r="S992" s="74"/>
      <c r="T992" s="74"/>
      <c r="U992" s="74"/>
      <c r="V992" s="74"/>
      <c r="W992" s="74"/>
      <c r="X992" s="74"/>
      <c r="Y992" s="74"/>
      <c r="Z992" s="74"/>
    </row>
    <row r="993" spans="1:26" x14ac:dyDescent="0.3">
      <c r="A993" s="66">
        <f t="shared" si="98"/>
        <v>2088.5999999999103</v>
      </c>
      <c r="B993" s="67">
        <f>LOOKUP(A993+0.01,AmountsB!$A$4:$A$103,AmountsB!$B$4:$B$103)*0.1*$A$2</f>
        <v>0</v>
      </c>
      <c r="C993" s="68">
        <f t="shared" si="97"/>
        <v>1538495.7946267016</v>
      </c>
      <c r="D993" s="67">
        <f t="array" ref="D993">SUM($B$7:$B988*$F$1009*EXP(-$F$1009*($A993-$A$7:$A988)))*$F$1010</f>
        <v>27271305.009999458</v>
      </c>
      <c r="E993" s="67">
        <f t="shared" si="95"/>
        <v>51.990335489097333</v>
      </c>
      <c r="F993" s="70">
        <f t="shared" si="99"/>
        <v>3.1568531708979899</v>
      </c>
      <c r="G993" s="67">
        <f>E993/'Lookup Tables'!$C$48</f>
        <v>103.98067097819467</v>
      </c>
      <c r="H993" s="70">
        <f t="shared" si="96"/>
        <v>1.7761582728082745E-2</v>
      </c>
      <c r="I993" s="71">
        <f t="shared" si="100"/>
        <v>0.14973216620860033</v>
      </c>
      <c r="L993" s="74"/>
      <c r="M993" s="74"/>
      <c r="N993" s="74"/>
      <c r="O993" s="74"/>
      <c r="P993" s="74"/>
      <c r="Q993" s="74"/>
      <c r="R993" s="74"/>
      <c r="S993" s="74"/>
      <c r="T993" s="74"/>
      <c r="U993" s="74"/>
      <c r="V993" s="74"/>
      <c r="W993" s="74"/>
      <c r="X993" s="74"/>
      <c r="Y993" s="74"/>
      <c r="Z993" s="74"/>
    </row>
    <row r="994" spans="1:26" x14ac:dyDescent="0.3">
      <c r="A994" s="66">
        <f t="shared" si="98"/>
        <v>2088.6999999999102</v>
      </c>
      <c r="B994" s="67">
        <f>LOOKUP(A994+0.01,AmountsB!$A$4:$A$103,AmountsB!$B$4:$B$103)*0.1*$A$2</f>
        <v>0</v>
      </c>
      <c r="C994" s="68">
        <f t="shared" si="97"/>
        <v>1538495.7946267016</v>
      </c>
      <c r="D994" s="67">
        <f t="array" ref="D994">SUM($B$7:$B989*$F$1009*EXP(-$F$1009*($A994-$A$7:$A989)))*$F$1010</f>
        <v>27195052.159780361</v>
      </c>
      <c r="E994" s="67">
        <f t="shared" si="95"/>
        <v>51.844966161760887</v>
      </c>
      <c r="F994" s="70">
        <f t="shared" si="99"/>
        <v>3.1480263453421209</v>
      </c>
      <c r="G994" s="67">
        <f>E994/'Lookup Tables'!$C$48</f>
        <v>103.68993232352177</v>
      </c>
      <c r="H994" s="70">
        <f t="shared" si="96"/>
        <v>1.7711919856910209E-2</v>
      </c>
      <c r="I994" s="71">
        <f t="shared" si="100"/>
        <v>0.14931350254587136</v>
      </c>
      <c r="L994" s="74"/>
      <c r="M994" s="74"/>
      <c r="N994" s="74"/>
      <c r="O994" s="74"/>
      <c r="P994" s="74"/>
      <c r="Q994" s="74"/>
      <c r="R994" s="74"/>
      <c r="S994" s="74"/>
      <c r="T994" s="74"/>
      <c r="U994" s="74"/>
      <c r="V994" s="74"/>
      <c r="W994" s="74"/>
      <c r="X994" s="74"/>
      <c r="Y994" s="74"/>
      <c r="Z994" s="74"/>
    </row>
    <row r="995" spans="1:26" x14ac:dyDescent="0.3">
      <c r="A995" s="66">
        <f t="shared" si="98"/>
        <v>2088.7999999999101</v>
      </c>
      <c r="B995" s="67">
        <f>LOOKUP(A995+0.01,AmountsB!$A$4:$A$103,AmountsB!$B$4:$B$103)*0.1*$A$2</f>
        <v>0</v>
      </c>
      <c r="C995" s="68">
        <f t="shared" si="97"/>
        <v>1538495.7946267016</v>
      </c>
      <c r="D995" s="67">
        <f t="array" ref="D995">SUM($B$7:$B990*$F$1009*EXP(-$F$1009*($A995-$A$7:$A990)))*$F$1010</f>
        <v>27119012.518909492</v>
      </c>
      <c r="E995" s="67">
        <f t="shared" si="95"/>
        <v>51.700003299224704</v>
      </c>
      <c r="F995" s="70">
        <f t="shared" si="99"/>
        <v>3.1392242003289241</v>
      </c>
      <c r="G995" s="67">
        <f>E995/'Lookup Tables'!$C$48</f>
        <v>103.40000659844941</v>
      </c>
      <c r="H995" s="70">
        <f t="shared" si="96"/>
        <v>1.7662395847280066E-2</v>
      </c>
      <c r="I995" s="71">
        <f t="shared" si="100"/>
        <v>0.14889600950176715</v>
      </c>
      <c r="L995" s="74"/>
      <c r="M995" s="74"/>
      <c r="N995" s="74"/>
      <c r="O995" s="74"/>
      <c r="P995" s="74"/>
      <c r="Q995" s="74"/>
      <c r="R995" s="74"/>
      <c r="S995" s="74"/>
      <c r="T995" s="74"/>
      <c r="U995" s="74"/>
      <c r="V995" s="74"/>
      <c r="W995" s="74"/>
      <c r="X995" s="74"/>
      <c r="Y995" s="74"/>
      <c r="Z995" s="74"/>
    </row>
    <row r="996" spans="1:26" x14ac:dyDescent="0.3">
      <c r="A996" s="66">
        <f t="shared" si="98"/>
        <v>2088.8999999999101</v>
      </c>
      <c r="B996" s="67">
        <f>LOOKUP(A996+0.01,AmountsB!$A$4:$A$103,AmountsB!$B$4:$B$103)*0.1*$A$2</f>
        <v>0</v>
      </c>
      <c r="C996" s="68">
        <f t="shared" si="97"/>
        <v>1538495.7946267016</v>
      </c>
      <c r="D996" s="67">
        <f t="array" ref="D996">SUM($B$7:$B991*$F$1009*EXP(-$F$1009*($A996-$A$7:$A991)))*$F$1010</f>
        <v>27043185.491235677</v>
      </c>
      <c r="E996" s="67">
        <f t="shared" si="95"/>
        <v>51.55544576497919</v>
      </c>
      <c r="F996" s="70">
        <f t="shared" si="99"/>
        <v>3.130446666849537</v>
      </c>
      <c r="G996" s="67">
        <f>E996/'Lookup Tables'!$C$48</f>
        <v>103.11089152995838</v>
      </c>
      <c r="H996" s="70">
        <f t="shared" si="96"/>
        <v>1.7613010310923841E-2</v>
      </c>
      <c r="I996" s="71">
        <f t="shared" si="100"/>
        <v>0.14847968380314006</v>
      </c>
      <c r="L996" s="74"/>
      <c r="M996" s="74"/>
      <c r="N996" s="74"/>
      <c r="O996" s="74"/>
      <c r="P996" s="74"/>
      <c r="Q996" s="74"/>
      <c r="R996" s="74"/>
      <c r="S996" s="74"/>
      <c r="T996" s="74"/>
      <c r="U996" s="74"/>
      <c r="V996" s="74"/>
      <c r="W996" s="74"/>
      <c r="X996" s="74"/>
      <c r="Y996" s="74"/>
      <c r="Z996" s="74"/>
    </row>
    <row r="997" spans="1:26" x14ac:dyDescent="0.3">
      <c r="A997" s="66">
        <f t="shared" si="98"/>
        <v>2088.99999999991</v>
      </c>
      <c r="B997" s="67">
        <f>LOOKUP(A997+0.01,AmountsB!$A$4:$A$103,AmountsB!$B$4:$B$103)*0.1*$A$2</f>
        <v>0</v>
      </c>
      <c r="C997" s="68">
        <f t="shared" si="97"/>
        <v>1538495.7946267016</v>
      </c>
      <c r="D997" s="67">
        <f t="array" ref="D997">SUM($B$7:$B992*$F$1009*EXP(-$F$1009*($A997-$A$7:$A992)))*$F$1010</f>
        <v>26967570.482274637</v>
      </c>
      <c r="E997" s="67">
        <f t="shared" si="95"/>
        <v>51.411292425692565</v>
      </c>
      <c r="F997" s="70">
        <f t="shared" si="99"/>
        <v>3.1216936760880527</v>
      </c>
      <c r="G997" s="67">
        <f>E997/'Lookup Tables'!$C$48</f>
        <v>102.82258485138513</v>
      </c>
      <c r="H997" s="70">
        <f t="shared" si="96"/>
        <v>1.7563762860658673E-2</v>
      </c>
      <c r="I997" s="71">
        <f t="shared" si="100"/>
        <v>0.14806452218599461</v>
      </c>
      <c r="L997" s="74"/>
      <c r="M997" s="74"/>
      <c r="N997" s="74"/>
      <c r="O997" s="74"/>
      <c r="P997" s="74"/>
      <c r="Q997" s="74"/>
      <c r="R997" s="74"/>
      <c r="S997" s="74"/>
      <c r="T997" s="74"/>
      <c r="U997" s="74"/>
      <c r="V997" s="74"/>
      <c r="W997" s="74"/>
      <c r="X997" s="74"/>
      <c r="Y997" s="74"/>
      <c r="Z997" s="74"/>
    </row>
    <row r="998" spans="1:26" x14ac:dyDescent="0.3">
      <c r="A998" s="66">
        <f t="shared" si="98"/>
        <v>2089.0999999999099</v>
      </c>
      <c r="B998" s="67">
        <f>LOOKUP(A998+0.01,AmountsB!$A$4:$A$103,AmountsB!$B$4:$B$103)*0.1*$A$2</f>
        <v>0</v>
      </c>
      <c r="C998" s="68">
        <f t="shared" si="97"/>
        <v>1538495.7946267016</v>
      </c>
      <c r="D998" s="67">
        <f t="array" ref="D998">SUM($B$7:$B993*$F$1009*EXP(-$F$1009*($A998-$A$7:$A993)))*$F$1010</f>
        <v>26892166.899204303</v>
      </c>
      <c r="E998" s="67">
        <f t="shared" si="95"/>
        <v>51.267542151201873</v>
      </c>
      <c r="F998" s="70">
        <f t="shared" si="99"/>
        <v>3.1129651594209777</v>
      </c>
      <c r="G998" s="67">
        <f>E998/'Lookup Tables'!$C$48</f>
        <v>102.53508430240375</v>
      </c>
      <c r="H998" s="70">
        <f t="shared" si="96"/>
        <v>1.7514653110384287E-2</v>
      </c>
      <c r="I998" s="71">
        <f t="shared" si="100"/>
        <v>0.14765052139546139</v>
      </c>
      <c r="L998" s="74"/>
      <c r="M998" s="74"/>
      <c r="N998" s="74"/>
      <c r="O998" s="74"/>
      <c r="P998" s="74"/>
      <c r="Q998" s="74"/>
      <c r="R998" s="74"/>
      <c r="S998" s="74"/>
      <c r="T998" s="74"/>
      <c r="U998" s="74"/>
      <c r="V998" s="74"/>
      <c r="W998" s="74"/>
      <c r="X998" s="74"/>
      <c r="Y998" s="74"/>
      <c r="Z998" s="74"/>
    </row>
    <row r="999" spans="1:26" x14ac:dyDescent="0.3">
      <c r="A999" s="66">
        <f t="shared" si="98"/>
        <v>2089.1999999999098</v>
      </c>
      <c r="B999" s="67">
        <f>LOOKUP(A999+0.01,AmountsB!$A$4:$A$103,AmountsB!$B$4:$B$103)*0.1*$A$2</f>
        <v>0</v>
      </c>
      <c r="C999" s="68">
        <f t="shared" si="97"/>
        <v>1538495.7946267016</v>
      </c>
      <c r="D999" s="67">
        <f t="array" ref="D999">SUM($B$7:$B994*$F$1009*EXP(-$F$1009*($A999-$A$7:$A994)))*$F$1010</f>
        <v>26816974.150860205</v>
      </c>
      <c r="E999" s="67">
        <f t="shared" si="95"/>
        <v>51.124193814504252</v>
      </c>
      <c r="F999" s="70">
        <f t="shared" si="99"/>
        <v>3.1042610484166984</v>
      </c>
      <c r="G999" s="67">
        <f>E999/'Lookup Tables'!$C$48</f>
        <v>102.2483876290085</v>
      </c>
      <c r="H999" s="70">
        <f t="shared" si="96"/>
        <v>1.7465680675080007E-2</v>
      </c>
      <c r="I999" s="71">
        <f t="shared" si="100"/>
        <v>0.14723767818577227</v>
      </c>
      <c r="L999" s="74"/>
      <c r="M999" s="74"/>
      <c r="N999" s="74"/>
      <c r="O999" s="74"/>
      <c r="P999" s="74"/>
      <c r="Q999" s="74"/>
      <c r="R999" s="74"/>
      <c r="S999" s="74"/>
      <c r="T999" s="74"/>
      <c r="U999" s="74"/>
      <c r="V999" s="74"/>
      <c r="W999" s="74"/>
      <c r="X999" s="74"/>
      <c r="Y999" s="74"/>
      <c r="Z999" s="74"/>
    </row>
    <row r="1000" spans="1:26" x14ac:dyDescent="0.3">
      <c r="A1000" s="66">
        <f t="shared" si="98"/>
        <v>2089.2999999999097</v>
      </c>
      <c r="B1000" s="67">
        <f>LOOKUP(A1000+0.01,AmountsB!$A$4:$A$103,AmountsB!$B$4:$B$103)*0.1*$A$2</f>
        <v>0</v>
      </c>
      <c r="C1000" s="68">
        <f t="shared" si="97"/>
        <v>1538495.7946267016</v>
      </c>
      <c r="D1000" s="67">
        <f t="array" ref="D1000">SUM($B$7:$B995*$F$1009*EXP(-$F$1009*($A1000-$A$7:$A995)))*$F$1010</f>
        <v>26741991.647730798</v>
      </c>
      <c r="E1000" s="67">
        <f t="shared" si="95"/>
        <v>50.981246291747979</v>
      </c>
      <c r="F1000" s="70">
        <f t="shared" si="99"/>
        <v>3.0955812748349376</v>
      </c>
      <c r="G1000" s="67">
        <f>E1000/'Lookup Tables'!$C$48</f>
        <v>101.96249258349596</v>
      </c>
      <c r="H1000" s="70">
        <f t="shared" si="96"/>
        <v>1.7416845170801661E-2</v>
      </c>
      <c r="I1000" s="71">
        <f t="shared" si="100"/>
        <v>0.14682598932023416</v>
      </c>
      <c r="L1000" s="74"/>
      <c r="M1000" s="74"/>
      <c r="N1000" s="74"/>
      <c r="O1000" s="74"/>
      <c r="P1000" s="74"/>
      <c r="Q1000" s="74"/>
      <c r="R1000" s="74"/>
      <c r="S1000" s="74"/>
      <c r="T1000" s="74"/>
      <c r="U1000" s="74"/>
      <c r="V1000" s="74"/>
      <c r="W1000" s="74"/>
      <c r="X1000" s="74"/>
      <c r="Y1000" s="74"/>
      <c r="Z1000" s="74"/>
    </row>
    <row r="1001" spans="1:26" x14ac:dyDescent="0.3">
      <c r="A1001" s="66">
        <f t="shared" si="98"/>
        <v>2089.3999999999096</v>
      </c>
      <c r="B1001" s="67">
        <f>LOOKUP(A1001+0.01,AmountsB!$A$4:$A$103,AmountsB!$B$4:$B$103)*0.1*$A$2</f>
        <v>0</v>
      </c>
      <c r="C1001" s="68">
        <f t="shared" si="97"/>
        <v>1538495.7946267016</v>
      </c>
      <c r="D1001" s="67">
        <f t="array" ref="D1001">SUM($B$7:$B996*$F$1009*EXP(-$F$1009*($A1001-$A$7:$A996)))*$F$1010</f>
        <v>26667218.801952902</v>
      </c>
      <c r="E1001" s="67">
        <f t="shared" si="95"/>
        <v>50.838698462223803</v>
      </c>
      <c r="F1001" s="70">
        <f t="shared" si="99"/>
        <v>3.0869257706262299</v>
      </c>
      <c r="G1001" s="67">
        <f>E1001/'Lookup Tables'!$C$48</f>
        <v>101.67739692444761</v>
      </c>
      <c r="H1001" s="70">
        <f t="shared" si="96"/>
        <v>1.7368146214678689E-2</v>
      </c>
      <c r="I1001" s="71">
        <f t="shared" si="100"/>
        <v>0.14641545157120456</v>
      </c>
      <c r="L1001" s="74"/>
      <c r="M1001" s="74"/>
      <c r="N1001" s="74"/>
      <c r="O1001" s="74"/>
      <c r="P1001" s="74"/>
      <c r="Q1001" s="74"/>
      <c r="R1001" s="74"/>
      <c r="S1001" s="74"/>
      <c r="T1001" s="74"/>
      <c r="U1001" s="74"/>
      <c r="V1001" s="74"/>
      <c r="W1001" s="74"/>
      <c r="X1001" s="74"/>
      <c r="Y1001" s="74"/>
      <c r="Z1001" s="74"/>
    </row>
    <row r="1002" spans="1:26" x14ac:dyDescent="0.3">
      <c r="A1002" s="66">
        <f t="shared" si="98"/>
        <v>2089.4999999999095</v>
      </c>
      <c r="B1002" s="67">
        <f>LOOKUP(A1002+0.01,AmountsB!$A$4:$A$103,AmountsB!$B$4:$B$103)*0.1*$A$2</f>
        <v>0</v>
      </c>
      <c r="C1002" s="68">
        <f t="shared" si="97"/>
        <v>1538495.7946267016</v>
      </c>
      <c r="D1002" s="67">
        <f t="array" ref="D1002">SUM($B$7:$B997*$F$1009*EXP(-$F$1009*($A1002-$A$7:$A997)))*$F$1010</f>
        <v>26592655.027306996</v>
      </c>
      <c r="E1002" s="67">
        <f t="shared" si="95"/>
        <v>50.696549208355947</v>
      </c>
      <c r="F1002" s="70">
        <f t="shared" si="99"/>
        <v>3.0782944679313728</v>
      </c>
      <c r="G1002" s="67">
        <f>E1002/'Lookup Tables'!$C$48</f>
        <v>101.39309841671189</v>
      </c>
      <c r="H1002" s="70">
        <f t="shared" si="96"/>
        <v>1.7319583424910991E-2</v>
      </c>
      <c r="I1002" s="71">
        <f t="shared" si="100"/>
        <v>0.14600606172006514</v>
      </c>
      <c r="L1002" s="74"/>
      <c r="M1002" s="74"/>
      <c r="N1002" s="74"/>
      <c r="O1002" s="74"/>
      <c r="P1002" s="74"/>
      <c r="Q1002" s="74"/>
      <c r="R1002" s="74"/>
      <c r="S1002" s="74"/>
      <c r="T1002" s="74"/>
      <c r="U1002" s="74"/>
      <c r="V1002" s="74"/>
      <c r="W1002" s="74"/>
      <c r="X1002" s="74"/>
      <c r="Y1002" s="74"/>
      <c r="Z1002" s="74"/>
    </row>
    <row r="1003" spans="1:26" x14ac:dyDescent="0.3">
      <c r="A1003" s="66">
        <f t="shared" si="98"/>
        <v>2089.5999999999094</v>
      </c>
      <c r="B1003" s="67">
        <f>LOOKUP(A1003+0.01,AmountsB!$A$4:$A$103,AmountsB!$B$4:$B$103)*0.1*$A$2</f>
        <v>0</v>
      </c>
      <c r="C1003" s="68">
        <f t="shared" si="97"/>
        <v>1538495.7946267016</v>
      </c>
      <c r="D1003" s="67">
        <f t="array" ref="D1003">SUM($B$7:$B998*$F$1009*EXP(-$F$1009*($A1003-$A$7:$A998)))*$F$1010</f>
        <v>26518299.739212729</v>
      </c>
      <c r="E1003" s="67">
        <f t="shared" si="95"/>
        <v>50.554797415693585</v>
      </c>
      <c r="F1003" s="70">
        <f t="shared" si="99"/>
        <v>3.0696872990809148</v>
      </c>
      <c r="G1003" s="67">
        <f>E1003/'Lookup Tables'!$C$48</f>
        <v>101.10959483138717</v>
      </c>
      <c r="H1003" s="70">
        <f t="shared" si="96"/>
        <v>1.7271156420766067E-2</v>
      </c>
      <c r="I1003" s="71">
        <f t="shared" si="100"/>
        <v>0.14559781655719753</v>
      </c>
      <c r="L1003" s="74"/>
      <c r="M1003" s="74"/>
      <c r="N1003" s="74"/>
      <c r="O1003" s="74"/>
      <c r="P1003" s="74"/>
      <c r="Q1003" s="74"/>
      <c r="R1003" s="74"/>
      <c r="S1003" s="74"/>
      <c r="T1003" s="74"/>
      <c r="U1003" s="74"/>
      <c r="V1003" s="74"/>
      <c r="W1003" s="74"/>
      <c r="X1003" s="74"/>
      <c r="Y1003" s="74"/>
      <c r="Z1003" s="74"/>
    </row>
    <row r="1004" spans="1:26" x14ac:dyDescent="0.3">
      <c r="A1004" s="66">
        <f t="shared" si="98"/>
        <v>2089.6999999999093</v>
      </c>
      <c r="B1004" s="67">
        <f>LOOKUP(A1004+0.01,AmountsB!$A$4:$A$103,AmountsB!$B$4:$B$103)*0.1*$A$2</f>
        <v>0</v>
      </c>
      <c r="C1004" s="68">
        <f t="shared" si="97"/>
        <v>1538495.7946267016</v>
      </c>
      <c r="D1004" s="67">
        <f t="array" ref="D1004">SUM($B$7:$B999*$F$1009*EXP(-$F$1009*($A1004-$A$7:$A999)))*$F$1010</f>
        <v>26444152.354724243</v>
      </c>
      <c r="E1004" s="67">
        <f t="shared" si="95"/>
        <v>50.4134419729019</v>
      </c>
      <c r="F1004" s="70">
        <f t="shared" si="99"/>
        <v>3.0611041965946035</v>
      </c>
      <c r="G1004" s="67">
        <f>E1004/'Lookup Tables'!$C$48</f>
        <v>100.8268839458038</v>
      </c>
      <c r="H1004" s="70">
        <f t="shared" si="96"/>
        <v>1.7222864822575939E-2</v>
      </c>
      <c r="I1004" s="71">
        <f t="shared" si="100"/>
        <v>0.14519071288195748</v>
      </c>
      <c r="L1004" s="74"/>
      <c r="M1004" s="74"/>
      <c r="N1004" s="74"/>
      <c r="O1004" s="74"/>
      <c r="P1004" s="74"/>
      <c r="Q1004" s="74"/>
      <c r="R1004" s="74"/>
      <c r="S1004" s="74"/>
      <c r="T1004" s="74"/>
      <c r="U1004" s="74"/>
      <c r="V1004" s="74"/>
      <c r="W1004" s="74"/>
      <c r="X1004" s="74"/>
      <c r="Y1004" s="74"/>
      <c r="Z1004" s="74"/>
    </row>
    <row r="1005" spans="1:26" x14ac:dyDescent="0.3">
      <c r="A1005" s="66">
        <f t="shared" si="98"/>
        <v>2089.7999999999092</v>
      </c>
      <c r="B1005" s="67">
        <f>LOOKUP(A1005+0.01,AmountsB!$A$4:$A$103,AmountsB!$B$4:$B$103)*0.1*$A$2</f>
        <v>0</v>
      </c>
      <c r="C1005" s="68">
        <f t="shared" si="97"/>
        <v>1538495.7946267016</v>
      </c>
      <c r="D1005" s="67">
        <f t="array" ref="D1005">SUM($B$7:$B1000*$F$1009*EXP(-$F$1009*($A1005-$A$7:$A1000)))*$F$1010</f>
        <v>26370212.29252566</v>
      </c>
      <c r="E1005" s="67">
        <f t="shared" si="95"/>
        <v>50.272481771753498</v>
      </c>
      <c r="F1005" s="70">
        <f t="shared" si="99"/>
        <v>3.0525450931808726</v>
      </c>
      <c r="G1005" s="67">
        <f>E1005/'Lookup Tables'!$C$48</f>
        <v>100.544963543507</v>
      </c>
      <c r="H1005" s="70">
        <f t="shared" si="96"/>
        <v>1.7174708251734241E-2</v>
      </c>
      <c r="I1005" s="71">
        <f t="shared" si="100"/>
        <v>0.14478474750265008</v>
      </c>
      <c r="L1005" s="74"/>
      <c r="M1005" s="74"/>
      <c r="N1005" s="74"/>
      <c r="O1005" s="74"/>
      <c r="P1005" s="74"/>
      <c r="Q1005" s="74"/>
      <c r="R1005" s="74"/>
      <c r="S1005" s="74"/>
      <c r="T1005" s="74"/>
      <c r="U1005" s="74"/>
      <c r="V1005" s="74"/>
      <c r="W1005" s="74"/>
      <c r="X1005" s="74"/>
      <c r="Y1005" s="74"/>
      <c r="Z1005" s="74"/>
    </row>
    <row r="1006" spans="1:26" x14ac:dyDescent="0.3">
      <c r="A1006" s="66">
        <f t="shared" si="98"/>
        <v>2089.8999999999091</v>
      </c>
      <c r="B1006" s="67">
        <f>LOOKUP(A1006+0.01,AmountsB!$A$4:$A$103,AmountsB!$B$4:$B$103)*0.1*$A$2</f>
        <v>0</v>
      </c>
      <c r="C1006" s="68">
        <f t="shared" si="97"/>
        <v>1538495.7946267016</v>
      </c>
      <c r="D1006" s="67">
        <f t="array" ref="D1006">SUM($B$7:$B1001*$F$1009*EXP(-$F$1009*($A1006-$A$7:$A1001)))*$F$1010</f>
        <v>26296478.972926524</v>
      </c>
      <c r="E1006" s="67">
        <f t="shared" si="95"/>
        <v>50.131915707119681</v>
      </c>
      <c r="F1006" s="70">
        <f t="shared" si="99"/>
        <v>3.0440099217363068</v>
      </c>
      <c r="G1006" s="67">
        <f>E1006/'Lookup Tables'!$C$48</f>
        <v>100.26383141423936</v>
      </c>
      <c r="H1006" s="70">
        <f t="shared" si="96"/>
        <v>1.7126686330693201E-2</v>
      </c>
      <c r="I1006" s="71">
        <f t="shared" si="100"/>
        <v>0.14437991723650467</v>
      </c>
      <c r="L1006" s="74"/>
      <c r="M1006" s="74"/>
      <c r="N1006" s="74"/>
      <c r="O1006" s="74"/>
      <c r="P1006" s="74"/>
      <c r="Q1006" s="74"/>
      <c r="R1006" s="74"/>
      <c r="S1006" s="74"/>
      <c r="T1006" s="74"/>
      <c r="U1006" s="74"/>
      <c r="V1006" s="74"/>
      <c r="W1006" s="74"/>
      <c r="X1006" s="74"/>
      <c r="Y1006" s="74"/>
      <c r="Z1006" s="74"/>
    </row>
    <row r="1007" spans="1:26" x14ac:dyDescent="0.3">
      <c r="A1007" s="66">
        <f>A1006+0.1</f>
        <v>2089.9999999999091</v>
      </c>
      <c r="B1007" s="67">
        <f>LOOKUP(A1007+0.01,AmountsB!$A$4:$A$103,AmountsB!$B$4:$B$103)*0.1*$A$2</f>
        <v>0</v>
      </c>
      <c r="C1007" s="68">
        <f>C1006+B1007</f>
        <v>1538495.7946267016</v>
      </c>
      <c r="D1007" s="67">
        <f t="array" ref="D1007">SUM($B$7:$B1002*$F$1009*EXP(-$F$1009*($A1007-$A$7:$A1002)))*$F$1010</f>
        <v>26222951.817857228</v>
      </c>
      <c r="E1007" s="67">
        <f t="shared" si="95"/>
        <v>49.991742676961799</v>
      </c>
      <c r="F1007" s="70">
        <f t="shared" si="99"/>
        <v>3.0354986153451202</v>
      </c>
      <c r="G1007" s="67">
        <f>E1007/'Lookup Tables'!$C$48</f>
        <v>99.983485353923598</v>
      </c>
      <c r="H1007" s="70">
        <f t="shared" si="96"/>
        <v>1.7078798682960718E-2</v>
      </c>
      <c r="I1007" s="71">
        <f>G1007*60*24/1000000</f>
        <v>0.14397621890964996</v>
      </c>
      <c r="L1007" s="74"/>
      <c r="M1007" s="74"/>
      <c r="N1007" s="74"/>
      <c r="O1007" s="74"/>
      <c r="P1007" s="74"/>
      <c r="Q1007" s="74"/>
      <c r="R1007" s="74"/>
      <c r="S1007" s="74"/>
      <c r="T1007" s="74"/>
      <c r="U1007" s="74"/>
      <c r="V1007" s="74"/>
      <c r="W1007" s="74"/>
      <c r="X1007" s="74"/>
      <c r="Y1007" s="74"/>
      <c r="Z1007" s="74"/>
    </row>
    <row r="1008" spans="1:26" x14ac:dyDescent="0.3">
      <c r="A1008" s="65" t="s">
        <v>11</v>
      </c>
      <c r="E1008" s="78"/>
      <c r="F1008" s="79">
        <f>'Lookup Tables'!C48</f>
        <v>0.5</v>
      </c>
    </row>
    <row r="1009" spans="1:10" x14ac:dyDescent="0.3">
      <c r="A1009" s="65" t="s">
        <v>36</v>
      </c>
      <c r="E1009" s="78"/>
      <c r="F1009" s="86">
        <f>'Lookup Tables'!F38</f>
        <v>2.8000000000000001E-2</v>
      </c>
    </row>
    <row r="1010" spans="1:10" x14ac:dyDescent="0.3">
      <c r="A1010" s="65" t="s">
        <v>35</v>
      </c>
      <c r="E1010" s="78"/>
      <c r="F1010" s="81">
        <f>'Lookup Tables'!H38/F1011</f>
        <v>5824.9199445720424</v>
      </c>
      <c r="G1010" s="65" t="s">
        <v>12</v>
      </c>
    </row>
    <row r="1011" spans="1:10" x14ac:dyDescent="0.3">
      <c r="F1011" s="82">
        <v>3.1213999999999999E-2</v>
      </c>
      <c r="G1011" s="35" t="s">
        <v>13</v>
      </c>
    </row>
    <row r="1014" spans="1:10" x14ac:dyDescent="0.3">
      <c r="E1014" s="83"/>
      <c r="H1014" s="84"/>
      <c r="I1014" s="84"/>
      <c r="J1014" s="84"/>
    </row>
    <row r="1015" spans="1:10" x14ac:dyDescent="0.3">
      <c r="E1015" s="83"/>
      <c r="H1015" s="84"/>
      <c r="I1015" s="84"/>
      <c r="J1015" s="84"/>
    </row>
  </sheetData>
  <sheetProtection password="8BBD" sheet="1" objects="1" scenarios="1"/>
  <mergeCells count="1">
    <mergeCell ref="D4:F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11"/>
  <sheetViews>
    <sheetView showGridLines="0" zoomScale="85" zoomScaleNormal="100" zoomScaleSheetLayoutView="100" workbookViewId="0">
      <pane xSplit="1" ySplit="5" topLeftCell="B6" activePane="bottomRight" state="frozen"/>
      <selection pane="topRight" activeCell="B1" sqref="B1"/>
      <selection pane="bottomLeft" activeCell="A6" sqref="A6"/>
      <selection pane="bottomRight" activeCell="D30" sqref="D30"/>
    </sheetView>
  </sheetViews>
  <sheetFormatPr defaultColWidth="9" defaultRowHeight="13.5" x14ac:dyDescent="0.3"/>
  <cols>
    <col min="1" max="1" width="7.58203125" style="5" customWidth="1"/>
    <col min="2" max="2" width="12.08203125" style="5" customWidth="1"/>
    <col min="3" max="3" width="12.83203125" style="5" customWidth="1"/>
    <col min="4" max="4" width="11.33203125" style="3" customWidth="1"/>
    <col min="5" max="7" width="13.08203125" style="3" customWidth="1"/>
    <col min="8" max="8" width="2.08203125" style="3" customWidth="1"/>
    <col min="9" max="9" width="38.75" style="3" customWidth="1"/>
    <col min="10" max="10" width="11.83203125" style="3" customWidth="1"/>
    <col min="11" max="11" width="9.83203125" style="3" customWidth="1"/>
    <col min="12" max="19" width="9" style="3"/>
    <col min="20" max="16384" width="9" style="2"/>
  </cols>
  <sheetData>
    <row r="1" spans="1:19" s="3" customFormat="1" ht="21.75" customHeight="1" x14ac:dyDescent="0.3">
      <c r="A1" s="397" t="str">
        <f>Inputs!A1</f>
        <v>Central and Eastern Europe Landfill Gas Model v.1</v>
      </c>
      <c r="B1" s="397"/>
      <c r="C1" s="397"/>
      <c r="D1" s="397"/>
      <c r="E1" s="397"/>
      <c r="F1" s="397"/>
      <c r="G1" s="397"/>
      <c r="H1" s="6"/>
      <c r="I1" s="6"/>
      <c r="J1" s="6"/>
    </row>
    <row r="2" spans="1:19" s="3" customFormat="1" ht="20.25" customHeight="1" x14ac:dyDescent="0.3">
      <c r="A2" s="397" t="str">
        <f>Inputs!A2</f>
        <v>Release Date: December 2014</v>
      </c>
      <c r="B2" s="397"/>
      <c r="C2" s="397"/>
      <c r="D2" s="397"/>
      <c r="E2" s="397"/>
      <c r="F2" s="397"/>
      <c r="G2" s="397"/>
      <c r="H2" s="6"/>
      <c r="I2" s="6"/>
      <c r="J2" s="6"/>
      <c r="K2" s="102"/>
      <c r="L2" s="102"/>
    </row>
    <row r="3" spans="1:19" s="3" customFormat="1" ht="20.25" customHeight="1" x14ac:dyDescent="0.3">
      <c r="A3" s="5"/>
      <c r="B3" s="5"/>
      <c r="C3" s="131" t="s">
        <v>144</v>
      </c>
      <c r="E3" s="1"/>
      <c r="F3" s="1"/>
      <c r="H3" s="1"/>
      <c r="I3" s="1"/>
      <c r="J3" s="6"/>
    </row>
    <row r="4" spans="1:19" ht="18.75" customHeight="1" x14ac:dyDescent="0.3">
      <c r="A4" s="395" t="s">
        <v>123</v>
      </c>
      <c r="B4" s="396"/>
      <c r="C4" s="396"/>
      <c r="D4" s="396"/>
      <c r="E4" s="396"/>
      <c r="F4" s="396"/>
      <c r="G4" s="396"/>
      <c r="H4" s="11"/>
      <c r="I4" s="88" t="s">
        <v>82</v>
      </c>
      <c r="J4" s="89"/>
      <c r="K4" s="90"/>
      <c r="L4" s="87"/>
      <c r="M4" s="87"/>
      <c r="N4" s="87"/>
      <c r="O4" s="87"/>
      <c r="P4" s="87"/>
      <c r="Q4" s="87"/>
      <c r="R4" s="87"/>
    </row>
    <row r="5" spans="1:19" ht="70.5" customHeight="1" x14ac:dyDescent="0.35">
      <c r="A5" s="125" t="s">
        <v>0</v>
      </c>
      <c r="B5" s="126" t="s">
        <v>128</v>
      </c>
      <c r="C5" s="126" t="s">
        <v>41</v>
      </c>
      <c r="D5" s="126" t="s">
        <v>83</v>
      </c>
      <c r="E5" s="126" t="s">
        <v>102</v>
      </c>
      <c r="F5" s="126" t="s">
        <v>138</v>
      </c>
      <c r="G5" s="126" t="s">
        <v>103</v>
      </c>
      <c r="H5" s="13"/>
      <c r="I5" s="398" t="s">
        <v>136</v>
      </c>
      <c r="J5" s="390"/>
      <c r="K5" s="390"/>
      <c r="L5" s="390"/>
      <c r="M5" s="390"/>
      <c r="N5" s="390"/>
      <c r="O5" s="390"/>
      <c r="P5" s="390"/>
      <c r="Q5" s="390"/>
      <c r="R5" s="390"/>
      <c r="S5" s="14"/>
    </row>
    <row r="6" spans="1:19" ht="15.5" x14ac:dyDescent="0.35">
      <c r="A6" s="106">
        <f>Inputs!C12</f>
        <v>1990</v>
      </c>
      <c r="B6" s="107">
        <f>IF(Inputs!$C$15="Yes",ROUND((Inputs!$C$19-Inputs!$C$13)/(Inputs!$C$14-Inputs!$C$12)/(1+Inputs!$C$21)^((Inputs!$C$14-Inputs!$C$12-1)/2),-1),ROUND(Inputs!$C$13/(1+Inputs!$C$21)^(Inputs!$C$14-Inputs!$C$12+0.5),-1))</f>
        <v>278750</v>
      </c>
      <c r="C6" s="108">
        <f>B6</f>
        <v>278750</v>
      </c>
      <c r="D6" s="109">
        <f>IF(A6&gt;=Inputs!$C$27,'Disposal &amp; LFG Recovery'!$J$22,0)</f>
        <v>0</v>
      </c>
      <c r="E6" s="107"/>
      <c r="F6" s="130">
        <f>'Output-Table'!H13</f>
        <v>0</v>
      </c>
      <c r="G6" s="107">
        <v>0</v>
      </c>
      <c r="H6" s="4"/>
      <c r="I6" s="394" t="s">
        <v>125</v>
      </c>
      <c r="J6" s="390"/>
      <c r="K6" s="390"/>
      <c r="L6" s="390"/>
      <c r="M6" s="390"/>
      <c r="N6" s="390"/>
      <c r="O6" s="390"/>
      <c r="P6" s="390"/>
      <c r="Q6" s="390"/>
      <c r="R6" s="390"/>
      <c r="S6" s="15"/>
    </row>
    <row r="7" spans="1:19" ht="15.75" customHeight="1" x14ac:dyDescent="0.35">
      <c r="A7" s="110">
        <f t="shared" ref="A7:A38" si="0">A6+1</f>
        <v>1991</v>
      </c>
      <c r="B7" s="107">
        <f>IF(A7&gt;Inputs!$C$20,0,IF(A7=Inputs!$C$14,Inputs!$C$13,ROUND(B6*(1+Inputs!$C$21),-1)))</f>
        <v>284330</v>
      </c>
      <c r="C7" s="112">
        <f t="shared" ref="C7:C38" si="1">C6+B7</f>
        <v>563080</v>
      </c>
      <c r="D7" s="113">
        <f>IF(A7&gt;=Inputs!$C$27,'Disposal &amp; LFG Recovery'!$J$22,0)</f>
        <v>0</v>
      </c>
      <c r="E7" s="111"/>
      <c r="F7" s="130">
        <f>'Output-Table'!H14</f>
        <v>0</v>
      </c>
      <c r="G7" s="107">
        <f>G6</f>
        <v>0</v>
      </c>
      <c r="H7" s="4"/>
      <c r="I7" s="390"/>
      <c r="J7" s="390"/>
      <c r="K7" s="390"/>
      <c r="L7" s="390"/>
      <c r="M7" s="390"/>
      <c r="N7" s="390"/>
      <c r="O7" s="390"/>
      <c r="P7" s="390"/>
      <c r="Q7" s="390"/>
      <c r="R7" s="390"/>
      <c r="S7" s="15"/>
    </row>
    <row r="8" spans="1:19" ht="15.5" x14ac:dyDescent="0.35">
      <c r="A8" s="110">
        <f t="shared" si="0"/>
        <v>1992</v>
      </c>
      <c r="B8" s="107">
        <f>IF(A8&gt;Inputs!$C$20,0,IF(A8=Inputs!$C$14,Inputs!$C$13,ROUND(B7*(1+Inputs!$C$21),-1)))</f>
        <v>290020</v>
      </c>
      <c r="C8" s="112">
        <f t="shared" si="1"/>
        <v>853100</v>
      </c>
      <c r="D8" s="113">
        <f>IF(A8&gt;=Inputs!$C$27,'Disposal &amp; LFG Recovery'!$J$22,0)</f>
        <v>0</v>
      </c>
      <c r="E8" s="111"/>
      <c r="F8" s="130">
        <f>'Output-Table'!H15</f>
        <v>0</v>
      </c>
      <c r="G8" s="107">
        <f t="shared" ref="G8:G71" si="2">G7</f>
        <v>0</v>
      </c>
      <c r="H8" s="4"/>
      <c r="I8" s="399"/>
      <c r="J8" s="400"/>
      <c r="K8" s="400"/>
      <c r="L8" s="400"/>
      <c r="M8" s="400"/>
      <c r="N8" s="400"/>
      <c r="O8" s="400"/>
      <c r="P8" s="400"/>
      <c r="Q8" s="400"/>
      <c r="R8" s="400"/>
      <c r="S8" s="16"/>
    </row>
    <row r="9" spans="1:19" ht="15.5" x14ac:dyDescent="0.35">
      <c r="A9" s="110">
        <f t="shared" si="0"/>
        <v>1993</v>
      </c>
      <c r="B9" s="107">
        <f>IF(A9&gt;Inputs!$C$20,0,IF(A9=Inputs!$C$14,Inputs!$C$13,ROUND(B8*(1+Inputs!$C$21),-1)))</f>
        <v>295820</v>
      </c>
      <c r="C9" s="112">
        <f t="shared" si="1"/>
        <v>1148920</v>
      </c>
      <c r="D9" s="113">
        <f>IF(A9&gt;=Inputs!$C$27,'Disposal &amp; LFG Recovery'!$J$22,0)</f>
        <v>0</v>
      </c>
      <c r="E9" s="111"/>
      <c r="F9" s="130">
        <f>'Output-Table'!H16</f>
        <v>0</v>
      </c>
      <c r="G9" s="107">
        <f t="shared" si="2"/>
        <v>0</v>
      </c>
      <c r="H9" s="4"/>
      <c r="I9" s="399" t="s">
        <v>197</v>
      </c>
      <c r="J9" s="401"/>
      <c r="K9" s="401"/>
      <c r="L9" s="401"/>
      <c r="M9" s="401"/>
      <c r="N9" s="401"/>
      <c r="O9" s="401"/>
      <c r="P9" s="401"/>
      <c r="Q9" s="401"/>
      <c r="R9" s="401"/>
      <c r="S9" s="17"/>
    </row>
    <row r="10" spans="1:19" x14ac:dyDescent="0.3">
      <c r="A10" s="110">
        <f t="shared" si="0"/>
        <v>1994</v>
      </c>
      <c r="B10" s="107">
        <f>IF(A10&gt;Inputs!$C$20,0,IF(A10=Inputs!$C$14,Inputs!$C$13,ROUND(B9*(1+Inputs!$C$21),-1)))</f>
        <v>301740</v>
      </c>
      <c r="C10" s="112">
        <f t="shared" si="1"/>
        <v>1450660</v>
      </c>
      <c r="D10" s="113">
        <f>IF(A10&gt;=Inputs!$C$27,'Disposal &amp; LFG Recovery'!$J$22,0)</f>
        <v>0</v>
      </c>
      <c r="E10" s="111"/>
      <c r="F10" s="130">
        <f>'Output-Table'!H17</f>
        <v>0</v>
      </c>
      <c r="G10" s="107">
        <f t="shared" si="2"/>
        <v>0</v>
      </c>
      <c r="H10" s="4"/>
      <c r="I10" s="91"/>
      <c r="J10" s="92"/>
      <c r="K10" s="93"/>
      <c r="L10" s="94"/>
      <c r="M10" s="94"/>
      <c r="N10" s="94"/>
      <c r="O10" s="94"/>
      <c r="P10" s="94"/>
      <c r="Q10" s="94"/>
      <c r="R10" s="94"/>
      <c r="S10" s="16"/>
    </row>
    <row r="11" spans="1:19" x14ac:dyDescent="0.3">
      <c r="A11" s="110">
        <f t="shared" si="0"/>
        <v>1995</v>
      </c>
      <c r="B11" s="107">
        <f>IF(A11&gt;Inputs!$C$20,0,IF(A11=Inputs!$C$14,Inputs!$C$13,ROUND(B10*(1+Inputs!$C$21),-1)))</f>
        <v>307770</v>
      </c>
      <c r="C11" s="112">
        <f t="shared" si="1"/>
        <v>1758430</v>
      </c>
      <c r="D11" s="113">
        <f>IF(A11&gt;=Inputs!$C$27,'Disposal &amp; LFG Recovery'!$J$22,0)</f>
        <v>0</v>
      </c>
      <c r="E11" s="111"/>
      <c r="F11" s="130">
        <f>'Output-Table'!H18</f>
        <v>0</v>
      </c>
      <c r="G11" s="107">
        <f t="shared" si="2"/>
        <v>0</v>
      </c>
      <c r="H11" s="4"/>
      <c r="I11" s="95"/>
      <c r="J11" s="391" t="s">
        <v>121</v>
      </c>
      <c r="K11" s="87"/>
      <c r="L11" s="87"/>
      <c r="M11" s="87"/>
      <c r="N11" s="87"/>
      <c r="O11" s="87"/>
      <c r="P11" s="87"/>
      <c r="Q11" s="87"/>
      <c r="R11" s="87"/>
      <c r="S11" s="18"/>
    </row>
    <row r="12" spans="1:19" ht="12.75" customHeight="1" x14ac:dyDescent="0.3">
      <c r="A12" s="110">
        <f t="shared" si="0"/>
        <v>1996</v>
      </c>
      <c r="B12" s="107">
        <f>IF(A12&gt;Inputs!$C$20,0,IF(A12=Inputs!$C$14,Inputs!$C$13,ROUND(B11*(1+Inputs!$C$21),-1)))</f>
        <v>313930</v>
      </c>
      <c r="C12" s="112">
        <f t="shared" si="1"/>
        <v>2072360</v>
      </c>
      <c r="D12" s="113">
        <f>IF(A12&gt;=Inputs!$C$27,'Disposal &amp; LFG Recovery'!$J$22,0)</f>
        <v>0</v>
      </c>
      <c r="E12" s="111"/>
      <c r="F12" s="130">
        <f>'Output-Table'!H19</f>
        <v>0</v>
      </c>
      <c r="G12" s="107">
        <f t="shared" si="2"/>
        <v>0</v>
      </c>
      <c r="H12" s="4"/>
      <c r="I12" s="97"/>
      <c r="J12" s="392"/>
      <c r="K12" s="91"/>
      <c r="L12" s="96"/>
      <c r="M12" s="96"/>
      <c r="N12" s="96"/>
      <c r="O12" s="96"/>
      <c r="P12" s="96"/>
      <c r="Q12" s="96"/>
      <c r="R12" s="96"/>
      <c r="S12" s="16"/>
    </row>
    <row r="13" spans="1:19" ht="12.75" customHeight="1" x14ac:dyDescent="0.3">
      <c r="A13" s="110">
        <f t="shared" si="0"/>
        <v>1997</v>
      </c>
      <c r="B13" s="107">
        <f>IF(A13&gt;Inputs!$C$20,0,IF(A13=Inputs!$C$14,Inputs!$C$13,ROUND(B12*(1+Inputs!$C$21),-1)))</f>
        <v>320210</v>
      </c>
      <c r="C13" s="112">
        <f t="shared" si="1"/>
        <v>2392570</v>
      </c>
      <c r="D13" s="113">
        <f>IF(A13&gt;=Inputs!$C$27,'Disposal &amp; LFG Recovery'!$J$22,0)</f>
        <v>0</v>
      </c>
      <c r="E13" s="111"/>
      <c r="F13" s="130">
        <f>'Output-Table'!H20</f>
        <v>0</v>
      </c>
      <c r="G13" s="107">
        <f t="shared" si="2"/>
        <v>0</v>
      </c>
      <c r="H13" s="4"/>
      <c r="I13" s="98"/>
      <c r="J13" s="393"/>
      <c r="K13" s="94"/>
      <c r="L13" s="94"/>
      <c r="M13" s="94"/>
      <c r="N13" s="94"/>
      <c r="O13" s="94"/>
      <c r="P13" s="94"/>
      <c r="Q13" s="94"/>
      <c r="R13" s="94"/>
    </row>
    <row r="14" spans="1:19" ht="12.75" customHeight="1" x14ac:dyDescent="0.3">
      <c r="A14" s="110">
        <f t="shared" si="0"/>
        <v>1998</v>
      </c>
      <c r="B14" s="107">
        <f>IF(A14&gt;Inputs!$C$20,0,IF(A14=Inputs!$C$14,Inputs!$C$13,ROUND(B13*(1+Inputs!$C$21),-1)))</f>
        <v>326610</v>
      </c>
      <c r="C14" s="112">
        <f t="shared" si="1"/>
        <v>2719180</v>
      </c>
      <c r="D14" s="113">
        <f>IF(A14&gt;=Inputs!$C$27,'Disposal &amp; LFG Recovery'!$J$22,0)</f>
        <v>0</v>
      </c>
      <c r="E14" s="111"/>
      <c r="F14" s="130">
        <f>'Output-Table'!H21</f>
        <v>0</v>
      </c>
      <c r="G14" s="107">
        <f t="shared" si="2"/>
        <v>0</v>
      </c>
      <c r="H14" s="4"/>
      <c r="I14" s="99" t="s">
        <v>151</v>
      </c>
      <c r="J14" s="12">
        <f>IF(Inputs!$C$23=3,1,IF(Inputs!$C$23=2,0.95,0.85))</f>
        <v>1</v>
      </c>
      <c r="K14" s="87" t="s">
        <v>346</v>
      </c>
      <c r="L14" s="87"/>
      <c r="M14" s="87"/>
      <c r="N14" s="87"/>
      <c r="O14" s="87"/>
      <c r="P14" s="87"/>
      <c r="Q14" s="87"/>
      <c r="R14" s="87"/>
    </row>
    <row r="15" spans="1:19" x14ac:dyDescent="0.3">
      <c r="A15" s="110">
        <f t="shared" si="0"/>
        <v>1999</v>
      </c>
      <c r="B15" s="107">
        <f>IF(A15&gt;Inputs!$C$20,0,IF(A15=Inputs!$C$14,Inputs!$C$13,ROUND(B14*(1+Inputs!$C$21),-1)))</f>
        <v>333140</v>
      </c>
      <c r="C15" s="112">
        <f t="shared" si="1"/>
        <v>3052320</v>
      </c>
      <c r="D15" s="113">
        <f>IF(A15&gt;=Inputs!$C$27,'Disposal &amp; LFG Recovery'!$J$22,0)</f>
        <v>0</v>
      </c>
      <c r="E15" s="111"/>
      <c r="F15" s="130">
        <f>'Output-Table'!H22</f>
        <v>0</v>
      </c>
      <c r="G15" s="107">
        <f t="shared" si="2"/>
        <v>0</v>
      </c>
      <c r="H15" s="4"/>
      <c r="I15" s="99" t="s">
        <v>87</v>
      </c>
      <c r="J15" s="12">
        <f>IF(Inputs!C22&gt;=10,$J$14,$J$14-((10-Inputs!C22)*0.05))</f>
        <v>1</v>
      </c>
      <c r="K15" s="87" t="s">
        <v>129</v>
      </c>
      <c r="L15" s="87"/>
      <c r="M15" s="87"/>
      <c r="N15" s="87"/>
      <c r="O15" s="87"/>
      <c r="P15" s="87"/>
      <c r="Q15" s="87"/>
      <c r="R15" s="87"/>
    </row>
    <row r="16" spans="1:19" x14ac:dyDescent="0.3">
      <c r="A16" s="110">
        <f t="shared" si="0"/>
        <v>2000</v>
      </c>
      <c r="B16" s="107">
        <f>IF(A16&gt;Inputs!$C$20,0,IF(A16=Inputs!$C$14,Inputs!$C$13,ROUND(B15*(1+Inputs!$C$21),-1)))</f>
        <v>339800</v>
      </c>
      <c r="C16" s="112">
        <f t="shared" si="1"/>
        <v>3392120</v>
      </c>
      <c r="D16" s="113">
        <f>IF(A16&gt;=Inputs!$C$27,'Disposal &amp; LFG Recovery'!$J$22,0)</f>
        <v>0</v>
      </c>
      <c r="E16" s="111"/>
      <c r="F16" s="130">
        <f>'Output-Table'!H23</f>
        <v>0</v>
      </c>
      <c r="G16" s="107">
        <f t="shared" si="2"/>
        <v>0</v>
      </c>
      <c r="H16" s="4"/>
      <c r="I16" s="99" t="s">
        <v>78</v>
      </c>
      <c r="J16" s="12">
        <f>J15*Inputs!C28</f>
        <v>0.6</v>
      </c>
      <c r="K16" s="87" t="s">
        <v>81</v>
      </c>
      <c r="L16" s="87"/>
      <c r="M16" s="87"/>
      <c r="N16" s="87"/>
      <c r="O16" s="87"/>
      <c r="P16" s="87"/>
      <c r="Q16" s="87"/>
      <c r="R16" s="87"/>
    </row>
    <row r="17" spans="1:18" s="2" customFormat="1" x14ac:dyDescent="0.3">
      <c r="A17" s="110">
        <f t="shared" si="0"/>
        <v>2001</v>
      </c>
      <c r="B17" s="107">
        <f>IF(A17&gt;Inputs!$C$20,0,IF(A17=Inputs!$C$14,Inputs!$C$13,ROUND(B16*(1+Inputs!$C$21),-1)))</f>
        <v>346600</v>
      </c>
      <c r="C17" s="112">
        <f t="shared" si="1"/>
        <v>3738720</v>
      </c>
      <c r="D17" s="113">
        <f>IF(A17&gt;=Inputs!$C$27,'Disposal &amp; LFG Recovery'!$J$22,0)</f>
        <v>0</v>
      </c>
      <c r="E17" s="111"/>
      <c r="F17" s="130">
        <f>'Output-Table'!H24</f>
        <v>0</v>
      </c>
      <c r="G17" s="107">
        <f t="shared" si="2"/>
        <v>0</v>
      </c>
      <c r="H17" s="4"/>
      <c r="I17" s="99" t="s">
        <v>155</v>
      </c>
      <c r="J17" s="12">
        <f>J16*(Inputs!C29*0.9+Inputs!C30*0.8+Inputs!C31*0.75+Inputs!C32*0.5)</f>
        <v>0.47700000000000009</v>
      </c>
      <c r="K17" s="87" t="s">
        <v>80</v>
      </c>
      <c r="L17" s="87"/>
      <c r="M17" s="87"/>
      <c r="N17" s="87"/>
      <c r="O17" s="87"/>
      <c r="P17" s="87"/>
      <c r="Q17" s="87"/>
      <c r="R17" s="87"/>
    </row>
    <row r="18" spans="1:18" s="2" customFormat="1" x14ac:dyDescent="0.3">
      <c r="A18" s="110">
        <f t="shared" si="0"/>
        <v>2002</v>
      </c>
      <c r="B18" s="107">
        <f>IF(A18&gt;Inputs!$C$20,0,IF(A18=Inputs!$C$14,Inputs!$C$13,ROUND(B17*(1+Inputs!$C$21),-1)))</f>
        <v>353530</v>
      </c>
      <c r="C18" s="112">
        <f t="shared" si="1"/>
        <v>4092250</v>
      </c>
      <c r="D18" s="113">
        <f>IF(A18&gt;=Inputs!$C$27,'Disposal &amp; LFG Recovery'!$J$22,0)</f>
        <v>0</v>
      </c>
      <c r="E18" s="111"/>
      <c r="F18" s="130">
        <f>'Output-Table'!H25</f>
        <v>0</v>
      </c>
      <c r="G18" s="107">
        <f t="shared" si="2"/>
        <v>0</v>
      </c>
      <c r="H18" s="4"/>
      <c r="I18" s="99" t="s">
        <v>79</v>
      </c>
      <c r="J18" s="12">
        <f>J17*(1-(1-Inputs!C33)*0.05)</f>
        <v>0.45315000000000005</v>
      </c>
      <c r="K18" s="87" t="s">
        <v>90</v>
      </c>
      <c r="L18" s="87"/>
      <c r="M18" s="87"/>
      <c r="N18" s="87"/>
      <c r="O18" s="87"/>
      <c r="P18" s="87"/>
      <c r="Q18" s="87"/>
      <c r="R18" s="87"/>
    </row>
    <row r="19" spans="1:18" s="2" customFormat="1" x14ac:dyDescent="0.3">
      <c r="A19" s="110">
        <f t="shared" si="0"/>
        <v>2003</v>
      </c>
      <c r="B19" s="107">
        <f>IF(A19&gt;Inputs!$C$20,0,IF(A19=Inputs!$C$14,Inputs!$C$13,ROUND(B18*(1+Inputs!$C$21),-1)))</f>
        <v>360600</v>
      </c>
      <c r="C19" s="112">
        <f t="shared" si="1"/>
        <v>4452850</v>
      </c>
      <c r="D19" s="113">
        <f>IF(A19&gt;=Inputs!$C$27,'Disposal &amp; LFG Recovery'!$J$22,0)</f>
        <v>0</v>
      </c>
      <c r="E19" s="111"/>
      <c r="F19" s="130">
        <f>'Output-Table'!H26</f>
        <v>0</v>
      </c>
      <c r="G19" s="107">
        <f t="shared" si="2"/>
        <v>0</v>
      </c>
      <c r="H19" s="4"/>
      <c r="I19" s="99" t="s">
        <v>88</v>
      </c>
      <c r="J19" s="12">
        <f>IF(Inputs!C34="No",'Disposal &amp; LFG Recovery'!J18*0.97,'Disposal &amp; LFG Recovery'!J18)</f>
        <v>0.45315000000000005</v>
      </c>
      <c r="K19" s="87" t="s">
        <v>89</v>
      </c>
      <c r="L19" s="87"/>
      <c r="M19" s="87"/>
      <c r="N19" s="87"/>
      <c r="O19" s="87"/>
      <c r="P19" s="87"/>
      <c r="Q19" s="87"/>
      <c r="R19" s="87"/>
    </row>
    <row r="20" spans="1:18" s="2" customFormat="1" x14ac:dyDescent="0.3">
      <c r="A20" s="110">
        <f t="shared" si="0"/>
        <v>2004</v>
      </c>
      <c r="B20" s="107">
        <f>IF(A20&gt;Inputs!$C$20,0,IF(A20=Inputs!$C$14,Inputs!$C$13,ROUND(B19*(1+Inputs!$C$21),-1)))</f>
        <v>367810</v>
      </c>
      <c r="C20" s="112">
        <f t="shared" si="1"/>
        <v>4820660</v>
      </c>
      <c r="D20" s="113">
        <f>IF(A20&gt;=Inputs!$C$27,'Disposal &amp; LFG Recovery'!$J$22,0)</f>
        <v>0</v>
      </c>
      <c r="E20" s="111"/>
      <c r="F20" s="130">
        <f>'Output-Table'!H27</f>
        <v>0</v>
      </c>
      <c r="G20" s="107">
        <f t="shared" si="2"/>
        <v>0</v>
      </c>
      <c r="H20" s="4"/>
      <c r="I20" s="99" t="s">
        <v>345</v>
      </c>
      <c r="J20" s="12">
        <f>IF(Inputs!C35="No",'Disposal &amp; LFG Recovery'!J19*0.97,'Disposal &amp; LFG Recovery'!J19)</f>
        <v>0.45315000000000005</v>
      </c>
      <c r="K20" s="87" t="s">
        <v>347</v>
      </c>
      <c r="L20" s="87"/>
      <c r="M20" s="87"/>
      <c r="N20" s="87"/>
      <c r="O20" s="87"/>
      <c r="P20" s="87"/>
      <c r="Q20" s="87"/>
      <c r="R20" s="87"/>
    </row>
    <row r="21" spans="1:18" s="2" customFormat="1" x14ac:dyDescent="0.3">
      <c r="A21" s="110">
        <f t="shared" si="0"/>
        <v>2005</v>
      </c>
      <c r="B21" s="107">
        <f>IF(A21&gt;Inputs!$C$20,0,IF(A21=Inputs!$C$14,Inputs!$C$13,ROUND(B20*(1+Inputs!$C$21),-1)))</f>
        <v>375170</v>
      </c>
      <c r="C21" s="112">
        <f t="shared" si="1"/>
        <v>5195830</v>
      </c>
      <c r="D21" s="113">
        <f>IF(A21&gt;=Inputs!$C$27,'Disposal &amp; LFG Recovery'!$J$22,0)</f>
        <v>0</v>
      </c>
      <c r="E21" s="111"/>
      <c r="F21" s="130">
        <f>'Output-Table'!H28</f>
        <v>0</v>
      </c>
      <c r="G21" s="107">
        <f t="shared" si="2"/>
        <v>0</v>
      </c>
      <c r="H21" s="4"/>
      <c r="I21" s="99" t="s">
        <v>95</v>
      </c>
      <c r="J21" s="129">
        <f>IF(Inputs!$C$36="No",J20,J20*(1-'Lookup Tables'!C51))</f>
        <v>0.39424050000000005</v>
      </c>
      <c r="K21" s="87" t="s">
        <v>348</v>
      </c>
      <c r="L21" s="87"/>
      <c r="M21" s="87"/>
      <c r="N21" s="87"/>
      <c r="O21" s="87"/>
      <c r="P21" s="87"/>
      <c r="Q21" s="87"/>
      <c r="R21" s="87"/>
    </row>
    <row r="22" spans="1:18" s="2" customFormat="1" x14ac:dyDescent="0.3">
      <c r="A22" s="110">
        <f t="shared" si="0"/>
        <v>2006</v>
      </c>
      <c r="B22" s="107">
        <f>IF(A22&gt;Inputs!$C$20,0,IF(A22=Inputs!$C$14,Inputs!$C$13,ROUND(B21*(1+Inputs!$C$21),-1)))</f>
        <v>382670</v>
      </c>
      <c r="C22" s="112">
        <f t="shared" si="1"/>
        <v>5578500</v>
      </c>
      <c r="D22" s="113">
        <f>IF(A22&gt;=Inputs!$C$27,'Disposal &amp; LFG Recovery'!$J$22,0)</f>
        <v>0</v>
      </c>
      <c r="E22" s="111"/>
      <c r="F22" s="130">
        <f>'Output-Table'!H29</f>
        <v>0</v>
      </c>
      <c r="G22" s="107">
        <f t="shared" si="2"/>
        <v>0</v>
      </c>
      <c r="H22" s="4"/>
      <c r="I22" s="100" t="s">
        <v>94</v>
      </c>
      <c r="J22" s="12">
        <f>ROUND(J21,2)</f>
        <v>0.39</v>
      </c>
      <c r="K22" s="87"/>
      <c r="L22" s="87"/>
      <c r="M22" s="87"/>
      <c r="N22" s="87"/>
      <c r="O22" s="87"/>
      <c r="P22" s="87"/>
      <c r="Q22" s="87"/>
      <c r="R22" s="87"/>
    </row>
    <row r="23" spans="1:18" s="2" customFormat="1" x14ac:dyDescent="0.3">
      <c r="A23" s="110">
        <f t="shared" si="0"/>
        <v>2007</v>
      </c>
      <c r="B23" s="107">
        <f>IF(A23&gt;Inputs!$C$20,0,IF(A23=Inputs!$C$14,Inputs!$C$13,ROUND(B22*(1+Inputs!$C$21),-1)))</f>
        <v>390320</v>
      </c>
      <c r="C23" s="112">
        <f t="shared" si="1"/>
        <v>5968820</v>
      </c>
      <c r="D23" s="113">
        <f>IF(A23&gt;=Inputs!$C$27,'Disposal &amp; LFG Recovery'!$J$22,0)</f>
        <v>0</v>
      </c>
      <c r="E23" s="111"/>
      <c r="F23" s="130">
        <f>'Output-Table'!H30</f>
        <v>0</v>
      </c>
      <c r="G23" s="107">
        <f t="shared" si="2"/>
        <v>0</v>
      </c>
      <c r="H23" s="4"/>
      <c r="I23" s="99" t="s">
        <v>284</v>
      </c>
      <c r="J23" s="367">
        <f>(1-$J$22)*(Inputs!C29*0.2+Inputs!C30*0.1+Inputs!C31*0.05)</f>
        <v>5.7950000000000008E-2</v>
      </c>
      <c r="K23" s="4"/>
      <c r="L23" s="4"/>
      <c r="M23" s="4"/>
      <c r="N23" s="4"/>
      <c r="O23" s="4"/>
      <c r="P23" s="4"/>
      <c r="Q23" s="4"/>
      <c r="R23" s="4"/>
    </row>
    <row r="24" spans="1:18" s="2" customFormat="1" x14ac:dyDescent="0.3">
      <c r="A24" s="110">
        <f t="shared" si="0"/>
        <v>2008</v>
      </c>
      <c r="B24" s="107">
        <f>IF(A24&gt;Inputs!$C$20,0,IF(A24=Inputs!$C$14,Inputs!$C$13,ROUND(B23*(1+Inputs!$C$21),-1)))</f>
        <v>398130</v>
      </c>
      <c r="C24" s="112">
        <f t="shared" si="1"/>
        <v>6366950</v>
      </c>
      <c r="D24" s="113">
        <f>IF(A24&gt;=Inputs!$C$27,'Disposal &amp; LFG Recovery'!$J$22,0)</f>
        <v>0</v>
      </c>
      <c r="E24" s="111"/>
      <c r="F24" s="130">
        <f>'Output-Table'!H31</f>
        <v>0</v>
      </c>
      <c r="G24" s="107">
        <f t="shared" si="2"/>
        <v>0</v>
      </c>
      <c r="H24" s="4"/>
      <c r="I24" s="4"/>
      <c r="J24" s="4"/>
      <c r="K24" s="4"/>
      <c r="L24" s="4"/>
      <c r="M24" s="4"/>
      <c r="N24" s="4"/>
      <c r="O24" s="4"/>
      <c r="P24" s="4"/>
      <c r="Q24" s="4"/>
      <c r="R24" s="4"/>
    </row>
    <row r="25" spans="1:18" s="2" customFormat="1" x14ac:dyDescent="0.3">
      <c r="A25" s="110">
        <f t="shared" si="0"/>
        <v>2009</v>
      </c>
      <c r="B25" s="107">
        <f>IF(A25&gt;Inputs!$C$20,0,IF(A25=Inputs!$C$14,Inputs!$C$13,ROUND(B24*(1+Inputs!$C$21),-1)))</f>
        <v>406090</v>
      </c>
      <c r="C25" s="112">
        <f t="shared" si="1"/>
        <v>6773040</v>
      </c>
      <c r="D25" s="113">
        <f>IF(A25&gt;=Inputs!$C$27,'Disposal &amp; LFG Recovery'!$J$22,0)</f>
        <v>0</v>
      </c>
      <c r="E25" s="111"/>
      <c r="F25" s="130">
        <f>'Output-Table'!H32</f>
        <v>0</v>
      </c>
      <c r="G25" s="107">
        <f t="shared" si="2"/>
        <v>0</v>
      </c>
      <c r="H25" s="4"/>
      <c r="I25" s="4"/>
      <c r="J25" s="4"/>
      <c r="K25" s="4"/>
      <c r="L25" s="4"/>
      <c r="M25" s="4"/>
      <c r="N25" s="4"/>
      <c r="O25" s="4"/>
      <c r="P25" s="4"/>
      <c r="Q25" s="4"/>
      <c r="R25" s="4"/>
    </row>
    <row r="26" spans="1:18" s="2" customFormat="1" x14ac:dyDescent="0.3">
      <c r="A26" s="110">
        <f t="shared" si="0"/>
        <v>2010</v>
      </c>
      <c r="B26" s="107">
        <f>IF(A26&gt;Inputs!$C$20,0,IF(A26=Inputs!$C$14,Inputs!$C$13,ROUND(B25*(1+Inputs!$C$21),-1)))</f>
        <v>414210</v>
      </c>
      <c r="C26" s="112">
        <f t="shared" si="1"/>
        <v>7187250</v>
      </c>
      <c r="D26" s="113">
        <f>IF(A26&gt;=Inputs!$C$27,'Disposal &amp; LFG Recovery'!$J$22,0)</f>
        <v>0</v>
      </c>
      <c r="E26" s="111"/>
      <c r="F26" s="130">
        <f>'Output-Table'!H33</f>
        <v>0</v>
      </c>
      <c r="G26" s="107">
        <f t="shared" si="2"/>
        <v>0</v>
      </c>
      <c r="H26" s="4"/>
      <c r="I26" s="4"/>
      <c r="J26" s="4"/>
      <c r="K26" s="4"/>
      <c r="L26" s="4"/>
      <c r="M26" s="4"/>
      <c r="N26" s="4"/>
      <c r="O26" s="4"/>
      <c r="P26" s="4"/>
      <c r="Q26" s="4"/>
      <c r="R26" s="4"/>
    </row>
    <row r="27" spans="1:18" s="2" customFormat="1" x14ac:dyDescent="0.3">
      <c r="A27" s="110">
        <f t="shared" si="0"/>
        <v>2011</v>
      </c>
      <c r="B27" s="107">
        <f>IF(A27&gt;Inputs!$C$20,0,IF(A27=Inputs!$C$14,Inputs!$C$13,ROUND(B26*(1+Inputs!$C$21),-1)))</f>
        <v>422490</v>
      </c>
      <c r="C27" s="112">
        <f t="shared" si="1"/>
        <v>7609740</v>
      </c>
      <c r="D27" s="113">
        <f>IF(A27&gt;=Inputs!$C$27,'Disposal &amp; LFG Recovery'!$J$22,0)</f>
        <v>0</v>
      </c>
      <c r="E27" s="111"/>
      <c r="F27" s="130">
        <f>'Output-Table'!H34</f>
        <v>0</v>
      </c>
      <c r="G27" s="107">
        <f t="shared" si="2"/>
        <v>0</v>
      </c>
      <c r="H27" s="4"/>
      <c r="I27" s="4"/>
      <c r="J27" s="4"/>
      <c r="K27" s="4"/>
      <c r="L27" s="4"/>
      <c r="M27" s="4"/>
      <c r="N27" s="4"/>
      <c r="O27" s="4"/>
      <c r="P27" s="4"/>
      <c r="Q27" s="4"/>
      <c r="R27" s="4"/>
    </row>
    <row r="28" spans="1:18" s="2" customFormat="1" x14ac:dyDescent="0.3">
      <c r="A28" s="110">
        <f t="shared" si="0"/>
        <v>2012</v>
      </c>
      <c r="B28" s="107">
        <f>IF(A28&gt;Inputs!$C$20,0,IF(A28=Inputs!$C$14,Inputs!$C$13,ROUND(B27*(1+Inputs!$C$21),-1)))</f>
        <v>450000</v>
      </c>
      <c r="C28" s="112">
        <f t="shared" si="1"/>
        <v>8059740</v>
      </c>
      <c r="D28" s="113">
        <f>IF(A28&gt;=Inputs!$C$27,'Disposal &amp; LFG Recovery'!$J$22,0)</f>
        <v>0</v>
      </c>
      <c r="E28" s="111"/>
      <c r="F28" s="130">
        <f>'Output-Table'!H35</f>
        <v>0</v>
      </c>
      <c r="G28" s="107">
        <f t="shared" si="2"/>
        <v>0</v>
      </c>
      <c r="H28" s="4"/>
      <c r="I28" s="4"/>
      <c r="J28" s="4"/>
      <c r="K28" s="4"/>
      <c r="L28" s="4"/>
      <c r="M28" s="4"/>
      <c r="N28" s="4"/>
      <c r="O28" s="4"/>
      <c r="P28" s="4"/>
      <c r="Q28" s="4"/>
      <c r="R28" s="4"/>
    </row>
    <row r="29" spans="1:18" s="2" customFormat="1" x14ac:dyDescent="0.3">
      <c r="A29" s="110">
        <f t="shared" si="0"/>
        <v>2013</v>
      </c>
      <c r="B29" s="107">
        <f>IF(A29&gt;Inputs!$C$20,0,IF(A29=Inputs!$C$14,Inputs!$C$13,ROUND(B28*(1+Inputs!$C$21),-1)))</f>
        <v>459000</v>
      </c>
      <c r="C29" s="112">
        <f t="shared" si="1"/>
        <v>8518740</v>
      </c>
      <c r="D29" s="113">
        <f>IF(A29&gt;=Inputs!$C$27,'Disposal &amp; LFG Recovery'!$J$22,0)</f>
        <v>0</v>
      </c>
      <c r="E29" s="111"/>
      <c r="F29" s="130">
        <f>'Output-Table'!H36</f>
        <v>0</v>
      </c>
      <c r="G29" s="107">
        <f t="shared" si="2"/>
        <v>0</v>
      </c>
      <c r="H29" s="4"/>
      <c r="I29" s="4"/>
      <c r="J29" s="4"/>
      <c r="K29" s="4"/>
      <c r="L29" s="4"/>
      <c r="M29" s="4"/>
      <c r="N29" s="4"/>
      <c r="O29" s="4"/>
      <c r="P29" s="4"/>
      <c r="Q29" s="4"/>
      <c r="R29" s="4"/>
    </row>
    <row r="30" spans="1:18" s="2" customFormat="1" x14ac:dyDescent="0.3">
      <c r="A30" s="110">
        <f t="shared" si="0"/>
        <v>2014</v>
      </c>
      <c r="B30" s="107">
        <f>IF(A30&gt;Inputs!$C$20,0,IF(A30=Inputs!$C$14,Inputs!$C$13,ROUND(B29*(1+Inputs!$C$21),-1)))</f>
        <v>468180</v>
      </c>
      <c r="C30" s="112">
        <f t="shared" si="1"/>
        <v>8986920</v>
      </c>
      <c r="D30" s="113">
        <f>IF(A30&gt;=Inputs!$C$27,'Disposal &amp; LFG Recovery'!$J$22,0)</f>
        <v>0.39</v>
      </c>
      <c r="E30" s="111"/>
      <c r="F30" s="130">
        <f>'Output-Table'!H37</f>
        <v>1746.9604724239696</v>
      </c>
      <c r="G30" s="107">
        <f t="shared" si="2"/>
        <v>0</v>
      </c>
      <c r="H30" s="4"/>
      <c r="I30" s="4"/>
      <c r="J30" s="4"/>
      <c r="K30" s="4"/>
      <c r="L30" s="4"/>
      <c r="M30" s="4"/>
      <c r="N30" s="4"/>
      <c r="O30" s="4"/>
      <c r="P30" s="4"/>
      <c r="Q30" s="4"/>
      <c r="R30" s="4"/>
    </row>
    <row r="31" spans="1:18" s="2" customFormat="1" x14ac:dyDescent="0.3">
      <c r="A31" s="110">
        <f t="shared" si="0"/>
        <v>2015</v>
      </c>
      <c r="B31" s="107">
        <f>IF(A31&gt;Inputs!$C$20,0,IF(A31=Inputs!$C$14,Inputs!$C$13,ROUND(B30*(1+Inputs!$C$21),-1)))</f>
        <v>477540</v>
      </c>
      <c r="C31" s="112">
        <f t="shared" si="1"/>
        <v>9464460</v>
      </c>
      <c r="D31" s="113">
        <f>IF(A31&gt;=Inputs!$C$27,'Disposal &amp; LFG Recovery'!$J$22,0)</f>
        <v>0.39</v>
      </c>
      <c r="E31" s="111"/>
      <c r="F31" s="130">
        <f>'Output-Table'!H38</f>
        <v>1846.0081255446241</v>
      </c>
      <c r="G31" s="107">
        <f t="shared" si="2"/>
        <v>0</v>
      </c>
      <c r="H31" s="4"/>
      <c r="I31" s="4"/>
      <c r="J31" s="4"/>
      <c r="K31" s="4"/>
      <c r="L31" s="4"/>
      <c r="M31" s="4"/>
      <c r="N31" s="4"/>
      <c r="O31" s="4"/>
      <c r="P31" s="4"/>
      <c r="Q31" s="4"/>
      <c r="R31" s="4"/>
    </row>
    <row r="32" spans="1:18" s="2" customFormat="1" x14ac:dyDescent="0.3">
      <c r="A32" s="110">
        <f t="shared" si="0"/>
        <v>2016</v>
      </c>
      <c r="B32" s="107">
        <f>IF(A32&gt;Inputs!$C$20,0,IF(A32=Inputs!$C$14,Inputs!$C$13,ROUND(B31*(1+Inputs!$C$21),-1)))</f>
        <v>487090</v>
      </c>
      <c r="C32" s="112">
        <f t="shared" si="1"/>
        <v>9951550</v>
      </c>
      <c r="D32" s="113">
        <f>IF(A32&gt;=Inputs!$C$27,'Disposal &amp; LFG Recovery'!$J$22,0)</f>
        <v>0.39</v>
      </c>
      <c r="E32" s="111"/>
      <c r="F32" s="130">
        <f>'Output-Table'!H39</f>
        <v>1942.8704063632035</v>
      </c>
      <c r="G32" s="107">
        <f t="shared" si="2"/>
        <v>0</v>
      </c>
      <c r="H32" s="4"/>
      <c r="I32" s="4"/>
      <c r="J32" s="4"/>
      <c r="K32" s="4"/>
      <c r="L32" s="4"/>
      <c r="M32" s="4"/>
      <c r="N32" s="4"/>
      <c r="O32" s="4"/>
      <c r="P32" s="4"/>
      <c r="Q32" s="4"/>
      <c r="R32" s="4"/>
    </row>
    <row r="33" spans="1:18" s="2" customFormat="1" x14ac:dyDescent="0.3">
      <c r="A33" s="110">
        <f t="shared" si="0"/>
        <v>2017</v>
      </c>
      <c r="B33" s="107">
        <f>IF(A33&gt;Inputs!$C$20,0,IF(A33=Inputs!$C$14,Inputs!$C$13,ROUND(B32*(1+Inputs!$C$21),-1)))</f>
        <v>0</v>
      </c>
      <c r="C33" s="112">
        <f t="shared" si="1"/>
        <v>9951550</v>
      </c>
      <c r="D33" s="113">
        <f>IF(A33&gt;=Inputs!$C$27,'Disposal &amp; LFG Recovery'!$J$22,0)</f>
        <v>0.39</v>
      </c>
      <c r="E33" s="111"/>
      <c r="F33" s="130">
        <f>'Output-Table'!H40</f>
        <v>2037.9103974035454</v>
      </c>
      <c r="G33" s="107">
        <f t="shared" si="2"/>
        <v>0</v>
      </c>
      <c r="H33" s="4"/>
      <c r="I33" s="4"/>
      <c r="J33" s="4"/>
      <c r="K33" s="4"/>
      <c r="L33" s="4"/>
      <c r="M33" s="4"/>
      <c r="N33" s="4"/>
      <c r="O33" s="4"/>
      <c r="P33" s="4"/>
      <c r="Q33" s="4"/>
      <c r="R33" s="4"/>
    </row>
    <row r="34" spans="1:18" s="2" customFormat="1" x14ac:dyDescent="0.3">
      <c r="A34" s="110">
        <f t="shared" si="0"/>
        <v>2018</v>
      </c>
      <c r="B34" s="107">
        <f>IF(A34&gt;Inputs!$C$20,0,IF(A34=Inputs!$C$14,Inputs!$C$13,ROUND(B33*(1+Inputs!$C$21),-1)))</f>
        <v>0</v>
      </c>
      <c r="C34" s="112">
        <f t="shared" si="1"/>
        <v>9951550</v>
      </c>
      <c r="D34" s="113">
        <f>IF(A34&gt;=Inputs!$C$27,'Disposal &amp; LFG Recovery'!$J$22,0)</f>
        <v>0.39</v>
      </c>
      <c r="E34" s="111"/>
      <c r="F34" s="130">
        <f>'Output-Table'!H41</f>
        <v>1872.010917591316</v>
      </c>
      <c r="G34" s="107">
        <f t="shared" si="2"/>
        <v>0</v>
      </c>
      <c r="H34" s="4"/>
      <c r="I34" s="4"/>
      <c r="J34" s="4"/>
      <c r="K34" s="4"/>
      <c r="L34" s="4"/>
      <c r="M34" s="4"/>
      <c r="N34" s="4"/>
      <c r="O34" s="4"/>
      <c r="P34" s="4"/>
      <c r="Q34" s="4"/>
      <c r="R34" s="4"/>
    </row>
    <row r="35" spans="1:18" s="2" customFormat="1" x14ac:dyDescent="0.3">
      <c r="A35" s="110">
        <f t="shared" si="0"/>
        <v>2019</v>
      </c>
      <c r="B35" s="107">
        <f>IF(A35&gt;Inputs!$C$20,0,IF(A35=Inputs!$C$14,Inputs!$C$13,ROUND(B34*(1+Inputs!$C$21),-1)))</f>
        <v>0</v>
      </c>
      <c r="C35" s="112">
        <f t="shared" si="1"/>
        <v>9951550</v>
      </c>
      <c r="D35" s="113">
        <f>IF(A35&gt;=Inputs!$C$27,'Disposal &amp; LFG Recovery'!$J$22,0)</f>
        <v>0.39</v>
      </c>
      <c r="E35" s="111"/>
      <c r="F35" s="130">
        <f>'Output-Table'!H42</f>
        <v>1724.3150147441343</v>
      </c>
      <c r="G35" s="107">
        <f t="shared" si="2"/>
        <v>0</v>
      </c>
      <c r="H35" s="4"/>
      <c r="I35" s="4"/>
      <c r="J35" s="4"/>
      <c r="K35" s="4"/>
      <c r="L35" s="4"/>
      <c r="M35" s="4"/>
      <c r="N35" s="4"/>
      <c r="O35" s="4"/>
      <c r="P35" s="4"/>
      <c r="Q35" s="4"/>
      <c r="R35" s="4"/>
    </row>
    <row r="36" spans="1:18" s="2" customFormat="1" x14ac:dyDescent="0.3">
      <c r="A36" s="110">
        <f t="shared" si="0"/>
        <v>2020</v>
      </c>
      <c r="B36" s="107">
        <f>IF(A36&gt;Inputs!$C$20,0,IF(A36=Inputs!$C$14,Inputs!$C$13,ROUND(B35*(1+Inputs!$C$21),-1)))</f>
        <v>0</v>
      </c>
      <c r="C36" s="112">
        <f t="shared" si="1"/>
        <v>9951550</v>
      </c>
      <c r="D36" s="113">
        <f>IF(A36&gt;=Inputs!$C$27,'Disposal &amp; LFG Recovery'!$J$22,0)</f>
        <v>0.39</v>
      </c>
      <c r="E36" s="111"/>
      <c r="F36" s="130">
        <f>'Output-Table'!H43</f>
        <v>1592.589826633121</v>
      </c>
      <c r="G36" s="107">
        <f t="shared" si="2"/>
        <v>0</v>
      </c>
      <c r="H36" s="4"/>
      <c r="I36" s="4"/>
      <c r="J36" s="4"/>
      <c r="K36" s="4"/>
      <c r="L36" s="4"/>
      <c r="M36" s="4"/>
      <c r="N36" s="4"/>
      <c r="O36" s="4"/>
      <c r="P36" s="4"/>
      <c r="Q36" s="4"/>
      <c r="R36" s="4"/>
    </row>
    <row r="37" spans="1:18" s="2" customFormat="1" x14ac:dyDescent="0.3">
      <c r="A37" s="110">
        <f t="shared" si="0"/>
        <v>2021</v>
      </c>
      <c r="B37" s="107">
        <f>IF(A37&gt;Inputs!$C$20,0,IF(A37=Inputs!$C$14,Inputs!$C$13,ROUND(B36*(1+Inputs!$C$21),-1)))</f>
        <v>0</v>
      </c>
      <c r="C37" s="112">
        <f t="shared" si="1"/>
        <v>9951550</v>
      </c>
      <c r="D37" s="113">
        <f>IF(A37&gt;=Inputs!$C$27,'Disposal &amp; LFG Recovery'!$J$22,0)</f>
        <v>0.39</v>
      </c>
      <c r="E37" s="111"/>
      <c r="F37" s="130">
        <f>'Output-Table'!H44</f>
        <v>1474.8868089966186</v>
      </c>
      <c r="G37" s="107">
        <f t="shared" si="2"/>
        <v>0</v>
      </c>
      <c r="H37" s="4"/>
      <c r="I37" s="4"/>
      <c r="J37" s="4"/>
      <c r="K37" s="4"/>
      <c r="L37" s="4"/>
      <c r="M37" s="4"/>
      <c r="N37" s="4"/>
      <c r="O37" s="4"/>
      <c r="P37" s="4"/>
      <c r="Q37" s="4"/>
      <c r="R37" s="4"/>
    </row>
    <row r="38" spans="1:18" s="2" customFormat="1" x14ac:dyDescent="0.3">
      <c r="A38" s="110">
        <f t="shared" si="0"/>
        <v>2022</v>
      </c>
      <c r="B38" s="107">
        <f>IF(A38&gt;Inputs!$C$20,0,IF(A38=Inputs!$C$14,Inputs!$C$13,ROUND(B37*(1+Inputs!$C$21),-1)))</f>
        <v>0</v>
      </c>
      <c r="C38" s="112">
        <f t="shared" si="1"/>
        <v>9951550</v>
      </c>
      <c r="D38" s="113">
        <f>IF(A38&gt;=Inputs!$C$27,'Disposal &amp; LFG Recovery'!$J$22,0)</f>
        <v>0.39</v>
      </c>
      <c r="E38" s="111"/>
      <c r="F38" s="130">
        <f>'Output-Table'!H45</f>
        <v>1369.5050243404123</v>
      </c>
      <c r="G38" s="107">
        <f t="shared" si="2"/>
        <v>0</v>
      </c>
      <c r="H38" s="4"/>
      <c r="I38" s="4"/>
      <c r="J38" s="4"/>
      <c r="K38" s="4"/>
      <c r="L38" s="4"/>
      <c r="M38" s="4"/>
      <c r="N38" s="4"/>
      <c r="O38" s="4"/>
      <c r="P38" s="4"/>
      <c r="Q38" s="4"/>
      <c r="R38" s="4"/>
    </row>
    <row r="39" spans="1:18" s="2" customFormat="1" x14ac:dyDescent="0.3">
      <c r="A39" s="110">
        <f t="shared" ref="A39:A70" si="3">A38+1</f>
        <v>2023</v>
      </c>
      <c r="B39" s="107">
        <f>IF(A39&gt;Inputs!$C$20,0,IF(A39=Inputs!$C$14,Inputs!$C$13,ROUND(B38*(1+Inputs!$C$21),-1)))</f>
        <v>0</v>
      </c>
      <c r="C39" s="112">
        <f t="shared" ref="C39:C70" si="4">C38+B39</f>
        <v>9951550</v>
      </c>
      <c r="D39" s="113">
        <f>IF(A39&gt;=Inputs!$C$27,'Disposal &amp; LFG Recovery'!$J$22,0)</f>
        <v>0.39</v>
      </c>
      <c r="E39" s="111"/>
      <c r="F39" s="130">
        <f>'Output-Table'!H46</f>
        <v>1274.959199346252</v>
      </c>
      <c r="G39" s="107">
        <f t="shared" si="2"/>
        <v>0</v>
      </c>
      <c r="H39" s="4"/>
      <c r="I39" s="4"/>
      <c r="J39" s="4"/>
      <c r="K39" s="4"/>
      <c r="L39" s="4"/>
      <c r="M39" s="4"/>
      <c r="N39" s="4"/>
      <c r="O39" s="4"/>
      <c r="P39" s="4"/>
      <c r="Q39" s="4"/>
      <c r="R39" s="4"/>
    </row>
    <row r="40" spans="1:18" s="2" customFormat="1" x14ac:dyDescent="0.3">
      <c r="A40" s="110">
        <f t="shared" si="3"/>
        <v>2024</v>
      </c>
      <c r="B40" s="107">
        <f>IF(A40&gt;Inputs!$C$20,0,IF(A40=Inputs!$C$14,Inputs!$C$13,ROUND(B39*(1+Inputs!$C$21),-1)))</f>
        <v>0</v>
      </c>
      <c r="C40" s="112">
        <f t="shared" si="4"/>
        <v>9951550</v>
      </c>
      <c r="D40" s="113">
        <f>IF(A40&gt;=Inputs!$C$27,'Disposal &amp; LFG Recovery'!$J$22,0)</f>
        <v>0.39</v>
      </c>
      <c r="E40" s="111"/>
      <c r="F40" s="130">
        <f>'Output-Table'!H47</f>
        <v>1189.95192971149</v>
      </c>
      <c r="G40" s="107">
        <f t="shared" si="2"/>
        <v>0</v>
      </c>
      <c r="H40" s="4"/>
      <c r="I40" s="4"/>
      <c r="J40" s="4"/>
      <c r="K40" s="4"/>
      <c r="L40" s="4"/>
      <c r="M40" s="4"/>
      <c r="N40" s="4"/>
      <c r="O40" s="4"/>
      <c r="P40" s="4"/>
      <c r="Q40" s="4"/>
      <c r="R40" s="4"/>
    </row>
    <row r="41" spans="1:18" s="2" customFormat="1" x14ac:dyDescent="0.3">
      <c r="A41" s="110">
        <f t="shared" si="3"/>
        <v>2025</v>
      </c>
      <c r="B41" s="107">
        <f>IF(A41&gt;Inputs!$C$20,0,IF(A41=Inputs!$C$14,Inputs!$C$13,ROUND(B40*(1+Inputs!$C$21),-1)))</f>
        <v>0</v>
      </c>
      <c r="C41" s="112">
        <f t="shared" si="4"/>
        <v>9951550</v>
      </c>
      <c r="D41" s="113">
        <f>IF(A41&gt;=Inputs!$C$27,'Disposal &amp; LFG Recovery'!$J$22,0)</f>
        <v>0.39</v>
      </c>
      <c r="E41" s="111"/>
      <c r="F41" s="130">
        <f>'Output-Table'!H48</f>
        <v>1113.3494922739239</v>
      </c>
      <c r="G41" s="107">
        <f t="shared" si="2"/>
        <v>0</v>
      </c>
      <c r="H41" s="4"/>
      <c r="I41" s="4"/>
      <c r="J41" s="4"/>
      <c r="K41" s="4"/>
      <c r="L41" s="4"/>
      <c r="M41" s="4"/>
      <c r="N41" s="4"/>
      <c r="O41" s="4"/>
      <c r="P41" s="4"/>
      <c r="Q41" s="4"/>
      <c r="R41" s="4"/>
    </row>
    <row r="42" spans="1:18" s="2" customFormat="1" x14ac:dyDescent="0.3">
      <c r="A42" s="110">
        <f t="shared" si="3"/>
        <v>2026</v>
      </c>
      <c r="B42" s="107">
        <f>IF(A42&gt;Inputs!$C$20,0,IF(A42=Inputs!$C$14,Inputs!$C$13,ROUND(B41*(1+Inputs!$C$21),-1)))</f>
        <v>0</v>
      </c>
      <c r="C42" s="112">
        <f t="shared" si="4"/>
        <v>9951550</v>
      </c>
      <c r="D42" s="113">
        <f>IF(A42&gt;=Inputs!$C$27,'Disposal &amp; LFG Recovery'!$J$22,0)</f>
        <v>0.39</v>
      </c>
      <c r="E42" s="111"/>
      <c r="F42" s="130">
        <f>'Output-Table'!H49</f>
        <v>1044.1607947291693</v>
      </c>
      <c r="G42" s="107">
        <f t="shared" si="2"/>
        <v>0</v>
      </c>
      <c r="H42" s="4"/>
      <c r="I42" s="4"/>
      <c r="J42" s="4"/>
      <c r="K42" s="4"/>
      <c r="L42" s="4"/>
      <c r="M42" s="4"/>
      <c r="N42" s="4"/>
      <c r="O42" s="4"/>
      <c r="P42" s="4"/>
      <c r="Q42" s="4"/>
      <c r="R42" s="4"/>
    </row>
    <row r="43" spans="1:18" s="2" customFormat="1" x14ac:dyDescent="0.3">
      <c r="A43" s="110">
        <f t="shared" si="3"/>
        <v>2027</v>
      </c>
      <c r="B43" s="107">
        <f>IF(A43&gt;Inputs!$C$20,0,IF(A43=Inputs!$C$14,Inputs!$C$13,ROUND(B42*(1+Inputs!$C$21),-1)))</f>
        <v>0</v>
      </c>
      <c r="C43" s="112">
        <f t="shared" si="4"/>
        <v>9951550</v>
      </c>
      <c r="D43" s="113">
        <f>IF(A43&gt;=Inputs!$C$27,'Disposal &amp; LFG Recovery'!$J$22,0)</f>
        <v>0.39</v>
      </c>
      <c r="E43" s="111"/>
      <c r="F43" s="130">
        <f>'Output-Table'!H50</f>
        <v>981.51905450462004</v>
      </c>
      <c r="G43" s="107">
        <f t="shared" si="2"/>
        <v>0</v>
      </c>
      <c r="H43" s="4"/>
      <c r="I43" s="4"/>
      <c r="J43" s="4"/>
      <c r="K43" s="4"/>
      <c r="L43" s="4"/>
      <c r="M43" s="4"/>
      <c r="N43" s="4"/>
      <c r="O43" s="4"/>
      <c r="P43" s="4"/>
      <c r="Q43" s="4"/>
      <c r="R43" s="4"/>
    </row>
    <row r="44" spans="1:18" s="2" customFormat="1" x14ac:dyDescent="0.3">
      <c r="A44" s="110">
        <f t="shared" si="3"/>
        <v>2028</v>
      </c>
      <c r="B44" s="107">
        <f>IF(A44&gt;Inputs!$C$20,0,IF(A44=Inputs!$C$14,Inputs!$C$13,ROUND(B43*(1+Inputs!$C$21),-1)))</f>
        <v>0</v>
      </c>
      <c r="C44" s="112">
        <f t="shared" si="4"/>
        <v>9951550</v>
      </c>
      <c r="D44" s="113">
        <f>IF(A44&gt;=Inputs!$C$27,'Disposal &amp; LFG Recovery'!$J$22,0)</f>
        <v>0.39</v>
      </c>
      <c r="E44" s="111"/>
      <c r="F44" s="130">
        <f>'Output-Table'!H51</f>
        <v>924.6658516150793</v>
      </c>
      <c r="G44" s="107">
        <f t="shared" si="2"/>
        <v>0</v>
      </c>
      <c r="H44" s="4"/>
      <c r="I44" s="4"/>
      <c r="J44" s="4"/>
      <c r="K44" s="4"/>
      <c r="L44" s="4"/>
      <c r="M44" s="4"/>
      <c r="N44" s="4"/>
      <c r="O44" s="4"/>
      <c r="P44" s="4"/>
      <c r="Q44" s="4"/>
      <c r="R44" s="4"/>
    </row>
    <row r="45" spans="1:18" s="2" customFormat="1" x14ac:dyDescent="0.3">
      <c r="A45" s="110">
        <f t="shared" si="3"/>
        <v>2029</v>
      </c>
      <c r="B45" s="107">
        <f>IF(A45&gt;Inputs!$C$20,0,IF(A45=Inputs!$C$14,Inputs!$C$13,ROUND(B44*(1+Inputs!$C$21),-1)))</f>
        <v>0</v>
      </c>
      <c r="C45" s="112">
        <f t="shared" si="4"/>
        <v>9951550</v>
      </c>
      <c r="D45" s="113">
        <f>IF(A45&gt;=Inputs!$C$27,'Disposal &amp; LFG Recovery'!$J$22,0)</f>
        <v>0.39</v>
      </c>
      <c r="E45" s="111"/>
      <c r="F45" s="130">
        <f>'Output-Table'!H52</f>
        <v>872.93724663470095</v>
      </c>
      <c r="G45" s="107">
        <f t="shared" si="2"/>
        <v>0</v>
      </c>
      <c r="H45" s="4"/>
      <c r="I45" s="4"/>
      <c r="J45" s="4"/>
      <c r="K45" s="4"/>
      <c r="L45" s="4"/>
      <c r="M45" s="4"/>
      <c r="N45" s="4"/>
      <c r="O45" s="4"/>
      <c r="P45" s="4"/>
      <c r="Q45" s="4"/>
      <c r="R45" s="4"/>
    </row>
    <row r="46" spans="1:18" s="2" customFormat="1" x14ac:dyDescent="0.3">
      <c r="A46" s="110">
        <f t="shared" si="3"/>
        <v>2030</v>
      </c>
      <c r="B46" s="107">
        <f>IF(A46&gt;Inputs!$C$20,0,IF(A46=Inputs!$C$14,Inputs!$C$13,ROUND(B45*(1+Inputs!$C$21),-1)))</f>
        <v>0</v>
      </c>
      <c r="C46" s="112">
        <f t="shared" si="4"/>
        <v>9951550</v>
      </c>
      <c r="D46" s="113">
        <f>IF(A46&gt;=Inputs!$C$27,'Disposal &amp; LFG Recovery'!$J$22,0)</f>
        <v>0.39</v>
      </c>
      <c r="E46" s="111"/>
      <c r="F46" s="130">
        <f>'Output-Table'!H53</f>
        <v>825.75169518551422</v>
      </c>
      <c r="G46" s="107">
        <f t="shared" si="2"/>
        <v>0</v>
      </c>
      <c r="H46" s="4"/>
      <c r="I46" s="4"/>
      <c r="J46" s="4"/>
      <c r="K46" s="4"/>
      <c r="L46" s="4"/>
      <c r="M46" s="4"/>
      <c r="N46" s="4"/>
      <c r="O46" s="4"/>
      <c r="P46" s="4"/>
      <c r="Q46" s="4"/>
      <c r="R46" s="4"/>
    </row>
    <row r="47" spans="1:18" s="2" customFormat="1" x14ac:dyDescent="0.3">
      <c r="A47" s="110">
        <f t="shared" si="3"/>
        <v>2031</v>
      </c>
      <c r="B47" s="107">
        <f>IF(A47&gt;Inputs!$C$20,0,IF(A47=Inputs!$C$14,Inputs!$C$13,ROUND(B46*(1+Inputs!$C$21),-1)))</f>
        <v>0</v>
      </c>
      <c r="C47" s="112">
        <f t="shared" si="4"/>
        <v>9951550</v>
      </c>
      <c r="D47" s="113">
        <f>IF(A47&gt;=Inputs!$C$27,'Disposal &amp; LFG Recovery'!$J$22,0)</f>
        <v>0.39</v>
      </c>
      <c r="E47" s="111"/>
      <c r="F47" s="130">
        <f>'Output-Table'!H54</f>
        <v>782.59952535386731</v>
      </c>
      <c r="G47" s="107">
        <f t="shared" si="2"/>
        <v>0</v>
      </c>
      <c r="H47" s="4"/>
      <c r="I47" s="4"/>
      <c r="J47" s="4"/>
      <c r="K47" s="4"/>
      <c r="L47" s="4"/>
      <c r="M47" s="4"/>
      <c r="N47" s="4"/>
      <c r="O47" s="4"/>
      <c r="P47" s="4"/>
      <c r="Q47" s="4"/>
      <c r="R47" s="4"/>
    </row>
    <row r="48" spans="1:18" s="2" customFormat="1" x14ac:dyDescent="0.3">
      <c r="A48" s="110">
        <f t="shared" si="3"/>
        <v>2032</v>
      </c>
      <c r="B48" s="107">
        <f>IF(A48&gt;Inputs!$C$20,0,IF(A48=Inputs!$C$14,Inputs!$C$13,ROUND(B47*(1+Inputs!$C$21),-1)))</f>
        <v>0</v>
      </c>
      <c r="C48" s="112">
        <f t="shared" si="4"/>
        <v>9951550</v>
      </c>
      <c r="D48" s="113">
        <f>IF(A48&gt;=Inputs!$C$27,'Disposal &amp; LFG Recovery'!$J$22,0)</f>
        <v>0.39</v>
      </c>
      <c r="E48" s="111"/>
      <c r="F48" s="130">
        <f>'Output-Table'!H55</f>
        <v>743.03377488855142</v>
      </c>
      <c r="G48" s="107">
        <f t="shared" si="2"/>
        <v>0</v>
      </c>
      <c r="H48" s="4"/>
      <c r="I48" s="4"/>
      <c r="J48" s="4"/>
      <c r="K48" s="4"/>
      <c r="L48" s="4"/>
      <c r="M48" s="4"/>
      <c r="N48" s="4"/>
      <c r="O48" s="4"/>
      <c r="P48" s="4"/>
      <c r="Q48" s="4"/>
      <c r="R48" s="4"/>
    </row>
    <row r="49" spans="1:18" s="2" customFormat="1" x14ac:dyDescent="0.3">
      <c r="A49" s="110">
        <f t="shared" si="3"/>
        <v>2033</v>
      </c>
      <c r="B49" s="107">
        <f>IF(A49&gt;Inputs!$C$20,0,IF(A49=Inputs!$C$14,Inputs!$C$13,ROUND(B48*(1+Inputs!$C$21),-1)))</f>
        <v>0</v>
      </c>
      <c r="C49" s="112">
        <f t="shared" si="4"/>
        <v>9951550</v>
      </c>
      <c r="D49" s="113">
        <f>IF(A49&gt;=Inputs!$C$27,'Disposal &amp; LFG Recovery'!$J$22,0)</f>
        <v>0.39</v>
      </c>
      <c r="E49" s="111"/>
      <c r="F49" s="130">
        <f>'Output-Table'!H56</f>
        <v>706.66221150473575</v>
      </c>
      <c r="G49" s="107">
        <f t="shared" si="2"/>
        <v>0</v>
      </c>
      <c r="H49" s="4"/>
      <c r="I49" s="4"/>
      <c r="J49" s="4"/>
      <c r="K49" s="4"/>
      <c r="L49" s="4"/>
      <c r="M49" s="4"/>
      <c r="N49" s="4"/>
      <c r="O49" s="4"/>
      <c r="P49" s="4"/>
      <c r="Q49" s="4"/>
      <c r="R49" s="4"/>
    </row>
    <row r="50" spans="1:18" s="2" customFormat="1" x14ac:dyDescent="0.3">
      <c r="A50" s="110">
        <f t="shared" si="3"/>
        <v>2034</v>
      </c>
      <c r="B50" s="107">
        <f>IF(A50&gt;Inputs!$C$20,0,IF(A50=Inputs!$C$14,Inputs!$C$13,ROUND(B49*(1+Inputs!$C$21),-1)))</f>
        <v>0</v>
      </c>
      <c r="C50" s="112">
        <f t="shared" si="4"/>
        <v>9951550</v>
      </c>
      <c r="D50" s="113">
        <f>IF(A50&gt;=Inputs!$C$27,'Disposal &amp; LFG Recovery'!$J$22,0)</f>
        <v>0.39</v>
      </c>
      <c r="E50" s="111"/>
      <c r="F50" s="130">
        <f>'Output-Table'!H57</f>
        <v>673.14038263471423</v>
      </c>
      <c r="G50" s="107">
        <f t="shared" si="2"/>
        <v>0</v>
      </c>
      <c r="H50" s="4"/>
      <c r="I50" s="4"/>
      <c r="J50" s="4"/>
      <c r="K50" s="4"/>
      <c r="L50" s="4"/>
      <c r="M50" s="4"/>
      <c r="N50" s="4"/>
      <c r="O50" s="4"/>
      <c r="P50" s="4"/>
      <c r="Q50" s="4"/>
      <c r="R50" s="4"/>
    </row>
    <row r="51" spans="1:18" s="2" customFormat="1" x14ac:dyDescent="0.3">
      <c r="A51" s="110">
        <f t="shared" si="3"/>
        <v>2035</v>
      </c>
      <c r="B51" s="107">
        <f>IF(A51&gt;Inputs!$C$20,0,IF(A51=Inputs!$C$14,Inputs!$C$13,ROUND(B50*(1+Inputs!$C$21),-1)))</f>
        <v>0</v>
      </c>
      <c r="C51" s="112">
        <f t="shared" si="4"/>
        <v>9951550</v>
      </c>
      <c r="D51" s="113">
        <f>IF(A51&gt;=Inputs!$C$27,'Disposal &amp; LFG Recovery'!$J$22,0)</f>
        <v>0.39</v>
      </c>
      <c r="E51" s="111"/>
      <c r="F51" s="130">
        <f>'Output-Table'!H58</f>
        <v>642.16556098067781</v>
      </c>
      <c r="G51" s="107">
        <f t="shared" si="2"/>
        <v>0</v>
      </c>
      <c r="H51" s="4"/>
      <c r="I51" s="4"/>
      <c r="J51" s="4"/>
      <c r="K51" s="4"/>
      <c r="L51" s="4"/>
      <c r="M51" s="4"/>
      <c r="N51" s="4"/>
      <c r="O51" s="4"/>
      <c r="P51" s="4"/>
      <c r="Q51" s="4"/>
      <c r="R51" s="4"/>
    </row>
    <row r="52" spans="1:18" s="2" customFormat="1" x14ac:dyDescent="0.3">
      <c r="A52" s="110">
        <f t="shared" si="3"/>
        <v>2036</v>
      </c>
      <c r="B52" s="107">
        <f>IF(A52&gt;Inputs!$C$20,0,IF(A52=Inputs!$C$14,Inputs!$C$13,ROUND(B51*(1+Inputs!$C$21),-1)))</f>
        <v>0</v>
      </c>
      <c r="C52" s="112">
        <f t="shared" si="4"/>
        <v>9951550</v>
      </c>
      <c r="D52" s="113">
        <f>IF(A52&gt;=Inputs!$C$27,'Disposal &amp; LFG Recovery'!$J$22,0)</f>
        <v>0.39</v>
      </c>
      <c r="E52" s="111"/>
      <c r="F52" s="130">
        <f>'Output-Table'!H59</f>
        <v>613.47146962828742</v>
      </c>
      <c r="G52" s="107">
        <f t="shared" si="2"/>
        <v>0</v>
      </c>
      <c r="H52" s="4"/>
      <c r="I52" s="4"/>
      <c r="J52" s="4"/>
      <c r="K52" s="4"/>
      <c r="L52" s="4"/>
      <c r="M52" s="4"/>
      <c r="N52" s="4"/>
      <c r="O52" s="4"/>
      <c r="P52" s="4"/>
      <c r="Q52" s="4"/>
      <c r="R52" s="4"/>
    </row>
    <row r="53" spans="1:18" s="2" customFormat="1" x14ac:dyDescent="0.3">
      <c r="A53" s="110">
        <f t="shared" si="3"/>
        <v>2037</v>
      </c>
      <c r="B53" s="107">
        <f>IF(A53&gt;Inputs!$C$20,0,IF(A53=Inputs!$C$14,Inputs!$C$13,ROUND(B52*(1+Inputs!$C$21),-1)))</f>
        <v>0</v>
      </c>
      <c r="C53" s="112">
        <f t="shared" si="4"/>
        <v>9951550</v>
      </c>
      <c r="D53" s="113">
        <f>IF(A53&gt;=Inputs!$C$27,'Disposal &amp; LFG Recovery'!$J$22,0)</f>
        <v>0.39</v>
      </c>
      <c r="E53" s="111"/>
      <c r="F53" s="130">
        <f>'Output-Table'!H60</f>
        <v>586.82368561352882</v>
      </c>
      <c r="G53" s="107">
        <f t="shared" si="2"/>
        <v>0</v>
      </c>
      <c r="H53" s="4"/>
      <c r="I53" s="4"/>
      <c r="J53" s="4"/>
      <c r="K53" s="4"/>
      <c r="L53" s="4"/>
      <c r="M53" s="4"/>
      <c r="N53" s="4"/>
      <c r="O53" s="4"/>
      <c r="P53" s="4"/>
      <c r="Q53" s="4"/>
      <c r="R53" s="4"/>
    </row>
    <row r="54" spans="1:18" s="2" customFormat="1" x14ac:dyDescent="0.3">
      <c r="A54" s="110">
        <f t="shared" si="3"/>
        <v>2038</v>
      </c>
      <c r="B54" s="107">
        <f>IF(A54&gt;Inputs!$C$20,0,IF(A54=Inputs!$C$14,Inputs!$C$13,ROUND(B53*(1+Inputs!$C$21),-1)))</f>
        <v>0</v>
      </c>
      <c r="C54" s="112">
        <f t="shared" si="4"/>
        <v>9951550</v>
      </c>
      <c r="D54" s="113">
        <f>IF(A54&gt;=Inputs!$C$27,'Disposal &amp; LFG Recovery'!$J$22,0)</f>
        <v>0.39</v>
      </c>
      <c r="E54" s="111"/>
      <c r="F54" s="130">
        <f>'Output-Table'!H61</f>
        <v>562.0156339953985</v>
      </c>
      <c r="G54" s="107">
        <f t="shared" si="2"/>
        <v>0</v>
      </c>
      <c r="H54" s="4"/>
      <c r="I54" s="4"/>
      <c r="J54" s="4"/>
      <c r="K54" s="4"/>
      <c r="L54" s="4"/>
      <c r="M54" s="4"/>
      <c r="N54" s="4"/>
      <c r="O54" s="4"/>
      <c r="P54" s="4"/>
      <c r="Q54" s="4"/>
      <c r="R54" s="4"/>
    </row>
    <row r="55" spans="1:18" s="2" customFormat="1" x14ac:dyDescent="0.3">
      <c r="A55" s="110">
        <f t="shared" si="3"/>
        <v>2039</v>
      </c>
      <c r="B55" s="107">
        <f>IF(A55&gt;Inputs!$C$20,0,IF(A55=Inputs!$C$14,Inputs!$C$13,ROUND(B54*(1+Inputs!$C$21),-1)))</f>
        <v>0</v>
      </c>
      <c r="C55" s="112">
        <f t="shared" si="4"/>
        <v>9951550</v>
      </c>
      <c r="D55" s="113">
        <f>IF(A55&gt;=Inputs!$C$27,'Disposal &amp; LFG Recovery'!$J$22,0)</f>
        <v>0.39</v>
      </c>
      <c r="E55" s="111"/>
      <c r="F55" s="130">
        <f>'Output-Table'!H62</f>
        <v>538.8650959311309</v>
      </c>
      <c r="G55" s="107">
        <f t="shared" si="2"/>
        <v>0</v>
      </c>
      <c r="H55" s="4"/>
      <c r="I55" s="4"/>
      <c r="J55" s="4"/>
      <c r="K55" s="4"/>
      <c r="L55" s="4"/>
      <c r="M55" s="4"/>
      <c r="N55" s="4"/>
      <c r="O55" s="4"/>
      <c r="P55" s="4"/>
      <c r="Q55" s="4"/>
      <c r="R55" s="4"/>
    </row>
    <row r="56" spans="1:18" s="2" customFormat="1" x14ac:dyDescent="0.3">
      <c r="A56" s="110">
        <f t="shared" si="3"/>
        <v>2040</v>
      </c>
      <c r="B56" s="107">
        <f>IF(A56&gt;Inputs!$C$20,0,IF(A56=Inputs!$C$14,Inputs!$C$13,ROUND(B55*(1+Inputs!$C$21),-1)))</f>
        <v>0</v>
      </c>
      <c r="C56" s="112">
        <f t="shared" si="4"/>
        <v>9951550</v>
      </c>
      <c r="D56" s="113">
        <f>IF(A56&gt;=Inputs!$C$27,'Disposal &amp; LFG Recovery'!$J$22,0)</f>
        <v>0.39</v>
      </c>
      <c r="E56" s="111"/>
      <c r="F56" s="130">
        <f>'Output-Table'!H63</f>
        <v>517.21116420270744</v>
      </c>
      <c r="G56" s="107">
        <f t="shared" si="2"/>
        <v>0</v>
      </c>
      <c r="H56" s="4"/>
      <c r="I56" s="4"/>
      <c r="J56" s="4"/>
      <c r="K56" s="4"/>
      <c r="L56" s="4"/>
      <c r="M56" s="4"/>
      <c r="N56" s="4"/>
      <c r="O56" s="4"/>
      <c r="P56" s="4"/>
      <c r="Q56" s="4"/>
      <c r="R56" s="4"/>
    </row>
    <row r="57" spans="1:18" s="2" customFormat="1" x14ac:dyDescent="0.3">
      <c r="A57" s="110">
        <f t="shared" si="3"/>
        <v>2041</v>
      </c>
      <c r="B57" s="107">
        <f>IF(A57&gt;Inputs!$C$20,0,IF(A57=Inputs!$C$14,Inputs!$C$13,ROUND(B56*(1+Inputs!$C$21),-1)))</f>
        <v>0</v>
      </c>
      <c r="C57" s="112">
        <f t="shared" si="4"/>
        <v>9951550</v>
      </c>
      <c r="D57" s="113">
        <f>IF(A57&gt;=Inputs!$C$27,'Disposal &amp; LFG Recovery'!$J$22,0)</f>
        <v>0.39</v>
      </c>
      <c r="E57" s="111"/>
      <c r="F57" s="130">
        <f>'Output-Table'!H64</f>
        <v>496.91158829820824</v>
      </c>
      <c r="G57" s="107">
        <f t="shared" si="2"/>
        <v>0</v>
      </c>
      <c r="H57" s="4"/>
      <c r="I57" s="4"/>
      <c r="J57" s="4"/>
      <c r="K57" s="4"/>
      <c r="L57" s="4"/>
      <c r="M57" s="4"/>
      <c r="N57" s="4"/>
      <c r="O57" s="4"/>
      <c r="P57" s="4"/>
      <c r="Q57" s="4"/>
      <c r="R57" s="4"/>
    </row>
    <row r="58" spans="1:18" s="2" customFormat="1" x14ac:dyDescent="0.3">
      <c r="A58" s="110">
        <f t="shared" si="3"/>
        <v>2042</v>
      </c>
      <c r="B58" s="107">
        <f>IF(A58&gt;Inputs!$C$20,0,IF(A58=Inputs!$C$14,Inputs!$C$13,ROUND(B57*(1+Inputs!$C$21),-1)))</f>
        <v>0</v>
      </c>
      <c r="C58" s="112">
        <f t="shared" si="4"/>
        <v>9951550</v>
      </c>
      <c r="D58" s="113">
        <f>IF(A58&gt;=Inputs!$C$27,'Disposal &amp; LFG Recovery'!$J$22,0)</f>
        <v>0.39</v>
      </c>
      <c r="E58" s="111"/>
      <c r="F58" s="130">
        <f>'Output-Table'!H65</f>
        <v>477.84045867827979</v>
      </c>
      <c r="G58" s="107">
        <f t="shared" si="2"/>
        <v>0</v>
      </c>
      <c r="H58" s="4"/>
      <c r="I58" s="4"/>
      <c r="J58" s="4"/>
      <c r="K58" s="4"/>
      <c r="L58" s="4"/>
      <c r="M58" s="4"/>
      <c r="N58" s="4"/>
      <c r="O58" s="4"/>
      <c r="P58" s="4"/>
      <c r="Q58" s="4"/>
      <c r="R58" s="4"/>
    </row>
    <row r="59" spans="1:18" s="2" customFormat="1" x14ac:dyDescent="0.3">
      <c r="A59" s="110">
        <f t="shared" si="3"/>
        <v>2043</v>
      </c>
      <c r="B59" s="107">
        <f>IF(A59&gt;Inputs!$C$20,0,IF(A59=Inputs!$C$14,Inputs!$C$13,ROUND(B58*(1+Inputs!$C$21),-1)))</f>
        <v>0</v>
      </c>
      <c r="C59" s="112">
        <f t="shared" si="4"/>
        <v>9951550</v>
      </c>
      <c r="D59" s="113">
        <f>IF(A59&gt;=Inputs!$C$27,'Disposal &amp; LFG Recovery'!$J$22,0)</f>
        <v>0.39</v>
      </c>
      <c r="E59" s="111"/>
      <c r="F59" s="130">
        <f>'Output-Table'!H66</f>
        <v>459.88618640392741</v>
      </c>
      <c r="G59" s="107">
        <f t="shared" si="2"/>
        <v>0</v>
      </c>
      <c r="H59" s="4"/>
      <c r="I59" s="4"/>
      <c r="J59" s="4"/>
      <c r="K59" s="4"/>
      <c r="L59" s="4"/>
      <c r="M59" s="4"/>
      <c r="N59" s="4"/>
      <c r="O59" s="4"/>
      <c r="P59" s="4"/>
      <c r="Q59" s="4"/>
      <c r="R59" s="4"/>
    </row>
    <row r="60" spans="1:18" s="2" customFormat="1" x14ac:dyDescent="0.3">
      <c r="A60" s="110">
        <f t="shared" si="3"/>
        <v>2044</v>
      </c>
      <c r="B60" s="107">
        <f>IF(A60&gt;Inputs!$C$20,0,IF(A60=Inputs!$C$14,Inputs!$C$13,ROUND(B59*(1+Inputs!$C$21),-1)))</f>
        <v>0</v>
      </c>
      <c r="C60" s="112">
        <f t="shared" si="4"/>
        <v>9951550</v>
      </c>
      <c r="D60" s="113">
        <f>IF(A60&gt;=Inputs!$C$27,'Disposal &amp; LFG Recovery'!$J$22,0)</f>
        <v>0.39</v>
      </c>
      <c r="E60" s="111"/>
      <c r="F60" s="130">
        <f>'Output-Table'!H67</f>
        <v>442.94973999487974</v>
      </c>
      <c r="G60" s="107">
        <f t="shared" si="2"/>
        <v>0</v>
      </c>
      <c r="H60" s="4"/>
      <c r="I60" s="4"/>
      <c r="J60" s="4"/>
      <c r="K60" s="4"/>
      <c r="L60" s="4"/>
      <c r="M60" s="4"/>
      <c r="N60" s="4"/>
      <c r="O60" s="4"/>
      <c r="P60" s="4"/>
      <c r="Q60" s="4"/>
      <c r="R60" s="4"/>
    </row>
    <row r="61" spans="1:18" s="2" customFormat="1" x14ac:dyDescent="0.3">
      <c r="A61" s="110">
        <f t="shared" si="3"/>
        <v>2045</v>
      </c>
      <c r="B61" s="107">
        <f>IF(A61&gt;Inputs!$C$20,0,IF(A61=Inputs!$C$14,Inputs!$C$13,ROUND(B60*(1+Inputs!$C$21),-1)))</f>
        <v>0</v>
      </c>
      <c r="C61" s="112">
        <f t="shared" si="4"/>
        <v>9951550</v>
      </c>
      <c r="D61" s="113">
        <f>IF(A61&gt;=Inputs!$C$27,'Disposal &amp; LFG Recovery'!$J$22,0)</f>
        <v>0.39</v>
      </c>
      <c r="E61" s="111"/>
      <c r="F61" s="130">
        <f>'Output-Table'!H68</f>
        <v>426.94310633924033</v>
      </c>
      <c r="G61" s="107">
        <f t="shared" si="2"/>
        <v>0</v>
      </c>
      <c r="H61" s="4"/>
      <c r="I61" s="4"/>
      <c r="J61" s="4"/>
      <c r="K61" s="4"/>
      <c r="L61" s="4"/>
      <c r="M61" s="4"/>
      <c r="N61" s="4"/>
      <c r="O61" s="4"/>
      <c r="P61" s="4"/>
      <c r="Q61" s="4"/>
      <c r="R61" s="4"/>
    </row>
    <row r="62" spans="1:18" s="2" customFormat="1" x14ac:dyDescent="0.3">
      <c r="A62" s="110">
        <f t="shared" si="3"/>
        <v>2046</v>
      </c>
      <c r="B62" s="107">
        <f>IF(A62&gt;Inputs!$C$20,0,IF(A62=Inputs!$C$14,Inputs!$C$13,ROUND(B61*(1+Inputs!$C$21),-1)))</f>
        <v>0</v>
      </c>
      <c r="C62" s="112">
        <f t="shared" si="4"/>
        <v>9951550</v>
      </c>
      <c r="D62" s="113">
        <f>IF(A62&gt;=Inputs!$C$27,'Disposal &amp; LFG Recovery'!$J$22,0)</f>
        <v>0.39</v>
      </c>
      <c r="E62" s="111"/>
      <c r="F62" s="130">
        <f>'Output-Table'!H69</f>
        <v>411.78794678172062</v>
      </c>
      <c r="G62" s="107">
        <f t="shared" si="2"/>
        <v>0</v>
      </c>
      <c r="H62" s="4"/>
      <c r="I62" s="4"/>
      <c r="J62" s="4"/>
      <c r="K62" s="4"/>
      <c r="L62" s="4"/>
      <c r="M62" s="4"/>
      <c r="N62" s="4"/>
      <c r="O62" s="4"/>
      <c r="P62" s="4"/>
      <c r="Q62" s="4"/>
      <c r="R62" s="4"/>
    </row>
    <row r="63" spans="1:18" s="2" customFormat="1" x14ac:dyDescent="0.3">
      <c r="A63" s="110">
        <f t="shared" si="3"/>
        <v>2047</v>
      </c>
      <c r="B63" s="107">
        <f>IF(A63&gt;Inputs!$C$20,0,IF(A63=Inputs!$C$14,Inputs!$C$13,ROUND(B62*(1+Inputs!$C$21),-1)))</f>
        <v>0</v>
      </c>
      <c r="C63" s="112">
        <f t="shared" si="4"/>
        <v>9951550</v>
      </c>
      <c r="D63" s="113">
        <f>IF(A63&gt;=Inputs!$C$27,'Disposal &amp; LFG Recovery'!$J$22,0)</f>
        <v>0.39</v>
      </c>
      <c r="E63" s="111"/>
      <c r="F63" s="130">
        <f>'Output-Table'!H70</f>
        <v>397.41442326360402</v>
      </c>
      <c r="G63" s="107">
        <f t="shared" si="2"/>
        <v>0</v>
      </c>
      <c r="H63" s="4"/>
      <c r="I63" s="4"/>
      <c r="J63" s="4"/>
      <c r="K63" s="4"/>
      <c r="L63" s="4"/>
      <c r="M63" s="4"/>
      <c r="N63" s="4"/>
      <c r="O63" s="4"/>
      <c r="P63" s="4"/>
      <c r="Q63" s="4"/>
      <c r="R63" s="4"/>
    </row>
    <row r="64" spans="1:18" s="2" customFormat="1" x14ac:dyDescent="0.3">
      <c r="A64" s="110">
        <f t="shared" si="3"/>
        <v>2048</v>
      </c>
      <c r="B64" s="107">
        <f>IF(A64&gt;Inputs!$C$20,0,IF(A64=Inputs!$C$14,Inputs!$C$13,ROUND(B63*(1+Inputs!$C$21),-1)))</f>
        <v>0</v>
      </c>
      <c r="C64" s="112">
        <f t="shared" si="4"/>
        <v>9951550</v>
      </c>
      <c r="D64" s="113">
        <f>IF(A64&gt;=Inputs!$C$27,'Disposal &amp; LFG Recovery'!$J$22,0)</f>
        <v>0.39</v>
      </c>
      <c r="E64" s="111"/>
      <c r="F64" s="130">
        <f>'Output-Table'!H71</f>
        <v>383.76017264581458</v>
      </c>
      <c r="G64" s="107">
        <f t="shared" si="2"/>
        <v>0</v>
      </c>
      <c r="H64" s="4"/>
      <c r="I64" s="4"/>
      <c r="J64" s="4"/>
      <c r="K64" s="4"/>
      <c r="L64" s="4"/>
      <c r="M64" s="4"/>
      <c r="N64" s="4"/>
      <c r="O64" s="4"/>
      <c r="P64" s="4"/>
      <c r="Q64" s="4"/>
      <c r="R64" s="4"/>
    </row>
    <row r="65" spans="1:18" s="2" customFormat="1" x14ac:dyDescent="0.3">
      <c r="A65" s="110">
        <f t="shared" si="3"/>
        <v>2049</v>
      </c>
      <c r="B65" s="107">
        <f>IF(A65&gt;Inputs!$C$20,0,IF(A65=Inputs!$C$14,Inputs!$C$13,ROUND(B64*(1+Inputs!$C$21),-1)))</f>
        <v>0</v>
      </c>
      <c r="C65" s="112">
        <f t="shared" si="4"/>
        <v>9951550</v>
      </c>
      <c r="D65" s="113">
        <f>IF(A65&gt;=Inputs!$C$27,'Disposal &amp; LFG Recovery'!$J$22,0)</f>
        <v>0.39</v>
      </c>
      <c r="E65" s="111"/>
      <c r="F65" s="130">
        <f>'Output-Table'!H72</f>
        <v>370.76941018066123</v>
      </c>
      <c r="G65" s="107">
        <f t="shared" si="2"/>
        <v>0</v>
      </c>
      <c r="H65" s="4"/>
      <c r="I65" s="4"/>
      <c r="J65" s="4"/>
      <c r="K65" s="4"/>
      <c r="L65" s="4"/>
      <c r="M65" s="4"/>
      <c r="N65" s="4"/>
      <c r="O65" s="4"/>
      <c r="P65" s="4"/>
      <c r="Q65" s="4"/>
      <c r="R65" s="4"/>
    </row>
    <row r="66" spans="1:18" s="2" customFormat="1" x14ac:dyDescent="0.3">
      <c r="A66" s="110">
        <f t="shared" si="3"/>
        <v>2050</v>
      </c>
      <c r="B66" s="107">
        <f>IF(A66&gt;Inputs!$C$20,0,IF(A66=Inputs!$C$14,Inputs!$C$13,ROUND(B65*(1+Inputs!$C$21),-1)))</f>
        <v>0</v>
      </c>
      <c r="C66" s="112">
        <f t="shared" si="4"/>
        <v>9951550</v>
      </c>
      <c r="D66" s="113">
        <f>IF(A66&gt;=Inputs!$C$27,'Disposal &amp; LFG Recovery'!$J$22,0)</f>
        <v>0.39</v>
      </c>
      <c r="E66" s="111"/>
      <c r="F66" s="130">
        <f>'Output-Table'!H73</f>
        <v>358.39214556327227</v>
      </c>
      <c r="G66" s="107">
        <f t="shared" si="2"/>
        <v>0</v>
      </c>
      <c r="H66" s="4"/>
      <c r="I66" s="4"/>
      <c r="J66" s="4"/>
      <c r="K66" s="4"/>
      <c r="L66" s="4"/>
      <c r="M66" s="4"/>
      <c r="N66" s="4"/>
      <c r="O66" s="4"/>
      <c r="P66" s="4"/>
      <c r="Q66" s="4"/>
      <c r="R66" s="4"/>
    </row>
    <row r="67" spans="1:18" s="2" customFormat="1" x14ac:dyDescent="0.3">
      <c r="A67" s="110">
        <f t="shared" si="3"/>
        <v>2051</v>
      </c>
      <c r="B67" s="107">
        <f>IF(A67&gt;Inputs!$C$20,0,IF(A67=Inputs!$C$14,Inputs!$C$13,ROUND(B66*(1+Inputs!$C$21),-1)))</f>
        <v>0</v>
      </c>
      <c r="C67" s="112">
        <f t="shared" si="4"/>
        <v>9951550</v>
      </c>
      <c r="D67" s="113">
        <f>IF(A67&gt;=Inputs!$C$27,'Disposal &amp; LFG Recovery'!$J$22,0)</f>
        <v>0.39</v>
      </c>
      <c r="E67" s="111"/>
      <c r="F67" s="130">
        <f>'Output-Table'!H74</f>
        <v>346.58349713852027</v>
      </c>
      <c r="G67" s="107">
        <f t="shared" si="2"/>
        <v>0</v>
      </c>
      <c r="H67" s="4"/>
      <c r="I67" s="4"/>
      <c r="J67" s="4"/>
      <c r="K67" s="4"/>
      <c r="L67" s="4"/>
      <c r="M67" s="4"/>
      <c r="N67" s="4"/>
      <c r="O67" s="4"/>
      <c r="P67" s="4"/>
      <c r="Q67" s="4"/>
      <c r="R67" s="4"/>
    </row>
    <row r="68" spans="1:18" s="2" customFormat="1" x14ac:dyDescent="0.3">
      <c r="A68" s="110">
        <f t="shared" si="3"/>
        <v>2052</v>
      </c>
      <c r="B68" s="107">
        <f>IF(A68&gt;Inputs!$C$20,0,IF(A68=Inputs!$C$14,Inputs!$C$13,ROUND(B67*(1+Inputs!$C$21),-1)))</f>
        <v>0</v>
      </c>
      <c r="C68" s="112">
        <f t="shared" si="4"/>
        <v>9951550</v>
      </c>
      <c r="D68" s="113">
        <f>IF(A68&gt;=Inputs!$C$27,'Disposal &amp; LFG Recovery'!$J$22,0)</f>
        <v>0.39</v>
      </c>
      <c r="E68" s="111"/>
      <c r="F68" s="130">
        <f>'Output-Table'!H75</f>
        <v>335.30309170513078</v>
      </c>
      <c r="G68" s="107">
        <f t="shared" si="2"/>
        <v>0</v>
      </c>
      <c r="H68" s="4"/>
      <c r="I68" s="4"/>
      <c r="J68" s="4"/>
      <c r="K68" s="4"/>
      <c r="L68" s="4"/>
      <c r="M68" s="4"/>
      <c r="N68" s="4"/>
      <c r="O68" s="4"/>
      <c r="P68" s="4"/>
      <c r="Q68" s="4"/>
      <c r="R68" s="4"/>
    </row>
    <row r="69" spans="1:18" s="2" customFormat="1" x14ac:dyDescent="0.3">
      <c r="A69" s="110">
        <f t="shared" si="3"/>
        <v>2053</v>
      </c>
      <c r="B69" s="107">
        <f>IF(A69&gt;Inputs!$C$20,0,IF(A69=Inputs!$C$14,Inputs!$C$13,ROUND(B68*(1+Inputs!$C$21),-1)))</f>
        <v>0</v>
      </c>
      <c r="C69" s="112">
        <f t="shared" si="4"/>
        <v>9951550</v>
      </c>
      <c r="D69" s="113">
        <f>IF(A69&gt;=Inputs!$C$27,'Disposal &amp; LFG Recovery'!$J$22,0)</f>
        <v>0.39</v>
      </c>
      <c r="E69" s="111"/>
      <c r="F69" s="130">
        <f>'Output-Table'!H76</f>
        <v>324.5145389820409</v>
      </c>
      <c r="G69" s="107">
        <f t="shared" si="2"/>
        <v>0</v>
      </c>
      <c r="H69" s="4"/>
      <c r="I69" s="4"/>
      <c r="J69" s="4"/>
      <c r="K69" s="4"/>
      <c r="L69" s="4"/>
      <c r="M69" s="4"/>
      <c r="N69" s="4"/>
      <c r="O69" s="4"/>
      <c r="P69" s="4"/>
      <c r="Q69" s="4"/>
      <c r="R69" s="4"/>
    </row>
    <row r="70" spans="1:18" s="2" customFormat="1" x14ac:dyDescent="0.3">
      <c r="A70" s="110">
        <f t="shared" si="3"/>
        <v>2054</v>
      </c>
      <c r="B70" s="107">
        <f>IF(A70&gt;Inputs!$C$20,0,IF(A70=Inputs!$C$14,Inputs!$C$13,ROUND(B69*(1+Inputs!$C$21),-1)))</f>
        <v>0</v>
      </c>
      <c r="C70" s="112">
        <f t="shared" si="4"/>
        <v>9951550</v>
      </c>
      <c r="D70" s="113">
        <f>IF(A70&gt;=Inputs!$C$27,'Disposal &amp; LFG Recovery'!$J$22,0)</f>
        <v>0.39</v>
      </c>
      <c r="E70" s="111"/>
      <c r="F70" s="130">
        <f>'Output-Table'!H77</f>
        <v>314.18497121451099</v>
      </c>
      <c r="G70" s="107">
        <f t="shared" si="2"/>
        <v>0</v>
      </c>
      <c r="H70" s="4"/>
      <c r="I70" s="4"/>
      <c r="J70" s="4"/>
      <c r="K70" s="4"/>
      <c r="L70" s="4"/>
      <c r="M70" s="4"/>
      <c r="N70" s="4"/>
      <c r="O70" s="4"/>
      <c r="P70" s="4"/>
      <c r="Q70" s="4"/>
      <c r="R70" s="4"/>
    </row>
    <row r="71" spans="1:18" s="2" customFormat="1" x14ac:dyDescent="0.3">
      <c r="A71" s="110">
        <f t="shared" ref="A71:A105" si="5">A70+1</f>
        <v>2055</v>
      </c>
      <c r="B71" s="107">
        <f>IF(A71&gt;Inputs!$C$20,0,IF(A71=Inputs!$C$14,Inputs!$C$13,ROUND(B70*(1+Inputs!$C$21),-1)))</f>
        <v>0</v>
      </c>
      <c r="C71" s="112">
        <f t="shared" ref="C71:C102" si="6">C70+B71</f>
        <v>9951550</v>
      </c>
      <c r="D71" s="113">
        <f>IF(A71&gt;=Inputs!$C$27,'Disposal &amp; LFG Recovery'!$J$22,0)</f>
        <v>0.39</v>
      </c>
      <c r="E71" s="111"/>
      <c r="F71" s="130">
        <f>'Output-Table'!H78</f>
        <v>304.28463962648055</v>
      </c>
      <c r="G71" s="107">
        <f t="shared" si="2"/>
        <v>0</v>
      </c>
      <c r="H71" s="4"/>
      <c r="I71" s="4"/>
      <c r="J71" s="4"/>
      <c r="K71" s="4"/>
      <c r="L71" s="4"/>
      <c r="M71" s="4"/>
      <c r="N71" s="4"/>
      <c r="O71" s="4"/>
      <c r="P71" s="4"/>
      <c r="Q71" s="4"/>
      <c r="R71" s="4"/>
    </row>
    <row r="72" spans="1:18" s="2" customFormat="1" x14ac:dyDescent="0.3">
      <c r="A72" s="110">
        <f t="shared" si="5"/>
        <v>2056</v>
      </c>
      <c r="B72" s="107">
        <f>IF(A72&gt;Inputs!$C$20,0,IF(A72=Inputs!$C$14,Inputs!$C$13,ROUND(B71*(1+Inputs!$C$21),-1)))</f>
        <v>0</v>
      </c>
      <c r="C72" s="112">
        <f t="shared" si="6"/>
        <v>9951550</v>
      </c>
      <c r="D72" s="113">
        <f>IF(A72&gt;=Inputs!$C$27,'Disposal &amp; LFG Recovery'!$J$22,0)</f>
        <v>0.39</v>
      </c>
      <c r="E72" s="111"/>
      <c r="F72" s="130">
        <f>'Output-Table'!H79</f>
        <v>294.78656049509431</v>
      </c>
      <c r="G72" s="107">
        <f t="shared" ref="G72:G105" si="7">G71</f>
        <v>0</v>
      </c>
      <c r="H72" s="4"/>
      <c r="I72" s="4"/>
      <c r="J72" s="4"/>
      <c r="K72" s="4"/>
      <c r="L72" s="4"/>
      <c r="M72" s="4"/>
      <c r="N72" s="4"/>
      <c r="O72" s="4"/>
      <c r="P72" s="4"/>
      <c r="Q72" s="4"/>
      <c r="R72" s="4"/>
    </row>
    <row r="73" spans="1:18" s="2" customFormat="1" x14ac:dyDescent="0.3">
      <c r="A73" s="110">
        <f t="shared" si="5"/>
        <v>2057</v>
      </c>
      <c r="B73" s="107">
        <f>IF(A73&gt;Inputs!$C$20,0,IF(A73=Inputs!$C$14,Inputs!$C$13,ROUND(B72*(1+Inputs!$C$21),-1)))</f>
        <v>0</v>
      </c>
      <c r="C73" s="112">
        <f t="shared" si="6"/>
        <v>9951550</v>
      </c>
      <c r="D73" s="113">
        <f>IF(A73&gt;=Inputs!$C$27,'Disposal &amp; LFG Recovery'!$J$22,0)</f>
        <v>0.39</v>
      </c>
      <c r="E73" s="111"/>
      <c r="F73" s="130">
        <f>'Output-Table'!H80</f>
        <v>285.66620455397043</v>
      </c>
      <c r="G73" s="107">
        <f t="shared" si="7"/>
        <v>0</v>
      </c>
      <c r="H73" s="4"/>
      <c r="I73" s="4"/>
      <c r="J73" s="4"/>
      <c r="K73" s="4"/>
      <c r="L73" s="4"/>
      <c r="M73" s="4"/>
      <c r="N73" s="4"/>
      <c r="O73" s="4"/>
      <c r="P73" s="4"/>
      <c r="Q73" s="4"/>
      <c r="R73" s="4"/>
    </row>
    <row r="74" spans="1:18" s="2" customFormat="1" x14ac:dyDescent="0.3">
      <c r="A74" s="110">
        <f t="shared" si="5"/>
        <v>2058</v>
      </c>
      <c r="B74" s="107">
        <f>IF(A74&gt;Inputs!$C$20,0,IF(A74=Inputs!$C$14,Inputs!$C$13,ROUND(B73*(1+Inputs!$C$21),-1)))</f>
        <v>0</v>
      </c>
      <c r="C74" s="112">
        <f t="shared" si="6"/>
        <v>9951550</v>
      </c>
      <c r="D74" s="113">
        <f>IF(A74&gt;=Inputs!$C$27,'Disposal &amp; LFG Recovery'!$J$22,0)</f>
        <v>0.39</v>
      </c>
      <c r="E74" s="111"/>
      <c r="F74" s="130">
        <f>'Output-Table'!H81</f>
        <v>276.90122424173319</v>
      </c>
      <c r="G74" s="107">
        <f t="shared" si="7"/>
        <v>0</v>
      </c>
      <c r="H74" s="4"/>
      <c r="I74" s="4"/>
      <c r="J74" s="4"/>
      <c r="K74" s="4"/>
      <c r="L74" s="4"/>
      <c r="M74" s="4"/>
      <c r="N74" s="4"/>
      <c r="O74" s="4"/>
      <c r="P74" s="4"/>
      <c r="Q74" s="4"/>
      <c r="R74" s="4"/>
    </row>
    <row r="75" spans="1:18" s="2" customFormat="1" x14ac:dyDescent="0.3">
      <c r="A75" s="110">
        <f t="shared" si="5"/>
        <v>2059</v>
      </c>
      <c r="B75" s="107">
        <f>IF(A75&gt;Inputs!$C$20,0,IF(A75=Inputs!$C$14,Inputs!$C$13,ROUND(B74*(1+Inputs!$C$21),-1)))</f>
        <v>0</v>
      </c>
      <c r="C75" s="112">
        <f t="shared" si="6"/>
        <v>9951550</v>
      </c>
      <c r="D75" s="113">
        <f>IF(A75&gt;=Inputs!$C$27,'Disposal &amp; LFG Recovery'!$J$22,0)</f>
        <v>0.39</v>
      </c>
      <c r="E75" s="111"/>
      <c r="F75" s="130">
        <f>'Output-Table'!H82</f>
        <v>268.47121401726446</v>
      </c>
      <c r="G75" s="107">
        <f t="shared" si="7"/>
        <v>0</v>
      </c>
      <c r="H75" s="4"/>
      <c r="I75" s="4"/>
      <c r="J75" s="4"/>
      <c r="K75" s="4"/>
      <c r="L75" s="4"/>
      <c r="M75" s="4"/>
      <c r="N75" s="4"/>
      <c r="O75" s="4"/>
      <c r="P75" s="4"/>
      <c r="Q75" s="4"/>
      <c r="R75" s="4"/>
    </row>
    <row r="76" spans="1:18" s="2" customFormat="1" x14ac:dyDescent="0.3">
      <c r="A76" s="110">
        <f t="shared" si="5"/>
        <v>2060</v>
      </c>
      <c r="B76" s="107">
        <f>IF(A76&gt;Inputs!$C$20,0,IF(A76=Inputs!$C$14,Inputs!$C$13,ROUND(B75*(1+Inputs!$C$21),-1)))</f>
        <v>0</v>
      </c>
      <c r="C76" s="112">
        <f t="shared" si="6"/>
        <v>9951550</v>
      </c>
      <c r="D76" s="113">
        <f>IF(A76&gt;=Inputs!$C$27,'Disposal &amp; LFG Recovery'!$J$22,0)</f>
        <v>0.39</v>
      </c>
      <c r="E76" s="111"/>
      <c r="F76" s="130">
        <f>'Output-Table'!H83</f>
        <v>260.35749957674199</v>
      </c>
      <c r="G76" s="107">
        <f t="shared" si="7"/>
        <v>0</v>
      </c>
      <c r="H76" s="4"/>
      <c r="I76" s="4"/>
      <c r="J76" s="4"/>
      <c r="K76" s="4"/>
      <c r="L76" s="4"/>
      <c r="M76" s="4"/>
      <c r="N76" s="4"/>
      <c r="O76" s="4"/>
      <c r="P76" s="4"/>
      <c r="Q76" s="4"/>
      <c r="R76" s="4"/>
    </row>
    <row r="77" spans="1:18" s="2" customFormat="1" x14ac:dyDescent="0.3">
      <c r="A77" s="110">
        <f t="shared" si="5"/>
        <v>2061</v>
      </c>
      <c r="B77" s="107">
        <f>IF(A77&gt;Inputs!$C$20,0,IF(A77=Inputs!$C$14,Inputs!$C$13,ROUND(B76*(1+Inputs!$C$21),-1)))</f>
        <v>0</v>
      </c>
      <c r="C77" s="112">
        <f t="shared" si="6"/>
        <v>9951550</v>
      </c>
      <c r="D77" s="113">
        <f>IF(A77&gt;=Inputs!$C$27,'Disposal &amp; LFG Recovery'!$J$22,0)</f>
        <v>0.39</v>
      </c>
      <c r="E77" s="111"/>
      <c r="F77" s="130">
        <f>'Output-Table'!H84</f>
        <v>252.5429523416704</v>
      </c>
      <c r="G77" s="107">
        <f t="shared" si="7"/>
        <v>0</v>
      </c>
      <c r="H77" s="4"/>
      <c r="I77" s="4"/>
      <c r="J77" s="4"/>
      <c r="K77" s="4"/>
      <c r="L77" s="4"/>
      <c r="M77" s="4"/>
      <c r="N77" s="4"/>
      <c r="O77" s="4"/>
      <c r="P77" s="4"/>
      <c r="Q77" s="4"/>
      <c r="R77" s="4"/>
    </row>
    <row r="78" spans="1:18" s="2" customFormat="1" x14ac:dyDescent="0.3">
      <c r="A78" s="110">
        <f t="shared" si="5"/>
        <v>2062</v>
      </c>
      <c r="B78" s="107">
        <f>IF(A78&gt;Inputs!$C$20,0,IF(A78=Inputs!$C$14,Inputs!$C$13,ROUND(B77*(1+Inputs!$C$21),-1)))</f>
        <v>0</v>
      </c>
      <c r="C78" s="112">
        <f t="shared" si="6"/>
        <v>9951550</v>
      </c>
      <c r="D78" s="113">
        <f>IF(A78&gt;=Inputs!$C$27,'Disposal &amp; LFG Recovery'!$J$22,0)</f>
        <v>0.39</v>
      </c>
      <c r="E78" s="111"/>
      <c r="F78" s="130">
        <f>'Output-Table'!H85</f>
        <v>245.0118260521526</v>
      </c>
      <c r="G78" s="107">
        <f t="shared" si="7"/>
        <v>0</v>
      </c>
      <c r="H78" s="4"/>
      <c r="I78" s="4"/>
      <c r="J78" s="4"/>
      <c r="K78" s="4"/>
      <c r="L78" s="4"/>
      <c r="M78" s="4"/>
      <c r="N78" s="4"/>
      <c r="O78" s="4"/>
      <c r="P78" s="4"/>
      <c r="Q78" s="4"/>
      <c r="R78" s="4"/>
    </row>
    <row r="79" spans="1:18" s="2" customFormat="1" x14ac:dyDescent="0.3">
      <c r="A79" s="110">
        <f t="shared" si="5"/>
        <v>2063</v>
      </c>
      <c r="B79" s="107">
        <f>IF(A79&gt;Inputs!$C$20,0,IF(A79=Inputs!$C$14,Inputs!$C$13,ROUND(B78*(1+Inputs!$C$21),-1)))</f>
        <v>0</v>
      </c>
      <c r="C79" s="112">
        <f t="shared" si="6"/>
        <v>9951550</v>
      </c>
      <c r="D79" s="113">
        <f>IF(A79&gt;=Inputs!$C$27,'Disposal &amp; LFG Recovery'!$J$22,0)</f>
        <v>0.39</v>
      </c>
      <c r="E79" s="111"/>
      <c r="F79" s="130">
        <f>'Output-Table'!H86</f>
        <v>237.74961270452519</v>
      </c>
      <c r="G79" s="107">
        <f t="shared" si="7"/>
        <v>0</v>
      </c>
      <c r="H79" s="4"/>
      <c r="I79" s="4"/>
      <c r="J79" s="4"/>
      <c r="K79" s="4"/>
      <c r="L79" s="4"/>
      <c r="M79" s="4"/>
      <c r="N79" s="4"/>
      <c r="O79" s="4"/>
      <c r="P79" s="4"/>
      <c r="Q79" s="4"/>
      <c r="R79" s="4"/>
    </row>
    <row r="80" spans="1:18" s="2" customFormat="1" x14ac:dyDescent="0.3">
      <c r="A80" s="110">
        <f t="shared" si="5"/>
        <v>2064</v>
      </c>
      <c r="B80" s="107">
        <f>IF(A80&gt;Inputs!$C$20,0,IF(A80=Inputs!$C$14,Inputs!$C$13,ROUND(B79*(1+Inputs!$C$21),-1)))</f>
        <v>0</v>
      </c>
      <c r="C80" s="112">
        <f t="shared" si="6"/>
        <v>9951550</v>
      </c>
      <c r="D80" s="113">
        <f>IF(A80&gt;=Inputs!$C$27,'Disposal &amp; LFG Recovery'!$J$22,0)</f>
        <v>0.39</v>
      </c>
      <c r="E80" s="111"/>
      <c r="F80" s="130">
        <f>'Output-Table'!H87</f>
        <v>230.74291542505739</v>
      </c>
      <c r="G80" s="107">
        <f t="shared" si="7"/>
        <v>0</v>
      </c>
      <c r="H80" s="4"/>
      <c r="I80" s="4"/>
      <c r="J80" s="4"/>
      <c r="K80" s="4"/>
      <c r="L80" s="4"/>
      <c r="M80" s="4"/>
      <c r="N80" s="4"/>
      <c r="O80" s="4"/>
      <c r="P80" s="4"/>
      <c r="Q80" s="4"/>
      <c r="R80" s="4"/>
    </row>
    <row r="81" spans="1:18" s="2" customFormat="1" x14ac:dyDescent="0.3">
      <c r="A81" s="110">
        <f t="shared" si="5"/>
        <v>2065</v>
      </c>
      <c r="B81" s="107">
        <f>IF(A81&gt;Inputs!$C$20,0,IF(A81=Inputs!$C$14,Inputs!$C$13,ROUND(B80*(1+Inputs!$C$21),-1)))</f>
        <v>0</v>
      </c>
      <c r="C81" s="112">
        <f t="shared" si="6"/>
        <v>9951550</v>
      </c>
      <c r="D81" s="113">
        <f>IF(A81&gt;=Inputs!$C$27,'Disposal &amp; LFG Recovery'!$J$22,0)</f>
        <v>0.39</v>
      </c>
      <c r="E81" s="111"/>
      <c r="F81" s="130">
        <f>'Output-Table'!H88</f>
        <v>223.97933617845734</v>
      </c>
      <c r="G81" s="107">
        <f t="shared" si="7"/>
        <v>0</v>
      </c>
      <c r="H81" s="4"/>
      <c r="I81" s="4"/>
      <c r="J81" s="4"/>
      <c r="K81" s="4"/>
      <c r="L81" s="4"/>
      <c r="M81" s="4"/>
      <c r="N81" s="4"/>
      <c r="O81" s="4"/>
      <c r="P81" s="4"/>
      <c r="Q81" s="4"/>
      <c r="R81" s="4"/>
    </row>
    <row r="82" spans="1:18" s="2" customFormat="1" x14ac:dyDescent="0.3">
      <c r="A82" s="110">
        <f t="shared" si="5"/>
        <v>2066</v>
      </c>
      <c r="B82" s="107">
        <f>IF(A82&gt;Inputs!$C$20,0,IF(A82=Inputs!$C$14,Inputs!$C$13,ROUND(B81*(1+Inputs!$C$21),-1)))</f>
        <v>0</v>
      </c>
      <c r="C82" s="112">
        <f t="shared" si="6"/>
        <v>9951550</v>
      </c>
      <c r="D82" s="113">
        <f>IF(A82&gt;=Inputs!$C$27,'Disposal &amp; LFG Recovery'!$J$22,0)</f>
        <v>0.39</v>
      </c>
      <c r="E82" s="111"/>
      <c r="F82" s="130">
        <f>'Output-Table'!H89</f>
        <v>217.44737647735818</v>
      </c>
      <c r="G82" s="107">
        <f t="shared" si="7"/>
        <v>0</v>
      </c>
      <c r="H82" s="4"/>
      <c r="I82" s="4"/>
      <c r="J82" s="4"/>
      <c r="K82" s="4"/>
      <c r="L82" s="4"/>
      <c r="M82" s="4"/>
      <c r="N82" s="4"/>
      <c r="O82" s="4"/>
      <c r="P82" s="4"/>
      <c r="Q82" s="4"/>
      <c r="R82" s="4"/>
    </row>
    <row r="83" spans="1:18" s="2" customFormat="1" x14ac:dyDescent="0.3">
      <c r="A83" s="110">
        <f t="shared" si="5"/>
        <v>2067</v>
      </c>
      <c r="B83" s="107">
        <f>IF(A83&gt;Inputs!$C$20,0,IF(A83=Inputs!$C$14,Inputs!$C$13,ROUND(B82*(1+Inputs!$C$21),-1)))</f>
        <v>0</v>
      </c>
      <c r="C83" s="112">
        <f t="shared" si="6"/>
        <v>9951550</v>
      </c>
      <c r="D83" s="113">
        <f>IF(A83&gt;=Inputs!$C$27,'Disposal &amp; LFG Recovery'!$J$22,0)</f>
        <v>0.39</v>
      </c>
      <c r="E83" s="111"/>
      <c r="F83" s="130">
        <f>'Output-Table'!H90</f>
        <v>211.1363494919209</v>
      </c>
      <c r="G83" s="107">
        <f t="shared" si="7"/>
        <v>0</v>
      </c>
      <c r="H83" s="4"/>
      <c r="I83" s="4"/>
      <c r="J83" s="4"/>
      <c r="K83" s="4"/>
      <c r="L83" s="4"/>
      <c r="M83" s="4"/>
      <c r="N83" s="4"/>
      <c r="O83" s="4"/>
      <c r="P83" s="4"/>
      <c r="Q83" s="4"/>
      <c r="R83" s="4"/>
    </row>
    <row r="84" spans="1:18" s="2" customFormat="1" x14ac:dyDescent="0.3">
      <c r="A84" s="110">
        <f t="shared" si="5"/>
        <v>2068</v>
      </c>
      <c r="B84" s="107">
        <f>IF(A84&gt;Inputs!$C$20,0,IF(A84=Inputs!$C$14,Inputs!$C$13,ROUND(B83*(1+Inputs!$C$21),-1)))</f>
        <v>0</v>
      </c>
      <c r="C84" s="112">
        <f t="shared" si="6"/>
        <v>9951550</v>
      </c>
      <c r="D84" s="113">
        <f>IF(A84&gt;=Inputs!$C$27,'Disposal &amp; LFG Recovery'!$J$22,0)</f>
        <v>0.39</v>
      </c>
      <c r="E84" s="111"/>
      <c r="F84" s="130">
        <f>'Output-Table'!H91</f>
        <v>205.0363021616445</v>
      </c>
      <c r="G84" s="107">
        <f t="shared" si="7"/>
        <v>0</v>
      </c>
      <c r="H84" s="4"/>
      <c r="I84" s="4"/>
      <c r="J84" s="4"/>
      <c r="K84" s="4"/>
      <c r="L84" s="4"/>
      <c r="M84" s="4"/>
      <c r="N84" s="4"/>
      <c r="O84" s="4"/>
      <c r="P84" s="4"/>
      <c r="Q84" s="4"/>
      <c r="R84" s="4"/>
    </row>
    <row r="85" spans="1:18" s="2" customFormat="1" x14ac:dyDescent="0.3">
      <c r="A85" s="110">
        <f t="shared" si="5"/>
        <v>2069</v>
      </c>
      <c r="B85" s="107">
        <f>IF(A85&gt;Inputs!$C$20,0,IF(A85=Inputs!$C$14,Inputs!$C$13,ROUND(B84*(1+Inputs!$C$21),-1)))</f>
        <v>0</v>
      </c>
      <c r="C85" s="112">
        <f t="shared" si="6"/>
        <v>9951550</v>
      </c>
      <c r="D85" s="113">
        <f>IF(A85&gt;=Inputs!$C$27,'Disposal &amp; LFG Recovery'!$J$22,0)</f>
        <v>0.39</v>
      </c>
      <c r="E85" s="111"/>
      <c r="F85" s="130">
        <f>'Output-Table'!H92</f>
        <v>199.13794608833618</v>
      </c>
      <c r="G85" s="107">
        <f t="shared" si="7"/>
        <v>0</v>
      </c>
      <c r="H85" s="4"/>
      <c r="I85" s="4"/>
      <c r="J85" s="4"/>
      <c r="K85" s="4"/>
      <c r="L85" s="4"/>
      <c r="M85" s="4"/>
      <c r="N85" s="4"/>
      <c r="O85" s="4"/>
      <c r="P85" s="4"/>
      <c r="Q85" s="4"/>
      <c r="R85" s="4"/>
    </row>
    <row r="86" spans="1:18" s="2" customFormat="1" x14ac:dyDescent="0.3">
      <c r="A86" s="110">
        <f t="shared" si="5"/>
        <v>2070</v>
      </c>
      <c r="B86" s="107">
        <f>IF(A86&gt;Inputs!$C$20,0,IF(A86=Inputs!$C$14,Inputs!$C$13,ROUND(B85*(1+Inputs!$C$21),-1)))</f>
        <v>0</v>
      </c>
      <c r="C86" s="112">
        <f t="shared" si="6"/>
        <v>9951550</v>
      </c>
      <c r="D86" s="113">
        <f>IF(A86&gt;=Inputs!$C$27,'Disposal &amp; LFG Recovery'!$J$22,0)</f>
        <v>0.39</v>
      </c>
      <c r="E86" s="111"/>
      <c r="F86" s="130">
        <f>'Output-Table'!H93</f>
        <v>193.43259614331078</v>
      </c>
      <c r="G86" s="107">
        <f t="shared" si="7"/>
        <v>0</v>
      </c>
      <c r="H86" s="4"/>
      <c r="I86" s="4"/>
      <c r="J86" s="4"/>
      <c r="K86" s="4"/>
      <c r="L86" s="4"/>
      <c r="M86" s="4"/>
      <c r="N86" s="4"/>
      <c r="O86" s="4"/>
      <c r="P86" s="4"/>
      <c r="Q86" s="4"/>
      <c r="R86" s="4"/>
    </row>
    <row r="87" spans="1:18" s="2" customFormat="1" x14ac:dyDescent="0.3">
      <c r="A87" s="110">
        <f t="shared" si="5"/>
        <v>2071</v>
      </c>
      <c r="B87" s="107">
        <f>IF(A87&gt;Inputs!$C$20,0,IF(A87=Inputs!$C$14,Inputs!$C$13,ROUND(B86*(1+Inputs!$C$21),-1)))</f>
        <v>0</v>
      </c>
      <c r="C87" s="112">
        <f t="shared" si="6"/>
        <v>9951550</v>
      </c>
      <c r="D87" s="113">
        <f>IF(A87&gt;=Inputs!$C$27,'Disposal &amp; LFG Recovery'!$J$22,0)</f>
        <v>0.39</v>
      </c>
      <c r="E87" s="111"/>
      <c r="F87" s="130">
        <f>'Output-Table'!H94</f>
        <v>187.91211585624237</v>
      </c>
      <c r="G87" s="107">
        <f t="shared" si="7"/>
        <v>0</v>
      </c>
      <c r="H87" s="4"/>
      <c r="I87" s="4"/>
      <c r="J87" s="4"/>
      <c r="K87" s="4"/>
      <c r="L87" s="4"/>
      <c r="M87" s="4"/>
      <c r="N87" s="4"/>
      <c r="O87" s="4"/>
      <c r="P87" s="4"/>
      <c r="Q87" s="4"/>
      <c r="R87" s="4"/>
    </row>
    <row r="88" spans="1:18" s="2" customFormat="1" x14ac:dyDescent="0.3">
      <c r="A88" s="110">
        <f t="shared" si="5"/>
        <v>2072</v>
      </c>
      <c r="B88" s="107">
        <f>IF(A88&gt;Inputs!$C$20,0,IF(A88=Inputs!$C$14,Inputs!$C$13,ROUND(B87*(1+Inputs!$C$21),-1)))</f>
        <v>0</v>
      </c>
      <c r="C88" s="112">
        <f t="shared" si="6"/>
        <v>9951550</v>
      </c>
      <c r="D88" s="113">
        <f>IF(A88&gt;=Inputs!$C$27,'Disposal &amp; LFG Recovery'!$J$22,0)</f>
        <v>0.39</v>
      </c>
      <c r="E88" s="111"/>
      <c r="F88" s="130">
        <f>'Output-Table'!H95</f>
        <v>182.5688687702087</v>
      </c>
      <c r="G88" s="107">
        <f t="shared" si="7"/>
        <v>0</v>
      </c>
      <c r="H88" s="4"/>
      <c r="I88" s="4"/>
      <c r="J88" s="4"/>
      <c r="K88" s="4"/>
      <c r="L88" s="4"/>
      <c r="M88" s="4"/>
      <c r="N88" s="4"/>
      <c r="O88" s="4"/>
      <c r="P88" s="4"/>
      <c r="Q88" s="4"/>
      <c r="R88" s="4"/>
    </row>
    <row r="89" spans="1:18" s="2" customFormat="1" x14ac:dyDescent="0.3">
      <c r="A89" s="110">
        <f t="shared" si="5"/>
        <v>2073</v>
      </c>
      <c r="B89" s="107">
        <f>IF(A89&gt;Inputs!$C$20,0,IF(A89=Inputs!$C$14,Inputs!$C$13,ROUND(B88*(1+Inputs!$C$21),-1)))</f>
        <v>0</v>
      </c>
      <c r="C89" s="112">
        <f t="shared" si="6"/>
        <v>9951550</v>
      </c>
      <c r="D89" s="113">
        <f>IF(A89&gt;=Inputs!$C$27,'Disposal &amp; LFG Recovery'!$J$22,0)</f>
        <v>0.39</v>
      </c>
      <c r="E89" s="111"/>
      <c r="F89" s="130">
        <f>'Output-Table'!H96</f>
        <v>177.3956750496036</v>
      </c>
      <c r="G89" s="107">
        <f t="shared" si="7"/>
        <v>0</v>
      </c>
      <c r="H89" s="4"/>
      <c r="I89" s="4"/>
      <c r="J89" s="4"/>
      <c r="K89" s="4"/>
      <c r="L89" s="4"/>
      <c r="M89" s="4"/>
      <c r="N89" s="4"/>
      <c r="O89" s="4"/>
      <c r="P89" s="4"/>
      <c r="Q89" s="4"/>
      <c r="R89" s="4"/>
    </row>
    <row r="90" spans="1:18" s="2" customFormat="1" x14ac:dyDescent="0.3">
      <c r="A90" s="110">
        <f t="shared" si="5"/>
        <v>2074</v>
      </c>
      <c r="B90" s="107">
        <f>IF(A90&gt;Inputs!$C$20,0,IF(A90=Inputs!$C$14,Inputs!$C$13,ROUND(B89*(1+Inputs!$C$21),-1)))</f>
        <v>0</v>
      </c>
      <c r="C90" s="112">
        <f t="shared" si="6"/>
        <v>9951550</v>
      </c>
      <c r="D90" s="113">
        <f>IF(A90&gt;=Inputs!$C$27,'Disposal &amp; LFG Recovery'!$J$22,0)</f>
        <v>0.39</v>
      </c>
      <c r="E90" s="111"/>
      <c r="F90" s="130">
        <f>'Output-Table'!H97</f>
        <v>172.38577271666657</v>
      </c>
      <c r="G90" s="107">
        <f t="shared" si="7"/>
        <v>0</v>
      </c>
      <c r="H90" s="4"/>
      <c r="I90" s="4"/>
      <c r="J90" s="4"/>
      <c r="K90" s="4"/>
      <c r="L90" s="4"/>
      <c r="M90" s="4"/>
      <c r="N90" s="4"/>
      <c r="O90" s="4"/>
      <c r="P90" s="4"/>
      <c r="Q90" s="4"/>
      <c r="R90" s="4"/>
    </row>
    <row r="91" spans="1:18" s="2" customFormat="1" x14ac:dyDescent="0.3">
      <c r="A91" s="110">
        <f t="shared" si="5"/>
        <v>2075</v>
      </c>
      <c r="B91" s="107">
        <f>IF(A91&gt;Inputs!$C$20,0,IF(A91=Inputs!$C$14,Inputs!$C$13,ROUND(B90*(1+Inputs!$C$21),-1)))</f>
        <v>0</v>
      </c>
      <c r="C91" s="112">
        <f t="shared" si="6"/>
        <v>9951550</v>
      </c>
      <c r="D91" s="113">
        <f>IF(A91&gt;=Inputs!$C$27,'Disposal &amp; LFG Recovery'!$J$22,0)</f>
        <v>0.39</v>
      </c>
      <c r="E91" s="111"/>
      <c r="F91" s="130">
        <f>'Output-Table'!H98</f>
        <v>167.53278297008785</v>
      </c>
      <c r="G91" s="107">
        <f t="shared" si="7"/>
        <v>0</v>
      </c>
      <c r="H91" s="4"/>
      <c r="I91" s="4"/>
      <c r="J91" s="4"/>
      <c r="K91" s="4"/>
      <c r="L91" s="4"/>
      <c r="M91" s="4"/>
      <c r="N91" s="4"/>
      <c r="O91" s="4"/>
      <c r="P91" s="4"/>
      <c r="Q91" s="4"/>
      <c r="R91" s="4"/>
    </row>
    <row r="92" spans="1:18" s="2" customFormat="1" x14ac:dyDescent="0.3">
      <c r="A92" s="110">
        <f t="shared" si="5"/>
        <v>2076</v>
      </c>
      <c r="B92" s="107">
        <f>IF(A92&gt;Inputs!$C$20,0,IF(A92=Inputs!$C$14,Inputs!$C$13,ROUND(B91*(1+Inputs!$C$21),-1)))</f>
        <v>0</v>
      </c>
      <c r="C92" s="112">
        <f t="shared" si="6"/>
        <v>9951550</v>
      </c>
      <c r="D92" s="113">
        <f>IF(A92&gt;=Inputs!$C$27,'Disposal &amp; LFG Recovery'!$J$22,0)</f>
        <v>0.39</v>
      </c>
      <c r="E92" s="111"/>
      <c r="F92" s="130">
        <f>'Output-Table'!H99</f>
        <v>162.83067910694902</v>
      </c>
      <c r="G92" s="107">
        <f t="shared" si="7"/>
        <v>0</v>
      </c>
      <c r="H92" s="4"/>
      <c r="I92" s="4"/>
      <c r="J92" s="4"/>
      <c r="K92" s="4"/>
      <c r="L92" s="4"/>
      <c r="M92" s="4"/>
      <c r="N92" s="4"/>
      <c r="O92" s="4"/>
      <c r="P92" s="4"/>
      <c r="Q92" s="4"/>
      <c r="R92" s="4"/>
    </row>
    <row r="93" spans="1:18" s="2" customFormat="1" x14ac:dyDescent="0.3">
      <c r="A93" s="110">
        <f t="shared" si="5"/>
        <v>2077</v>
      </c>
      <c r="B93" s="107">
        <f>IF(A93&gt;Inputs!$C$20,0,IF(A93=Inputs!$C$14,Inputs!$C$13,ROUND(B92*(1+Inputs!$C$21),-1)))</f>
        <v>0</v>
      </c>
      <c r="C93" s="112">
        <f t="shared" si="6"/>
        <v>9951550</v>
      </c>
      <c r="D93" s="113">
        <f>IF(A93&gt;=Inputs!$C$27,'Disposal &amp; LFG Recovery'!$J$22,0)</f>
        <v>0.39</v>
      </c>
      <c r="E93" s="111"/>
      <c r="F93" s="130">
        <f>'Output-Table'!H100</f>
        <v>158.27375862844775</v>
      </c>
      <c r="G93" s="107">
        <f t="shared" si="7"/>
        <v>0</v>
      </c>
      <c r="H93" s="4"/>
      <c r="I93" s="4"/>
      <c r="J93" s="4"/>
      <c r="K93" s="4"/>
      <c r="L93" s="4"/>
      <c r="M93" s="4"/>
      <c r="N93" s="4"/>
      <c r="O93" s="4"/>
      <c r="P93" s="4"/>
      <c r="Q93" s="4"/>
      <c r="R93" s="4"/>
    </row>
    <row r="94" spans="1:18" s="2" customFormat="1" x14ac:dyDescent="0.3">
      <c r="A94" s="110">
        <f t="shared" si="5"/>
        <v>2078</v>
      </c>
      <c r="B94" s="107">
        <f>IF(A94&gt;Inputs!$C$20,0,IF(A94=Inputs!$C$14,Inputs!$C$13,ROUND(B93*(1+Inputs!$C$21),-1)))</f>
        <v>0</v>
      </c>
      <c r="C94" s="112">
        <f t="shared" si="6"/>
        <v>9951550</v>
      </c>
      <c r="D94" s="113">
        <f>IF(A94&gt;=Inputs!$C$27,'Disposal &amp; LFG Recovery'!$J$22,0)</f>
        <v>0.39</v>
      </c>
      <c r="E94" s="111"/>
      <c r="F94" s="130">
        <f>'Output-Table'!H101</f>
        <v>153.85661816151406</v>
      </c>
      <c r="G94" s="107">
        <f t="shared" si="7"/>
        <v>0</v>
      </c>
      <c r="H94" s="4"/>
      <c r="I94" s="4"/>
      <c r="J94" s="4"/>
      <c r="K94" s="4"/>
      <c r="L94" s="4"/>
      <c r="M94" s="4"/>
      <c r="N94" s="4"/>
      <c r="O94" s="4"/>
      <c r="P94" s="4"/>
      <c r="Q94" s="4"/>
      <c r="R94" s="4"/>
    </row>
    <row r="95" spans="1:18" s="2" customFormat="1" x14ac:dyDescent="0.3">
      <c r="A95" s="110">
        <f t="shared" si="5"/>
        <v>2079</v>
      </c>
      <c r="B95" s="107">
        <f>IF(A95&gt;Inputs!$C$20,0,IF(A95=Inputs!$C$14,Inputs!$C$13,ROUND(B94*(1+Inputs!$C$21),-1)))</f>
        <v>0</v>
      </c>
      <c r="C95" s="112">
        <f t="shared" si="6"/>
        <v>9951550</v>
      </c>
      <c r="D95" s="113">
        <f>IF(A95&gt;=Inputs!$C$27,'Disposal &amp; LFG Recovery'!$J$22,0)</f>
        <v>0.39</v>
      </c>
      <c r="E95" s="111"/>
      <c r="F95" s="130">
        <f>'Output-Table'!H102</f>
        <v>149.57413087355641</v>
      </c>
      <c r="G95" s="107">
        <f t="shared" si="7"/>
        <v>0</v>
      </c>
      <c r="H95" s="4"/>
      <c r="I95" s="4"/>
      <c r="J95" s="4"/>
      <c r="K95" s="4"/>
      <c r="L95" s="4"/>
      <c r="M95" s="4"/>
      <c r="N95" s="4"/>
      <c r="O95" s="4"/>
      <c r="P95" s="4"/>
      <c r="Q95" s="4"/>
      <c r="R95" s="4"/>
    </row>
    <row r="96" spans="1:18" s="2" customFormat="1" x14ac:dyDescent="0.3">
      <c r="A96" s="110">
        <f t="shared" si="5"/>
        <v>2080</v>
      </c>
      <c r="B96" s="107">
        <f>IF(A96&gt;Inputs!$C$20,0,IF(A96=Inputs!$C$14,Inputs!$C$13,ROUND(B95*(1+Inputs!$C$21),-1)))</f>
        <v>0</v>
      </c>
      <c r="C96" s="112">
        <f t="shared" si="6"/>
        <v>9951550</v>
      </c>
      <c r="D96" s="113">
        <f>IF(A96&gt;=Inputs!$C$27,'Disposal &amp; LFG Recovery'!$J$22,0)</f>
        <v>0.39</v>
      </c>
      <c r="E96" s="111"/>
      <c r="F96" s="130">
        <f>'Output-Table'!H103</f>
        <v>145.42142609698598</v>
      </c>
      <c r="G96" s="107">
        <f t="shared" si="7"/>
        <v>0</v>
      </c>
      <c r="H96" s="4"/>
      <c r="I96" s="4"/>
      <c r="J96" s="4"/>
      <c r="K96" s="4"/>
      <c r="L96" s="4"/>
      <c r="M96" s="4"/>
      <c r="N96" s="4"/>
      <c r="O96" s="4"/>
      <c r="P96" s="4"/>
      <c r="Q96" s="4"/>
      <c r="R96" s="4"/>
    </row>
    <row r="97" spans="1:18" s="2" customFormat="1" x14ac:dyDescent="0.3">
      <c r="A97" s="110">
        <f t="shared" si="5"/>
        <v>2081</v>
      </c>
      <c r="B97" s="107">
        <f>IF(A97&gt;Inputs!$C$20,0,IF(A97=Inputs!$C$14,Inputs!$C$13,ROUND(B96*(1+Inputs!$C$21),-1)))</f>
        <v>0</v>
      </c>
      <c r="C97" s="112">
        <f t="shared" si="6"/>
        <v>9951550</v>
      </c>
      <c r="D97" s="113">
        <f>IF(A97&gt;=Inputs!$C$27,'Disposal &amp; LFG Recovery'!$J$22,0)</f>
        <v>0.39</v>
      </c>
      <c r="E97" s="111"/>
      <c r="F97" s="130">
        <f>'Output-Table'!H104</f>
        <v>141.39387091461774</v>
      </c>
      <c r="G97" s="107">
        <f t="shared" si="7"/>
        <v>0</v>
      </c>
      <c r="H97" s="4"/>
      <c r="I97" s="4"/>
      <c r="J97" s="4"/>
      <c r="K97" s="4"/>
      <c r="L97" s="4"/>
      <c r="M97" s="4"/>
      <c r="N97" s="4"/>
      <c r="O97" s="4"/>
      <c r="P97" s="4"/>
      <c r="Q97" s="4"/>
      <c r="R97" s="4"/>
    </row>
    <row r="98" spans="1:18" s="2" customFormat="1" x14ac:dyDescent="0.3">
      <c r="A98" s="110">
        <f t="shared" si="5"/>
        <v>2082</v>
      </c>
      <c r="B98" s="107">
        <f>IF(A98&gt;Inputs!$C$20,0,IF(A98=Inputs!$C$14,Inputs!$C$13,ROUND(B97*(1+Inputs!$C$21),-1)))</f>
        <v>0</v>
      </c>
      <c r="C98" s="112">
        <f t="shared" si="6"/>
        <v>9951550</v>
      </c>
      <c r="D98" s="113">
        <f>IF(A98&gt;=Inputs!$C$27,'Disposal &amp; LFG Recovery'!$J$22,0)</f>
        <v>0.39</v>
      </c>
      <c r="E98" s="111"/>
      <c r="F98" s="130">
        <f>'Output-Table'!H105</f>
        <v>137.48705348715595</v>
      </c>
      <c r="G98" s="107">
        <f t="shared" si="7"/>
        <v>0</v>
      </c>
      <c r="H98" s="4"/>
      <c r="I98" s="4"/>
      <c r="J98" s="4"/>
      <c r="K98" s="4"/>
      <c r="L98" s="4"/>
      <c r="M98" s="4"/>
      <c r="N98" s="4"/>
      <c r="O98" s="4"/>
      <c r="P98" s="4"/>
      <c r="Q98" s="4"/>
      <c r="R98" s="4"/>
    </row>
    <row r="99" spans="1:18" s="2" customFormat="1" x14ac:dyDescent="0.3">
      <c r="A99" s="110">
        <f t="shared" si="5"/>
        <v>2083</v>
      </c>
      <c r="B99" s="107">
        <f>IF(A99&gt;Inputs!$C$20,0,IF(A99=Inputs!$C$14,Inputs!$C$13,ROUND(B98*(1+Inputs!$C$21),-1)))</f>
        <v>0</v>
      </c>
      <c r="C99" s="112">
        <f t="shared" si="6"/>
        <v>9951550</v>
      </c>
      <c r="D99" s="113">
        <f>IF(A99&gt;=Inputs!$C$27,'Disposal &amp; LFG Recovery'!$J$22,0)</f>
        <v>0.39</v>
      </c>
      <c r="E99" s="111"/>
      <c r="F99" s="130">
        <f>'Output-Table'!H106</f>
        <v>133.69676793030348</v>
      </c>
      <c r="G99" s="107">
        <f t="shared" si="7"/>
        <v>0</v>
      </c>
      <c r="H99" s="4"/>
      <c r="I99" s="4"/>
      <c r="J99" s="4"/>
      <c r="K99" s="4"/>
      <c r="L99" s="4"/>
      <c r="M99" s="4"/>
      <c r="N99" s="4"/>
      <c r="O99" s="4"/>
      <c r="P99" s="4"/>
      <c r="Q99" s="4"/>
      <c r="R99" s="4"/>
    </row>
    <row r="100" spans="1:18" s="2" customFormat="1" x14ac:dyDescent="0.3">
      <c r="A100" s="110">
        <f t="shared" si="5"/>
        <v>2084</v>
      </c>
      <c r="B100" s="107">
        <f>IF(A100&gt;Inputs!$C$20,0,IF(A100=Inputs!$C$14,Inputs!$C$13,ROUND(B99*(1+Inputs!$C$21),-1)))</f>
        <v>0</v>
      </c>
      <c r="C100" s="112">
        <f t="shared" si="6"/>
        <v>9951550</v>
      </c>
      <c r="D100" s="113">
        <f>IF(A100&gt;=Inputs!$C$27,'Disposal &amp; LFG Recovery'!$J$22,0)</f>
        <v>0.39</v>
      </c>
      <c r="E100" s="111"/>
      <c r="F100" s="130">
        <f>'Output-Table'!H107</f>
        <v>130.0190005720722</v>
      </c>
      <c r="G100" s="107">
        <f t="shared" si="7"/>
        <v>0</v>
      </c>
      <c r="H100" s="4"/>
      <c r="I100" s="4"/>
      <c r="J100" s="4"/>
      <c r="K100" s="4"/>
      <c r="L100" s="4"/>
      <c r="M100" s="4"/>
      <c r="N100" s="4"/>
      <c r="O100" s="4"/>
      <c r="P100" s="4"/>
      <c r="Q100" s="4"/>
      <c r="R100" s="4"/>
    </row>
    <row r="101" spans="1:18" s="2" customFormat="1" x14ac:dyDescent="0.3">
      <c r="A101" s="110">
        <f t="shared" si="5"/>
        <v>2085</v>
      </c>
      <c r="B101" s="107">
        <f>IF(A101&gt;Inputs!$C$20,0,IF(A101=Inputs!$C$14,Inputs!$C$13,ROUND(B100*(1+Inputs!$C$21),-1)))</f>
        <v>0</v>
      </c>
      <c r="C101" s="112">
        <f t="shared" si="6"/>
        <v>9951550</v>
      </c>
      <c r="D101" s="113">
        <f>IF(A101&gt;=Inputs!$C$27,'Disposal &amp; LFG Recovery'!$J$22,0)</f>
        <v>0.39</v>
      </c>
      <c r="E101" s="111"/>
      <c r="F101" s="130">
        <f>'Output-Table'!H108</f>
        <v>126.44991744103291</v>
      </c>
      <c r="G101" s="107">
        <f t="shared" si="7"/>
        <v>0</v>
      </c>
      <c r="H101" s="4"/>
      <c r="I101" s="4"/>
      <c r="J101" s="4"/>
      <c r="K101" s="4"/>
      <c r="L101" s="4"/>
      <c r="M101" s="4"/>
      <c r="N101" s="4"/>
      <c r="O101" s="4"/>
      <c r="P101" s="4"/>
      <c r="Q101" s="4"/>
      <c r="R101" s="4"/>
    </row>
    <row r="102" spans="1:18" s="2" customFormat="1" x14ac:dyDescent="0.3">
      <c r="A102" s="110">
        <f t="shared" si="5"/>
        <v>2086</v>
      </c>
      <c r="B102" s="107">
        <f>IF(A102&gt;Inputs!$C$20,0,IF(A102=Inputs!$C$14,Inputs!$C$13,ROUND(B101*(1+Inputs!$C$21),-1)))</f>
        <v>0</v>
      </c>
      <c r="C102" s="112">
        <f t="shared" si="6"/>
        <v>9951550</v>
      </c>
      <c r="D102" s="113">
        <f>IF(A102&gt;=Inputs!$C$27,'Disposal &amp; LFG Recovery'!$J$22,0)</f>
        <v>0.39</v>
      </c>
      <c r="E102" s="111"/>
      <c r="F102" s="130">
        <f>'Output-Table'!H109</f>
        <v>122.98585285389979</v>
      </c>
      <c r="G102" s="107">
        <f t="shared" si="7"/>
        <v>0</v>
      </c>
      <c r="H102" s="4"/>
      <c r="I102" s="4"/>
      <c r="J102" s="4"/>
      <c r="K102" s="4"/>
      <c r="L102" s="4"/>
      <c r="M102" s="4"/>
      <c r="N102" s="4"/>
      <c r="O102" s="4"/>
      <c r="P102" s="4"/>
      <c r="Q102" s="4"/>
      <c r="R102" s="4"/>
    </row>
    <row r="103" spans="1:18" s="2" customFormat="1" x14ac:dyDescent="0.3">
      <c r="A103" s="110">
        <f t="shared" si="5"/>
        <v>2087</v>
      </c>
      <c r="B103" s="107">
        <f>IF(A103&gt;Inputs!$C$20,0,IF(A103=Inputs!$C$14,Inputs!$C$13,ROUND(B102*(1+Inputs!$C$21),-1)))</f>
        <v>0</v>
      </c>
      <c r="C103" s="112">
        <f>C102+B103</f>
        <v>9951550</v>
      </c>
      <c r="D103" s="113">
        <f>IF(A103&gt;=Inputs!$C$27,'Disposal &amp; LFG Recovery'!$J$22,0)</f>
        <v>0.39</v>
      </c>
      <c r="E103" s="111"/>
      <c r="F103" s="130">
        <f>'Output-Table'!H110</f>
        <v>119.62329898630567</v>
      </c>
      <c r="G103" s="107">
        <f t="shared" si="7"/>
        <v>0</v>
      </c>
      <c r="H103" s="4"/>
      <c r="I103" s="4"/>
      <c r="J103" s="4"/>
      <c r="K103" s="4"/>
      <c r="L103" s="4"/>
      <c r="M103" s="4"/>
      <c r="N103" s="4"/>
      <c r="O103" s="4"/>
      <c r="P103" s="4"/>
      <c r="Q103" s="4"/>
      <c r="R103" s="4"/>
    </row>
    <row r="104" spans="1:18" s="2" customFormat="1" x14ac:dyDescent="0.3">
      <c r="A104" s="110">
        <f t="shared" si="5"/>
        <v>2088</v>
      </c>
      <c r="B104" s="107">
        <f>IF(A104&gt;Inputs!$C$20,0,IF(A104=Inputs!$C$14,Inputs!$C$13,ROUND(B103*(1+Inputs!$C$21),-1)))</f>
        <v>0</v>
      </c>
      <c r="C104" s="112">
        <f>C103+B104</f>
        <v>9951550</v>
      </c>
      <c r="D104" s="113">
        <f>IF(A104&gt;=Inputs!$C$27,'Disposal &amp; LFG Recovery'!$J$22,0)</f>
        <v>0.39</v>
      </c>
      <c r="E104" s="111"/>
      <c r="F104" s="130">
        <f>'Output-Table'!H111</f>
        <v>116.35889632418353</v>
      </c>
      <c r="G104" s="107">
        <f t="shared" si="7"/>
        <v>0</v>
      </c>
      <c r="H104" s="4"/>
      <c r="I104" s="4"/>
      <c r="J104" s="4"/>
      <c r="K104" s="4"/>
      <c r="L104" s="4"/>
      <c r="M104" s="4"/>
      <c r="N104" s="4"/>
      <c r="O104" s="4"/>
      <c r="P104" s="4"/>
      <c r="Q104" s="4"/>
      <c r="R104" s="4"/>
    </row>
    <row r="105" spans="1:18" s="2" customFormat="1" x14ac:dyDescent="0.3">
      <c r="A105" s="110">
        <f t="shared" si="5"/>
        <v>2089</v>
      </c>
      <c r="B105" s="107">
        <f>IF(A105&gt;Inputs!$C$20,0,IF(A105=Inputs!$C$14,Inputs!$C$13,ROUND(B104*(1+Inputs!$C$21),-1)))</f>
        <v>0</v>
      </c>
      <c r="C105" s="112">
        <f>C104+B105</f>
        <v>9951550</v>
      </c>
      <c r="D105" s="113">
        <f>IF(A105&gt;=Inputs!$C$27,'Disposal &amp; LFG Recovery'!$J$22,0)</f>
        <v>0.39</v>
      </c>
      <c r="E105" s="111"/>
      <c r="F105" s="130">
        <f>'Output-Table'!H112</f>
        <v>113.18942490505559</v>
      </c>
      <c r="G105" s="107">
        <f t="shared" si="7"/>
        <v>0</v>
      </c>
      <c r="H105" s="4"/>
      <c r="I105" s="4"/>
      <c r="J105" s="4"/>
      <c r="K105" s="4"/>
      <c r="L105" s="4"/>
      <c r="M105" s="4"/>
      <c r="N105" s="4"/>
      <c r="O105" s="4"/>
      <c r="P105" s="4"/>
      <c r="Q105" s="4"/>
      <c r="R105" s="4"/>
    </row>
    <row r="106" spans="1:18" s="2" customFormat="1" x14ac:dyDescent="0.3">
      <c r="K106" s="3"/>
      <c r="L106" s="3"/>
      <c r="M106" s="3"/>
      <c r="N106" s="3"/>
      <c r="O106" s="3"/>
      <c r="P106" s="3"/>
      <c r="Q106" s="3"/>
      <c r="R106" s="3"/>
    </row>
    <row r="107" spans="1:18" s="2" customFormat="1" x14ac:dyDescent="0.3">
      <c r="K107" s="3"/>
      <c r="L107" s="3"/>
      <c r="M107" s="3"/>
      <c r="N107" s="3"/>
      <c r="O107" s="3"/>
      <c r="P107" s="3"/>
      <c r="Q107" s="3"/>
      <c r="R107" s="3"/>
    </row>
    <row r="108" spans="1:18" s="2" customFormat="1" x14ac:dyDescent="0.3">
      <c r="K108" s="3"/>
      <c r="L108" s="3"/>
      <c r="M108" s="3"/>
      <c r="N108" s="3"/>
      <c r="O108" s="3"/>
      <c r="P108" s="3"/>
      <c r="Q108" s="3"/>
      <c r="R108" s="3"/>
    </row>
    <row r="109" spans="1:18" s="2" customFormat="1" x14ac:dyDescent="0.3">
      <c r="K109" s="3"/>
      <c r="L109" s="3"/>
      <c r="M109" s="3"/>
      <c r="N109" s="3"/>
      <c r="O109" s="3"/>
      <c r="P109" s="3"/>
      <c r="Q109" s="3"/>
      <c r="R109" s="3"/>
    </row>
    <row r="110" spans="1:18" s="2" customFormat="1" x14ac:dyDescent="0.3">
      <c r="K110" s="3"/>
      <c r="L110" s="3"/>
      <c r="M110" s="3"/>
      <c r="N110" s="3"/>
      <c r="O110" s="3"/>
      <c r="P110" s="3"/>
      <c r="Q110" s="3"/>
      <c r="R110" s="3"/>
    </row>
    <row r="111" spans="1:18" s="2" customFormat="1" x14ac:dyDescent="0.3">
      <c r="K111" s="3"/>
      <c r="L111" s="3"/>
      <c r="M111" s="3"/>
      <c r="N111" s="3"/>
      <c r="O111" s="3"/>
      <c r="P111" s="3"/>
      <c r="Q111" s="3"/>
      <c r="R111" s="3"/>
    </row>
  </sheetData>
  <sheetProtection password="EB32" sheet="1" objects="1" scenarios="1"/>
  <protectedRanges>
    <protectedRange password="CB5B" sqref="F6:F105 E6:E28 E74:E105" name="Flow data inputs"/>
    <protectedRange password="CB5B" sqref="D6:D105" name="Collection efficiency inputs_1"/>
    <protectedRange password="CB5B" sqref="E29:E73" name="Flow data inputs_1"/>
    <protectedRange password="CB5B" sqref="B6:B105" name="Waste inputs_3"/>
  </protectedRanges>
  <mergeCells count="8">
    <mergeCell ref="J11:J13"/>
    <mergeCell ref="I6:R7"/>
    <mergeCell ref="A4:G4"/>
    <mergeCell ref="A1:G1"/>
    <mergeCell ref="A2:G2"/>
    <mergeCell ref="I5:R5"/>
    <mergeCell ref="I8:R8"/>
    <mergeCell ref="I9:R9"/>
  </mergeCells>
  <phoneticPr fontId="4" type="noConversion"/>
  <pageMargins left="0.75" right="0.75" top="1" bottom="1" header="0.5" footer="0.5"/>
  <pageSetup scale="9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15"/>
  <sheetViews>
    <sheetView zoomScale="75" zoomScaleNormal="75" workbookViewId="0">
      <selection activeCell="K34" sqref="K34:M34"/>
    </sheetView>
  </sheetViews>
  <sheetFormatPr defaultColWidth="9" defaultRowHeight="13.5" x14ac:dyDescent="0.3"/>
  <cols>
    <col min="1" max="1" width="8.08203125" style="35" customWidth="1"/>
    <col min="2" max="2" width="14" style="35" customWidth="1"/>
    <col min="3" max="3" width="13.83203125" style="35" customWidth="1"/>
    <col min="4" max="4" width="11.25" style="35" customWidth="1"/>
    <col min="5" max="5" width="9.75" style="35" customWidth="1"/>
    <col min="6" max="6" width="10.33203125" style="35" customWidth="1"/>
    <col min="7" max="7" width="14.08203125" style="35" customWidth="1"/>
    <col min="8" max="104" width="13.58203125" style="35" customWidth="1"/>
    <col min="105" max="16384" width="9" style="35"/>
  </cols>
  <sheetData>
    <row r="1" spans="1:26" x14ac:dyDescent="0.3">
      <c r="A1" s="34">
        <v>0.5</v>
      </c>
      <c r="B1" s="35" t="s">
        <v>16</v>
      </c>
      <c r="F1" s="34">
        <f>A1</f>
        <v>0.5</v>
      </c>
      <c r="G1" s="35" t="s">
        <v>37</v>
      </c>
    </row>
    <row r="2" spans="1:26" ht="14" thickBot="1" x14ac:dyDescent="0.35">
      <c r="A2" s="36">
        <f>Amounts!G2</f>
        <v>1.0999999999999999E-2</v>
      </c>
      <c r="B2" s="37"/>
      <c r="C2" s="37"/>
    </row>
    <row r="3" spans="1:26" ht="14" thickTop="1" x14ac:dyDescent="0.3">
      <c r="A3" s="38"/>
      <c r="B3" s="39"/>
      <c r="C3" s="39"/>
      <c r="D3" s="40"/>
      <c r="E3" s="41"/>
      <c r="F3" s="42"/>
      <c r="G3" s="43"/>
      <c r="H3" s="41"/>
      <c r="I3" s="44"/>
      <c r="J3" s="35">
        <f>A7</f>
        <v>1990</v>
      </c>
      <c r="K3" s="73">
        <v>0</v>
      </c>
    </row>
    <row r="4" spans="1:26" x14ac:dyDescent="0.3">
      <c r="A4" s="45"/>
      <c r="B4" s="46"/>
      <c r="C4" s="47" t="s">
        <v>1</v>
      </c>
      <c r="D4" s="452" t="s">
        <v>33</v>
      </c>
      <c r="E4" s="453"/>
      <c r="F4" s="454"/>
      <c r="G4" s="48" t="s">
        <v>6</v>
      </c>
      <c r="H4" s="49"/>
      <c r="I4" s="50"/>
      <c r="J4" s="35">
        <f t="shared" ref="J4:J67" si="0">J3+1</f>
        <v>1991</v>
      </c>
      <c r="K4" s="75">
        <f>$G21</f>
        <v>0</v>
      </c>
    </row>
    <row r="5" spans="1:26" x14ac:dyDescent="0.3">
      <c r="A5" s="45"/>
      <c r="B5" s="51" t="s">
        <v>2</v>
      </c>
      <c r="C5" s="52" t="s">
        <v>3</v>
      </c>
      <c r="D5" s="53"/>
      <c r="E5" s="54"/>
      <c r="F5" s="55"/>
      <c r="G5" s="56" t="s">
        <v>34</v>
      </c>
      <c r="H5" s="49"/>
      <c r="I5" s="57"/>
      <c r="J5" s="35">
        <f t="shared" si="0"/>
        <v>1992</v>
      </c>
      <c r="K5" s="75">
        <f>$G31</f>
        <v>0</v>
      </c>
    </row>
    <row r="6" spans="1:26" x14ac:dyDescent="0.3">
      <c r="A6" s="58" t="s">
        <v>0</v>
      </c>
      <c r="B6" s="59" t="s">
        <v>4</v>
      </c>
      <c r="C6" s="59" t="s">
        <v>5</v>
      </c>
      <c r="D6" s="60" t="s">
        <v>14</v>
      </c>
      <c r="E6" s="60" t="s">
        <v>7</v>
      </c>
      <c r="F6" s="61" t="s">
        <v>8</v>
      </c>
      <c r="G6" s="85" t="s">
        <v>7</v>
      </c>
      <c r="H6" s="63" t="s">
        <v>9</v>
      </c>
      <c r="I6" s="64" t="s">
        <v>10</v>
      </c>
      <c r="J6" s="35">
        <f t="shared" si="0"/>
        <v>1993</v>
      </c>
      <c r="K6" s="75">
        <f>$G41</f>
        <v>0</v>
      </c>
      <c r="L6" s="65"/>
    </row>
    <row r="7" spans="1:26" x14ac:dyDescent="0.3">
      <c r="A7" s="66">
        <f>Amounts!A4</f>
        <v>1990</v>
      </c>
      <c r="B7" s="67">
        <f>LOOKUP(A7+0.01,AmountsB!$A$4:$A$103,AmountsB!$B$4:$B$103)*0.1*$A$2</f>
        <v>0</v>
      </c>
      <c r="C7" s="68">
        <f>B7</f>
        <v>0</v>
      </c>
      <c r="D7" s="69">
        <v>0</v>
      </c>
      <c r="E7" s="67">
        <f t="shared" ref="E7:E70" si="1">D7/(365*24*60)*1.00201</f>
        <v>0</v>
      </c>
      <c r="F7" s="70">
        <f>E7*60*1012/1000000</f>
        <v>0</v>
      </c>
      <c r="G7" s="67">
        <f>E7/'Lookup Tables'!$C$48</f>
        <v>0</v>
      </c>
      <c r="H7" s="70" t="e">
        <f t="shared" ref="H7:H70" si="2">G7*60*24*365/(C7*2000)</f>
        <v>#DIV/0!</v>
      </c>
      <c r="I7" s="71">
        <f>G7*60*24/1000000</f>
        <v>0</v>
      </c>
      <c r="J7" s="35">
        <f t="shared" si="0"/>
        <v>1994</v>
      </c>
      <c r="K7" s="75">
        <f>$G51</f>
        <v>0</v>
      </c>
      <c r="L7" s="65"/>
    </row>
    <row r="8" spans="1:26" x14ac:dyDescent="0.3">
      <c r="A8" s="66">
        <f>A7+0.1</f>
        <v>1990.1</v>
      </c>
      <c r="B8" s="67">
        <f>LOOKUP(A8+0.01,AmountsB!$A$4:$A$103,AmountsB!$B$4:$B$103)*0.1*$A$2</f>
        <v>0</v>
      </c>
      <c r="C8" s="68">
        <f>C7+B8</f>
        <v>0</v>
      </c>
      <c r="D8" s="69">
        <v>0</v>
      </c>
      <c r="E8" s="67">
        <f t="shared" si="1"/>
        <v>0</v>
      </c>
      <c r="F8" s="70">
        <f>E8*60*1012/1000000</f>
        <v>0</v>
      </c>
      <c r="G8" s="67">
        <f>E8/'Lookup Tables'!$C$48</f>
        <v>0</v>
      </c>
      <c r="H8" s="70" t="e">
        <f t="shared" si="2"/>
        <v>#DIV/0!</v>
      </c>
      <c r="I8" s="71">
        <f>G8*60*24/1000000</f>
        <v>0</v>
      </c>
      <c r="J8" s="35">
        <f t="shared" si="0"/>
        <v>1995</v>
      </c>
      <c r="K8" s="75">
        <f>$G61</f>
        <v>0</v>
      </c>
      <c r="L8" s="74"/>
      <c r="M8" s="74"/>
      <c r="N8" s="74"/>
      <c r="O8" s="74"/>
      <c r="P8" s="74"/>
      <c r="Q8" s="74"/>
      <c r="R8" s="74"/>
      <c r="S8" s="74"/>
      <c r="T8" s="74"/>
      <c r="U8" s="74"/>
      <c r="V8" s="74"/>
      <c r="W8" s="74"/>
      <c r="X8" s="74"/>
      <c r="Y8" s="74"/>
      <c r="Z8" s="74"/>
    </row>
    <row r="9" spans="1:26" x14ac:dyDescent="0.3">
      <c r="A9" s="66">
        <f t="shared" ref="A9:A15" si="3">A8+0.1</f>
        <v>1990.1999999999998</v>
      </c>
      <c r="B9" s="67">
        <f>LOOKUP(A9+0.01,AmountsB!$A$4:$A$103,AmountsB!$B$4:$B$103)*0.1*$A$2</f>
        <v>0</v>
      </c>
      <c r="C9" s="68">
        <f t="shared" ref="C9:C72" si="4">C8+B9</f>
        <v>0</v>
      </c>
      <c r="D9" s="69">
        <v>0</v>
      </c>
      <c r="E9" s="67">
        <f t="shared" si="1"/>
        <v>0</v>
      </c>
      <c r="F9" s="70">
        <f t="shared" ref="F9:F16" si="5">E9*60*1012/1000000</f>
        <v>0</v>
      </c>
      <c r="G9" s="67">
        <f>E9/'Lookup Tables'!$C$48</f>
        <v>0</v>
      </c>
      <c r="H9" s="70" t="e">
        <f t="shared" si="2"/>
        <v>#DIV/0!</v>
      </c>
      <c r="I9" s="71">
        <f t="shared" ref="I9:I15" si="6">G9*60*24/1000000</f>
        <v>0</v>
      </c>
      <c r="J9" s="35">
        <f t="shared" si="0"/>
        <v>1996</v>
      </c>
      <c r="K9" s="75">
        <f>$G71</f>
        <v>0</v>
      </c>
      <c r="L9" s="74"/>
      <c r="M9" s="74"/>
      <c r="N9" s="74"/>
      <c r="O9" s="74"/>
      <c r="P9" s="74"/>
      <c r="Q9" s="74"/>
      <c r="R9" s="74"/>
      <c r="S9" s="74"/>
      <c r="T9" s="74"/>
      <c r="U9" s="74"/>
      <c r="V9" s="74"/>
      <c r="W9" s="74"/>
      <c r="X9" s="74"/>
      <c r="Y9" s="74"/>
      <c r="Z9" s="74"/>
    </row>
    <row r="10" spans="1:26" x14ac:dyDescent="0.3">
      <c r="A10" s="66">
        <f t="shared" si="3"/>
        <v>1990.2999999999997</v>
      </c>
      <c r="B10" s="67">
        <f>LOOKUP(A10+0.01,AmountsB!$A$4:$A$103,AmountsB!$B$4:$B$103)*0.1*$A$2</f>
        <v>0</v>
      </c>
      <c r="C10" s="68">
        <f t="shared" si="4"/>
        <v>0</v>
      </c>
      <c r="D10" s="69">
        <v>0</v>
      </c>
      <c r="E10" s="67">
        <f t="shared" si="1"/>
        <v>0</v>
      </c>
      <c r="F10" s="70">
        <f t="shared" si="5"/>
        <v>0</v>
      </c>
      <c r="G10" s="67">
        <f>E10/'Lookup Tables'!$C$48</f>
        <v>0</v>
      </c>
      <c r="H10" s="70" t="e">
        <f t="shared" si="2"/>
        <v>#DIV/0!</v>
      </c>
      <c r="I10" s="71">
        <f t="shared" si="6"/>
        <v>0</v>
      </c>
      <c r="J10" s="35">
        <f t="shared" si="0"/>
        <v>1997</v>
      </c>
      <c r="K10" s="75">
        <f>$G81</f>
        <v>0</v>
      </c>
      <c r="L10" s="74"/>
      <c r="M10" s="74"/>
      <c r="N10" s="74"/>
      <c r="O10" s="74"/>
      <c r="P10" s="74"/>
      <c r="Q10" s="74"/>
      <c r="R10" s="74"/>
      <c r="S10" s="74"/>
      <c r="T10" s="74"/>
      <c r="U10" s="74"/>
      <c r="V10" s="74"/>
      <c r="W10" s="74"/>
      <c r="X10" s="74"/>
      <c r="Y10" s="74"/>
      <c r="Z10" s="74"/>
    </row>
    <row r="11" spans="1:26" x14ac:dyDescent="0.3">
      <c r="A11" s="66">
        <f t="shared" si="3"/>
        <v>1990.3999999999996</v>
      </c>
      <c r="B11" s="67">
        <f>LOOKUP(A11+0.01,AmountsB!$A$4:$A$103,AmountsB!$B$4:$B$103)*0.1*$A$2</f>
        <v>0</v>
      </c>
      <c r="C11" s="68">
        <f t="shared" si="4"/>
        <v>0</v>
      </c>
      <c r="D11" s="69">
        <v>0</v>
      </c>
      <c r="E11" s="67">
        <f t="shared" si="1"/>
        <v>0</v>
      </c>
      <c r="F11" s="70">
        <f t="shared" si="5"/>
        <v>0</v>
      </c>
      <c r="G11" s="67">
        <f>E11/'Lookup Tables'!$C$48</f>
        <v>0</v>
      </c>
      <c r="H11" s="70" t="e">
        <f t="shared" si="2"/>
        <v>#DIV/0!</v>
      </c>
      <c r="I11" s="71">
        <f t="shared" si="6"/>
        <v>0</v>
      </c>
      <c r="J11" s="35">
        <f t="shared" si="0"/>
        <v>1998</v>
      </c>
      <c r="K11" s="75">
        <f>$G91</f>
        <v>0</v>
      </c>
      <c r="L11" s="74"/>
      <c r="M11" s="74"/>
      <c r="N11" s="74"/>
      <c r="O11" s="74"/>
      <c r="P11" s="74"/>
      <c r="Q11" s="74"/>
      <c r="R11" s="74"/>
      <c r="S11" s="74"/>
      <c r="T11" s="74"/>
      <c r="U11" s="74"/>
      <c r="V11" s="74"/>
      <c r="W11" s="74"/>
      <c r="X11" s="74"/>
      <c r="Y11" s="74"/>
      <c r="Z11" s="74"/>
    </row>
    <row r="12" spans="1:26" x14ac:dyDescent="0.3">
      <c r="A12" s="66">
        <f t="shared" si="3"/>
        <v>1990.4999999999995</v>
      </c>
      <c r="B12" s="67">
        <f>LOOKUP(A12+0.01,AmountsB!$A$4:$A$103,AmountsB!$B$4:$B$103)*0.1*$A$2</f>
        <v>0</v>
      </c>
      <c r="C12" s="68">
        <f t="shared" si="4"/>
        <v>0</v>
      </c>
      <c r="D12" s="67">
        <f t="array" ref="D12">SUM($B$7:$B7*$F$1009*EXP(-$F$1009*($A12-$A$7:$A7)))*$F$1010</f>
        <v>0</v>
      </c>
      <c r="E12" s="67">
        <f t="shared" si="1"/>
        <v>0</v>
      </c>
      <c r="F12" s="70">
        <f t="shared" si="5"/>
        <v>0</v>
      </c>
      <c r="G12" s="67">
        <f>E12/'Lookup Tables'!$C$48</f>
        <v>0</v>
      </c>
      <c r="H12" s="70" t="e">
        <f t="shared" si="2"/>
        <v>#DIV/0!</v>
      </c>
      <c r="I12" s="71">
        <f t="shared" si="6"/>
        <v>0</v>
      </c>
      <c r="J12" s="35">
        <f t="shared" si="0"/>
        <v>1999</v>
      </c>
      <c r="K12" s="75">
        <f>$G101</f>
        <v>0</v>
      </c>
      <c r="L12" s="74"/>
      <c r="M12" s="74"/>
      <c r="N12" s="74"/>
      <c r="O12" s="74"/>
      <c r="P12" s="74"/>
      <c r="Q12" s="74"/>
      <c r="R12" s="74"/>
      <c r="S12" s="74"/>
      <c r="T12" s="74"/>
      <c r="U12" s="74"/>
      <c r="V12" s="74"/>
      <c r="W12" s="74"/>
      <c r="X12" s="74"/>
      <c r="Y12" s="74"/>
      <c r="Z12" s="74"/>
    </row>
    <row r="13" spans="1:26" x14ac:dyDescent="0.3">
      <c r="A13" s="66">
        <f t="shared" si="3"/>
        <v>1990.5999999999995</v>
      </c>
      <c r="B13" s="67">
        <f>LOOKUP(A13+0.01,AmountsB!$A$4:$A$103,AmountsB!$B$4:$B$103)*0.1*$A$2</f>
        <v>0</v>
      </c>
      <c r="C13" s="68">
        <f t="shared" si="4"/>
        <v>0</v>
      </c>
      <c r="D13" s="67">
        <f t="array" ref="D13">SUM($B$7:$B8*$F$1009*EXP(-$F$1009*($A13-$A$7:$A8)))*$F$1010</f>
        <v>0</v>
      </c>
      <c r="E13" s="67">
        <f t="shared" si="1"/>
        <v>0</v>
      </c>
      <c r="F13" s="70">
        <f t="shared" si="5"/>
        <v>0</v>
      </c>
      <c r="G13" s="67">
        <f>E13/'Lookup Tables'!$C$48</f>
        <v>0</v>
      </c>
      <c r="H13" s="70" t="e">
        <f t="shared" si="2"/>
        <v>#DIV/0!</v>
      </c>
      <c r="I13" s="71">
        <f t="shared" si="6"/>
        <v>0</v>
      </c>
      <c r="J13" s="35">
        <f t="shared" si="0"/>
        <v>2000</v>
      </c>
      <c r="K13" s="75">
        <f>$G111</f>
        <v>0</v>
      </c>
      <c r="L13" s="74"/>
      <c r="M13" s="74"/>
      <c r="N13" s="74"/>
      <c r="O13" s="74"/>
      <c r="P13" s="74"/>
      <c r="Q13" s="74"/>
      <c r="R13" s="74"/>
      <c r="S13" s="74"/>
      <c r="T13" s="74"/>
      <c r="U13" s="74"/>
      <c r="V13" s="74"/>
      <c r="W13" s="74"/>
      <c r="X13" s="74"/>
      <c r="Y13" s="74"/>
      <c r="Z13" s="74"/>
    </row>
    <row r="14" spans="1:26" x14ac:dyDescent="0.3">
      <c r="A14" s="66">
        <f t="shared" si="3"/>
        <v>1990.6999999999994</v>
      </c>
      <c r="B14" s="67">
        <f>LOOKUP(A14+0.01,AmountsB!$A$4:$A$103,AmountsB!$B$4:$B$103)*0.1*$A$2</f>
        <v>0</v>
      </c>
      <c r="C14" s="68">
        <f t="shared" si="4"/>
        <v>0</v>
      </c>
      <c r="D14" s="67">
        <f t="array" ref="D14">SUM($B$7:$B9*$F$1009*EXP(-$F$1009*($A14-$A$7:$A9)))*$F$1010</f>
        <v>0</v>
      </c>
      <c r="E14" s="67">
        <f t="shared" si="1"/>
        <v>0</v>
      </c>
      <c r="F14" s="70">
        <f t="shared" si="5"/>
        <v>0</v>
      </c>
      <c r="G14" s="67">
        <f>E14/'Lookup Tables'!$C$48</f>
        <v>0</v>
      </c>
      <c r="H14" s="70" t="e">
        <f t="shared" si="2"/>
        <v>#DIV/0!</v>
      </c>
      <c r="I14" s="71">
        <f t="shared" si="6"/>
        <v>0</v>
      </c>
      <c r="J14" s="35">
        <f t="shared" si="0"/>
        <v>2001</v>
      </c>
      <c r="K14" s="75">
        <f>$G121</f>
        <v>1.3903296049639116</v>
      </c>
      <c r="L14" s="74"/>
      <c r="M14" s="74"/>
      <c r="N14" s="74"/>
      <c r="O14" s="74"/>
      <c r="P14" s="74"/>
      <c r="Q14" s="74"/>
      <c r="R14" s="74"/>
      <c r="S14" s="74"/>
      <c r="T14" s="74"/>
      <c r="U14" s="74"/>
      <c r="V14" s="74"/>
      <c r="W14" s="74"/>
      <c r="X14" s="74"/>
      <c r="Y14" s="74"/>
      <c r="Z14" s="74"/>
    </row>
    <row r="15" spans="1:26" x14ac:dyDescent="0.3">
      <c r="A15" s="66">
        <f t="shared" si="3"/>
        <v>1990.7999999999993</v>
      </c>
      <c r="B15" s="67">
        <f>LOOKUP(A15+0.01,AmountsB!$A$4:$A$103,AmountsB!$B$4:$B$103)*0.1*$A$2</f>
        <v>0</v>
      </c>
      <c r="C15" s="68">
        <f t="shared" si="4"/>
        <v>0</v>
      </c>
      <c r="D15" s="67">
        <f t="array" ref="D15">SUM($B$7:$B10*$F$1009*EXP(-$F$1009*($A15-$A$7:$A10)))*$F$1010</f>
        <v>0</v>
      </c>
      <c r="E15" s="67">
        <f t="shared" si="1"/>
        <v>0</v>
      </c>
      <c r="F15" s="70">
        <f t="shared" si="5"/>
        <v>0</v>
      </c>
      <c r="G15" s="67">
        <f>E15/'Lookup Tables'!$C$48</f>
        <v>0</v>
      </c>
      <c r="H15" s="70" t="e">
        <f t="shared" si="2"/>
        <v>#DIV/0!</v>
      </c>
      <c r="I15" s="71">
        <f t="shared" si="6"/>
        <v>0</v>
      </c>
      <c r="J15" s="35">
        <f t="shared" si="0"/>
        <v>2002</v>
      </c>
      <c r="K15" s="75">
        <f>$G131</f>
        <v>2.7891531726802783</v>
      </c>
      <c r="L15" s="74"/>
      <c r="M15" s="74"/>
      <c r="N15" s="74"/>
      <c r="O15" s="74"/>
      <c r="P15" s="74"/>
      <c r="Q15" s="74"/>
      <c r="R15" s="74"/>
      <c r="S15" s="74"/>
      <c r="T15" s="74"/>
      <c r="U15" s="74"/>
      <c r="V15" s="74"/>
      <c r="W15" s="74"/>
      <c r="X15" s="74"/>
      <c r="Y15" s="74"/>
      <c r="Z15" s="74"/>
    </row>
    <row r="16" spans="1:26" x14ac:dyDescent="0.3">
      <c r="A16" s="66">
        <f>A15+0.1</f>
        <v>1990.8999999999992</v>
      </c>
      <c r="B16" s="67">
        <f>LOOKUP(A16+0.01,AmountsB!$A$4:$A$103,AmountsB!$B$4:$B$103)*0.1*$A$2</f>
        <v>0</v>
      </c>
      <c r="C16" s="68">
        <f t="shared" si="4"/>
        <v>0</v>
      </c>
      <c r="D16" s="67">
        <f t="array" ref="D16">SUM($B$7:$B11*$F$1009*EXP(-$F$1009*($A16-$A$7:$A11)))*$F$1010</f>
        <v>0</v>
      </c>
      <c r="E16" s="67">
        <f t="shared" si="1"/>
        <v>0</v>
      </c>
      <c r="F16" s="70">
        <f t="shared" si="5"/>
        <v>0</v>
      </c>
      <c r="G16" s="67">
        <f>E16/'Lookup Tables'!$C$48</f>
        <v>0</v>
      </c>
      <c r="H16" s="70" t="e">
        <f t="shared" si="2"/>
        <v>#DIV/0!</v>
      </c>
      <c r="I16" s="71">
        <f>G16*60*24/1000000</f>
        <v>0</v>
      </c>
      <c r="J16" s="35">
        <f t="shared" si="0"/>
        <v>2003</v>
      </c>
      <c r="K16" s="75">
        <f>$G141</f>
        <v>4.196884525709506</v>
      </c>
      <c r="L16" s="74"/>
      <c r="M16" s="74"/>
      <c r="N16" s="74"/>
      <c r="O16" s="74"/>
      <c r="P16" s="74"/>
      <c r="Q16" s="74"/>
      <c r="R16" s="74"/>
      <c r="S16" s="74"/>
      <c r="T16" s="74"/>
      <c r="U16" s="74"/>
      <c r="V16" s="74"/>
      <c r="W16" s="74"/>
      <c r="X16" s="74"/>
      <c r="Y16" s="74"/>
      <c r="Z16" s="74"/>
    </row>
    <row r="17" spans="1:26" x14ac:dyDescent="0.3">
      <c r="A17" s="66">
        <f>A16+0.1</f>
        <v>1990.9999999999991</v>
      </c>
      <c r="B17" s="67">
        <f>LOOKUP(A17+0.01,AmountsB!$A$4:$A$103,AmountsB!$B$4:$B$103)*0.1*$A$2</f>
        <v>0</v>
      </c>
      <c r="C17" s="68">
        <f t="shared" si="4"/>
        <v>0</v>
      </c>
      <c r="D17" s="67">
        <f t="array" ref="D17">SUM($B$7:$B12*$F$1009*EXP(-$F$1009*($A17-$A$7:$A12)))*$F$1010</f>
        <v>0</v>
      </c>
      <c r="E17" s="67">
        <f t="shared" si="1"/>
        <v>0</v>
      </c>
      <c r="F17" s="70">
        <f>E17*60*1012/1000000</f>
        <v>0</v>
      </c>
      <c r="G17" s="67">
        <f>E17/'Lookup Tables'!$C$48</f>
        <v>0</v>
      </c>
      <c r="H17" s="70" t="e">
        <f t="shared" si="2"/>
        <v>#DIV/0!</v>
      </c>
      <c r="I17" s="71">
        <f>G17*60*24/1000000</f>
        <v>0</v>
      </c>
      <c r="J17" s="35">
        <f t="shared" si="0"/>
        <v>2004</v>
      </c>
      <c r="K17" s="75">
        <f>$G151</f>
        <v>5.6139726495776809</v>
      </c>
      <c r="L17" s="74"/>
      <c r="M17" s="74"/>
      <c r="N17" s="74"/>
      <c r="O17" s="74"/>
      <c r="P17" s="74"/>
      <c r="Q17" s="74"/>
      <c r="R17" s="74"/>
      <c r="S17" s="74"/>
      <c r="T17" s="74"/>
      <c r="U17" s="74"/>
      <c r="V17" s="74"/>
      <c r="W17" s="74"/>
      <c r="X17" s="74"/>
      <c r="Y17" s="74"/>
      <c r="Z17" s="74"/>
    </row>
    <row r="18" spans="1:26" x14ac:dyDescent="0.3">
      <c r="A18" s="66">
        <f>A17+0.1</f>
        <v>1991.099999999999</v>
      </c>
      <c r="B18" s="67">
        <f>LOOKUP(A18+0.01,AmountsB!$A$4:$A$103,AmountsB!$B$4:$B$103)*0.1*$A$2</f>
        <v>0</v>
      </c>
      <c r="C18" s="68">
        <f t="shared" si="4"/>
        <v>0</v>
      </c>
      <c r="D18" s="67">
        <f t="array" ref="D18">SUM($B$7:$B13*$F$1009*EXP(-$F$1009*($A18-$A$7:$A13)))*$F$1010</f>
        <v>0</v>
      </c>
      <c r="E18" s="67">
        <f t="shared" si="1"/>
        <v>0</v>
      </c>
      <c r="F18" s="70">
        <f>E18*60*1012/1000000</f>
        <v>0</v>
      </c>
      <c r="G18" s="67">
        <f>E18/'Lookup Tables'!$C$48</f>
        <v>0</v>
      </c>
      <c r="H18" s="70" t="e">
        <f t="shared" si="2"/>
        <v>#DIV/0!</v>
      </c>
      <c r="I18" s="71">
        <f>G18*60*24/1000000</f>
        <v>0</v>
      </c>
      <c r="J18" s="35">
        <f t="shared" si="0"/>
        <v>2005</v>
      </c>
      <c r="K18" s="75">
        <f>$G161</f>
        <v>7.0408602878094833</v>
      </c>
      <c r="L18" s="74"/>
      <c r="M18" s="74"/>
      <c r="N18" s="74"/>
      <c r="O18" s="74"/>
      <c r="P18" s="74"/>
      <c r="Q18" s="74"/>
      <c r="R18" s="74"/>
      <c r="S18" s="74"/>
      <c r="T18" s="74"/>
      <c r="U18" s="74"/>
      <c r="V18" s="74"/>
      <c r="W18" s="74"/>
      <c r="X18" s="74"/>
      <c r="Y18" s="74"/>
      <c r="Z18" s="74"/>
    </row>
    <row r="19" spans="1:26" x14ac:dyDescent="0.3">
      <c r="A19" s="66">
        <f t="shared" ref="A19:A82" si="7">A18+0.1</f>
        <v>1991.1999999999989</v>
      </c>
      <c r="B19" s="67">
        <f>LOOKUP(A19+0.01,AmountsB!$A$4:$A$103,AmountsB!$B$4:$B$103)*0.1*$A$2</f>
        <v>0</v>
      </c>
      <c r="C19" s="68">
        <f t="shared" si="4"/>
        <v>0</v>
      </c>
      <c r="D19" s="67">
        <f t="array" ref="D19">SUM($B$7:$B14*$F$1009*EXP(-$F$1009*($A19-$A$7:$A14)))*$F$1010</f>
        <v>0</v>
      </c>
      <c r="E19" s="67">
        <f t="shared" si="1"/>
        <v>0</v>
      </c>
      <c r="F19" s="70">
        <f t="shared" ref="F19:F82" si="8">E19*60*1012/1000000</f>
        <v>0</v>
      </c>
      <c r="G19" s="67">
        <f>E19/'Lookup Tables'!$C$48</f>
        <v>0</v>
      </c>
      <c r="H19" s="70" t="e">
        <f t="shared" si="2"/>
        <v>#DIV/0!</v>
      </c>
      <c r="I19" s="71">
        <f t="shared" ref="I19:I82" si="9">G19*60*24/1000000</f>
        <v>0</v>
      </c>
      <c r="J19" s="35">
        <f t="shared" si="0"/>
        <v>2006</v>
      </c>
      <c r="K19" s="75">
        <f>$G171</f>
        <v>8.4780249448228542</v>
      </c>
      <c r="L19" s="74"/>
      <c r="M19" s="74"/>
      <c r="N19" s="74"/>
      <c r="O19" s="74"/>
      <c r="P19" s="74"/>
      <c r="Q19" s="74"/>
      <c r="R19" s="74"/>
      <c r="S19" s="74"/>
      <c r="T19" s="74"/>
      <c r="U19" s="74"/>
      <c r="V19" s="74"/>
      <c r="W19" s="74"/>
      <c r="X19" s="74"/>
      <c r="Y19" s="74"/>
      <c r="Z19" s="74"/>
    </row>
    <row r="20" spans="1:26" x14ac:dyDescent="0.3">
      <c r="A20" s="66">
        <f t="shared" si="7"/>
        <v>1991.2999999999988</v>
      </c>
      <c r="B20" s="67">
        <f>LOOKUP(A20+0.01,AmountsB!$A$4:$A$103,AmountsB!$B$4:$B$103)*0.1*$A$2</f>
        <v>0</v>
      </c>
      <c r="C20" s="68">
        <f t="shared" si="4"/>
        <v>0</v>
      </c>
      <c r="D20" s="67">
        <f t="array" ref="D20">SUM($B$7:$B15*$F$1009*EXP(-$F$1009*($A20-$A$7:$A15)))*$F$1010</f>
        <v>0</v>
      </c>
      <c r="E20" s="67">
        <f t="shared" si="1"/>
        <v>0</v>
      </c>
      <c r="F20" s="70">
        <f t="shared" si="8"/>
        <v>0</v>
      </c>
      <c r="G20" s="67">
        <f>E20/'Lookup Tables'!$C$48</f>
        <v>0</v>
      </c>
      <c r="H20" s="70" t="e">
        <f t="shared" si="2"/>
        <v>#DIV/0!</v>
      </c>
      <c r="I20" s="71">
        <f t="shared" si="9"/>
        <v>0</v>
      </c>
      <c r="J20" s="35">
        <f t="shared" si="0"/>
        <v>2007</v>
      </c>
      <c r="K20" s="75">
        <f>$G181</f>
        <v>9.9258965704361746</v>
      </c>
      <c r="L20" s="74"/>
      <c r="M20" s="74"/>
      <c r="N20" s="74"/>
      <c r="O20" s="74"/>
      <c r="P20" s="74"/>
      <c r="Q20" s="74"/>
      <c r="R20" s="74"/>
      <c r="S20" s="74"/>
      <c r="T20" s="74"/>
      <c r="U20" s="74"/>
      <c r="V20" s="74"/>
      <c r="W20" s="74"/>
      <c r="X20" s="74"/>
      <c r="Y20" s="74"/>
      <c r="Z20" s="74"/>
    </row>
    <row r="21" spans="1:26" x14ac:dyDescent="0.3">
      <c r="A21" s="66">
        <f t="shared" si="7"/>
        <v>1991.3999999999987</v>
      </c>
      <c r="B21" s="67">
        <f>LOOKUP(A21+0.01,AmountsB!$A$4:$A$103,AmountsB!$B$4:$B$103)*0.1*$A$2</f>
        <v>0</v>
      </c>
      <c r="C21" s="68">
        <f t="shared" si="4"/>
        <v>0</v>
      </c>
      <c r="D21" s="67">
        <f t="array" ref="D21">SUM($B$7:$B16*$F$1009*EXP(-$F$1009*($A21-$A$7:$A16)))*$F$1010</f>
        <v>0</v>
      </c>
      <c r="E21" s="67">
        <f t="shared" si="1"/>
        <v>0</v>
      </c>
      <c r="F21" s="70">
        <f t="shared" si="8"/>
        <v>0</v>
      </c>
      <c r="G21" s="67">
        <f>E21/'Lookup Tables'!$C$48</f>
        <v>0</v>
      </c>
      <c r="H21" s="70" t="e">
        <f t="shared" si="2"/>
        <v>#DIV/0!</v>
      </c>
      <c r="I21" s="71">
        <f t="shared" si="9"/>
        <v>0</v>
      </c>
      <c r="J21" s="35">
        <f t="shared" si="0"/>
        <v>2008</v>
      </c>
      <c r="K21" s="75">
        <f>$G191</f>
        <v>11.384940053225034</v>
      </c>
      <c r="L21" s="74"/>
      <c r="M21" s="74"/>
      <c r="N21" s="74"/>
      <c r="O21" s="74"/>
      <c r="P21" s="74"/>
      <c r="Q21" s="74"/>
      <c r="R21" s="74"/>
      <c r="S21" s="74"/>
      <c r="T21" s="74"/>
      <c r="U21" s="74"/>
      <c r="V21" s="74"/>
      <c r="W21" s="74"/>
      <c r="X21" s="74"/>
      <c r="Y21" s="74"/>
      <c r="Z21" s="74"/>
    </row>
    <row r="22" spans="1:26" x14ac:dyDescent="0.3">
      <c r="A22" s="66">
        <f t="shared" si="7"/>
        <v>1991.4999999999986</v>
      </c>
      <c r="B22" s="67">
        <f>LOOKUP(A22+0.01,AmountsB!$A$4:$A$103,AmountsB!$B$4:$B$103)*0.1*$A$2</f>
        <v>0</v>
      </c>
      <c r="C22" s="68">
        <f t="shared" si="4"/>
        <v>0</v>
      </c>
      <c r="D22" s="67">
        <f t="array" ref="D22">SUM($B$7:$B17*$F$1009*EXP(-$F$1009*($A22-$A$7:$A17)))*$F$1010</f>
        <v>0</v>
      </c>
      <c r="E22" s="67">
        <f t="shared" si="1"/>
        <v>0</v>
      </c>
      <c r="F22" s="70">
        <f t="shared" si="8"/>
        <v>0</v>
      </c>
      <c r="G22" s="67">
        <f>E22/'Lookup Tables'!$C$48</f>
        <v>0</v>
      </c>
      <c r="H22" s="70" t="e">
        <f t="shared" si="2"/>
        <v>#DIV/0!</v>
      </c>
      <c r="I22" s="71">
        <f t="shared" si="9"/>
        <v>0</v>
      </c>
      <c r="J22" s="35">
        <f t="shared" si="0"/>
        <v>2009</v>
      </c>
      <c r="K22" s="75">
        <f>$G201</f>
        <v>12.855654734787674</v>
      </c>
      <c r="L22" s="74"/>
      <c r="M22" s="74"/>
      <c r="N22" s="74"/>
      <c r="O22" s="74"/>
      <c r="P22" s="74"/>
      <c r="Q22" s="74"/>
      <c r="R22" s="74"/>
      <c r="S22" s="74"/>
      <c r="T22" s="74"/>
      <c r="U22" s="74"/>
      <c r="V22" s="74"/>
      <c r="W22" s="74"/>
      <c r="X22" s="74"/>
      <c r="Y22" s="74"/>
      <c r="Z22" s="74"/>
    </row>
    <row r="23" spans="1:26" x14ac:dyDescent="0.3">
      <c r="A23" s="66">
        <f t="shared" si="7"/>
        <v>1991.5999999999985</v>
      </c>
      <c r="B23" s="67">
        <f>LOOKUP(A23+0.01,AmountsB!$A$4:$A$103,AmountsB!$B$4:$B$103)*0.1*$A$2</f>
        <v>0</v>
      </c>
      <c r="C23" s="68">
        <f t="shared" si="4"/>
        <v>0</v>
      </c>
      <c r="D23" s="67">
        <f t="array" ref="D23">SUM($B$7:$B18*$F$1009*EXP(-$F$1009*($A23-$A$7:$A18)))*$F$1010</f>
        <v>0</v>
      </c>
      <c r="E23" s="67">
        <f t="shared" si="1"/>
        <v>0</v>
      </c>
      <c r="F23" s="70">
        <f t="shared" si="8"/>
        <v>0</v>
      </c>
      <c r="G23" s="67">
        <f>E23/'Lookup Tables'!$C$48</f>
        <v>0</v>
      </c>
      <c r="H23" s="70" t="e">
        <f t="shared" si="2"/>
        <v>#DIV/0!</v>
      </c>
      <c r="I23" s="71">
        <f t="shared" si="9"/>
        <v>0</v>
      </c>
      <c r="J23" s="35">
        <f t="shared" si="0"/>
        <v>2010</v>
      </c>
      <c r="K23" s="75">
        <f>$G211</f>
        <v>14.338492098532374</v>
      </c>
      <c r="L23" s="74"/>
      <c r="M23" s="74"/>
      <c r="N23" s="74"/>
      <c r="O23" s="74"/>
      <c r="P23" s="74"/>
      <c r="Q23" s="74"/>
      <c r="R23" s="74"/>
      <c r="S23" s="74"/>
      <c r="T23" s="74"/>
      <c r="U23" s="74"/>
      <c r="V23" s="74"/>
      <c r="W23" s="74"/>
      <c r="X23" s="74"/>
      <c r="Y23" s="74"/>
      <c r="Z23" s="74"/>
    </row>
    <row r="24" spans="1:26" x14ac:dyDescent="0.3">
      <c r="A24" s="66">
        <f t="shared" si="7"/>
        <v>1991.6999999999985</v>
      </c>
      <c r="B24" s="67">
        <f>LOOKUP(A24+0.01,AmountsB!$A$4:$A$103,AmountsB!$B$4:$B$103)*0.1*$A$2</f>
        <v>0</v>
      </c>
      <c r="C24" s="68">
        <f t="shared" si="4"/>
        <v>0</v>
      </c>
      <c r="D24" s="67">
        <f t="array" ref="D24">SUM($B$7:$B19*$F$1009*EXP(-$F$1009*($A24-$A$7:$A19)))*$F$1010</f>
        <v>0</v>
      </c>
      <c r="E24" s="67">
        <f t="shared" si="1"/>
        <v>0</v>
      </c>
      <c r="F24" s="70">
        <f t="shared" si="8"/>
        <v>0</v>
      </c>
      <c r="G24" s="67">
        <f>E24/'Lookup Tables'!$C$48</f>
        <v>0</v>
      </c>
      <c r="H24" s="70" t="e">
        <f t="shared" si="2"/>
        <v>#DIV/0!</v>
      </c>
      <c r="I24" s="71">
        <f t="shared" si="9"/>
        <v>0</v>
      </c>
      <c r="J24" s="35">
        <f t="shared" si="0"/>
        <v>2011</v>
      </c>
      <c r="K24" s="75">
        <f>$G221</f>
        <v>15.833938267254796</v>
      </c>
      <c r="L24" s="74"/>
      <c r="M24" s="74"/>
      <c r="N24" s="74"/>
      <c r="O24" s="74"/>
      <c r="P24" s="74"/>
      <c r="Q24" s="74"/>
      <c r="R24" s="74"/>
      <c r="S24" s="74"/>
      <c r="T24" s="74"/>
      <c r="U24" s="74"/>
      <c r="V24" s="74"/>
      <c r="W24" s="74"/>
      <c r="X24" s="74"/>
      <c r="Y24" s="74"/>
      <c r="Z24" s="74"/>
    </row>
    <row r="25" spans="1:26" x14ac:dyDescent="0.3">
      <c r="A25" s="66">
        <f t="shared" si="7"/>
        <v>1991.7999999999984</v>
      </c>
      <c r="B25" s="67">
        <f>LOOKUP(A25+0.01,AmountsB!$A$4:$A$103,AmountsB!$B$4:$B$103)*0.1*$A$2</f>
        <v>0</v>
      </c>
      <c r="C25" s="68">
        <f t="shared" si="4"/>
        <v>0</v>
      </c>
      <c r="D25" s="67">
        <f t="array" ref="D25">SUM($B$7:$B20*$F$1009*EXP(-$F$1009*($A25-$A$7:$A20)))*$F$1010</f>
        <v>0</v>
      </c>
      <c r="E25" s="67">
        <f t="shared" si="1"/>
        <v>0</v>
      </c>
      <c r="F25" s="70">
        <f t="shared" si="8"/>
        <v>0</v>
      </c>
      <c r="G25" s="67">
        <f>E25/'Lookup Tables'!$C$48</f>
        <v>0</v>
      </c>
      <c r="H25" s="70" t="e">
        <f t="shared" si="2"/>
        <v>#DIV/0!</v>
      </c>
      <c r="I25" s="71">
        <f t="shared" si="9"/>
        <v>0</v>
      </c>
      <c r="J25" s="35">
        <f t="shared" si="0"/>
        <v>2012</v>
      </c>
      <c r="K25" s="75">
        <f>$G231</f>
        <v>17.342472605449966</v>
      </c>
      <c r="L25" s="74"/>
      <c r="M25" s="74"/>
      <c r="N25" s="74"/>
      <c r="O25" s="74"/>
      <c r="P25" s="74"/>
      <c r="Q25" s="74"/>
      <c r="R25" s="74"/>
      <c r="S25" s="74"/>
      <c r="T25" s="74"/>
      <c r="U25" s="74"/>
      <c r="V25" s="74"/>
      <c r="W25" s="74"/>
      <c r="X25" s="74"/>
      <c r="Y25" s="74"/>
      <c r="Z25" s="74"/>
    </row>
    <row r="26" spans="1:26" x14ac:dyDescent="0.3">
      <c r="A26" s="66">
        <f t="shared" si="7"/>
        <v>1991.8999999999983</v>
      </c>
      <c r="B26" s="67">
        <f>LOOKUP(A26+0.01,AmountsB!$A$4:$A$103,AmountsB!$B$4:$B$103)*0.1*$A$2</f>
        <v>0</v>
      </c>
      <c r="C26" s="68">
        <f t="shared" si="4"/>
        <v>0</v>
      </c>
      <c r="D26" s="67">
        <f t="array" ref="D26">SUM($B$7:$B21*$F$1009*EXP(-$F$1009*($A26-$A$7:$A21)))*$F$1010</f>
        <v>0</v>
      </c>
      <c r="E26" s="67">
        <f t="shared" si="1"/>
        <v>0</v>
      </c>
      <c r="F26" s="70">
        <f t="shared" si="8"/>
        <v>0</v>
      </c>
      <c r="G26" s="67">
        <f>E26/'Lookup Tables'!$C$48</f>
        <v>0</v>
      </c>
      <c r="H26" s="70" t="e">
        <f t="shared" si="2"/>
        <v>#DIV/0!</v>
      </c>
      <c r="I26" s="71">
        <f t="shared" si="9"/>
        <v>0</v>
      </c>
      <c r="J26" s="35">
        <f t="shared" si="0"/>
        <v>2013</v>
      </c>
      <c r="K26" s="75">
        <f>$G241</f>
        <v>18.94259484554313</v>
      </c>
      <c r="L26" s="74"/>
      <c r="M26" s="74"/>
      <c r="N26" s="74"/>
      <c r="O26" s="74"/>
      <c r="P26" s="74"/>
      <c r="Q26" s="74"/>
      <c r="R26" s="74"/>
      <c r="S26" s="74"/>
      <c r="T26" s="74"/>
      <c r="U26" s="74"/>
      <c r="V26" s="74"/>
      <c r="W26" s="74"/>
      <c r="X26" s="74"/>
      <c r="Y26" s="74"/>
      <c r="Z26" s="74"/>
    </row>
    <row r="27" spans="1:26" x14ac:dyDescent="0.3">
      <c r="A27" s="66">
        <f t="shared" si="7"/>
        <v>1991.9999999999982</v>
      </c>
      <c r="B27" s="67">
        <f>LOOKUP(A27+0.01,AmountsB!$A$4:$A$103,AmountsB!$B$4:$B$103)*0.1*$A$2</f>
        <v>0</v>
      </c>
      <c r="C27" s="68">
        <f t="shared" si="4"/>
        <v>0</v>
      </c>
      <c r="D27" s="67">
        <f t="array" ref="D27">SUM($B$7:$B22*$F$1009*EXP(-$F$1009*($A27-$A$7:$A22)))*$F$1010</f>
        <v>0</v>
      </c>
      <c r="E27" s="67">
        <f t="shared" si="1"/>
        <v>0</v>
      </c>
      <c r="F27" s="70">
        <f t="shared" si="8"/>
        <v>0</v>
      </c>
      <c r="G27" s="67">
        <f>E27/'Lookup Tables'!$C$48</f>
        <v>0</v>
      </c>
      <c r="H27" s="70" t="e">
        <f t="shared" si="2"/>
        <v>#DIV/0!</v>
      </c>
      <c r="I27" s="71">
        <f t="shared" si="9"/>
        <v>0</v>
      </c>
      <c r="J27" s="35">
        <f t="shared" si="0"/>
        <v>2014</v>
      </c>
      <c r="K27" s="75">
        <f>$G251</f>
        <v>20.557295960976663</v>
      </c>
      <c r="L27" s="74"/>
      <c r="M27" s="74"/>
      <c r="N27" s="74"/>
      <c r="O27" s="74"/>
      <c r="P27" s="74"/>
      <c r="Q27" s="74"/>
      <c r="R27" s="74"/>
      <c r="S27" s="74"/>
      <c r="T27" s="74"/>
      <c r="U27" s="74"/>
      <c r="V27" s="74"/>
      <c r="W27" s="74"/>
      <c r="X27" s="74"/>
      <c r="Y27" s="74"/>
      <c r="Z27" s="74"/>
    </row>
    <row r="28" spans="1:26" x14ac:dyDescent="0.3">
      <c r="A28" s="66">
        <f t="shared" si="7"/>
        <v>1992.0999999999981</v>
      </c>
      <c r="B28" s="67">
        <f>LOOKUP(A28+0.01,AmountsB!$A$4:$A$103,AmountsB!$B$4:$B$103)*0.1*$A$2</f>
        <v>0</v>
      </c>
      <c r="C28" s="68">
        <f t="shared" si="4"/>
        <v>0</v>
      </c>
      <c r="D28" s="67">
        <f t="array" ref="D28">SUM($B$7:$B23*$F$1009*EXP(-$F$1009*($A28-$A$7:$A23)))*$F$1010</f>
        <v>0</v>
      </c>
      <c r="E28" s="67">
        <f t="shared" si="1"/>
        <v>0</v>
      </c>
      <c r="F28" s="70">
        <f t="shared" si="8"/>
        <v>0</v>
      </c>
      <c r="G28" s="67">
        <f>E28/'Lookup Tables'!$C$48</f>
        <v>0</v>
      </c>
      <c r="H28" s="70" t="e">
        <f t="shared" si="2"/>
        <v>#DIV/0!</v>
      </c>
      <c r="I28" s="71">
        <f t="shared" si="9"/>
        <v>0</v>
      </c>
      <c r="J28" s="35">
        <f t="shared" si="0"/>
        <v>2015</v>
      </c>
      <c r="K28" s="75">
        <f>$G261</f>
        <v>22.187109759660597</v>
      </c>
      <c r="L28" s="74"/>
      <c r="M28" s="74"/>
      <c r="N28" s="74"/>
      <c r="O28" s="74"/>
      <c r="P28" s="74"/>
      <c r="Q28" s="74"/>
      <c r="R28" s="74"/>
      <c r="S28" s="74"/>
      <c r="T28" s="74"/>
      <c r="U28" s="74"/>
      <c r="V28" s="74"/>
      <c r="W28" s="74"/>
      <c r="X28" s="74"/>
      <c r="Y28" s="74"/>
      <c r="Z28" s="74"/>
    </row>
    <row r="29" spans="1:26" x14ac:dyDescent="0.3">
      <c r="A29" s="66">
        <f t="shared" si="7"/>
        <v>1992.199999999998</v>
      </c>
      <c r="B29" s="67">
        <f>LOOKUP(A29+0.01,AmountsB!$A$4:$A$103,AmountsB!$B$4:$B$103)*0.1*$A$2</f>
        <v>0</v>
      </c>
      <c r="C29" s="68">
        <f t="shared" si="4"/>
        <v>0</v>
      </c>
      <c r="D29" s="67">
        <f t="array" ref="D29">SUM($B$7:$B24*$F$1009*EXP(-$F$1009*($A29-$A$7:$A24)))*$F$1010</f>
        <v>0</v>
      </c>
      <c r="E29" s="67">
        <f t="shared" si="1"/>
        <v>0</v>
      </c>
      <c r="F29" s="70">
        <f t="shared" si="8"/>
        <v>0</v>
      </c>
      <c r="G29" s="67">
        <f>E29/'Lookup Tables'!$C$48</f>
        <v>0</v>
      </c>
      <c r="H29" s="70" t="e">
        <f t="shared" si="2"/>
        <v>#DIV/0!</v>
      </c>
      <c r="I29" s="71">
        <f t="shared" si="9"/>
        <v>0</v>
      </c>
      <c r="J29" s="35">
        <f t="shared" si="0"/>
        <v>2016</v>
      </c>
      <c r="K29" s="75">
        <f>$G271</f>
        <v>23.832562628264096</v>
      </c>
      <c r="L29" s="74"/>
      <c r="M29" s="74"/>
      <c r="N29" s="74"/>
      <c r="O29" s="74"/>
      <c r="P29" s="74"/>
      <c r="Q29" s="74"/>
      <c r="R29" s="74"/>
      <c r="S29" s="74"/>
      <c r="T29" s="74"/>
      <c r="U29" s="74"/>
      <c r="V29" s="74"/>
      <c r="W29" s="74"/>
      <c r="X29" s="74"/>
      <c r="Y29" s="74"/>
      <c r="Z29" s="74"/>
    </row>
    <row r="30" spans="1:26" x14ac:dyDescent="0.3">
      <c r="A30" s="66">
        <f t="shared" si="7"/>
        <v>1992.2999999999979</v>
      </c>
      <c r="B30" s="67">
        <f>LOOKUP(A30+0.01,AmountsB!$A$4:$A$103,AmountsB!$B$4:$B$103)*0.1*$A$2</f>
        <v>0</v>
      </c>
      <c r="C30" s="68">
        <f t="shared" si="4"/>
        <v>0</v>
      </c>
      <c r="D30" s="67">
        <f t="array" ref="D30">SUM($B$7:$B25*$F$1009*EXP(-$F$1009*($A30-$A$7:$A25)))*$F$1010</f>
        <v>0</v>
      </c>
      <c r="E30" s="67">
        <f t="shared" si="1"/>
        <v>0</v>
      </c>
      <c r="F30" s="70">
        <f t="shared" si="8"/>
        <v>0</v>
      </c>
      <c r="G30" s="67">
        <f>E30/'Lookup Tables'!$C$48</f>
        <v>0</v>
      </c>
      <c r="H30" s="70" t="e">
        <f t="shared" si="2"/>
        <v>#DIV/0!</v>
      </c>
      <c r="I30" s="71">
        <f t="shared" si="9"/>
        <v>0</v>
      </c>
      <c r="J30" s="35">
        <f t="shared" si="0"/>
        <v>2017</v>
      </c>
      <c r="K30" s="75">
        <f>$G281</f>
        <v>25.494214551504523</v>
      </c>
      <c r="L30" s="74"/>
      <c r="M30" s="74"/>
      <c r="N30" s="74"/>
      <c r="O30" s="74"/>
      <c r="P30" s="74"/>
      <c r="Q30" s="74"/>
      <c r="R30" s="74"/>
      <c r="S30" s="74"/>
      <c r="T30" s="74"/>
      <c r="U30" s="74"/>
      <c r="V30" s="74"/>
      <c r="W30" s="74"/>
      <c r="X30" s="74"/>
      <c r="Y30" s="74"/>
      <c r="Z30" s="74"/>
    </row>
    <row r="31" spans="1:26" x14ac:dyDescent="0.3">
      <c r="A31" s="66">
        <f t="shared" si="7"/>
        <v>1992.3999999999978</v>
      </c>
      <c r="B31" s="67">
        <f>LOOKUP(A31+0.01,AmountsB!$A$4:$A$103,AmountsB!$B$4:$B$103)*0.1*$A$2</f>
        <v>0</v>
      </c>
      <c r="C31" s="68">
        <f t="shared" si="4"/>
        <v>0</v>
      </c>
      <c r="D31" s="67">
        <f t="array" ref="D31">SUM($B$7:$B26*$F$1009*EXP(-$F$1009*($A31-$A$7:$A26)))*$F$1010</f>
        <v>0</v>
      </c>
      <c r="E31" s="67">
        <f t="shared" si="1"/>
        <v>0</v>
      </c>
      <c r="F31" s="70">
        <f t="shared" si="8"/>
        <v>0</v>
      </c>
      <c r="G31" s="67">
        <f>E31/'Lookup Tables'!$C$48</f>
        <v>0</v>
      </c>
      <c r="H31" s="70" t="e">
        <f t="shared" si="2"/>
        <v>#DIV/0!</v>
      </c>
      <c r="I31" s="71">
        <f t="shared" si="9"/>
        <v>0</v>
      </c>
      <c r="J31" s="35">
        <f t="shared" si="0"/>
        <v>2018</v>
      </c>
      <c r="K31" s="75">
        <f>$G291</f>
        <v>25.139782362149475</v>
      </c>
      <c r="L31" s="74"/>
      <c r="M31" s="74"/>
      <c r="N31" s="74"/>
      <c r="O31" s="74"/>
      <c r="P31" s="74"/>
      <c r="Q31" s="74"/>
      <c r="R31" s="74"/>
      <c r="S31" s="74"/>
      <c r="T31" s="74"/>
      <c r="U31" s="74"/>
      <c r="V31" s="74"/>
      <c r="W31" s="74"/>
      <c r="X31" s="74"/>
      <c r="Y31" s="74"/>
      <c r="Z31" s="74"/>
    </row>
    <row r="32" spans="1:26" x14ac:dyDescent="0.3">
      <c r="A32" s="66">
        <f t="shared" si="7"/>
        <v>1992.4999999999977</v>
      </c>
      <c r="B32" s="67">
        <f>LOOKUP(A32+0.01,AmountsB!$A$4:$A$103,AmountsB!$B$4:$B$103)*0.1*$A$2</f>
        <v>0</v>
      </c>
      <c r="C32" s="68">
        <f t="shared" si="4"/>
        <v>0</v>
      </c>
      <c r="D32" s="67">
        <f t="array" ref="D32">SUM($B$7:$B27*$F$1009*EXP(-$F$1009*($A32-$A$7:$A27)))*$F$1010</f>
        <v>0</v>
      </c>
      <c r="E32" s="67">
        <f t="shared" si="1"/>
        <v>0</v>
      </c>
      <c r="F32" s="70">
        <f t="shared" si="8"/>
        <v>0</v>
      </c>
      <c r="G32" s="67">
        <f>E32/'Lookup Tables'!$C$48</f>
        <v>0</v>
      </c>
      <c r="H32" s="70" t="e">
        <f t="shared" si="2"/>
        <v>#DIV/0!</v>
      </c>
      <c r="I32" s="71">
        <f t="shared" si="9"/>
        <v>0</v>
      </c>
      <c r="J32" s="35">
        <f t="shared" si="0"/>
        <v>2019</v>
      </c>
      <c r="K32" s="75">
        <f>$G301</f>
        <v>24.790277650618702</v>
      </c>
      <c r="L32" s="74"/>
      <c r="M32" s="74"/>
      <c r="N32" s="74"/>
      <c r="O32" s="74"/>
      <c r="P32" s="74"/>
      <c r="Q32" s="74"/>
      <c r="R32" s="74"/>
      <c r="S32" s="74"/>
      <c r="T32" s="74"/>
      <c r="U32" s="74"/>
      <c r="V32" s="74"/>
      <c r="W32" s="74"/>
      <c r="X32" s="74"/>
      <c r="Y32" s="74"/>
      <c r="Z32" s="74"/>
    </row>
    <row r="33" spans="1:26" x14ac:dyDescent="0.3">
      <c r="A33" s="66">
        <f t="shared" si="7"/>
        <v>1992.5999999999976</v>
      </c>
      <c r="B33" s="67">
        <f>LOOKUP(A33+0.01,AmountsB!$A$4:$A$103,AmountsB!$B$4:$B$103)*0.1*$A$2</f>
        <v>0</v>
      </c>
      <c r="C33" s="68">
        <f t="shared" si="4"/>
        <v>0</v>
      </c>
      <c r="D33" s="67">
        <f t="array" ref="D33">SUM($B$7:$B28*$F$1009*EXP(-$F$1009*($A33-$A$7:$A28)))*$F$1010</f>
        <v>0</v>
      </c>
      <c r="E33" s="67">
        <f t="shared" si="1"/>
        <v>0</v>
      </c>
      <c r="F33" s="70">
        <f t="shared" si="8"/>
        <v>0</v>
      </c>
      <c r="G33" s="67">
        <f>E33/'Lookup Tables'!$C$48</f>
        <v>0</v>
      </c>
      <c r="H33" s="70" t="e">
        <f t="shared" si="2"/>
        <v>#DIV/0!</v>
      </c>
      <c r="I33" s="71">
        <f t="shared" si="9"/>
        <v>0</v>
      </c>
      <c r="J33" s="35">
        <f t="shared" si="0"/>
        <v>2020</v>
      </c>
      <c r="K33" s="75">
        <f>$G311</f>
        <v>24.445631912869935</v>
      </c>
      <c r="L33" s="74"/>
      <c r="M33" s="74"/>
      <c r="N33" s="74"/>
      <c r="O33" s="74"/>
      <c r="P33" s="74"/>
      <c r="Q33" s="74"/>
      <c r="R33" s="74"/>
      <c r="S33" s="74"/>
      <c r="T33" s="74"/>
      <c r="U33" s="74"/>
      <c r="V33" s="74"/>
      <c r="W33" s="74"/>
      <c r="X33" s="74"/>
      <c r="Y33" s="74"/>
      <c r="Z33" s="74"/>
    </row>
    <row r="34" spans="1:26" x14ac:dyDescent="0.3">
      <c r="A34" s="66">
        <f t="shared" si="7"/>
        <v>1992.6999999999975</v>
      </c>
      <c r="B34" s="67">
        <f>LOOKUP(A34+0.01,AmountsB!$A$4:$A$103,AmountsB!$B$4:$B$103)*0.1*$A$2</f>
        <v>0</v>
      </c>
      <c r="C34" s="68">
        <f t="shared" si="4"/>
        <v>0</v>
      </c>
      <c r="D34" s="67">
        <f t="array" ref="D34">SUM($B$7:$B29*$F$1009*EXP(-$F$1009*($A34-$A$7:$A29)))*$F$1010</f>
        <v>0</v>
      </c>
      <c r="E34" s="67">
        <f t="shared" si="1"/>
        <v>0</v>
      </c>
      <c r="F34" s="70">
        <f t="shared" si="8"/>
        <v>0</v>
      </c>
      <c r="G34" s="67">
        <f>E34/'Lookup Tables'!$C$48</f>
        <v>0</v>
      </c>
      <c r="H34" s="70" t="e">
        <f t="shared" si="2"/>
        <v>#DIV/0!</v>
      </c>
      <c r="I34" s="71">
        <f t="shared" si="9"/>
        <v>0</v>
      </c>
      <c r="J34" s="35">
        <f t="shared" si="0"/>
        <v>2021</v>
      </c>
      <c r="K34" s="75">
        <f>$G321</f>
        <v>24.105777597235189</v>
      </c>
      <c r="L34" s="74"/>
      <c r="M34" s="74"/>
      <c r="N34" s="74"/>
      <c r="O34" s="74"/>
      <c r="P34" s="74"/>
      <c r="Q34" s="74"/>
      <c r="R34" s="74"/>
      <c r="S34" s="74"/>
      <c r="T34" s="74"/>
      <c r="U34" s="74"/>
      <c r="V34" s="74"/>
      <c r="W34" s="74"/>
      <c r="X34" s="74"/>
      <c r="Y34" s="74"/>
      <c r="Z34" s="74"/>
    </row>
    <row r="35" spans="1:26" x14ac:dyDescent="0.3">
      <c r="A35" s="66">
        <f t="shared" si="7"/>
        <v>1992.7999999999975</v>
      </c>
      <c r="B35" s="67">
        <f>LOOKUP(A35+0.01,AmountsB!$A$4:$A$103,AmountsB!$B$4:$B$103)*0.1*$A$2</f>
        <v>0</v>
      </c>
      <c r="C35" s="68">
        <f t="shared" si="4"/>
        <v>0</v>
      </c>
      <c r="D35" s="67">
        <f t="array" ref="D35">SUM($B$7:$B30*$F$1009*EXP(-$F$1009*($A35-$A$7:$A30)))*$F$1010</f>
        <v>0</v>
      </c>
      <c r="E35" s="67">
        <f t="shared" si="1"/>
        <v>0</v>
      </c>
      <c r="F35" s="70">
        <f t="shared" si="8"/>
        <v>0</v>
      </c>
      <c r="G35" s="67">
        <f>E35/'Lookup Tables'!$C$48</f>
        <v>0</v>
      </c>
      <c r="H35" s="70" t="e">
        <f t="shared" si="2"/>
        <v>#DIV/0!</v>
      </c>
      <c r="I35" s="71">
        <f t="shared" si="9"/>
        <v>0</v>
      </c>
      <c r="J35" s="35">
        <f t="shared" si="0"/>
        <v>2022</v>
      </c>
      <c r="K35" s="75">
        <f>$G331</f>
        <v>23.770648091180629</v>
      </c>
      <c r="L35" s="74"/>
      <c r="M35" s="74"/>
      <c r="N35" s="74"/>
      <c r="O35" s="74"/>
      <c r="P35" s="74"/>
      <c r="Q35" s="74"/>
      <c r="R35" s="74"/>
      <c r="S35" s="74"/>
      <c r="T35" s="74"/>
      <c r="U35" s="74"/>
      <c r="V35" s="74"/>
      <c r="W35" s="74"/>
      <c r="X35" s="74"/>
      <c r="Y35" s="74"/>
      <c r="Z35" s="74"/>
    </row>
    <row r="36" spans="1:26" x14ac:dyDescent="0.3">
      <c r="A36" s="66">
        <f t="shared" si="7"/>
        <v>1992.8999999999974</v>
      </c>
      <c r="B36" s="67">
        <f>LOOKUP(A36+0.01,AmountsB!$A$4:$A$103,AmountsB!$B$4:$B$103)*0.1*$A$2</f>
        <v>0</v>
      </c>
      <c r="C36" s="68">
        <f t="shared" si="4"/>
        <v>0</v>
      </c>
      <c r="D36" s="67">
        <f t="array" ref="D36">SUM($B$7:$B31*$F$1009*EXP(-$F$1009*($A36-$A$7:$A31)))*$F$1010</f>
        <v>0</v>
      </c>
      <c r="E36" s="67">
        <f t="shared" si="1"/>
        <v>0</v>
      </c>
      <c r="F36" s="70">
        <f t="shared" si="8"/>
        <v>0</v>
      </c>
      <c r="G36" s="67">
        <f>E36/'Lookup Tables'!$C$48</f>
        <v>0</v>
      </c>
      <c r="H36" s="70" t="e">
        <f t="shared" si="2"/>
        <v>#DIV/0!</v>
      </c>
      <c r="I36" s="71">
        <f t="shared" si="9"/>
        <v>0</v>
      </c>
      <c r="J36" s="35">
        <f t="shared" si="0"/>
        <v>2023</v>
      </c>
      <c r="K36" s="75">
        <f>$G341</f>
        <v>23.440177708250214</v>
      </c>
      <c r="L36" s="74"/>
      <c r="M36" s="74"/>
      <c r="N36" s="74"/>
      <c r="O36" s="74"/>
      <c r="P36" s="74"/>
      <c r="Q36" s="74"/>
      <c r="R36" s="74"/>
      <c r="S36" s="74"/>
      <c r="T36" s="74"/>
      <c r="U36" s="74"/>
      <c r="V36" s="74"/>
      <c r="W36" s="74"/>
      <c r="X36" s="74"/>
      <c r="Y36" s="74"/>
      <c r="Z36" s="74"/>
    </row>
    <row r="37" spans="1:26" x14ac:dyDescent="0.3">
      <c r="A37" s="66">
        <f t="shared" si="7"/>
        <v>1992.9999999999973</v>
      </c>
      <c r="B37" s="67">
        <f>LOOKUP(A37+0.01,AmountsB!$A$4:$A$103,AmountsB!$B$4:$B$103)*0.1*$A$2</f>
        <v>0</v>
      </c>
      <c r="C37" s="68">
        <f t="shared" si="4"/>
        <v>0</v>
      </c>
      <c r="D37" s="67">
        <f t="array" ref="D37">SUM($B$7:$B32*$F$1009*EXP(-$F$1009*($A37-$A$7:$A32)))*$F$1010</f>
        <v>0</v>
      </c>
      <c r="E37" s="67">
        <f t="shared" si="1"/>
        <v>0</v>
      </c>
      <c r="F37" s="70">
        <f t="shared" si="8"/>
        <v>0</v>
      </c>
      <c r="G37" s="67">
        <f>E37/'Lookup Tables'!$C$48</f>
        <v>0</v>
      </c>
      <c r="H37" s="70" t="e">
        <f t="shared" si="2"/>
        <v>#DIV/0!</v>
      </c>
      <c r="I37" s="71">
        <f t="shared" si="9"/>
        <v>0</v>
      </c>
      <c r="J37" s="35">
        <f t="shared" si="0"/>
        <v>2024</v>
      </c>
      <c r="K37" s="75">
        <f>$G351</f>
        <v>23.114301675190919</v>
      </c>
      <c r="L37" s="74"/>
      <c r="M37" s="74"/>
      <c r="N37" s="74"/>
      <c r="O37" s="74"/>
      <c r="P37" s="74"/>
      <c r="Q37" s="74"/>
      <c r="R37" s="74"/>
      <c r="S37" s="74"/>
      <c r="T37" s="74"/>
      <c r="U37" s="74"/>
      <c r="V37" s="74"/>
      <c r="W37" s="74"/>
      <c r="X37" s="74"/>
      <c r="Y37" s="74"/>
      <c r="Z37" s="74"/>
    </row>
    <row r="38" spans="1:26" x14ac:dyDescent="0.3">
      <c r="A38" s="66">
        <f t="shared" si="7"/>
        <v>1993.0999999999972</v>
      </c>
      <c r="B38" s="67">
        <f>LOOKUP(A38+0.01,AmountsB!$A$4:$A$103,AmountsB!$B$4:$B$103)*0.1*$A$2</f>
        <v>0</v>
      </c>
      <c r="C38" s="68">
        <f t="shared" si="4"/>
        <v>0</v>
      </c>
      <c r="D38" s="67">
        <f t="array" ref="D38">SUM($B$7:$B33*$F$1009*EXP(-$F$1009*($A38-$A$7:$A33)))*$F$1010</f>
        <v>0</v>
      </c>
      <c r="E38" s="67">
        <f t="shared" si="1"/>
        <v>0</v>
      </c>
      <c r="F38" s="70">
        <f t="shared" si="8"/>
        <v>0</v>
      </c>
      <c r="G38" s="67">
        <f>E38/'Lookup Tables'!$C$48</f>
        <v>0</v>
      </c>
      <c r="H38" s="70" t="e">
        <f t="shared" si="2"/>
        <v>#DIV/0!</v>
      </c>
      <c r="I38" s="71">
        <f t="shared" si="9"/>
        <v>0</v>
      </c>
      <c r="J38" s="35">
        <f t="shared" si="0"/>
        <v>2025</v>
      </c>
      <c r="K38" s="75">
        <f>$G361</f>
        <v>22.792956119257003</v>
      </c>
      <c r="L38" s="74"/>
      <c r="M38" s="74"/>
      <c r="N38" s="74"/>
      <c r="O38" s="74"/>
      <c r="P38" s="74"/>
      <c r="Q38" s="74"/>
      <c r="R38" s="74"/>
      <c r="S38" s="74"/>
      <c r="T38" s="74"/>
      <c r="U38" s="74"/>
      <c r="V38" s="74"/>
      <c r="W38" s="74"/>
      <c r="X38" s="74"/>
      <c r="Y38" s="74"/>
      <c r="Z38" s="74"/>
    </row>
    <row r="39" spans="1:26" x14ac:dyDescent="0.3">
      <c r="A39" s="66">
        <f t="shared" si="7"/>
        <v>1993.1999999999971</v>
      </c>
      <c r="B39" s="67">
        <f>LOOKUP(A39+0.01,AmountsB!$A$4:$A$103,AmountsB!$B$4:$B$103)*0.1*$A$2</f>
        <v>0</v>
      </c>
      <c r="C39" s="68">
        <f t="shared" si="4"/>
        <v>0</v>
      </c>
      <c r="D39" s="67">
        <f t="array" ref="D39">SUM($B$7:$B34*$F$1009*EXP(-$F$1009*($A39-$A$7:$A34)))*$F$1010</f>
        <v>0</v>
      </c>
      <c r="E39" s="67">
        <f t="shared" si="1"/>
        <v>0</v>
      </c>
      <c r="F39" s="70">
        <f t="shared" si="8"/>
        <v>0</v>
      </c>
      <c r="G39" s="67">
        <f>E39/'Lookup Tables'!$C$48</f>
        <v>0</v>
      </c>
      <c r="H39" s="70" t="e">
        <f t="shared" si="2"/>
        <v>#DIV/0!</v>
      </c>
      <c r="I39" s="71">
        <f t="shared" si="9"/>
        <v>0</v>
      </c>
      <c r="J39" s="35">
        <f t="shared" si="0"/>
        <v>2026</v>
      </c>
      <c r="K39" s="75">
        <f>$G371</f>
        <v>22.476078055690795</v>
      </c>
      <c r="L39" s="74"/>
      <c r="M39" s="74"/>
      <c r="N39" s="74"/>
      <c r="O39" s="74"/>
      <c r="P39" s="74"/>
      <c r="Q39" s="74"/>
      <c r="R39" s="74"/>
      <c r="S39" s="74"/>
      <c r="T39" s="74"/>
      <c r="U39" s="74"/>
      <c r="V39" s="74"/>
      <c r="W39" s="74"/>
      <c r="X39" s="74"/>
      <c r="Y39" s="74"/>
      <c r="Z39" s="74"/>
    </row>
    <row r="40" spans="1:26" x14ac:dyDescent="0.3">
      <c r="A40" s="66">
        <f t="shared" si="7"/>
        <v>1993.299999999997</v>
      </c>
      <c r="B40" s="67">
        <f>LOOKUP(A40+0.01,AmountsB!$A$4:$A$103,AmountsB!$B$4:$B$103)*0.1*$A$2</f>
        <v>0</v>
      </c>
      <c r="C40" s="68">
        <f t="shared" si="4"/>
        <v>0</v>
      </c>
      <c r="D40" s="67">
        <f t="array" ref="D40">SUM($B$7:$B35*$F$1009*EXP(-$F$1009*($A40-$A$7:$A35)))*$F$1010</f>
        <v>0</v>
      </c>
      <c r="E40" s="67">
        <f t="shared" si="1"/>
        <v>0</v>
      </c>
      <c r="F40" s="70">
        <f t="shared" si="8"/>
        <v>0</v>
      </c>
      <c r="G40" s="67">
        <f>E40/'Lookup Tables'!$C$48</f>
        <v>0</v>
      </c>
      <c r="H40" s="70" t="e">
        <f t="shared" si="2"/>
        <v>#DIV/0!</v>
      </c>
      <c r="I40" s="71">
        <f t="shared" si="9"/>
        <v>0</v>
      </c>
      <c r="J40" s="35">
        <f t="shared" si="0"/>
        <v>2027</v>
      </c>
      <c r="K40" s="75">
        <f>$G381</f>
        <v>22.163605375377362</v>
      </c>
      <c r="L40" s="74"/>
      <c r="M40" s="74"/>
      <c r="N40" s="74"/>
      <c r="O40" s="74"/>
      <c r="P40" s="74"/>
      <c r="Q40" s="74"/>
      <c r="R40" s="74"/>
      <c r="S40" s="74"/>
      <c r="T40" s="74"/>
      <c r="U40" s="74"/>
      <c r="V40" s="74"/>
      <c r="W40" s="74"/>
      <c r="X40" s="74"/>
      <c r="Y40" s="74"/>
      <c r="Z40" s="74"/>
    </row>
    <row r="41" spans="1:26" x14ac:dyDescent="0.3">
      <c r="A41" s="66">
        <f t="shared" si="7"/>
        <v>1993.3999999999969</v>
      </c>
      <c r="B41" s="67">
        <f>LOOKUP(A41+0.01,AmountsB!$A$4:$A$103,AmountsB!$B$4:$B$103)*0.1*$A$2</f>
        <v>0</v>
      </c>
      <c r="C41" s="68">
        <f t="shared" si="4"/>
        <v>0</v>
      </c>
      <c r="D41" s="67">
        <f t="array" ref="D41">SUM($B$7:$B36*$F$1009*EXP(-$F$1009*($A41-$A$7:$A36)))*$F$1010</f>
        <v>0</v>
      </c>
      <c r="E41" s="67">
        <f t="shared" si="1"/>
        <v>0</v>
      </c>
      <c r="F41" s="70">
        <f t="shared" si="8"/>
        <v>0</v>
      </c>
      <c r="G41" s="67">
        <f>E41/'Lookup Tables'!$C$48</f>
        <v>0</v>
      </c>
      <c r="H41" s="70" t="e">
        <f t="shared" si="2"/>
        <v>#DIV/0!</v>
      </c>
      <c r="I41" s="71">
        <f t="shared" si="9"/>
        <v>0</v>
      </c>
      <c r="J41" s="35">
        <f t="shared" si="0"/>
        <v>2028</v>
      </c>
      <c r="K41" s="75">
        <f>$G391</f>
        <v>21.855476832671062</v>
      </c>
      <c r="L41" s="74"/>
      <c r="M41" s="74"/>
      <c r="N41" s="74"/>
      <c r="O41" s="74"/>
      <c r="P41" s="74"/>
      <c r="Q41" s="74"/>
      <c r="R41" s="74"/>
      <c r="S41" s="74"/>
      <c r="T41" s="74"/>
      <c r="U41" s="74"/>
      <c r="V41" s="74"/>
      <c r="W41" s="74"/>
      <c r="X41" s="74"/>
      <c r="Y41" s="74"/>
      <c r="Z41" s="74"/>
    </row>
    <row r="42" spans="1:26" x14ac:dyDescent="0.3">
      <c r="A42" s="66">
        <f t="shared" si="7"/>
        <v>1993.4999999999968</v>
      </c>
      <c r="B42" s="67">
        <f>LOOKUP(A42+0.01,AmountsB!$A$4:$A$103,AmountsB!$B$4:$B$103)*0.1*$A$2</f>
        <v>0</v>
      </c>
      <c r="C42" s="68">
        <f t="shared" si="4"/>
        <v>0</v>
      </c>
      <c r="D42" s="67">
        <f t="array" ref="D42">SUM($B$7:$B37*$F$1009*EXP(-$F$1009*($A42-$A$7:$A37)))*$F$1010</f>
        <v>0</v>
      </c>
      <c r="E42" s="67">
        <f t="shared" si="1"/>
        <v>0</v>
      </c>
      <c r="F42" s="70">
        <f t="shared" si="8"/>
        <v>0</v>
      </c>
      <c r="G42" s="67">
        <f>E42/'Lookup Tables'!$C$48</f>
        <v>0</v>
      </c>
      <c r="H42" s="70" t="e">
        <f t="shared" si="2"/>
        <v>#DIV/0!</v>
      </c>
      <c r="I42" s="71">
        <f t="shared" si="9"/>
        <v>0</v>
      </c>
      <c r="J42" s="35">
        <f t="shared" si="0"/>
        <v>2029</v>
      </c>
      <c r="K42" s="75">
        <f>$G401</f>
        <v>21.551632033391087</v>
      </c>
      <c r="L42" s="74"/>
      <c r="M42" s="74"/>
      <c r="N42" s="74"/>
      <c r="O42" s="74"/>
      <c r="P42" s="74"/>
      <c r="Q42" s="74"/>
      <c r="R42" s="74"/>
      <c r="S42" s="74"/>
      <c r="T42" s="74"/>
      <c r="U42" s="74"/>
      <c r="V42" s="74"/>
      <c r="W42" s="74"/>
      <c r="X42" s="74"/>
      <c r="Y42" s="74"/>
      <c r="Z42" s="74"/>
    </row>
    <row r="43" spans="1:26" x14ac:dyDescent="0.3">
      <c r="A43" s="66">
        <f t="shared" si="7"/>
        <v>1993.5999999999967</v>
      </c>
      <c r="B43" s="67">
        <f>LOOKUP(A43+0.01,AmountsB!$A$4:$A$103,AmountsB!$B$4:$B$103)*0.1*$A$2</f>
        <v>0</v>
      </c>
      <c r="C43" s="68">
        <f t="shared" si="4"/>
        <v>0</v>
      </c>
      <c r="D43" s="67">
        <f t="array" ref="D43">SUM($B$7:$B38*$F$1009*EXP(-$F$1009*($A43-$A$7:$A38)))*$F$1010</f>
        <v>0</v>
      </c>
      <c r="E43" s="67">
        <f t="shared" si="1"/>
        <v>0</v>
      </c>
      <c r="F43" s="70">
        <f t="shared" si="8"/>
        <v>0</v>
      </c>
      <c r="G43" s="67">
        <f>E43/'Lookup Tables'!$C$48</f>
        <v>0</v>
      </c>
      <c r="H43" s="70" t="e">
        <f t="shared" si="2"/>
        <v>#DIV/0!</v>
      </c>
      <c r="I43" s="71">
        <f t="shared" si="9"/>
        <v>0</v>
      </c>
      <c r="J43" s="35">
        <f t="shared" si="0"/>
        <v>2030</v>
      </c>
      <c r="K43" s="75">
        <f>$G411</f>
        <v>21.252011422984051</v>
      </c>
      <c r="L43" s="74"/>
      <c r="M43" s="74"/>
      <c r="N43" s="74"/>
      <c r="O43" s="74"/>
      <c r="P43" s="74"/>
      <c r="Q43" s="74"/>
      <c r="R43" s="74"/>
      <c r="S43" s="74"/>
      <c r="T43" s="74"/>
      <c r="U43" s="74"/>
      <c r="V43" s="74"/>
      <c r="W43" s="74"/>
      <c r="X43" s="74"/>
      <c r="Y43" s="74"/>
      <c r="Z43" s="74"/>
    </row>
    <row r="44" spans="1:26" x14ac:dyDescent="0.3">
      <c r="A44" s="66">
        <f t="shared" si="7"/>
        <v>1993.6999999999966</v>
      </c>
      <c r="B44" s="67">
        <f>LOOKUP(A44+0.01,AmountsB!$A$4:$A$103,AmountsB!$B$4:$B$103)*0.1*$A$2</f>
        <v>0</v>
      </c>
      <c r="C44" s="68">
        <f t="shared" si="4"/>
        <v>0</v>
      </c>
      <c r="D44" s="67">
        <f t="array" ref="D44">SUM($B$7:$B39*$F$1009*EXP(-$F$1009*($A44-$A$7:$A39)))*$F$1010</f>
        <v>0</v>
      </c>
      <c r="E44" s="67">
        <f t="shared" si="1"/>
        <v>0</v>
      </c>
      <c r="F44" s="70">
        <f t="shared" si="8"/>
        <v>0</v>
      </c>
      <c r="G44" s="67">
        <f>E44/'Lookup Tables'!$C$48</f>
        <v>0</v>
      </c>
      <c r="H44" s="70" t="e">
        <f t="shared" si="2"/>
        <v>#DIV/0!</v>
      </c>
      <c r="I44" s="71">
        <f t="shared" si="9"/>
        <v>0</v>
      </c>
      <c r="J44" s="35">
        <f t="shared" si="0"/>
        <v>2031</v>
      </c>
      <c r="K44" s="75">
        <f>$G421</f>
        <v>20.956556274851131</v>
      </c>
      <c r="L44" s="74"/>
      <c r="M44" s="74"/>
      <c r="N44" s="74"/>
      <c r="O44" s="74"/>
      <c r="P44" s="74"/>
      <c r="Q44" s="74"/>
      <c r="R44" s="74"/>
      <c r="S44" s="74"/>
      <c r="T44" s="74"/>
      <c r="U44" s="74"/>
      <c r="V44" s="74"/>
      <c r="W44" s="74"/>
      <c r="X44" s="74"/>
      <c r="Y44" s="74"/>
      <c r="Z44" s="74"/>
    </row>
    <row r="45" spans="1:26" x14ac:dyDescent="0.3">
      <c r="A45" s="66">
        <f t="shared" si="7"/>
        <v>1993.7999999999965</v>
      </c>
      <c r="B45" s="67">
        <f>LOOKUP(A45+0.01,AmountsB!$A$4:$A$103,AmountsB!$B$4:$B$103)*0.1*$A$2</f>
        <v>0</v>
      </c>
      <c r="C45" s="68">
        <f t="shared" si="4"/>
        <v>0</v>
      </c>
      <c r="D45" s="67">
        <f t="array" ref="D45">SUM($B$7:$B40*$F$1009*EXP(-$F$1009*($A45-$A$7:$A40)))*$F$1010</f>
        <v>0</v>
      </c>
      <c r="E45" s="67">
        <f t="shared" si="1"/>
        <v>0</v>
      </c>
      <c r="F45" s="70">
        <f t="shared" si="8"/>
        <v>0</v>
      </c>
      <c r="G45" s="67">
        <f>E45/'Lookup Tables'!$C$48</f>
        <v>0</v>
      </c>
      <c r="H45" s="70" t="e">
        <f t="shared" si="2"/>
        <v>#DIV/0!</v>
      </c>
      <c r="I45" s="71">
        <f t="shared" si="9"/>
        <v>0</v>
      </c>
      <c r="J45" s="35">
        <f t="shared" si="0"/>
        <v>2032</v>
      </c>
      <c r="K45" s="75">
        <f>$G431</f>
        <v>20.665208678837445</v>
      </c>
      <c r="L45" s="74"/>
      <c r="M45" s="74"/>
      <c r="N45" s="74"/>
      <c r="O45" s="74"/>
      <c r="P45" s="74"/>
      <c r="Q45" s="74"/>
      <c r="R45" s="74"/>
      <c r="S45" s="74"/>
      <c r="T45" s="74"/>
      <c r="U45" s="74"/>
      <c r="V45" s="74"/>
      <c r="W45" s="74"/>
      <c r="X45" s="74"/>
      <c r="Y45" s="74"/>
      <c r="Z45" s="74"/>
    </row>
    <row r="46" spans="1:26" x14ac:dyDescent="0.3">
      <c r="A46" s="66">
        <f t="shared" si="7"/>
        <v>1993.8999999999965</v>
      </c>
      <c r="B46" s="67">
        <f>LOOKUP(A46+0.01,AmountsB!$A$4:$A$103,AmountsB!$B$4:$B$103)*0.1*$A$2</f>
        <v>0</v>
      </c>
      <c r="C46" s="68">
        <f t="shared" si="4"/>
        <v>0</v>
      </c>
      <c r="D46" s="67">
        <f t="array" ref="D46">SUM($B$7:$B41*$F$1009*EXP(-$F$1009*($A46-$A$7:$A41)))*$F$1010</f>
        <v>0</v>
      </c>
      <c r="E46" s="67">
        <f t="shared" si="1"/>
        <v>0</v>
      </c>
      <c r="F46" s="70">
        <f t="shared" si="8"/>
        <v>0</v>
      </c>
      <c r="G46" s="67">
        <f>E46/'Lookup Tables'!$C$48</f>
        <v>0</v>
      </c>
      <c r="H46" s="70" t="e">
        <f t="shared" si="2"/>
        <v>#DIV/0!</v>
      </c>
      <c r="I46" s="71">
        <f t="shared" si="9"/>
        <v>0</v>
      </c>
      <c r="J46" s="35">
        <f t="shared" si="0"/>
        <v>2033</v>
      </c>
      <c r="K46" s="75">
        <f>$G441</f>
        <v>20.37791152988142</v>
      </c>
      <c r="L46" s="74"/>
      <c r="M46" s="74"/>
      <c r="N46" s="74"/>
      <c r="O46" s="74"/>
      <c r="P46" s="74"/>
      <c r="Q46" s="74"/>
      <c r="R46" s="74"/>
      <c r="S46" s="74"/>
      <c r="T46" s="74"/>
      <c r="U46" s="74"/>
      <c r="V46" s="74"/>
      <c r="W46" s="74"/>
      <c r="X46" s="74"/>
      <c r="Y46" s="74"/>
      <c r="Z46" s="74"/>
    </row>
    <row r="47" spans="1:26" x14ac:dyDescent="0.3">
      <c r="A47" s="66">
        <f t="shared" si="7"/>
        <v>1993.9999999999964</v>
      </c>
      <c r="B47" s="67">
        <f>LOOKUP(A47+0.01,AmountsB!$A$4:$A$103,AmountsB!$B$4:$B$103)*0.1*$A$2</f>
        <v>0</v>
      </c>
      <c r="C47" s="68">
        <f t="shared" si="4"/>
        <v>0</v>
      </c>
      <c r="D47" s="67">
        <f t="array" ref="D47">SUM($B$7:$B42*$F$1009*EXP(-$F$1009*($A47-$A$7:$A42)))*$F$1010</f>
        <v>0</v>
      </c>
      <c r="E47" s="67">
        <f t="shared" si="1"/>
        <v>0</v>
      </c>
      <c r="F47" s="70">
        <f t="shared" si="8"/>
        <v>0</v>
      </c>
      <c r="G47" s="67">
        <f>E47/'Lookup Tables'!$C$48</f>
        <v>0</v>
      </c>
      <c r="H47" s="70" t="e">
        <f t="shared" si="2"/>
        <v>#DIV/0!</v>
      </c>
      <c r="I47" s="71">
        <f t="shared" si="9"/>
        <v>0</v>
      </c>
      <c r="J47" s="35">
        <f t="shared" si="0"/>
        <v>2034</v>
      </c>
      <c r="K47" s="75">
        <f>$G451</f>
        <v>20.094608516822174</v>
      </c>
      <c r="L47" s="74"/>
      <c r="M47" s="74"/>
      <c r="N47" s="74"/>
      <c r="O47" s="74"/>
      <c r="P47" s="74"/>
      <c r="Q47" s="74"/>
      <c r="R47" s="74"/>
      <c r="S47" s="74"/>
      <c r="T47" s="74"/>
      <c r="U47" s="74"/>
      <c r="V47" s="74"/>
      <c r="W47" s="74"/>
      <c r="X47" s="74"/>
      <c r="Y47" s="74"/>
      <c r="Z47" s="74"/>
    </row>
    <row r="48" spans="1:26" x14ac:dyDescent="0.3">
      <c r="A48" s="66">
        <f t="shared" si="7"/>
        <v>1994.0999999999963</v>
      </c>
      <c r="B48" s="67">
        <f>LOOKUP(A48+0.01,AmountsB!$A$4:$A$103,AmountsB!$B$4:$B$103)*0.1*$A$2</f>
        <v>0</v>
      </c>
      <c r="C48" s="68">
        <f t="shared" si="4"/>
        <v>0</v>
      </c>
      <c r="D48" s="67">
        <f t="array" ref="D48">SUM($B$7:$B43*$F$1009*EXP(-$F$1009*($A48-$A$7:$A43)))*$F$1010</f>
        <v>0</v>
      </c>
      <c r="E48" s="67">
        <f t="shared" si="1"/>
        <v>0</v>
      </c>
      <c r="F48" s="70">
        <f t="shared" si="8"/>
        <v>0</v>
      </c>
      <c r="G48" s="67">
        <f>E48/'Lookup Tables'!$C$48</f>
        <v>0</v>
      </c>
      <c r="H48" s="70" t="e">
        <f t="shared" si="2"/>
        <v>#DIV/0!</v>
      </c>
      <c r="I48" s="71">
        <f t="shared" si="9"/>
        <v>0</v>
      </c>
      <c r="J48" s="35">
        <f t="shared" si="0"/>
        <v>2035</v>
      </c>
      <c r="K48" s="75">
        <f>$G461</f>
        <v>19.815244111362194</v>
      </c>
      <c r="L48" s="74"/>
      <c r="M48" s="74"/>
      <c r="N48" s="74"/>
      <c r="O48" s="74"/>
      <c r="P48" s="74"/>
      <c r="Q48" s="74"/>
      <c r="R48" s="74"/>
      <c r="S48" s="74"/>
      <c r="T48" s="74"/>
      <c r="U48" s="74"/>
      <c r="V48" s="74"/>
      <c r="W48" s="74"/>
      <c r="X48" s="74"/>
      <c r="Y48" s="74"/>
      <c r="Z48" s="74"/>
    </row>
    <row r="49" spans="1:26" x14ac:dyDescent="0.3">
      <c r="A49" s="66">
        <f t="shared" si="7"/>
        <v>1994.1999999999962</v>
      </c>
      <c r="B49" s="67">
        <f>LOOKUP(A49+0.01,AmountsB!$A$4:$A$103,AmountsB!$B$4:$B$103)*0.1*$A$2</f>
        <v>0</v>
      </c>
      <c r="C49" s="68">
        <f t="shared" si="4"/>
        <v>0</v>
      </c>
      <c r="D49" s="67">
        <f t="array" ref="D49">SUM($B$7:$B44*$F$1009*EXP(-$F$1009*($A49-$A$7:$A44)))*$F$1010</f>
        <v>0</v>
      </c>
      <c r="E49" s="67">
        <f t="shared" si="1"/>
        <v>0</v>
      </c>
      <c r="F49" s="70">
        <f t="shared" si="8"/>
        <v>0</v>
      </c>
      <c r="G49" s="67">
        <f>E49/'Lookup Tables'!$C$48</f>
        <v>0</v>
      </c>
      <c r="H49" s="70" t="e">
        <f t="shared" si="2"/>
        <v>#DIV/0!</v>
      </c>
      <c r="I49" s="71">
        <f t="shared" si="9"/>
        <v>0</v>
      </c>
      <c r="J49" s="35">
        <f t="shared" si="0"/>
        <v>2036</v>
      </c>
      <c r="K49" s="75">
        <f>$G471</f>
        <v>19.539763557183651</v>
      </c>
      <c r="L49" s="74"/>
      <c r="M49" s="74"/>
      <c r="N49" s="74"/>
      <c r="O49" s="74"/>
      <c r="P49" s="74"/>
      <c r="Q49" s="74"/>
      <c r="R49" s="74"/>
      <c r="S49" s="74"/>
      <c r="T49" s="74"/>
      <c r="U49" s="74"/>
      <c r="V49" s="74"/>
      <c r="W49" s="74"/>
      <c r="X49" s="74"/>
      <c r="Y49" s="74"/>
      <c r="Z49" s="74"/>
    </row>
    <row r="50" spans="1:26" x14ac:dyDescent="0.3">
      <c r="A50" s="66">
        <f t="shared" si="7"/>
        <v>1994.2999999999961</v>
      </c>
      <c r="B50" s="67">
        <f>LOOKUP(A50+0.01,AmountsB!$A$4:$A$103,AmountsB!$B$4:$B$103)*0.1*$A$2</f>
        <v>0</v>
      </c>
      <c r="C50" s="68">
        <f t="shared" si="4"/>
        <v>0</v>
      </c>
      <c r="D50" s="67">
        <f t="array" ref="D50">SUM($B$7:$B45*$F$1009*EXP(-$F$1009*($A50-$A$7:$A45)))*$F$1010</f>
        <v>0</v>
      </c>
      <c r="E50" s="67">
        <f t="shared" si="1"/>
        <v>0</v>
      </c>
      <c r="F50" s="70">
        <f t="shared" si="8"/>
        <v>0</v>
      </c>
      <c r="G50" s="67">
        <f>E50/'Lookup Tables'!$C$48</f>
        <v>0</v>
      </c>
      <c r="H50" s="70" t="e">
        <f t="shared" si="2"/>
        <v>#DIV/0!</v>
      </c>
      <c r="I50" s="71">
        <f t="shared" si="9"/>
        <v>0</v>
      </c>
      <c r="J50" s="35">
        <f t="shared" si="0"/>
        <v>2037</v>
      </c>
      <c r="K50" s="75">
        <f>$G481</f>
        <v>19.268112859216014</v>
      </c>
      <c r="L50" s="74"/>
      <c r="M50" s="74"/>
      <c r="N50" s="74"/>
      <c r="O50" s="74"/>
      <c r="P50" s="74"/>
      <c r="Q50" s="74"/>
      <c r="R50" s="74"/>
      <c r="S50" s="74"/>
      <c r="T50" s="74"/>
      <c r="U50" s="74"/>
      <c r="V50" s="74"/>
      <c r="W50" s="74"/>
      <c r="X50" s="74"/>
      <c r="Y50" s="74"/>
      <c r="Z50" s="74"/>
    </row>
    <row r="51" spans="1:26" x14ac:dyDescent="0.3">
      <c r="A51" s="66">
        <f t="shared" si="7"/>
        <v>1994.399999999996</v>
      </c>
      <c r="B51" s="67">
        <f>LOOKUP(A51+0.01,AmountsB!$A$4:$A$103,AmountsB!$B$4:$B$103)*0.1*$A$2</f>
        <v>0</v>
      </c>
      <c r="C51" s="68">
        <f t="shared" si="4"/>
        <v>0</v>
      </c>
      <c r="D51" s="67">
        <f t="array" ref="D51">SUM($B$7:$B46*$F$1009*EXP(-$F$1009*($A51-$A$7:$A46)))*$F$1010</f>
        <v>0</v>
      </c>
      <c r="E51" s="67">
        <f t="shared" si="1"/>
        <v>0</v>
      </c>
      <c r="F51" s="70">
        <f t="shared" si="8"/>
        <v>0</v>
      </c>
      <c r="G51" s="67">
        <f>E51/'Lookup Tables'!$C$48</f>
        <v>0</v>
      </c>
      <c r="H51" s="70" t="e">
        <f t="shared" si="2"/>
        <v>#DIV/0!</v>
      </c>
      <c r="I51" s="71">
        <f t="shared" si="9"/>
        <v>0</v>
      </c>
      <c r="J51" s="35">
        <f t="shared" si="0"/>
        <v>2038</v>
      </c>
      <c r="K51" s="75">
        <f>$G491</f>
        <v>19.000238773052825</v>
      </c>
      <c r="L51" s="74"/>
      <c r="M51" s="74"/>
      <c r="N51" s="74"/>
      <c r="O51" s="74"/>
      <c r="P51" s="74"/>
      <c r="Q51" s="74"/>
      <c r="R51" s="74"/>
      <c r="S51" s="74"/>
      <c r="T51" s="74"/>
      <c r="U51" s="74"/>
      <c r="V51" s="74"/>
      <c r="W51" s="74"/>
      <c r="X51" s="74"/>
      <c r="Y51" s="74"/>
      <c r="Z51" s="74"/>
    </row>
    <row r="52" spans="1:26" x14ac:dyDescent="0.3">
      <c r="A52" s="66">
        <f t="shared" si="7"/>
        <v>1994.4999999999959</v>
      </c>
      <c r="B52" s="67">
        <f>LOOKUP(A52+0.01,AmountsB!$A$4:$A$103,AmountsB!$B$4:$B$103)*0.1*$A$2</f>
        <v>0</v>
      </c>
      <c r="C52" s="68">
        <f t="shared" si="4"/>
        <v>0</v>
      </c>
      <c r="D52" s="67">
        <f t="array" ref="D52">SUM($B$7:$B47*$F$1009*EXP(-$F$1009*($A52-$A$7:$A47)))*$F$1010</f>
        <v>0</v>
      </c>
      <c r="E52" s="67">
        <f t="shared" si="1"/>
        <v>0</v>
      </c>
      <c r="F52" s="70">
        <f t="shared" si="8"/>
        <v>0</v>
      </c>
      <c r="G52" s="67">
        <f>E52/'Lookup Tables'!$C$48</f>
        <v>0</v>
      </c>
      <c r="H52" s="70" t="e">
        <f t="shared" si="2"/>
        <v>#DIV/0!</v>
      </c>
      <c r="I52" s="71">
        <f t="shared" si="9"/>
        <v>0</v>
      </c>
      <c r="J52" s="35">
        <f t="shared" si="0"/>
        <v>2039</v>
      </c>
      <c r="K52" s="75">
        <f>$G501</f>
        <v>18.736088794515634</v>
      </c>
      <c r="L52" s="74"/>
      <c r="M52" s="74"/>
      <c r="N52" s="74"/>
      <c r="O52" s="74"/>
      <c r="P52" s="74"/>
      <c r="Q52" s="74"/>
      <c r="R52" s="74"/>
      <c r="S52" s="74"/>
      <c r="T52" s="74"/>
      <c r="U52" s="74"/>
      <c r="V52" s="74"/>
      <c r="W52" s="74"/>
      <c r="X52" s="74"/>
      <c r="Y52" s="74"/>
      <c r="Z52" s="74"/>
    </row>
    <row r="53" spans="1:26" x14ac:dyDescent="0.3">
      <c r="A53" s="66">
        <f t="shared" si="7"/>
        <v>1994.5999999999958</v>
      </c>
      <c r="B53" s="67">
        <f>LOOKUP(A53+0.01,AmountsB!$A$4:$A$103,AmountsB!$B$4:$B$103)*0.1*$A$2</f>
        <v>0</v>
      </c>
      <c r="C53" s="68">
        <f t="shared" si="4"/>
        <v>0</v>
      </c>
      <c r="D53" s="67">
        <f t="array" ref="D53">SUM($B$7:$B48*$F$1009*EXP(-$F$1009*($A53-$A$7:$A48)))*$F$1010</f>
        <v>0</v>
      </c>
      <c r="E53" s="67">
        <f t="shared" si="1"/>
        <v>0</v>
      </c>
      <c r="F53" s="70">
        <f t="shared" si="8"/>
        <v>0</v>
      </c>
      <c r="G53" s="67">
        <f>E53/'Lookup Tables'!$C$48</f>
        <v>0</v>
      </c>
      <c r="H53" s="70" t="e">
        <f t="shared" si="2"/>
        <v>#DIV/0!</v>
      </c>
      <c r="I53" s="71">
        <f t="shared" si="9"/>
        <v>0</v>
      </c>
      <c r="J53" s="35">
        <f t="shared" si="0"/>
        <v>2040</v>
      </c>
      <c r="K53" s="75">
        <f>$G511</f>
        <v>18.475611149363022</v>
      </c>
      <c r="L53" s="74"/>
      <c r="M53" s="74"/>
      <c r="N53" s="74"/>
      <c r="O53" s="74"/>
      <c r="P53" s="74"/>
      <c r="Q53" s="74"/>
      <c r="R53" s="74"/>
      <c r="S53" s="74"/>
      <c r="T53" s="74"/>
      <c r="U53" s="74"/>
      <c r="V53" s="74"/>
      <c r="W53" s="74"/>
      <c r="X53" s="74"/>
      <c r="Y53" s="74"/>
      <c r="Z53" s="74"/>
    </row>
    <row r="54" spans="1:26" x14ac:dyDescent="0.3">
      <c r="A54" s="66">
        <f t="shared" si="7"/>
        <v>1994.6999999999957</v>
      </c>
      <c r="B54" s="67">
        <f>LOOKUP(A54+0.01,AmountsB!$A$4:$A$103,AmountsB!$B$4:$B$103)*0.1*$A$2</f>
        <v>0</v>
      </c>
      <c r="C54" s="68">
        <f t="shared" si="4"/>
        <v>0</v>
      </c>
      <c r="D54" s="67">
        <f t="array" ref="D54">SUM($B$7:$B49*$F$1009*EXP(-$F$1009*($A54-$A$7:$A49)))*$F$1010</f>
        <v>0</v>
      </c>
      <c r="E54" s="67">
        <f t="shared" si="1"/>
        <v>0</v>
      </c>
      <c r="F54" s="70">
        <f t="shared" si="8"/>
        <v>0</v>
      </c>
      <c r="G54" s="67">
        <f>E54/'Lookup Tables'!$C$48</f>
        <v>0</v>
      </c>
      <c r="H54" s="70" t="e">
        <f t="shared" si="2"/>
        <v>#DIV/0!</v>
      </c>
      <c r="I54" s="71">
        <f t="shared" si="9"/>
        <v>0</v>
      </c>
      <c r="J54" s="35">
        <f t="shared" si="0"/>
        <v>2041</v>
      </c>
      <c r="K54" s="77">
        <f>$G521</f>
        <v>18.218754783142657</v>
      </c>
      <c r="L54" s="74"/>
      <c r="M54" s="74"/>
      <c r="N54" s="74"/>
      <c r="O54" s="74"/>
      <c r="P54" s="74"/>
      <c r="Q54" s="74"/>
      <c r="R54" s="74"/>
      <c r="S54" s="74"/>
      <c r="T54" s="74"/>
      <c r="U54" s="74"/>
      <c r="V54" s="74"/>
      <c r="W54" s="74"/>
      <c r="X54" s="74"/>
      <c r="Y54" s="74"/>
      <c r="Z54" s="74"/>
    </row>
    <row r="55" spans="1:26" x14ac:dyDescent="0.3">
      <c r="A55" s="66">
        <f t="shared" si="7"/>
        <v>1994.7999999999956</v>
      </c>
      <c r="B55" s="67">
        <f>LOOKUP(A55+0.01,AmountsB!$A$4:$A$103,AmountsB!$B$4:$B$103)*0.1*$A$2</f>
        <v>0</v>
      </c>
      <c r="C55" s="68">
        <f t="shared" si="4"/>
        <v>0</v>
      </c>
      <c r="D55" s="67">
        <f t="array" ref="D55">SUM($B$7:$B50*$F$1009*EXP(-$F$1009*($A55-$A$7:$A50)))*$F$1010</f>
        <v>0</v>
      </c>
      <c r="E55" s="67">
        <f t="shared" si="1"/>
        <v>0</v>
      </c>
      <c r="F55" s="70">
        <f t="shared" si="8"/>
        <v>0</v>
      </c>
      <c r="G55" s="67">
        <f>E55/'Lookup Tables'!$C$48</f>
        <v>0</v>
      </c>
      <c r="H55" s="70" t="e">
        <f t="shared" si="2"/>
        <v>#DIV/0!</v>
      </c>
      <c r="I55" s="71">
        <f t="shared" si="9"/>
        <v>0</v>
      </c>
      <c r="J55" s="35">
        <f t="shared" si="0"/>
        <v>2042</v>
      </c>
      <c r="K55" s="77">
        <f>$G531</f>
        <v>17.965469351184474</v>
      </c>
      <c r="L55" s="74"/>
      <c r="M55" s="74"/>
      <c r="N55" s="74"/>
      <c r="O55" s="74"/>
      <c r="P55" s="74"/>
      <c r="Q55" s="74"/>
      <c r="R55" s="74"/>
      <c r="S55" s="74"/>
      <c r="T55" s="74"/>
      <c r="U55" s="74"/>
      <c r="V55" s="74"/>
      <c r="W55" s="74"/>
      <c r="X55" s="74"/>
      <c r="Y55" s="74"/>
      <c r="Z55" s="74"/>
    </row>
    <row r="56" spans="1:26" x14ac:dyDescent="0.3">
      <c r="A56" s="66">
        <f t="shared" si="7"/>
        <v>1994.8999999999955</v>
      </c>
      <c r="B56" s="67">
        <f>LOOKUP(A56+0.01,AmountsB!$A$4:$A$103,AmountsB!$B$4:$B$103)*0.1*$A$2</f>
        <v>0</v>
      </c>
      <c r="C56" s="68">
        <f t="shared" si="4"/>
        <v>0</v>
      </c>
      <c r="D56" s="67">
        <f t="array" ref="D56">SUM($B$7:$B51*$F$1009*EXP(-$F$1009*($A56-$A$7:$A51)))*$F$1010</f>
        <v>0</v>
      </c>
      <c r="E56" s="67">
        <f t="shared" si="1"/>
        <v>0</v>
      </c>
      <c r="F56" s="70">
        <f t="shared" si="8"/>
        <v>0</v>
      </c>
      <c r="G56" s="67">
        <f>E56/'Lookup Tables'!$C$48</f>
        <v>0</v>
      </c>
      <c r="H56" s="70" t="e">
        <f t="shared" si="2"/>
        <v>#DIV/0!</v>
      </c>
      <c r="I56" s="71">
        <f t="shared" si="9"/>
        <v>0</v>
      </c>
      <c r="J56" s="35">
        <f t="shared" si="0"/>
        <v>2043</v>
      </c>
      <c r="K56" s="77">
        <f>$G541</f>
        <v>17.715705208732945</v>
      </c>
      <c r="L56" s="74"/>
      <c r="M56" s="74"/>
      <c r="N56" s="74"/>
      <c r="O56" s="74"/>
      <c r="P56" s="74"/>
      <c r="Q56" s="74"/>
      <c r="R56" s="74"/>
      <c r="S56" s="74"/>
      <c r="T56" s="74"/>
      <c r="U56" s="74"/>
      <c r="V56" s="74"/>
      <c r="W56" s="74"/>
      <c r="X56" s="74"/>
      <c r="Y56" s="74"/>
      <c r="Z56" s="74"/>
    </row>
    <row r="57" spans="1:26" x14ac:dyDescent="0.3">
      <c r="A57" s="66">
        <f t="shared" si="7"/>
        <v>1994.9999999999955</v>
      </c>
      <c r="B57" s="67">
        <f>LOOKUP(A57+0.01,AmountsB!$A$4:$A$103,AmountsB!$B$4:$B$103)*0.1*$A$2</f>
        <v>0</v>
      </c>
      <c r="C57" s="68">
        <f t="shared" si="4"/>
        <v>0</v>
      </c>
      <c r="D57" s="67">
        <f t="array" ref="D57">SUM($B$7:$B52*$F$1009*EXP(-$F$1009*($A57-$A$7:$A52)))*$F$1010</f>
        <v>0</v>
      </c>
      <c r="E57" s="67">
        <f t="shared" si="1"/>
        <v>0</v>
      </c>
      <c r="F57" s="70">
        <f t="shared" si="8"/>
        <v>0</v>
      </c>
      <c r="G57" s="67">
        <f>E57/'Lookup Tables'!$C$48</f>
        <v>0</v>
      </c>
      <c r="H57" s="70" t="e">
        <f t="shared" si="2"/>
        <v>#DIV/0!</v>
      </c>
      <c r="I57" s="71">
        <f t="shared" si="9"/>
        <v>0</v>
      </c>
      <c r="J57" s="35">
        <f t="shared" si="0"/>
        <v>2044</v>
      </c>
      <c r="K57" s="77">
        <f>$G551</f>
        <v>17.46941340121657</v>
      </c>
      <c r="L57" s="74"/>
      <c r="M57" s="74"/>
      <c r="N57" s="74"/>
      <c r="O57" s="74"/>
      <c r="P57" s="74"/>
      <c r="Q57" s="74"/>
      <c r="R57" s="74"/>
      <c r="S57" s="74"/>
      <c r="T57" s="74"/>
      <c r="U57" s="74"/>
      <c r="V57" s="74"/>
      <c r="W57" s="74"/>
      <c r="X57" s="74"/>
      <c r="Y57" s="74"/>
      <c r="Z57" s="74"/>
    </row>
    <row r="58" spans="1:26" x14ac:dyDescent="0.3">
      <c r="A58" s="66">
        <f t="shared" si="7"/>
        <v>1995.0999999999954</v>
      </c>
      <c r="B58" s="67">
        <f>LOOKUP(A58+0.01,AmountsB!$A$4:$A$103,AmountsB!$B$4:$B$103)*0.1*$A$2</f>
        <v>0</v>
      </c>
      <c r="C58" s="68">
        <f t="shared" si="4"/>
        <v>0</v>
      </c>
      <c r="D58" s="67">
        <f t="array" ref="D58">SUM($B$7:$B53*$F$1009*EXP(-$F$1009*($A58-$A$7:$A53)))*$F$1010</f>
        <v>0</v>
      </c>
      <c r="E58" s="67">
        <f t="shared" si="1"/>
        <v>0</v>
      </c>
      <c r="F58" s="70">
        <f t="shared" si="8"/>
        <v>0</v>
      </c>
      <c r="G58" s="67">
        <f>E58/'Lookup Tables'!$C$48</f>
        <v>0</v>
      </c>
      <c r="H58" s="70" t="e">
        <f t="shared" si="2"/>
        <v>#DIV/0!</v>
      </c>
      <c r="I58" s="71">
        <f t="shared" si="9"/>
        <v>0</v>
      </c>
      <c r="J58" s="35">
        <f t="shared" si="0"/>
        <v>2045</v>
      </c>
      <c r="K58" s="77">
        <f>$G561</f>
        <v>17.226545654652611</v>
      </c>
      <c r="L58" s="74"/>
      <c r="M58" s="74"/>
      <c r="N58" s="74"/>
      <c r="O58" s="74"/>
      <c r="P58" s="74"/>
      <c r="Q58" s="74"/>
      <c r="R58" s="74"/>
      <c r="S58" s="74"/>
      <c r="T58" s="74"/>
      <c r="U58" s="74"/>
      <c r="V58" s="74"/>
      <c r="W58" s="74"/>
      <c r="X58" s="74"/>
      <c r="Y58" s="74"/>
      <c r="Z58" s="74"/>
    </row>
    <row r="59" spans="1:26" x14ac:dyDescent="0.3">
      <c r="A59" s="66">
        <f t="shared" si="7"/>
        <v>1995.1999999999953</v>
      </c>
      <c r="B59" s="67">
        <f>LOOKUP(A59+0.01,AmountsB!$A$4:$A$103,AmountsB!$B$4:$B$103)*0.1*$A$2</f>
        <v>0</v>
      </c>
      <c r="C59" s="68">
        <f t="shared" si="4"/>
        <v>0</v>
      </c>
      <c r="D59" s="67">
        <f t="array" ref="D59">SUM($B$7:$B54*$F$1009*EXP(-$F$1009*($A59-$A$7:$A54)))*$F$1010</f>
        <v>0</v>
      </c>
      <c r="E59" s="67">
        <f t="shared" si="1"/>
        <v>0</v>
      </c>
      <c r="F59" s="70">
        <f t="shared" si="8"/>
        <v>0</v>
      </c>
      <c r="G59" s="67">
        <f>E59/'Lookup Tables'!$C$48</f>
        <v>0</v>
      </c>
      <c r="H59" s="70" t="e">
        <f t="shared" si="2"/>
        <v>#DIV/0!</v>
      </c>
      <c r="I59" s="71">
        <f t="shared" si="9"/>
        <v>0</v>
      </c>
      <c r="J59" s="35">
        <f t="shared" si="0"/>
        <v>2046</v>
      </c>
      <c r="K59" s="77">
        <f>$G571</f>
        <v>16.98705436618523</v>
      </c>
      <c r="L59" s="74"/>
      <c r="M59" s="74"/>
      <c r="N59" s="74"/>
      <c r="O59" s="74"/>
      <c r="P59" s="74"/>
      <c r="Q59" s="74"/>
      <c r="R59" s="74"/>
      <c r="S59" s="74"/>
      <c r="T59" s="74"/>
      <c r="U59" s="74"/>
      <c r="V59" s="74"/>
      <c r="W59" s="74"/>
      <c r="X59" s="74"/>
      <c r="Y59" s="74"/>
      <c r="Z59" s="74"/>
    </row>
    <row r="60" spans="1:26" x14ac:dyDescent="0.3">
      <c r="A60" s="66">
        <f t="shared" si="7"/>
        <v>1995.2999999999952</v>
      </c>
      <c r="B60" s="67">
        <f>LOOKUP(A60+0.01,AmountsB!$A$4:$A$103,AmountsB!$B$4:$B$103)*0.1*$A$2</f>
        <v>0</v>
      </c>
      <c r="C60" s="68">
        <f t="shared" si="4"/>
        <v>0</v>
      </c>
      <c r="D60" s="67">
        <f t="array" ref="D60">SUM($B$7:$B55*$F$1009*EXP(-$F$1009*($A60-$A$7:$A55)))*$F$1010</f>
        <v>0</v>
      </c>
      <c r="E60" s="67">
        <f t="shared" si="1"/>
        <v>0</v>
      </c>
      <c r="F60" s="70">
        <f t="shared" si="8"/>
        <v>0</v>
      </c>
      <c r="G60" s="67">
        <f>E60/'Lookup Tables'!$C$48</f>
        <v>0</v>
      </c>
      <c r="H60" s="70" t="e">
        <f t="shared" si="2"/>
        <v>#DIV/0!</v>
      </c>
      <c r="I60" s="71">
        <f t="shared" si="9"/>
        <v>0</v>
      </c>
      <c r="J60" s="35">
        <f t="shared" si="0"/>
        <v>2047</v>
      </c>
      <c r="K60" s="77">
        <f>$G581</f>
        <v>16.750892594755214</v>
      </c>
      <c r="L60" s="74"/>
      <c r="M60" s="74"/>
      <c r="N60" s="74"/>
      <c r="O60" s="74"/>
      <c r="P60" s="74"/>
      <c r="Q60" s="74"/>
      <c r="R60" s="74"/>
      <c r="S60" s="74"/>
      <c r="T60" s="74"/>
      <c r="U60" s="74"/>
      <c r="V60" s="74"/>
      <c r="W60" s="74"/>
      <c r="X60" s="74"/>
      <c r="Y60" s="74"/>
      <c r="Z60" s="74"/>
    </row>
    <row r="61" spans="1:26" x14ac:dyDescent="0.3">
      <c r="A61" s="66">
        <f t="shared" si="7"/>
        <v>1995.3999999999951</v>
      </c>
      <c r="B61" s="67">
        <f>LOOKUP(A61+0.01,AmountsB!$A$4:$A$103,AmountsB!$B$4:$B$103)*0.1*$A$2</f>
        <v>0</v>
      </c>
      <c r="C61" s="68">
        <f t="shared" si="4"/>
        <v>0</v>
      </c>
      <c r="D61" s="67">
        <f t="array" ref="D61">SUM($B$7:$B56*$F$1009*EXP(-$F$1009*($A61-$A$7:$A56)))*$F$1010</f>
        <v>0</v>
      </c>
      <c r="E61" s="67">
        <f t="shared" si="1"/>
        <v>0</v>
      </c>
      <c r="F61" s="70">
        <f t="shared" si="8"/>
        <v>0</v>
      </c>
      <c r="G61" s="67">
        <f>E61/'Lookup Tables'!$C$48</f>
        <v>0</v>
      </c>
      <c r="H61" s="70" t="e">
        <f t="shared" si="2"/>
        <v>#DIV/0!</v>
      </c>
      <c r="I61" s="71">
        <f t="shared" si="9"/>
        <v>0</v>
      </c>
      <c r="J61" s="35">
        <f t="shared" si="0"/>
        <v>2048</v>
      </c>
      <c r="K61" s="77">
        <f>$G591</f>
        <v>16.518014051899279</v>
      </c>
      <c r="L61" s="74"/>
      <c r="M61" s="74"/>
      <c r="N61" s="74"/>
      <c r="O61" s="74"/>
      <c r="P61" s="74"/>
      <c r="Q61" s="74"/>
      <c r="R61" s="74"/>
      <c r="S61" s="74"/>
      <c r="T61" s="74"/>
      <c r="U61" s="74"/>
      <c r="V61" s="74"/>
      <c r="W61" s="74"/>
      <c r="X61" s="74"/>
      <c r="Y61" s="74"/>
      <c r="Z61" s="74"/>
    </row>
    <row r="62" spans="1:26" x14ac:dyDescent="0.3">
      <c r="A62" s="66">
        <f t="shared" si="7"/>
        <v>1995.499999999995</v>
      </c>
      <c r="B62" s="67">
        <f>LOOKUP(A62+0.01,AmountsB!$A$4:$A$103,AmountsB!$B$4:$B$103)*0.1*$A$2</f>
        <v>0</v>
      </c>
      <c r="C62" s="68">
        <f t="shared" si="4"/>
        <v>0</v>
      </c>
      <c r="D62" s="67">
        <f t="array" ref="D62">SUM($B$7:$B57*$F$1009*EXP(-$F$1009*($A62-$A$7:$A57)))*$F$1010</f>
        <v>0</v>
      </c>
      <c r="E62" s="67">
        <f t="shared" si="1"/>
        <v>0</v>
      </c>
      <c r="F62" s="70">
        <f t="shared" si="8"/>
        <v>0</v>
      </c>
      <c r="G62" s="67">
        <f>E62/'Lookup Tables'!$C$48</f>
        <v>0</v>
      </c>
      <c r="H62" s="70" t="e">
        <f t="shared" si="2"/>
        <v>#DIV/0!</v>
      </c>
      <c r="I62" s="71">
        <f t="shared" si="9"/>
        <v>0</v>
      </c>
      <c r="J62" s="35">
        <f t="shared" si="0"/>
        <v>2049</v>
      </c>
      <c r="K62" s="77">
        <f>$G601</f>
        <v>16.288373092677528</v>
      </c>
      <c r="L62" s="74"/>
      <c r="M62" s="74"/>
      <c r="N62" s="74"/>
      <c r="O62" s="74"/>
      <c r="P62" s="74"/>
      <c r="Q62" s="74"/>
      <c r="R62" s="74"/>
      <c r="S62" s="74"/>
      <c r="T62" s="74"/>
      <c r="U62" s="74"/>
      <c r="V62" s="74"/>
      <c r="W62" s="74"/>
      <c r="X62" s="74"/>
      <c r="Y62" s="74"/>
      <c r="Z62" s="74"/>
    </row>
    <row r="63" spans="1:26" x14ac:dyDescent="0.3">
      <c r="A63" s="66">
        <f t="shared" si="7"/>
        <v>1995.5999999999949</v>
      </c>
      <c r="B63" s="67">
        <f>LOOKUP(A63+0.01,AmountsB!$A$4:$A$103,AmountsB!$B$4:$B$103)*0.1*$A$2</f>
        <v>0</v>
      </c>
      <c r="C63" s="68">
        <f t="shared" si="4"/>
        <v>0</v>
      </c>
      <c r="D63" s="67">
        <f t="array" ref="D63">SUM($B$7:$B58*$F$1009*EXP(-$F$1009*($A63-$A$7:$A58)))*$F$1010</f>
        <v>0</v>
      </c>
      <c r="E63" s="67">
        <f t="shared" si="1"/>
        <v>0</v>
      </c>
      <c r="F63" s="70">
        <f t="shared" si="8"/>
        <v>0</v>
      </c>
      <c r="G63" s="67">
        <f>E63/'Lookup Tables'!$C$48</f>
        <v>0</v>
      </c>
      <c r="H63" s="70" t="e">
        <f t="shared" si="2"/>
        <v>#DIV/0!</v>
      </c>
      <c r="I63" s="71">
        <f t="shared" si="9"/>
        <v>0</v>
      </c>
      <c r="J63" s="35">
        <f t="shared" si="0"/>
        <v>2050</v>
      </c>
      <c r="K63" s="77">
        <f>$G611</f>
        <v>16.061924706726792</v>
      </c>
      <c r="L63" s="74"/>
      <c r="M63" s="74"/>
      <c r="N63" s="74"/>
      <c r="O63" s="74"/>
      <c r="P63" s="74"/>
      <c r="Q63" s="74"/>
      <c r="R63" s="74"/>
      <c r="S63" s="74"/>
      <c r="T63" s="74"/>
      <c r="U63" s="74"/>
      <c r="V63" s="74"/>
      <c r="W63" s="74"/>
      <c r="X63" s="74"/>
      <c r="Y63" s="74"/>
      <c r="Z63" s="74"/>
    </row>
    <row r="64" spans="1:26" x14ac:dyDescent="0.3">
      <c r="A64" s="66">
        <f t="shared" si="7"/>
        <v>1995.6999999999948</v>
      </c>
      <c r="B64" s="67">
        <f>LOOKUP(A64+0.01,AmountsB!$A$4:$A$103,AmountsB!$B$4:$B$103)*0.1*$A$2</f>
        <v>0</v>
      </c>
      <c r="C64" s="68">
        <f t="shared" si="4"/>
        <v>0</v>
      </c>
      <c r="D64" s="67">
        <f t="array" ref="D64">SUM($B$7:$B59*$F$1009*EXP(-$F$1009*($A64-$A$7:$A59)))*$F$1010</f>
        <v>0</v>
      </c>
      <c r="E64" s="67">
        <f t="shared" si="1"/>
        <v>0</v>
      </c>
      <c r="F64" s="70">
        <f t="shared" si="8"/>
        <v>0</v>
      </c>
      <c r="G64" s="67">
        <f>E64/'Lookup Tables'!$C$48</f>
        <v>0</v>
      </c>
      <c r="H64" s="70" t="e">
        <f t="shared" si="2"/>
        <v>#DIV/0!</v>
      </c>
      <c r="I64" s="71">
        <f t="shared" si="9"/>
        <v>0</v>
      </c>
      <c r="J64" s="35">
        <f t="shared" si="0"/>
        <v>2051</v>
      </c>
      <c r="K64" s="77">
        <f>$G621</f>
        <v>15.838624509438478</v>
      </c>
      <c r="L64" s="74"/>
      <c r="M64" s="74"/>
      <c r="N64" s="74"/>
      <c r="O64" s="74"/>
      <c r="P64" s="74"/>
      <c r="Q64" s="74"/>
      <c r="R64" s="74"/>
      <c r="S64" s="74"/>
      <c r="T64" s="74"/>
      <c r="U64" s="74"/>
      <c r="V64" s="74"/>
      <c r="W64" s="74"/>
      <c r="X64" s="74"/>
      <c r="Y64" s="74"/>
      <c r="Z64" s="74"/>
    </row>
    <row r="65" spans="1:26" x14ac:dyDescent="0.3">
      <c r="A65" s="66">
        <f t="shared" si="7"/>
        <v>1995.7999999999947</v>
      </c>
      <c r="B65" s="67">
        <f>LOOKUP(A65+0.01,AmountsB!$A$4:$A$103,AmountsB!$B$4:$B$103)*0.1*$A$2</f>
        <v>0</v>
      </c>
      <c r="C65" s="68">
        <f t="shared" si="4"/>
        <v>0</v>
      </c>
      <c r="D65" s="67">
        <f t="array" ref="D65">SUM($B$7:$B60*$F$1009*EXP(-$F$1009*($A65-$A$7:$A60)))*$F$1010</f>
        <v>0</v>
      </c>
      <c r="E65" s="67">
        <f t="shared" si="1"/>
        <v>0</v>
      </c>
      <c r="F65" s="70">
        <f t="shared" si="8"/>
        <v>0</v>
      </c>
      <c r="G65" s="67">
        <f>E65/'Lookup Tables'!$C$48</f>
        <v>0</v>
      </c>
      <c r="H65" s="70" t="e">
        <f t="shared" si="2"/>
        <v>#DIV/0!</v>
      </c>
      <c r="I65" s="71">
        <f t="shared" si="9"/>
        <v>0</v>
      </c>
      <c r="J65" s="35">
        <f t="shared" si="0"/>
        <v>2052</v>
      </c>
      <c r="K65" s="77">
        <f>$G631</f>
        <v>15.618428733259057</v>
      </c>
      <c r="L65" s="74"/>
      <c r="M65" s="74"/>
      <c r="N65" s="74"/>
      <c r="O65" s="74"/>
      <c r="P65" s="74"/>
      <c r="Q65" s="74"/>
      <c r="R65" s="74"/>
      <c r="S65" s="74"/>
      <c r="T65" s="74"/>
      <c r="U65" s="74"/>
      <c r="V65" s="74"/>
      <c r="W65" s="74"/>
      <c r="X65" s="74"/>
      <c r="Y65" s="74"/>
      <c r="Z65" s="74"/>
    </row>
    <row r="66" spans="1:26" x14ac:dyDescent="0.3">
      <c r="A66" s="66">
        <f t="shared" si="7"/>
        <v>1995.8999999999946</v>
      </c>
      <c r="B66" s="67">
        <f>LOOKUP(A66+0.01,AmountsB!$A$4:$A$103,AmountsB!$B$4:$B$103)*0.1*$A$2</f>
        <v>0</v>
      </c>
      <c r="C66" s="68">
        <f t="shared" si="4"/>
        <v>0</v>
      </c>
      <c r="D66" s="67">
        <f t="array" ref="D66">SUM($B$7:$B61*$F$1009*EXP(-$F$1009*($A66-$A$7:$A61)))*$F$1010</f>
        <v>0</v>
      </c>
      <c r="E66" s="67">
        <f t="shared" si="1"/>
        <v>0</v>
      </c>
      <c r="F66" s="70">
        <f t="shared" si="8"/>
        <v>0</v>
      </c>
      <c r="G66" s="67">
        <f>E66/'Lookup Tables'!$C$48</f>
        <v>0</v>
      </c>
      <c r="H66" s="70" t="e">
        <f t="shared" si="2"/>
        <v>#DIV/0!</v>
      </c>
      <c r="I66" s="71">
        <f t="shared" si="9"/>
        <v>0</v>
      </c>
      <c r="J66" s="35">
        <f t="shared" si="0"/>
        <v>2053</v>
      </c>
      <c r="K66" s="77">
        <f>$G641</f>
        <v>15.401294219111477</v>
      </c>
      <c r="L66" s="74"/>
      <c r="M66" s="74"/>
      <c r="N66" s="74"/>
      <c r="O66" s="74"/>
      <c r="P66" s="74"/>
      <c r="Q66" s="74"/>
      <c r="R66" s="74"/>
      <c r="S66" s="74"/>
      <c r="T66" s="74"/>
      <c r="U66" s="74"/>
      <c r="V66" s="74"/>
      <c r="W66" s="74"/>
      <c r="X66" s="74"/>
      <c r="Y66" s="74"/>
      <c r="Z66" s="74"/>
    </row>
    <row r="67" spans="1:26" x14ac:dyDescent="0.3">
      <c r="A67" s="66">
        <f t="shared" si="7"/>
        <v>1995.9999999999945</v>
      </c>
      <c r="B67" s="67">
        <f>LOOKUP(A67+0.01,AmountsB!$A$4:$A$103,AmountsB!$B$4:$B$103)*0.1*$A$2</f>
        <v>0</v>
      </c>
      <c r="C67" s="68">
        <f t="shared" si="4"/>
        <v>0</v>
      </c>
      <c r="D67" s="67">
        <f t="array" ref="D67">SUM($B$7:$B62*$F$1009*EXP(-$F$1009*($A67-$A$7:$A62)))*$F$1010</f>
        <v>0</v>
      </c>
      <c r="E67" s="67">
        <f t="shared" si="1"/>
        <v>0</v>
      </c>
      <c r="F67" s="70">
        <f t="shared" si="8"/>
        <v>0</v>
      </c>
      <c r="G67" s="67">
        <f>E67/'Lookup Tables'!$C$48</f>
        <v>0</v>
      </c>
      <c r="H67" s="70" t="e">
        <f t="shared" si="2"/>
        <v>#DIV/0!</v>
      </c>
      <c r="I67" s="71">
        <f t="shared" si="9"/>
        <v>0</v>
      </c>
      <c r="J67" s="35">
        <f t="shared" si="0"/>
        <v>2054</v>
      </c>
      <c r="K67" s="77">
        <f>$G651</f>
        <v>15.187178407935825</v>
      </c>
      <c r="L67" s="74"/>
      <c r="M67" s="74"/>
      <c r="N67" s="74"/>
      <c r="O67" s="74"/>
      <c r="P67" s="74"/>
      <c r="Q67" s="74"/>
      <c r="R67" s="74"/>
      <c r="S67" s="74"/>
      <c r="T67" s="74"/>
      <c r="U67" s="74"/>
      <c r="V67" s="74"/>
      <c r="W67" s="74"/>
      <c r="X67" s="74"/>
      <c r="Y67" s="74"/>
      <c r="Z67" s="74"/>
    </row>
    <row r="68" spans="1:26" x14ac:dyDescent="0.3">
      <c r="A68" s="66">
        <f t="shared" si="7"/>
        <v>1996.0999999999945</v>
      </c>
      <c r="B68" s="67">
        <f>LOOKUP(A68+0.01,AmountsB!$A$4:$A$103,AmountsB!$B$4:$B$103)*0.1*$A$2</f>
        <v>0</v>
      </c>
      <c r="C68" s="68">
        <f t="shared" si="4"/>
        <v>0</v>
      </c>
      <c r="D68" s="67">
        <f t="array" ref="D68">SUM($B$7:$B63*$F$1009*EXP(-$F$1009*($A68-$A$7:$A63)))*$F$1010</f>
        <v>0</v>
      </c>
      <c r="E68" s="67">
        <f t="shared" si="1"/>
        <v>0</v>
      </c>
      <c r="F68" s="70">
        <f t="shared" si="8"/>
        <v>0</v>
      </c>
      <c r="G68" s="67">
        <f>E68/'Lookup Tables'!$C$48</f>
        <v>0</v>
      </c>
      <c r="H68" s="70" t="e">
        <f t="shared" si="2"/>
        <v>#DIV/0!</v>
      </c>
      <c r="I68" s="71">
        <f t="shared" si="9"/>
        <v>0</v>
      </c>
      <c r="J68" s="35">
        <f t="shared" ref="J68:J102" si="10">J67+1</f>
        <v>2055</v>
      </c>
      <c r="K68" s="77">
        <f>$G661</f>
        <v>14.976039332347673</v>
      </c>
      <c r="L68" s="74"/>
      <c r="M68" s="74"/>
      <c r="N68" s="74"/>
      <c r="O68" s="74"/>
      <c r="P68" s="74"/>
      <c r="Q68" s="74"/>
      <c r="R68" s="74"/>
      <c r="S68" s="74"/>
      <c r="T68" s="74"/>
      <c r="U68" s="74"/>
      <c r="V68" s="74"/>
      <c r="W68" s="74"/>
      <c r="X68" s="74"/>
      <c r="Y68" s="74"/>
      <c r="Z68" s="74"/>
    </row>
    <row r="69" spans="1:26" x14ac:dyDescent="0.3">
      <c r="A69" s="66">
        <f t="shared" si="7"/>
        <v>1996.1999999999944</v>
      </c>
      <c r="B69" s="67">
        <f>LOOKUP(A69+0.01,AmountsB!$A$4:$A$103,AmountsB!$B$4:$B$103)*0.1*$A$2</f>
        <v>0</v>
      </c>
      <c r="C69" s="68">
        <f t="shared" si="4"/>
        <v>0</v>
      </c>
      <c r="D69" s="67">
        <f t="array" ref="D69">SUM($B$7:$B64*$F$1009*EXP(-$F$1009*($A69-$A$7:$A64)))*$F$1010</f>
        <v>0</v>
      </c>
      <c r="E69" s="67">
        <f t="shared" si="1"/>
        <v>0</v>
      </c>
      <c r="F69" s="70">
        <f t="shared" si="8"/>
        <v>0</v>
      </c>
      <c r="G69" s="67">
        <f>E69/'Lookup Tables'!$C$48</f>
        <v>0</v>
      </c>
      <c r="H69" s="70" t="e">
        <f t="shared" si="2"/>
        <v>#DIV/0!</v>
      </c>
      <c r="I69" s="71">
        <f t="shared" si="9"/>
        <v>0</v>
      </c>
      <c r="J69" s="35">
        <f t="shared" si="10"/>
        <v>2056</v>
      </c>
      <c r="K69" s="77">
        <f>$G671</f>
        <v>14.767835608412261</v>
      </c>
      <c r="L69" s="74"/>
      <c r="M69" s="74"/>
      <c r="N69" s="74"/>
      <c r="O69" s="74"/>
      <c r="P69" s="74"/>
      <c r="Q69" s="74"/>
      <c r="R69" s="74"/>
      <c r="S69" s="74"/>
      <c r="T69" s="74"/>
      <c r="U69" s="74"/>
      <c r="V69" s="74"/>
      <c r="W69" s="74"/>
      <c r="X69" s="74"/>
      <c r="Y69" s="74"/>
      <c r="Z69" s="74"/>
    </row>
    <row r="70" spans="1:26" x14ac:dyDescent="0.3">
      <c r="A70" s="66">
        <f t="shared" si="7"/>
        <v>1996.2999999999943</v>
      </c>
      <c r="B70" s="67">
        <f>LOOKUP(A70+0.01,AmountsB!$A$4:$A$103,AmountsB!$B$4:$B$103)*0.1*$A$2</f>
        <v>0</v>
      </c>
      <c r="C70" s="68">
        <f t="shared" si="4"/>
        <v>0</v>
      </c>
      <c r="D70" s="67">
        <f t="array" ref="D70">SUM($B$7:$B65*$F$1009*EXP(-$F$1009*($A70-$A$7:$A65)))*$F$1010</f>
        <v>0</v>
      </c>
      <c r="E70" s="67">
        <f t="shared" si="1"/>
        <v>0</v>
      </c>
      <c r="F70" s="70">
        <f t="shared" si="8"/>
        <v>0</v>
      </c>
      <c r="G70" s="67">
        <f>E70/'Lookup Tables'!$C$48</f>
        <v>0</v>
      </c>
      <c r="H70" s="70" t="e">
        <f t="shared" si="2"/>
        <v>#DIV/0!</v>
      </c>
      <c r="I70" s="71">
        <f t="shared" si="9"/>
        <v>0</v>
      </c>
      <c r="J70" s="35">
        <f t="shared" si="10"/>
        <v>2057</v>
      </c>
      <c r="K70" s="77">
        <f>$G681</f>
        <v>14.562526427533161</v>
      </c>
      <c r="L70" s="74"/>
      <c r="M70" s="74"/>
      <c r="N70" s="74"/>
      <c r="O70" s="74"/>
      <c r="P70" s="74"/>
      <c r="Q70" s="74"/>
      <c r="R70" s="74"/>
      <c r="S70" s="74"/>
      <c r="T70" s="74"/>
      <c r="U70" s="74"/>
      <c r="V70" s="74"/>
      <c r="W70" s="74"/>
      <c r="X70" s="74"/>
      <c r="Y70" s="74"/>
      <c r="Z70" s="74"/>
    </row>
    <row r="71" spans="1:26" x14ac:dyDescent="0.3">
      <c r="A71" s="66">
        <f t="shared" si="7"/>
        <v>1996.3999999999942</v>
      </c>
      <c r="B71" s="67">
        <f>LOOKUP(A71+0.01,AmountsB!$A$4:$A$103,AmountsB!$B$4:$B$103)*0.1*$A$2</f>
        <v>0</v>
      </c>
      <c r="C71" s="68">
        <f t="shared" si="4"/>
        <v>0</v>
      </c>
      <c r="D71" s="67">
        <f t="array" ref="D71">SUM($B$7:$B66*$F$1009*EXP(-$F$1009*($A71-$A$7:$A66)))*$F$1010</f>
        <v>0</v>
      </c>
      <c r="E71" s="67">
        <f t="shared" ref="E71:E134" si="11">D71/(365*24*60)*1.00201</f>
        <v>0</v>
      </c>
      <c r="F71" s="70">
        <f t="shared" si="8"/>
        <v>0</v>
      </c>
      <c r="G71" s="67">
        <f>E71/'Lookup Tables'!$C$48</f>
        <v>0</v>
      </c>
      <c r="H71" s="70" t="e">
        <f t="shared" ref="H71:H134" si="12">G71*60*24*365/(C71*2000)</f>
        <v>#DIV/0!</v>
      </c>
      <c r="I71" s="71">
        <f t="shared" si="9"/>
        <v>0</v>
      </c>
      <c r="J71" s="35">
        <f t="shared" si="10"/>
        <v>2058</v>
      </c>
      <c r="K71" s="77">
        <f>$G691</f>
        <v>14.360071548453661</v>
      </c>
      <c r="L71" s="74"/>
      <c r="M71" s="74"/>
      <c r="N71" s="74"/>
      <c r="O71" s="74"/>
      <c r="P71" s="74"/>
      <c r="Q71" s="74"/>
      <c r="R71" s="74"/>
      <c r="S71" s="74"/>
      <c r="T71" s="74"/>
      <c r="U71" s="74"/>
      <c r="V71" s="74"/>
      <c r="W71" s="74"/>
      <c r="X71" s="74"/>
      <c r="Y71" s="74"/>
      <c r="Z71" s="74"/>
    </row>
    <row r="72" spans="1:26" x14ac:dyDescent="0.3">
      <c r="A72" s="66">
        <f t="shared" si="7"/>
        <v>1996.4999999999941</v>
      </c>
      <c r="B72" s="67">
        <f>LOOKUP(A72+0.01,AmountsB!$A$4:$A$103,AmountsB!$B$4:$B$103)*0.1*$A$2</f>
        <v>0</v>
      </c>
      <c r="C72" s="68">
        <f t="shared" si="4"/>
        <v>0</v>
      </c>
      <c r="D72" s="67">
        <f t="array" ref="D72">SUM($B$7:$B67*$F$1009*EXP(-$F$1009*($A72-$A$7:$A67)))*$F$1010</f>
        <v>0</v>
      </c>
      <c r="E72" s="67">
        <f t="shared" si="11"/>
        <v>0</v>
      </c>
      <c r="F72" s="70">
        <f t="shared" si="8"/>
        <v>0</v>
      </c>
      <c r="G72" s="67">
        <f>E72/'Lookup Tables'!$C$48</f>
        <v>0</v>
      </c>
      <c r="H72" s="70" t="e">
        <f t="shared" si="12"/>
        <v>#DIV/0!</v>
      </c>
      <c r="I72" s="71">
        <f t="shared" si="9"/>
        <v>0</v>
      </c>
      <c r="J72" s="35">
        <f t="shared" si="10"/>
        <v>2059</v>
      </c>
      <c r="K72" s="77">
        <f>$G701</f>
        <v>14.16043128936932</v>
      </c>
      <c r="L72" s="74"/>
      <c r="M72" s="74"/>
      <c r="N72" s="74"/>
      <c r="O72" s="74"/>
      <c r="P72" s="74"/>
      <c r="Q72" s="74"/>
      <c r="R72" s="74"/>
      <c r="S72" s="74"/>
      <c r="T72" s="74"/>
      <c r="U72" s="74"/>
      <c r="V72" s="74"/>
      <c r="W72" s="74"/>
      <c r="X72" s="74"/>
      <c r="Y72" s="74"/>
      <c r="Z72" s="74"/>
    </row>
    <row r="73" spans="1:26" x14ac:dyDescent="0.3">
      <c r="A73" s="66">
        <f t="shared" si="7"/>
        <v>1996.599999999994</v>
      </c>
      <c r="B73" s="67">
        <f>LOOKUP(A73+0.01,AmountsB!$A$4:$A$103,AmountsB!$B$4:$B$103)*0.1*$A$2</f>
        <v>0</v>
      </c>
      <c r="C73" s="68">
        <f t="shared" ref="C73:C136" si="13">C72+B73</f>
        <v>0</v>
      </c>
      <c r="D73" s="67">
        <f t="array" ref="D73">SUM($B$7:$B68*$F$1009*EXP(-$F$1009*($A73-$A$7:$A68)))*$F$1010</f>
        <v>0</v>
      </c>
      <c r="E73" s="67">
        <f t="shared" si="11"/>
        <v>0</v>
      </c>
      <c r="F73" s="70">
        <f t="shared" si="8"/>
        <v>0</v>
      </c>
      <c r="G73" s="67">
        <f>E73/'Lookup Tables'!$C$48</f>
        <v>0</v>
      </c>
      <c r="H73" s="70" t="e">
        <f t="shared" si="12"/>
        <v>#DIV/0!</v>
      </c>
      <c r="I73" s="71">
        <f t="shared" si="9"/>
        <v>0</v>
      </c>
      <c r="J73" s="35">
        <f t="shared" si="10"/>
        <v>2060</v>
      </c>
      <c r="K73" s="77">
        <f>$G711</f>
        <v>13.963566520150257</v>
      </c>
      <c r="L73" s="74"/>
      <c r="M73" s="74"/>
      <c r="N73" s="74"/>
      <c r="O73" s="74"/>
      <c r="P73" s="74"/>
      <c r="Q73" s="74"/>
      <c r="R73" s="74"/>
      <c r="S73" s="74"/>
      <c r="T73" s="74"/>
      <c r="U73" s="74"/>
      <c r="V73" s="74"/>
      <c r="W73" s="74"/>
      <c r="X73" s="74"/>
      <c r="Y73" s="74"/>
      <c r="Z73" s="74"/>
    </row>
    <row r="74" spans="1:26" x14ac:dyDescent="0.3">
      <c r="A74" s="66">
        <f t="shared" si="7"/>
        <v>1996.6999999999939</v>
      </c>
      <c r="B74" s="67">
        <f>LOOKUP(A74+0.01,AmountsB!$A$4:$A$103,AmountsB!$B$4:$B$103)*0.1*$A$2</f>
        <v>0</v>
      </c>
      <c r="C74" s="68">
        <f t="shared" si="13"/>
        <v>0</v>
      </c>
      <c r="D74" s="67">
        <f t="array" ref="D74">SUM($B$7:$B69*$F$1009*EXP(-$F$1009*($A74-$A$7:$A69)))*$F$1010</f>
        <v>0</v>
      </c>
      <c r="E74" s="67">
        <f t="shared" si="11"/>
        <v>0</v>
      </c>
      <c r="F74" s="70">
        <f t="shared" si="8"/>
        <v>0</v>
      </c>
      <c r="G74" s="67">
        <f>E74/'Lookup Tables'!$C$48</f>
        <v>0</v>
      </c>
      <c r="H74" s="70" t="e">
        <f t="shared" si="12"/>
        <v>#DIV/0!</v>
      </c>
      <c r="I74" s="71">
        <f t="shared" si="9"/>
        <v>0</v>
      </c>
      <c r="J74" s="35">
        <f t="shared" si="10"/>
        <v>2061</v>
      </c>
      <c r="K74" s="77">
        <f>$G721</f>
        <v>13.769438654671465</v>
      </c>
      <c r="L74" s="74"/>
      <c r="M74" s="74"/>
      <c r="N74" s="74"/>
      <c r="O74" s="74"/>
      <c r="P74" s="74"/>
      <c r="Q74" s="74"/>
      <c r="R74" s="74"/>
      <c r="S74" s="74"/>
      <c r="T74" s="74"/>
      <c r="U74" s="74"/>
      <c r="V74" s="74"/>
      <c r="W74" s="74"/>
      <c r="X74" s="74"/>
      <c r="Y74" s="74"/>
      <c r="Z74" s="74"/>
    </row>
    <row r="75" spans="1:26" x14ac:dyDescent="0.3">
      <c r="A75" s="66">
        <f t="shared" si="7"/>
        <v>1996.7999999999938</v>
      </c>
      <c r="B75" s="67">
        <f>LOOKUP(A75+0.01,AmountsB!$A$4:$A$103,AmountsB!$B$4:$B$103)*0.1*$A$2</f>
        <v>0</v>
      </c>
      <c r="C75" s="68">
        <f t="shared" si="13"/>
        <v>0</v>
      </c>
      <c r="D75" s="67">
        <f t="array" ref="D75">SUM($B$7:$B70*$F$1009*EXP(-$F$1009*($A75-$A$7:$A70)))*$F$1010</f>
        <v>0</v>
      </c>
      <c r="E75" s="67">
        <f t="shared" si="11"/>
        <v>0</v>
      </c>
      <c r="F75" s="70">
        <f t="shared" si="8"/>
        <v>0</v>
      </c>
      <c r="G75" s="67">
        <f>E75/'Lookup Tables'!$C$48</f>
        <v>0</v>
      </c>
      <c r="H75" s="70" t="e">
        <f t="shared" si="12"/>
        <v>#DIV/0!</v>
      </c>
      <c r="I75" s="71">
        <f t="shared" si="9"/>
        <v>0</v>
      </c>
      <c r="J75" s="35">
        <f t="shared" si="10"/>
        <v>2062</v>
      </c>
      <c r="K75" s="77">
        <f>$G731</f>
        <v>13.578009643249821</v>
      </c>
      <c r="L75" s="74"/>
      <c r="M75" s="74"/>
      <c r="N75" s="74"/>
      <c r="O75" s="74"/>
      <c r="P75" s="74"/>
      <c r="Q75" s="74"/>
      <c r="R75" s="74"/>
      <c r="S75" s="74"/>
      <c r="T75" s="74"/>
      <c r="U75" s="74"/>
      <c r="V75" s="74"/>
      <c r="W75" s="74"/>
      <c r="X75" s="74"/>
      <c r="Y75" s="74"/>
      <c r="Z75" s="74"/>
    </row>
    <row r="76" spans="1:26" x14ac:dyDescent="0.3">
      <c r="A76" s="66">
        <f t="shared" si="7"/>
        <v>1996.8999999999937</v>
      </c>
      <c r="B76" s="67">
        <f>LOOKUP(A76+0.01,AmountsB!$A$4:$A$103,AmountsB!$B$4:$B$103)*0.1*$A$2</f>
        <v>0</v>
      </c>
      <c r="C76" s="68">
        <f t="shared" si="13"/>
        <v>0</v>
      </c>
      <c r="D76" s="67">
        <f t="array" ref="D76">SUM($B$7:$B71*$F$1009*EXP(-$F$1009*($A76-$A$7:$A71)))*$F$1010</f>
        <v>0</v>
      </c>
      <c r="E76" s="67">
        <f t="shared" si="11"/>
        <v>0</v>
      </c>
      <c r="F76" s="70">
        <f t="shared" si="8"/>
        <v>0</v>
      </c>
      <c r="G76" s="67">
        <f>E76/'Lookup Tables'!$C$48</f>
        <v>0</v>
      </c>
      <c r="H76" s="70" t="e">
        <f t="shared" si="12"/>
        <v>#DIV/0!</v>
      </c>
      <c r="I76" s="71">
        <f t="shared" si="9"/>
        <v>0</v>
      </c>
      <c r="J76" s="35">
        <f t="shared" si="10"/>
        <v>2063</v>
      </c>
      <c r="K76" s="77">
        <f>$G741</f>
        <v>13.389241965186288</v>
      </c>
      <c r="L76" s="74"/>
      <c r="M76" s="74"/>
      <c r="N76" s="74"/>
      <c r="O76" s="74"/>
      <c r="P76" s="74"/>
      <c r="Q76" s="74"/>
      <c r="R76" s="74"/>
      <c r="S76" s="74"/>
      <c r="T76" s="74"/>
      <c r="U76" s="74"/>
      <c r="V76" s="74"/>
      <c r="W76" s="74"/>
      <c r="X76" s="74"/>
      <c r="Y76" s="74"/>
      <c r="Z76" s="74"/>
    </row>
    <row r="77" spans="1:26" x14ac:dyDescent="0.3">
      <c r="A77" s="66">
        <f t="shared" si="7"/>
        <v>1996.9999999999936</v>
      </c>
      <c r="B77" s="67">
        <f>LOOKUP(A77+0.01,AmountsB!$A$4:$A$103,AmountsB!$B$4:$B$103)*0.1*$A$2</f>
        <v>0</v>
      </c>
      <c r="C77" s="68">
        <f t="shared" si="13"/>
        <v>0</v>
      </c>
      <c r="D77" s="67">
        <f t="array" ref="D77">SUM($B$7:$B72*$F$1009*EXP(-$F$1009*($A77-$A$7:$A72)))*$F$1010</f>
        <v>0</v>
      </c>
      <c r="E77" s="67">
        <f t="shared" si="11"/>
        <v>0</v>
      </c>
      <c r="F77" s="70">
        <f t="shared" si="8"/>
        <v>0</v>
      </c>
      <c r="G77" s="67">
        <f>E77/'Lookup Tables'!$C$48</f>
        <v>0</v>
      </c>
      <c r="H77" s="70" t="e">
        <f t="shared" si="12"/>
        <v>#DIV/0!</v>
      </c>
      <c r="I77" s="71">
        <f t="shared" si="9"/>
        <v>0</v>
      </c>
      <c r="J77" s="35">
        <f t="shared" si="10"/>
        <v>2064</v>
      </c>
      <c r="K77" s="77">
        <f>$G751</f>
        <v>13.203098621411614</v>
      </c>
      <c r="L77" s="74"/>
      <c r="M77" s="74"/>
      <c r="N77" s="74"/>
      <c r="O77" s="74"/>
      <c r="P77" s="74"/>
      <c r="Q77" s="74"/>
      <c r="R77" s="74"/>
      <c r="S77" s="74"/>
      <c r="T77" s="74"/>
      <c r="U77" s="74"/>
      <c r="V77" s="74"/>
      <c r="W77" s="74"/>
      <c r="X77" s="74"/>
      <c r="Y77" s="74"/>
      <c r="Z77" s="74"/>
    </row>
    <row r="78" spans="1:26" x14ac:dyDescent="0.3">
      <c r="A78" s="66">
        <f t="shared" si="7"/>
        <v>1997.0999999999935</v>
      </c>
      <c r="B78" s="67">
        <f>LOOKUP(A78+0.01,AmountsB!$A$4:$A$103,AmountsB!$B$4:$B$103)*0.1*$A$2</f>
        <v>0</v>
      </c>
      <c r="C78" s="68">
        <f t="shared" si="13"/>
        <v>0</v>
      </c>
      <c r="D78" s="67">
        <f t="array" ref="D78">SUM($B$7:$B73*$F$1009*EXP(-$F$1009*($A78-$A$7:$A73)))*$F$1010</f>
        <v>0</v>
      </c>
      <c r="E78" s="67">
        <f t="shared" si="11"/>
        <v>0</v>
      </c>
      <c r="F78" s="70">
        <f t="shared" si="8"/>
        <v>0</v>
      </c>
      <c r="G78" s="67">
        <f>E78/'Lookup Tables'!$C$48</f>
        <v>0</v>
      </c>
      <c r="H78" s="70" t="e">
        <f t="shared" si="12"/>
        <v>#DIV/0!</v>
      </c>
      <c r="I78" s="71">
        <f t="shared" si="9"/>
        <v>0</v>
      </c>
      <c r="J78" s="35">
        <f t="shared" si="10"/>
        <v>2065</v>
      </c>
      <c r="K78" s="77">
        <f>$G761</f>
        <v>13.01954312723454</v>
      </c>
      <c r="L78" s="74"/>
      <c r="M78" s="74"/>
      <c r="N78" s="74"/>
      <c r="O78" s="74"/>
      <c r="P78" s="74"/>
      <c r="Q78" s="74"/>
      <c r="R78" s="74"/>
      <c r="S78" s="74"/>
      <c r="T78" s="74"/>
      <c r="U78" s="74"/>
      <c r="V78" s="74"/>
      <c r="W78" s="74"/>
      <c r="X78" s="74"/>
      <c r="Y78" s="74"/>
      <c r="Z78" s="74"/>
    </row>
    <row r="79" spans="1:26" x14ac:dyDescent="0.3">
      <c r="A79" s="66">
        <f t="shared" si="7"/>
        <v>1997.1999999999935</v>
      </c>
      <c r="B79" s="67">
        <f>LOOKUP(A79+0.01,AmountsB!$A$4:$A$103,AmountsB!$B$4:$B$103)*0.1*$A$2</f>
        <v>0</v>
      </c>
      <c r="C79" s="68">
        <f t="shared" si="13"/>
        <v>0</v>
      </c>
      <c r="D79" s="67">
        <f t="array" ref="D79">SUM($B$7:$B74*$F$1009*EXP(-$F$1009*($A79-$A$7:$A74)))*$F$1010</f>
        <v>0</v>
      </c>
      <c r="E79" s="67">
        <f t="shared" si="11"/>
        <v>0</v>
      </c>
      <c r="F79" s="70">
        <f t="shared" si="8"/>
        <v>0</v>
      </c>
      <c r="G79" s="67">
        <f>E79/'Lookup Tables'!$C$48</f>
        <v>0</v>
      </c>
      <c r="H79" s="70" t="e">
        <f t="shared" si="12"/>
        <v>#DIV/0!</v>
      </c>
      <c r="I79" s="71">
        <f t="shared" si="9"/>
        <v>0</v>
      </c>
      <c r="J79" s="35">
        <f t="shared" si="10"/>
        <v>2066</v>
      </c>
      <c r="K79" s="77">
        <f>$G771</f>
        <v>12.838539505190564</v>
      </c>
      <c r="L79" s="74"/>
      <c r="M79" s="74"/>
      <c r="N79" s="74"/>
      <c r="O79" s="74"/>
      <c r="P79" s="74"/>
      <c r="Q79" s="74"/>
      <c r="R79" s="74"/>
      <c r="S79" s="74"/>
      <c r="T79" s="74"/>
      <c r="U79" s="74"/>
      <c r="V79" s="74"/>
      <c r="W79" s="74"/>
      <c r="X79" s="74"/>
      <c r="Y79" s="74"/>
      <c r="Z79" s="74"/>
    </row>
    <row r="80" spans="1:26" x14ac:dyDescent="0.3">
      <c r="A80" s="66">
        <f t="shared" si="7"/>
        <v>1997.2999999999934</v>
      </c>
      <c r="B80" s="67">
        <f>LOOKUP(A80+0.01,AmountsB!$A$4:$A$103,AmountsB!$B$4:$B$103)*0.1*$A$2</f>
        <v>0</v>
      </c>
      <c r="C80" s="68">
        <f t="shared" si="13"/>
        <v>0</v>
      </c>
      <c r="D80" s="67">
        <f t="array" ref="D80">SUM($B$7:$B75*$F$1009*EXP(-$F$1009*($A80-$A$7:$A75)))*$F$1010</f>
        <v>0</v>
      </c>
      <c r="E80" s="67">
        <f t="shared" si="11"/>
        <v>0</v>
      </c>
      <c r="F80" s="70">
        <f t="shared" si="8"/>
        <v>0</v>
      </c>
      <c r="G80" s="67">
        <f>E80/'Lookup Tables'!$C$48</f>
        <v>0</v>
      </c>
      <c r="H80" s="70" t="e">
        <f t="shared" si="12"/>
        <v>#DIV/0!</v>
      </c>
      <c r="I80" s="71">
        <f t="shared" si="9"/>
        <v>0</v>
      </c>
      <c r="J80" s="35">
        <f t="shared" si="10"/>
        <v>2067</v>
      </c>
      <c r="K80" s="77">
        <f>$G781</f>
        <v>12.660052277990319</v>
      </c>
      <c r="L80" s="74"/>
      <c r="M80" s="74"/>
      <c r="N80" s="74"/>
      <c r="O80" s="74"/>
      <c r="P80" s="74"/>
      <c r="Q80" s="74"/>
      <c r="R80" s="74"/>
      <c r="S80" s="74"/>
      <c r="T80" s="74"/>
      <c r="U80" s="74"/>
      <c r="V80" s="74"/>
      <c r="W80" s="74"/>
      <c r="X80" s="74"/>
      <c r="Y80" s="74"/>
      <c r="Z80" s="74"/>
    </row>
    <row r="81" spans="1:26" x14ac:dyDescent="0.3">
      <c r="A81" s="66">
        <f t="shared" si="7"/>
        <v>1997.3999999999933</v>
      </c>
      <c r="B81" s="67">
        <f>LOOKUP(A81+0.01,AmountsB!$A$4:$A$103,AmountsB!$B$4:$B$103)*0.1*$A$2</f>
        <v>0</v>
      </c>
      <c r="C81" s="68">
        <f t="shared" si="13"/>
        <v>0</v>
      </c>
      <c r="D81" s="67">
        <f t="array" ref="D81">SUM($B$7:$B76*$F$1009*EXP(-$F$1009*($A81-$A$7:$A76)))*$F$1010</f>
        <v>0</v>
      </c>
      <c r="E81" s="67">
        <f t="shared" si="11"/>
        <v>0</v>
      </c>
      <c r="F81" s="70">
        <f t="shared" si="8"/>
        <v>0</v>
      </c>
      <c r="G81" s="67">
        <f>E81/'Lookup Tables'!$C$48</f>
        <v>0</v>
      </c>
      <c r="H81" s="70" t="e">
        <f t="shared" si="12"/>
        <v>#DIV/0!</v>
      </c>
      <c r="I81" s="71">
        <f t="shared" si="9"/>
        <v>0</v>
      </c>
      <c r="J81" s="35">
        <f t="shared" si="10"/>
        <v>2068</v>
      </c>
      <c r="K81" s="77">
        <f>$G791</f>
        <v>12.484046461565866</v>
      </c>
      <c r="L81" s="74"/>
      <c r="M81" s="74"/>
      <c r="N81" s="74"/>
      <c r="O81" s="74"/>
      <c r="P81" s="74"/>
      <c r="Q81" s="74"/>
      <c r="R81" s="74"/>
      <c r="S81" s="74"/>
      <c r="T81" s="74"/>
      <c r="U81" s="74"/>
      <c r="V81" s="74"/>
      <c r="W81" s="74"/>
      <c r="X81" s="74"/>
      <c r="Y81" s="74"/>
      <c r="Z81" s="74"/>
    </row>
    <row r="82" spans="1:26" x14ac:dyDescent="0.3">
      <c r="A82" s="66">
        <f t="shared" si="7"/>
        <v>1997.4999999999932</v>
      </c>
      <c r="B82" s="67">
        <f>LOOKUP(A82+0.01,AmountsB!$A$4:$A$103,AmountsB!$B$4:$B$103)*0.1*$A$2</f>
        <v>0</v>
      </c>
      <c r="C82" s="68">
        <f t="shared" si="13"/>
        <v>0</v>
      </c>
      <c r="D82" s="67">
        <f t="array" ref="D82">SUM($B$7:$B77*$F$1009*EXP(-$F$1009*($A82-$A$7:$A77)))*$F$1010</f>
        <v>0</v>
      </c>
      <c r="E82" s="67">
        <f t="shared" si="11"/>
        <v>0</v>
      </c>
      <c r="F82" s="70">
        <f t="shared" si="8"/>
        <v>0</v>
      </c>
      <c r="G82" s="67">
        <f>E82/'Lookup Tables'!$C$48</f>
        <v>0</v>
      </c>
      <c r="H82" s="70" t="e">
        <f t="shared" si="12"/>
        <v>#DIV/0!</v>
      </c>
      <c r="I82" s="71">
        <f t="shared" si="9"/>
        <v>0</v>
      </c>
      <c r="J82" s="35">
        <f t="shared" si="10"/>
        <v>2069</v>
      </c>
      <c r="K82" s="77">
        <f>$G801</f>
        <v>12.310487558213728</v>
      </c>
      <c r="L82" s="74"/>
      <c r="M82" s="74"/>
      <c r="N82" s="74"/>
      <c r="O82" s="74"/>
      <c r="P82" s="74"/>
      <c r="Q82" s="74"/>
      <c r="R82" s="74"/>
      <c r="S82" s="74"/>
      <c r="T82" s="74"/>
      <c r="U82" s="74"/>
      <c r="V82" s="74"/>
      <c r="W82" s="74"/>
      <c r="X82" s="74"/>
      <c r="Y82" s="74"/>
      <c r="Z82" s="74"/>
    </row>
    <row r="83" spans="1:26" x14ac:dyDescent="0.3">
      <c r="A83" s="66">
        <f t="shared" ref="A83:A146" si="14">A82+0.1</f>
        <v>1997.5999999999931</v>
      </c>
      <c r="B83" s="67">
        <f>LOOKUP(A83+0.01,AmountsB!$A$4:$A$103,AmountsB!$B$4:$B$103)*0.1*$A$2</f>
        <v>0</v>
      </c>
      <c r="C83" s="68">
        <f t="shared" si="13"/>
        <v>0</v>
      </c>
      <c r="D83" s="67">
        <f t="array" ref="D83">SUM($B$7:$B78*$F$1009*EXP(-$F$1009*($A83-$A$7:$A78)))*$F$1010</f>
        <v>0</v>
      </c>
      <c r="E83" s="67">
        <f t="shared" si="11"/>
        <v>0</v>
      </c>
      <c r="F83" s="70">
        <f t="shared" ref="F83:F146" si="15">E83*60*1012/1000000</f>
        <v>0</v>
      </c>
      <c r="G83" s="67">
        <f>E83/'Lookup Tables'!$C$48</f>
        <v>0</v>
      </c>
      <c r="H83" s="70" t="e">
        <f t="shared" si="12"/>
        <v>#DIV/0!</v>
      </c>
      <c r="I83" s="71">
        <f t="shared" ref="I83:I146" si="16">G83*60*24/1000000</f>
        <v>0</v>
      </c>
      <c r="J83" s="35">
        <f t="shared" si="10"/>
        <v>2070</v>
      </c>
      <c r="K83" s="77">
        <f>$G811</f>
        <v>12.139341549833224</v>
      </c>
      <c r="L83" s="74"/>
      <c r="M83" s="74"/>
      <c r="N83" s="74"/>
      <c r="O83" s="74"/>
      <c r="P83" s="74"/>
      <c r="Q83" s="74"/>
      <c r="R83" s="74"/>
      <c r="S83" s="74"/>
      <c r="T83" s="74"/>
      <c r="U83" s="74"/>
      <c r="V83" s="74"/>
      <c r="W83" s="74"/>
      <c r="X83" s="74"/>
      <c r="Y83" s="74"/>
      <c r="Z83" s="74"/>
    </row>
    <row r="84" spans="1:26" x14ac:dyDescent="0.3">
      <c r="A84" s="66">
        <f t="shared" si="14"/>
        <v>1997.699999999993</v>
      </c>
      <c r="B84" s="67">
        <f>LOOKUP(A84+0.01,AmountsB!$A$4:$A$103,AmountsB!$B$4:$B$103)*0.1*$A$2</f>
        <v>0</v>
      </c>
      <c r="C84" s="68">
        <f t="shared" si="13"/>
        <v>0</v>
      </c>
      <c r="D84" s="67">
        <f t="array" ref="D84">SUM($B$7:$B79*$F$1009*EXP(-$F$1009*($A84-$A$7:$A79)))*$F$1010</f>
        <v>0</v>
      </c>
      <c r="E84" s="67">
        <f t="shared" si="11"/>
        <v>0</v>
      </c>
      <c r="F84" s="70">
        <f t="shared" si="15"/>
        <v>0</v>
      </c>
      <c r="G84" s="67">
        <f>E84/'Lookup Tables'!$C$48</f>
        <v>0</v>
      </c>
      <c r="H84" s="70" t="e">
        <f t="shared" si="12"/>
        <v>#DIV/0!</v>
      </c>
      <c r="I84" s="71">
        <f t="shared" si="16"/>
        <v>0</v>
      </c>
      <c r="J84" s="35">
        <f t="shared" si="10"/>
        <v>2071</v>
      </c>
      <c r="K84" s="77">
        <f>$G821</f>
        <v>11.970574891258813</v>
      </c>
      <c r="L84" s="74"/>
      <c r="M84" s="74"/>
      <c r="N84" s="74"/>
      <c r="O84" s="74"/>
      <c r="P84" s="74"/>
      <c r="Q84" s="74"/>
      <c r="R84" s="74"/>
      <c r="S84" s="74"/>
      <c r="T84" s="74"/>
      <c r="U84" s="74"/>
      <c r="V84" s="74"/>
      <c r="W84" s="74"/>
      <c r="X84" s="74"/>
      <c r="Y84" s="74"/>
      <c r="Z84" s="74"/>
    </row>
    <row r="85" spans="1:26" x14ac:dyDescent="0.3">
      <c r="A85" s="66">
        <f t="shared" si="14"/>
        <v>1997.7999999999929</v>
      </c>
      <c r="B85" s="67">
        <f>LOOKUP(A85+0.01,AmountsB!$A$4:$A$103,AmountsB!$B$4:$B$103)*0.1*$A$2</f>
        <v>0</v>
      </c>
      <c r="C85" s="68">
        <f t="shared" si="13"/>
        <v>0</v>
      </c>
      <c r="D85" s="67">
        <f t="array" ref="D85">SUM($B$7:$B80*$F$1009*EXP(-$F$1009*($A85-$A$7:$A80)))*$F$1010</f>
        <v>0</v>
      </c>
      <c r="E85" s="67">
        <f t="shared" si="11"/>
        <v>0</v>
      </c>
      <c r="F85" s="70">
        <f t="shared" si="15"/>
        <v>0</v>
      </c>
      <c r="G85" s="67">
        <f>E85/'Lookup Tables'!$C$48</f>
        <v>0</v>
      </c>
      <c r="H85" s="70" t="e">
        <f t="shared" si="12"/>
        <v>#DIV/0!</v>
      </c>
      <c r="I85" s="71">
        <f t="shared" si="16"/>
        <v>0</v>
      </c>
      <c r="J85" s="35">
        <f t="shared" si="10"/>
        <v>2072</v>
      </c>
      <c r="K85" s="77">
        <f>$G831</f>
        <v>11.804154503685147</v>
      </c>
      <c r="L85" s="74"/>
      <c r="M85" s="74"/>
      <c r="N85" s="74"/>
      <c r="O85" s="74"/>
      <c r="P85" s="74"/>
      <c r="Q85" s="74"/>
      <c r="R85" s="74"/>
      <c r="S85" s="74"/>
      <c r="T85" s="74"/>
      <c r="U85" s="74"/>
      <c r="V85" s="74"/>
      <c r="W85" s="74"/>
      <c r="X85" s="74"/>
      <c r="Y85" s="74"/>
      <c r="Z85" s="74"/>
    </row>
    <row r="86" spans="1:26" x14ac:dyDescent="0.3">
      <c r="A86" s="66">
        <f t="shared" si="14"/>
        <v>1997.8999999999928</v>
      </c>
      <c r="B86" s="67">
        <f>LOOKUP(A86+0.01,AmountsB!$A$4:$A$103,AmountsB!$B$4:$B$103)*0.1*$A$2</f>
        <v>0</v>
      </c>
      <c r="C86" s="68">
        <f t="shared" si="13"/>
        <v>0</v>
      </c>
      <c r="D86" s="67">
        <f t="array" ref="D86">SUM($B$7:$B81*$F$1009*EXP(-$F$1009*($A86-$A$7:$A81)))*$F$1010</f>
        <v>0</v>
      </c>
      <c r="E86" s="67">
        <f t="shared" si="11"/>
        <v>0</v>
      </c>
      <c r="F86" s="70">
        <f t="shared" si="15"/>
        <v>0</v>
      </c>
      <c r="G86" s="67">
        <f>E86/'Lookup Tables'!$C$48</f>
        <v>0</v>
      </c>
      <c r="H86" s="70" t="e">
        <f t="shared" si="12"/>
        <v>#DIV/0!</v>
      </c>
      <c r="I86" s="71">
        <f t="shared" si="16"/>
        <v>0</v>
      </c>
      <c r="J86" s="35">
        <f t="shared" si="10"/>
        <v>2073</v>
      </c>
      <c r="K86" s="77">
        <f>$G841</f>
        <v>11.640047768183473</v>
      </c>
      <c r="L86" s="74"/>
      <c r="M86" s="74"/>
      <c r="N86" s="74"/>
      <c r="O86" s="74"/>
      <c r="P86" s="74"/>
      <c r="Q86" s="74"/>
      <c r="R86" s="74"/>
      <c r="S86" s="74"/>
      <c r="T86" s="74"/>
      <c r="U86" s="74"/>
      <c r="V86" s="74"/>
      <c r="W86" s="74"/>
      <c r="X86" s="74"/>
      <c r="Y86" s="74"/>
      <c r="Z86" s="74"/>
    </row>
    <row r="87" spans="1:26" x14ac:dyDescent="0.3">
      <c r="A87" s="66">
        <f t="shared" si="14"/>
        <v>1997.9999999999927</v>
      </c>
      <c r="B87" s="67">
        <f>LOOKUP(A87+0.01,AmountsB!$A$4:$A$103,AmountsB!$B$4:$B$103)*0.1*$A$2</f>
        <v>0</v>
      </c>
      <c r="C87" s="68">
        <f t="shared" si="13"/>
        <v>0</v>
      </c>
      <c r="D87" s="67">
        <f t="array" ref="D87">SUM($B$7:$B82*$F$1009*EXP(-$F$1009*($A87-$A$7:$A82)))*$F$1010</f>
        <v>0</v>
      </c>
      <c r="E87" s="67">
        <f t="shared" si="11"/>
        <v>0</v>
      </c>
      <c r="F87" s="70">
        <f t="shared" si="15"/>
        <v>0</v>
      </c>
      <c r="G87" s="67">
        <f>E87/'Lookup Tables'!$C$48</f>
        <v>0</v>
      </c>
      <c r="H87" s="70" t="e">
        <f t="shared" si="12"/>
        <v>#DIV/0!</v>
      </c>
      <c r="I87" s="71">
        <f t="shared" si="16"/>
        <v>0</v>
      </c>
      <c r="J87" s="35">
        <f t="shared" si="10"/>
        <v>2074</v>
      </c>
      <c r="K87" s="77">
        <f>$G851</f>
        <v>11.478222519308277</v>
      </c>
      <c r="L87" s="74"/>
      <c r="M87" s="74"/>
      <c r="N87" s="74"/>
      <c r="O87" s="74"/>
      <c r="P87" s="74"/>
      <c r="Q87" s="74"/>
      <c r="R87" s="74"/>
      <c r="S87" s="74"/>
      <c r="T87" s="74"/>
      <c r="U87" s="74"/>
      <c r="V87" s="74"/>
      <c r="W87" s="74"/>
      <c r="X87" s="74"/>
      <c r="Y87" s="74"/>
      <c r="Z87" s="74"/>
    </row>
    <row r="88" spans="1:26" x14ac:dyDescent="0.3">
      <c r="A88" s="66">
        <f t="shared" si="14"/>
        <v>1998.0999999999926</v>
      </c>
      <c r="B88" s="67">
        <f>LOOKUP(A88+0.01,AmountsB!$A$4:$A$103,AmountsB!$B$4:$B$103)*0.1*$A$2</f>
        <v>0</v>
      </c>
      <c r="C88" s="68">
        <f t="shared" si="13"/>
        <v>0</v>
      </c>
      <c r="D88" s="67">
        <f t="array" ref="D88">SUM($B$7:$B83*$F$1009*EXP(-$F$1009*($A88-$A$7:$A83)))*$F$1010</f>
        <v>0</v>
      </c>
      <c r="E88" s="67">
        <f t="shared" si="11"/>
        <v>0</v>
      </c>
      <c r="F88" s="70">
        <f t="shared" si="15"/>
        <v>0</v>
      </c>
      <c r="G88" s="67">
        <f>E88/'Lookup Tables'!$C$48</f>
        <v>0</v>
      </c>
      <c r="H88" s="70" t="e">
        <f t="shared" si="12"/>
        <v>#DIV/0!</v>
      </c>
      <c r="I88" s="71">
        <f t="shared" si="16"/>
        <v>0</v>
      </c>
      <c r="J88" s="35">
        <f t="shared" si="10"/>
        <v>2075</v>
      </c>
      <c r="K88" s="77">
        <f>$G861</f>
        <v>11.318647038792712</v>
      </c>
      <c r="L88" s="74"/>
      <c r="M88" s="74"/>
      <c r="N88" s="74"/>
      <c r="O88" s="74"/>
      <c r="P88" s="74"/>
      <c r="Q88" s="74"/>
      <c r="R88" s="74"/>
      <c r="S88" s="74"/>
      <c r="T88" s="74"/>
      <c r="U88" s="74"/>
      <c r="V88" s="74"/>
      <c r="W88" s="74"/>
      <c r="X88" s="74"/>
      <c r="Y88" s="74"/>
      <c r="Z88" s="74"/>
    </row>
    <row r="89" spans="1:26" x14ac:dyDescent="0.3">
      <c r="A89" s="66">
        <f t="shared" si="14"/>
        <v>1998.1999999999925</v>
      </c>
      <c r="B89" s="67">
        <f>LOOKUP(A89+0.01,AmountsB!$A$4:$A$103,AmountsB!$B$4:$B$103)*0.1*$A$2</f>
        <v>0</v>
      </c>
      <c r="C89" s="68">
        <f t="shared" si="13"/>
        <v>0</v>
      </c>
      <c r="D89" s="67">
        <f t="array" ref="D89">SUM($B$7:$B84*$F$1009*EXP(-$F$1009*($A89-$A$7:$A84)))*$F$1010</f>
        <v>0</v>
      </c>
      <c r="E89" s="67">
        <f t="shared" si="11"/>
        <v>0</v>
      </c>
      <c r="F89" s="70">
        <f t="shared" si="15"/>
        <v>0</v>
      </c>
      <c r="G89" s="67">
        <f>E89/'Lookup Tables'!$C$48</f>
        <v>0</v>
      </c>
      <c r="H89" s="70" t="e">
        <f t="shared" si="12"/>
        <v>#DIV/0!</v>
      </c>
      <c r="I89" s="71">
        <f t="shared" si="16"/>
        <v>0</v>
      </c>
      <c r="J89" s="35">
        <f t="shared" si="10"/>
        <v>2076</v>
      </c>
      <c r="K89" s="77">
        <f>$G871</f>
        <v>11.16129004933175</v>
      </c>
      <c r="L89" s="74"/>
      <c r="M89" s="74"/>
      <c r="N89" s="74"/>
      <c r="O89" s="74"/>
      <c r="P89" s="74"/>
      <c r="Q89" s="74"/>
      <c r="R89" s="74"/>
      <c r="S89" s="74"/>
      <c r="T89" s="74"/>
      <c r="U89" s="74"/>
      <c r="V89" s="74"/>
      <c r="W89" s="74"/>
      <c r="X89" s="74"/>
      <c r="Y89" s="74"/>
      <c r="Z89" s="74"/>
    </row>
    <row r="90" spans="1:26" x14ac:dyDescent="0.3">
      <c r="A90" s="66">
        <f t="shared" si="14"/>
        <v>1998.2999999999925</v>
      </c>
      <c r="B90" s="67">
        <f>LOOKUP(A90+0.01,AmountsB!$A$4:$A$103,AmountsB!$B$4:$B$103)*0.1*$A$2</f>
        <v>0</v>
      </c>
      <c r="C90" s="68">
        <f t="shared" si="13"/>
        <v>0</v>
      </c>
      <c r="D90" s="67">
        <f t="array" ref="D90">SUM($B$7:$B85*$F$1009*EXP(-$F$1009*($A90-$A$7:$A85)))*$F$1010</f>
        <v>0</v>
      </c>
      <c r="E90" s="67">
        <f t="shared" si="11"/>
        <v>0</v>
      </c>
      <c r="F90" s="70">
        <f t="shared" si="15"/>
        <v>0</v>
      </c>
      <c r="G90" s="67">
        <f>E90/'Lookup Tables'!$C$48</f>
        <v>0</v>
      </c>
      <c r="H90" s="70" t="e">
        <f t="shared" si="12"/>
        <v>#DIV/0!</v>
      </c>
      <c r="I90" s="71">
        <f t="shared" si="16"/>
        <v>0</v>
      </c>
      <c r="J90" s="35">
        <f t="shared" si="10"/>
        <v>2077</v>
      </c>
      <c r="K90" s="77">
        <f>$G881</f>
        <v>11.006120708451695</v>
      </c>
      <c r="L90" s="74"/>
      <c r="M90" s="74"/>
      <c r="N90" s="74"/>
      <c r="O90" s="74"/>
      <c r="P90" s="74"/>
      <c r="Q90" s="74"/>
      <c r="R90" s="74"/>
      <c r="S90" s="74"/>
      <c r="T90" s="74"/>
      <c r="U90" s="74"/>
      <c r="V90" s="74"/>
      <c r="W90" s="74"/>
      <c r="X90" s="74"/>
      <c r="Y90" s="74"/>
      <c r="Z90" s="74"/>
    </row>
    <row r="91" spans="1:26" x14ac:dyDescent="0.3">
      <c r="A91" s="66">
        <f t="shared" si="14"/>
        <v>1998.3999999999924</v>
      </c>
      <c r="B91" s="67">
        <f>LOOKUP(A91+0.01,AmountsB!$A$4:$A$103,AmountsB!$B$4:$B$103)*0.1*$A$2</f>
        <v>0</v>
      </c>
      <c r="C91" s="68">
        <f t="shared" si="13"/>
        <v>0</v>
      </c>
      <c r="D91" s="67">
        <f t="array" ref="D91">SUM($B$7:$B86*$F$1009*EXP(-$F$1009*($A91-$A$7:$A86)))*$F$1010</f>
        <v>0</v>
      </c>
      <c r="E91" s="67">
        <f t="shared" si="11"/>
        <v>0</v>
      </c>
      <c r="F91" s="70">
        <f t="shared" si="15"/>
        <v>0</v>
      </c>
      <c r="G91" s="67">
        <f>E91/'Lookup Tables'!$C$48</f>
        <v>0</v>
      </c>
      <c r="H91" s="70" t="e">
        <f t="shared" si="12"/>
        <v>#DIV/0!</v>
      </c>
      <c r="I91" s="71">
        <f t="shared" si="16"/>
        <v>0</v>
      </c>
      <c r="J91" s="35">
        <f t="shared" si="10"/>
        <v>2078</v>
      </c>
      <c r="K91" s="77">
        <f>$G891</f>
        <v>10.853108602464978</v>
      </c>
      <c r="L91" s="74"/>
      <c r="M91" s="74"/>
      <c r="N91" s="74"/>
      <c r="O91" s="74"/>
      <c r="P91" s="74"/>
      <c r="Q91" s="74"/>
      <c r="R91" s="74"/>
      <c r="S91" s="74"/>
      <c r="T91" s="74"/>
      <c r="U91" s="74"/>
      <c r="V91" s="74"/>
      <c r="W91" s="74"/>
      <c r="X91" s="74"/>
      <c r="Y91" s="74"/>
      <c r="Z91" s="74"/>
    </row>
    <row r="92" spans="1:26" x14ac:dyDescent="0.3">
      <c r="A92" s="66">
        <f t="shared" si="14"/>
        <v>1998.4999999999923</v>
      </c>
      <c r="B92" s="67">
        <f>LOOKUP(A92+0.01,AmountsB!$A$4:$A$103,AmountsB!$B$4:$B$103)*0.1*$A$2</f>
        <v>0</v>
      </c>
      <c r="C92" s="68">
        <f t="shared" si="13"/>
        <v>0</v>
      </c>
      <c r="D92" s="67">
        <f t="array" ref="D92">SUM($B$7:$B87*$F$1009*EXP(-$F$1009*($A92-$A$7:$A87)))*$F$1010</f>
        <v>0</v>
      </c>
      <c r="E92" s="67">
        <f t="shared" si="11"/>
        <v>0</v>
      </c>
      <c r="F92" s="70">
        <f t="shared" si="15"/>
        <v>0</v>
      </c>
      <c r="G92" s="67">
        <f>E92/'Lookup Tables'!$C$48</f>
        <v>0</v>
      </c>
      <c r="H92" s="70" t="e">
        <f t="shared" si="12"/>
        <v>#DIV/0!</v>
      </c>
      <c r="I92" s="71">
        <f t="shared" si="16"/>
        <v>0</v>
      </c>
      <c r="J92" s="35">
        <f t="shared" si="10"/>
        <v>2079</v>
      </c>
      <c r="K92" s="77">
        <f>$G901</f>
        <v>10.702223740508995</v>
      </c>
      <c r="L92" s="74"/>
      <c r="M92" s="74"/>
      <c r="N92" s="74"/>
      <c r="O92" s="74"/>
      <c r="P92" s="74"/>
      <c r="Q92" s="74"/>
      <c r="R92" s="74"/>
      <c r="S92" s="74"/>
      <c r="T92" s="74"/>
      <c r="U92" s="74"/>
      <c r="V92" s="74"/>
      <c r="W92" s="74"/>
      <c r="X92" s="74"/>
      <c r="Y92" s="74"/>
      <c r="Z92" s="74"/>
    </row>
    <row r="93" spans="1:26" x14ac:dyDescent="0.3">
      <c r="A93" s="66">
        <f t="shared" si="14"/>
        <v>1998.5999999999922</v>
      </c>
      <c r="B93" s="67">
        <f>LOOKUP(A93+0.01,AmountsB!$A$4:$A$103,AmountsB!$B$4:$B$103)*0.1*$A$2</f>
        <v>0</v>
      </c>
      <c r="C93" s="68">
        <f t="shared" si="13"/>
        <v>0</v>
      </c>
      <c r="D93" s="67">
        <f t="array" ref="D93">SUM($B$7:$B88*$F$1009*EXP(-$F$1009*($A93-$A$7:$A88)))*$F$1010</f>
        <v>0</v>
      </c>
      <c r="E93" s="67">
        <f t="shared" si="11"/>
        <v>0</v>
      </c>
      <c r="F93" s="70">
        <f t="shared" si="15"/>
        <v>0</v>
      </c>
      <c r="G93" s="67">
        <f>E93/'Lookup Tables'!$C$48</f>
        <v>0</v>
      </c>
      <c r="H93" s="70" t="e">
        <f t="shared" si="12"/>
        <v>#DIV/0!</v>
      </c>
      <c r="I93" s="71">
        <f t="shared" si="16"/>
        <v>0</v>
      </c>
      <c r="J93" s="35">
        <f t="shared" si="10"/>
        <v>2080</v>
      </c>
      <c r="K93" s="77">
        <f>$G911</f>
        <v>10.553436548667751</v>
      </c>
      <c r="L93" s="74"/>
      <c r="M93" s="74"/>
      <c r="N93" s="74"/>
      <c r="O93" s="74"/>
      <c r="P93" s="74"/>
      <c r="Q93" s="74"/>
      <c r="R93" s="74"/>
      <c r="S93" s="74"/>
      <c r="T93" s="74"/>
      <c r="U93" s="74"/>
      <c r="V93" s="74"/>
      <c r="W93" s="74"/>
      <c r="X93" s="74"/>
      <c r="Y93" s="74"/>
      <c r="Z93" s="74"/>
    </row>
    <row r="94" spans="1:26" x14ac:dyDescent="0.3">
      <c r="A94" s="66">
        <f t="shared" si="14"/>
        <v>1998.6999999999921</v>
      </c>
      <c r="B94" s="67">
        <f>LOOKUP(A94+0.01,AmountsB!$A$4:$A$103,AmountsB!$B$4:$B$103)*0.1*$A$2</f>
        <v>0</v>
      </c>
      <c r="C94" s="68">
        <f t="shared" si="13"/>
        <v>0</v>
      </c>
      <c r="D94" s="67">
        <f t="array" ref="D94">SUM($B$7:$B89*$F$1009*EXP(-$F$1009*($A94-$A$7:$A89)))*$F$1010</f>
        <v>0</v>
      </c>
      <c r="E94" s="67">
        <f t="shared" si="11"/>
        <v>0</v>
      </c>
      <c r="F94" s="70">
        <f t="shared" si="15"/>
        <v>0</v>
      </c>
      <c r="G94" s="67">
        <f>E94/'Lookup Tables'!$C$48</f>
        <v>0</v>
      </c>
      <c r="H94" s="70" t="e">
        <f t="shared" si="12"/>
        <v>#DIV/0!</v>
      </c>
      <c r="I94" s="71">
        <f t="shared" si="16"/>
        <v>0</v>
      </c>
      <c r="J94" s="35">
        <f t="shared" si="10"/>
        <v>2081</v>
      </c>
      <c r="K94" s="77">
        <f>$G921</f>
        <v>10.406717864175336</v>
      </c>
      <c r="L94" s="74"/>
      <c r="M94" s="74"/>
      <c r="N94" s="74"/>
      <c r="O94" s="74"/>
      <c r="P94" s="74"/>
      <c r="Q94" s="74"/>
      <c r="R94" s="74"/>
      <c r="S94" s="74"/>
      <c r="T94" s="74"/>
      <c r="U94" s="74"/>
      <c r="V94" s="74"/>
      <c r="W94" s="74"/>
      <c r="X94" s="74"/>
      <c r="Y94" s="74"/>
      <c r="Z94" s="74"/>
    </row>
    <row r="95" spans="1:26" x14ac:dyDescent="0.3">
      <c r="A95" s="66">
        <f t="shared" si="14"/>
        <v>1998.799999999992</v>
      </c>
      <c r="B95" s="67">
        <f>LOOKUP(A95+0.01,AmountsB!$A$4:$A$103,AmountsB!$B$4:$B$103)*0.1*$A$2</f>
        <v>0</v>
      </c>
      <c r="C95" s="68">
        <f t="shared" si="13"/>
        <v>0</v>
      </c>
      <c r="D95" s="67">
        <f t="array" ref="D95">SUM($B$7:$B90*$F$1009*EXP(-$F$1009*($A95-$A$7:$A90)))*$F$1010</f>
        <v>0</v>
      </c>
      <c r="E95" s="67">
        <f t="shared" si="11"/>
        <v>0</v>
      </c>
      <c r="F95" s="70">
        <f t="shared" si="15"/>
        <v>0</v>
      </c>
      <c r="G95" s="67">
        <f>E95/'Lookup Tables'!$C$48</f>
        <v>0</v>
      </c>
      <c r="H95" s="70" t="e">
        <f t="shared" si="12"/>
        <v>#DIV/0!</v>
      </c>
      <c r="I95" s="71">
        <f t="shared" si="16"/>
        <v>0</v>
      </c>
      <c r="J95" s="35">
        <f t="shared" si="10"/>
        <v>2082</v>
      </c>
      <c r="K95" s="77">
        <f>$G931</f>
        <v>10.262038929699891</v>
      </c>
      <c r="L95" s="74"/>
      <c r="M95" s="74"/>
      <c r="N95" s="74"/>
      <c r="O95" s="74"/>
      <c r="P95" s="74"/>
      <c r="Q95" s="74"/>
      <c r="R95" s="74"/>
      <c r="S95" s="74"/>
      <c r="T95" s="74"/>
      <c r="U95" s="74"/>
      <c r="V95" s="74"/>
      <c r="W95" s="74"/>
      <c r="X95" s="74"/>
      <c r="Y95" s="74"/>
      <c r="Z95" s="74"/>
    </row>
    <row r="96" spans="1:26" x14ac:dyDescent="0.3">
      <c r="A96" s="66">
        <f t="shared" si="14"/>
        <v>1998.8999999999919</v>
      </c>
      <c r="B96" s="67">
        <f>LOOKUP(A96+0.01,AmountsB!$A$4:$A$103,AmountsB!$B$4:$B$103)*0.1*$A$2</f>
        <v>0</v>
      </c>
      <c r="C96" s="68">
        <f t="shared" si="13"/>
        <v>0</v>
      </c>
      <c r="D96" s="67">
        <f t="array" ref="D96">SUM($B$7:$B91*$F$1009*EXP(-$F$1009*($A96-$A$7:$A91)))*$F$1010</f>
        <v>0</v>
      </c>
      <c r="E96" s="67">
        <f t="shared" si="11"/>
        <v>0</v>
      </c>
      <c r="F96" s="70">
        <f t="shared" si="15"/>
        <v>0</v>
      </c>
      <c r="G96" s="67">
        <f>E96/'Lookup Tables'!$C$48</f>
        <v>0</v>
      </c>
      <c r="H96" s="70" t="e">
        <f t="shared" si="12"/>
        <v>#DIV/0!</v>
      </c>
      <c r="I96" s="71">
        <f t="shared" si="16"/>
        <v>0</v>
      </c>
      <c r="J96" s="35">
        <f t="shared" si="10"/>
        <v>2083</v>
      </c>
      <c r="K96" s="77">
        <f>$G941</f>
        <v>10.119371387707075</v>
      </c>
      <c r="L96" s="74"/>
      <c r="M96" s="74"/>
      <c r="N96" s="74"/>
      <c r="O96" s="74"/>
      <c r="P96" s="74"/>
      <c r="Q96" s="74"/>
      <c r="R96" s="74"/>
      <c r="S96" s="74"/>
      <c r="T96" s="74"/>
      <c r="U96" s="74"/>
      <c r="V96" s="74"/>
      <c r="W96" s="74"/>
      <c r="X96" s="74"/>
      <c r="Y96" s="74"/>
      <c r="Z96" s="74"/>
    </row>
    <row r="97" spans="1:26" x14ac:dyDescent="0.3">
      <c r="A97" s="66">
        <f t="shared" si="14"/>
        <v>1998.9999999999918</v>
      </c>
      <c r="B97" s="67">
        <f>LOOKUP(A97+0.01,AmountsB!$A$4:$A$103,AmountsB!$B$4:$B$103)*0.1*$A$2</f>
        <v>0</v>
      </c>
      <c r="C97" s="68">
        <f t="shared" si="13"/>
        <v>0</v>
      </c>
      <c r="D97" s="67">
        <f t="array" ref="D97">SUM($B$7:$B92*$F$1009*EXP(-$F$1009*($A97-$A$7:$A92)))*$F$1010</f>
        <v>0</v>
      </c>
      <c r="E97" s="67">
        <f t="shared" si="11"/>
        <v>0</v>
      </c>
      <c r="F97" s="70">
        <f t="shared" si="15"/>
        <v>0</v>
      </c>
      <c r="G97" s="67">
        <f>E97/'Lookup Tables'!$C$48</f>
        <v>0</v>
      </c>
      <c r="H97" s="70" t="e">
        <f t="shared" si="12"/>
        <v>#DIV/0!</v>
      </c>
      <c r="I97" s="71">
        <f t="shared" si="16"/>
        <v>0</v>
      </c>
      <c r="J97" s="35">
        <f t="shared" si="10"/>
        <v>2084</v>
      </c>
      <c r="K97" s="77">
        <f>$G951</f>
        <v>9.9786872749019491</v>
      </c>
      <c r="L97" s="74"/>
      <c r="M97" s="74"/>
      <c r="N97" s="74"/>
      <c r="O97" s="74"/>
      <c r="P97" s="74"/>
      <c r="Q97" s="74"/>
      <c r="R97" s="74"/>
      <c r="S97" s="74"/>
      <c r="T97" s="74"/>
      <c r="U97" s="74"/>
      <c r="V97" s="74"/>
      <c r="W97" s="74"/>
      <c r="X97" s="74"/>
      <c r="Y97" s="74"/>
      <c r="Z97" s="74"/>
    </row>
    <row r="98" spans="1:26" x14ac:dyDescent="0.3">
      <c r="A98" s="66">
        <f t="shared" si="14"/>
        <v>1999.0999999999917</v>
      </c>
      <c r="B98" s="67">
        <f>LOOKUP(A98+0.01,AmountsB!$A$4:$A$103,AmountsB!$B$4:$B$103)*0.1*$A$2</f>
        <v>0</v>
      </c>
      <c r="C98" s="68">
        <f t="shared" si="13"/>
        <v>0</v>
      </c>
      <c r="D98" s="67">
        <f t="array" ref="D98">SUM($B$7:$B93*$F$1009*EXP(-$F$1009*($A98-$A$7:$A93)))*$F$1010</f>
        <v>0</v>
      </c>
      <c r="E98" s="67">
        <f t="shared" si="11"/>
        <v>0</v>
      </c>
      <c r="F98" s="70">
        <f t="shared" si="15"/>
        <v>0</v>
      </c>
      <c r="G98" s="67">
        <f>E98/'Lookup Tables'!$C$48</f>
        <v>0</v>
      </c>
      <c r="H98" s="70" t="e">
        <f t="shared" si="12"/>
        <v>#DIV/0!</v>
      </c>
      <c r="I98" s="71">
        <f t="shared" si="16"/>
        <v>0</v>
      </c>
      <c r="J98" s="35">
        <f t="shared" si="10"/>
        <v>2085</v>
      </c>
      <c r="K98" s="77">
        <f>$G961</f>
        <v>9.8399590167480042</v>
      </c>
      <c r="L98" s="74"/>
      <c r="M98" s="74"/>
      <c r="N98" s="74"/>
      <c r="O98" s="74"/>
      <c r="P98" s="74"/>
      <c r="Q98" s="74"/>
      <c r="R98" s="74"/>
      <c r="S98" s="74"/>
      <c r="T98" s="74"/>
      <c r="U98" s="74"/>
      <c r="V98" s="74"/>
      <c r="W98" s="74"/>
      <c r="X98" s="74"/>
      <c r="Y98" s="74"/>
      <c r="Z98" s="74"/>
    </row>
    <row r="99" spans="1:26" x14ac:dyDescent="0.3">
      <c r="A99" s="66">
        <f t="shared" si="14"/>
        <v>1999.1999999999916</v>
      </c>
      <c r="B99" s="67">
        <f>LOOKUP(A99+0.01,AmountsB!$A$4:$A$103,AmountsB!$B$4:$B$103)*0.1*$A$2</f>
        <v>0</v>
      </c>
      <c r="C99" s="68">
        <f t="shared" si="13"/>
        <v>0</v>
      </c>
      <c r="D99" s="67">
        <f t="array" ref="D99">SUM($B$7:$B94*$F$1009*EXP(-$F$1009*($A99-$A$7:$A94)))*$F$1010</f>
        <v>0</v>
      </c>
      <c r="E99" s="67">
        <f t="shared" si="11"/>
        <v>0</v>
      </c>
      <c r="F99" s="70">
        <f t="shared" si="15"/>
        <v>0</v>
      </c>
      <c r="G99" s="67">
        <f>E99/'Lookup Tables'!$C$48</f>
        <v>0</v>
      </c>
      <c r="H99" s="70" t="e">
        <f t="shared" si="12"/>
        <v>#DIV/0!</v>
      </c>
      <c r="I99" s="71">
        <f t="shared" si="16"/>
        <v>0</v>
      </c>
      <c r="J99" s="35">
        <f t="shared" si="10"/>
        <v>2086</v>
      </c>
      <c r="K99" s="77">
        <f>$G971</f>
        <v>9.7031594220625319</v>
      </c>
      <c r="L99" s="74"/>
      <c r="M99" s="74"/>
      <c r="N99" s="74"/>
      <c r="O99" s="74"/>
      <c r="P99" s="74"/>
      <c r="Q99" s="74"/>
      <c r="R99" s="74"/>
      <c r="S99" s="74"/>
      <c r="T99" s="74"/>
      <c r="U99" s="74"/>
      <c r="V99" s="74"/>
      <c r="W99" s="74"/>
      <c r="X99" s="74"/>
      <c r="Y99" s="74"/>
      <c r="Z99" s="74"/>
    </row>
    <row r="100" spans="1:26" x14ac:dyDescent="0.3">
      <c r="A100" s="66">
        <f t="shared" si="14"/>
        <v>1999.2999999999915</v>
      </c>
      <c r="B100" s="67">
        <f>LOOKUP(A100+0.01,AmountsB!$A$4:$A$103,AmountsB!$B$4:$B$103)*0.1*$A$2</f>
        <v>0</v>
      </c>
      <c r="C100" s="68">
        <f t="shared" si="13"/>
        <v>0</v>
      </c>
      <c r="D100" s="67">
        <f t="array" ref="D100">SUM($B$7:$B95*$F$1009*EXP(-$F$1009*($A100-$A$7:$A95)))*$F$1010</f>
        <v>0</v>
      </c>
      <c r="E100" s="67">
        <f t="shared" si="11"/>
        <v>0</v>
      </c>
      <c r="F100" s="70">
        <f t="shared" si="15"/>
        <v>0</v>
      </c>
      <c r="G100" s="67">
        <f>E100/'Lookup Tables'!$C$48</f>
        <v>0</v>
      </c>
      <c r="H100" s="70" t="e">
        <f t="shared" si="12"/>
        <v>#DIV/0!</v>
      </c>
      <c r="I100" s="71">
        <f t="shared" si="16"/>
        <v>0</v>
      </c>
      <c r="J100" s="35">
        <f t="shared" si="10"/>
        <v>2087</v>
      </c>
      <c r="K100" s="77">
        <f>$G981</f>
        <v>9.5682616776870404</v>
      </c>
      <c r="L100" s="74"/>
      <c r="M100" s="74"/>
      <c r="N100" s="74"/>
      <c r="O100" s="74"/>
      <c r="P100" s="74"/>
      <c r="Q100" s="74"/>
      <c r="R100" s="74"/>
      <c r="S100" s="74"/>
      <c r="T100" s="74"/>
      <c r="U100" s="74"/>
      <c r="V100" s="74"/>
      <c r="W100" s="74"/>
      <c r="X100" s="74"/>
      <c r="Y100" s="74"/>
      <c r="Z100" s="74"/>
    </row>
    <row r="101" spans="1:26" x14ac:dyDescent="0.3">
      <c r="A101" s="66">
        <f t="shared" si="14"/>
        <v>1999.3999999999915</v>
      </c>
      <c r="B101" s="67">
        <f>LOOKUP(A101+0.01,AmountsB!$A$4:$A$103,AmountsB!$B$4:$B$103)*0.1*$A$2</f>
        <v>0</v>
      </c>
      <c r="C101" s="68">
        <f t="shared" si="13"/>
        <v>0</v>
      </c>
      <c r="D101" s="67">
        <f t="array" ref="D101">SUM($B$7:$B96*$F$1009*EXP(-$F$1009*($A101-$A$7:$A96)))*$F$1010</f>
        <v>0</v>
      </c>
      <c r="E101" s="67">
        <f t="shared" si="11"/>
        <v>0</v>
      </c>
      <c r="F101" s="70">
        <f t="shared" si="15"/>
        <v>0</v>
      </c>
      <c r="G101" s="67">
        <f>E101/'Lookup Tables'!$C$48</f>
        <v>0</v>
      </c>
      <c r="H101" s="70" t="e">
        <f t="shared" si="12"/>
        <v>#DIV/0!</v>
      </c>
      <c r="I101" s="71">
        <f t="shared" si="16"/>
        <v>0</v>
      </c>
      <c r="J101" s="35">
        <f t="shared" si="10"/>
        <v>2088</v>
      </c>
      <c r="K101" s="77">
        <f>$G991</f>
        <v>9.4352393432317569</v>
      </c>
      <c r="L101" s="74"/>
      <c r="M101" s="74"/>
      <c r="N101" s="74"/>
      <c r="O101" s="74"/>
      <c r="P101" s="74"/>
      <c r="Q101" s="74"/>
      <c r="R101" s="74"/>
      <c r="S101" s="74"/>
      <c r="T101" s="74"/>
      <c r="U101" s="74"/>
      <c r="V101" s="74"/>
      <c r="W101" s="74"/>
      <c r="X101" s="74"/>
      <c r="Y101" s="74"/>
      <c r="Z101" s="74"/>
    </row>
    <row r="102" spans="1:26" x14ac:dyDescent="0.3">
      <c r="A102" s="66">
        <f t="shared" si="14"/>
        <v>1999.4999999999914</v>
      </c>
      <c r="B102" s="67">
        <f>LOOKUP(A102+0.01,AmountsB!$A$4:$A$103,AmountsB!$B$4:$B$103)*0.1*$A$2</f>
        <v>0</v>
      </c>
      <c r="C102" s="68">
        <f t="shared" si="13"/>
        <v>0</v>
      </c>
      <c r="D102" s="67">
        <f t="array" ref="D102">SUM($B$7:$B97*$F$1009*EXP(-$F$1009*($A102-$A$7:$A97)))*$F$1010</f>
        <v>0</v>
      </c>
      <c r="E102" s="67">
        <f t="shared" si="11"/>
        <v>0</v>
      </c>
      <c r="F102" s="70">
        <f t="shared" si="15"/>
        <v>0</v>
      </c>
      <c r="G102" s="67">
        <f>E102/'Lookup Tables'!$C$48</f>
        <v>0</v>
      </c>
      <c r="H102" s="70" t="e">
        <f t="shared" si="12"/>
        <v>#DIV/0!</v>
      </c>
      <c r="I102" s="71">
        <f t="shared" si="16"/>
        <v>0</v>
      </c>
      <c r="J102" s="35">
        <f t="shared" si="10"/>
        <v>2089</v>
      </c>
      <c r="K102" s="77">
        <f>$G1001</f>
        <v>9.304066345893288</v>
      </c>
      <c r="L102" s="74"/>
      <c r="M102" s="74"/>
      <c r="N102" s="74"/>
      <c r="O102" s="74"/>
      <c r="P102" s="74"/>
      <c r="Q102" s="74"/>
      <c r="R102" s="74"/>
      <c r="S102" s="74"/>
      <c r="T102" s="74"/>
      <c r="U102" s="74"/>
      <c r="V102" s="74"/>
      <c r="W102" s="74"/>
      <c r="X102" s="74"/>
      <c r="Y102" s="74"/>
      <c r="Z102" s="74"/>
    </row>
    <row r="103" spans="1:26" x14ac:dyDescent="0.3">
      <c r="A103" s="66">
        <f t="shared" si="14"/>
        <v>1999.5999999999913</v>
      </c>
      <c r="B103" s="67">
        <f>LOOKUP(A103+0.01,AmountsB!$A$4:$A$103,AmountsB!$B$4:$B$103)*0.1*$A$2</f>
        <v>0</v>
      </c>
      <c r="C103" s="68">
        <f t="shared" si="13"/>
        <v>0</v>
      </c>
      <c r="D103" s="67">
        <f t="array" ref="D103">SUM($B$7:$B98*$F$1009*EXP(-$F$1009*($A103-$A$7:$A98)))*$F$1010</f>
        <v>0</v>
      </c>
      <c r="E103" s="67">
        <f t="shared" si="11"/>
        <v>0</v>
      </c>
      <c r="F103" s="70">
        <f t="shared" si="15"/>
        <v>0</v>
      </c>
      <c r="G103" s="67">
        <f>E103/'Lookup Tables'!$C$48</f>
        <v>0</v>
      </c>
      <c r="H103" s="70" t="e">
        <f t="shared" si="12"/>
        <v>#DIV/0!</v>
      </c>
      <c r="I103" s="71">
        <f t="shared" si="16"/>
        <v>0</v>
      </c>
      <c r="K103" s="77"/>
      <c r="L103" s="74"/>
      <c r="M103" s="74"/>
      <c r="N103" s="74"/>
      <c r="O103" s="74"/>
      <c r="P103" s="74"/>
      <c r="Q103" s="74"/>
      <c r="R103" s="74"/>
      <c r="S103" s="74"/>
      <c r="T103" s="74"/>
      <c r="U103" s="74"/>
      <c r="V103" s="74"/>
      <c r="W103" s="74"/>
      <c r="X103" s="74"/>
      <c r="Y103" s="74"/>
      <c r="Z103" s="74"/>
    </row>
    <row r="104" spans="1:26" x14ac:dyDescent="0.3">
      <c r="A104" s="66">
        <f t="shared" si="14"/>
        <v>1999.6999999999912</v>
      </c>
      <c r="B104" s="67">
        <f>LOOKUP(A104+0.01,AmountsB!$A$4:$A$103,AmountsB!$B$4:$B$103)*0.1*$A$2</f>
        <v>0</v>
      </c>
      <c r="C104" s="68">
        <f t="shared" si="13"/>
        <v>0</v>
      </c>
      <c r="D104" s="67">
        <f t="array" ref="D104">SUM($B$7:$B99*$F$1009*EXP(-$F$1009*($A104-$A$7:$A99)))*$F$1010</f>
        <v>0</v>
      </c>
      <c r="E104" s="67">
        <f t="shared" si="11"/>
        <v>0</v>
      </c>
      <c r="F104" s="70">
        <f t="shared" si="15"/>
        <v>0</v>
      </c>
      <c r="G104" s="67">
        <f>E104/'Lookup Tables'!$C$48</f>
        <v>0</v>
      </c>
      <c r="H104" s="70" t="e">
        <f t="shared" si="12"/>
        <v>#DIV/0!</v>
      </c>
      <c r="I104" s="71">
        <f t="shared" si="16"/>
        <v>0</v>
      </c>
      <c r="K104" s="77"/>
      <c r="L104" s="74"/>
      <c r="M104" s="74"/>
      <c r="N104" s="74"/>
      <c r="O104" s="74"/>
      <c r="P104" s="74"/>
      <c r="Q104" s="74"/>
      <c r="R104" s="74"/>
      <c r="S104" s="74"/>
      <c r="T104" s="74"/>
      <c r="U104" s="74"/>
      <c r="V104" s="74"/>
      <c r="W104" s="74"/>
      <c r="X104" s="74"/>
      <c r="Y104" s="74"/>
      <c r="Z104" s="74"/>
    </row>
    <row r="105" spans="1:26" x14ac:dyDescent="0.3">
      <c r="A105" s="66">
        <f t="shared" si="14"/>
        <v>1999.7999999999911</v>
      </c>
      <c r="B105" s="67">
        <f>LOOKUP(A105+0.01,AmountsB!$A$4:$A$103,AmountsB!$B$4:$B$103)*0.1*$A$2</f>
        <v>0</v>
      </c>
      <c r="C105" s="68">
        <f t="shared" si="13"/>
        <v>0</v>
      </c>
      <c r="D105" s="67">
        <f t="array" ref="D105">SUM($B$7:$B100*$F$1009*EXP(-$F$1009*($A105-$A$7:$A100)))*$F$1010</f>
        <v>0</v>
      </c>
      <c r="E105" s="67">
        <f t="shared" si="11"/>
        <v>0</v>
      </c>
      <c r="F105" s="70">
        <f t="shared" si="15"/>
        <v>0</v>
      </c>
      <c r="G105" s="67">
        <f>E105/'Lookup Tables'!$C$48</f>
        <v>0</v>
      </c>
      <c r="H105" s="70" t="e">
        <f t="shared" si="12"/>
        <v>#DIV/0!</v>
      </c>
      <c r="I105" s="71">
        <f t="shared" si="16"/>
        <v>0</v>
      </c>
      <c r="K105" s="77"/>
      <c r="L105" s="74"/>
      <c r="M105" s="74"/>
      <c r="N105" s="74"/>
      <c r="O105" s="74"/>
      <c r="P105" s="74"/>
      <c r="Q105" s="74"/>
      <c r="R105" s="74"/>
      <c r="S105" s="74"/>
      <c r="T105" s="74"/>
      <c r="U105" s="74"/>
      <c r="V105" s="74"/>
      <c r="W105" s="74"/>
      <c r="X105" s="74"/>
      <c r="Y105" s="74"/>
      <c r="Z105" s="74"/>
    </row>
    <row r="106" spans="1:26" x14ac:dyDescent="0.3">
      <c r="A106" s="66">
        <f t="shared" si="14"/>
        <v>1999.899999999991</v>
      </c>
      <c r="B106" s="67">
        <f>LOOKUP(A106+0.01,AmountsB!$A$4:$A$103,AmountsB!$B$4:$B$103)*0.1*$A$2</f>
        <v>0</v>
      </c>
      <c r="C106" s="68">
        <f t="shared" si="13"/>
        <v>0</v>
      </c>
      <c r="D106" s="67">
        <f t="array" ref="D106">SUM($B$7:$B101*$F$1009*EXP(-$F$1009*($A106-$A$7:$A101)))*$F$1010</f>
        <v>0</v>
      </c>
      <c r="E106" s="67">
        <f t="shared" si="11"/>
        <v>0</v>
      </c>
      <c r="F106" s="70">
        <f t="shared" si="15"/>
        <v>0</v>
      </c>
      <c r="G106" s="67">
        <f>E106/'Lookup Tables'!$C$48</f>
        <v>0</v>
      </c>
      <c r="H106" s="70" t="e">
        <f t="shared" si="12"/>
        <v>#DIV/0!</v>
      </c>
      <c r="I106" s="71">
        <f t="shared" si="16"/>
        <v>0</v>
      </c>
      <c r="K106" s="77"/>
      <c r="L106" s="74"/>
      <c r="M106" s="74"/>
      <c r="N106" s="74"/>
      <c r="O106" s="74"/>
      <c r="P106" s="74"/>
      <c r="Q106" s="74"/>
      <c r="R106" s="74"/>
      <c r="S106" s="74"/>
      <c r="T106" s="74"/>
      <c r="U106" s="74"/>
      <c r="V106" s="74"/>
      <c r="W106" s="74"/>
      <c r="X106" s="74"/>
      <c r="Y106" s="74"/>
      <c r="Z106" s="74"/>
    </row>
    <row r="107" spans="1:26" x14ac:dyDescent="0.3">
      <c r="A107" s="66">
        <f t="shared" si="14"/>
        <v>1999.9999999999909</v>
      </c>
      <c r="B107" s="67">
        <f>LOOKUP(A107+0.01,AmountsB!$A$4:$A$103,AmountsB!$B$4:$B$103)*0.1*$A$2</f>
        <v>412.01769400000001</v>
      </c>
      <c r="C107" s="68">
        <f t="shared" si="13"/>
        <v>412.01769400000001</v>
      </c>
      <c r="D107" s="67">
        <f t="array" ref="D107">SUM($B$7:$B102*$F$1009*EXP(-$F$1009*($A107-$A$7:$A102)))*$F$1010</f>
        <v>0</v>
      </c>
      <c r="E107" s="67">
        <f t="shared" si="11"/>
        <v>0</v>
      </c>
      <c r="F107" s="70">
        <f t="shared" si="15"/>
        <v>0</v>
      </c>
      <c r="G107" s="67">
        <f>E107/'Lookup Tables'!$C$48</f>
        <v>0</v>
      </c>
      <c r="H107" s="70">
        <f t="shared" si="12"/>
        <v>0</v>
      </c>
      <c r="I107" s="71">
        <f t="shared" si="16"/>
        <v>0</v>
      </c>
      <c r="K107" s="77"/>
      <c r="L107" s="74"/>
      <c r="M107" s="74"/>
      <c r="N107" s="74"/>
      <c r="O107" s="74"/>
      <c r="P107" s="74"/>
      <c r="Q107" s="74"/>
      <c r="R107" s="74"/>
      <c r="S107" s="74"/>
      <c r="T107" s="74"/>
      <c r="U107" s="74"/>
      <c r="V107" s="74"/>
      <c r="W107" s="74"/>
      <c r="X107" s="74"/>
      <c r="Y107" s="74"/>
      <c r="Z107" s="74"/>
    </row>
    <row r="108" spans="1:26" x14ac:dyDescent="0.3">
      <c r="A108" s="66">
        <f t="shared" si="14"/>
        <v>2000.0999999999908</v>
      </c>
      <c r="B108" s="67">
        <f>LOOKUP(A108+0.01,AmountsB!$A$4:$A$103,AmountsB!$B$4:$B$103)*0.1*$A$2</f>
        <v>412.01769400000001</v>
      </c>
      <c r="C108" s="68">
        <f t="shared" si="13"/>
        <v>824.03538800000001</v>
      </c>
      <c r="D108" s="67">
        <f t="array" ref="D108">SUM($B$7:$B103*$F$1009*EXP(-$F$1009*($A108-$A$7:$A103)))*$F$1010</f>
        <v>0</v>
      </c>
      <c r="E108" s="67">
        <f t="shared" si="11"/>
        <v>0</v>
      </c>
      <c r="F108" s="70">
        <f t="shared" si="15"/>
        <v>0</v>
      </c>
      <c r="G108" s="67">
        <f>E108/'Lookup Tables'!$C$48</f>
        <v>0</v>
      </c>
      <c r="H108" s="70">
        <f t="shared" si="12"/>
        <v>0</v>
      </c>
      <c r="I108" s="71">
        <f t="shared" si="16"/>
        <v>0</v>
      </c>
      <c r="K108" s="77"/>
      <c r="L108" s="74"/>
      <c r="M108" s="74"/>
      <c r="N108" s="74"/>
      <c r="O108" s="74"/>
      <c r="P108" s="74"/>
      <c r="Q108" s="74"/>
      <c r="R108" s="74"/>
      <c r="S108" s="74"/>
      <c r="T108" s="74"/>
      <c r="U108" s="74"/>
      <c r="V108" s="74"/>
      <c r="W108" s="74"/>
      <c r="X108" s="74"/>
      <c r="Y108" s="74"/>
      <c r="Z108" s="74"/>
    </row>
    <row r="109" spans="1:26" x14ac:dyDescent="0.3">
      <c r="A109" s="66">
        <f t="shared" si="14"/>
        <v>2000.1999999999907</v>
      </c>
      <c r="B109" s="67">
        <f>LOOKUP(A109+0.01,AmountsB!$A$4:$A$103,AmountsB!$B$4:$B$103)*0.1*$A$2</f>
        <v>412.01769400000001</v>
      </c>
      <c r="C109" s="68">
        <f t="shared" si="13"/>
        <v>1236.0530819999999</v>
      </c>
      <c r="D109" s="67">
        <f t="array" ref="D109">SUM($B$7:$B104*$F$1009*EXP(-$F$1009*($A109-$A$7:$A104)))*$F$1010</f>
        <v>0</v>
      </c>
      <c r="E109" s="67">
        <f t="shared" si="11"/>
        <v>0</v>
      </c>
      <c r="F109" s="70">
        <f t="shared" si="15"/>
        <v>0</v>
      </c>
      <c r="G109" s="67">
        <f>E109/'Lookup Tables'!$C$48</f>
        <v>0</v>
      </c>
      <c r="H109" s="70">
        <f t="shared" si="12"/>
        <v>0</v>
      </c>
      <c r="I109" s="71">
        <f t="shared" si="16"/>
        <v>0</v>
      </c>
      <c r="K109" s="77"/>
      <c r="L109" s="74"/>
      <c r="M109" s="74"/>
      <c r="N109" s="74"/>
      <c r="O109" s="74"/>
      <c r="P109" s="74"/>
      <c r="Q109" s="74"/>
      <c r="R109" s="74"/>
      <c r="S109" s="74"/>
      <c r="T109" s="74"/>
      <c r="U109" s="74"/>
      <c r="V109" s="74"/>
      <c r="W109" s="74"/>
      <c r="X109" s="74"/>
      <c r="Y109" s="74"/>
      <c r="Z109" s="74"/>
    </row>
    <row r="110" spans="1:26" x14ac:dyDescent="0.3">
      <c r="A110" s="66">
        <f t="shared" si="14"/>
        <v>2000.2999999999906</v>
      </c>
      <c r="B110" s="67">
        <f>LOOKUP(A110+0.01,AmountsB!$A$4:$A$103,AmountsB!$B$4:$B$103)*0.1*$A$2</f>
        <v>412.01769400000001</v>
      </c>
      <c r="C110" s="68">
        <f t="shared" si="13"/>
        <v>1648.070776</v>
      </c>
      <c r="D110" s="67">
        <f t="array" ref="D110">SUM($B$7:$B105*$F$1009*EXP(-$F$1009*($A110-$A$7:$A105)))*$F$1010</f>
        <v>0</v>
      </c>
      <c r="E110" s="67">
        <f t="shared" si="11"/>
        <v>0</v>
      </c>
      <c r="F110" s="70">
        <f t="shared" si="15"/>
        <v>0</v>
      </c>
      <c r="G110" s="67">
        <f>E110/'Lookup Tables'!$C$48</f>
        <v>0</v>
      </c>
      <c r="H110" s="70">
        <f t="shared" si="12"/>
        <v>0</v>
      </c>
      <c r="I110" s="71">
        <f t="shared" si="16"/>
        <v>0</v>
      </c>
      <c r="L110" s="74"/>
      <c r="M110" s="74"/>
      <c r="N110" s="74"/>
      <c r="O110" s="74"/>
      <c r="P110" s="74"/>
      <c r="Q110" s="74"/>
      <c r="R110" s="74"/>
      <c r="S110" s="74"/>
      <c r="T110" s="74"/>
      <c r="U110" s="74"/>
      <c r="V110" s="74"/>
      <c r="W110" s="74"/>
      <c r="X110" s="74"/>
      <c r="Y110" s="74"/>
      <c r="Z110" s="74"/>
    </row>
    <row r="111" spans="1:26" x14ac:dyDescent="0.3">
      <c r="A111" s="66">
        <f t="shared" si="14"/>
        <v>2000.3999999999905</v>
      </c>
      <c r="B111" s="67">
        <f>LOOKUP(A111+0.01,AmountsB!$A$4:$A$103,AmountsB!$B$4:$B$103)*0.1*$A$2</f>
        <v>412.01769400000001</v>
      </c>
      <c r="C111" s="68">
        <f t="shared" si="13"/>
        <v>2060.0884700000001</v>
      </c>
      <c r="D111" s="67">
        <f t="array" ref="D111">SUM($B$7:$B106*$F$1009*EXP(-$F$1009*($A111-$A$7:$A106)))*$F$1010</f>
        <v>0</v>
      </c>
      <c r="E111" s="67">
        <f t="shared" si="11"/>
        <v>0</v>
      </c>
      <c r="F111" s="70">
        <f t="shared" si="15"/>
        <v>0</v>
      </c>
      <c r="G111" s="67">
        <f>E111/'Lookup Tables'!$C$48</f>
        <v>0</v>
      </c>
      <c r="H111" s="70">
        <f t="shared" si="12"/>
        <v>0</v>
      </c>
      <c r="I111" s="71">
        <f t="shared" si="16"/>
        <v>0</v>
      </c>
      <c r="L111" s="74"/>
      <c r="M111" s="74"/>
      <c r="N111" s="74"/>
      <c r="O111" s="74"/>
      <c r="P111" s="74"/>
      <c r="Q111" s="74"/>
      <c r="R111" s="74"/>
      <c r="S111" s="74"/>
      <c r="T111" s="74"/>
      <c r="U111" s="74"/>
      <c r="V111" s="74"/>
      <c r="W111" s="74"/>
      <c r="X111" s="74"/>
      <c r="Y111" s="74"/>
      <c r="Z111" s="74"/>
    </row>
    <row r="112" spans="1:26" x14ac:dyDescent="0.3">
      <c r="A112" s="66">
        <f t="shared" si="14"/>
        <v>2000.4999999999905</v>
      </c>
      <c r="B112" s="67">
        <f>LOOKUP(A112+0.01,AmountsB!$A$4:$A$103,AmountsB!$B$4:$B$103)*0.1*$A$2</f>
        <v>412.01769400000001</v>
      </c>
      <c r="C112" s="68">
        <f t="shared" si="13"/>
        <v>2472.1061640000003</v>
      </c>
      <c r="D112" s="67">
        <f t="array" ref="D112">SUM($B$7:$B107*$F$1009*EXP(-$F$1009*($A112-$A$7:$A107)))*$F$1010</f>
        <v>36694.723500031447</v>
      </c>
      <c r="E112" s="67">
        <f t="shared" si="11"/>
        <v>6.9955250940385294E-2</v>
      </c>
      <c r="F112" s="70">
        <f t="shared" si="15"/>
        <v>4.2476828371001947E-3</v>
      </c>
      <c r="G112" s="67">
        <f>E112/'Lookup Tables'!$C$48</f>
        <v>0.13991050188077059</v>
      </c>
      <c r="H112" s="70">
        <f t="shared" si="12"/>
        <v>1.487334178026284E-2</v>
      </c>
      <c r="I112" s="71">
        <f t="shared" si="16"/>
        <v>2.0147112270830963E-4</v>
      </c>
      <c r="L112" s="74"/>
      <c r="M112" s="74"/>
      <c r="N112" s="74"/>
      <c r="O112" s="74"/>
      <c r="P112" s="74"/>
      <c r="Q112" s="74"/>
      <c r="R112" s="74"/>
      <c r="S112" s="74"/>
      <c r="T112" s="74"/>
      <c r="U112" s="74"/>
      <c r="V112" s="74"/>
      <c r="W112" s="74"/>
      <c r="X112" s="74"/>
      <c r="Y112" s="74"/>
      <c r="Z112" s="74"/>
    </row>
    <row r="113" spans="1:26" x14ac:dyDescent="0.3">
      <c r="A113" s="66">
        <f t="shared" si="14"/>
        <v>2000.5999999999904</v>
      </c>
      <c r="B113" s="67">
        <f>LOOKUP(A113+0.01,AmountsB!$A$4:$A$103,AmountsB!$B$4:$B$103)*0.1*$A$2</f>
        <v>412.01769400000001</v>
      </c>
      <c r="C113" s="68">
        <f t="shared" si="13"/>
        <v>2884.1238580000004</v>
      </c>
      <c r="D113" s="67">
        <f t="array" ref="D113">SUM($B$7:$B108*$F$1009*EXP(-$F$1009*($A113-$A$7:$A108)))*$F$1010</f>
        <v>73338.110331216085</v>
      </c>
      <c r="E113" s="67">
        <f t="shared" si="11"/>
        <v>0.13981263305361841</v>
      </c>
      <c r="F113" s="70">
        <f t="shared" si="15"/>
        <v>8.4894230790157083E-3</v>
      </c>
      <c r="G113" s="67">
        <f>E113/'Lookup Tables'!$C$48</f>
        <v>0.27962526610723681</v>
      </c>
      <c r="H113" s="70">
        <f t="shared" si="12"/>
        <v>2.547932181523593E-2</v>
      </c>
      <c r="I113" s="71">
        <f t="shared" si="16"/>
        <v>4.0266038319442102E-4</v>
      </c>
      <c r="L113" s="74"/>
      <c r="M113" s="74"/>
      <c r="N113" s="74"/>
      <c r="O113" s="74"/>
      <c r="P113" s="74"/>
      <c r="Q113" s="74"/>
      <c r="R113" s="74"/>
      <c r="S113" s="74"/>
      <c r="T113" s="74"/>
      <c r="U113" s="74"/>
      <c r="V113" s="74"/>
      <c r="W113" s="74"/>
      <c r="X113" s="74"/>
      <c r="Y113" s="74"/>
      <c r="Z113" s="74"/>
    </row>
    <row r="114" spans="1:26" x14ac:dyDescent="0.3">
      <c r="A114" s="66">
        <f t="shared" si="14"/>
        <v>2000.6999999999903</v>
      </c>
      <c r="B114" s="67">
        <f>LOOKUP(A114+0.01,AmountsB!$A$4:$A$103,AmountsB!$B$4:$B$103)*0.1*$A$2</f>
        <v>412.01769400000001</v>
      </c>
      <c r="C114" s="68">
        <f t="shared" si="13"/>
        <v>3296.1415520000005</v>
      </c>
      <c r="D114" s="67">
        <f t="array" ref="D114">SUM($B$7:$B109*$F$1009*EXP(-$F$1009*($A114-$A$7:$A109)))*$F$1010</f>
        <v>109930.23231460384</v>
      </c>
      <c r="E114" s="67">
        <f t="shared" si="11"/>
        <v>0.20957228326019062</v>
      </c>
      <c r="F114" s="70">
        <f t="shared" si="15"/>
        <v>1.2725229039558776E-2</v>
      </c>
      <c r="G114" s="67">
        <f>E114/'Lookup Tables'!$C$48</f>
        <v>0.41914456652038123</v>
      </c>
      <c r="H114" s="70">
        <f t="shared" si="12"/>
        <v>3.341822259263099E-2</v>
      </c>
      <c r="I114" s="71">
        <f t="shared" si="16"/>
        <v>6.0356817578934897E-4</v>
      </c>
      <c r="L114" s="74"/>
      <c r="M114" s="74"/>
      <c r="N114" s="74"/>
      <c r="O114" s="74"/>
      <c r="P114" s="74"/>
      <c r="Q114" s="74"/>
      <c r="R114" s="74"/>
      <c r="S114" s="74"/>
      <c r="T114" s="74"/>
      <c r="U114" s="74"/>
      <c r="V114" s="74"/>
      <c r="W114" s="74"/>
      <c r="X114" s="74"/>
      <c r="Y114" s="74"/>
      <c r="Z114" s="74"/>
    </row>
    <row r="115" spans="1:26" x14ac:dyDescent="0.3">
      <c r="A115" s="66">
        <f t="shared" si="14"/>
        <v>2000.7999999999902</v>
      </c>
      <c r="B115" s="67">
        <f>LOOKUP(A115+0.01,AmountsB!$A$4:$A$103,AmountsB!$B$4:$B$103)*0.1*$A$2</f>
        <v>412.01769400000001</v>
      </c>
      <c r="C115" s="68">
        <f t="shared" si="13"/>
        <v>3708.1592460000006</v>
      </c>
      <c r="D115" s="67">
        <f t="array" ref="D115">SUM($B$7:$B110*$F$1009*EXP(-$F$1009*($A115-$A$7:$A110)))*$F$1010</f>
        <v>146471.16117076547</v>
      </c>
      <c r="E115" s="67">
        <f t="shared" si="11"/>
        <v>0.27923433828903865</v>
      </c>
      <c r="F115" s="70">
        <f t="shared" si="15"/>
        <v>1.6955109020910429E-2</v>
      </c>
      <c r="G115" s="67">
        <f>E115/'Lookup Tables'!$C$48</f>
        <v>0.55846867657807731</v>
      </c>
      <c r="H115" s="70">
        <f t="shared" si="12"/>
        <v>3.957908991180329E-2</v>
      </c>
      <c r="I115" s="71">
        <f t="shared" si="16"/>
        <v>8.0419489427243143E-4</v>
      </c>
      <c r="L115" s="74"/>
      <c r="M115" s="74"/>
      <c r="N115" s="74"/>
      <c r="O115" s="74"/>
      <c r="P115" s="74"/>
      <c r="Q115" s="74"/>
      <c r="R115" s="74"/>
      <c r="S115" s="74"/>
      <c r="T115" s="74"/>
      <c r="U115" s="74"/>
      <c r="V115" s="74"/>
      <c r="W115" s="74"/>
      <c r="X115" s="74"/>
      <c r="Y115" s="74"/>
      <c r="Z115" s="74"/>
    </row>
    <row r="116" spans="1:26" x14ac:dyDescent="0.3">
      <c r="A116" s="66">
        <f t="shared" si="14"/>
        <v>2000.8999999999901</v>
      </c>
      <c r="B116" s="67">
        <f>LOOKUP(A116+0.01,AmountsB!$A$4:$A$103,AmountsB!$B$4:$B$103)*0.1*$A$2</f>
        <v>412.01769400000001</v>
      </c>
      <c r="C116" s="68">
        <f t="shared" si="13"/>
        <v>4120.1769400000003</v>
      </c>
      <c r="D116" s="67">
        <f t="array" ref="D116">SUM($B$7:$B111*$F$1009*EXP(-$F$1009*($A116-$A$7:$A111)))*$F$1010</f>
        <v>182960.96851993329</v>
      </c>
      <c r="E116" s="67">
        <f t="shared" si="11"/>
        <v>0.34879893467781276</v>
      </c>
      <c r="F116" s="70">
        <f t="shared" si="15"/>
        <v>2.1179071313636787E-2</v>
      </c>
      <c r="G116" s="67">
        <f>E116/'Lookup Tables'!$C$48</f>
        <v>0.69759786935562551</v>
      </c>
      <c r="H116" s="70">
        <f t="shared" si="12"/>
        <v>4.4495351227964094E-2</v>
      </c>
      <c r="I116" s="71">
        <f t="shared" si="16"/>
        <v>1.0045409318721007E-3</v>
      </c>
      <c r="L116" s="74"/>
      <c r="M116" s="74"/>
      <c r="N116" s="74"/>
      <c r="O116" s="74"/>
      <c r="P116" s="74"/>
      <c r="Q116" s="74"/>
      <c r="R116" s="74"/>
      <c r="S116" s="74"/>
      <c r="T116" s="74"/>
      <c r="U116" s="74"/>
      <c r="V116" s="74"/>
      <c r="W116" s="74"/>
      <c r="X116" s="74"/>
      <c r="Y116" s="74"/>
      <c r="Z116" s="74"/>
    </row>
    <row r="117" spans="1:26" x14ac:dyDescent="0.3">
      <c r="A117" s="66">
        <f t="shared" si="14"/>
        <v>2000.99999999999</v>
      </c>
      <c r="B117" s="67">
        <f>LOOKUP(A117+0.01,AmountsB!$A$4:$A$103,AmountsB!$B$4:$B$103)*0.1*$A$2</f>
        <v>420.26289800000001</v>
      </c>
      <c r="C117" s="68">
        <f t="shared" si="13"/>
        <v>4540.4398380000002</v>
      </c>
      <c r="D117" s="67">
        <f t="array" ref="D117">SUM($B$7:$B112*$F$1009*EXP(-$F$1009*($A117-$A$7:$A112)))*$F$1010</f>
        <v>219399.72588214133</v>
      </c>
      <c r="E117" s="67">
        <f t="shared" si="11"/>
        <v>0.41826620877314391</v>
      </c>
      <c r="F117" s="70">
        <f t="shared" si="15"/>
        <v>2.5397124196705298E-2</v>
      </c>
      <c r="G117" s="67">
        <f>E117/'Lookup Tables'!$C$48</f>
        <v>0.83653241754628782</v>
      </c>
      <c r="H117" s="70">
        <f t="shared" si="12"/>
        <v>4.8418375129930399E-2</v>
      </c>
      <c r="I117" s="71">
        <f t="shared" si="16"/>
        <v>1.2046066812666544E-3</v>
      </c>
      <c r="L117" s="74"/>
      <c r="M117" s="74"/>
      <c r="N117" s="74"/>
      <c r="O117" s="74"/>
      <c r="P117" s="74"/>
      <c r="Q117" s="74"/>
      <c r="R117" s="74"/>
      <c r="S117" s="74"/>
      <c r="T117" s="74"/>
      <c r="U117" s="74"/>
      <c r="V117" s="74"/>
      <c r="W117" s="74"/>
      <c r="X117" s="74"/>
      <c r="Y117" s="74"/>
      <c r="Z117" s="74"/>
    </row>
    <row r="118" spans="1:26" x14ac:dyDescent="0.3">
      <c r="A118" s="66">
        <f t="shared" si="14"/>
        <v>2001.0999999999899</v>
      </c>
      <c r="B118" s="67">
        <f>LOOKUP(A118+0.01,AmountsB!$A$4:$A$103,AmountsB!$B$4:$B$103)*0.1*$A$2</f>
        <v>420.26289800000001</v>
      </c>
      <c r="C118" s="68">
        <f t="shared" si="13"/>
        <v>4960.7027360000002</v>
      </c>
      <c r="D118" s="67">
        <f t="array" ref="D118">SUM($B$7:$B113*$F$1009*EXP(-$F$1009*($A118-$A$7:$A113)))*$F$1010</f>
        <v>255787.50467736574</v>
      </c>
      <c r="E118" s="67">
        <f t="shared" si="11"/>
        <v>0.4876362967309118</v>
      </c>
      <c r="F118" s="70">
        <f t="shared" si="15"/>
        <v>2.9609275937500963E-2</v>
      </c>
      <c r="G118" s="67">
        <f>E118/'Lookup Tables'!$C$48</f>
        <v>0.9752725934618236</v>
      </c>
      <c r="H118" s="70">
        <f t="shared" si="12"/>
        <v>5.1666397121878906E-2</v>
      </c>
      <c r="I118" s="71">
        <f t="shared" si="16"/>
        <v>1.404392534585026E-3</v>
      </c>
      <c r="L118" s="74"/>
      <c r="M118" s="74"/>
      <c r="N118" s="74"/>
      <c r="O118" s="74"/>
      <c r="P118" s="74"/>
      <c r="Q118" s="74"/>
      <c r="R118" s="74"/>
      <c r="S118" s="74"/>
      <c r="T118" s="74"/>
      <c r="U118" s="74"/>
      <c r="V118" s="74"/>
      <c r="W118" s="74"/>
      <c r="X118" s="74"/>
      <c r="Y118" s="74"/>
      <c r="Z118" s="74"/>
    </row>
    <row r="119" spans="1:26" x14ac:dyDescent="0.3">
      <c r="A119" s="66">
        <f t="shared" si="14"/>
        <v>2001.1999999999898</v>
      </c>
      <c r="B119" s="67">
        <f>LOOKUP(A119+0.01,AmountsB!$A$4:$A$103,AmountsB!$B$4:$B$103)*0.1*$A$2</f>
        <v>420.26289800000001</v>
      </c>
      <c r="C119" s="68">
        <f t="shared" si="13"/>
        <v>5380.9656340000001</v>
      </c>
      <c r="D119" s="67">
        <f t="array" ref="D119">SUM($B$7:$B114*$F$1009*EXP(-$F$1009*($A119-$A$7:$A114)))*$F$1010</f>
        <v>292124.37622566457</v>
      </c>
      <c r="E119" s="67">
        <f t="shared" si="11"/>
        <v>0.55690933451651103</v>
      </c>
      <c r="F119" s="70">
        <f t="shared" si="15"/>
        <v>3.3815534791842544E-2</v>
      </c>
      <c r="G119" s="67">
        <f>E119/'Lookup Tables'!$C$48</f>
        <v>1.1138186690330221</v>
      </c>
      <c r="H119" s="70">
        <f t="shared" si="12"/>
        <v>5.4397587000437286E-2</v>
      </c>
      <c r="I119" s="71">
        <f t="shared" si="16"/>
        <v>1.6038988834075516E-3</v>
      </c>
      <c r="L119" s="74"/>
      <c r="M119" s="74"/>
      <c r="N119" s="74"/>
      <c r="O119" s="74"/>
      <c r="P119" s="74"/>
      <c r="Q119" s="74"/>
      <c r="R119" s="74"/>
      <c r="S119" s="74"/>
      <c r="T119" s="74"/>
      <c r="U119" s="74"/>
      <c r="V119" s="74"/>
      <c r="W119" s="74"/>
      <c r="X119" s="74"/>
      <c r="Y119" s="74"/>
      <c r="Z119" s="74"/>
    </row>
    <row r="120" spans="1:26" x14ac:dyDescent="0.3">
      <c r="A120" s="66">
        <f t="shared" si="14"/>
        <v>2001.2999999999897</v>
      </c>
      <c r="B120" s="67">
        <f>LOOKUP(A120+0.01,AmountsB!$A$4:$A$103,AmountsB!$B$4:$B$103)*0.1*$A$2</f>
        <v>420.26289800000001</v>
      </c>
      <c r="C120" s="68">
        <f t="shared" si="13"/>
        <v>5801.2285320000001</v>
      </c>
      <c r="D120" s="67">
        <f t="array" ref="D120">SUM($B$7:$B115*$F$1009*EXP(-$F$1009*($A120-$A$7:$A115)))*$F$1010</f>
        <v>328410.4117473177</v>
      </c>
      <c r="E120" s="67">
        <f t="shared" si="11"/>
        <v>0.62608545790511771</v>
      </c>
      <c r="F120" s="70">
        <f t="shared" si="15"/>
        <v>3.8015909003998746E-2</v>
      </c>
      <c r="G120" s="67">
        <f>E120/'Lookup Tables'!$C$48</f>
        <v>1.2521709158102354</v>
      </c>
      <c r="H120" s="70">
        <f t="shared" si="12"/>
        <v>5.6724280875982198E-2</v>
      </c>
      <c r="I120" s="71">
        <f t="shared" si="16"/>
        <v>1.803126118766739E-3</v>
      </c>
      <c r="L120" s="74"/>
      <c r="M120" s="74"/>
      <c r="N120" s="74"/>
      <c r="O120" s="74"/>
      <c r="P120" s="74"/>
      <c r="Q120" s="74"/>
      <c r="R120" s="74"/>
      <c r="S120" s="74"/>
      <c r="T120" s="74"/>
      <c r="U120" s="74"/>
      <c r="V120" s="74"/>
      <c r="W120" s="74"/>
      <c r="X120" s="74"/>
      <c r="Y120" s="74"/>
      <c r="Z120" s="74"/>
    </row>
    <row r="121" spans="1:26" x14ac:dyDescent="0.3">
      <c r="A121" s="66">
        <f t="shared" si="14"/>
        <v>2001.3999999999896</v>
      </c>
      <c r="B121" s="67">
        <f>LOOKUP(A121+0.01,AmountsB!$A$4:$A$103,AmountsB!$B$4:$B$103)*0.1*$A$2</f>
        <v>420.26289800000001</v>
      </c>
      <c r="C121" s="68">
        <f t="shared" si="13"/>
        <v>6221.49143</v>
      </c>
      <c r="D121" s="67">
        <f t="array" ref="D121">SUM($B$7:$B116*$F$1009*EXP(-$F$1009*($A121-$A$7:$A116)))*$F$1010</f>
        <v>364645.68236296636</v>
      </c>
      <c r="E121" s="67">
        <f t="shared" si="11"/>
        <v>0.69516480248195578</v>
      </c>
      <c r="F121" s="70">
        <f t="shared" si="15"/>
        <v>4.2210406806704355E-2</v>
      </c>
      <c r="G121" s="67">
        <f>E121/'Lookup Tables'!$C$48</f>
        <v>1.3903296049639116</v>
      </c>
      <c r="H121" s="70">
        <f t="shared" si="12"/>
        <v>5.8728461542623386E-2</v>
      </c>
      <c r="I121" s="71">
        <f t="shared" si="16"/>
        <v>2.0020746311480327E-3</v>
      </c>
      <c r="L121" s="74"/>
      <c r="M121" s="74"/>
      <c r="N121" s="74"/>
      <c r="O121" s="74"/>
      <c r="P121" s="74"/>
      <c r="Q121" s="74"/>
      <c r="R121" s="74"/>
      <c r="S121" s="74"/>
      <c r="T121" s="74"/>
      <c r="U121" s="74"/>
      <c r="V121" s="74"/>
      <c r="W121" s="74"/>
      <c r="X121" s="74"/>
      <c r="Y121" s="74"/>
      <c r="Z121" s="74"/>
    </row>
    <row r="122" spans="1:26" x14ac:dyDescent="0.3">
      <c r="A122" s="66">
        <f t="shared" si="14"/>
        <v>2001.4999999999895</v>
      </c>
      <c r="B122" s="67">
        <f>LOOKUP(A122+0.01,AmountsB!$A$4:$A$103,AmountsB!$B$4:$B$103)*0.1*$A$2</f>
        <v>420.26289800000001</v>
      </c>
      <c r="C122" s="68">
        <f t="shared" si="13"/>
        <v>6641.754328</v>
      </c>
      <c r="D122" s="67">
        <f t="array" ref="D122">SUM($B$7:$B117*$F$1009*EXP(-$F$1009*($A122-$A$7:$A117)))*$F$1010</f>
        <v>401564.58552047482</v>
      </c>
      <c r="E122" s="67">
        <f t="shared" si="11"/>
        <v>0.76554743214872711</v>
      </c>
      <c r="F122" s="70">
        <f t="shared" si="15"/>
        <v>4.6484040080070704E-2</v>
      </c>
      <c r="G122" s="67">
        <f>E122/'Lookup Tables'!$C$48</f>
        <v>1.5310948642974542</v>
      </c>
      <c r="H122" s="70">
        <f t="shared" si="12"/>
        <v>6.0582145991319024E-2</v>
      </c>
      <c r="I122" s="71">
        <f t="shared" si="16"/>
        <v>2.2047766045883341E-3</v>
      </c>
      <c r="L122" s="74"/>
      <c r="M122" s="74"/>
      <c r="N122" s="74"/>
      <c r="O122" s="74"/>
      <c r="P122" s="74"/>
      <c r="Q122" s="74"/>
      <c r="R122" s="74"/>
      <c r="S122" s="74"/>
      <c r="T122" s="74"/>
      <c r="U122" s="74"/>
      <c r="V122" s="74"/>
      <c r="W122" s="74"/>
      <c r="X122" s="74"/>
      <c r="Y122" s="74"/>
      <c r="Z122" s="74"/>
    </row>
    <row r="123" spans="1:26" x14ac:dyDescent="0.3">
      <c r="A123" s="66">
        <f t="shared" si="14"/>
        <v>2001.5999999999894</v>
      </c>
      <c r="B123" s="67">
        <f>LOOKUP(A123+0.01,AmountsB!$A$4:$A$103,AmountsB!$B$4:$B$103)*0.1*$A$2</f>
        <v>420.26289800000001</v>
      </c>
      <c r="C123" s="68">
        <f t="shared" si="13"/>
        <v>7062.0172259999999</v>
      </c>
      <c r="D123" s="67">
        <f t="array" ref="D123">SUM($B$7:$B118*$F$1009*EXP(-$F$1009*($A123-$A$7:$A118)))*$F$1010</f>
        <v>438431.8383772095</v>
      </c>
      <c r="E123" s="67">
        <f t="shared" si="11"/>
        <v>0.83583159507676508</v>
      </c>
      <c r="F123" s="70">
        <f t="shared" si="15"/>
        <v>5.0751694453061172E-2</v>
      </c>
      <c r="G123" s="67">
        <f>E123/'Lookup Tables'!$C$48</f>
        <v>1.6716631901535302</v>
      </c>
      <c r="H123" s="70">
        <f t="shared" si="12"/>
        <v>6.2207875216580173E-2</v>
      </c>
      <c r="I123" s="71">
        <f t="shared" si="16"/>
        <v>2.4071949938210832E-3</v>
      </c>
      <c r="L123" s="74"/>
      <c r="M123" s="74"/>
      <c r="N123" s="74"/>
      <c r="O123" s="74"/>
      <c r="P123" s="74"/>
      <c r="Q123" s="74"/>
      <c r="R123" s="74"/>
      <c r="S123" s="74"/>
      <c r="T123" s="74"/>
      <c r="U123" s="74"/>
      <c r="V123" s="74"/>
      <c r="W123" s="74"/>
      <c r="X123" s="74"/>
      <c r="Y123" s="74"/>
      <c r="Z123" s="74"/>
    </row>
    <row r="124" spans="1:26" x14ac:dyDescent="0.3">
      <c r="A124" s="66">
        <f t="shared" si="14"/>
        <v>2001.6999999999894</v>
      </c>
      <c r="B124" s="67">
        <f>LOOKUP(A124+0.01,AmountsB!$A$4:$A$103,AmountsB!$B$4:$B$103)*0.1*$A$2</f>
        <v>420.26289800000001</v>
      </c>
      <c r="C124" s="68">
        <f t="shared" si="13"/>
        <v>7482.2801239999999</v>
      </c>
      <c r="D124" s="67">
        <f t="array" ref="D124">SUM($B$7:$B119*$F$1009*EXP(-$F$1009*($A124-$A$7:$A119)))*$F$1010</f>
        <v>475247.5131929979</v>
      </c>
      <c r="E124" s="67">
        <f t="shared" si="11"/>
        <v>0.90601742902305149</v>
      </c>
      <c r="F124" s="70">
        <f t="shared" si="15"/>
        <v>5.5013378290279684E-2</v>
      </c>
      <c r="G124" s="67">
        <f>E124/'Lookup Tables'!$C$48</f>
        <v>1.812034858046103</v>
      </c>
      <c r="H124" s="70">
        <f t="shared" si="12"/>
        <v>6.3644070096635141E-2</v>
      </c>
      <c r="I124" s="71">
        <f t="shared" si="16"/>
        <v>2.6093301955863882E-3</v>
      </c>
      <c r="L124" s="74"/>
      <c r="M124" s="74"/>
      <c r="N124" s="74"/>
      <c r="O124" s="74"/>
      <c r="P124" s="74"/>
      <c r="Q124" s="74"/>
      <c r="R124" s="74"/>
      <c r="S124" s="74"/>
      <c r="T124" s="74"/>
      <c r="U124" s="74"/>
      <c r="V124" s="74"/>
      <c r="W124" s="74"/>
      <c r="X124" s="74"/>
      <c r="Y124" s="74"/>
      <c r="Z124" s="74"/>
    </row>
    <row r="125" spans="1:26" x14ac:dyDescent="0.3">
      <c r="A125" s="66">
        <f t="shared" si="14"/>
        <v>2001.7999999999893</v>
      </c>
      <c r="B125" s="67">
        <f>LOOKUP(A125+0.01,AmountsB!$A$4:$A$103,AmountsB!$B$4:$B$103)*0.1*$A$2</f>
        <v>420.26289800000001</v>
      </c>
      <c r="C125" s="68">
        <f t="shared" si="13"/>
        <v>7902.5430219999998</v>
      </c>
      <c r="D125" s="67">
        <f t="array" ref="D125">SUM($B$7:$B120*$F$1009*EXP(-$F$1009*($A125-$A$7:$A120)))*$F$1010</f>
        <v>512011.68212657451</v>
      </c>
      <c r="E125" s="67">
        <f t="shared" si="11"/>
        <v>0.97610507155184345</v>
      </c>
      <c r="F125" s="70">
        <f t="shared" si="15"/>
        <v>5.926909994462793E-2</v>
      </c>
      <c r="G125" s="67">
        <f>E125/'Lookup Tables'!$C$48</f>
        <v>1.9522101431036869</v>
      </c>
      <c r="H125" s="70">
        <f t="shared" si="12"/>
        <v>6.4920978497603546E-2</v>
      </c>
      <c r="I125" s="71">
        <f t="shared" si="16"/>
        <v>2.8111826060693091E-3</v>
      </c>
      <c r="L125" s="74"/>
      <c r="M125" s="74"/>
      <c r="N125" s="74"/>
      <c r="O125" s="74"/>
      <c r="P125" s="74"/>
      <c r="Q125" s="74"/>
      <c r="R125" s="74"/>
      <c r="S125" s="74"/>
      <c r="T125" s="74"/>
      <c r="U125" s="74"/>
      <c r="V125" s="74"/>
      <c r="W125" s="74"/>
      <c r="X125" s="74"/>
      <c r="Y125" s="74"/>
      <c r="Z125" s="74"/>
    </row>
    <row r="126" spans="1:26" x14ac:dyDescent="0.3">
      <c r="A126" s="66">
        <f t="shared" si="14"/>
        <v>2001.8999999999892</v>
      </c>
      <c r="B126" s="67">
        <f>LOOKUP(A126+0.01,AmountsB!$A$4:$A$103,AmountsB!$B$4:$B$103)*0.1*$A$2</f>
        <v>420.26289800000001</v>
      </c>
      <c r="C126" s="68">
        <f t="shared" si="13"/>
        <v>8322.8059200000007</v>
      </c>
      <c r="D126" s="67">
        <f t="array" ref="D126">SUM($B$7:$B121*$F$1009*EXP(-$F$1009*($A126-$A$7:$A121)))*$F$1010</f>
        <v>548724.41723572207</v>
      </c>
      <c r="E126" s="67">
        <f t="shared" si="11"/>
        <v>1.0460946600349428</v>
      </c>
      <c r="F126" s="70">
        <f t="shared" si="15"/>
        <v>6.3518867757321726E-2</v>
      </c>
      <c r="G126" s="67">
        <f>E126/'Lookup Tables'!$C$48</f>
        <v>2.0921893200698856</v>
      </c>
      <c r="H126" s="70">
        <f t="shared" si="12"/>
        <v>6.6062738768557741E-2</v>
      </c>
      <c r="I126" s="71">
        <f t="shared" si="16"/>
        <v>3.0127526209006356E-3</v>
      </c>
      <c r="L126" s="74"/>
      <c r="M126" s="74"/>
      <c r="N126" s="74"/>
      <c r="O126" s="74"/>
      <c r="P126" s="74"/>
      <c r="Q126" s="74"/>
      <c r="R126" s="74"/>
      <c r="S126" s="74"/>
      <c r="T126" s="74"/>
      <c r="U126" s="74"/>
      <c r="V126" s="74"/>
      <c r="W126" s="74"/>
      <c r="X126" s="74"/>
      <c r="Y126" s="74"/>
      <c r="Z126" s="74"/>
    </row>
    <row r="127" spans="1:26" x14ac:dyDescent="0.3">
      <c r="A127" s="66">
        <f t="shared" si="14"/>
        <v>2001.9999999999891</v>
      </c>
      <c r="B127" s="67">
        <f>LOOKUP(A127+0.01,AmountsB!$A$4:$A$103,AmountsB!$B$4:$B$103)*0.1*$A$2</f>
        <v>428.66573090000003</v>
      </c>
      <c r="C127" s="68">
        <f t="shared" si="13"/>
        <v>8751.4716509000009</v>
      </c>
      <c r="D127" s="67">
        <f t="array" ref="D127">SUM($B$7:$B122*$F$1009*EXP(-$F$1009*($A127-$A$7:$A122)))*$F$1010</f>
        <v>585385.79047741299</v>
      </c>
      <c r="E127" s="67">
        <f t="shared" si="11"/>
        <v>1.1159863316519647</v>
      </c>
      <c r="F127" s="70">
        <f t="shared" si="15"/>
        <v>6.776269005790729E-2</v>
      </c>
      <c r="G127" s="67">
        <f>E127/'Lookup Tables'!$C$48</f>
        <v>2.2319726633039294</v>
      </c>
      <c r="H127" s="70">
        <f t="shared" si="12"/>
        <v>6.7024431925795089E-2</v>
      </c>
      <c r="I127" s="71">
        <f t="shared" si="16"/>
        <v>3.2140406351576583E-3</v>
      </c>
      <c r="L127" s="74"/>
      <c r="M127" s="74"/>
      <c r="N127" s="74"/>
      <c r="O127" s="74"/>
      <c r="P127" s="74"/>
      <c r="Q127" s="74"/>
      <c r="R127" s="74"/>
      <c r="S127" s="74"/>
      <c r="T127" s="74"/>
      <c r="U127" s="74"/>
      <c r="V127" s="74"/>
      <c r="W127" s="74"/>
      <c r="X127" s="74"/>
      <c r="Y127" s="74"/>
      <c r="Z127" s="74"/>
    </row>
    <row r="128" spans="1:26" x14ac:dyDescent="0.3">
      <c r="A128" s="66">
        <f t="shared" si="14"/>
        <v>2002.099999999989</v>
      </c>
      <c r="B128" s="67">
        <f>LOOKUP(A128+0.01,AmountsB!$A$4:$A$103,AmountsB!$B$4:$B$103)*0.1*$A$2</f>
        <v>428.66573090000003</v>
      </c>
      <c r="C128" s="68">
        <f t="shared" si="13"/>
        <v>9180.1373818000011</v>
      </c>
      <c r="D128" s="67">
        <f t="array" ref="D128">SUM($B$7:$B123*$F$1009*EXP(-$F$1009*($A128-$A$7:$A123)))*$F$1010</f>
        <v>621995.87370795105</v>
      </c>
      <c r="E128" s="67">
        <f t="shared" si="11"/>
        <v>1.185780223390609</v>
      </c>
      <c r="F128" s="70">
        <f t="shared" si="15"/>
        <v>7.2000575164277769E-2</v>
      </c>
      <c r="G128" s="67">
        <f>E128/'Lookup Tables'!$C$48</f>
        <v>2.3715604467812179</v>
      </c>
      <c r="H128" s="70">
        <f t="shared" si="12"/>
        <v>6.7890714429798729E-2</v>
      </c>
      <c r="I128" s="71">
        <f t="shared" si="16"/>
        <v>3.415047043364954E-3</v>
      </c>
      <c r="L128" s="74"/>
      <c r="M128" s="74"/>
      <c r="N128" s="74"/>
      <c r="O128" s="74"/>
      <c r="P128" s="74"/>
      <c r="Q128" s="74"/>
      <c r="R128" s="74"/>
      <c r="S128" s="74"/>
      <c r="T128" s="74"/>
      <c r="U128" s="74"/>
      <c r="V128" s="74"/>
      <c r="W128" s="74"/>
      <c r="X128" s="74"/>
      <c r="Y128" s="74"/>
      <c r="Z128" s="74"/>
    </row>
    <row r="129" spans="1:26" x14ac:dyDescent="0.3">
      <c r="A129" s="66">
        <f t="shared" si="14"/>
        <v>2002.1999999999889</v>
      </c>
      <c r="B129" s="67">
        <f>LOOKUP(A129+0.01,AmountsB!$A$4:$A$103,AmountsB!$B$4:$B$103)*0.1*$A$2</f>
        <v>428.66573090000003</v>
      </c>
      <c r="C129" s="68">
        <f t="shared" si="13"/>
        <v>9608.8031127000013</v>
      </c>
      <c r="D129" s="67">
        <f t="array" ref="D129">SUM($B$7:$B124*$F$1009*EXP(-$F$1009*($A129-$A$7:$A124)))*$F$1010</f>
        <v>658554.73868311069</v>
      </c>
      <c r="E129" s="67">
        <f t="shared" si="11"/>
        <v>1.2554764720469249</v>
      </c>
      <c r="F129" s="70">
        <f t="shared" si="15"/>
        <v>7.6232531382689275E-2</v>
      </c>
      <c r="G129" s="67">
        <f>E129/'Lookup Tables'!$C$48</f>
        <v>2.5109529440938498</v>
      </c>
      <c r="H129" s="70">
        <f t="shared" si="12"/>
        <v>6.8674363078133974E-2</v>
      </c>
      <c r="I129" s="71">
        <f t="shared" si="16"/>
        <v>3.6157722394951435E-3</v>
      </c>
      <c r="L129" s="74"/>
      <c r="M129" s="74"/>
      <c r="N129" s="74"/>
      <c r="O129" s="74"/>
      <c r="P129" s="74"/>
      <c r="Q129" s="74"/>
      <c r="R129" s="74"/>
      <c r="S129" s="74"/>
      <c r="T129" s="74"/>
      <c r="U129" s="74"/>
      <c r="V129" s="74"/>
      <c r="W129" s="74"/>
      <c r="X129" s="74"/>
      <c r="Y129" s="74"/>
      <c r="Z129" s="74"/>
    </row>
    <row r="130" spans="1:26" x14ac:dyDescent="0.3">
      <c r="A130" s="66">
        <f t="shared" si="14"/>
        <v>2002.2999999999888</v>
      </c>
      <c r="B130" s="67">
        <f>LOOKUP(A130+0.01,AmountsB!$A$4:$A$103,AmountsB!$B$4:$B$103)*0.1*$A$2</f>
        <v>428.66573090000003</v>
      </c>
      <c r="C130" s="68">
        <f t="shared" si="13"/>
        <v>10037.468843600001</v>
      </c>
      <c r="D130" s="67">
        <f t="array" ref="D130">SUM($B$7:$B125*$F$1009*EXP(-$F$1009*($A130-$A$7:$A125)))*$F$1010</f>
        <v>695062.45705827908</v>
      </c>
      <c r="E130" s="67">
        <f t="shared" si="11"/>
        <v>1.3250752142255828</v>
      </c>
      <c r="F130" s="70">
        <f t="shared" si="15"/>
        <v>8.0458567007777398E-2</v>
      </c>
      <c r="G130" s="67">
        <f>E130/'Lookup Tables'!$C$48</f>
        <v>2.6501504284511657</v>
      </c>
      <c r="H130" s="70">
        <f t="shared" si="12"/>
        <v>6.9385972046233202E-2</v>
      </c>
      <c r="I130" s="71">
        <f t="shared" si="16"/>
        <v>3.8162166169696788E-3</v>
      </c>
      <c r="L130" s="74"/>
      <c r="M130" s="74"/>
      <c r="N130" s="74"/>
      <c r="O130" s="74"/>
      <c r="P130" s="74"/>
      <c r="Q130" s="74"/>
      <c r="R130" s="74"/>
      <c r="S130" s="74"/>
      <c r="T130" s="74"/>
      <c r="U130" s="74"/>
      <c r="V130" s="74"/>
      <c r="W130" s="74"/>
      <c r="X130" s="74"/>
      <c r="Y130" s="74"/>
      <c r="Z130" s="74"/>
    </row>
    <row r="131" spans="1:26" x14ac:dyDescent="0.3">
      <c r="A131" s="66">
        <f t="shared" si="14"/>
        <v>2002.3999999999887</v>
      </c>
      <c r="B131" s="67">
        <f>LOOKUP(A131+0.01,AmountsB!$A$4:$A$103,AmountsB!$B$4:$B$103)*0.1*$A$2</f>
        <v>428.66573090000003</v>
      </c>
      <c r="C131" s="68">
        <f t="shared" si="13"/>
        <v>10466.134574500002</v>
      </c>
      <c r="D131" s="67">
        <f t="array" ref="D131">SUM($B$7:$B126*$F$1009*EXP(-$F$1009*($A131-$A$7:$A126)))*$F$1010</f>
        <v>731519.10038859595</v>
      </c>
      <c r="E131" s="67">
        <f t="shared" si="11"/>
        <v>1.3945765863401391</v>
      </c>
      <c r="F131" s="70">
        <f t="shared" si="15"/>
        <v>8.4678690322573247E-2</v>
      </c>
      <c r="G131" s="67">
        <f>E131/'Lookup Tables'!$C$48</f>
        <v>2.7891531726802783</v>
      </c>
      <c r="H131" s="70">
        <f t="shared" si="12"/>
        <v>7.0034399860121638E-2</v>
      </c>
      <c r="I131" s="71">
        <f t="shared" si="16"/>
        <v>4.0163805686596003E-3</v>
      </c>
      <c r="L131" s="74"/>
      <c r="M131" s="74"/>
      <c r="N131" s="74"/>
      <c r="O131" s="74"/>
      <c r="P131" s="74"/>
      <c r="Q131" s="74"/>
      <c r="R131" s="74"/>
      <c r="S131" s="74"/>
      <c r="T131" s="74"/>
      <c r="U131" s="74"/>
      <c r="V131" s="74"/>
      <c r="W131" s="74"/>
      <c r="X131" s="74"/>
      <c r="Y131" s="74"/>
      <c r="Z131" s="74"/>
    </row>
    <row r="132" spans="1:26" x14ac:dyDescent="0.3">
      <c r="A132" s="66">
        <f t="shared" si="14"/>
        <v>2002.4999999999886</v>
      </c>
      <c r="B132" s="67">
        <f>LOOKUP(A132+0.01,AmountsB!$A$4:$A$103,AmountsB!$B$4:$B$103)*0.1*$A$2</f>
        <v>428.66573090000003</v>
      </c>
      <c r="C132" s="68">
        <f t="shared" si="13"/>
        <v>10894.800305400002</v>
      </c>
      <c r="D132" s="67">
        <f t="array" ref="D132">SUM($B$7:$B127*$F$1009*EXP(-$F$1009*($A132-$A$7:$A127)))*$F$1010</f>
        <v>768673.10514926829</v>
      </c>
      <c r="E132" s="67">
        <f t="shared" si="11"/>
        <v>1.4654074164585587</v>
      </c>
      <c r="F132" s="70">
        <f t="shared" si="15"/>
        <v>8.8979538327363689E-2</v>
      </c>
      <c r="G132" s="67">
        <f>E132/'Lookup Tables'!$C$48</f>
        <v>2.9308148329171173</v>
      </c>
      <c r="H132" s="70">
        <f t="shared" si="12"/>
        <v>7.0695939025964535E-2</v>
      </c>
      <c r="I132" s="71">
        <f t="shared" si="16"/>
        <v>4.2203733594006494E-3</v>
      </c>
      <c r="L132" s="74"/>
      <c r="M132" s="74"/>
      <c r="N132" s="74"/>
      <c r="O132" s="74"/>
      <c r="P132" s="74"/>
      <c r="Q132" s="74"/>
      <c r="R132" s="74"/>
      <c r="S132" s="74"/>
      <c r="T132" s="74"/>
      <c r="U132" s="74"/>
      <c r="V132" s="74"/>
      <c r="W132" s="74"/>
      <c r="X132" s="74"/>
      <c r="Y132" s="74"/>
      <c r="Z132" s="74"/>
    </row>
    <row r="133" spans="1:26" x14ac:dyDescent="0.3">
      <c r="A133" s="66">
        <f t="shared" si="14"/>
        <v>2002.5999999999885</v>
      </c>
      <c r="B133" s="67">
        <f>LOOKUP(A133+0.01,AmountsB!$A$4:$A$103,AmountsB!$B$4:$B$103)*0.1*$A$2</f>
        <v>428.66573090000003</v>
      </c>
      <c r="C133" s="68">
        <f t="shared" si="13"/>
        <v>11323.466036300002</v>
      </c>
      <c r="D133" s="67">
        <f t="array" ref="D133">SUM($B$7:$B128*$F$1009*EXP(-$F$1009*($A133-$A$7:$A128)))*$F$1010</f>
        <v>805775.13069721439</v>
      </c>
      <c r="E133" s="67">
        <f t="shared" si="11"/>
        <v>1.5361391527966435</v>
      </c>
      <c r="F133" s="70">
        <f t="shared" si="15"/>
        <v>9.3274369357812192E-2</v>
      </c>
      <c r="G133" s="67">
        <f>E133/'Lookup Tables'!$C$48</f>
        <v>3.072278305593287</v>
      </c>
      <c r="H133" s="70">
        <f t="shared" si="12"/>
        <v>7.1302791576503544E-2</v>
      </c>
      <c r="I133" s="71">
        <f t="shared" si="16"/>
        <v>4.4240807600543332E-3</v>
      </c>
      <c r="L133" s="74"/>
      <c r="M133" s="74"/>
      <c r="N133" s="74"/>
      <c r="O133" s="74"/>
      <c r="P133" s="74"/>
      <c r="Q133" s="74"/>
      <c r="R133" s="74"/>
      <c r="S133" s="74"/>
      <c r="T133" s="74"/>
      <c r="U133" s="74"/>
      <c r="V133" s="74"/>
      <c r="W133" s="74"/>
      <c r="X133" s="74"/>
      <c r="Y133" s="74"/>
      <c r="Z133" s="74"/>
    </row>
    <row r="134" spans="1:26" x14ac:dyDescent="0.3">
      <c r="A134" s="66">
        <f t="shared" si="14"/>
        <v>2002.6999999999884</v>
      </c>
      <c r="B134" s="67">
        <f>LOOKUP(A134+0.01,AmountsB!$A$4:$A$103,AmountsB!$B$4:$B$103)*0.1*$A$2</f>
        <v>428.66573090000003</v>
      </c>
      <c r="C134" s="68">
        <f t="shared" si="13"/>
        <v>11752.131767200002</v>
      </c>
      <c r="D134" s="67">
        <f t="array" ref="D134">SUM($B$7:$B129*$F$1009*EXP(-$F$1009*($A134-$A$7:$A129)))*$F$1010</f>
        <v>842825.24975241639</v>
      </c>
      <c r="E134" s="67">
        <f t="shared" si="11"/>
        <v>1.6067719339886202</v>
      </c>
      <c r="F134" s="70">
        <f t="shared" si="15"/>
        <v>9.7563191831789006E-2</v>
      </c>
      <c r="G134" s="67">
        <f>E134/'Lookup Tables'!$C$48</f>
        <v>3.2135438679772403</v>
      </c>
      <c r="H134" s="70">
        <f t="shared" si="12"/>
        <v>7.1860947888744559E-2</v>
      </c>
      <c r="I134" s="71">
        <f t="shared" si="16"/>
        <v>4.6275031698872265E-3</v>
      </c>
      <c r="L134" s="74"/>
      <c r="M134" s="74"/>
      <c r="N134" s="74"/>
      <c r="O134" s="74"/>
      <c r="P134" s="74"/>
      <c r="Q134" s="74"/>
      <c r="R134" s="74"/>
      <c r="S134" s="74"/>
      <c r="T134" s="74"/>
      <c r="U134" s="74"/>
      <c r="V134" s="74"/>
      <c r="W134" s="74"/>
      <c r="X134" s="74"/>
      <c r="Y134" s="74"/>
      <c r="Z134" s="74"/>
    </row>
    <row r="135" spans="1:26" x14ac:dyDescent="0.3">
      <c r="A135" s="66">
        <f t="shared" si="14"/>
        <v>2002.7999999999884</v>
      </c>
      <c r="B135" s="67">
        <f>LOOKUP(A135+0.01,AmountsB!$A$4:$A$103,AmountsB!$B$4:$B$103)*0.1*$A$2</f>
        <v>428.66573090000003</v>
      </c>
      <c r="C135" s="68">
        <f t="shared" si="13"/>
        <v>12180.797498100002</v>
      </c>
      <c r="D135" s="67">
        <f t="array" ref="D135">SUM($B$7:$B130*$F$1009*EXP(-$F$1009*($A135-$A$7:$A130)))*$F$1010</f>
        <v>879823.53493311966</v>
      </c>
      <c r="E135" s="67">
        <f t="shared" ref="E135:E198" si="17">D135/(365*24*60)*1.00201</f>
        <v>1.6773058984747629</v>
      </c>
      <c r="F135" s="70">
        <f t="shared" si="15"/>
        <v>0.1018460141553876</v>
      </c>
      <c r="G135" s="67">
        <f>E135/'Lookup Tables'!$C$48</f>
        <v>3.3546117969495257</v>
      </c>
      <c r="H135" s="70">
        <f t="shared" ref="H135:H198" si="18">G135*60*24*365/(C135*2000)</f>
        <v>7.2375555079693968E-2</v>
      </c>
      <c r="I135" s="71">
        <f t="shared" si="16"/>
        <v>4.8306409876073169E-3</v>
      </c>
      <c r="L135" s="74"/>
      <c r="M135" s="74"/>
      <c r="N135" s="74"/>
      <c r="O135" s="74"/>
      <c r="P135" s="74"/>
      <c r="Q135" s="74"/>
      <c r="R135" s="74"/>
      <c r="S135" s="74"/>
      <c r="T135" s="74"/>
      <c r="U135" s="74"/>
      <c r="V135" s="74"/>
      <c r="W135" s="74"/>
      <c r="X135" s="74"/>
      <c r="Y135" s="74"/>
      <c r="Z135" s="74"/>
    </row>
    <row r="136" spans="1:26" x14ac:dyDescent="0.3">
      <c r="A136" s="66">
        <f t="shared" si="14"/>
        <v>2002.8999999999883</v>
      </c>
      <c r="B136" s="67">
        <f>LOOKUP(A136+0.01,AmountsB!$A$4:$A$103,AmountsB!$B$4:$B$103)*0.1*$A$2</f>
        <v>428.66573090000003</v>
      </c>
      <c r="C136" s="68">
        <f t="shared" si="13"/>
        <v>12609.463229000003</v>
      </c>
      <c r="D136" s="67">
        <f t="array" ref="D136">SUM($B$7:$B131*$F$1009*EXP(-$F$1009*($A136-$A$7:$A131)))*$F$1010</f>
        <v>916770.05875597475</v>
      </c>
      <c r="E136" s="67">
        <f t="shared" si="17"/>
        <v>1.7477411845016635</v>
      </c>
      <c r="F136" s="70">
        <f t="shared" si="15"/>
        <v>0.10612284472294101</v>
      </c>
      <c r="G136" s="67">
        <f>E136/'Lookup Tables'!$C$48</f>
        <v>3.495482369003327</v>
      </c>
      <c r="H136" s="70">
        <f t="shared" si="18"/>
        <v>7.2851060341838622E-2</v>
      </c>
      <c r="I136" s="71">
        <f t="shared" si="16"/>
        <v>5.0334946113647907E-3</v>
      </c>
      <c r="L136" s="74"/>
      <c r="M136" s="74"/>
      <c r="N136" s="74"/>
      <c r="O136" s="74"/>
      <c r="P136" s="74"/>
      <c r="Q136" s="74"/>
      <c r="R136" s="74"/>
      <c r="S136" s="74"/>
      <c r="T136" s="74"/>
      <c r="U136" s="74"/>
      <c r="V136" s="74"/>
      <c r="W136" s="74"/>
      <c r="X136" s="74"/>
      <c r="Y136" s="74"/>
      <c r="Z136" s="74"/>
    </row>
    <row r="137" spans="1:26" x14ac:dyDescent="0.3">
      <c r="A137" s="66">
        <f t="shared" si="14"/>
        <v>2002.9999999999882</v>
      </c>
      <c r="B137" s="67">
        <f>LOOKUP(A137+0.01,AmountsB!$A$4:$A$103,AmountsB!$B$4:$B$103)*0.1*$A$2</f>
        <v>437.23831799999999</v>
      </c>
      <c r="C137" s="68">
        <f t="shared" ref="C137:C200" si="19">C136+B137</f>
        <v>13046.701547000002</v>
      </c>
      <c r="D137" s="67">
        <f t="array" ref="D137">SUM($B$7:$B132*$F$1009*EXP(-$F$1009*($A137-$A$7:$A132)))*$F$1010</f>
        <v>953664.89363618032</v>
      </c>
      <c r="E137" s="67">
        <f t="shared" si="17"/>
        <v>1.8180779301225061</v>
      </c>
      <c r="F137" s="70">
        <f t="shared" si="15"/>
        <v>0.11039369191703857</v>
      </c>
      <c r="G137" s="67">
        <f>E137/'Lookup Tables'!$C$48</f>
        <v>3.6361558602450121</v>
      </c>
      <c r="H137" s="70">
        <f t="shared" si="18"/>
        <v>7.3243168522707444E-2</v>
      </c>
      <c r="I137" s="71">
        <f t="shared" si="16"/>
        <v>5.2360644387528174E-3</v>
      </c>
      <c r="L137" s="74"/>
      <c r="M137" s="74"/>
      <c r="N137" s="74"/>
      <c r="O137" s="74"/>
      <c r="P137" s="74"/>
      <c r="Q137" s="74"/>
      <c r="R137" s="74"/>
      <c r="S137" s="74"/>
      <c r="T137" s="74"/>
      <c r="U137" s="74"/>
      <c r="V137" s="74"/>
      <c r="W137" s="74"/>
      <c r="X137" s="74"/>
      <c r="Y137" s="74"/>
      <c r="Z137" s="74"/>
    </row>
    <row r="138" spans="1:26" x14ac:dyDescent="0.3">
      <c r="A138" s="66">
        <f t="shared" si="14"/>
        <v>2003.0999999999881</v>
      </c>
      <c r="B138" s="67">
        <f>LOOKUP(A138+0.01,AmountsB!$A$4:$A$103,AmountsB!$B$4:$B$103)*0.1*$A$2</f>
        <v>437.23831799999999</v>
      </c>
      <c r="C138" s="68">
        <f t="shared" si="19"/>
        <v>13483.939865000002</v>
      </c>
      <c r="D138" s="67">
        <f t="array" ref="D138">SUM($B$7:$B133*$F$1009*EXP(-$F$1009*($A138-$A$7:$A133)))*$F$1010</f>
        <v>990508.11188762437</v>
      </c>
      <c r="E138" s="67">
        <f t="shared" si="17"/>
        <v>1.8883162731973338</v>
      </c>
      <c r="F138" s="70">
        <f t="shared" si="15"/>
        <v>0.11465856410854211</v>
      </c>
      <c r="G138" s="67">
        <f>E138/'Lookup Tables'!$C$48</f>
        <v>3.7766325463946675</v>
      </c>
      <c r="H138" s="70">
        <f t="shared" si="18"/>
        <v>7.3606011531446303E-2</v>
      </c>
      <c r="I138" s="71">
        <f t="shared" si="16"/>
        <v>5.4383508668083211E-3</v>
      </c>
      <c r="L138" s="74"/>
      <c r="M138" s="74"/>
      <c r="N138" s="74"/>
      <c r="O138" s="74"/>
      <c r="P138" s="74"/>
      <c r="Q138" s="74"/>
      <c r="R138" s="74"/>
      <c r="S138" s="74"/>
      <c r="T138" s="74"/>
      <c r="U138" s="74"/>
      <c r="V138" s="74"/>
      <c r="W138" s="74"/>
      <c r="X138" s="74"/>
      <c r="Y138" s="74"/>
      <c r="Z138" s="74"/>
    </row>
    <row r="139" spans="1:26" x14ac:dyDescent="0.3">
      <c r="A139" s="66">
        <f t="shared" si="14"/>
        <v>2003.199999999988</v>
      </c>
      <c r="B139" s="67">
        <f>LOOKUP(A139+0.01,AmountsB!$A$4:$A$103,AmountsB!$B$4:$B$103)*0.1*$A$2</f>
        <v>437.23831799999999</v>
      </c>
      <c r="C139" s="68">
        <f t="shared" si="19"/>
        <v>13921.178183000002</v>
      </c>
      <c r="D139" s="67">
        <f t="array" ref="D139">SUM($B$7:$B134*$F$1009*EXP(-$F$1009*($A139-$A$7:$A134)))*$F$1010</f>
        <v>1027299.785723027</v>
      </c>
      <c r="E139" s="67">
        <f t="shared" si="17"/>
        <v>1.9584563513933224</v>
      </c>
      <c r="F139" s="70">
        <f t="shared" si="15"/>
        <v>0.11891746965660253</v>
      </c>
      <c r="G139" s="67">
        <f>E139/'Lookup Tables'!$C$48</f>
        <v>3.9169127027866448</v>
      </c>
      <c r="H139" s="70">
        <f t="shared" si="18"/>
        <v>7.3942352059637451E-2</v>
      </c>
      <c r="I139" s="71">
        <f t="shared" si="16"/>
        <v>5.6403542920127683E-3</v>
      </c>
      <c r="L139" s="74"/>
      <c r="M139" s="74"/>
      <c r="N139" s="74"/>
      <c r="O139" s="74"/>
      <c r="P139" s="74"/>
      <c r="Q139" s="74"/>
      <c r="R139" s="74"/>
      <c r="S139" s="74"/>
      <c r="T139" s="74"/>
      <c r="U139" s="74"/>
      <c r="V139" s="74"/>
      <c r="W139" s="74"/>
      <c r="X139" s="74"/>
      <c r="Y139" s="74"/>
      <c r="Z139" s="74"/>
    </row>
    <row r="140" spans="1:26" x14ac:dyDescent="0.3">
      <c r="A140" s="66">
        <f t="shared" si="14"/>
        <v>2003.2999999999879</v>
      </c>
      <c r="B140" s="67">
        <f>LOOKUP(A140+0.01,AmountsB!$A$4:$A$103,AmountsB!$B$4:$B$103)*0.1*$A$2</f>
        <v>437.23831799999999</v>
      </c>
      <c r="C140" s="68">
        <f t="shared" si="19"/>
        <v>14358.416501000002</v>
      </c>
      <c r="D140" s="67">
        <f t="array" ref="D140">SUM($B$7:$B135*$F$1009*EXP(-$F$1009*($A140-$A$7:$A135)))*$F$1010</f>
        <v>1064039.9872540799</v>
      </c>
      <c r="E140" s="67">
        <f t="shared" si="17"/>
        <v>2.0284983021850467</v>
      </c>
      <c r="F140" s="70">
        <f t="shared" si="15"/>
        <v>0.12317041690867604</v>
      </c>
      <c r="G140" s="67">
        <f>E140/'Lookup Tables'!$C$48</f>
        <v>4.0569966043700934</v>
      </c>
      <c r="H140" s="70">
        <f t="shared" si="18"/>
        <v>7.4254616277094745E-2</v>
      </c>
      <c r="I140" s="71">
        <f t="shared" si="16"/>
        <v>5.842075110292934E-3</v>
      </c>
      <c r="L140" s="74"/>
      <c r="M140" s="74"/>
      <c r="N140" s="74"/>
      <c r="O140" s="74"/>
      <c r="P140" s="74"/>
      <c r="Q140" s="74"/>
      <c r="R140" s="74"/>
      <c r="S140" s="74"/>
      <c r="T140" s="74"/>
      <c r="U140" s="74"/>
      <c r="V140" s="74"/>
      <c r="W140" s="74"/>
      <c r="X140" s="74"/>
      <c r="Y140" s="74"/>
      <c r="Z140" s="74"/>
    </row>
    <row r="141" spans="1:26" x14ac:dyDescent="0.3">
      <c r="A141" s="66">
        <f t="shared" si="14"/>
        <v>2003.3999999999878</v>
      </c>
      <c r="B141" s="67">
        <f>LOOKUP(A141+0.01,AmountsB!$A$4:$A$103,AmountsB!$B$4:$B$103)*0.1*$A$2</f>
        <v>437.23831799999999</v>
      </c>
      <c r="C141" s="68">
        <f t="shared" si="19"/>
        <v>14795.654819000001</v>
      </c>
      <c r="D141" s="67">
        <f t="array" ref="D141">SUM($B$7:$B136*$F$1009*EXP(-$F$1009*($A141-$A$7:$A136)))*$F$1010</f>
        <v>1100728.7884915899</v>
      </c>
      <c r="E141" s="67">
        <f t="shared" si="17"/>
        <v>2.098442262854753</v>
      </c>
      <c r="F141" s="70">
        <f t="shared" si="15"/>
        <v>0.12741741420054059</v>
      </c>
      <c r="G141" s="67">
        <f>E141/'Lookup Tables'!$C$48</f>
        <v>4.196884525709506</v>
      </c>
      <c r="H141" s="70">
        <f t="shared" si="18"/>
        <v>7.4544943556002941E-2</v>
      </c>
      <c r="I141" s="71">
        <f t="shared" si="16"/>
        <v>6.0435137170216889E-3</v>
      </c>
      <c r="L141" s="74"/>
      <c r="M141" s="74"/>
      <c r="N141" s="74"/>
      <c r="O141" s="74"/>
      <c r="P141" s="74"/>
      <c r="Q141" s="74"/>
      <c r="R141" s="74"/>
      <c r="S141" s="74"/>
      <c r="T141" s="74"/>
      <c r="U141" s="74"/>
      <c r="V141" s="74"/>
      <c r="W141" s="74"/>
      <c r="X141" s="74"/>
      <c r="Y141" s="74"/>
      <c r="Z141" s="74"/>
    </row>
    <row r="142" spans="1:26" x14ac:dyDescent="0.3">
      <c r="A142" s="66">
        <f t="shared" si="14"/>
        <v>2003.4999999999877</v>
      </c>
      <c r="B142" s="67">
        <f>LOOKUP(A142+0.01,AmountsB!$A$4:$A$103,AmountsB!$B$4:$B$103)*0.1*$A$2</f>
        <v>437.23831799999999</v>
      </c>
      <c r="C142" s="68">
        <f t="shared" si="19"/>
        <v>15232.893137000001</v>
      </c>
      <c r="D142" s="67">
        <f t="array" ref="D142">SUM($B$7:$B137*$F$1009*EXP(-$F$1009*($A142-$A$7:$A137)))*$F$1010</f>
        <v>1138129.7448510507</v>
      </c>
      <c r="E142" s="67">
        <f t="shared" si="17"/>
        <v>2.1697438843953605</v>
      </c>
      <c r="F142" s="70">
        <f t="shared" si="15"/>
        <v>0.13174684866048628</v>
      </c>
      <c r="G142" s="67">
        <f>E142/'Lookup Tables'!$C$48</f>
        <v>4.339487768790721</v>
      </c>
      <c r="H142" s="70">
        <f t="shared" si="18"/>
        <v>7.4865449089784514E-2</v>
      </c>
      <c r="I142" s="71">
        <f t="shared" si="16"/>
        <v>6.2488623870586377E-3</v>
      </c>
      <c r="L142" s="74"/>
      <c r="M142" s="74"/>
      <c r="N142" s="74"/>
      <c r="O142" s="74"/>
      <c r="P142" s="74"/>
      <c r="Q142" s="74"/>
      <c r="R142" s="74"/>
      <c r="S142" s="74"/>
      <c r="T142" s="74"/>
      <c r="U142" s="74"/>
      <c r="V142" s="74"/>
      <c r="W142" s="74"/>
      <c r="X142" s="74"/>
      <c r="Y142" s="74"/>
      <c r="Z142" s="74"/>
    </row>
    <row r="143" spans="1:26" x14ac:dyDescent="0.3">
      <c r="A143" s="66">
        <f t="shared" si="14"/>
        <v>2003.5999999999876</v>
      </c>
      <c r="B143" s="67">
        <f>LOOKUP(A143+0.01,AmountsB!$A$4:$A$103,AmountsB!$B$4:$B$103)*0.1*$A$2</f>
        <v>437.23831799999999</v>
      </c>
      <c r="C143" s="68">
        <f t="shared" si="19"/>
        <v>15670.131455000001</v>
      </c>
      <c r="D143" s="67">
        <f t="array" ref="D143">SUM($B$7:$B138*$F$1009*EXP(-$F$1009*($A143-$A$7:$A138)))*$F$1010</f>
        <v>1175478.3765074464</v>
      </c>
      <c r="E143" s="67">
        <f t="shared" si="17"/>
        <v>2.2409457535088024</v>
      </c>
      <c r="F143" s="70">
        <f t="shared" si="15"/>
        <v>0.13607022615305447</v>
      </c>
      <c r="G143" s="67">
        <f>E143/'Lookup Tables'!$C$48</f>
        <v>4.4818915070176049</v>
      </c>
      <c r="H143" s="70">
        <f t="shared" si="18"/>
        <v>7.5164722863151401E-2</v>
      </c>
      <c r="I143" s="71">
        <f t="shared" si="16"/>
        <v>6.4539237701053504E-3</v>
      </c>
      <c r="L143" s="74"/>
      <c r="M143" s="74"/>
      <c r="N143" s="74"/>
      <c r="O143" s="74"/>
      <c r="P143" s="74"/>
      <c r="Q143" s="74"/>
      <c r="R143" s="74"/>
      <c r="S143" s="74"/>
      <c r="T143" s="74"/>
      <c r="U143" s="74"/>
      <c r="V143" s="74"/>
      <c r="W143" s="74"/>
      <c r="X143" s="74"/>
      <c r="Y143" s="74"/>
      <c r="Z143" s="74"/>
    </row>
    <row r="144" spans="1:26" x14ac:dyDescent="0.3">
      <c r="A144" s="66">
        <f t="shared" si="14"/>
        <v>2003.6999999999875</v>
      </c>
      <c r="B144" s="67">
        <f>LOOKUP(A144+0.01,AmountsB!$A$4:$A$103,AmountsB!$B$4:$B$103)*0.1*$A$2</f>
        <v>437.23831799999999</v>
      </c>
      <c r="C144" s="68">
        <f t="shared" si="19"/>
        <v>16107.369773</v>
      </c>
      <c r="D144" s="67">
        <f t="array" ref="D144">SUM($B$7:$B139*$F$1009*EXP(-$F$1009*($A144-$A$7:$A139)))*$F$1010</f>
        <v>1212774.7566641073</v>
      </c>
      <c r="E144" s="67">
        <f t="shared" si="17"/>
        <v>2.3120480097507654</v>
      </c>
      <c r="F144" s="70">
        <f t="shared" si="15"/>
        <v>0.14038755515206647</v>
      </c>
      <c r="G144" s="67">
        <f>E144/'Lookup Tables'!$C$48</f>
        <v>4.6240960195015308</v>
      </c>
      <c r="H144" s="70">
        <f t="shared" si="18"/>
        <v>7.5444498453248618E-2</v>
      </c>
      <c r="I144" s="71">
        <f t="shared" si="16"/>
        <v>6.6586982680822042E-3</v>
      </c>
      <c r="L144" s="74"/>
      <c r="M144" s="74"/>
      <c r="N144" s="74"/>
      <c r="O144" s="74"/>
      <c r="P144" s="74"/>
      <c r="Q144" s="74"/>
      <c r="R144" s="74"/>
      <c r="S144" s="74"/>
      <c r="T144" s="74"/>
      <c r="U144" s="74"/>
      <c r="V144" s="74"/>
      <c r="W144" s="74"/>
      <c r="X144" s="74"/>
      <c r="Y144" s="74"/>
      <c r="Z144" s="74"/>
    </row>
    <row r="145" spans="1:26" x14ac:dyDescent="0.3">
      <c r="A145" s="66">
        <f t="shared" si="14"/>
        <v>2003.7999999999874</v>
      </c>
      <c r="B145" s="67">
        <f>LOOKUP(A145+0.01,AmountsB!$A$4:$A$103,AmountsB!$B$4:$B$103)*0.1*$A$2</f>
        <v>437.23831799999999</v>
      </c>
      <c r="C145" s="68">
        <f t="shared" si="19"/>
        <v>16544.608091000002</v>
      </c>
      <c r="D145" s="67">
        <f t="array" ref="D145">SUM($B$7:$B140*$F$1009*EXP(-$F$1009*($A145-$A$7:$A140)))*$F$1010</f>
        <v>1250018.9584219507</v>
      </c>
      <c r="E145" s="67">
        <f t="shared" si="17"/>
        <v>2.3830507924816953</v>
      </c>
      <c r="F145" s="70">
        <f t="shared" si="15"/>
        <v>0.14469884411948852</v>
      </c>
      <c r="G145" s="67">
        <f>E145/'Lookup Tables'!$C$48</f>
        <v>4.7661015849633905</v>
      </c>
      <c r="H145" s="70">
        <f t="shared" si="18"/>
        <v>7.5706326172194777E-2</v>
      </c>
      <c r="I145" s="71">
        <f t="shared" si="16"/>
        <v>6.8631862823472821E-3</v>
      </c>
      <c r="L145" s="74"/>
      <c r="M145" s="74"/>
      <c r="N145" s="74"/>
      <c r="O145" s="74"/>
      <c r="P145" s="74"/>
      <c r="Q145" s="74"/>
      <c r="R145" s="74"/>
      <c r="S145" s="74"/>
      <c r="T145" s="74"/>
      <c r="U145" s="74"/>
      <c r="V145" s="74"/>
      <c r="W145" s="74"/>
      <c r="X145" s="74"/>
      <c r="Y145" s="74"/>
      <c r="Z145" s="74"/>
    </row>
    <row r="146" spans="1:26" x14ac:dyDescent="0.3">
      <c r="A146" s="66">
        <f t="shared" si="14"/>
        <v>2003.8999999999874</v>
      </c>
      <c r="B146" s="67">
        <f>LOOKUP(A146+0.01,AmountsB!$A$4:$A$103,AmountsB!$B$4:$B$103)*0.1*$A$2</f>
        <v>437.23831799999999</v>
      </c>
      <c r="C146" s="68">
        <f t="shared" si="19"/>
        <v>16981.846409000002</v>
      </c>
      <c r="D146" s="67">
        <f t="array" ref="D146">SUM($B$7:$B141*$F$1009*EXP(-$F$1009*($A146-$A$7:$A141)))*$F$1010</f>
        <v>1287211.0547796236</v>
      </c>
      <c r="E146" s="67">
        <f t="shared" si="17"/>
        <v>2.4539542408670676</v>
      </c>
      <c r="F146" s="70">
        <f t="shared" si="15"/>
        <v>0.14900410150544835</v>
      </c>
      <c r="G146" s="67">
        <f>E146/'Lookup Tables'!$C$48</f>
        <v>4.9079084817341352</v>
      </c>
      <c r="H146" s="70">
        <f t="shared" si="18"/>
        <v>7.5951596660076143E-2</v>
      </c>
      <c r="I146" s="71">
        <f t="shared" si="16"/>
        <v>7.0673882136971546E-3</v>
      </c>
      <c r="L146" s="74"/>
      <c r="M146" s="74"/>
      <c r="N146" s="74"/>
      <c r="O146" s="74"/>
      <c r="P146" s="74"/>
      <c r="Q146" s="74"/>
      <c r="R146" s="74"/>
      <c r="S146" s="74"/>
      <c r="T146" s="74"/>
      <c r="U146" s="74"/>
      <c r="V146" s="74"/>
      <c r="W146" s="74"/>
      <c r="X146" s="74"/>
      <c r="Y146" s="74"/>
      <c r="Z146" s="74"/>
    </row>
    <row r="147" spans="1:26" x14ac:dyDescent="0.3">
      <c r="A147" s="66">
        <f t="shared" ref="A147:A210" si="20">A146+0.1</f>
        <v>2003.9999999999873</v>
      </c>
      <c r="B147" s="67">
        <f>LOOKUP(A147+0.01,AmountsB!$A$4:$A$103,AmountsB!$B$4:$B$103)*0.1*$A$2</f>
        <v>445.98065930000007</v>
      </c>
      <c r="C147" s="68">
        <f t="shared" si="19"/>
        <v>17427.827068300001</v>
      </c>
      <c r="D147" s="67">
        <f t="array" ref="D147">SUM($B$7:$B142*$F$1009*EXP(-$F$1009*($A147-$A$7:$A142)))*$F$1010</f>
        <v>1324351.1186336472</v>
      </c>
      <c r="E147" s="67">
        <f t="shared" si="17"/>
        <v>2.5247584938776653</v>
      </c>
      <c r="F147" s="70">
        <f t="shared" ref="F147:F210" si="21">E147*60*1012/1000000</f>
        <v>0.15330333574825183</v>
      </c>
      <c r="G147" s="67">
        <f>E147/'Lookup Tables'!$C$48</f>
        <v>5.0495169877553305</v>
      </c>
      <c r="H147" s="70">
        <f t="shared" si="18"/>
        <v>7.6143345879065141E-2</v>
      </c>
      <c r="I147" s="71">
        <f t="shared" ref="I147:I210" si="22">G147*60*24/1000000</f>
        <v>7.2713044623676764E-3</v>
      </c>
      <c r="L147" s="74"/>
      <c r="M147" s="74"/>
      <c r="N147" s="74"/>
      <c r="O147" s="74"/>
      <c r="P147" s="74"/>
      <c r="Q147" s="74"/>
      <c r="R147" s="74"/>
      <c r="S147" s="74"/>
      <c r="T147" s="74"/>
      <c r="U147" s="74"/>
      <c r="V147" s="74"/>
      <c r="W147" s="74"/>
      <c r="X147" s="74"/>
      <c r="Y147" s="74"/>
      <c r="Z147" s="74"/>
    </row>
    <row r="148" spans="1:26" x14ac:dyDescent="0.3">
      <c r="A148" s="66">
        <f t="shared" si="20"/>
        <v>2004.0999999999872</v>
      </c>
      <c r="B148" s="67">
        <f>LOOKUP(A148+0.01,AmountsB!$A$4:$A$103,AmountsB!$B$4:$B$103)*0.1*$A$2</f>
        <v>445.98065930000007</v>
      </c>
      <c r="C148" s="68">
        <f t="shared" si="19"/>
        <v>17873.8077276</v>
      </c>
      <c r="D148" s="67">
        <f t="array" ref="D148">SUM($B$7:$B143*$F$1009*EXP(-$F$1009*($A148-$A$7:$A143)))*$F$1010</f>
        <v>1361439.2227785585</v>
      </c>
      <c r="E148" s="67">
        <f t="shared" si="17"/>
        <v>2.5954636902898467</v>
      </c>
      <c r="F148" s="70">
        <f t="shared" si="21"/>
        <v>0.1575965552743995</v>
      </c>
      <c r="G148" s="67">
        <f>E148/'Lookup Tables'!$C$48</f>
        <v>5.1909273805796934</v>
      </c>
      <c r="H148" s="70">
        <f t="shared" si="18"/>
        <v>7.6322613312542198E-2</v>
      </c>
      <c r="I148" s="71">
        <f t="shared" si="22"/>
        <v>7.4749354280347581E-3</v>
      </c>
      <c r="L148" s="74"/>
      <c r="M148" s="74"/>
      <c r="N148" s="74"/>
      <c r="O148" s="74"/>
      <c r="P148" s="74"/>
      <c r="Q148" s="74"/>
      <c r="R148" s="74"/>
      <c r="S148" s="74"/>
      <c r="T148" s="74"/>
      <c r="U148" s="74"/>
      <c r="V148" s="74"/>
      <c r="W148" s="74"/>
      <c r="X148" s="74"/>
      <c r="Y148" s="74"/>
      <c r="Z148" s="74"/>
    </row>
    <row r="149" spans="1:26" x14ac:dyDescent="0.3">
      <c r="A149" s="66">
        <f t="shared" si="20"/>
        <v>2004.1999999999871</v>
      </c>
      <c r="B149" s="67">
        <f>LOOKUP(A149+0.01,AmountsB!$A$4:$A$103,AmountsB!$B$4:$B$103)*0.1*$A$2</f>
        <v>445.98065930000007</v>
      </c>
      <c r="C149" s="68">
        <f t="shared" si="19"/>
        <v>18319.7883869</v>
      </c>
      <c r="D149" s="67">
        <f t="array" ref="D149">SUM($B$7:$B144*$F$1009*EXP(-$F$1009*($A149-$A$7:$A144)))*$F$1010</f>
        <v>1398475.439907053</v>
      </c>
      <c r="E149" s="67">
        <f t="shared" si="17"/>
        <v>2.6660699686858189</v>
      </c>
      <c r="F149" s="70">
        <f t="shared" si="21"/>
        <v>0.16188376849860295</v>
      </c>
      <c r="G149" s="67">
        <f>E149/'Lookup Tables'!$C$48</f>
        <v>5.3321399373716378</v>
      </c>
      <c r="H149" s="70">
        <f t="shared" si="18"/>
        <v>7.6490314513855934E-2</v>
      </c>
      <c r="I149" s="71">
        <f t="shared" si="22"/>
        <v>7.6782815098151583E-3</v>
      </c>
      <c r="L149" s="74"/>
      <c r="M149" s="74"/>
      <c r="N149" s="74"/>
      <c r="O149" s="74"/>
      <c r="P149" s="74"/>
      <c r="Q149" s="74"/>
      <c r="R149" s="74"/>
      <c r="S149" s="74"/>
      <c r="T149" s="74"/>
      <c r="U149" s="74"/>
      <c r="V149" s="74"/>
      <c r="W149" s="74"/>
      <c r="X149" s="74"/>
      <c r="Y149" s="74"/>
      <c r="Z149" s="74"/>
    </row>
    <row r="150" spans="1:26" x14ac:dyDescent="0.3">
      <c r="A150" s="66">
        <f t="shared" si="20"/>
        <v>2004.299999999987</v>
      </c>
      <c r="B150" s="67">
        <f>LOOKUP(A150+0.01,AmountsB!$A$4:$A$103,AmountsB!$B$4:$B$103)*0.1*$A$2</f>
        <v>445.98065930000007</v>
      </c>
      <c r="C150" s="68">
        <f t="shared" si="19"/>
        <v>18765.769046199999</v>
      </c>
      <c r="D150" s="67">
        <f t="array" ref="D150">SUM($B$7:$B145*$F$1009*EXP(-$F$1009*($A150-$A$7:$A145)))*$F$1010</f>
        <v>1435459.8426101287</v>
      </c>
      <c r="E150" s="67">
        <f t="shared" si="17"/>
        <v>2.7365774674539103</v>
      </c>
      <c r="F150" s="70">
        <f t="shared" si="21"/>
        <v>0.16616498382380143</v>
      </c>
      <c r="G150" s="67">
        <f>E150/'Lookup Tables'!$C$48</f>
        <v>5.4731549349078206</v>
      </c>
      <c r="H150" s="70">
        <f t="shared" si="18"/>
        <v>7.6647277996050728E-2</v>
      </c>
      <c r="I150" s="71">
        <f t="shared" si="22"/>
        <v>7.8813431062672613E-3</v>
      </c>
      <c r="L150" s="74"/>
      <c r="M150" s="74"/>
      <c r="N150" s="74"/>
      <c r="O150" s="74"/>
      <c r="P150" s="74"/>
      <c r="Q150" s="74"/>
      <c r="R150" s="74"/>
      <c r="S150" s="74"/>
      <c r="T150" s="74"/>
      <c r="U150" s="74"/>
      <c r="V150" s="74"/>
      <c r="W150" s="74"/>
      <c r="X150" s="74"/>
      <c r="Y150" s="74"/>
      <c r="Z150" s="74"/>
    </row>
    <row r="151" spans="1:26" x14ac:dyDescent="0.3">
      <c r="A151" s="66">
        <f t="shared" si="20"/>
        <v>2004.3999999999869</v>
      </c>
      <c r="B151" s="67">
        <f>LOOKUP(A151+0.01,AmountsB!$A$4:$A$103,AmountsB!$B$4:$B$103)*0.1*$A$2</f>
        <v>445.98065930000007</v>
      </c>
      <c r="C151" s="68">
        <f t="shared" si="19"/>
        <v>19211.749705499999</v>
      </c>
      <c r="D151" s="67">
        <f t="array" ref="D151">SUM($B$7:$B146*$F$1009*EXP(-$F$1009*($A151-$A$7:$A146)))*$F$1010</f>
        <v>1472392.5033772264</v>
      </c>
      <c r="E151" s="67">
        <f t="shared" si="17"/>
        <v>2.8069863247888405</v>
      </c>
      <c r="F151" s="70">
        <f t="shared" si="21"/>
        <v>0.1704402096411784</v>
      </c>
      <c r="G151" s="67">
        <f>E151/'Lookup Tables'!$C$48</f>
        <v>5.6139726495776809</v>
      </c>
      <c r="H151" s="70">
        <f t="shared" si="18"/>
        <v>7.6794255334621933E-2</v>
      </c>
      <c r="I151" s="71">
        <f t="shared" si="22"/>
        <v>8.0841206153918609E-3</v>
      </c>
      <c r="L151" s="74"/>
      <c r="M151" s="74"/>
      <c r="N151" s="74"/>
      <c r="O151" s="74"/>
      <c r="P151" s="74"/>
      <c r="Q151" s="74"/>
      <c r="R151" s="74"/>
      <c r="S151" s="74"/>
      <c r="T151" s="74"/>
      <c r="U151" s="74"/>
      <c r="V151" s="74"/>
      <c r="W151" s="74"/>
      <c r="X151" s="74"/>
      <c r="Y151" s="74"/>
      <c r="Z151" s="74"/>
    </row>
    <row r="152" spans="1:26" x14ac:dyDescent="0.3">
      <c r="A152" s="66">
        <f t="shared" si="20"/>
        <v>2004.4999999999868</v>
      </c>
      <c r="B152" s="67">
        <f>LOOKUP(A152+0.01,AmountsB!$A$4:$A$103,AmountsB!$B$4:$B$103)*0.1*$A$2</f>
        <v>445.98065930000007</v>
      </c>
      <c r="C152" s="68">
        <f t="shared" si="19"/>
        <v>19657.730364799998</v>
      </c>
      <c r="D152" s="67">
        <f t="array" ref="D152">SUM($B$7:$B147*$F$1009*EXP(-$F$1009*($A152-$A$7:$A147)))*$F$1010</f>
        <v>1510052.0965870596</v>
      </c>
      <c r="E152" s="67">
        <f t="shared" si="17"/>
        <v>2.8787810146522061</v>
      </c>
      <c r="F152" s="70">
        <f t="shared" si="21"/>
        <v>0.17479958320968197</v>
      </c>
      <c r="G152" s="67">
        <f>E152/'Lookup Tables'!$C$48</f>
        <v>5.7575620293044123</v>
      </c>
      <c r="H152" s="70">
        <f t="shared" si="18"/>
        <v>7.6971617436090212E-2</v>
      </c>
      <c r="I152" s="71">
        <f t="shared" si="22"/>
        <v>8.290889322198354E-3</v>
      </c>
      <c r="L152" s="74"/>
      <c r="M152" s="74"/>
      <c r="N152" s="74"/>
      <c r="O152" s="74"/>
      <c r="P152" s="74"/>
      <c r="Q152" s="74"/>
      <c r="R152" s="74"/>
      <c r="S152" s="74"/>
      <c r="T152" s="74"/>
      <c r="U152" s="74"/>
      <c r="V152" s="74"/>
      <c r="W152" s="74"/>
      <c r="X152" s="74"/>
      <c r="Y152" s="74"/>
      <c r="Z152" s="74"/>
    </row>
    <row r="153" spans="1:26" x14ac:dyDescent="0.3">
      <c r="A153" s="66">
        <f t="shared" si="20"/>
        <v>2004.5999999999867</v>
      </c>
      <c r="B153" s="67">
        <f>LOOKUP(A153+0.01,AmountsB!$A$4:$A$103,AmountsB!$B$4:$B$103)*0.1*$A$2</f>
        <v>445.98065930000007</v>
      </c>
      <c r="C153" s="68">
        <f t="shared" si="19"/>
        <v>20103.711024099997</v>
      </c>
      <c r="D153" s="67">
        <f t="array" ref="D153">SUM($B$7:$B148*$F$1009*EXP(-$F$1009*($A153-$A$7:$A148)))*$F$1010</f>
        <v>1547659.0032555838</v>
      </c>
      <c r="E153" s="67">
        <f t="shared" si="17"/>
        <v>2.9504752622757375</v>
      </c>
      <c r="F153" s="70">
        <f t="shared" si="21"/>
        <v>0.1791528579253828</v>
      </c>
      <c r="G153" s="67">
        <f>E153/'Lookup Tables'!$C$48</f>
        <v>5.9009505245514751</v>
      </c>
      <c r="H153" s="70">
        <f t="shared" si="18"/>
        <v>7.7138484332225546E-2</v>
      </c>
      <c r="I153" s="71">
        <f t="shared" si="22"/>
        <v>8.4973687553541247E-3</v>
      </c>
      <c r="L153" s="74"/>
      <c r="M153" s="74"/>
      <c r="N153" s="74"/>
      <c r="O153" s="74"/>
      <c r="P153" s="74"/>
      <c r="Q153" s="74"/>
      <c r="R153" s="74"/>
      <c r="S153" s="74"/>
      <c r="T153" s="74"/>
      <c r="U153" s="74"/>
      <c r="V153" s="74"/>
      <c r="W153" s="74"/>
      <c r="X153" s="74"/>
      <c r="Y153" s="74"/>
      <c r="Z153" s="74"/>
    </row>
    <row r="154" spans="1:26" x14ac:dyDescent="0.3">
      <c r="A154" s="66">
        <f t="shared" si="20"/>
        <v>2004.6999999999866</v>
      </c>
      <c r="B154" s="67">
        <f>LOOKUP(A154+0.01,AmountsB!$A$4:$A$103,AmountsB!$B$4:$B$103)*0.1*$A$2</f>
        <v>445.98065930000007</v>
      </c>
      <c r="C154" s="68">
        <f t="shared" si="19"/>
        <v>20549.691683399997</v>
      </c>
      <c r="D154" s="67">
        <f t="array" ref="D154">SUM($B$7:$B149*$F$1009*EXP(-$F$1009*($A154-$A$7:$A149)))*$F$1010</f>
        <v>1585213.2970923474</v>
      </c>
      <c r="E154" s="67">
        <f t="shared" si="17"/>
        <v>3.0220692081801812</v>
      </c>
      <c r="F154" s="70">
        <f t="shared" si="21"/>
        <v>0.18350004232070061</v>
      </c>
      <c r="G154" s="67">
        <f>E154/'Lookup Tables'!$C$48</f>
        <v>6.0441384163603624</v>
      </c>
      <c r="H154" s="70">
        <f t="shared" si="18"/>
        <v>7.7295542935206629E-2</v>
      </c>
      <c r="I154" s="71">
        <f t="shared" si="22"/>
        <v>8.7035593195589206E-3</v>
      </c>
      <c r="L154" s="74"/>
      <c r="M154" s="74"/>
      <c r="N154" s="74"/>
      <c r="O154" s="74"/>
      <c r="P154" s="74"/>
      <c r="Q154" s="74"/>
      <c r="R154" s="74"/>
      <c r="S154" s="74"/>
      <c r="T154" s="74"/>
      <c r="U154" s="74"/>
      <c r="V154" s="74"/>
      <c r="W154" s="74"/>
      <c r="X154" s="74"/>
      <c r="Y154" s="74"/>
      <c r="Z154" s="74"/>
    </row>
    <row r="155" spans="1:26" x14ac:dyDescent="0.3">
      <c r="A155" s="66">
        <f t="shared" si="20"/>
        <v>2004.7999999999865</v>
      </c>
      <c r="B155" s="67">
        <f>LOOKUP(A155+0.01,AmountsB!$A$4:$A$103,AmountsB!$B$4:$B$103)*0.1*$A$2</f>
        <v>445.98065930000007</v>
      </c>
      <c r="C155" s="68">
        <f t="shared" si="19"/>
        <v>20995.672342699996</v>
      </c>
      <c r="D155" s="67">
        <f t="array" ref="D155">SUM($B$7:$B150*$F$1009*EXP(-$F$1009*($A155-$A$7:$A150)))*$F$1010</f>
        <v>1622715.0517037783</v>
      </c>
      <c r="E155" s="67">
        <f t="shared" si="17"/>
        <v>3.0935629926896935</v>
      </c>
      <c r="F155" s="70">
        <f t="shared" si="21"/>
        <v>0.1878411449161182</v>
      </c>
      <c r="G155" s="67">
        <f>E155/'Lookup Tables'!$C$48</f>
        <v>6.187125985379387</v>
      </c>
      <c r="H155" s="70">
        <f t="shared" si="18"/>
        <v>7.7443421787968605E-2</v>
      </c>
      <c r="I155" s="71">
        <f t="shared" si="22"/>
        <v>8.9094614189463173E-3</v>
      </c>
      <c r="L155" s="74"/>
      <c r="M155" s="74"/>
      <c r="N155" s="74"/>
      <c r="O155" s="74"/>
      <c r="P155" s="74"/>
      <c r="Q155" s="74"/>
      <c r="R155" s="74"/>
      <c r="S155" s="74"/>
      <c r="T155" s="74"/>
      <c r="U155" s="74"/>
      <c r="V155" s="74"/>
      <c r="W155" s="74"/>
      <c r="X155" s="74"/>
      <c r="Y155" s="74"/>
      <c r="Z155" s="74"/>
    </row>
    <row r="156" spans="1:26" x14ac:dyDescent="0.3">
      <c r="A156" s="66">
        <f t="shared" si="20"/>
        <v>2004.8999999999864</v>
      </c>
      <c r="B156" s="67">
        <f>LOOKUP(A156+0.01,AmountsB!$A$4:$A$103,AmountsB!$B$4:$B$103)*0.1*$A$2</f>
        <v>445.98065930000007</v>
      </c>
      <c r="C156" s="68">
        <f t="shared" si="19"/>
        <v>21441.653001999995</v>
      </c>
      <c r="D156" s="67">
        <f t="array" ref="D156">SUM($B$7:$B151*$F$1009*EXP(-$F$1009*($A156-$A$7:$A151)))*$F$1010</f>
        <v>1660164.3405933282</v>
      </c>
      <c r="E156" s="67">
        <f t="shared" si="17"/>
        <v>3.1649567559321174</v>
      </c>
      <c r="F156" s="70">
        <f t="shared" si="21"/>
        <v>0.19217617422019817</v>
      </c>
      <c r="G156" s="67">
        <f>E156/'Lookup Tables'!$C$48</f>
        <v>6.3299135118642349</v>
      </c>
      <c r="H156" s="70">
        <f t="shared" si="18"/>
        <v>7.7582697134533224E-2</v>
      </c>
      <c r="I156" s="71">
        <f t="shared" si="22"/>
        <v>9.115075457084499E-3</v>
      </c>
      <c r="L156" s="74"/>
      <c r="M156" s="74"/>
      <c r="N156" s="74"/>
      <c r="O156" s="74"/>
      <c r="P156" s="74"/>
      <c r="Q156" s="74"/>
      <c r="R156" s="74"/>
      <c r="S156" s="74"/>
      <c r="T156" s="74"/>
      <c r="U156" s="74"/>
      <c r="V156" s="74"/>
      <c r="W156" s="74"/>
      <c r="X156" s="74"/>
      <c r="Y156" s="74"/>
      <c r="Z156" s="74"/>
    </row>
    <row r="157" spans="1:26" x14ac:dyDescent="0.3">
      <c r="A157" s="66">
        <f t="shared" si="20"/>
        <v>2004.9999999999864</v>
      </c>
      <c r="B157" s="67">
        <f>LOOKUP(A157+0.01,AmountsB!$A$4:$A$103,AmountsB!$B$4:$B$103)*0.1*$A$2</f>
        <v>454.90488010000001</v>
      </c>
      <c r="C157" s="68">
        <f t="shared" si="19"/>
        <v>21896.557882099994</v>
      </c>
      <c r="D157" s="67">
        <f t="array" ref="D157">SUM($B$7:$B152*$F$1009*EXP(-$F$1009*($A157-$A$7:$A152)))*$F$1010</f>
        <v>1697561.2371616156</v>
      </c>
      <c r="E157" s="67">
        <f t="shared" si="17"/>
        <v>3.2362506378392517</v>
      </c>
      <c r="F157" s="70">
        <f t="shared" si="21"/>
        <v>0.1965051387295994</v>
      </c>
      <c r="G157" s="67">
        <f>E157/'Lookup Tables'!$C$48</f>
        <v>6.4725012756785034</v>
      </c>
      <c r="H157" s="70">
        <f t="shared" si="18"/>
        <v>7.7682224960062024E-2</v>
      </c>
      <c r="I157" s="71">
        <f t="shared" si="22"/>
        <v>9.3204018369770457E-3</v>
      </c>
      <c r="L157" s="74"/>
      <c r="M157" s="74"/>
      <c r="N157" s="74"/>
      <c r="O157" s="74"/>
      <c r="P157" s="74"/>
      <c r="Q157" s="74"/>
      <c r="R157" s="74"/>
      <c r="S157" s="74"/>
      <c r="T157" s="74"/>
      <c r="U157" s="74"/>
      <c r="V157" s="74"/>
      <c r="W157" s="74"/>
      <c r="X157" s="74"/>
      <c r="Y157" s="74"/>
      <c r="Z157" s="74"/>
    </row>
    <row r="158" spans="1:26" x14ac:dyDescent="0.3">
      <c r="A158" s="66">
        <f t="shared" si="20"/>
        <v>2005.0999999999863</v>
      </c>
      <c r="B158" s="67">
        <f>LOOKUP(A158+0.01,AmountsB!$A$4:$A$103,AmountsB!$B$4:$B$103)*0.1*$A$2</f>
        <v>454.90488010000001</v>
      </c>
      <c r="C158" s="68">
        <f t="shared" si="19"/>
        <v>22351.462762199993</v>
      </c>
      <c r="D158" s="67">
        <f t="array" ref="D158">SUM($B$7:$B153*$F$1009*EXP(-$F$1009*($A158-$A$7:$A153)))*$F$1010</f>
        <v>1734905.8147065686</v>
      </c>
      <c r="E158" s="67">
        <f t="shared" si="17"/>
        <v>3.3074447781471252</v>
      </c>
      <c r="F158" s="70">
        <f t="shared" si="21"/>
        <v>0.20082804692909345</v>
      </c>
      <c r="G158" s="67">
        <f>E158/'Lookup Tables'!$C$48</f>
        <v>6.6148895562942505</v>
      </c>
      <c r="H158" s="70">
        <f t="shared" si="18"/>
        <v>7.7775356086942013E-2</v>
      </c>
      <c r="I158" s="71">
        <f t="shared" si="22"/>
        <v>9.5254409610637213E-3</v>
      </c>
      <c r="L158" s="74"/>
      <c r="M158" s="74"/>
      <c r="N158" s="74"/>
      <c r="O158" s="74"/>
      <c r="P158" s="74"/>
      <c r="Q158" s="74"/>
      <c r="R158" s="74"/>
      <c r="S158" s="74"/>
      <c r="T158" s="74"/>
      <c r="U158" s="74"/>
      <c r="V158" s="74"/>
      <c r="W158" s="74"/>
      <c r="X158" s="74"/>
      <c r="Y158" s="74"/>
      <c r="Z158" s="74"/>
    </row>
    <row r="159" spans="1:26" x14ac:dyDescent="0.3">
      <c r="A159" s="66">
        <f t="shared" si="20"/>
        <v>2005.1999999999862</v>
      </c>
      <c r="B159" s="67">
        <f>LOOKUP(A159+0.01,AmountsB!$A$4:$A$103,AmountsB!$B$4:$B$103)*0.1*$A$2</f>
        <v>454.90488010000001</v>
      </c>
      <c r="C159" s="68">
        <f t="shared" si="19"/>
        <v>22806.367642299992</v>
      </c>
      <c r="D159" s="67">
        <f t="array" ref="D159">SUM($B$7:$B154*$F$1009*EXP(-$F$1009*($A159-$A$7:$A154)))*$F$1010</f>
        <v>1772198.146423572</v>
      </c>
      <c r="E159" s="67">
        <f t="shared" si="17"/>
        <v>3.3785393163962776</v>
      </c>
      <c r="F159" s="70">
        <f t="shared" si="21"/>
        <v>0.20514490729158197</v>
      </c>
      <c r="G159" s="67">
        <f>E159/'Lookup Tables'!$C$48</f>
        <v>6.7570786327925552</v>
      </c>
      <c r="H159" s="70">
        <f t="shared" si="18"/>
        <v>7.7862476504338266E-2</v>
      </c>
      <c r="I159" s="71">
        <f t="shared" si="22"/>
        <v>9.7301932312212798E-3</v>
      </c>
      <c r="L159" s="74"/>
      <c r="M159" s="74"/>
      <c r="N159" s="74"/>
      <c r="O159" s="74"/>
      <c r="P159" s="74"/>
      <c r="Q159" s="74"/>
      <c r="R159" s="74"/>
      <c r="S159" s="74"/>
      <c r="T159" s="74"/>
      <c r="U159" s="74"/>
      <c r="V159" s="74"/>
      <c r="W159" s="74"/>
      <c r="X159" s="74"/>
      <c r="Y159" s="74"/>
      <c r="Z159" s="74"/>
    </row>
    <row r="160" spans="1:26" x14ac:dyDescent="0.3">
      <c r="A160" s="66">
        <f t="shared" si="20"/>
        <v>2005.2999999999861</v>
      </c>
      <c r="B160" s="67">
        <f>LOOKUP(A160+0.01,AmountsB!$A$4:$A$103,AmountsB!$B$4:$B$103)*0.1*$A$2</f>
        <v>454.90488010000001</v>
      </c>
      <c r="C160" s="68">
        <f t="shared" si="19"/>
        <v>23261.272522399991</v>
      </c>
      <c r="D160" s="67">
        <f t="array" ref="D160">SUM($B$7:$B155*$F$1009*EXP(-$F$1009*($A160-$A$7:$A155)))*$F$1010</f>
        <v>1809438.3054056072</v>
      </c>
      <c r="E160" s="67">
        <f t="shared" si="17"/>
        <v>3.4495343919320258</v>
      </c>
      <c r="F160" s="70">
        <f t="shared" si="21"/>
        <v>0.2094557282781126</v>
      </c>
      <c r="G160" s="67">
        <f>E160/'Lookup Tables'!$C$48</f>
        <v>6.8990687838640516</v>
      </c>
      <c r="H160" s="70">
        <f t="shared" si="18"/>
        <v>7.7943942002894701E-2</v>
      </c>
      <c r="I160" s="71">
        <f t="shared" si="22"/>
        <v>9.9346590487642359E-3</v>
      </c>
      <c r="L160" s="74"/>
      <c r="M160" s="74"/>
      <c r="N160" s="74"/>
      <c r="O160" s="74"/>
      <c r="P160" s="74"/>
      <c r="Q160" s="74"/>
      <c r="R160" s="74"/>
      <c r="S160" s="74"/>
      <c r="T160" s="74"/>
      <c r="U160" s="74"/>
      <c r="V160" s="74"/>
      <c r="W160" s="74"/>
      <c r="X160" s="74"/>
      <c r="Y160" s="74"/>
      <c r="Z160" s="74"/>
    </row>
    <row r="161" spans="1:26" x14ac:dyDescent="0.3">
      <c r="A161" s="66">
        <f t="shared" si="20"/>
        <v>2005.399999999986</v>
      </c>
      <c r="B161" s="67">
        <f>LOOKUP(A161+0.01,AmountsB!$A$4:$A$103,AmountsB!$B$4:$B$103)*0.1*$A$2</f>
        <v>454.90488010000001</v>
      </c>
      <c r="C161" s="68">
        <f t="shared" si="19"/>
        <v>23716.17740249999</v>
      </c>
      <c r="D161" s="67">
        <f t="array" ref="D161">SUM($B$7:$B156*$F$1009*EXP(-$F$1009*($A161-$A$7:$A156)))*$F$1010</f>
        <v>1846626.3646433987</v>
      </c>
      <c r="E161" s="67">
        <f t="shared" si="17"/>
        <v>3.5204301439047416</v>
      </c>
      <c r="F161" s="70">
        <f t="shared" si="21"/>
        <v>0.21376051833789592</v>
      </c>
      <c r="G161" s="67">
        <f>E161/'Lookup Tables'!$C$48</f>
        <v>7.0408602878094833</v>
      </c>
      <c r="H161" s="70">
        <f t="shared" si="18"/>
        <v>7.8020081070960576E-2</v>
      </c>
      <c r="I161" s="71">
        <f t="shared" si="22"/>
        <v>1.0138838814445657E-2</v>
      </c>
      <c r="L161" s="74"/>
      <c r="M161" s="74"/>
      <c r="N161" s="74"/>
      <c r="O161" s="74"/>
      <c r="P161" s="74"/>
      <c r="Q161" s="74"/>
      <c r="R161" s="74"/>
      <c r="S161" s="74"/>
      <c r="T161" s="74"/>
      <c r="U161" s="74"/>
      <c r="V161" s="74"/>
      <c r="W161" s="74"/>
      <c r="X161" s="74"/>
      <c r="Y161" s="74"/>
      <c r="Z161" s="74"/>
    </row>
    <row r="162" spans="1:26" x14ac:dyDescent="0.3">
      <c r="A162" s="66">
        <f t="shared" si="20"/>
        <v>2005.4999999999859</v>
      </c>
      <c r="B162" s="67">
        <f>LOOKUP(A162+0.01,AmountsB!$A$4:$A$103,AmountsB!$B$4:$B$103)*0.1*$A$2</f>
        <v>454.90488010000001</v>
      </c>
      <c r="C162" s="68">
        <f t="shared" si="19"/>
        <v>24171.082282599989</v>
      </c>
      <c r="D162" s="67">
        <f t="array" ref="D162">SUM($B$7:$B157*$F$1009*EXP(-$F$1009*($A162-$A$7:$A157)))*$F$1010</f>
        <v>1884557.1973933005</v>
      </c>
      <c r="E162" s="67">
        <f t="shared" si="17"/>
        <v>3.5927419280062045</v>
      </c>
      <c r="F162" s="70">
        <f t="shared" si="21"/>
        <v>0.21815128986853671</v>
      </c>
      <c r="G162" s="67">
        <f>E162/'Lookup Tables'!$C$48</f>
        <v>7.185483856012409</v>
      </c>
      <c r="H162" s="70">
        <f t="shared" si="18"/>
        <v>7.8124145840148082E-2</v>
      </c>
      <c r="I162" s="71">
        <f t="shared" si="22"/>
        <v>1.0347096752657868E-2</v>
      </c>
      <c r="L162" s="74"/>
      <c r="M162" s="74"/>
      <c r="N162" s="74"/>
      <c r="O162" s="74"/>
      <c r="P162" s="74"/>
      <c r="Q162" s="74"/>
      <c r="R162" s="74"/>
      <c r="S162" s="74"/>
      <c r="T162" s="74"/>
      <c r="U162" s="74"/>
      <c r="V162" s="74"/>
      <c r="W162" s="74"/>
      <c r="X162" s="74"/>
      <c r="Y162" s="74"/>
      <c r="Z162" s="74"/>
    </row>
    <row r="163" spans="1:26" x14ac:dyDescent="0.3">
      <c r="A163" s="66">
        <f t="shared" si="20"/>
        <v>2005.5999999999858</v>
      </c>
      <c r="B163" s="67">
        <f>LOOKUP(A163+0.01,AmountsB!$A$4:$A$103,AmountsB!$B$4:$B$103)*0.1*$A$2</f>
        <v>454.90488010000001</v>
      </c>
      <c r="C163" s="68">
        <f t="shared" si="19"/>
        <v>24625.987162699988</v>
      </c>
      <c r="D163" s="67">
        <f t="array" ref="D163">SUM($B$7:$B158*$F$1009*EXP(-$F$1009*($A163-$A$7:$A158)))*$F$1010</f>
        <v>1922434.9641322275</v>
      </c>
      <c r="E163" s="67">
        <f t="shared" si="17"/>
        <v>3.6649525464424149</v>
      </c>
      <c r="F163" s="70">
        <f t="shared" si="21"/>
        <v>0.22253591861998342</v>
      </c>
      <c r="G163" s="67">
        <f>E163/'Lookup Tables'!$C$48</f>
        <v>7.3299050928848297</v>
      </c>
      <c r="H163" s="70">
        <f t="shared" si="18"/>
        <v>7.8222206715344286E-2</v>
      </c>
      <c r="I163" s="71">
        <f t="shared" si="22"/>
        <v>1.0555063333754154E-2</v>
      </c>
      <c r="L163" s="74"/>
      <c r="M163" s="74"/>
      <c r="N163" s="74"/>
      <c r="O163" s="74"/>
      <c r="P163" s="74"/>
      <c r="Q163" s="74"/>
      <c r="R163" s="74"/>
      <c r="S163" s="74"/>
      <c r="T163" s="74"/>
      <c r="U163" s="74"/>
      <c r="V163" s="74"/>
      <c r="W163" s="74"/>
      <c r="X163" s="74"/>
      <c r="Y163" s="74"/>
      <c r="Z163" s="74"/>
    </row>
    <row r="164" spans="1:26" x14ac:dyDescent="0.3">
      <c r="A164" s="66">
        <f t="shared" si="20"/>
        <v>2005.6999999999857</v>
      </c>
      <c r="B164" s="67">
        <f>LOOKUP(A164+0.01,AmountsB!$A$4:$A$103,AmountsB!$B$4:$B$103)*0.1*$A$2</f>
        <v>454.90488010000001</v>
      </c>
      <c r="C164" s="68">
        <f t="shared" si="19"/>
        <v>25080.892042799987</v>
      </c>
      <c r="D164" s="67">
        <f t="array" ref="D164">SUM($B$7:$B159*$F$1009*EXP(-$F$1009*($A164-$A$7:$A159)))*$F$1010</f>
        <v>1960259.7391006148</v>
      </c>
      <c r="E164" s="67">
        <f t="shared" si="17"/>
        <v>3.7370621407462083</v>
      </c>
      <c r="F164" s="70">
        <f t="shared" si="21"/>
        <v>0.22691441318610978</v>
      </c>
      <c r="G164" s="67">
        <f>E164/'Lookup Tables'!$C$48</f>
        <v>7.4741242814924167</v>
      </c>
      <c r="H164" s="70">
        <f t="shared" si="18"/>
        <v>7.8314593349564421E-2</v>
      </c>
      <c r="I164" s="71">
        <f t="shared" si="22"/>
        <v>1.0762738965349079E-2</v>
      </c>
      <c r="L164" s="74"/>
      <c r="M164" s="74"/>
      <c r="N164" s="74"/>
      <c r="O164" s="74"/>
      <c r="P164" s="74"/>
      <c r="Q164" s="74"/>
      <c r="R164" s="74"/>
      <c r="S164" s="74"/>
      <c r="T164" s="74"/>
      <c r="U164" s="74"/>
      <c r="V164" s="74"/>
      <c r="W164" s="74"/>
      <c r="X164" s="74"/>
      <c r="Y164" s="74"/>
      <c r="Z164" s="74"/>
    </row>
    <row r="165" spans="1:26" x14ac:dyDescent="0.3">
      <c r="A165" s="66">
        <f t="shared" si="20"/>
        <v>2005.7999999999856</v>
      </c>
      <c r="B165" s="67">
        <f>LOOKUP(A165+0.01,AmountsB!$A$4:$A$103,AmountsB!$B$4:$B$103)*0.1*$A$2</f>
        <v>454.90488010000001</v>
      </c>
      <c r="C165" s="68">
        <f t="shared" si="19"/>
        <v>25535.796922899986</v>
      </c>
      <c r="D165" s="67">
        <f t="array" ref="D165">SUM($B$7:$B160*$F$1009*EXP(-$F$1009*($A165-$A$7:$A160)))*$F$1010</f>
        <v>1998031.5964350337</v>
      </c>
      <c r="E165" s="67">
        <f t="shared" si="17"/>
        <v>3.8090708522524128</v>
      </c>
      <c r="F165" s="70">
        <f t="shared" si="21"/>
        <v>0.2312867821487665</v>
      </c>
      <c r="G165" s="67">
        <f>E165/'Lookup Tables'!$C$48</f>
        <v>7.6181417045048256</v>
      </c>
      <c r="H165" s="70">
        <f t="shared" si="18"/>
        <v>7.8401611901466536E-2</v>
      </c>
      <c r="I165" s="71">
        <f t="shared" si="22"/>
        <v>1.0970124054486949E-2</v>
      </c>
      <c r="L165" s="74"/>
      <c r="M165" s="74"/>
      <c r="N165" s="74"/>
      <c r="O165" s="74"/>
      <c r="P165" s="74"/>
      <c r="Q165" s="74"/>
      <c r="R165" s="74"/>
      <c r="S165" s="74"/>
      <c r="T165" s="74"/>
      <c r="U165" s="74"/>
      <c r="V165" s="74"/>
      <c r="W165" s="74"/>
      <c r="X165" s="74"/>
      <c r="Y165" s="74"/>
      <c r="Z165" s="74"/>
    </row>
    <row r="166" spans="1:26" x14ac:dyDescent="0.3">
      <c r="A166" s="66">
        <f t="shared" si="20"/>
        <v>2005.8999999999855</v>
      </c>
      <c r="B166" s="67">
        <f>LOOKUP(A166+0.01,AmountsB!$A$4:$A$103,AmountsB!$B$4:$B$103)*0.1*$A$2</f>
        <v>454.90488010000001</v>
      </c>
      <c r="C166" s="68">
        <f t="shared" si="19"/>
        <v>25990.701802999985</v>
      </c>
      <c r="D166" s="67">
        <f t="array" ref="D166">SUM($B$7:$B161*$F$1009*EXP(-$F$1009*($A166-$A$7:$A161)))*$F$1010</f>
        <v>2035750.6101683364</v>
      </c>
      <c r="E166" s="67">
        <f t="shared" si="17"/>
        <v>3.8809788220981258</v>
      </c>
      <c r="F166" s="70">
        <f t="shared" si="21"/>
        <v>0.2356530340777982</v>
      </c>
      <c r="G166" s="67">
        <f>E166/'Lookup Tables'!$C$48</f>
        <v>7.7619576441962517</v>
      </c>
      <c r="H166" s="70">
        <f t="shared" si="18"/>
        <v>7.8483547091418873E-2</v>
      </c>
      <c r="I166" s="71">
        <f t="shared" si="22"/>
        <v>1.1177219007642602E-2</v>
      </c>
      <c r="L166" s="74"/>
      <c r="M166" s="74"/>
      <c r="N166" s="74"/>
      <c r="O166" s="74"/>
      <c r="P166" s="74"/>
      <c r="Q166" s="74"/>
      <c r="R166" s="74"/>
      <c r="S166" s="74"/>
      <c r="T166" s="74"/>
      <c r="U166" s="74"/>
      <c r="V166" s="74"/>
      <c r="W166" s="74"/>
      <c r="X166" s="74"/>
      <c r="Y166" s="74"/>
      <c r="Z166" s="74"/>
    </row>
    <row r="167" spans="1:26" x14ac:dyDescent="0.3">
      <c r="A167" s="66">
        <f t="shared" si="20"/>
        <v>2005.9999999999854</v>
      </c>
      <c r="B167" s="67">
        <f>LOOKUP(A167+0.01,AmountsB!$A$4:$A$103,AmountsB!$B$4:$B$103)*0.1*$A$2</f>
        <v>463.99885510000001</v>
      </c>
      <c r="C167" s="68">
        <f t="shared" si="19"/>
        <v>26454.700658099984</v>
      </c>
      <c r="D167" s="67">
        <f t="array" ref="D167">SUM($B$7:$B162*$F$1009*EXP(-$F$1009*($A167-$A$7:$A162)))*$F$1010</f>
        <v>2073416.8542298018</v>
      </c>
      <c r="E167" s="67">
        <f t="shared" si="17"/>
        <v>3.9527861912229905</v>
      </c>
      <c r="F167" s="70">
        <f t="shared" si="21"/>
        <v>0.24001317753105997</v>
      </c>
      <c r="G167" s="67">
        <f>E167/'Lookup Tables'!$C$48</f>
        <v>7.9055723824459809</v>
      </c>
      <c r="H167" s="70">
        <f t="shared" si="18"/>
        <v>7.8533658307363335E-2</v>
      </c>
      <c r="I167" s="71">
        <f t="shared" si="22"/>
        <v>1.1384024230722212E-2</v>
      </c>
      <c r="L167" s="74"/>
      <c r="M167" s="74"/>
      <c r="N167" s="74"/>
      <c r="O167" s="74"/>
      <c r="P167" s="74"/>
      <c r="Q167" s="74"/>
      <c r="R167" s="74"/>
      <c r="S167" s="74"/>
      <c r="T167" s="74"/>
      <c r="U167" s="74"/>
      <c r="V167" s="74"/>
      <c r="W167" s="74"/>
      <c r="X167" s="74"/>
      <c r="Y167" s="74"/>
      <c r="Z167" s="74"/>
    </row>
    <row r="168" spans="1:26" x14ac:dyDescent="0.3">
      <c r="A168" s="66">
        <f t="shared" si="20"/>
        <v>2006.0999999999854</v>
      </c>
      <c r="B168" s="67">
        <f>LOOKUP(A168+0.01,AmountsB!$A$4:$A$103,AmountsB!$B$4:$B$103)*0.1*$A$2</f>
        <v>463.99885510000001</v>
      </c>
      <c r="C168" s="68">
        <f t="shared" si="19"/>
        <v>26918.699513199983</v>
      </c>
      <c r="D168" s="67">
        <f t="array" ref="D168">SUM($B$7:$B163*$F$1009*EXP(-$F$1009*($A168-$A$7:$A163)))*$F$1010</f>
        <v>2111030.40244528</v>
      </c>
      <c r="E168" s="67">
        <f t="shared" si="17"/>
        <v>4.0244931003694733</v>
      </c>
      <c r="F168" s="70">
        <f t="shared" si="21"/>
        <v>0.2443672210544344</v>
      </c>
      <c r="G168" s="67">
        <f>E168/'Lookup Tables'!$C$48</f>
        <v>8.0489862007389466</v>
      </c>
      <c r="H168" s="70">
        <f t="shared" si="18"/>
        <v>7.8580080457339302E-2</v>
      </c>
      <c r="I168" s="71">
        <f t="shared" si="22"/>
        <v>1.1590540129064082E-2</v>
      </c>
      <c r="L168" s="74"/>
      <c r="M168" s="74"/>
      <c r="N168" s="74"/>
      <c r="O168" s="74"/>
      <c r="P168" s="74"/>
      <c r="Q168" s="74"/>
      <c r="R168" s="74"/>
      <c r="S168" s="74"/>
      <c r="T168" s="74"/>
      <c r="U168" s="74"/>
      <c r="V168" s="74"/>
      <c r="W168" s="74"/>
      <c r="X168" s="74"/>
      <c r="Y168" s="74"/>
      <c r="Z168" s="74"/>
    </row>
    <row r="169" spans="1:26" x14ac:dyDescent="0.3">
      <c r="A169" s="66">
        <f t="shared" si="20"/>
        <v>2006.1999999999853</v>
      </c>
      <c r="B169" s="67">
        <f>LOOKUP(A169+0.01,AmountsB!$A$4:$A$103,AmountsB!$B$4:$B$103)*0.1*$A$2</f>
        <v>463.99885510000001</v>
      </c>
      <c r="C169" s="68">
        <f t="shared" si="19"/>
        <v>27382.698368299982</v>
      </c>
      <c r="D169" s="67">
        <f t="array" ref="D169">SUM($B$7:$B164*$F$1009*EXP(-$F$1009*($A169-$A$7:$A164)))*$F$1010</f>
        <v>2148591.3285373379</v>
      </c>
      <c r="E169" s="67">
        <f t="shared" si="17"/>
        <v>4.0960996900831397</v>
      </c>
      <c r="F169" s="70">
        <f t="shared" si="21"/>
        <v>0.24871517318184824</v>
      </c>
      <c r="G169" s="67">
        <f>E169/'Lookup Tables'!$C$48</f>
        <v>8.1921993801662794</v>
      </c>
      <c r="H169" s="70">
        <f t="shared" si="18"/>
        <v>7.8623003772340008E-2</v>
      </c>
      <c r="I169" s="71">
        <f t="shared" si="22"/>
        <v>1.1796767107439442E-2</v>
      </c>
      <c r="L169" s="74"/>
      <c r="M169" s="74"/>
      <c r="N169" s="74"/>
      <c r="O169" s="74"/>
      <c r="P169" s="74"/>
      <c r="Q169" s="74"/>
      <c r="R169" s="74"/>
      <c r="S169" s="74"/>
      <c r="T169" s="74"/>
      <c r="U169" s="74"/>
      <c r="V169" s="74"/>
      <c r="W169" s="74"/>
      <c r="X169" s="74"/>
      <c r="Y169" s="74"/>
      <c r="Z169" s="74"/>
    </row>
    <row r="170" spans="1:26" x14ac:dyDescent="0.3">
      <c r="A170" s="66">
        <f t="shared" si="20"/>
        <v>2006.2999999999852</v>
      </c>
      <c r="B170" s="67">
        <f>LOOKUP(A170+0.01,AmountsB!$A$4:$A$103,AmountsB!$B$4:$B$103)*0.1*$A$2</f>
        <v>463.99885510000001</v>
      </c>
      <c r="C170" s="68">
        <f t="shared" si="19"/>
        <v>27846.69722339998</v>
      </c>
      <c r="D170" s="67">
        <f t="array" ref="D170">SUM($B$7:$B165*$F$1009*EXP(-$F$1009*($A170-$A$7:$A165)))*$F$1010</f>
        <v>2186099.7061254028</v>
      </c>
      <c r="E170" s="67">
        <f t="shared" si="17"/>
        <v>4.1676061007129279</v>
      </c>
      <c r="F170" s="70">
        <f t="shared" si="21"/>
        <v>0.25305704243528898</v>
      </c>
      <c r="G170" s="67">
        <f>E170/'Lookup Tables'!$C$48</f>
        <v>8.3352122014258558</v>
      </c>
      <c r="H170" s="70">
        <f t="shared" si="18"/>
        <v>7.8662605800662477E-2</v>
      </c>
      <c r="I170" s="71">
        <f t="shared" si="22"/>
        <v>1.2002705570053233E-2</v>
      </c>
      <c r="L170" s="74"/>
      <c r="M170" s="74"/>
      <c r="N170" s="74"/>
      <c r="O170" s="74"/>
      <c r="P170" s="74"/>
      <c r="Q170" s="74"/>
      <c r="R170" s="74"/>
      <c r="S170" s="74"/>
      <c r="T170" s="74"/>
      <c r="U170" s="74"/>
      <c r="V170" s="74"/>
      <c r="W170" s="74"/>
      <c r="X170" s="74"/>
      <c r="Y170" s="74"/>
      <c r="Z170" s="74"/>
    </row>
    <row r="171" spans="1:26" x14ac:dyDescent="0.3">
      <c r="A171" s="66">
        <f t="shared" si="20"/>
        <v>2006.3999999999851</v>
      </c>
      <c r="B171" s="67">
        <f>LOOKUP(A171+0.01,AmountsB!$A$4:$A$103,AmountsB!$B$4:$B$103)*0.1*$A$2</f>
        <v>463.99885510000001</v>
      </c>
      <c r="C171" s="68">
        <f t="shared" si="19"/>
        <v>28310.696078499979</v>
      </c>
      <c r="D171" s="67">
        <f t="array" ref="D171">SUM($B$7:$B166*$F$1009*EXP(-$F$1009*($A171-$A$7:$A166)))*$F$1010</f>
        <v>2223555.6087259068</v>
      </c>
      <c r="E171" s="67">
        <f t="shared" si="17"/>
        <v>4.2390124724114271</v>
      </c>
      <c r="F171" s="70">
        <f t="shared" si="21"/>
        <v>0.25739283732482188</v>
      </c>
      <c r="G171" s="67">
        <f>E171/'Lookup Tables'!$C$48</f>
        <v>8.4780249448228542</v>
      </c>
      <c r="H171" s="70">
        <f t="shared" si="18"/>
        <v>7.8699052447229564E-2</v>
      </c>
      <c r="I171" s="71">
        <f t="shared" si="22"/>
        <v>1.2208355920544912E-2</v>
      </c>
      <c r="L171" s="74"/>
      <c r="M171" s="74"/>
      <c r="N171" s="74"/>
      <c r="O171" s="74"/>
      <c r="P171" s="74"/>
      <c r="Q171" s="74"/>
      <c r="R171" s="74"/>
      <c r="S171" s="74"/>
      <c r="T171" s="74"/>
      <c r="U171" s="74"/>
      <c r="V171" s="74"/>
      <c r="W171" s="74"/>
      <c r="X171" s="74"/>
      <c r="Y171" s="74"/>
      <c r="Z171" s="74"/>
    </row>
    <row r="172" spans="1:26" x14ac:dyDescent="0.3">
      <c r="A172" s="66">
        <f t="shared" si="20"/>
        <v>2006.499999999985</v>
      </c>
      <c r="B172" s="67">
        <f>LOOKUP(A172+0.01,AmountsB!$A$4:$A$103,AmountsB!$B$4:$B$103)*0.1*$A$2</f>
        <v>463.99885510000001</v>
      </c>
      <c r="C172" s="68">
        <f t="shared" si="19"/>
        <v>28774.694933599978</v>
      </c>
      <c r="D172" s="67">
        <f t="array" ref="D172">SUM($B$7:$B167*$F$1009*EXP(-$F$1009*($A172-$A$7:$A167)))*$F$1010</f>
        <v>2261769.0286054336</v>
      </c>
      <c r="E172" s="67">
        <f t="shared" si="17"/>
        <v>4.3118629839287115</v>
      </c>
      <c r="F172" s="70">
        <f t="shared" si="21"/>
        <v>0.26181632038415137</v>
      </c>
      <c r="G172" s="67">
        <f>E172/'Lookup Tables'!$C$48</f>
        <v>8.623725967857423</v>
      </c>
      <c r="H172" s="70">
        <f t="shared" si="18"/>
        <v>7.8760702401281524E-2</v>
      </c>
      <c r="I172" s="71">
        <f t="shared" si="22"/>
        <v>1.2418165393714691E-2</v>
      </c>
      <c r="L172" s="74"/>
      <c r="M172" s="74"/>
      <c r="N172" s="74"/>
      <c r="O172" s="74"/>
      <c r="P172" s="74"/>
      <c r="Q172" s="74"/>
      <c r="R172" s="74"/>
      <c r="S172" s="74"/>
      <c r="T172" s="74"/>
      <c r="U172" s="74"/>
      <c r="V172" s="74"/>
      <c r="W172" s="74"/>
      <c r="X172" s="74"/>
      <c r="Y172" s="74"/>
      <c r="Z172" s="74"/>
    </row>
    <row r="173" spans="1:26" x14ac:dyDescent="0.3">
      <c r="A173" s="66">
        <f t="shared" si="20"/>
        <v>2006.5999999999849</v>
      </c>
      <c r="B173" s="67">
        <f>LOOKUP(A173+0.01,AmountsB!$A$4:$A$103,AmountsB!$B$4:$B$103)*0.1*$A$2</f>
        <v>463.99885510000001</v>
      </c>
      <c r="C173" s="68">
        <f t="shared" si="19"/>
        <v>29238.693788699977</v>
      </c>
      <c r="D173" s="67">
        <f t="array" ref="D173">SUM($B$7:$B168*$F$1009*EXP(-$F$1009*($A173-$A$7:$A168)))*$F$1010</f>
        <v>2299928.98712881</v>
      </c>
      <c r="E173" s="67">
        <f t="shared" si="17"/>
        <v>4.3846115760900659</v>
      </c>
      <c r="F173" s="70">
        <f t="shared" si="21"/>
        <v>0.26623361490018882</v>
      </c>
      <c r="G173" s="67">
        <f>E173/'Lookup Tables'!$C$48</f>
        <v>8.7692231521801318</v>
      </c>
      <c r="H173" s="70">
        <f t="shared" si="18"/>
        <v>7.8818563546213888E-2</v>
      </c>
      <c r="I173" s="71">
        <f t="shared" si="22"/>
        <v>1.262768133913939E-2</v>
      </c>
      <c r="L173" s="74"/>
      <c r="M173" s="74"/>
      <c r="N173" s="74"/>
      <c r="O173" s="74"/>
      <c r="P173" s="74"/>
      <c r="Q173" s="74"/>
      <c r="R173" s="74"/>
      <c r="S173" s="74"/>
      <c r="T173" s="74"/>
      <c r="U173" s="74"/>
      <c r="V173" s="74"/>
      <c r="W173" s="74"/>
      <c r="X173" s="74"/>
      <c r="Y173" s="74"/>
      <c r="Z173" s="74"/>
    </row>
    <row r="174" spans="1:26" x14ac:dyDescent="0.3">
      <c r="A174" s="66">
        <f t="shared" si="20"/>
        <v>2006.6999999999848</v>
      </c>
      <c r="B174" s="67">
        <f>LOOKUP(A174+0.01,AmountsB!$A$4:$A$103,AmountsB!$B$4:$B$103)*0.1*$A$2</f>
        <v>463.99885510000001</v>
      </c>
      <c r="C174" s="68">
        <f t="shared" si="19"/>
        <v>29702.692643799975</v>
      </c>
      <c r="D174" s="67">
        <f t="array" ref="D174">SUM($B$7:$B169*$F$1009*EXP(-$F$1009*($A174-$A$7:$A169)))*$F$1010</f>
        <v>2338035.5590895675</v>
      </c>
      <c r="E174" s="67">
        <f t="shared" si="17"/>
        <v>4.4572583914827586</v>
      </c>
      <c r="F174" s="70">
        <f t="shared" si="21"/>
        <v>0.27064472953083313</v>
      </c>
      <c r="G174" s="67">
        <f>E174/'Lookup Tables'!$C$48</f>
        <v>8.9145167829655172</v>
      </c>
      <c r="H174" s="70">
        <f t="shared" si="18"/>
        <v>7.8872815965132764E-2</v>
      </c>
      <c r="I174" s="71">
        <f t="shared" si="22"/>
        <v>1.2836904167470346E-2</v>
      </c>
      <c r="L174" s="74"/>
      <c r="M174" s="74"/>
      <c r="N174" s="74"/>
      <c r="O174" s="74"/>
      <c r="P174" s="74"/>
      <c r="Q174" s="74"/>
      <c r="R174" s="74"/>
      <c r="S174" s="74"/>
      <c r="T174" s="74"/>
      <c r="U174" s="74"/>
      <c r="V174" s="74"/>
      <c r="W174" s="74"/>
      <c r="X174" s="74"/>
      <c r="Y174" s="74"/>
      <c r="Z174" s="74"/>
    </row>
    <row r="175" spans="1:26" x14ac:dyDescent="0.3">
      <c r="A175" s="66">
        <f t="shared" si="20"/>
        <v>2006.7999999999847</v>
      </c>
      <c r="B175" s="67">
        <f>LOOKUP(A175+0.01,AmountsB!$A$4:$A$103,AmountsB!$B$4:$B$103)*0.1*$A$2</f>
        <v>463.99885510000001</v>
      </c>
      <c r="C175" s="68">
        <f t="shared" si="19"/>
        <v>30166.691498899974</v>
      </c>
      <c r="D175" s="67">
        <f t="array" ref="D175">SUM($B$7:$B170*$F$1009*EXP(-$F$1009*($A175-$A$7:$A170)))*$F$1010</f>
        <v>2376088.819176598</v>
      </c>
      <c r="E175" s="67">
        <f t="shared" si="17"/>
        <v>4.5298035724945649</v>
      </c>
      <c r="F175" s="70">
        <f t="shared" si="21"/>
        <v>0.27504967292187005</v>
      </c>
      <c r="G175" s="67">
        <f>E175/'Lookup Tables'!$C$48</f>
        <v>9.0596071449891298</v>
      </c>
      <c r="H175" s="70">
        <f t="shared" si="18"/>
        <v>7.8923628658116571E-2</v>
      </c>
      <c r="I175" s="71">
        <f t="shared" si="22"/>
        <v>1.3045834288784348E-2</v>
      </c>
      <c r="L175" s="74"/>
      <c r="M175" s="74"/>
      <c r="N175" s="74"/>
      <c r="O175" s="74"/>
      <c r="P175" s="74"/>
      <c r="Q175" s="74"/>
      <c r="R175" s="74"/>
      <c r="S175" s="74"/>
      <c r="T175" s="74"/>
      <c r="U175" s="74"/>
      <c r="V175" s="74"/>
      <c r="W175" s="74"/>
      <c r="X175" s="74"/>
      <c r="Y175" s="74"/>
      <c r="Z175" s="74"/>
    </row>
    <row r="176" spans="1:26" x14ac:dyDescent="0.3">
      <c r="A176" s="66">
        <f t="shared" si="20"/>
        <v>2006.8999999999846</v>
      </c>
      <c r="B176" s="67">
        <f>LOOKUP(A176+0.01,AmountsB!$A$4:$A$103,AmountsB!$B$4:$B$103)*0.1*$A$2</f>
        <v>463.99885510000001</v>
      </c>
      <c r="C176" s="68">
        <f t="shared" si="19"/>
        <v>30630.690353999973</v>
      </c>
      <c r="D176" s="67">
        <f t="array" ref="D176">SUM($B$7:$B171*$F$1009*EXP(-$F$1009*($A176-$A$7:$A171)))*$F$1010</f>
        <v>2414088.8419743069</v>
      </c>
      <c r="E176" s="67">
        <f t="shared" si="17"/>
        <v>4.6022472613140701</v>
      </c>
      <c r="F176" s="70">
        <f t="shared" si="21"/>
        <v>0.27944845370699029</v>
      </c>
      <c r="G176" s="67">
        <f>E176/'Lookup Tables'!$C$48</f>
        <v>9.2044945226281403</v>
      </c>
      <c r="H176" s="70">
        <f t="shared" si="18"/>
        <v>7.8971160381659258E-2</v>
      </c>
      <c r="I176" s="71">
        <f t="shared" si="22"/>
        <v>1.3254472112584521E-2</v>
      </c>
      <c r="L176" s="74"/>
      <c r="M176" s="74"/>
      <c r="N176" s="74"/>
      <c r="O176" s="74"/>
      <c r="P176" s="74"/>
      <c r="Q176" s="74"/>
      <c r="R176" s="74"/>
      <c r="S176" s="74"/>
      <c r="T176" s="74"/>
      <c r="U176" s="74"/>
      <c r="V176" s="74"/>
      <c r="W176" s="74"/>
      <c r="X176" s="74"/>
      <c r="Y176" s="74"/>
      <c r="Z176" s="74"/>
    </row>
    <row r="177" spans="1:26" x14ac:dyDescent="0.3">
      <c r="A177" s="66">
        <f t="shared" si="20"/>
        <v>2006.9999999999845</v>
      </c>
      <c r="B177" s="67">
        <f>LOOKUP(A177+0.01,AmountsB!$A$4:$A$103,AmountsB!$B$4:$B$103)*0.1*$A$2</f>
        <v>473.27470960000005</v>
      </c>
      <c r="C177" s="68">
        <f t="shared" si="19"/>
        <v>31103.965063599971</v>
      </c>
      <c r="D177" s="67">
        <f t="array" ref="D177">SUM($B$7:$B172*$F$1009*EXP(-$F$1009*($A177-$A$7:$A172)))*$F$1010</f>
        <v>2452035.7019627467</v>
      </c>
      <c r="E177" s="67">
        <f t="shared" si="17"/>
        <v>4.674589599930921</v>
      </c>
      <c r="F177" s="70">
        <f t="shared" si="21"/>
        <v>0.28384108050780549</v>
      </c>
      <c r="G177" s="67">
        <f>E177/'Lookup Tables'!$C$48</f>
        <v>9.3491791998618421</v>
      </c>
      <c r="H177" s="70">
        <f t="shared" si="18"/>
        <v>7.8991996316218949E-2</v>
      </c>
      <c r="I177" s="71">
        <f t="shared" si="22"/>
        <v>1.3462818047801051E-2</v>
      </c>
      <c r="L177" s="74"/>
      <c r="M177" s="74"/>
      <c r="N177" s="74"/>
      <c r="O177" s="74"/>
      <c r="P177" s="74"/>
      <c r="Q177" s="74"/>
      <c r="R177" s="74"/>
      <c r="S177" s="74"/>
      <c r="T177" s="74"/>
      <c r="U177" s="74"/>
      <c r="V177" s="74"/>
      <c r="W177" s="74"/>
      <c r="X177" s="74"/>
      <c r="Y177" s="74"/>
      <c r="Z177" s="74"/>
    </row>
    <row r="178" spans="1:26" x14ac:dyDescent="0.3">
      <c r="A178" s="66">
        <f t="shared" si="20"/>
        <v>2007.0999999999844</v>
      </c>
      <c r="B178" s="67">
        <f>LOOKUP(A178+0.01,AmountsB!$A$4:$A$103,AmountsB!$B$4:$B$103)*0.1*$A$2</f>
        <v>473.27470960000005</v>
      </c>
      <c r="C178" s="68">
        <f t="shared" si="19"/>
        <v>31577.23977319997</v>
      </c>
      <c r="D178" s="67">
        <f t="array" ref="D178">SUM($B$7:$B173*$F$1009*EXP(-$F$1009*($A178-$A$7:$A173)))*$F$1010</f>
        <v>2489929.4735177783</v>
      </c>
      <c r="E178" s="67">
        <f t="shared" si="17"/>
        <v>4.7468307301361286</v>
      </c>
      <c r="F178" s="70">
        <f t="shared" si="21"/>
        <v>0.28822756193386573</v>
      </c>
      <c r="G178" s="67">
        <f>E178/'Lookup Tables'!$C$48</f>
        <v>9.4936614602722571</v>
      </c>
      <c r="H178" s="70">
        <f t="shared" si="18"/>
        <v>7.901052307545367E-2</v>
      </c>
      <c r="I178" s="71">
        <f t="shared" si="22"/>
        <v>1.3670872502792052E-2</v>
      </c>
      <c r="L178" s="74"/>
      <c r="M178" s="74"/>
      <c r="N178" s="74"/>
      <c r="O178" s="74"/>
      <c r="P178" s="74"/>
      <c r="Q178" s="74"/>
      <c r="R178" s="74"/>
      <c r="S178" s="74"/>
      <c r="T178" s="74"/>
      <c r="U178" s="74"/>
      <c r="V178" s="74"/>
      <c r="W178" s="74"/>
      <c r="X178" s="74"/>
      <c r="Y178" s="74"/>
      <c r="Z178" s="74"/>
    </row>
    <row r="179" spans="1:26" x14ac:dyDescent="0.3">
      <c r="A179" s="66">
        <f t="shared" si="20"/>
        <v>2007.1999999999844</v>
      </c>
      <c r="B179" s="67">
        <f>LOOKUP(A179+0.01,AmountsB!$A$4:$A$103,AmountsB!$B$4:$B$103)*0.1*$A$2</f>
        <v>473.27470960000005</v>
      </c>
      <c r="C179" s="68">
        <f t="shared" si="19"/>
        <v>32050.514482799968</v>
      </c>
      <c r="D179" s="67">
        <f t="array" ref="D179">SUM($B$7:$B174*$F$1009*EXP(-$F$1009*($A179-$A$7:$A174)))*$F$1010</f>
        <v>2527770.2309112051</v>
      </c>
      <c r="E179" s="67">
        <f t="shared" si="17"/>
        <v>4.8189707935223298</v>
      </c>
      <c r="F179" s="70">
        <f t="shared" si="21"/>
        <v>0.29260790658267588</v>
      </c>
      <c r="G179" s="67">
        <f>E179/'Lookup Tables'!$C$48</f>
        <v>9.6379415870446596</v>
      </c>
      <c r="H179" s="70">
        <f t="shared" si="18"/>
        <v>7.9026845276839494E-2</v>
      </c>
      <c r="I179" s="71">
        <f t="shared" si="22"/>
        <v>1.387863588534431E-2</v>
      </c>
      <c r="L179" s="74"/>
      <c r="M179" s="74"/>
      <c r="N179" s="74"/>
      <c r="O179" s="74"/>
      <c r="P179" s="74"/>
      <c r="Q179" s="74"/>
      <c r="R179" s="74"/>
      <c r="S179" s="74"/>
      <c r="T179" s="74"/>
      <c r="U179" s="74"/>
      <c r="V179" s="74"/>
      <c r="W179" s="74"/>
      <c r="X179" s="74"/>
      <c r="Y179" s="74"/>
      <c r="Z179" s="74"/>
    </row>
    <row r="180" spans="1:26" x14ac:dyDescent="0.3">
      <c r="A180" s="66">
        <f t="shared" si="20"/>
        <v>2007.2999999999843</v>
      </c>
      <c r="B180" s="67">
        <f>LOOKUP(A180+0.01,AmountsB!$A$4:$A$103,AmountsB!$B$4:$B$103)*0.1*$A$2</f>
        <v>473.27470960000005</v>
      </c>
      <c r="C180" s="68">
        <f t="shared" si="19"/>
        <v>32523.789192399967</v>
      </c>
      <c r="D180" s="67">
        <f t="array" ref="D180">SUM($B$7:$B175*$F$1009*EXP(-$F$1009*($A180-$A$7:$A175)))*$F$1010</f>
        <v>2565558.0483109229</v>
      </c>
      <c r="E180" s="67">
        <f t="shared" si="17"/>
        <v>4.8910099314840716</v>
      </c>
      <c r="F180" s="70">
        <f t="shared" si="21"/>
        <v>0.29698212303971278</v>
      </c>
      <c r="G180" s="67">
        <f>E180/'Lookup Tables'!$C$48</f>
        <v>9.7820198629681432</v>
      </c>
      <c r="H180" s="70">
        <f t="shared" si="18"/>
        <v>7.9041061445224908E-2</v>
      </c>
      <c r="I180" s="71">
        <f t="shared" si="22"/>
        <v>1.4086108602674126E-2</v>
      </c>
      <c r="L180" s="74"/>
      <c r="M180" s="74"/>
      <c r="N180" s="74"/>
      <c r="O180" s="74"/>
      <c r="P180" s="74"/>
      <c r="Q180" s="74"/>
      <c r="R180" s="74"/>
      <c r="S180" s="74"/>
      <c r="T180" s="74"/>
      <c r="U180" s="74"/>
      <c r="V180" s="74"/>
      <c r="W180" s="74"/>
      <c r="X180" s="74"/>
      <c r="Y180" s="74"/>
      <c r="Z180" s="74"/>
    </row>
    <row r="181" spans="1:26" x14ac:dyDescent="0.3">
      <c r="A181" s="66">
        <f t="shared" si="20"/>
        <v>2007.3999999999842</v>
      </c>
      <c r="B181" s="67">
        <f>LOOKUP(A181+0.01,AmountsB!$A$4:$A$103,AmountsB!$B$4:$B$103)*0.1*$A$2</f>
        <v>473.27470960000005</v>
      </c>
      <c r="C181" s="68">
        <f t="shared" si="19"/>
        <v>32997.063901999965</v>
      </c>
      <c r="D181" s="67">
        <f t="array" ref="D181">SUM($B$7:$B176*$F$1009*EXP(-$F$1009*($A181-$A$7:$A176)))*$F$1010</f>
        <v>2603292.9997810666</v>
      </c>
      <c r="E181" s="67">
        <f t="shared" si="17"/>
        <v>4.9629482852180873</v>
      </c>
      <c r="F181" s="70">
        <f t="shared" si="21"/>
        <v>0.30135021987844224</v>
      </c>
      <c r="G181" s="67">
        <f>E181/'Lookup Tables'!$C$48</f>
        <v>9.9258965704361746</v>
      </c>
      <c r="H181" s="70">
        <f t="shared" si="18"/>
        <v>7.9053264449765875E-2</v>
      </c>
      <c r="I181" s="71">
        <f t="shared" si="22"/>
        <v>1.4293291061428091E-2</v>
      </c>
      <c r="L181" s="74"/>
      <c r="M181" s="74"/>
      <c r="N181" s="74"/>
      <c r="O181" s="74"/>
      <c r="P181" s="74"/>
      <c r="Q181" s="74"/>
      <c r="R181" s="74"/>
      <c r="S181" s="74"/>
      <c r="T181" s="74"/>
      <c r="U181" s="74"/>
      <c r="V181" s="74"/>
      <c r="W181" s="74"/>
      <c r="X181" s="74"/>
      <c r="Y181" s="74"/>
      <c r="Z181" s="74"/>
    </row>
    <row r="182" spans="1:26" x14ac:dyDescent="0.3">
      <c r="A182" s="66">
        <f t="shared" si="20"/>
        <v>2007.4999999999841</v>
      </c>
      <c r="B182" s="67">
        <f>LOOKUP(A182+0.01,AmountsB!$A$4:$A$103,AmountsB!$B$4:$B$103)*0.1*$A$2</f>
        <v>473.27470960000005</v>
      </c>
      <c r="C182" s="68">
        <f t="shared" si="19"/>
        <v>33470.338611599967</v>
      </c>
      <c r="D182" s="67">
        <f t="array" ref="D182">SUM($B$7:$B177*$F$1009*EXP(-$F$1009*($A182-$A$7:$A177)))*$F$1010</f>
        <v>2641801.2765122163</v>
      </c>
      <c r="E182" s="67">
        <f t="shared" si="17"/>
        <v>5.0363609152930096</v>
      </c>
      <c r="F182" s="70">
        <f t="shared" si="21"/>
        <v>0.30580783477659151</v>
      </c>
      <c r="G182" s="67">
        <f>E182/'Lookup Tables'!$C$48</f>
        <v>10.072721830586019</v>
      </c>
      <c r="H182" s="70">
        <f t="shared" si="18"/>
        <v>7.9088273584438262E-2</v>
      </c>
      <c r="I182" s="71">
        <f t="shared" si="22"/>
        <v>1.4504719436043867E-2</v>
      </c>
      <c r="L182" s="74"/>
      <c r="M182" s="74"/>
      <c r="N182" s="74"/>
      <c r="O182" s="74"/>
      <c r="P182" s="74"/>
      <c r="Q182" s="74"/>
      <c r="R182" s="74"/>
      <c r="S182" s="74"/>
      <c r="T182" s="74"/>
      <c r="U182" s="74"/>
      <c r="V182" s="74"/>
      <c r="W182" s="74"/>
      <c r="X182" s="74"/>
      <c r="Y182" s="74"/>
      <c r="Z182" s="74"/>
    </row>
    <row r="183" spans="1:26" x14ac:dyDescent="0.3">
      <c r="A183" s="66">
        <f t="shared" si="20"/>
        <v>2007.599999999984</v>
      </c>
      <c r="B183" s="67">
        <f>LOOKUP(A183+0.01,AmountsB!$A$4:$A$103,AmountsB!$B$4:$B$103)*0.1*$A$2</f>
        <v>473.27470960000005</v>
      </c>
      <c r="C183" s="68">
        <f t="shared" si="19"/>
        <v>33943.61332119997</v>
      </c>
      <c r="D183" s="67">
        <f t="array" ref="D183">SUM($B$7:$B178*$F$1009*EXP(-$F$1009*($A183-$A$7:$A178)))*$F$1010</f>
        <v>2680255.679376449</v>
      </c>
      <c r="E183" s="67">
        <f t="shared" si="17"/>
        <v>5.1096708395966433</v>
      </c>
      <c r="F183" s="70">
        <f t="shared" si="21"/>
        <v>0.31025921338030821</v>
      </c>
      <c r="G183" s="67">
        <f>E183/'Lookup Tables'!$C$48</f>
        <v>10.219341679193287</v>
      </c>
      <c r="H183" s="70">
        <f t="shared" si="18"/>
        <v>7.912071610875436E-2</v>
      </c>
      <c r="I183" s="71">
        <f t="shared" si="22"/>
        <v>1.4715852018038331E-2</v>
      </c>
      <c r="L183" s="74"/>
      <c r="M183" s="74"/>
      <c r="N183" s="74"/>
      <c r="O183" s="74"/>
      <c r="P183" s="74"/>
      <c r="Q183" s="74"/>
      <c r="R183" s="74"/>
      <c r="S183" s="74"/>
      <c r="T183" s="74"/>
      <c r="U183" s="74"/>
      <c r="V183" s="74"/>
      <c r="W183" s="74"/>
      <c r="X183" s="74"/>
      <c r="Y183" s="74"/>
      <c r="Z183" s="74"/>
    </row>
    <row r="184" spans="1:26" x14ac:dyDescent="0.3">
      <c r="A184" s="66">
        <f t="shared" si="20"/>
        <v>2007.6999999999839</v>
      </c>
      <c r="B184" s="67">
        <f>LOOKUP(A184+0.01,AmountsB!$A$4:$A$103,AmountsB!$B$4:$B$103)*0.1*$A$2</f>
        <v>473.27470960000005</v>
      </c>
      <c r="C184" s="68">
        <f t="shared" si="19"/>
        <v>34416.888030799972</v>
      </c>
      <c r="D184" s="67">
        <f t="array" ref="D184">SUM($B$7:$B179*$F$1009*EXP(-$F$1009*($A184-$A$7:$A179)))*$F$1010</f>
        <v>2718656.2837444055</v>
      </c>
      <c r="E184" s="67">
        <f t="shared" si="17"/>
        <v>5.182878201816461</v>
      </c>
      <c r="F184" s="70">
        <f t="shared" si="21"/>
        <v>0.31470436441429545</v>
      </c>
      <c r="G184" s="67">
        <f>E184/'Lookup Tables'!$C$48</f>
        <v>10.365756403632922</v>
      </c>
      <c r="H184" s="70">
        <f t="shared" si="18"/>
        <v>7.9150700099233043E-2</v>
      </c>
      <c r="I184" s="71">
        <f t="shared" si="22"/>
        <v>1.4926689221231406E-2</v>
      </c>
      <c r="L184" s="74"/>
      <c r="M184" s="74"/>
      <c r="N184" s="74"/>
      <c r="O184" s="74"/>
      <c r="P184" s="74"/>
      <c r="Q184" s="74"/>
      <c r="R184" s="74"/>
      <c r="S184" s="74"/>
      <c r="T184" s="74"/>
      <c r="U184" s="74"/>
      <c r="V184" s="74"/>
      <c r="W184" s="74"/>
      <c r="X184" s="74"/>
      <c r="Y184" s="74"/>
      <c r="Z184" s="74"/>
    </row>
    <row r="185" spans="1:26" x14ac:dyDescent="0.3">
      <c r="A185" s="66">
        <f t="shared" si="20"/>
        <v>2007.7999999999838</v>
      </c>
      <c r="B185" s="67">
        <f>LOOKUP(A185+0.01,AmountsB!$A$4:$A$103,AmountsB!$B$4:$B$103)*0.1*$A$2</f>
        <v>473.27470960000005</v>
      </c>
      <c r="C185" s="68">
        <f t="shared" si="19"/>
        <v>34890.162740399974</v>
      </c>
      <c r="D185" s="67">
        <f t="array" ref="D185">SUM($B$7:$B180*$F$1009*EXP(-$F$1009*($A185-$A$7:$A180)))*$F$1010</f>
        <v>2757003.1648812839</v>
      </c>
      <c r="E185" s="67">
        <f t="shared" si="17"/>
        <v>5.2559831454389183</v>
      </c>
      <c r="F185" s="70">
        <f t="shared" si="21"/>
        <v>0.31914329659105112</v>
      </c>
      <c r="G185" s="67">
        <f>E185/'Lookup Tables'!$C$48</f>
        <v>10.511966290877837</v>
      </c>
      <c r="H185" s="70">
        <f t="shared" si="18"/>
        <v>7.9178327765261264E-2</v>
      </c>
      <c r="I185" s="71">
        <f t="shared" si="22"/>
        <v>1.5137231458864083E-2</v>
      </c>
      <c r="L185" s="74"/>
      <c r="M185" s="74"/>
      <c r="N185" s="74"/>
      <c r="O185" s="74"/>
      <c r="P185" s="74"/>
      <c r="Q185" s="74"/>
      <c r="R185" s="74"/>
      <c r="S185" s="74"/>
      <c r="T185" s="74"/>
      <c r="U185" s="74"/>
      <c r="V185" s="74"/>
      <c r="W185" s="74"/>
      <c r="X185" s="74"/>
      <c r="Y185" s="74"/>
      <c r="Z185" s="74"/>
    </row>
    <row r="186" spans="1:26" x14ac:dyDescent="0.3">
      <c r="A186" s="66">
        <f t="shared" si="20"/>
        <v>2007.8999999999837</v>
      </c>
      <c r="B186" s="67">
        <f>LOOKUP(A186+0.01,AmountsB!$A$4:$A$103,AmountsB!$B$4:$B$103)*0.1*$A$2</f>
        <v>473.27470960000005</v>
      </c>
      <c r="C186" s="68">
        <f t="shared" si="19"/>
        <v>35363.437449999976</v>
      </c>
      <c r="D186" s="67">
        <f t="array" ref="D186">SUM($B$7:$B181*$F$1009*EXP(-$F$1009*($A186-$A$7:$A181)))*$F$1010</f>
        <v>2795296.3979469822</v>
      </c>
      <c r="E186" s="67">
        <f t="shared" si="17"/>
        <v>5.3289858137497257</v>
      </c>
      <c r="F186" s="70">
        <f t="shared" si="21"/>
        <v>0.32357601861088331</v>
      </c>
      <c r="G186" s="67">
        <f>E186/'Lookup Tables'!$C$48</f>
        <v>10.657971627499451</v>
      </c>
      <c r="H186" s="70">
        <f t="shared" si="18"/>
        <v>7.9203695841702115E-2</v>
      </c>
      <c r="I186" s="71">
        <f t="shared" si="22"/>
        <v>1.534747914359921E-2</v>
      </c>
      <c r="L186" s="74"/>
      <c r="M186" s="74"/>
      <c r="N186" s="74"/>
      <c r="O186" s="74"/>
      <c r="P186" s="74"/>
      <c r="Q186" s="74"/>
      <c r="R186" s="74"/>
      <c r="S186" s="74"/>
      <c r="T186" s="74"/>
      <c r="U186" s="74"/>
      <c r="V186" s="74"/>
      <c r="W186" s="74"/>
      <c r="X186" s="74"/>
      <c r="Y186" s="74"/>
      <c r="Z186" s="74"/>
    </row>
    <row r="187" spans="1:26" x14ac:dyDescent="0.3">
      <c r="A187" s="66">
        <f t="shared" si="20"/>
        <v>2007.9999999999836</v>
      </c>
      <c r="B187" s="67">
        <f>LOOKUP(A187+0.01,AmountsB!$A$4:$A$103,AmountsB!$B$4:$B$103)*0.1*$A$2</f>
        <v>482.74456890000005</v>
      </c>
      <c r="C187" s="68">
        <f t="shared" si="19"/>
        <v>35846.182018899977</v>
      </c>
      <c r="D187" s="67">
        <f t="array" ref="D187">SUM($B$7:$B182*$F$1009*EXP(-$F$1009*($A187-$A$7:$A182)))*$F$1010</f>
        <v>2833536.0579962512</v>
      </c>
      <c r="E187" s="67">
        <f t="shared" si="17"/>
        <v>5.4018863498341396</v>
      </c>
      <c r="F187" s="70">
        <f t="shared" si="21"/>
        <v>0.32800253916192895</v>
      </c>
      <c r="G187" s="67">
        <f>E187/'Lookup Tables'!$C$48</f>
        <v>10.803772699668279</v>
      </c>
      <c r="H187" s="70">
        <f t="shared" si="18"/>
        <v>7.9205965756013644E-2</v>
      </c>
      <c r="I187" s="71">
        <f t="shared" si="22"/>
        <v>1.5557432687522322E-2</v>
      </c>
      <c r="L187" s="74"/>
      <c r="M187" s="74"/>
      <c r="N187" s="74"/>
      <c r="O187" s="74"/>
      <c r="P187" s="74"/>
      <c r="Q187" s="74"/>
      <c r="R187" s="74"/>
      <c r="S187" s="74"/>
      <c r="T187" s="74"/>
      <c r="U187" s="74"/>
      <c r="V187" s="74"/>
      <c r="W187" s="74"/>
      <c r="X187" s="74"/>
      <c r="Y187" s="74"/>
      <c r="Z187" s="74"/>
    </row>
    <row r="188" spans="1:26" x14ac:dyDescent="0.3">
      <c r="A188" s="66">
        <f t="shared" si="20"/>
        <v>2008.0999999999835</v>
      </c>
      <c r="B188" s="67">
        <f>LOOKUP(A188+0.01,AmountsB!$A$4:$A$103,AmountsB!$B$4:$B$103)*0.1*$A$2</f>
        <v>482.74456890000005</v>
      </c>
      <c r="C188" s="68">
        <f t="shared" si="19"/>
        <v>36328.926587799979</v>
      </c>
      <c r="D188" s="67">
        <f t="array" ref="D188">SUM($B$7:$B183*$F$1009*EXP(-$F$1009*($A188-$A$7:$A183)))*$F$1010</f>
        <v>2871722.2199788359</v>
      </c>
      <c r="E188" s="67">
        <f t="shared" si="17"/>
        <v>5.4746848965772328</v>
      </c>
      <c r="F188" s="70">
        <f t="shared" si="21"/>
        <v>0.33242286692016954</v>
      </c>
      <c r="G188" s="67">
        <f>E188/'Lookup Tables'!$C$48</f>
        <v>10.949369793154466</v>
      </c>
      <c r="H188" s="70">
        <f t="shared" si="18"/>
        <v>7.9206699781967038E-2</v>
      </c>
      <c r="I188" s="71">
        <f t="shared" si="22"/>
        <v>1.5767092502142432E-2</v>
      </c>
      <c r="L188" s="74"/>
      <c r="M188" s="74"/>
      <c r="N188" s="74"/>
      <c r="O188" s="74"/>
      <c r="P188" s="74"/>
      <c r="Q188" s="74"/>
      <c r="R188" s="74"/>
      <c r="S188" s="74"/>
      <c r="T188" s="74"/>
      <c r="U188" s="74"/>
      <c r="V188" s="74"/>
      <c r="W188" s="74"/>
      <c r="X188" s="74"/>
      <c r="Y188" s="74"/>
      <c r="Z188" s="74"/>
    </row>
    <row r="189" spans="1:26" x14ac:dyDescent="0.3">
      <c r="A189" s="66">
        <f t="shared" si="20"/>
        <v>2008.1999999999834</v>
      </c>
      <c r="B189" s="67">
        <f>LOOKUP(A189+0.01,AmountsB!$A$4:$A$103,AmountsB!$B$4:$B$103)*0.1*$A$2</f>
        <v>482.74456890000005</v>
      </c>
      <c r="C189" s="68">
        <f t="shared" si="19"/>
        <v>36811.67115669998</v>
      </c>
      <c r="D189" s="67">
        <f t="array" ref="D189">SUM($B$7:$B184*$F$1009*EXP(-$F$1009*($A189-$A$7:$A184)))*$F$1010</f>
        <v>2909854.9587396258</v>
      </c>
      <c r="E189" s="67">
        <f t="shared" si="17"/>
        <v>5.5473815966641791</v>
      </c>
      <c r="F189" s="70">
        <f t="shared" si="21"/>
        <v>0.33683701054944898</v>
      </c>
      <c r="G189" s="67">
        <f>E189/'Lookup Tables'!$C$48</f>
        <v>11.094763193328358</v>
      </c>
      <c r="H189" s="70">
        <f t="shared" si="18"/>
        <v>7.9205960381291032E-2</v>
      </c>
      <c r="I189" s="71">
        <f t="shared" si="22"/>
        <v>1.5976458998392836E-2</v>
      </c>
      <c r="L189" s="74"/>
      <c r="M189" s="74"/>
      <c r="N189" s="74"/>
      <c r="O189" s="74"/>
      <c r="P189" s="74"/>
      <c r="Q189" s="74"/>
      <c r="R189" s="74"/>
      <c r="S189" s="74"/>
      <c r="T189" s="74"/>
      <c r="U189" s="74"/>
      <c r="V189" s="74"/>
      <c r="W189" s="74"/>
      <c r="X189" s="74"/>
      <c r="Y189" s="74"/>
      <c r="Z189" s="74"/>
    </row>
    <row r="190" spans="1:26" x14ac:dyDescent="0.3">
      <c r="A190" s="66">
        <f t="shared" si="20"/>
        <v>2008.2999999999834</v>
      </c>
      <c r="B190" s="67">
        <f>LOOKUP(A190+0.01,AmountsB!$A$4:$A$103,AmountsB!$B$4:$B$103)*0.1*$A$2</f>
        <v>482.74456890000005</v>
      </c>
      <c r="C190" s="68">
        <f t="shared" si="19"/>
        <v>37294.415725599982</v>
      </c>
      <c r="D190" s="67">
        <f t="array" ref="D190">SUM($B$7:$B185*$F$1009*EXP(-$F$1009*($A190-$A$7:$A185)))*$F$1010</f>
        <v>2947934.3490188024</v>
      </c>
      <c r="E190" s="67">
        <f t="shared" si="17"/>
        <v>5.6199765925805369</v>
      </c>
      <c r="F190" s="70">
        <f t="shared" si="21"/>
        <v>0.34124497870149023</v>
      </c>
      <c r="G190" s="67">
        <f>E190/'Lookup Tables'!$C$48</f>
        <v>11.239953185161074</v>
      </c>
      <c r="H190" s="70">
        <f t="shared" si="18"/>
        <v>7.920380677884474E-2</v>
      </c>
      <c r="I190" s="71">
        <f t="shared" si="22"/>
        <v>1.6185532586631947E-2</v>
      </c>
      <c r="L190" s="74"/>
      <c r="M190" s="74"/>
      <c r="N190" s="74"/>
      <c r="O190" s="74"/>
      <c r="P190" s="74"/>
      <c r="Q190" s="74"/>
      <c r="R190" s="74"/>
      <c r="S190" s="74"/>
      <c r="T190" s="74"/>
      <c r="U190" s="74"/>
      <c r="V190" s="74"/>
      <c r="W190" s="74"/>
      <c r="X190" s="74"/>
      <c r="Y190" s="74"/>
      <c r="Z190" s="74"/>
    </row>
    <row r="191" spans="1:26" x14ac:dyDescent="0.3">
      <c r="A191" s="66">
        <f t="shared" si="20"/>
        <v>2008.3999999999833</v>
      </c>
      <c r="B191" s="67">
        <f>LOOKUP(A191+0.01,AmountsB!$A$4:$A$103,AmountsB!$B$4:$B$103)*0.1*$A$2</f>
        <v>482.74456890000005</v>
      </c>
      <c r="C191" s="68">
        <f t="shared" si="19"/>
        <v>37777.160294499983</v>
      </c>
      <c r="D191" s="67">
        <f t="array" ref="D191">SUM($B$7:$B186*$F$1009*EXP(-$F$1009*($A191-$A$7:$A186)))*$F$1010</f>
        <v>2985960.4654519805</v>
      </c>
      <c r="E191" s="67">
        <f t="shared" si="17"/>
        <v>5.6924700266125168</v>
      </c>
      <c r="F191" s="70">
        <f t="shared" si="21"/>
        <v>0.34564678001591204</v>
      </c>
      <c r="G191" s="67">
        <f>E191/'Lookup Tables'!$C$48</f>
        <v>11.384940053225034</v>
      </c>
      <c r="H191" s="70">
        <f t="shared" si="18"/>
        <v>7.9200295169437121E-2</v>
      </c>
      <c r="I191" s="71">
        <f t="shared" si="22"/>
        <v>1.639431367664405E-2</v>
      </c>
      <c r="L191" s="74"/>
      <c r="M191" s="74"/>
      <c r="N191" s="74"/>
      <c r="O191" s="74"/>
      <c r="P191" s="74"/>
      <c r="Q191" s="74"/>
      <c r="R191" s="74"/>
      <c r="S191" s="74"/>
      <c r="T191" s="74"/>
      <c r="U191" s="74"/>
      <c r="V191" s="74"/>
      <c r="W191" s="74"/>
      <c r="X191" s="74"/>
      <c r="Y191" s="74"/>
      <c r="Z191" s="74"/>
    </row>
    <row r="192" spans="1:26" x14ac:dyDescent="0.3">
      <c r="A192" s="66">
        <f t="shared" si="20"/>
        <v>2008.4999999999832</v>
      </c>
      <c r="B192" s="67">
        <f>LOOKUP(A192+0.01,AmountsB!$A$4:$A$103,AmountsB!$B$4:$B$103)*0.1*$A$2</f>
        <v>482.74456890000005</v>
      </c>
      <c r="C192" s="68">
        <f t="shared" si="19"/>
        <v>38259.904863399985</v>
      </c>
      <c r="D192" s="67">
        <f t="array" ref="D192">SUM($B$7:$B187*$F$1009*EXP(-$F$1009*($A192-$A$7:$A187)))*$F$1010</f>
        <v>3024776.7780692889</v>
      </c>
      <c r="E192" s="67">
        <f t="shared" si="17"/>
        <v>5.7664698999109749</v>
      </c>
      <c r="F192" s="70">
        <f t="shared" si="21"/>
        <v>0.35014005232259438</v>
      </c>
      <c r="G192" s="67">
        <f>E192/'Lookup Tables'!$C$48</f>
        <v>11.53293979982195</v>
      </c>
      <c r="H192" s="70">
        <f t="shared" si="18"/>
        <v>7.9217567064380573E-2</v>
      </c>
      <c r="I192" s="71">
        <f t="shared" si="22"/>
        <v>1.6607433311743608E-2</v>
      </c>
      <c r="L192" s="74"/>
      <c r="M192" s="74"/>
      <c r="N192" s="74"/>
      <c r="O192" s="74"/>
      <c r="P192" s="74"/>
      <c r="Q192" s="74"/>
      <c r="R192" s="74"/>
      <c r="S192" s="74"/>
      <c r="T192" s="74"/>
      <c r="U192" s="74"/>
      <c r="V192" s="74"/>
      <c r="W192" s="74"/>
      <c r="X192" s="74"/>
      <c r="Y192" s="74"/>
      <c r="Z192" s="74"/>
    </row>
    <row r="193" spans="1:26" x14ac:dyDescent="0.3">
      <c r="A193" s="66">
        <f t="shared" si="20"/>
        <v>2008.5999999999831</v>
      </c>
      <c r="B193" s="67">
        <f>LOOKUP(A193+0.01,AmountsB!$A$4:$A$103,AmountsB!$B$4:$B$103)*0.1*$A$2</f>
        <v>482.74456890000005</v>
      </c>
      <c r="C193" s="68">
        <f t="shared" si="19"/>
        <v>38742.649432299986</v>
      </c>
      <c r="D193" s="67">
        <f t="array" ref="D193">SUM($B$7:$B188*$F$1009*EXP(-$F$1009*($A193-$A$7:$A188)))*$F$1010</f>
        <v>3063538.7858711733</v>
      </c>
      <c r="E193" s="67">
        <f t="shared" si="17"/>
        <v>5.8403662458728585</v>
      </c>
      <c r="F193" s="70">
        <f t="shared" si="21"/>
        <v>0.35462703844939997</v>
      </c>
      <c r="G193" s="67">
        <f>E193/'Lookup Tables'!$C$48</f>
        <v>11.680732491745717</v>
      </c>
      <c r="H193" s="70">
        <f t="shared" si="18"/>
        <v>7.9233004035897184E-2</v>
      </c>
      <c r="I193" s="71">
        <f t="shared" si="22"/>
        <v>1.6820254788113831E-2</v>
      </c>
      <c r="L193" s="74"/>
      <c r="M193" s="74"/>
      <c r="N193" s="74"/>
      <c r="O193" s="74"/>
      <c r="P193" s="74"/>
      <c r="Q193" s="74"/>
      <c r="R193" s="74"/>
      <c r="S193" s="74"/>
      <c r="T193" s="74"/>
      <c r="U193" s="74"/>
      <c r="V193" s="74"/>
      <c r="W193" s="74"/>
      <c r="X193" s="74"/>
      <c r="Y193" s="74"/>
      <c r="Z193" s="74"/>
    </row>
    <row r="194" spans="1:26" x14ac:dyDescent="0.3">
      <c r="A194" s="66">
        <f t="shared" si="20"/>
        <v>2008.699999999983</v>
      </c>
      <c r="B194" s="67">
        <f>LOOKUP(A194+0.01,AmountsB!$A$4:$A$103,AmountsB!$B$4:$B$103)*0.1*$A$2</f>
        <v>482.74456890000005</v>
      </c>
      <c r="C194" s="68">
        <f t="shared" si="19"/>
        <v>39225.394001199988</v>
      </c>
      <c r="D194" s="67">
        <f t="array" ref="D194">SUM($B$7:$B189*$F$1009*EXP(-$F$1009*($A194-$A$7:$A189)))*$F$1010</f>
        <v>3102246.5648311824</v>
      </c>
      <c r="E194" s="67">
        <f t="shared" si="17"/>
        <v>5.9141592093350326</v>
      </c>
      <c r="F194" s="70">
        <f t="shared" si="21"/>
        <v>0.35910774719082322</v>
      </c>
      <c r="G194" s="67">
        <f>E194/'Lookup Tables'!$C$48</f>
        <v>11.828318418670065</v>
      </c>
      <c r="H194" s="70">
        <f t="shared" si="18"/>
        <v>7.9246675771603409E-2</v>
      </c>
      <c r="I194" s="71">
        <f t="shared" si="22"/>
        <v>1.7032778522884894E-2</v>
      </c>
      <c r="L194" s="74"/>
      <c r="M194" s="74"/>
      <c r="N194" s="74"/>
      <c r="O194" s="74"/>
      <c r="P194" s="74"/>
      <c r="Q194" s="74"/>
      <c r="R194" s="74"/>
      <c r="S194" s="74"/>
      <c r="T194" s="74"/>
      <c r="U194" s="74"/>
      <c r="V194" s="74"/>
      <c r="W194" s="74"/>
      <c r="X194" s="74"/>
      <c r="Y194" s="74"/>
      <c r="Z194" s="74"/>
    </row>
    <row r="195" spans="1:26" x14ac:dyDescent="0.3">
      <c r="A195" s="66">
        <f t="shared" si="20"/>
        <v>2008.7999999999829</v>
      </c>
      <c r="B195" s="67">
        <f>LOOKUP(A195+0.01,AmountsB!$A$4:$A$103,AmountsB!$B$4:$B$103)*0.1*$A$2</f>
        <v>482.74456890000005</v>
      </c>
      <c r="C195" s="68">
        <f t="shared" si="19"/>
        <v>39708.138570099989</v>
      </c>
      <c r="D195" s="67">
        <f t="array" ref="D195">SUM($B$7:$B190*$F$1009*EXP(-$F$1009*($A195-$A$7:$A190)))*$F$1010</f>
        <v>3140900.1908165743</v>
      </c>
      <c r="E195" s="67">
        <f t="shared" si="17"/>
        <v>5.9878489349317272</v>
      </c>
      <c r="F195" s="70">
        <f t="shared" si="21"/>
        <v>0.36358218732905445</v>
      </c>
      <c r="G195" s="67">
        <f>E195/'Lookup Tables'!$C$48</f>
        <v>11.975697869863454</v>
      </c>
      <c r="H195" s="70">
        <f t="shared" si="18"/>
        <v>7.9258648567574766E-2</v>
      </c>
      <c r="I195" s="71">
        <f t="shared" si="22"/>
        <v>1.7245004932603374E-2</v>
      </c>
      <c r="L195" s="74"/>
      <c r="M195" s="74"/>
      <c r="N195" s="74"/>
      <c r="O195" s="74"/>
      <c r="P195" s="74"/>
      <c r="Q195" s="74"/>
      <c r="R195" s="74"/>
      <c r="S195" s="74"/>
      <c r="T195" s="74"/>
      <c r="U195" s="74"/>
      <c r="V195" s="74"/>
      <c r="W195" s="74"/>
      <c r="X195" s="74"/>
      <c r="Y195" s="74"/>
      <c r="Z195" s="74"/>
    </row>
    <row r="196" spans="1:26" x14ac:dyDescent="0.3">
      <c r="A196" s="66">
        <f t="shared" si="20"/>
        <v>2008.8999999999828</v>
      </c>
      <c r="B196" s="67">
        <f>LOOKUP(A196+0.01,AmountsB!$A$4:$A$103,AmountsB!$B$4:$B$103)*0.1*$A$2</f>
        <v>482.74456890000005</v>
      </c>
      <c r="C196" s="68">
        <f t="shared" si="19"/>
        <v>40190.88313899999</v>
      </c>
      <c r="D196" s="67">
        <f t="array" ref="D196">SUM($B$7:$B191*$F$1009*EXP(-$F$1009*($A196-$A$7:$A191)))*$F$1010</f>
        <v>3179499.7395884688</v>
      </c>
      <c r="E196" s="67">
        <f t="shared" si="17"/>
        <v>6.0614355670948283</v>
      </c>
      <c r="F196" s="70">
        <f t="shared" si="21"/>
        <v>0.36805036763399801</v>
      </c>
      <c r="G196" s="67">
        <f>E196/'Lookup Tables'!$C$48</f>
        <v>12.122871134189657</v>
      </c>
      <c r="H196" s="70">
        <f t="shared" si="18"/>
        <v>7.9268985532033556E-2</v>
      </c>
      <c r="I196" s="71">
        <f t="shared" si="22"/>
        <v>1.7456934433233106E-2</v>
      </c>
      <c r="L196" s="74"/>
      <c r="M196" s="74"/>
      <c r="N196" s="74"/>
      <c r="O196" s="74"/>
      <c r="P196" s="74"/>
      <c r="Q196" s="74"/>
      <c r="R196" s="74"/>
      <c r="S196" s="74"/>
      <c r="T196" s="74"/>
      <c r="U196" s="74"/>
      <c r="V196" s="74"/>
      <c r="W196" s="74"/>
      <c r="X196" s="74"/>
      <c r="Y196" s="74"/>
      <c r="Z196" s="74"/>
    </row>
    <row r="197" spans="1:26" x14ac:dyDescent="0.3">
      <c r="A197" s="66">
        <f t="shared" si="20"/>
        <v>2008.9999999999827</v>
      </c>
      <c r="B197" s="67">
        <f>LOOKUP(A197+0.01,AmountsB!$A$4:$A$103,AmountsB!$B$4:$B$103)*0.1*$A$2</f>
        <v>492.39630770000002</v>
      </c>
      <c r="C197" s="68">
        <f t="shared" si="19"/>
        <v>40683.279446699991</v>
      </c>
      <c r="D197" s="67">
        <f t="array" ref="D197">SUM($B$7:$B192*$F$1009*EXP(-$F$1009*($A197-$A$7:$A192)))*$F$1010</f>
        <v>3218045.2868019943</v>
      </c>
      <c r="E197" s="67">
        <f t="shared" si="17"/>
        <v>6.1349192500541605</v>
      </c>
      <c r="F197" s="70">
        <f t="shared" si="21"/>
        <v>0.37251229686328863</v>
      </c>
      <c r="G197" s="67">
        <f>E197/'Lookup Tables'!$C$48</f>
        <v>12.269838500108321</v>
      </c>
      <c r="H197" s="70">
        <f t="shared" si="18"/>
        <v>7.9258938848648333E-2</v>
      </c>
      <c r="I197" s="71">
        <f t="shared" si="22"/>
        <v>1.7668567440155981E-2</v>
      </c>
      <c r="L197" s="74"/>
      <c r="M197" s="74"/>
      <c r="N197" s="74"/>
      <c r="O197" s="74"/>
      <c r="P197" s="74"/>
      <c r="Q197" s="74"/>
      <c r="R197" s="74"/>
      <c r="S197" s="74"/>
      <c r="T197" s="74"/>
      <c r="U197" s="74"/>
      <c r="V197" s="74"/>
      <c r="W197" s="74"/>
      <c r="X197" s="74"/>
      <c r="Y197" s="74"/>
      <c r="Z197" s="74"/>
    </row>
    <row r="198" spans="1:26" x14ac:dyDescent="0.3">
      <c r="A198" s="66">
        <f t="shared" si="20"/>
        <v>2009.0999999999826</v>
      </c>
      <c r="B198" s="67">
        <f>LOOKUP(A198+0.01,AmountsB!$A$4:$A$103,AmountsB!$B$4:$B$103)*0.1*$A$2</f>
        <v>492.39630770000002</v>
      </c>
      <c r="C198" s="68">
        <f t="shared" si="19"/>
        <v>41175.675754399992</v>
      </c>
      <c r="D198" s="67">
        <f t="array" ref="D198">SUM($B$7:$B193*$F$1009*EXP(-$F$1009*($A198-$A$7:$A193)))*$F$1010</f>
        <v>3256536.9080064343</v>
      </c>
      <c r="E198" s="67">
        <f t="shared" si="17"/>
        <v>6.2083001278377621</v>
      </c>
      <c r="F198" s="70">
        <f t="shared" si="21"/>
        <v>0.37696798376230889</v>
      </c>
      <c r="G198" s="67">
        <f>E198/'Lookup Tables'!$C$48</f>
        <v>12.416600255675524</v>
      </c>
      <c r="H198" s="70">
        <f t="shared" si="18"/>
        <v>7.9247820160980323E-2</v>
      </c>
      <c r="I198" s="71">
        <f t="shared" si="22"/>
        <v>1.7879904368172755E-2</v>
      </c>
      <c r="L198" s="74"/>
      <c r="M198" s="74"/>
      <c r="N198" s="74"/>
      <c r="O198" s="74"/>
      <c r="P198" s="74"/>
      <c r="Q198" s="74"/>
      <c r="R198" s="74"/>
      <c r="S198" s="74"/>
      <c r="T198" s="74"/>
      <c r="U198" s="74"/>
      <c r="V198" s="74"/>
      <c r="W198" s="74"/>
      <c r="X198" s="74"/>
      <c r="Y198" s="74"/>
      <c r="Z198" s="74"/>
    </row>
    <row r="199" spans="1:26" x14ac:dyDescent="0.3">
      <c r="A199" s="66">
        <f t="shared" si="20"/>
        <v>2009.1999999999825</v>
      </c>
      <c r="B199" s="67">
        <f>LOOKUP(A199+0.01,AmountsB!$A$4:$A$103,AmountsB!$B$4:$B$103)*0.1*$A$2</f>
        <v>492.39630770000002</v>
      </c>
      <c r="C199" s="68">
        <f t="shared" si="19"/>
        <v>41668.072062099993</v>
      </c>
      <c r="D199" s="67">
        <f t="array" ref="D199">SUM($B$7:$B194*$F$1009*EXP(-$F$1009*($A199-$A$7:$A194)))*$F$1010</f>
        <v>3294974.6786453798</v>
      </c>
      <c r="E199" s="67">
        <f t="shared" ref="E199:E262" si="23">D199/(365*24*60)*1.00201</f>
        <v>6.2815783442721784</v>
      </c>
      <c r="F199" s="70">
        <f t="shared" si="21"/>
        <v>0.38141743706420667</v>
      </c>
      <c r="G199" s="67">
        <f>E199/'Lookup Tables'!$C$48</f>
        <v>12.563156688544357</v>
      </c>
      <c r="H199" s="70">
        <f t="shared" ref="H199:H262" si="24">G199*60*24*365/(C199*2000)</f>
        <v>7.9235669287240407E-2</v>
      </c>
      <c r="I199" s="71">
        <f t="shared" si="22"/>
        <v>1.8090945631503874E-2</v>
      </c>
      <c r="L199" s="74"/>
      <c r="M199" s="74"/>
      <c r="N199" s="74"/>
      <c r="O199" s="74"/>
      <c r="P199" s="74"/>
      <c r="Q199" s="74"/>
      <c r="R199" s="74"/>
      <c r="S199" s="74"/>
      <c r="T199" s="74"/>
      <c r="U199" s="74"/>
      <c r="V199" s="74"/>
      <c r="W199" s="74"/>
      <c r="X199" s="74"/>
      <c r="Y199" s="74"/>
      <c r="Z199" s="74"/>
    </row>
    <row r="200" spans="1:26" x14ac:dyDescent="0.3">
      <c r="A200" s="66">
        <f t="shared" si="20"/>
        <v>2009.2999999999824</v>
      </c>
      <c r="B200" s="67">
        <f>LOOKUP(A200+0.01,AmountsB!$A$4:$A$103,AmountsB!$B$4:$B$103)*0.1*$A$2</f>
        <v>492.39630770000002</v>
      </c>
      <c r="C200" s="68">
        <f t="shared" si="19"/>
        <v>42160.468369799994</v>
      </c>
      <c r="D200" s="67">
        <f t="array" ref="D200">SUM($B$7:$B195*$F$1009*EXP(-$F$1009*($A200-$A$7:$A195)))*$F$1010</f>
        <v>3333358.6740568732</v>
      </c>
      <c r="E200" s="67">
        <f t="shared" si="23"/>
        <v>6.3547540429827389</v>
      </c>
      <c r="F200" s="70">
        <f t="shared" si="21"/>
        <v>0.38586066548991194</v>
      </c>
      <c r="G200" s="67">
        <f>E200/'Lookup Tables'!$C$48</f>
        <v>12.709508085965478</v>
      </c>
      <c r="H200" s="70">
        <f t="shared" si="24"/>
        <v>7.9222524182967782E-2</v>
      </c>
      <c r="I200" s="71">
        <f t="shared" si="22"/>
        <v>1.830169164379029E-2</v>
      </c>
      <c r="L200" s="74"/>
      <c r="M200" s="74"/>
      <c r="N200" s="74"/>
      <c r="O200" s="74"/>
      <c r="P200" s="74"/>
      <c r="Q200" s="74"/>
      <c r="R200" s="74"/>
      <c r="S200" s="74"/>
      <c r="T200" s="74"/>
      <c r="U200" s="74"/>
      <c r="V200" s="74"/>
      <c r="W200" s="74"/>
      <c r="X200" s="74"/>
      <c r="Y200" s="74"/>
      <c r="Z200" s="74"/>
    </row>
    <row r="201" spans="1:26" x14ac:dyDescent="0.3">
      <c r="A201" s="66">
        <f t="shared" si="20"/>
        <v>2009.3999999999824</v>
      </c>
      <c r="B201" s="67">
        <f>LOOKUP(A201+0.01,AmountsB!$A$4:$A$103,AmountsB!$B$4:$B$103)*0.1*$A$2</f>
        <v>492.39630770000002</v>
      </c>
      <c r="C201" s="68">
        <f t="shared" ref="C201:C264" si="25">C200+B201</f>
        <v>42652.864677499994</v>
      </c>
      <c r="D201" s="67">
        <f t="array" ref="D201">SUM($B$7:$B196*$F$1009*EXP(-$F$1009*($A201-$A$7:$A196)))*$F$1010</f>
        <v>3371688.9694735585</v>
      </c>
      <c r="E201" s="67">
        <f t="shared" si="23"/>
        <v>6.4278273673938369</v>
      </c>
      <c r="F201" s="70">
        <f t="shared" si="21"/>
        <v>0.39029767774815383</v>
      </c>
      <c r="G201" s="67">
        <f>E201/'Lookup Tables'!$C$48</f>
        <v>12.855654734787674</v>
      </c>
      <c r="H201" s="70">
        <f t="shared" si="24"/>
        <v>7.9208421048548971E-2</v>
      </c>
      <c r="I201" s="71">
        <f t="shared" si="22"/>
        <v>1.8512142818094254E-2</v>
      </c>
      <c r="L201" s="74"/>
      <c r="M201" s="74"/>
      <c r="N201" s="74"/>
      <c r="O201" s="74"/>
      <c r="P201" s="74"/>
      <c r="Q201" s="74"/>
      <c r="R201" s="74"/>
      <c r="S201" s="74"/>
      <c r="T201" s="74"/>
      <c r="U201" s="74"/>
      <c r="V201" s="74"/>
      <c r="W201" s="74"/>
      <c r="X201" s="74"/>
      <c r="Y201" s="74"/>
      <c r="Z201" s="74"/>
    </row>
    <row r="202" spans="1:26" x14ac:dyDescent="0.3">
      <c r="A202" s="66">
        <f t="shared" si="20"/>
        <v>2009.4999999999823</v>
      </c>
      <c r="B202" s="67">
        <f>LOOKUP(A202+0.01,AmountsB!$A$4:$A$103,AmountsB!$B$4:$B$103)*0.1*$A$2</f>
        <v>492.39630770000002</v>
      </c>
      <c r="C202" s="68">
        <f t="shared" si="25"/>
        <v>43145.260985199995</v>
      </c>
      <c r="D202" s="67">
        <f t="array" ref="D202">SUM($B$7:$B197*$F$1009*EXP(-$F$1009*($A202-$A$7:$A197)))*$F$1010</f>
        <v>3410825.2338988124</v>
      </c>
      <c r="E202" s="67">
        <f t="shared" si="23"/>
        <v>6.5024372005687772</v>
      </c>
      <c r="F202" s="70">
        <f t="shared" si="21"/>
        <v>0.39482798681853615</v>
      </c>
      <c r="G202" s="67">
        <f>E202/'Lookup Tables'!$C$48</f>
        <v>13.004874401137554</v>
      </c>
      <c r="H202" s="70">
        <f t="shared" si="24"/>
        <v>7.9213357726386394E-2</v>
      </c>
      <c r="I202" s="71">
        <f t="shared" si="22"/>
        <v>1.8727019137638079E-2</v>
      </c>
      <c r="L202" s="74"/>
      <c r="M202" s="74"/>
      <c r="N202" s="74"/>
      <c r="O202" s="74"/>
      <c r="P202" s="74"/>
      <c r="Q202" s="74"/>
      <c r="R202" s="74"/>
      <c r="S202" s="74"/>
      <c r="T202" s="74"/>
      <c r="U202" s="74"/>
      <c r="V202" s="74"/>
      <c r="W202" s="74"/>
      <c r="X202" s="74"/>
      <c r="Y202" s="74"/>
      <c r="Z202" s="74"/>
    </row>
    <row r="203" spans="1:26" x14ac:dyDescent="0.3">
      <c r="A203" s="66">
        <f t="shared" si="20"/>
        <v>2009.5999999999822</v>
      </c>
      <c r="B203" s="67">
        <f>LOOKUP(A203+0.01,AmountsB!$A$4:$A$103,AmountsB!$B$4:$B$103)*0.1*$A$2</f>
        <v>492.39630770000002</v>
      </c>
      <c r="C203" s="68">
        <f t="shared" si="25"/>
        <v>43637.657292899996</v>
      </c>
      <c r="D203" s="67">
        <f t="array" ref="D203">SUM($B$7:$B198*$F$1009*EXP(-$F$1009*($A203-$A$7:$A198)))*$F$1010</f>
        <v>3449906.7458895184</v>
      </c>
      <c r="E203" s="67">
        <f t="shared" si="23"/>
        <v>6.5769426530607999</v>
      </c>
      <c r="F203" s="70">
        <f t="shared" si="21"/>
        <v>0.39935195789385181</v>
      </c>
      <c r="G203" s="67">
        <f>E203/'Lookup Tables'!$C$48</f>
        <v>13.1538853061216</v>
      </c>
      <c r="H203" s="70">
        <f t="shared" si="24"/>
        <v>7.9216925767717536E-2</v>
      </c>
      <c r="I203" s="71">
        <f t="shared" si="22"/>
        <v>1.8941594840815104E-2</v>
      </c>
      <c r="L203" s="74"/>
      <c r="M203" s="74"/>
      <c r="N203" s="74"/>
      <c r="O203" s="74"/>
      <c r="P203" s="74"/>
      <c r="Q203" s="74"/>
      <c r="R203" s="74"/>
      <c r="S203" s="74"/>
      <c r="T203" s="74"/>
      <c r="U203" s="74"/>
      <c r="V203" s="74"/>
      <c r="W203" s="74"/>
      <c r="X203" s="74"/>
      <c r="Y203" s="74"/>
      <c r="Z203" s="74"/>
    </row>
    <row r="204" spans="1:26" x14ac:dyDescent="0.3">
      <c r="A204" s="66">
        <f t="shared" si="20"/>
        <v>2009.6999999999821</v>
      </c>
      <c r="B204" s="67">
        <f>LOOKUP(A204+0.01,AmountsB!$A$4:$A$103,AmountsB!$B$4:$B$103)*0.1*$A$2</f>
        <v>492.39630770000002</v>
      </c>
      <c r="C204" s="68">
        <f t="shared" si="25"/>
        <v>44130.053600599997</v>
      </c>
      <c r="D204" s="67">
        <f t="array" ref="D204">SUM($B$7:$B199*$F$1009*EXP(-$F$1009*($A204-$A$7:$A199)))*$F$1010</f>
        <v>3488933.5820454527</v>
      </c>
      <c r="E204" s="67">
        <f t="shared" si="23"/>
        <v>6.6513438709006172</v>
      </c>
      <c r="F204" s="70">
        <f t="shared" si="21"/>
        <v>0.4038695998410855</v>
      </c>
      <c r="G204" s="67">
        <f>E204/'Lookup Tables'!$C$48</f>
        <v>13.302687741801234</v>
      </c>
      <c r="H204" s="70">
        <f t="shared" si="24"/>
        <v>7.9219172724907666E-2</v>
      </c>
      <c r="I204" s="71">
        <f t="shared" si="22"/>
        <v>1.9155870348193778E-2</v>
      </c>
      <c r="L204" s="74"/>
      <c r="M204" s="74"/>
      <c r="N204" s="74"/>
      <c r="O204" s="74"/>
      <c r="P204" s="74"/>
      <c r="Q204" s="74"/>
      <c r="R204" s="74"/>
      <c r="S204" s="74"/>
      <c r="T204" s="74"/>
      <c r="U204" s="74"/>
      <c r="V204" s="74"/>
      <c r="W204" s="74"/>
      <c r="X204" s="74"/>
      <c r="Y204" s="74"/>
      <c r="Z204" s="74"/>
    </row>
    <row r="205" spans="1:26" x14ac:dyDescent="0.3">
      <c r="A205" s="66">
        <f t="shared" si="20"/>
        <v>2009.799999999982</v>
      </c>
      <c r="B205" s="67">
        <f>LOOKUP(A205+0.01,AmountsB!$A$4:$A$103,AmountsB!$B$4:$B$103)*0.1*$A$2</f>
        <v>492.39630770000002</v>
      </c>
      <c r="C205" s="68">
        <f t="shared" si="25"/>
        <v>44622.449908299997</v>
      </c>
      <c r="D205" s="67">
        <f t="array" ref="D205">SUM($B$7:$B200*$F$1009*EXP(-$F$1009*($A205-$A$7:$A200)))*$F$1010</f>
        <v>3527905.8188592261</v>
      </c>
      <c r="E205" s="67">
        <f t="shared" si="23"/>
        <v>6.7256409999146367</v>
      </c>
      <c r="F205" s="70">
        <f t="shared" si="21"/>
        <v>0.40838092151481675</v>
      </c>
      <c r="G205" s="67">
        <f>E205/'Lookup Tables'!$C$48</f>
        <v>13.451281999829273</v>
      </c>
      <c r="H205" s="70">
        <f t="shared" si="24"/>
        <v>7.9220144049007193E-2</v>
      </c>
      <c r="I205" s="71">
        <f t="shared" si="22"/>
        <v>1.9369846079754154E-2</v>
      </c>
      <c r="L205" s="74"/>
      <c r="M205" s="74"/>
      <c r="N205" s="74"/>
      <c r="O205" s="74"/>
      <c r="P205" s="74"/>
      <c r="Q205" s="74"/>
      <c r="R205" s="74"/>
      <c r="S205" s="74"/>
      <c r="T205" s="74"/>
      <c r="U205" s="74"/>
      <c r="V205" s="74"/>
      <c r="W205" s="74"/>
      <c r="X205" s="74"/>
      <c r="Y205" s="74"/>
      <c r="Z205" s="74"/>
    </row>
    <row r="206" spans="1:26" x14ac:dyDescent="0.3">
      <c r="A206" s="66">
        <f t="shared" si="20"/>
        <v>2009.8999999999819</v>
      </c>
      <c r="B206" s="67">
        <f>LOOKUP(A206+0.01,AmountsB!$A$4:$A$103,AmountsB!$B$4:$B$103)*0.1*$A$2</f>
        <v>492.39630770000002</v>
      </c>
      <c r="C206" s="68">
        <f t="shared" si="25"/>
        <v>45114.846215999998</v>
      </c>
      <c r="D206" s="67">
        <f t="array" ref="D206">SUM($B$7:$B201*$F$1009*EXP(-$F$1009*($A206-$A$7:$A201)))*$F$1010</f>
        <v>3566823.5327164354</v>
      </c>
      <c r="E206" s="67">
        <f t="shared" si="23"/>
        <v>6.799834185725258</v>
      </c>
      <c r="F206" s="70">
        <f t="shared" si="21"/>
        <v>0.41288593175723765</v>
      </c>
      <c r="G206" s="67">
        <f>E206/'Lookup Tables'!$C$48</f>
        <v>13.599668371450516</v>
      </c>
      <c r="H206" s="70">
        <f t="shared" si="24"/>
        <v>7.9219883204426772E-2</v>
      </c>
      <c r="I206" s="71">
        <f t="shared" si="22"/>
        <v>1.958352245488874E-2</v>
      </c>
      <c r="L206" s="74"/>
      <c r="M206" s="74"/>
      <c r="N206" s="74"/>
      <c r="O206" s="74"/>
      <c r="P206" s="74"/>
      <c r="Q206" s="74"/>
      <c r="R206" s="74"/>
      <c r="S206" s="74"/>
      <c r="T206" s="74"/>
      <c r="U206" s="74"/>
      <c r="V206" s="74"/>
      <c r="W206" s="74"/>
      <c r="X206" s="74"/>
      <c r="Y206" s="74"/>
      <c r="Z206" s="74"/>
    </row>
    <row r="207" spans="1:26" x14ac:dyDescent="0.3">
      <c r="A207" s="66">
        <f t="shared" si="20"/>
        <v>2009.9999999999818</v>
      </c>
      <c r="B207" s="67">
        <f>LOOKUP(A207+0.01,AmountsB!$A$4:$A$103,AmountsB!$B$4:$B$103)*0.1*$A$2</f>
        <v>502.24205130000001</v>
      </c>
      <c r="C207" s="68">
        <f t="shared" si="25"/>
        <v>45617.088267300001</v>
      </c>
      <c r="D207" s="67">
        <f t="array" ref="D207">SUM($B$7:$B202*$F$1009*EXP(-$F$1009*($A207-$A$7:$A202)))*$F$1010</f>
        <v>3605686.7998958104</v>
      </c>
      <c r="E207" s="67">
        <f t="shared" si="23"/>
        <v>6.8739235737511439</v>
      </c>
      <c r="F207" s="70">
        <f t="shared" si="21"/>
        <v>0.41738463939816944</v>
      </c>
      <c r="G207" s="67">
        <f>E207/'Lookup Tables'!$C$48</f>
        <v>13.747847147502288</v>
      </c>
      <c r="H207" s="70">
        <f t="shared" si="24"/>
        <v>7.9201333701815521E-2</v>
      </c>
      <c r="I207" s="71">
        <f t="shared" si="22"/>
        <v>1.9796899892403293E-2</v>
      </c>
      <c r="L207" s="74"/>
      <c r="M207" s="74"/>
      <c r="N207" s="74"/>
      <c r="O207" s="74"/>
      <c r="P207" s="74"/>
      <c r="Q207" s="74"/>
      <c r="R207" s="74"/>
      <c r="S207" s="74"/>
      <c r="T207" s="74"/>
      <c r="U207" s="74"/>
      <c r="V207" s="74"/>
      <c r="W207" s="74"/>
      <c r="X207" s="74"/>
      <c r="Y207" s="74"/>
      <c r="Z207" s="74"/>
    </row>
    <row r="208" spans="1:26" x14ac:dyDescent="0.3">
      <c r="A208" s="66">
        <f t="shared" si="20"/>
        <v>2010.0999999999817</v>
      </c>
      <c r="B208" s="67">
        <f>LOOKUP(A208+0.01,AmountsB!$A$4:$A$103,AmountsB!$B$4:$B$103)*0.1*$A$2</f>
        <v>502.24205130000001</v>
      </c>
      <c r="C208" s="68">
        <f t="shared" si="25"/>
        <v>46119.330318600005</v>
      </c>
      <c r="D208" s="67">
        <f t="array" ref="D208">SUM($B$7:$B203*$F$1009*EXP(-$F$1009*($A208-$A$7:$A203)))*$F$1010</f>
        <v>3644495.696569372</v>
      </c>
      <c r="E208" s="67">
        <f t="shared" si="23"/>
        <v>6.9479093092075281</v>
      </c>
      <c r="F208" s="70">
        <f t="shared" si="21"/>
        <v>0.42187705325508112</v>
      </c>
      <c r="G208" s="67">
        <f>E208/'Lookup Tables'!$C$48</f>
        <v>13.895818618415056</v>
      </c>
      <c r="H208" s="70">
        <f t="shared" si="24"/>
        <v>7.9182006930544932E-2</v>
      </c>
      <c r="I208" s="71">
        <f t="shared" si="22"/>
        <v>2.0009978810517682E-2</v>
      </c>
      <c r="L208" s="74"/>
      <c r="M208" s="74"/>
      <c r="N208" s="74"/>
      <c r="O208" s="74"/>
      <c r="P208" s="74"/>
      <c r="Q208" s="74"/>
      <c r="R208" s="74"/>
      <c r="S208" s="74"/>
      <c r="T208" s="74"/>
      <c r="U208" s="74"/>
      <c r="V208" s="74"/>
      <c r="W208" s="74"/>
      <c r="X208" s="74"/>
      <c r="Y208" s="74"/>
      <c r="Z208" s="74"/>
    </row>
    <row r="209" spans="1:26" x14ac:dyDescent="0.3">
      <c r="A209" s="66">
        <f t="shared" si="20"/>
        <v>2010.1999999999816</v>
      </c>
      <c r="B209" s="67">
        <f>LOOKUP(A209+0.01,AmountsB!$A$4:$A$103,AmountsB!$B$4:$B$103)*0.1*$A$2</f>
        <v>502.24205130000001</v>
      </c>
      <c r="C209" s="68">
        <f t="shared" si="25"/>
        <v>46621.572369900008</v>
      </c>
      <c r="D209" s="67">
        <f t="array" ref="D209">SUM($B$7:$B204*$F$1009*EXP(-$F$1009*($A209-$A$7:$A204)))*$F$1010</f>
        <v>3683250.2988025653</v>
      </c>
      <c r="E209" s="67">
        <f t="shared" si="23"/>
        <v>7.0217915371064663</v>
      </c>
      <c r="F209" s="70">
        <f t="shared" si="21"/>
        <v>0.42636318213310465</v>
      </c>
      <c r="G209" s="67">
        <f>E209/'Lookup Tables'!$C$48</f>
        <v>14.043583074212933</v>
      </c>
      <c r="H209" s="70">
        <f t="shared" si="24"/>
        <v>7.9161929645383045E-2</v>
      </c>
      <c r="I209" s="71">
        <f t="shared" si="22"/>
        <v>2.0222759626866624E-2</v>
      </c>
      <c r="L209" s="74"/>
      <c r="M209" s="74"/>
      <c r="N209" s="74"/>
      <c r="O209" s="74"/>
      <c r="P209" s="74"/>
      <c r="Q209" s="74"/>
      <c r="R209" s="74"/>
      <c r="S209" s="74"/>
      <c r="T209" s="74"/>
      <c r="U209" s="74"/>
      <c r="V209" s="74"/>
      <c r="W209" s="74"/>
      <c r="X209" s="74"/>
      <c r="Y209" s="74"/>
      <c r="Z209" s="74"/>
    </row>
    <row r="210" spans="1:26" x14ac:dyDescent="0.3">
      <c r="A210" s="66">
        <f t="shared" si="20"/>
        <v>2010.2999999999815</v>
      </c>
      <c r="B210" s="67">
        <f>LOOKUP(A210+0.01,AmountsB!$A$4:$A$103,AmountsB!$B$4:$B$103)*0.1*$A$2</f>
        <v>502.24205130000001</v>
      </c>
      <c r="C210" s="68">
        <f t="shared" si="25"/>
        <v>47123.814421200012</v>
      </c>
      <c r="D210" s="67">
        <f t="array" ref="D210">SUM($B$7:$B205*$F$1009*EXP(-$F$1009*($A210-$A$7:$A205)))*$F$1010</f>
        <v>3721950.6825544252</v>
      </c>
      <c r="E210" s="67">
        <f t="shared" si="23"/>
        <v>7.0955704022571533</v>
      </c>
      <c r="F210" s="70">
        <f t="shared" si="21"/>
        <v>0.43084303482505437</v>
      </c>
      <c r="G210" s="67">
        <f>E210/'Lookup Tables'!$C$48</f>
        <v>14.191140804514307</v>
      </c>
      <c r="H210" s="70">
        <f t="shared" si="24"/>
        <v>7.9141127458234081E-2</v>
      </c>
      <c r="I210" s="71">
        <f t="shared" si="22"/>
        <v>2.0435242758500602E-2</v>
      </c>
      <c r="L210" s="74"/>
      <c r="M210" s="74"/>
      <c r="N210" s="74"/>
      <c r="O210" s="74"/>
      <c r="P210" s="74"/>
      <c r="Q210" s="74"/>
      <c r="R210" s="74"/>
      <c r="S210" s="74"/>
      <c r="T210" s="74"/>
      <c r="U210" s="74"/>
      <c r="V210" s="74"/>
      <c r="W210" s="74"/>
      <c r="X210" s="74"/>
      <c r="Y210" s="74"/>
      <c r="Z210" s="74"/>
    </row>
    <row r="211" spans="1:26" x14ac:dyDescent="0.3">
      <c r="A211" s="66">
        <f t="shared" ref="A211:A274" si="26">A210+0.1</f>
        <v>2010.3999999999814</v>
      </c>
      <c r="B211" s="67">
        <f>LOOKUP(A211+0.01,AmountsB!$A$4:$A$103,AmountsB!$B$4:$B$103)*0.1*$A$2</f>
        <v>502.24205130000001</v>
      </c>
      <c r="C211" s="68">
        <f t="shared" si="25"/>
        <v>47626.056472500015</v>
      </c>
      <c r="D211" s="67">
        <f t="array" ref="D211">SUM($B$7:$B206*$F$1009*EXP(-$F$1009*($A211-$A$7:$A206)))*$F$1010</f>
        <v>3760596.923677715</v>
      </c>
      <c r="E211" s="67">
        <f t="shared" si="23"/>
        <v>7.1692460492661869</v>
      </c>
      <c r="F211" s="70">
        <f t="shared" ref="F211:F274" si="27">E211*60*1012/1000000</f>
        <v>0.43531662011144284</v>
      </c>
      <c r="G211" s="67">
        <f>E211/'Lookup Tables'!$C$48</f>
        <v>14.338492098532374</v>
      </c>
      <c r="H211" s="70">
        <f t="shared" si="24"/>
        <v>7.9119624898401922E-2</v>
      </c>
      <c r="I211" s="71">
        <f t="shared" ref="I211:I274" si="28">G211*60*24/1000000</f>
        <v>2.0647428621886618E-2</v>
      </c>
      <c r="L211" s="74"/>
      <c r="M211" s="74"/>
      <c r="N211" s="74"/>
      <c r="O211" s="74"/>
      <c r="P211" s="74"/>
      <c r="Q211" s="74"/>
      <c r="R211" s="74"/>
      <c r="S211" s="74"/>
      <c r="T211" s="74"/>
      <c r="U211" s="74"/>
      <c r="V211" s="74"/>
      <c r="W211" s="74"/>
      <c r="X211" s="74"/>
      <c r="Y211" s="74"/>
      <c r="Z211" s="74"/>
    </row>
    <row r="212" spans="1:26" x14ac:dyDescent="0.3">
      <c r="A212" s="66">
        <f t="shared" si="26"/>
        <v>2010.4999999999814</v>
      </c>
      <c r="B212" s="67">
        <f>LOOKUP(A212+0.01,AmountsB!$A$4:$A$103,AmountsB!$B$4:$B$103)*0.1*$A$2</f>
        <v>502.24205130000001</v>
      </c>
      <c r="C212" s="68">
        <f t="shared" si="25"/>
        <v>48128.298523800018</v>
      </c>
      <c r="D212" s="67">
        <f t="array" ref="D212">SUM($B$7:$B207*$F$1009*EXP(-$F$1009*($A212-$A$7:$A207)))*$F$1010</f>
        <v>3800065.9700639322</v>
      </c>
      <c r="E212" s="67">
        <f t="shared" si="23"/>
        <v>7.2444903018716911</v>
      </c>
      <c r="F212" s="70">
        <f t="shared" si="27"/>
        <v>0.43988545112964905</v>
      </c>
      <c r="G212" s="67">
        <f>E212/'Lookup Tables'!$C$48</f>
        <v>14.488980603743382</v>
      </c>
      <c r="H212" s="70">
        <f t="shared" si="24"/>
        <v>7.9115701561334156E-2</v>
      </c>
      <c r="I212" s="71">
        <f t="shared" si="28"/>
        <v>2.086413206939047E-2</v>
      </c>
      <c r="L212" s="74"/>
      <c r="M212" s="74"/>
      <c r="N212" s="74"/>
      <c r="O212" s="74"/>
      <c r="P212" s="74"/>
      <c r="Q212" s="74"/>
      <c r="R212" s="74"/>
      <c r="S212" s="74"/>
      <c r="T212" s="74"/>
      <c r="U212" s="74"/>
      <c r="V212" s="74"/>
      <c r="W212" s="74"/>
      <c r="X212" s="74"/>
      <c r="Y212" s="74"/>
      <c r="Z212" s="74"/>
    </row>
    <row r="213" spans="1:26" x14ac:dyDescent="0.3">
      <c r="A213" s="66">
        <f t="shared" si="26"/>
        <v>2010.5999999999813</v>
      </c>
      <c r="B213" s="67">
        <f>LOOKUP(A213+0.01,AmountsB!$A$4:$A$103,AmountsB!$B$4:$B$103)*0.1*$A$2</f>
        <v>502.24205130000001</v>
      </c>
      <c r="C213" s="68">
        <f t="shared" si="25"/>
        <v>48630.540575100022</v>
      </c>
      <c r="D213" s="67">
        <f t="array" ref="D213">SUM($B$7:$B208*$F$1009*EXP(-$F$1009*($A213-$A$7:$A208)))*$F$1010</f>
        <v>3839479.7984468294</v>
      </c>
      <c r="E213" s="67">
        <f t="shared" si="23"/>
        <v>7.3196292862285164</v>
      </c>
      <c r="F213" s="70">
        <f t="shared" si="27"/>
        <v>0.44444789025979553</v>
      </c>
      <c r="G213" s="67">
        <f>E213/'Lookup Tables'!$C$48</f>
        <v>14.639258572457033</v>
      </c>
      <c r="H213" s="70">
        <f t="shared" si="24"/>
        <v>7.9110721520779553E-2</v>
      </c>
      <c r="I213" s="71">
        <f t="shared" si="28"/>
        <v>2.1080532344338127E-2</v>
      </c>
      <c r="L213" s="74"/>
      <c r="M213" s="74"/>
      <c r="N213" s="74"/>
      <c r="O213" s="74"/>
      <c r="P213" s="74"/>
      <c r="Q213" s="74"/>
      <c r="R213" s="74"/>
      <c r="S213" s="74"/>
      <c r="T213" s="74"/>
      <c r="U213" s="74"/>
      <c r="V213" s="74"/>
      <c r="W213" s="74"/>
      <c r="X213" s="74"/>
      <c r="Y213" s="74"/>
      <c r="Z213" s="74"/>
    </row>
    <row r="214" spans="1:26" x14ac:dyDescent="0.3">
      <c r="A214" s="66">
        <f t="shared" si="26"/>
        <v>2010.6999999999812</v>
      </c>
      <c r="B214" s="67">
        <f>LOOKUP(A214+0.01,AmountsB!$A$4:$A$103,AmountsB!$B$4:$B$103)*0.1*$A$2</f>
        <v>502.24205130000001</v>
      </c>
      <c r="C214" s="68">
        <f t="shared" si="25"/>
        <v>49132.782626400025</v>
      </c>
      <c r="D214" s="67">
        <f t="array" ref="D214">SUM($B$7:$B209*$F$1009*EXP(-$F$1009*($A214-$A$7:$A209)))*$F$1010</f>
        <v>3878838.4860775233</v>
      </c>
      <c r="E214" s="67">
        <f t="shared" si="23"/>
        <v>7.3946631496090927</v>
      </c>
      <c r="F214" s="70">
        <f t="shared" si="27"/>
        <v>0.44900394644426417</v>
      </c>
      <c r="G214" s="67">
        <f>E214/'Lookup Tables'!$C$48</f>
        <v>14.789326299218185</v>
      </c>
      <c r="H214" s="70">
        <f t="shared" si="24"/>
        <v>7.9104718757495598E-2</v>
      </c>
      <c r="I214" s="71">
        <f t="shared" si="28"/>
        <v>2.129662987087419E-2</v>
      </c>
      <c r="L214" s="74"/>
      <c r="M214" s="74"/>
      <c r="N214" s="74"/>
      <c r="O214" s="74"/>
      <c r="P214" s="74"/>
      <c r="Q214" s="74"/>
      <c r="R214" s="74"/>
      <c r="S214" s="74"/>
      <c r="T214" s="74"/>
      <c r="U214" s="74"/>
      <c r="V214" s="74"/>
      <c r="W214" s="74"/>
      <c r="X214" s="74"/>
      <c r="Y214" s="74"/>
      <c r="Z214" s="74"/>
    </row>
    <row r="215" spans="1:26" x14ac:dyDescent="0.3">
      <c r="A215" s="66">
        <f t="shared" si="26"/>
        <v>2010.7999999999811</v>
      </c>
      <c r="B215" s="67">
        <f>LOOKUP(A215+0.01,AmountsB!$A$4:$A$103,AmountsB!$B$4:$B$103)*0.1*$A$2</f>
        <v>502.24205130000001</v>
      </c>
      <c r="C215" s="68">
        <f t="shared" si="25"/>
        <v>49635.024677700028</v>
      </c>
      <c r="D215" s="67">
        <f t="array" ref="D215">SUM($B$7:$B210*$F$1009*EXP(-$F$1009*($A215-$A$7:$A210)))*$F$1010</f>
        <v>3918142.1100990544</v>
      </c>
      <c r="E215" s="67">
        <f t="shared" si="23"/>
        <v>7.4695920390798207</v>
      </c>
      <c r="F215" s="70">
        <f t="shared" si="27"/>
        <v>0.4535536286129267</v>
      </c>
      <c r="G215" s="67">
        <f>E215/'Lookup Tables'!$C$48</f>
        <v>14.939184078159641</v>
      </c>
      <c r="H215" s="70">
        <f t="shared" si="24"/>
        <v>7.9097725874693298E-2</v>
      </c>
      <c r="I215" s="71">
        <f t="shared" si="28"/>
        <v>2.1512425072549881E-2</v>
      </c>
      <c r="L215" s="74"/>
      <c r="M215" s="74"/>
      <c r="N215" s="74"/>
      <c r="O215" s="74"/>
      <c r="P215" s="74"/>
      <c r="Q215" s="74"/>
      <c r="R215" s="74"/>
      <c r="S215" s="74"/>
      <c r="T215" s="74"/>
      <c r="U215" s="74"/>
      <c r="V215" s="74"/>
      <c r="W215" s="74"/>
      <c r="X215" s="74"/>
      <c r="Y215" s="74"/>
      <c r="Z215" s="74"/>
    </row>
    <row r="216" spans="1:26" x14ac:dyDescent="0.3">
      <c r="A216" s="66">
        <f t="shared" si="26"/>
        <v>2010.899999999981</v>
      </c>
      <c r="B216" s="67">
        <f>LOOKUP(A216+0.01,AmountsB!$A$4:$A$103,AmountsB!$B$4:$B$103)*0.1*$A$2</f>
        <v>502.24205130000001</v>
      </c>
      <c r="C216" s="68">
        <f t="shared" si="25"/>
        <v>50137.266729000032</v>
      </c>
      <c r="D216" s="67">
        <f t="array" ref="D216">SUM($B$7:$B211*$F$1009*EXP(-$F$1009*($A216-$A$7:$A211)))*$F$1010</f>
        <v>3957390.7475465387</v>
      </c>
      <c r="E216" s="67">
        <f t="shared" si="23"/>
        <v>7.544416101501346</v>
      </c>
      <c r="F216" s="70">
        <f t="shared" si="27"/>
        <v>0.45809694568316173</v>
      </c>
      <c r="G216" s="67">
        <f>E216/'Lookup Tables'!$C$48</f>
        <v>15.088832203002692</v>
      </c>
      <c r="H216" s="70">
        <f t="shared" si="24"/>
        <v>7.9089774167036955E-2</v>
      </c>
      <c r="I216" s="71">
        <f t="shared" si="28"/>
        <v>2.1727918372323879E-2</v>
      </c>
      <c r="L216" s="74"/>
      <c r="M216" s="74"/>
      <c r="N216" s="74"/>
      <c r="O216" s="74"/>
      <c r="P216" s="74"/>
      <c r="Q216" s="74"/>
      <c r="R216" s="74"/>
      <c r="S216" s="74"/>
      <c r="T216" s="74"/>
      <c r="U216" s="74"/>
      <c r="V216" s="74"/>
      <c r="W216" s="74"/>
      <c r="X216" s="74"/>
      <c r="Y216" s="74"/>
      <c r="Z216" s="74"/>
    </row>
    <row r="217" spans="1:26" x14ac:dyDescent="0.3">
      <c r="A217" s="66">
        <f t="shared" si="26"/>
        <v>2010.9999999999809</v>
      </c>
      <c r="B217" s="67">
        <f>LOOKUP(A217+0.01,AmountsB!$A$4:$A$103,AmountsB!$B$4:$B$103)*0.1*$A$2</f>
        <v>512.28179969999997</v>
      </c>
      <c r="C217" s="68">
        <f t="shared" si="25"/>
        <v>50649.548528700034</v>
      </c>
      <c r="D217" s="67">
        <f t="array" ref="D217">SUM($B$7:$B212*$F$1009*EXP(-$F$1009*($A217-$A$7:$A212)))*$F$1010</f>
        <v>3996584.4753473173</v>
      </c>
      <c r="E217" s="67">
        <f t="shared" si="23"/>
        <v>7.6191354835288543</v>
      </c>
      <c r="F217" s="70">
        <f t="shared" si="27"/>
        <v>0.46263390655987202</v>
      </c>
      <c r="G217" s="67">
        <f>E217/'Lookup Tables'!$C$48</f>
        <v>15.238270967057709</v>
      </c>
      <c r="H217" s="70">
        <f t="shared" si="24"/>
        <v>7.9065218278768903E-2</v>
      </c>
      <c r="I217" s="71">
        <f t="shared" si="28"/>
        <v>2.1943110192563103E-2</v>
      </c>
      <c r="L217" s="74"/>
      <c r="M217" s="74"/>
      <c r="N217" s="74"/>
      <c r="O217" s="74"/>
      <c r="P217" s="74"/>
      <c r="Q217" s="74"/>
      <c r="R217" s="74"/>
      <c r="S217" s="74"/>
      <c r="T217" s="74"/>
      <c r="U217" s="74"/>
      <c r="V217" s="74"/>
      <c r="W217" s="74"/>
      <c r="X217" s="74"/>
      <c r="Y217" s="74"/>
      <c r="Z217" s="74"/>
    </row>
    <row r="218" spans="1:26" x14ac:dyDescent="0.3">
      <c r="A218" s="66">
        <f t="shared" si="26"/>
        <v>2011.0999999999808</v>
      </c>
      <c r="B218" s="67">
        <f>LOOKUP(A218+0.01,AmountsB!$A$4:$A$103,AmountsB!$B$4:$B$103)*0.1*$A$2</f>
        <v>512.28179969999997</v>
      </c>
      <c r="C218" s="68">
        <f t="shared" si="25"/>
        <v>51161.830328400036</v>
      </c>
      <c r="D218" s="67">
        <f t="array" ref="D218">SUM($B$7:$B213*$F$1009*EXP(-$F$1009*($A218-$A$7:$A213)))*$F$1010</f>
        <v>4035723.3703211099</v>
      </c>
      <c r="E218" s="67">
        <f t="shared" si="23"/>
        <v>7.6937503316123586</v>
      </c>
      <c r="F218" s="70">
        <f t="shared" si="27"/>
        <v>0.46716452013550241</v>
      </c>
      <c r="G218" s="67">
        <f>E218/'Lookup Tables'!$C$48</f>
        <v>15.387500663224717</v>
      </c>
      <c r="H218" s="70">
        <f t="shared" si="24"/>
        <v>7.904008023830833E-2</v>
      </c>
      <c r="I218" s="71">
        <f t="shared" si="28"/>
        <v>2.2158000955043593E-2</v>
      </c>
      <c r="L218" s="74"/>
      <c r="M218" s="74"/>
      <c r="N218" s="74"/>
      <c r="O218" s="74"/>
      <c r="P218" s="74"/>
      <c r="Q218" s="74"/>
      <c r="R218" s="74"/>
      <c r="S218" s="74"/>
      <c r="T218" s="74"/>
      <c r="U218" s="74"/>
      <c r="V218" s="74"/>
      <c r="W218" s="74"/>
      <c r="X218" s="74"/>
      <c r="Y218" s="74"/>
      <c r="Z218" s="74"/>
    </row>
    <row r="219" spans="1:26" x14ac:dyDescent="0.3">
      <c r="A219" s="66">
        <f t="shared" si="26"/>
        <v>2011.1999999999807</v>
      </c>
      <c r="B219" s="67">
        <f>LOOKUP(A219+0.01,AmountsB!$A$4:$A$103,AmountsB!$B$4:$B$103)*0.1*$A$2</f>
        <v>512.28179969999997</v>
      </c>
      <c r="C219" s="68">
        <f t="shared" si="25"/>
        <v>51674.112128100038</v>
      </c>
      <c r="D219" s="67">
        <f t="array" ref="D219">SUM($B$7:$B214*$F$1009*EXP(-$F$1009*($A219-$A$7:$A214)))*$F$1010</f>
        <v>4074807.5091801626</v>
      </c>
      <c r="E219" s="67">
        <f t="shared" si="23"/>
        <v>7.7682607919969842</v>
      </c>
      <c r="F219" s="70">
        <f t="shared" si="27"/>
        <v>0.47168879529005692</v>
      </c>
      <c r="G219" s="67">
        <f>E219/'Lookup Tables'!$C$48</f>
        <v>15.536521583993968</v>
      </c>
      <c r="H219" s="70">
        <f t="shared" si="24"/>
        <v>7.901437884703022E-2</v>
      </c>
      <c r="I219" s="71">
        <f t="shared" si="28"/>
        <v>2.2372591080951316E-2</v>
      </c>
      <c r="L219" s="74"/>
      <c r="M219" s="74"/>
      <c r="N219" s="74"/>
      <c r="O219" s="74"/>
      <c r="P219" s="74"/>
      <c r="Q219" s="74"/>
      <c r="R219" s="74"/>
      <c r="S219" s="74"/>
      <c r="T219" s="74"/>
      <c r="U219" s="74"/>
      <c r="V219" s="74"/>
      <c r="W219" s="74"/>
      <c r="X219" s="74"/>
      <c r="Y219" s="74"/>
      <c r="Z219" s="74"/>
    </row>
    <row r="220" spans="1:26" x14ac:dyDescent="0.3">
      <c r="A220" s="66">
        <f t="shared" si="26"/>
        <v>2011.2999999999806</v>
      </c>
      <c r="B220" s="67">
        <f>LOOKUP(A220+0.01,AmountsB!$A$4:$A$103,AmountsB!$B$4:$B$103)*0.1*$A$2</f>
        <v>512.28179969999997</v>
      </c>
      <c r="C220" s="68">
        <f t="shared" si="25"/>
        <v>52186.39392780004</v>
      </c>
      <c r="D220" s="67">
        <f t="array" ref="D220">SUM($B$7:$B215*$F$1009*EXP(-$F$1009*($A220-$A$7:$A215)))*$F$1010</f>
        <v>4113836.9685294009</v>
      </c>
      <c r="E220" s="67">
        <f t="shared" si="23"/>
        <v>7.8426670107232601</v>
      </c>
      <c r="F220" s="70">
        <f t="shared" si="27"/>
        <v>0.47620674089111631</v>
      </c>
      <c r="G220" s="67">
        <f>E220/'Lookup Tables'!$C$48</f>
        <v>15.68533402144652</v>
      </c>
      <c r="H220" s="70">
        <f t="shared" si="24"/>
        <v>7.8988132166002617E-2</v>
      </c>
      <c r="I220" s="71">
        <f t="shared" si="28"/>
        <v>2.258688099088299E-2</v>
      </c>
      <c r="L220" s="74"/>
      <c r="M220" s="74"/>
      <c r="N220" s="74"/>
      <c r="O220" s="74"/>
      <c r="P220" s="74"/>
      <c r="Q220" s="74"/>
      <c r="R220" s="74"/>
      <c r="S220" s="74"/>
      <c r="T220" s="74"/>
      <c r="U220" s="74"/>
      <c r="V220" s="74"/>
      <c r="W220" s="74"/>
      <c r="X220" s="74"/>
      <c r="Y220" s="74"/>
      <c r="Z220" s="74"/>
    </row>
    <row r="221" spans="1:26" x14ac:dyDescent="0.3">
      <c r="A221" s="66">
        <f t="shared" si="26"/>
        <v>2011.3999999999805</v>
      </c>
      <c r="B221" s="67">
        <f>LOOKUP(A221+0.01,AmountsB!$A$4:$A$103,AmountsB!$B$4:$B$103)*0.1*$A$2</f>
        <v>512.28179969999997</v>
      </c>
      <c r="C221" s="68">
        <f t="shared" si="25"/>
        <v>52698.675727500042</v>
      </c>
      <c r="D221" s="67">
        <f t="array" ref="D221">SUM($B$7:$B216*$F$1009*EXP(-$F$1009*($A221-$A$7:$A216)))*$F$1010</f>
        <v>4152811.824866578</v>
      </c>
      <c r="E221" s="67">
        <f t="shared" si="23"/>
        <v>7.916969133627398</v>
      </c>
      <c r="F221" s="70">
        <f t="shared" si="27"/>
        <v>0.48071836579385557</v>
      </c>
      <c r="G221" s="67">
        <f>E221/'Lookup Tables'!$C$48</f>
        <v>15.833938267254796</v>
      </c>
      <c r="H221" s="70">
        <f t="shared" si="24"/>
        <v>7.896135755197202E-2</v>
      </c>
      <c r="I221" s="71">
        <f t="shared" si="28"/>
        <v>2.2800871104846906E-2</v>
      </c>
      <c r="L221" s="74"/>
      <c r="M221" s="74"/>
      <c r="N221" s="74"/>
      <c r="O221" s="74"/>
      <c r="P221" s="74"/>
      <c r="Q221" s="74"/>
      <c r="R221" s="74"/>
      <c r="S221" s="74"/>
      <c r="T221" s="74"/>
      <c r="U221" s="74"/>
      <c r="V221" s="74"/>
      <c r="W221" s="74"/>
      <c r="X221" s="74"/>
      <c r="Y221" s="74"/>
      <c r="Z221" s="74"/>
    </row>
    <row r="222" spans="1:26" x14ac:dyDescent="0.3">
      <c r="A222" s="66">
        <f t="shared" si="26"/>
        <v>2011.4999999999804</v>
      </c>
      <c r="B222" s="67">
        <f>LOOKUP(A222+0.01,AmountsB!$A$4:$A$103,AmountsB!$B$4:$B$103)*0.1*$A$2</f>
        <v>512.28179969999997</v>
      </c>
      <c r="C222" s="68">
        <f t="shared" si="25"/>
        <v>53210.957527200044</v>
      </c>
      <c r="D222" s="67">
        <f t="array" ref="D222">SUM($B$7:$B217*$F$1009*EXP(-$F$1009*($A222-$A$7:$A217)))*$F$1010</f>
        <v>4192626.3049961389</v>
      </c>
      <c r="E222" s="67">
        <f t="shared" si="23"/>
        <v>7.992871925169676</v>
      </c>
      <c r="F222" s="70">
        <f t="shared" si="27"/>
        <v>0.4853271832963027</v>
      </c>
      <c r="G222" s="67">
        <f>E222/'Lookup Tables'!$C$48</f>
        <v>15.985743850339352</v>
      </c>
      <c r="H222" s="70">
        <f t="shared" si="24"/>
        <v>7.8950909344597184E-2</v>
      </c>
      <c r="I222" s="71">
        <f t="shared" si="28"/>
        <v>2.3019471144488667E-2</v>
      </c>
      <c r="L222" s="74"/>
      <c r="M222" s="74"/>
      <c r="N222" s="74"/>
      <c r="O222" s="74"/>
      <c r="P222" s="74"/>
      <c r="Q222" s="74"/>
      <c r="R222" s="74"/>
      <c r="S222" s="74"/>
      <c r="T222" s="74"/>
      <c r="U222" s="74"/>
      <c r="V222" s="74"/>
      <c r="W222" s="74"/>
      <c r="X222" s="74"/>
      <c r="Y222" s="74"/>
      <c r="Z222" s="74"/>
    </row>
    <row r="223" spans="1:26" x14ac:dyDescent="0.3">
      <c r="A223" s="66">
        <f t="shared" si="26"/>
        <v>2011.5999999999804</v>
      </c>
      <c r="B223" s="67">
        <f>LOOKUP(A223+0.01,AmountsB!$A$4:$A$103,AmountsB!$B$4:$B$103)*0.1*$A$2</f>
        <v>512.28179969999997</v>
      </c>
      <c r="C223" s="68">
        <f t="shared" si="25"/>
        <v>53723.239326900046</v>
      </c>
      <c r="D223" s="67">
        <f t="array" ref="D223">SUM($B$7:$B218*$F$1009*EXP(-$F$1009*($A223-$A$7:$A218)))*$F$1010</f>
        <v>4232385.0838535056</v>
      </c>
      <c r="E223" s="67">
        <f t="shared" si="23"/>
        <v>8.068668527153827</v>
      </c>
      <c r="F223" s="70">
        <f t="shared" si="27"/>
        <v>0.48992955296878032</v>
      </c>
      <c r="G223" s="67">
        <f>E223/'Lookup Tables'!$C$48</f>
        <v>16.137337054307654</v>
      </c>
      <c r="H223" s="70">
        <f t="shared" si="24"/>
        <v>7.8939621493534409E-2</v>
      </c>
      <c r="I223" s="71">
        <f t="shared" si="28"/>
        <v>2.3237765358203023E-2</v>
      </c>
      <c r="L223" s="74"/>
      <c r="M223" s="74"/>
      <c r="N223" s="74"/>
      <c r="O223" s="74"/>
      <c r="P223" s="74"/>
      <c r="Q223" s="74"/>
      <c r="R223" s="74"/>
      <c r="S223" s="74"/>
      <c r="T223" s="74"/>
      <c r="U223" s="74"/>
      <c r="V223" s="74"/>
      <c r="W223" s="74"/>
      <c r="X223" s="74"/>
      <c r="Y223" s="74"/>
      <c r="Z223" s="74"/>
    </row>
    <row r="224" spans="1:26" x14ac:dyDescent="0.3">
      <c r="A224" s="66">
        <f t="shared" si="26"/>
        <v>2011.6999999999803</v>
      </c>
      <c r="B224" s="67">
        <f>LOOKUP(A224+0.01,AmountsB!$A$4:$A$103,AmountsB!$B$4:$B$103)*0.1*$A$2</f>
        <v>512.28179969999997</v>
      </c>
      <c r="C224" s="68">
        <f t="shared" si="25"/>
        <v>54235.521126600048</v>
      </c>
      <c r="D224" s="67">
        <f t="array" ref="D224">SUM($B$7:$B219*$F$1009*EXP(-$F$1009*($A224-$A$7:$A219)))*$F$1010</f>
        <v>4272088.239365899</v>
      </c>
      <c r="E224" s="67">
        <f t="shared" si="23"/>
        <v>8.1443590881412185</v>
      </c>
      <c r="F224" s="70">
        <f t="shared" si="27"/>
        <v>0.49452548383193479</v>
      </c>
      <c r="G224" s="67">
        <f>E224/'Lookup Tables'!$C$48</f>
        <v>16.288718176282437</v>
      </c>
      <c r="H224" s="70">
        <f t="shared" si="24"/>
        <v>7.892751923107362E-2</v>
      </c>
      <c r="I224" s="71">
        <f t="shared" si="28"/>
        <v>2.345575417384671E-2</v>
      </c>
      <c r="L224" s="74"/>
      <c r="M224" s="74"/>
      <c r="N224" s="74"/>
      <c r="O224" s="74"/>
      <c r="P224" s="74"/>
      <c r="Q224" s="74"/>
      <c r="R224" s="74"/>
      <c r="S224" s="74"/>
      <c r="T224" s="74"/>
      <c r="U224" s="74"/>
      <c r="V224" s="74"/>
      <c r="W224" s="74"/>
      <c r="X224" s="74"/>
      <c r="Y224" s="74"/>
      <c r="Z224" s="74"/>
    </row>
    <row r="225" spans="1:26" x14ac:dyDescent="0.3">
      <c r="A225" s="66">
        <f t="shared" si="26"/>
        <v>2011.7999999999802</v>
      </c>
      <c r="B225" s="67">
        <f>LOOKUP(A225+0.01,AmountsB!$A$4:$A$103,AmountsB!$B$4:$B$103)*0.1*$A$2</f>
        <v>512.28179969999997</v>
      </c>
      <c r="C225" s="68">
        <f t="shared" si="25"/>
        <v>54747.80292630005</v>
      </c>
      <c r="D225" s="67">
        <f t="array" ref="D225">SUM($B$7:$B220*$F$1009*EXP(-$F$1009*($A225-$A$7:$A220)))*$F$1010</f>
        <v>4311735.8493515169</v>
      </c>
      <c r="E225" s="67">
        <f t="shared" si="23"/>
        <v>8.2199437564853763</v>
      </c>
      <c r="F225" s="70">
        <f t="shared" si="27"/>
        <v>0.49911498489379202</v>
      </c>
      <c r="G225" s="67">
        <f>E225/'Lookup Tables'!$C$48</f>
        <v>16.439887512970753</v>
      </c>
      <c r="H225" s="70">
        <f t="shared" si="24"/>
        <v>7.8914626843103061E-2</v>
      </c>
      <c r="I225" s="71">
        <f t="shared" si="28"/>
        <v>2.3673438018677884E-2</v>
      </c>
      <c r="L225" s="74"/>
      <c r="M225" s="74"/>
      <c r="N225" s="74"/>
      <c r="O225" s="74"/>
      <c r="P225" s="74"/>
      <c r="Q225" s="74"/>
      <c r="R225" s="74"/>
      <c r="S225" s="74"/>
      <c r="T225" s="74"/>
      <c r="U225" s="74"/>
      <c r="V225" s="74"/>
      <c r="W225" s="74"/>
      <c r="X225" s="74"/>
      <c r="Y225" s="74"/>
      <c r="Z225" s="74"/>
    </row>
    <row r="226" spans="1:26" x14ac:dyDescent="0.3">
      <c r="A226" s="66">
        <f t="shared" si="26"/>
        <v>2011.8999999999801</v>
      </c>
      <c r="B226" s="67">
        <f>LOOKUP(A226+0.01,AmountsB!$A$4:$A$103,AmountsB!$B$4:$B$103)*0.1*$A$2</f>
        <v>512.28179969999997</v>
      </c>
      <c r="C226" s="68">
        <f t="shared" si="25"/>
        <v>55260.084726000052</v>
      </c>
      <c r="D226" s="67">
        <f t="array" ref="D226">SUM($B$7:$B221*$F$1009*EXP(-$F$1009*($A226-$A$7:$A221)))*$F$1010</f>
        <v>4351327.9915196868</v>
      </c>
      <c r="E226" s="67">
        <f t="shared" si="23"/>
        <v>8.2954226803322708</v>
      </c>
      <c r="F226" s="70">
        <f t="shared" si="27"/>
        <v>0.50369806514977555</v>
      </c>
      <c r="G226" s="67">
        <f>E226/'Lookup Tables'!$C$48</f>
        <v>16.590845360664542</v>
      </c>
      <c r="H226" s="70">
        <f t="shared" si="24"/>
        <v>7.8900967712979511E-2</v>
      </c>
      <c r="I226" s="71">
        <f t="shared" si="28"/>
        <v>2.3890817319356942E-2</v>
      </c>
      <c r="L226" s="74"/>
      <c r="M226" s="74"/>
      <c r="N226" s="74"/>
      <c r="O226" s="74"/>
      <c r="P226" s="74"/>
      <c r="Q226" s="74"/>
      <c r="R226" s="74"/>
      <c r="S226" s="74"/>
      <c r="T226" s="74"/>
      <c r="U226" s="74"/>
      <c r="V226" s="74"/>
      <c r="W226" s="74"/>
      <c r="X226" s="74"/>
      <c r="Y226" s="74"/>
      <c r="Z226" s="74"/>
    </row>
    <row r="227" spans="1:26" x14ac:dyDescent="0.3">
      <c r="A227" s="66">
        <f t="shared" si="26"/>
        <v>2011.99999999998</v>
      </c>
      <c r="B227" s="67">
        <f>LOOKUP(A227+0.01,AmountsB!$A$4:$A$103,AmountsB!$B$4:$B$103)*0.1*$A$2</f>
        <v>545.63850000000002</v>
      </c>
      <c r="C227" s="68">
        <f t="shared" si="25"/>
        <v>55805.723226000053</v>
      </c>
      <c r="D227" s="67">
        <f t="array" ref="D227">SUM($B$7:$B222*$F$1009*EXP(-$F$1009*($A227-$A$7:$A222)))*$F$1010</f>
        <v>4390864.7434710208</v>
      </c>
      <c r="E227" s="67">
        <f t="shared" si="23"/>
        <v>8.3707960076206209</v>
      </c>
      <c r="F227" s="70">
        <f t="shared" si="27"/>
        <v>0.50827473358272401</v>
      </c>
      <c r="G227" s="67">
        <f>E227/'Lookup Tables'!$C$48</f>
        <v>16.741592015241242</v>
      </c>
      <c r="H227" s="70">
        <f t="shared" si="24"/>
        <v>7.8839411574108384E-2</v>
      </c>
      <c r="I227" s="71">
        <f t="shared" si="28"/>
        <v>2.4107892501947385E-2</v>
      </c>
      <c r="L227" s="74"/>
      <c r="M227" s="74"/>
      <c r="N227" s="74"/>
      <c r="O227" s="74"/>
      <c r="P227" s="74"/>
      <c r="Q227" s="74"/>
      <c r="R227" s="74"/>
      <c r="S227" s="74"/>
      <c r="T227" s="74"/>
      <c r="U227" s="74"/>
      <c r="V227" s="74"/>
      <c r="W227" s="74"/>
      <c r="X227" s="74"/>
      <c r="Y227" s="74"/>
      <c r="Z227" s="74"/>
    </row>
    <row r="228" spans="1:26" x14ac:dyDescent="0.3">
      <c r="A228" s="66">
        <f t="shared" si="26"/>
        <v>2012.0999999999799</v>
      </c>
      <c r="B228" s="67">
        <f>LOOKUP(A228+0.01,AmountsB!$A$4:$A$103,AmountsB!$B$4:$B$103)*0.1*$A$2</f>
        <v>545.63850000000002</v>
      </c>
      <c r="C228" s="68">
        <f t="shared" si="25"/>
        <v>56351.361726000054</v>
      </c>
      <c r="D228" s="67">
        <f t="array" ref="D228">SUM($B$7:$B223*$F$1009*EXP(-$F$1009*($A228-$A$7:$A223)))*$F$1010</f>
        <v>4430346.1826975634</v>
      </c>
      <c r="E228" s="67">
        <f t="shared" si="23"/>
        <v>8.4460638860821646</v>
      </c>
      <c r="F228" s="70">
        <f t="shared" si="27"/>
        <v>0.51284499916290904</v>
      </c>
      <c r="G228" s="67">
        <f>E228/'Lookup Tables'!$C$48</f>
        <v>16.892127772164329</v>
      </c>
      <c r="H228" s="70">
        <f t="shared" si="24"/>
        <v>7.8778063964274211E-2</v>
      </c>
      <c r="I228" s="71">
        <f t="shared" si="28"/>
        <v>2.4324663991916632E-2</v>
      </c>
      <c r="L228" s="74"/>
      <c r="M228" s="74"/>
      <c r="N228" s="74"/>
      <c r="O228" s="74"/>
      <c r="P228" s="74"/>
      <c r="Q228" s="74"/>
      <c r="R228" s="74"/>
      <c r="S228" s="74"/>
      <c r="T228" s="74"/>
      <c r="U228" s="74"/>
      <c r="V228" s="74"/>
      <c r="W228" s="74"/>
      <c r="X228" s="74"/>
      <c r="Y228" s="74"/>
      <c r="Z228" s="74"/>
    </row>
    <row r="229" spans="1:26" x14ac:dyDescent="0.3">
      <c r="A229" s="66">
        <f t="shared" si="26"/>
        <v>2012.1999999999798</v>
      </c>
      <c r="B229" s="67">
        <f>LOOKUP(A229+0.01,AmountsB!$A$4:$A$103,AmountsB!$B$4:$B$103)*0.1*$A$2</f>
        <v>545.63850000000002</v>
      </c>
      <c r="C229" s="68">
        <f t="shared" si="25"/>
        <v>56897.000226000055</v>
      </c>
      <c r="D229" s="67">
        <f t="array" ref="D229">SUM($B$7:$B224*$F$1009*EXP(-$F$1009*($A229-$A$7:$A224)))*$F$1010</f>
        <v>4469772.3865829501</v>
      </c>
      <c r="E229" s="67">
        <f t="shared" si="23"/>
        <v>8.521226463241975</v>
      </c>
      <c r="F229" s="70">
        <f t="shared" si="27"/>
        <v>0.51740887084805276</v>
      </c>
      <c r="G229" s="67">
        <f>E229/'Lookup Tables'!$C$48</f>
        <v>17.04245292648395</v>
      </c>
      <c r="H229" s="70">
        <f t="shared" si="24"/>
        <v>7.8716920246936634E-2</v>
      </c>
      <c r="I229" s="71">
        <f t="shared" si="28"/>
        <v>2.4541132214136889E-2</v>
      </c>
      <c r="L229" s="74"/>
      <c r="M229" s="74"/>
      <c r="N229" s="74"/>
      <c r="O229" s="74"/>
      <c r="P229" s="74"/>
      <c r="Q229" s="74"/>
      <c r="R229" s="74"/>
      <c r="S229" s="74"/>
      <c r="T229" s="74"/>
      <c r="U229" s="74"/>
      <c r="V229" s="74"/>
      <c r="W229" s="74"/>
      <c r="X229" s="74"/>
      <c r="Y229" s="74"/>
      <c r="Z229" s="74"/>
    </row>
    <row r="230" spans="1:26" x14ac:dyDescent="0.3">
      <c r="A230" s="66">
        <f t="shared" si="26"/>
        <v>2012.2999999999797</v>
      </c>
      <c r="B230" s="67">
        <f>LOOKUP(A230+0.01,AmountsB!$A$4:$A$103,AmountsB!$B$4:$B$103)*0.1*$A$2</f>
        <v>545.63850000000002</v>
      </c>
      <c r="C230" s="68">
        <f t="shared" si="25"/>
        <v>57442.638726000056</v>
      </c>
      <c r="D230" s="67">
        <f t="array" ref="D230">SUM($B$7:$B225*$F$1009*EXP(-$F$1009*($A230-$A$7:$A225)))*$F$1010</f>
        <v>4509143.432402553</v>
      </c>
      <c r="E230" s="67">
        <f t="shared" si="23"/>
        <v>8.5962838864187265</v>
      </c>
      <c r="F230" s="70">
        <f t="shared" si="27"/>
        <v>0.52196635758334509</v>
      </c>
      <c r="G230" s="67">
        <f>E230/'Lookup Tables'!$C$48</f>
        <v>17.192567772837453</v>
      </c>
      <c r="H230" s="70">
        <f t="shared" si="24"/>
        <v>7.8655975959833882E-2</v>
      </c>
      <c r="I230" s="71">
        <f t="shared" si="28"/>
        <v>2.4757297592885936E-2</v>
      </c>
      <c r="L230" s="74"/>
      <c r="M230" s="74"/>
      <c r="N230" s="74"/>
      <c r="O230" s="74"/>
      <c r="P230" s="74"/>
      <c r="Q230" s="74"/>
      <c r="R230" s="74"/>
      <c r="S230" s="74"/>
      <c r="T230" s="74"/>
      <c r="U230" s="74"/>
      <c r="V230" s="74"/>
      <c r="W230" s="74"/>
      <c r="X230" s="74"/>
      <c r="Y230" s="74"/>
      <c r="Z230" s="74"/>
    </row>
    <row r="231" spans="1:26" x14ac:dyDescent="0.3">
      <c r="A231" s="66">
        <f t="shared" si="26"/>
        <v>2012.3999999999796</v>
      </c>
      <c r="B231" s="67">
        <f>LOOKUP(A231+0.01,AmountsB!$A$4:$A$103,AmountsB!$B$4:$B$103)*0.1*$A$2</f>
        <v>545.63850000000002</v>
      </c>
      <c r="C231" s="68">
        <f t="shared" si="25"/>
        <v>57988.277226000057</v>
      </c>
      <c r="D231" s="67">
        <f t="array" ref="D231">SUM($B$7:$B226*$F$1009*EXP(-$F$1009*($A231-$A$7:$A226)))*$F$1010</f>
        <v>4548459.3973236308</v>
      </c>
      <c r="E231" s="67">
        <f t="shared" si="23"/>
        <v>8.6712363027249832</v>
      </c>
      <c r="F231" s="70">
        <f t="shared" si="27"/>
        <v>0.52651746830146096</v>
      </c>
      <c r="G231" s="67">
        <f>E231/'Lookup Tables'!$C$48</f>
        <v>17.342472605449966</v>
      </c>
      <c r="H231" s="70">
        <f t="shared" si="24"/>
        <v>7.8595226806785864E-2</v>
      </c>
      <c r="I231" s="71">
        <f t="shared" si="28"/>
        <v>2.4973160551847947E-2</v>
      </c>
      <c r="L231" s="74"/>
      <c r="M231" s="74"/>
      <c r="N231" s="74"/>
      <c r="O231" s="74"/>
      <c r="P231" s="74"/>
      <c r="Q231" s="74"/>
      <c r="R231" s="74"/>
      <c r="S231" s="74"/>
      <c r="T231" s="74"/>
      <c r="U231" s="74"/>
      <c r="V231" s="74"/>
      <c r="W231" s="74"/>
      <c r="X231" s="74"/>
      <c r="Y231" s="74"/>
      <c r="Z231" s="74"/>
    </row>
    <row r="232" spans="1:26" x14ac:dyDescent="0.3">
      <c r="A232" s="66">
        <f t="shared" si="26"/>
        <v>2012.4999999999795</v>
      </c>
      <c r="B232" s="67">
        <f>LOOKUP(A232+0.01,AmountsB!$A$4:$A$103,AmountsB!$B$4:$B$103)*0.1*$A$2</f>
        <v>545.63850000000002</v>
      </c>
      <c r="C232" s="68">
        <f t="shared" si="25"/>
        <v>58533.915726000057</v>
      </c>
      <c r="D232" s="67">
        <f t="array" ref="D232">SUM($B$7:$B227*$F$1009*EXP(-$F$1009*($A232-$A$7:$A227)))*$F$1010</f>
        <v>4590691.1407583067</v>
      </c>
      <c r="E232" s="67">
        <f t="shared" si="23"/>
        <v>8.7517473933623133</v>
      </c>
      <c r="F232" s="70">
        <f t="shared" si="27"/>
        <v>0.53140610172495972</v>
      </c>
      <c r="G232" s="67">
        <f>E232/'Lookup Tables'!$C$48</f>
        <v>17.503494786724627</v>
      </c>
      <c r="H232" s="70">
        <f t="shared" si="24"/>
        <v>7.8585523843709024E-2</v>
      </c>
      <c r="I232" s="71">
        <f t="shared" si="28"/>
        <v>2.5205032492883462E-2</v>
      </c>
      <c r="L232" s="74"/>
      <c r="M232" s="74"/>
      <c r="N232" s="74"/>
      <c r="O232" s="74"/>
      <c r="P232" s="74"/>
      <c r="Q232" s="74"/>
      <c r="R232" s="74"/>
      <c r="S232" s="74"/>
      <c r="T232" s="74"/>
      <c r="U232" s="74"/>
      <c r="V232" s="74"/>
      <c r="W232" s="74"/>
      <c r="X232" s="74"/>
      <c r="Y232" s="74"/>
      <c r="Z232" s="74"/>
    </row>
    <row r="233" spans="1:26" x14ac:dyDescent="0.3">
      <c r="A233" s="66">
        <f t="shared" si="26"/>
        <v>2012.5999999999794</v>
      </c>
      <c r="B233" s="67">
        <f>LOOKUP(A233+0.01,AmountsB!$A$4:$A$103,AmountsB!$B$4:$B$103)*0.1*$A$2</f>
        <v>545.63850000000002</v>
      </c>
      <c r="C233" s="68">
        <f t="shared" si="25"/>
        <v>59079.554226000058</v>
      </c>
      <c r="D233" s="67">
        <f t="array" ref="D233">SUM($B$7:$B228*$F$1009*EXP(-$F$1009*($A233-$A$7:$A228)))*$F$1010</f>
        <v>4632863.8011199739</v>
      </c>
      <c r="E233" s="67">
        <f t="shared" si="23"/>
        <v>8.8321458473368075</v>
      </c>
      <c r="F233" s="70">
        <f t="shared" si="27"/>
        <v>0.53628789585029091</v>
      </c>
      <c r="G233" s="67">
        <f>E233/'Lookup Tables'!$C$48</f>
        <v>17.664291694673615</v>
      </c>
      <c r="H233" s="70">
        <f t="shared" si="24"/>
        <v>7.8574998037430538E-2</v>
      </c>
      <c r="I233" s="71">
        <f t="shared" si="28"/>
        <v>2.5436580040330004E-2</v>
      </c>
      <c r="L233" s="74"/>
      <c r="M233" s="74"/>
      <c r="N233" s="74"/>
      <c r="O233" s="74"/>
      <c r="P233" s="74"/>
      <c r="Q233" s="74"/>
      <c r="R233" s="74"/>
      <c r="S233" s="74"/>
      <c r="T233" s="74"/>
      <c r="U233" s="74"/>
      <c r="V233" s="74"/>
      <c r="W233" s="74"/>
      <c r="X233" s="74"/>
      <c r="Y233" s="74"/>
      <c r="Z233" s="74"/>
    </row>
    <row r="234" spans="1:26" x14ac:dyDescent="0.3">
      <c r="A234" s="66">
        <f t="shared" si="26"/>
        <v>2012.6999999999794</v>
      </c>
      <c r="B234" s="67">
        <f>LOOKUP(A234+0.01,AmountsB!$A$4:$A$103,AmountsB!$B$4:$B$103)*0.1*$A$2</f>
        <v>545.63850000000002</v>
      </c>
      <c r="C234" s="68">
        <f t="shared" si="25"/>
        <v>59625.192726000059</v>
      </c>
      <c r="D234" s="67">
        <f t="array" ref="D234">SUM($B$7:$B229*$F$1009*EXP(-$F$1009*($A234-$A$7:$A229)))*$F$1010</f>
        <v>4674977.4610670628</v>
      </c>
      <c r="E234" s="67">
        <f t="shared" si="23"/>
        <v>8.9124318222294665</v>
      </c>
      <c r="F234" s="70">
        <f t="shared" si="27"/>
        <v>0.54116286024577309</v>
      </c>
      <c r="G234" s="67">
        <f>E234/'Lookup Tables'!$C$48</f>
        <v>17.824863644458933</v>
      </c>
      <c r="H234" s="70">
        <f t="shared" si="24"/>
        <v>7.8563673366897943E-2</v>
      </c>
      <c r="I234" s="71">
        <f t="shared" si="28"/>
        <v>2.5667803648020862E-2</v>
      </c>
      <c r="L234" s="74"/>
      <c r="M234" s="74"/>
      <c r="N234" s="74"/>
      <c r="O234" s="74"/>
      <c r="P234" s="74"/>
      <c r="Q234" s="74"/>
      <c r="R234" s="74"/>
      <c r="S234" s="74"/>
      <c r="T234" s="74"/>
      <c r="U234" s="74"/>
      <c r="V234" s="74"/>
      <c r="W234" s="74"/>
      <c r="X234" s="74"/>
      <c r="Y234" s="74"/>
      <c r="Z234" s="74"/>
    </row>
    <row r="235" spans="1:26" x14ac:dyDescent="0.3">
      <c r="A235" s="66">
        <f t="shared" si="26"/>
        <v>2012.7999999999793</v>
      </c>
      <c r="B235" s="67">
        <f>LOOKUP(A235+0.01,AmountsB!$A$4:$A$103,AmountsB!$B$4:$B$103)*0.1*$A$2</f>
        <v>545.63850000000002</v>
      </c>
      <c r="C235" s="68">
        <f t="shared" si="25"/>
        <v>60170.83122600006</v>
      </c>
      <c r="D235" s="67">
        <f t="array" ref="D235">SUM($B$7:$B230*$F$1009*EXP(-$F$1009*($A235-$A$7:$A230)))*$F$1010</f>
        <v>4717032.2031423608</v>
      </c>
      <c r="E235" s="67">
        <f t="shared" si="23"/>
        <v>8.9926054754008327</v>
      </c>
      <c r="F235" s="70">
        <f t="shared" si="27"/>
        <v>0.54603100446633857</v>
      </c>
      <c r="G235" s="67">
        <f>E235/'Lookup Tables'!$C$48</f>
        <v>17.985210950801665</v>
      </c>
      <c r="H235" s="70">
        <f t="shared" si="24"/>
        <v>7.8551572939353567E-2</v>
      </c>
      <c r="I235" s="71">
        <f t="shared" si="28"/>
        <v>2.5898703769154395E-2</v>
      </c>
      <c r="L235" s="74"/>
      <c r="M235" s="74"/>
      <c r="N235" s="74"/>
      <c r="O235" s="74"/>
      <c r="P235" s="74"/>
      <c r="Q235" s="74"/>
      <c r="R235" s="74"/>
      <c r="S235" s="74"/>
      <c r="T235" s="74"/>
      <c r="U235" s="74"/>
      <c r="V235" s="74"/>
      <c r="W235" s="74"/>
      <c r="X235" s="74"/>
      <c r="Y235" s="74"/>
      <c r="Z235" s="74"/>
    </row>
    <row r="236" spans="1:26" x14ac:dyDescent="0.3">
      <c r="A236" s="66">
        <f t="shared" si="26"/>
        <v>2012.8999999999792</v>
      </c>
      <c r="B236" s="67">
        <f>LOOKUP(A236+0.01,AmountsB!$A$4:$A$103,AmountsB!$B$4:$B$103)*0.1*$A$2</f>
        <v>545.63850000000002</v>
      </c>
      <c r="C236" s="68">
        <f t="shared" si="25"/>
        <v>60716.469726000061</v>
      </c>
      <c r="D236" s="67">
        <f t="array" ref="D236">SUM($B$7:$B231*$F$1009*EXP(-$F$1009*($A236-$A$7:$A231)))*$F$1010</f>
        <v>4759028.1097731721</v>
      </c>
      <c r="E236" s="67">
        <f t="shared" si="23"/>
        <v>9.0726669639912796</v>
      </c>
      <c r="F236" s="70">
        <f t="shared" si="27"/>
        <v>0.55089233805355042</v>
      </c>
      <c r="G236" s="67">
        <f>E236/'Lookup Tables'!$C$48</f>
        <v>18.145333927982559</v>
      </c>
      <c r="H236" s="70">
        <f t="shared" si="24"/>
        <v>7.8538719029505835E-2</v>
      </c>
      <c r="I236" s="71">
        <f t="shared" si="28"/>
        <v>2.6129280856294883E-2</v>
      </c>
      <c r="L236" s="74"/>
      <c r="M236" s="74"/>
      <c r="N236" s="74"/>
      <c r="O236" s="74"/>
      <c r="P236" s="74"/>
      <c r="Q236" s="74"/>
      <c r="R236" s="74"/>
      <c r="S236" s="74"/>
      <c r="T236" s="74"/>
      <c r="U236" s="74"/>
      <c r="V236" s="74"/>
      <c r="W236" s="74"/>
      <c r="X236" s="74"/>
      <c r="Y236" s="74"/>
      <c r="Z236" s="74"/>
    </row>
    <row r="237" spans="1:26" x14ac:dyDescent="0.3">
      <c r="A237" s="66">
        <f t="shared" si="26"/>
        <v>2012.9999999999791</v>
      </c>
      <c r="B237" s="67">
        <f>LOOKUP(A237+0.01,AmountsB!$A$4:$A$103,AmountsB!$B$4:$B$103)*0.1*$A$2</f>
        <v>556.55127000000005</v>
      </c>
      <c r="C237" s="68">
        <f t="shared" si="25"/>
        <v>61273.020996000065</v>
      </c>
      <c r="D237" s="67">
        <f t="array" ref="D237">SUM($B$7:$B232*$F$1009*EXP(-$F$1009*($A237-$A$7:$A232)))*$F$1010</f>
        <v>4800965.2632714901</v>
      </c>
      <c r="E237" s="67">
        <f t="shared" si="23"/>
        <v>9.1526164449213585</v>
      </c>
      <c r="F237" s="70">
        <f t="shared" si="27"/>
        <v>0.55574687053562488</v>
      </c>
      <c r="G237" s="67">
        <f>E237/'Lookup Tables'!$C$48</f>
        <v>18.305232889842717</v>
      </c>
      <c r="H237" s="70">
        <f t="shared" si="24"/>
        <v>7.8511147732779576E-2</v>
      </c>
      <c r="I237" s="71">
        <f t="shared" si="28"/>
        <v>2.6359535361373514E-2</v>
      </c>
      <c r="L237" s="74"/>
      <c r="M237" s="74"/>
      <c r="N237" s="74"/>
      <c r="O237" s="74"/>
      <c r="P237" s="74"/>
      <c r="Q237" s="74"/>
      <c r="R237" s="74"/>
      <c r="S237" s="74"/>
      <c r="T237" s="74"/>
      <c r="U237" s="74"/>
      <c r="V237" s="74"/>
      <c r="W237" s="74"/>
      <c r="X237" s="74"/>
      <c r="Y237" s="74"/>
      <c r="Z237" s="74"/>
    </row>
    <row r="238" spans="1:26" x14ac:dyDescent="0.3">
      <c r="A238" s="66">
        <f t="shared" si="26"/>
        <v>2013.099999999979</v>
      </c>
      <c r="B238" s="67">
        <f>LOOKUP(A238+0.01,AmountsB!$A$4:$A$103,AmountsB!$B$4:$B$103)*0.1*$A$2</f>
        <v>556.55127000000005</v>
      </c>
      <c r="C238" s="68">
        <f t="shared" si="25"/>
        <v>61829.572266000068</v>
      </c>
      <c r="D238" s="67">
        <f t="array" ref="D238">SUM($B$7:$B233*$F$1009*EXP(-$F$1009*($A238-$A$7:$A233)))*$F$1010</f>
        <v>4842843.7458341485</v>
      </c>
      <c r="E238" s="67">
        <f t="shared" si="23"/>
        <v>9.2324540748920771</v>
      </c>
      <c r="F238" s="70">
        <f t="shared" si="27"/>
        <v>0.56059461142744693</v>
      </c>
      <c r="G238" s="67">
        <f>E238/'Lookup Tables'!$C$48</f>
        <v>18.464908149784154</v>
      </c>
      <c r="H238" s="70">
        <f t="shared" si="24"/>
        <v>7.8483121974170553E-2</v>
      </c>
      <c r="I238" s="71">
        <f t="shared" si="28"/>
        <v>2.6589467735689185E-2</v>
      </c>
      <c r="L238" s="74"/>
      <c r="M238" s="74"/>
      <c r="N238" s="74"/>
      <c r="O238" s="74"/>
      <c r="P238" s="74"/>
      <c r="Q238" s="74"/>
      <c r="R238" s="74"/>
      <c r="S238" s="74"/>
      <c r="T238" s="74"/>
      <c r="U238" s="74"/>
      <c r="V238" s="74"/>
      <c r="W238" s="74"/>
      <c r="X238" s="74"/>
      <c r="Y238" s="74"/>
      <c r="Z238" s="74"/>
    </row>
    <row r="239" spans="1:26" x14ac:dyDescent="0.3">
      <c r="A239" s="66">
        <f t="shared" si="26"/>
        <v>2013.1999999999789</v>
      </c>
      <c r="B239" s="67">
        <f>LOOKUP(A239+0.01,AmountsB!$A$4:$A$103,AmountsB!$B$4:$B$103)*0.1*$A$2</f>
        <v>556.55127000000005</v>
      </c>
      <c r="C239" s="68">
        <f t="shared" si="25"/>
        <v>62386.123536000072</v>
      </c>
      <c r="D239" s="67">
        <f t="array" ref="D239">SUM($B$7:$B234*$F$1009*EXP(-$F$1009*($A239-$A$7:$A234)))*$F$1010</f>
        <v>4884663.6395429866</v>
      </c>
      <c r="E239" s="67">
        <f t="shared" si="23"/>
        <v>9.3121800103852141</v>
      </c>
      <c r="F239" s="70">
        <f t="shared" si="27"/>
        <v>0.56543557023059021</v>
      </c>
      <c r="G239" s="67">
        <f>E239/'Lookup Tables'!$C$48</f>
        <v>18.624360020770428</v>
      </c>
      <c r="H239" s="70">
        <f t="shared" si="24"/>
        <v>7.8454655234895226E-2</v>
      </c>
      <c r="I239" s="71">
        <f t="shared" si="28"/>
        <v>2.6819078429909417E-2</v>
      </c>
      <c r="L239" s="74"/>
      <c r="M239" s="74"/>
      <c r="N239" s="74"/>
      <c r="O239" s="74"/>
      <c r="P239" s="74"/>
      <c r="Q239" s="74"/>
      <c r="R239" s="74"/>
      <c r="S239" s="74"/>
      <c r="T239" s="74"/>
      <c r="U239" s="74"/>
      <c r="V239" s="74"/>
      <c r="W239" s="74"/>
      <c r="X239" s="74"/>
      <c r="Y239" s="74"/>
      <c r="Z239" s="74"/>
    </row>
    <row r="240" spans="1:26" x14ac:dyDescent="0.3">
      <c r="A240" s="66">
        <f t="shared" si="26"/>
        <v>2013.2999999999788</v>
      </c>
      <c r="B240" s="67">
        <f>LOOKUP(A240+0.01,AmountsB!$A$4:$A$103,AmountsB!$B$4:$B$103)*0.1*$A$2</f>
        <v>556.55127000000005</v>
      </c>
      <c r="C240" s="68">
        <f t="shared" si="25"/>
        <v>62942.674806000075</v>
      </c>
      <c r="D240" s="67">
        <f t="array" ref="D240">SUM($B$7:$B235*$F$1009*EXP(-$F$1009*($A240-$A$7:$A235)))*$F$1010</f>
        <v>4926425.0263650101</v>
      </c>
      <c r="E240" s="67">
        <f t="shared" si="23"/>
        <v>9.3917944076636299</v>
      </c>
      <c r="F240" s="70">
        <f t="shared" si="27"/>
        <v>0.57026975643333555</v>
      </c>
      <c r="G240" s="67">
        <f>E240/'Lookup Tables'!$C$48</f>
        <v>18.78358881532726</v>
      </c>
      <c r="H240" s="70">
        <f t="shared" si="24"/>
        <v>7.8425760517527976E-2</v>
      </c>
      <c r="I240" s="71">
        <f t="shared" si="28"/>
        <v>2.7048367894071251E-2</v>
      </c>
      <c r="L240" s="74"/>
      <c r="M240" s="74"/>
      <c r="N240" s="74"/>
      <c r="O240" s="74"/>
      <c r="P240" s="74"/>
      <c r="Q240" s="74"/>
      <c r="R240" s="74"/>
      <c r="S240" s="74"/>
      <c r="T240" s="74"/>
      <c r="U240" s="74"/>
      <c r="V240" s="74"/>
      <c r="W240" s="74"/>
      <c r="X240" s="74"/>
      <c r="Y240" s="74"/>
      <c r="Z240" s="74"/>
    </row>
    <row r="241" spans="1:26" x14ac:dyDescent="0.3">
      <c r="A241" s="66">
        <f t="shared" si="26"/>
        <v>2013.3999999999787</v>
      </c>
      <c r="B241" s="67">
        <f>LOOKUP(A241+0.01,AmountsB!$A$4:$A$103,AmountsB!$B$4:$B$103)*0.1*$A$2</f>
        <v>556.55127000000005</v>
      </c>
      <c r="C241" s="68">
        <f t="shared" si="25"/>
        <v>63499.226076000079</v>
      </c>
      <c r="D241" s="67">
        <f t="array" ref="D241">SUM($B$7:$B236*$F$1009*EXP(-$F$1009*($A241-$A$7:$A236)))*$F$1010</f>
        <v>4968127.9881525477</v>
      </c>
      <c r="E241" s="67">
        <f t="shared" si="23"/>
        <v>9.4712974227715652</v>
      </c>
      <c r="F241" s="70">
        <f t="shared" si="27"/>
        <v>0.5750971795106895</v>
      </c>
      <c r="G241" s="67">
        <f>E241/'Lookup Tables'!$C$48</f>
        <v>18.94259484554313</v>
      </c>
      <c r="H241" s="70">
        <f t="shared" si="24"/>
        <v>7.8396450366979259E-2</v>
      </c>
      <c r="I241" s="71">
        <f t="shared" si="28"/>
        <v>2.7277336577582106E-2</v>
      </c>
      <c r="L241" s="74"/>
      <c r="M241" s="74"/>
      <c r="N241" s="74"/>
      <c r="O241" s="74"/>
      <c r="P241" s="74"/>
      <c r="Q241" s="74"/>
      <c r="R241" s="74"/>
      <c r="S241" s="74"/>
      <c r="T241" s="74"/>
      <c r="U241" s="74"/>
      <c r="V241" s="74"/>
      <c r="W241" s="74"/>
      <c r="X241" s="74"/>
      <c r="Y241" s="74"/>
      <c r="Z241" s="74"/>
    </row>
    <row r="242" spans="1:26" x14ac:dyDescent="0.3">
      <c r="A242" s="66">
        <f t="shared" si="26"/>
        <v>2013.4999999999786</v>
      </c>
      <c r="B242" s="67">
        <f>LOOKUP(A242+0.01,AmountsB!$A$4:$A$103,AmountsB!$B$4:$B$103)*0.1*$A$2</f>
        <v>556.55127000000005</v>
      </c>
      <c r="C242" s="68">
        <f t="shared" si="25"/>
        <v>64055.777346000083</v>
      </c>
      <c r="D242" s="67">
        <f t="array" ref="D242">SUM($B$7:$B237*$F$1009*EXP(-$F$1009*($A242-$A$7:$A237)))*$F$1010</f>
        <v>5010744.5092670228</v>
      </c>
      <c r="E242" s="67">
        <f t="shared" si="23"/>
        <v>9.5525420580872336</v>
      </c>
      <c r="F242" s="70">
        <f t="shared" si="27"/>
        <v>0.58003035376705681</v>
      </c>
      <c r="G242" s="67">
        <f>E242/'Lookup Tables'!$C$48</f>
        <v>19.105084116174467</v>
      </c>
      <c r="H242" s="70">
        <f t="shared" si="24"/>
        <v>7.8381940142736736E-2</v>
      </c>
      <c r="I242" s="71">
        <f t="shared" si="28"/>
        <v>2.7511321127291235E-2</v>
      </c>
      <c r="L242" s="74"/>
      <c r="M242" s="74"/>
      <c r="N242" s="74"/>
      <c r="O242" s="74"/>
      <c r="P242" s="74"/>
      <c r="Q242" s="74"/>
      <c r="R242" s="74"/>
      <c r="S242" s="74"/>
      <c r="T242" s="74"/>
      <c r="U242" s="74"/>
      <c r="V242" s="74"/>
      <c r="W242" s="74"/>
      <c r="X242" s="74"/>
      <c r="Y242" s="74"/>
      <c r="Z242" s="74"/>
    </row>
    <row r="243" spans="1:26" x14ac:dyDescent="0.3">
      <c r="A243" s="66">
        <f t="shared" si="26"/>
        <v>2013.5999999999785</v>
      </c>
      <c r="B243" s="67">
        <f>LOOKUP(A243+0.01,AmountsB!$A$4:$A$103,AmountsB!$B$4:$B$103)*0.1*$A$2</f>
        <v>556.55127000000005</v>
      </c>
      <c r="C243" s="68">
        <f t="shared" si="25"/>
        <v>64612.328616000086</v>
      </c>
      <c r="D243" s="67">
        <f t="array" ref="D243">SUM($B$7:$B238*$F$1009*EXP(-$F$1009*($A243-$A$7:$A238)))*$F$1010</f>
        <v>5053301.4089966454</v>
      </c>
      <c r="E243" s="67">
        <f t="shared" si="23"/>
        <v>9.6336730304960589</v>
      </c>
      <c r="F243" s="70">
        <f t="shared" si="27"/>
        <v>0.58495662641172075</v>
      </c>
      <c r="G243" s="67">
        <f>E243/'Lookup Tables'!$C$48</f>
        <v>19.267346060992118</v>
      </c>
      <c r="H243" s="70">
        <f t="shared" si="24"/>
        <v>7.8366755281667005E-2</v>
      </c>
      <c r="I243" s="71">
        <f t="shared" si="28"/>
        <v>2.774497832782865E-2</v>
      </c>
      <c r="L243" s="74"/>
      <c r="M243" s="74"/>
      <c r="N243" s="74"/>
      <c r="O243" s="74"/>
      <c r="P243" s="74"/>
      <c r="Q243" s="74"/>
      <c r="R243" s="74"/>
      <c r="S243" s="74"/>
      <c r="T243" s="74"/>
      <c r="U243" s="74"/>
      <c r="V243" s="74"/>
      <c r="W243" s="74"/>
      <c r="X243" s="74"/>
      <c r="Y243" s="74"/>
      <c r="Z243" s="74"/>
    </row>
    <row r="244" spans="1:26" x14ac:dyDescent="0.3">
      <c r="A244" s="66">
        <f t="shared" si="26"/>
        <v>2013.6999999999784</v>
      </c>
      <c r="B244" s="67">
        <f>LOOKUP(A244+0.01,AmountsB!$A$4:$A$103,AmountsB!$B$4:$B$103)*0.1*$A$2</f>
        <v>556.55127000000005</v>
      </c>
      <c r="C244" s="68">
        <f t="shared" si="25"/>
        <v>65168.87988600009</v>
      </c>
      <c r="D244" s="67">
        <f t="array" ref="D244">SUM($B$7:$B239*$F$1009*EXP(-$F$1009*($A244-$A$7:$A239)))*$F$1010</f>
        <v>5095798.7707529552</v>
      </c>
      <c r="E244" s="67">
        <f t="shared" si="23"/>
        <v>9.7146904990147824</v>
      </c>
      <c r="F244" s="70">
        <f t="shared" si="27"/>
        <v>0.58987600710017762</v>
      </c>
      <c r="G244" s="67">
        <f>E244/'Lookup Tables'!$C$48</f>
        <v>19.429380998029565</v>
      </c>
      <c r="H244" s="70">
        <f t="shared" si="24"/>
        <v>7.8350914350747883E-2</v>
      </c>
      <c r="I244" s="71">
        <f t="shared" si="28"/>
        <v>2.7978308637162577E-2</v>
      </c>
      <c r="L244" s="74"/>
      <c r="M244" s="74"/>
      <c r="N244" s="74"/>
      <c r="O244" s="74"/>
      <c r="P244" s="74"/>
      <c r="Q244" s="74"/>
      <c r="R244" s="74"/>
      <c r="S244" s="74"/>
      <c r="T244" s="74"/>
      <c r="U244" s="74"/>
      <c r="V244" s="74"/>
      <c r="W244" s="74"/>
      <c r="X244" s="74"/>
      <c r="Y244" s="74"/>
      <c r="Z244" s="74"/>
    </row>
    <row r="245" spans="1:26" x14ac:dyDescent="0.3">
      <c r="A245" s="66">
        <f t="shared" si="26"/>
        <v>2013.7999999999784</v>
      </c>
      <c r="B245" s="67">
        <f>LOOKUP(A245+0.01,AmountsB!$A$4:$A$103,AmountsB!$B$4:$B$103)*0.1*$A$2</f>
        <v>556.55127000000005</v>
      </c>
      <c r="C245" s="68">
        <f t="shared" si="25"/>
        <v>65725.431156000093</v>
      </c>
      <c r="D245" s="67">
        <f t="array" ref="D245">SUM($B$7:$B240*$F$1009*EXP(-$F$1009*($A245-$A$7:$A240)))*$F$1010</f>
        <v>5138236.6778307911</v>
      </c>
      <c r="E245" s="67">
        <f t="shared" si="23"/>
        <v>9.7955946224376547</v>
      </c>
      <c r="F245" s="70">
        <f t="shared" si="27"/>
        <v>0.59478850547441442</v>
      </c>
      <c r="G245" s="67">
        <f>E245/'Lookup Tables'!$C$48</f>
        <v>19.591189244875309</v>
      </c>
      <c r="H245" s="70">
        <f t="shared" si="24"/>
        <v>7.8334435286290513E-2</v>
      </c>
      <c r="I245" s="71">
        <f t="shared" si="28"/>
        <v>2.8211312512620448E-2</v>
      </c>
      <c r="L245" s="74"/>
      <c r="M245" s="74"/>
      <c r="N245" s="74"/>
      <c r="O245" s="74"/>
      <c r="P245" s="74"/>
      <c r="Q245" s="74"/>
      <c r="R245" s="74"/>
      <c r="S245" s="74"/>
      <c r="T245" s="74"/>
      <c r="U245" s="74"/>
      <c r="V245" s="74"/>
      <c r="W245" s="74"/>
      <c r="X245" s="74"/>
      <c r="Y245" s="74"/>
      <c r="Z245" s="74"/>
    </row>
    <row r="246" spans="1:26" x14ac:dyDescent="0.3">
      <c r="A246" s="66">
        <f t="shared" si="26"/>
        <v>2013.8999999999783</v>
      </c>
      <c r="B246" s="67">
        <f>LOOKUP(A246+0.01,AmountsB!$A$4:$A$103,AmountsB!$B$4:$B$103)*0.1*$A$2</f>
        <v>556.55127000000005</v>
      </c>
      <c r="C246" s="68">
        <f t="shared" si="25"/>
        <v>66281.98242600009</v>
      </c>
      <c r="D246" s="67">
        <f t="array" ref="D246">SUM($B$7:$B241*$F$1009*EXP(-$F$1009*($A246-$A$7:$A241)))*$F$1010</f>
        <v>5180615.2134084636</v>
      </c>
      <c r="E246" s="67">
        <f t="shared" si="23"/>
        <v>9.8763855593367857</v>
      </c>
      <c r="F246" s="70">
        <f t="shared" si="27"/>
        <v>0.59969413116292958</v>
      </c>
      <c r="G246" s="67">
        <f>E246/'Lookup Tables'!$C$48</f>
        <v>19.752771118673571</v>
      </c>
      <c r="H246" s="70">
        <f t="shared" si="24"/>
        <v>7.8317335420419715E-2</v>
      </c>
      <c r="I246" s="71">
        <f t="shared" si="28"/>
        <v>2.8443990410889942E-2</v>
      </c>
      <c r="L246" s="74"/>
      <c r="M246" s="74"/>
      <c r="N246" s="74"/>
      <c r="O246" s="74"/>
      <c r="P246" s="74"/>
      <c r="Q246" s="74"/>
      <c r="R246" s="74"/>
      <c r="S246" s="74"/>
      <c r="T246" s="74"/>
      <c r="U246" s="74"/>
      <c r="V246" s="74"/>
      <c r="W246" s="74"/>
      <c r="X246" s="74"/>
      <c r="Y246" s="74"/>
      <c r="Z246" s="74"/>
    </row>
    <row r="247" spans="1:26" x14ac:dyDescent="0.3">
      <c r="A247" s="66">
        <f t="shared" si="26"/>
        <v>2013.9999999999782</v>
      </c>
      <c r="B247" s="67">
        <f>LOOKUP(A247+0.01,AmountsB!$A$4:$A$103,AmountsB!$B$4:$B$103)*0.1*$A$2</f>
        <v>567.68229540000004</v>
      </c>
      <c r="C247" s="68">
        <f t="shared" si="25"/>
        <v>66849.664721400084</v>
      </c>
      <c r="D247" s="67">
        <f t="array" ref="D247">SUM($B$7:$B242*$F$1009*EXP(-$F$1009*($A247-$A$7:$A242)))*$F$1010</f>
        <v>5222934.4605479185</v>
      </c>
      <c r="E247" s="67">
        <f t="shared" si="23"/>
        <v>9.9570634680624419</v>
      </c>
      <c r="F247" s="70">
        <f t="shared" si="27"/>
        <v>0.60459289378075154</v>
      </c>
      <c r="G247" s="67">
        <f>E247/'Lookup Tables'!$C$48</f>
        <v>19.914126936124884</v>
      </c>
      <c r="H247" s="70">
        <f t="shared" si="24"/>
        <v>7.8286593966091791E-2</v>
      </c>
      <c r="I247" s="71">
        <f t="shared" si="28"/>
        <v>2.8676342788019834E-2</v>
      </c>
      <c r="L247" s="74"/>
      <c r="M247" s="74"/>
      <c r="N247" s="74"/>
      <c r="O247" s="74"/>
      <c r="P247" s="74"/>
      <c r="Q247" s="74"/>
      <c r="R247" s="74"/>
      <c r="S247" s="74"/>
      <c r="T247" s="74"/>
      <c r="U247" s="74"/>
      <c r="V247" s="74"/>
      <c r="W247" s="74"/>
      <c r="X247" s="74"/>
      <c r="Y247" s="74"/>
      <c r="Z247" s="74"/>
    </row>
    <row r="248" spans="1:26" x14ac:dyDescent="0.3">
      <c r="A248" s="66">
        <f t="shared" si="26"/>
        <v>2014.0999999999781</v>
      </c>
      <c r="B248" s="67">
        <f>LOOKUP(A248+0.01,AmountsB!$A$4:$A$103,AmountsB!$B$4:$B$103)*0.1*$A$2</f>
        <v>567.68229540000004</v>
      </c>
      <c r="C248" s="68">
        <f t="shared" si="25"/>
        <v>67417.347016800079</v>
      </c>
      <c r="D248" s="67">
        <f t="array" ref="D248">SUM($B$7:$B243*$F$1009*EXP(-$F$1009*($A248-$A$7:$A243)))*$F$1010</f>
        <v>5265194.5021948935</v>
      </c>
      <c r="E248" s="67">
        <f t="shared" si="23"/>
        <v>10.037628506743353</v>
      </c>
      <c r="F248" s="70">
        <f t="shared" si="27"/>
        <v>0.6094848029294565</v>
      </c>
      <c r="G248" s="67">
        <f>E248/'Lookup Tables'!$C$48</f>
        <v>20.075257013486706</v>
      </c>
      <c r="H248" s="70">
        <f t="shared" si="24"/>
        <v>7.8255490264688227E-2</v>
      </c>
      <c r="I248" s="71">
        <f t="shared" si="28"/>
        <v>2.8908370099420856E-2</v>
      </c>
      <c r="L248" s="74"/>
      <c r="M248" s="74"/>
      <c r="N248" s="74"/>
      <c r="O248" s="74"/>
      <c r="P248" s="74"/>
      <c r="Q248" s="74"/>
      <c r="R248" s="74"/>
      <c r="S248" s="74"/>
      <c r="T248" s="74"/>
      <c r="U248" s="74"/>
      <c r="V248" s="74"/>
      <c r="W248" s="74"/>
      <c r="X248" s="74"/>
      <c r="Y248" s="74"/>
      <c r="Z248" s="74"/>
    </row>
    <row r="249" spans="1:26" x14ac:dyDescent="0.3">
      <c r="A249" s="66">
        <f t="shared" si="26"/>
        <v>2014.199999999978</v>
      </c>
      <c r="B249" s="67">
        <f>LOOKUP(A249+0.01,AmountsB!$A$4:$A$103,AmountsB!$B$4:$B$103)*0.1*$A$2</f>
        <v>567.68229540000004</v>
      </c>
      <c r="C249" s="68">
        <f t="shared" si="25"/>
        <v>67985.029312200073</v>
      </c>
      <c r="D249" s="67">
        <f t="array" ref="D249">SUM($B$7:$B244*$F$1009*EXP(-$F$1009*($A249-$A$7:$A244)))*$F$1010</f>
        <v>5307395.4211790841</v>
      </c>
      <c r="E249" s="67">
        <f t="shared" si="23"/>
        <v>10.118080833287014</v>
      </c>
      <c r="F249" s="70">
        <f t="shared" si="27"/>
        <v>0.61436986819718742</v>
      </c>
      <c r="G249" s="67">
        <f>E249/'Lookup Tables'!$C$48</f>
        <v>20.236161666574027</v>
      </c>
      <c r="H249" s="70">
        <f t="shared" si="24"/>
        <v>7.8224034611415763E-2</v>
      </c>
      <c r="I249" s="71">
        <f t="shared" si="28"/>
        <v>2.9140072799866596E-2</v>
      </c>
      <c r="L249" s="74"/>
      <c r="M249" s="74"/>
      <c r="N249" s="74"/>
      <c r="O249" s="74"/>
      <c r="P249" s="74"/>
      <c r="Q249" s="74"/>
      <c r="R249" s="74"/>
      <c r="S249" s="74"/>
      <c r="T249" s="74"/>
      <c r="U249" s="74"/>
      <c r="V249" s="74"/>
      <c r="W249" s="74"/>
      <c r="X249" s="74"/>
      <c r="Y249" s="74"/>
      <c r="Z249" s="74"/>
    </row>
    <row r="250" spans="1:26" x14ac:dyDescent="0.3">
      <c r="A250" s="66">
        <f t="shared" si="26"/>
        <v>2014.2999999999779</v>
      </c>
      <c r="B250" s="67">
        <f>LOOKUP(A250+0.01,AmountsB!$A$4:$A$103,AmountsB!$B$4:$B$103)*0.1*$A$2</f>
        <v>567.68229540000004</v>
      </c>
      <c r="C250" s="68">
        <f t="shared" si="25"/>
        <v>68552.711607600068</v>
      </c>
      <c r="D250" s="67">
        <f t="array" ref="D250">SUM($B$7:$B245*$F$1009*EXP(-$F$1009*($A250-$A$7:$A245)))*$F$1010</f>
        <v>5349537.3002143037</v>
      </c>
      <c r="E250" s="67">
        <f t="shared" si="23"/>
        <v>10.198420605380013</v>
      </c>
      <c r="F250" s="70">
        <f t="shared" si="27"/>
        <v>0.6192480991586744</v>
      </c>
      <c r="G250" s="67">
        <f>E250/'Lookup Tables'!$C$48</f>
        <v>20.396841210760027</v>
      </c>
      <c r="H250" s="70">
        <f t="shared" si="24"/>
        <v>7.81922369587707E-2</v>
      </c>
      <c r="I250" s="71">
        <f t="shared" si="28"/>
        <v>2.9371451343494438E-2</v>
      </c>
      <c r="L250" s="74"/>
      <c r="M250" s="74"/>
      <c r="N250" s="74"/>
      <c r="O250" s="74"/>
      <c r="P250" s="74"/>
      <c r="Q250" s="74"/>
      <c r="R250" s="74"/>
      <c r="S250" s="74"/>
      <c r="T250" s="74"/>
      <c r="U250" s="74"/>
      <c r="V250" s="74"/>
      <c r="W250" s="74"/>
      <c r="X250" s="74"/>
      <c r="Y250" s="74"/>
      <c r="Z250" s="74"/>
    </row>
    <row r="251" spans="1:26" x14ac:dyDescent="0.3">
      <c r="A251" s="66">
        <f t="shared" si="26"/>
        <v>2014.3999999999778</v>
      </c>
      <c r="B251" s="67">
        <f>LOOKUP(A251+0.01,AmountsB!$A$4:$A$103,AmountsB!$B$4:$B$103)*0.1*$A$2</f>
        <v>567.68229540000004</v>
      </c>
      <c r="C251" s="68">
        <f t="shared" si="25"/>
        <v>69120.393903000062</v>
      </c>
      <c r="D251" s="67">
        <f t="array" ref="D251">SUM($B$7:$B246*$F$1009*EXP(-$F$1009*($A251-$A$7:$A246)))*$F$1010</f>
        <v>5391620.2218986498</v>
      </c>
      <c r="E251" s="67">
        <f t="shared" si="23"/>
        <v>10.278647980488332</v>
      </c>
      <c r="F251" s="70">
        <f t="shared" si="27"/>
        <v>0.62411950537525152</v>
      </c>
      <c r="G251" s="67">
        <f>E251/'Lookup Tables'!$C$48</f>
        <v>20.557295960976663</v>
      </c>
      <c r="H251" s="70">
        <f t="shared" si="24"/>
        <v>7.8160106930614329E-2</v>
      </c>
      <c r="I251" s="71">
        <f t="shared" si="28"/>
        <v>2.9602506183806394E-2</v>
      </c>
      <c r="L251" s="74"/>
      <c r="M251" s="74"/>
      <c r="N251" s="74"/>
      <c r="O251" s="74"/>
      <c r="P251" s="74"/>
      <c r="Q251" s="74"/>
      <c r="R251" s="74"/>
      <c r="S251" s="74"/>
      <c r="T251" s="74"/>
      <c r="U251" s="74"/>
      <c r="V251" s="74"/>
      <c r="W251" s="74"/>
      <c r="X251" s="74"/>
      <c r="Y251" s="74"/>
      <c r="Z251" s="74"/>
    </row>
    <row r="252" spans="1:26" x14ac:dyDescent="0.3">
      <c r="A252" s="66">
        <f t="shared" si="26"/>
        <v>2014.4999999999777</v>
      </c>
      <c r="B252" s="67">
        <f>LOOKUP(A252+0.01,AmountsB!$A$4:$A$103,AmountsB!$B$4:$B$103)*0.1*$A$2</f>
        <v>567.68229540000004</v>
      </c>
      <c r="C252" s="68">
        <f t="shared" si="25"/>
        <v>69688.076198400056</v>
      </c>
      <c r="D252" s="67">
        <f t="array" ref="D252">SUM($B$7:$B247*$F$1009*EXP(-$F$1009*($A252-$A$7:$A247)))*$F$1010</f>
        <v>5434635.6093907366</v>
      </c>
      <c r="E252" s="67">
        <f t="shared" si="23"/>
        <v>10.360653019340967</v>
      </c>
      <c r="F252" s="70">
        <f t="shared" si="27"/>
        <v>0.62909885133438359</v>
      </c>
      <c r="G252" s="67">
        <f>E252/'Lookup Tables'!$C$48</f>
        <v>20.721306038681934</v>
      </c>
      <c r="H252" s="70">
        <f t="shared" si="24"/>
        <v>7.8141907827420212E-2</v>
      </c>
      <c r="I252" s="71">
        <f t="shared" si="28"/>
        <v>2.9838680695701988E-2</v>
      </c>
      <c r="L252" s="74"/>
      <c r="M252" s="74"/>
      <c r="N252" s="74"/>
      <c r="O252" s="74"/>
      <c r="P252" s="74"/>
      <c r="Q252" s="74"/>
      <c r="R252" s="74"/>
      <c r="S252" s="74"/>
      <c r="T252" s="74"/>
      <c r="U252" s="74"/>
      <c r="V252" s="74"/>
      <c r="W252" s="74"/>
      <c r="X252" s="74"/>
      <c r="Y252" s="74"/>
      <c r="Z252" s="74"/>
    </row>
    <row r="253" spans="1:26" x14ac:dyDescent="0.3">
      <c r="A253" s="66">
        <f t="shared" si="26"/>
        <v>2014.5999999999776</v>
      </c>
      <c r="B253" s="67">
        <f>LOOKUP(A253+0.01,AmountsB!$A$4:$A$103,AmountsB!$B$4:$B$103)*0.1*$A$2</f>
        <v>567.68229540000004</v>
      </c>
      <c r="C253" s="68">
        <f t="shared" si="25"/>
        <v>70255.758493800051</v>
      </c>
      <c r="D253" s="67">
        <f t="array" ref="D253">SUM($B$7:$B248*$F$1009*EXP(-$F$1009*($A253-$A$7:$A248)))*$F$1010</f>
        <v>5477590.8174757492</v>
      </c>
      <c r="E253" s="67">
        <f t="shared" si="23"/>
        <v>10.442543331466659</v>
      </c>
      <c r="F253" s="70">
        <f t="shared" si="27"/>
        <v>0.63407123108665553</v>
      </c>
      <c r="G253" s="67">
        <f>E253/'Lookup Tables'!$C$48</f>
        <v>20.885086662933318</v>
      </c>
      <c r="H253" s="70">
        <f t="shared" si="24"/>
        <v>7.8123144532034852E-2</v>
      </c>
      <c r="I253" s="71">
        <f t="shared" si="28"/>
        <v>3.007452479462398E-2</v>
      </c>
      <c r="L253" s="74"/>
      <c r="M253" s="74"/>
      <c r="N253" s="74"/>
      <c r="O253" s="74"/>
      <c r="P253" s="74"/>
      <c r="Q253" s="74"/>
      <c r="R253" s="74"/>
      <c r="S253" s="74"/>
      <c r="T253" s="74"/>
      <c r="U253" s="74"/>
      <c r="V253" s="74"/>
      <c r="W253" s="74"/>
      <c r="X253" s="74"/>
      <c r="Y253" s="74"/>
      <c r="Z253" s="74"/>
    </row>
    <row r="254" spans="1:26" x14ac:dyDescent="0.3">
      <c r="A254" s="66">
        <f t="shared" si="26"/>
        <v>2014.6999999999775</v>
      </c>
      <c r="B254" s="67">
        <f>LOOKUP(A254+0.01,AmountsB!$A$4:$A$103,AmountsB!$B$4:$B$103)*0.1*$A$2</f>
        <v>567.68229540000004</v>
      </c>
      <c r="C254" s="68">
        <f t="shared" si="25"/>
        <v>70823.440789200045</v>
      </c>
      <c r="D254" s="67">
        <f t="array" ref="D254">SUM($B$7:$B249*$F$1009*EXP(-$F$1009*($A254-$A$7:$A249)))*$F$1010</f>
        <v>5520485.9303459087</v>
      </c>
      <c r="E254" s="67">
        <f t="shared" si="23"/>
        <v>10.524319077370443</v>
      </c>
      <c r="F254" s="70">
        <f t="shared" si="27"/>
        <v>0.63903665437793322</v>
      </c>
      <c r="G254" s="67">
        <f>E254/'Lookup Tables'!$C$48</f>
        <v>21.048638154740885</v>
      </c>
      <c r="H254" s="70">
        <f t="shared" si="24"/>
        <v>7.8103831802385712E-2</v>
      </c>
      <c r="I254" s="71">
        <f t="shared" si="28"/>
        <v>3.0310038942826877E-2</v>
      </c>
      <c r="L254" s="74"/>
      <c r="M254" s="74"/>
      <c r="N254" s="74"/>
      <c r="O254" s="74"/>
      <c r="P254" s="74"/>
      <c r="Q254" s="74"/>
      <c r="R254" s="74"/>
      <c r="S254" s="74"/>
      <c r="T254" s="74"/>
      <c r="U254" s="74"/>
      <c r="V254" s="74"/>
      <c r="W254" s="74"/>
      <c r="X254" s="74"/>
      <c r="Y254" s="74"/>
      <c r="Z254" s="74"/>
    </row>
    <row r="255" spans="1:26" x14ac:dyDescent="0.3">
      <c r="A255" s="66">
        <f t="shared" si="26"/>
        <v>2014.7999999999774</v>
      </c>
      <c r="B255" s="67">
        <f>LOOKUP(A255+0.01,AmountsB!$A$4:$A$103,AmountsB!$B$4:$B$103)*0.1*$A$2</f>
        <v>567.68229540000004</v>
      </c>
      <c r="C255" s="68">
        <f t="shared" si="25"/>
        <v>71391.12308460004</v>
      </c>
      <c r="D255" s="67">
        <f t="array" ref="D255">SUM($B$7:$B250*$F$1009*EXP(-$F$1009*($A255-$A$7:$A250)))*$F$1010</f>
        <v>5563321.032075651</v>
      </c>
      <c r="E255" s="67">
        <f t="shared" si="23"/>
        <v>10.605980417332807</v>
      </c>
      <c r="F255" s="70">
        <f t="shared" si="27"/>
        <v>0.64399513094044802</v>
      </c>
      <c r="G255" s="67">
        <f>E255/'Lookup Tables'!$C$48</f>
        <v>21.211960834665614</v>
      </c>
      <c r="H255" s="70">
        <f t="shared" si="24"/>
        <v>7.8083983925343423E-2</v>
      </c>
      <c r="I255" s="71">
        <f t="shared" si="28"/>
        <v>3.0545223601918487E-2</v>
      </c>
      <c r="L255" s="74"/>
      <c r="M255" s="74"/>
      <c r="N255" s="74"/>
      <c r="O255" s="74"/>
      <c r="P255" s="74"/>
      <c r="Q255" s="74"/>
      <c r="R255" s="74"/>
      <c r="S255" s="74"/>
      <c r="T255" s="74"/>
      <c r="U255" s="74"/>
      <c r="V255" s="74"/>
      <c r="W255" s="74"/>
      <c r="X255" s="74"/>
      <c r="Y255" s="74"/>
      <c r="Z255" s="74"/>
    </row>
    <row r="256" spans="1:26" x14ac:dyDescent="0.3">
      <c r="A256" s="66">
        <f t="shared" si="26"/>
        <v>2014.8999999999774</v>
      </c>
      <c r="B256" s="67">
        <f>LOOKUP(A256+0.01,AmountsB!$A$4:$A$103,AmountsB!$B$4:$B$103)*0.1*$A$2</f>
        <v>567.68229540000004</v>
      </c>
      <c r="C256" s="68">
        <f t="shared" si="25"/>
        <v>71958.805380000034</v>
      </c>
      <c r="D256" s="67">
        <f t="array" ref="D256">SUM($B$7:$B251*$F$1009*EXP(-$F$1009*($A256-$A$7:$A251)))*$F$1010</f>
        <v>5606096.2066217875</v>
      </c>
      <c r="E256" s="67">
        <f t="shared" si="23"/>
        <v>10.687527511410003</v>
      </c>
      <c r="F256" s="70">
        <f t="shared" si="27"/>
        <v>0.6489466704928154</v>
      </c>
      <c r="G256" s="67">
        <f>E256/'Lookup Tables'!$C$48</f>
        <v>21.375055022820007</v>
      </c>
      <c r="H256" s="70">
        <f t="shared" si="24"/>
        <v>7.8063614735304751E-2</v>
      </c>
      <c r="I256" s="71">
        <f t="shared" si="28"/>
        <v>3.0780079232860812E-2</v>
      </c>
      <c r="L256" s="74"/>
      <c r="M256" s="74"/>
      <c r="N256" s="74"/>
      <c r="O256" s="74"/>
      <c r="P256" s="74"/>
      <c r="Q256" s="74"/>
      <c r="R256" s="74"/>
      <c r="S256" s="74"/>
      <c r="T256" s="74"/>
      <c r="U256" s="74"/>
      <c r="V256" s="74"/>
      <c r="W256" s="74"/>
      <c r="X256" s="74"/>
      <c r="Y256" s="74"/>
      <c r="Z256" s="74"/>
    </row>
    <row r="257" spans="1:26" x14ac:dyDescent="0.3">
      <c r="A257" s="66">
        <f t="shared" si="26"/>
        <v>2014.9999999999773</v>
      </c>
      <c r="B257" s="67">
        <f>LOOKUP(A257+0.01,AmountsB!$A$4:$A$103,AmountsB!$B$4:$B$103)*0.1*$A$2</f>
        <v>579.03157620000002</v>
      </c>
      <c r="C257" s="68">
        <f t="shared" si="25"/>
        <v>72537.83695620003</v>
      </c>
      <c r="D257" s="67">
        <f t="array" ref="D257">SUM($B$7:$B252*$F$1009*EXP(-$F$1009*($A257-$A$7:$A252)))*$F$1010</f>
        <v>5648811.5378236743</v>
      </c>
      <c r="E257" s="67">
        <f t="shared" si="23"/>
        <v>10.768960519434362</v>
      </c>
      <c r="F257" s="70">
        <f t="shared" si="27"/>
        <v>0.65389128274005448</v>
      </c>
      <c r="G257" s="67">
        <f>E257/'Lookup Tables'!$C$48</f>
        <v>21.537921038868724</v>
      </c>
      <c r="H257" s="70">
        <f t="shared" si="24"/>
        <v>7.8030527053521537E-2</v>
      </c>
      <c r="I257" s="71">
        <f t="shared" si="28"/>
        <v>3.1014606295970963E-2</v>
      </c>
      <c r="L257" s="74"/>
      <c r="M257" s="74"/>
      <c r="N257" s="74"/>
      <c r="O257" s="74"/>
      <c r="P257" s="74"/>
      <c r="Q257" s="74"/>
      <c r="R257" s="74"/>
      <c r="S257" s="74"/>
      <c r="T257" s="74"/>
      <c r="U257" s="74"/>
      <c r="V257" s="74"/>
      <c r="W257" s="74"/>
      <c r="X257" s="74"/>
      <c r="Y257" s="74"/>
      <c r="Z257" s="74"/>
    </row>
    <row r="258" spans="1:26" x14ac:dyDescent="0.3">
      <c r="A258" s="66">
        <f t="shared" si="26"/>
        <v>2015.0999999999772</v>
      </c>
      <c r="B258" s="67">
        <f>LOOKUP(A258+0.01,AmountsB!$A$4:$A$103,AmountsB!$B$4:$B$103)*0.1*$A$2</f>
        <v>579.03157620000002</v>
      </c>
      <c r="C258" s="68">
        <f t="shared" si="25"/>
        <v>73116.868532400025</v>
      </c>
      <c r="D258" s="67">
        <f t="array" ref="D258">SUM($B$7:$B253*$F$1009*EXP(-$F$1009*($A258-$A$7:$A253)))*$F$1010</f>
        <v>5691467.1094033765</v>
      </c>
      <c r="E258" s="67">
        <f t="shared" si="23"/>
        <v>10.850279601014607</v>
      </c>
      <c r="F258" s="70">
        <f t="shared" si="27"/>
        <v>0.65882897737360691</v>
      </c>
      <c r="G258" s="67">
        <f>E258/'Lookup Tables'!$C$48</f>
        <v>21.700559202029215</v>
      </c>
      <c r="H258" s="70">
        <f t="shared" si="24"/>
        <v>7.7997144472430016E-2</v>
      </c>
      <c r="I258" s="71">
        <f t="shared" si="28"/>
        <v>3.1248805250922065E-2</v>
      </c>
      <c r="L258" s="74"/>
      <c r="M258" s="74"/>
      <c r="N258" s="74"/>
      <c r="O258" s="74"/>
      <c r="P258" s="74"/>
      <c r="Q258" s="74"/>
      <c r="R258" s="74"/>
      <c r="S258" s="74"/>
      <c r="T258" s="74"/>
      <c r="U258" s="74"/>
      <c r="V258" s="74"/>
      <c r="W258" s="74"/>
      <c r="X258" s="74"/>
      <c r="Y258" s="74"/>
      <c r="Z258" s="74"/>
    </row>
    <row r="259" spans="1:26" x14ac:dyDescent="0.3">
      <c r="A259" s="66">
        <f t="shared" si="26"/>
        <v>2015.1999999999771</v>
      </c>
      <c r="B259" s="67">
        <f>LOOKUP(A259+0.01,AmountsB!$A$4:$A$103,AmountsB!$B$4:$B$103)*0.1*$A$2</f>
        <v>579.03157620000002</v>
      </c>
      <c r="C259" s="68">
        <f t="shared" si="25"/>
        <v>73695.900108600021</v>
      </c>
      <c r="D259" s="67">
        <f t="array" ref="D259">SUM($B$7:$B254*$F$1009*EXP(-$F$1009*($A259-$A$7:$A254)))*$F$1010</f>
        <v>5734063.0049658241</v>
      </c>
      <c r="E259" s="67">
        <f t="shared" si="23"/>
        <v>10.93148491553616</v>
      </c>
      <c r="F259" s="70">
        <f t="shared" si="27"/>
        <v>0.66375976407135573</v>
      </c>
      <c r="G259" s="67">
        <f>E259/'Lookup Tables'!$C$48</f>
        <v>21.86296983107232</v>
      </c>
      <c r="H259" s="70">
        <f t="shared" si="24"/>
        <v>7.7963475079875152E-2</v>
      </c>
      <c r="I259" s="71">
        <f t="shared" si="28"/>
        <v>3.1482676556744145E-2</v>
      </c>
      <c r="L259" s="74"/>
      <c r="M259" s="74"/>
      <c r="N259" s="74"/>
      <c r="O259" s="74"/>
      <c r="P259" s="74"/>
      <c r="Q259" s="74"/>
      <c r="R259" s="74"/>
      <c r="S259" s="74"/>
      <c r="T259" s="74"/>
      <c r="U259" s="74"/>
      <c r="V259" s="74"/>
      <c r="W259" s="74"/>
      <c r="X259" s="74"/>
      <c r="Y259" s="74"/>
      <c r="Z259" s="74"/>
    </row>
    <row r="260" spans="1:26" x14ac:dyDescent="0.3">
      <c r="A260" s="66">
        <f t="shared" si="26"/>
        <v>2015.299999999977</v>
      </c>
      <c r="B260" s="67">
        <f>LOOKUP(A260+0.01,AmountsB!$A$4:$A$103,AmountsB!$B$4:$B$103)*0.1*$A$2</f>
        <v>579.03157620000002</v>
      </c>
      <c r="C260" s="68">
        <f t="shared" si="25"/>
        <v>74274.931684800016</v>
      </c>
      <c r="D260" s="67">
        <f t="array" ref="D260">SUM($B$7:$B255*$F$1009*EXP(-$F$1009*($A260-$A$7:$A255)))*$F$1010</f>
        <v>5776599.3079989888</v>
      </c>
      <c r="E260" s="67">
        <f t="shared" si="23"/>
        <v>11.012576622161468</v>
      </c>
      <c r="F260" s="70">
        <f t="shared" si="27"/>
        <v>0.66868365249764428</v>
      </c>
      <c r="G260" s="67">
        <f>E260/'Lookup Tables'!$C$48</f>
        <v>22.025153244322937</v>
      </c>
      <c r="H260" s="70">
        <f t="shared" si="24"/>
        <v>7.7929526709919483E-2</v>
      </c>
      <c r="I260" s="71">
        <f t="shared" si="28"/>
        <v>3.1716220671825029E-2</v>
      </c>
      <c r="L260" s="74"/>
      <c r="M260" s="74"/>
      <c r="N260" s="74"/>
      <c r="O260" s="74"/>
      <c r="P260" s="74"/>
      <c r="Q260" s="74"/>
      <c r="R260" s="74"/>
      <c r="S260" s="74"/>
      <c r="T260" s="74"/>
      <c r="U260" s="74"/>
      <c r="V260" s="74"/>
      <c r="W260" s="74"/>
      <c r="X260" s="74"/>
      <c r="Y260" s="74"/>
      <c r="Z260" s="74"/>
    </row>
    <row r="261" spans="1:26" x14ac:dyDescent="0.3">
      <c r="A261" s="66">
        <f t="shared" si="26"/>
        <v>2015.3999999999769</v>
      </c>
      <c r="B261" s="67">
        <f>LOOKUP(A261+0.01,AmountsB!$A$4:$A$103,AmountsB!$B$4:$B$103)*0.1*$A$2</f>
        <v>579.03157620000002</v>
      </c>
      <c r="C261" s="68">
        <f t="shared" si="25"/>
        <v>74853.963261000012</v>
      </c>
      <c r="D261" s="67">
        <f t="array" ref="D261">SUM($B$7:$B256*$F$1009*EXP(-$F$1009*($A261-$A$7:$A256)))*$F$1010</f>
        <v>5819076.1018740386</v>
      </c>
      <c r="E261" s="67">
        <f t="shared" si="23"/>
        <v>11.093554879830299</v>
      </c>
      <c r="F261" s="70">
        <f t="shared" si="27"/>
        <v>0.6736006523032958</v>
      </c>
      <c r="G261" s="67">
        <f>E261/'Lookup Tables'!$C$48</f>
        <v>22.187109759660597</v>
      </c>
      <c r="H261" s="70">
        <f t="shared" si="24"/>
        <v>7.7895306952661003E-2</v>
      </c>
      <c r="I261" s="71">
        <f t="shared" si="28"/>
        <v>3.1949438053911261E-2</v>
      </c>
      <c r="L261" s="74"/>
      <c r="M261" s="74"/>
      <c r="N261" s="74"/>
      <c r="O261" s="74"/>
      <c r="P261" s="74"/>
      <c r="Q261" s="74"/>
      <c r="R261" s="74"/>
      <c r="S261" s="74"/>
      <c r="T261" s="74"/>
      <c r="U261" s="74"/>
      <c r="V261" s="74"/>
      <c r="W261" s="74"/>
      <c r="X261" s="74"/>
      <c r="Y261" s="74"/>
      <c r="Z261" s="74"/>
    </row>
    <row r="262" spans="1:26" x14ac:dyDescent="0.3">
      <c r="A262" s="66">
        <f t="shared" si="26"/>
        <v>2015.4999999999768</v>
      </c>
      <c r="B262" s="67">
        <f>LOOKUP(A262+0.01,AmountsB!$A$4:$A$103,AmountsB!$B$4:$B$103)*0.1*$A$2</f>
        <v>579.03157620000002</v>
      </c>
      <c r="C262" s="68">
        <f t="shared" si="25"/>
        <v>75432.994837200007</v>
      </c>
      <c r="D262" s="67">
        <f t="array" ref="D262">SUM($B$7:$B257*$F$1009*EXP(-$F$1009*($A262-$A$7:$A257)))*$F$1010</f>
        <v>5862504.2485740492</v>
      </c>
      <c r="E262" s="67">
        <f t="shared" si="23"/>
        <v>11.176346807674436</v>
      </c>
      <c r="F262" s="70">
        <f t="shared" si="27"/>
        <v>0.67862777816199171</v>
      </c>
      <c r="G262" s="67">
        <f>E262/'Lookup Tables'!$C$48</f>
        <v>22.352693615348873</v>
      </c>
      <c r="H262" s="70">
        <f t="shared" si="24"/>
        <v>7.7874249786736058E-2</v>
      </c>
      <c r="I262" s="71">
        <f t="shared" si="28"/>
        <v>3.2187878806102375E-2</v>
      </c>
      <c r="L262" s="74"/>
      <c r="M262" s="74"/>
      <c r="N262" s="74"/>
      <c r="O262" s="74"/>
      <c r="P262" s="74"/>
      <c r="Q262" s="74"/>
      <c r="R262" s="74"/>
      <c r="S262" s="74"/>
      <c r="T262" s="74"/>
      <c r="U262" s="74"/>
      <c r="V262" s="74"/>
      <c r="W262" s="74"/>
      <c r="X262" s="74"/>
      <c r="Y262" s="74"/>
      <c r="Z262" s="74"/>
    </row>
    <row r="263" spans="1:26" x14ac:dyDescent="0.3">
      <c r="A263" s="66">
        <f t="shared" si="26"/>
        <v>2015.5999999999767</v>
      </c>
      <c r="B263" s="67">
        <f>LOOKUP(A263+0.01,AmountsB!$A$4:$A$103,AmountsB!$B$4:$B$103)*0.1*$A$2</f>
        <v>579.03157620000002</v>
      </c>
      <c r="C263" s="68">
        <f t="shared" si="25"/>
        <v>76012.026413400003</v>
      </c>
      <c r="D263" s="67">
        <f t="array" ref="D263">SUM($B$7:$B258*$F$1009*EXP(-$F$1009*($A263-$A$7:$A258)))*$F$1010</f>
        <v>5905871.6384084085</v>
      </c>
      <c r="E263" s="67">
        <f t="shared" ref="E263:E326" si="29">D263/(365*24*60)*1.00201</f>
        <v>11.259022907917826</v>
      </c>
      <c r="F263" s="70">
        <f t="shared" si="27"/>
        <v>0.68364787096877033</v>
      </c>
      <c r="G263" s="67">
        <f>E263/'Lookup Tables'!$C$48</f>
        <v>22.518045815835652</v>
      </c>
      <c r="H263" s="70">
        <f t="shared" ref="H263:H326" si="30">G263*60*24*365/(C263*2000)</f>
        <v>7.7852712519691267E-2</v>
      </c>
      <c r="I263" s="71">
        <f t="shared" si="28"/>
        <v>3.242598597480334E-2</v>
      </c>
      <c r="L263" s="74"/>
      <c r="M263" s="74"/>
      <c r="N263" s="74"/>
      <c r="O263" s="74"/>
      <c r="P263" s="74"/>
      <c r="Q263" s="74"/>
      <c r="R263" s="74"/>
      <c r="S263" s="74"/>
      <c r="T263" s="74"/>
      <c r="U263" s="74"/>
      <c r="V263" s="74"/>
      <c r="W263" s="74"/>
      <c r="X263" s="74"/>
      <c r="Y263" s="74"/>
      <c r="Z263" s="74"/>
    </row>
    <row r="264" spans="1:26" x14ac:dyDescent="0.3">
      <c r="A264" s="66">
        <f t="shared" si="26"/>
        <v>2015.6999999999766</v>
      </c>
      <c r="B264" s="67">
        <f>LOOKUP(A264+0.01,AmountsB!$A$4:$A$103,AmountsB!$B$4:$B$103)*0.1*$A$2</f>
        <v>579.03157620000002</v>
      </c>
      <c r="C264" s="68">
        <f t="shared" si="25"/>
        <v>76591.057989599998</v>
      </c>
      <c r="D264" s="67">
        <f t="array" ref="D264">SUM($B$7:$B259*$F$1009*EXP(-$F$1009*($A264-$A$7:$A259)))*$F$1010</f>
        <v>5949178.3563772151</v>
      </c>
      <c r="E264" s="67">
        <f t="shared" si="29"/>
        <v>11.341583342605658</v>
      </c>
      <c r="F264" s="70">
        <f t="shared" si="27"/>
        <v>0.68866094056301552</v>
      </c>
      <c r="G264" s="67">
        <f>E264/'Lookup Tables'!$C$48</f>
        <v>22.683166685211315</v>
      </c>
      <c r="H264" s="70">
        <f t="shared" si="30"/>
        <v>7.7830707152301948E-2</v>
      </c>
      <c r="I264" s="71">
        <f t="shared" si="28"/>
        <v>3.2663760026704292E-2</v>
      </c>
      <c r="L264" s="74"/>
      <c r="M264" s="74"/>
      <c r="N264" s="74"/>
      <c r="O264" s="74"/>
      <c r="P264" s="74"/>
      <c r="Q264" s="74"/>
      <c r="R264" s="74"/>
      <c r="S264" s="74"/>
      <c r="T264" s="74"/>
      <c r="U264" s="74"/>
      <c r="V264" s="74"/>
      <c r="W264" s="74"/>
      <c r="X264" s="74"/>
      <c r="Y264" s="74"/>
      <c r="Z264" s="74"/>
    </row>
    <row r="265" spans="1:26" x14ac:dyDescent="0.3">
      <c r="A265" s="66">
        <f t="shared" si="26"/>
        <v>2015.7999999999765</v>
      </c>
      <c r="B265" s="67">
        <f>LOOKUP(A265+0.01,AmountsB!$A$4:$A$103,AmountsB!$B$4:$B$103)*0.1*$A$2</f>
        <v>579.03157620000002</v>
      </c>
      <c r="C265" s="68">
        <f t="shared" ref="C265:C328" si="31">C264+B265</f>
        <v>77170.089565799994</v>
      </c>
      <c r="D265" s="67">
        <f t="array" ref="D265">SUM($B$7:$B260*$F$1009*EXP(-$F$1009*($A265-$A$7:$A260)))*$F$1010</f>
        <v>5992424.4873616491</v>
      </c>
      <c r="E265" s="67">
        <f t="shared" si="29"/>
        <v>11.424028273556404</v>
      </c>
      <c r="F265" s="70">
        <f t="shared" si="27"/>
        <v>0.69366699677034482</v>
      </c>
      <c r="G265" s="67">
        <f>E265/'Lookup Tables'!$C$48</f>
        <v>22.848056547112808</v>
      </c>
      <c r="H265" s="70">
        <f t="shared" si="30"/>
        <v>7.7808245323616784E-2</v>
      </c>
      <c r="I265" s="71">
        <f t="shared" si="28"/>
        <v>3.290120142784244E-2</v>
      </c>
      <c r="L265" s="74"/>
      <c r="M265" s="74"/>
      <c r="N265" s="74"/>
      <c r="O265" s="74"/>
      <c r="P265" s="74"/>
      <c r="Q265" s="74"/>
      <c r="R265" s="74"/>
      <c r="S265" s="74"/>
      <c r="T265" s="74"/>
      <c r="U265" s="74"/>
      <c r="V265" s="74"/>
      <c r="W265" s="74"/>
      <c r="X265" s="74"/>
      <c r="Y265" s="74"/>
      <c r="Z265" s="74"/>
    </row>
    <row r="266" spans="1:26" x14ac:dyDescent="0.3">
      <c r="A266" s="66">
        <f t="shared" si="26"/>
        <v>2015.8999999999764</v>
      </c>
      <c r="B266" s="67">
        <f>LOOKUP(A266+0.01,AmountsB!$A$4:$A$103,AmountsB!$B$4:$B$103)*0.1*$A$2</f>
        <v>579.03157620000002</v>
      </c>
      <c r="C266" s="68">
        <f t="shared" si="31"/>
        <v>77749.121141999989</v>
      </c>
      <c r="D266" s="67">
        <f t="array" ref="D266">SUM($B$7:$B261*$F$1009*EXP(-$F$1009*($A266-$A$7:$A261)))*$F$1010</f>
        <v>6035610.1161241438</v>
      </c>
      <c r="E266" s="67">
        <f t="shared" si="29"/>
        <v>11.506357862362165</v>
      </c>
      <c r="F266" s="70">
        <f t="shared" si="27"/>
        <v>0.69866604940263066</v>
      </c>
      <c r="G266" s="67">
        <f>E266/'Lookup Tables'!$C$48</f>
        <v>23.01271572472433</v>
      </c>
      <c r="H266" s="70">
        <f t="shared" si="30"/>
        <v>7.7785338324429895E-2</v>
      </c>
      <c r="I266" s="71">
        <f t="shared" si="28"/>
        <v>3.3138310643603036E-2</v>
      </c>
      <c r="L266" s="74"/>
      <c r="M266" s="74"/>
      <c r="N266" s="74"/>
      <c r="O266" s="74"/>
      <c r="P266" s="74"/>
      <c r="Q266" s="74"/>
      <c r="R266" s="74"/>
      <c r="S266" s="74"/>
      <c r="T266" s="74"/>
      <c r="U266" s="74"/>
      <c r="V266" s="74"/>
      <c r="W266" s="74"/>
      <c r="X266" s="74"/>
      <c r="Y266" s="74"/>
      <c r="Z266" s="74"/>
    </row>
    <row r="267" spans="1:26" x14ac:dyDescent="0.3">
      <c r="A267" s="66">
        <f t="shared" si="26"/>
        <v>2015.9999999999764</v>
      </c>
      <c r="B267" s="67">
        <f>LOOKUP(A267+0.01,AmountsB!$A$4:$A$103,AmountsB!$B$4:$B$103)*0.1*$A$2</f>
        <v>590.61123770000006</v>
      </c>
      <c r="C267" s="68">
        <f t="shared" si="31"/>
        <v>78339.732379699984</v>
      </c>
      <c r="D267" s="67">
        <f t="array" ref="D267">SUM($B$7:$B262*$F$1009*EXP(-$F$1009*($A267-$A$7:$A262)))*$F$1010</f>
        <v>6078735.327308544</v>
      </c>
      <c r="E267" s="67">
        <f t="shared" si="29"/>
        <v>11.588572270388955</v>
      </c>
      <c r="F267" s="70">
        <f t="shared" si="27"/>
        <v>0.70365810825801733</v>
      </c>
      <c r="G267" s="67">
        <f>E267/'Lookup Tables'!$C$48</f>
        <v>23.17714454077791</v>
      </c>
      <c r="H267" s="70">
        <f t="shared" si="30"/>
        <v>7.7750502845664177E-2</v>
      </c>
      <c r="I267" s="71">
        <f t="shared" si="28"/>
        <v>3.3375088138720185E-2</v>
      </c>
      <c r="L267" s="74"/>
      <c r="M267" s="74"/>
      <c r="N267" s="74"/>
      <c r="O267" s="74"/>
      <c r="P267" s="74"/>
      <c r="Q267" s="74"/>
      <c r="R267" s="74"/>
      <c r="S267" s="74"/>
      <c r="T267" s="74"/>
      <c r="U267" s="74"/>
      <c r="V267" s="74"/>
      <c r="W267" s="74"/>
      <c r="X267" s="74"/>
      <c r="Y267" s="74"/>
      <c r="Z267" s="74"/>
    </row>
    <row r="268" spans="1:26" x14ac:dyDescent="0.3">
      <c r="A268" s="66">
        <f t="shared" si="26"/>
        <v>2016.0999999999763</v>
      </c>
      <c r="B268" s="67">
        <f>LOOKUP(A268+0.01,AmountsB!$A$4:$A$103,AmountsB!$B$4:$B$103)*0.1*$A$2</f>
        <v>590.61123770000006</v>
      </c>
      <c r="C268" s="68">
        <f t="shared" si="31"/>
        <v>78930.34361739998</v>
      </c>
      <c r="D268" s="67">
        <f t="array" ref="D268">SUM($B$7:$B263*$F$1009*EXP(-$F$1009*($A268-$A$7:$A263)))*$F$1010</f>
        <v>6121800.2054402782</v>
      </c>
      <c r="E268" s="67">
        <f t="shared" si="29"/>
        <v>11.670671658777042</v>
      </c>
      <c r="F268" s="70">
        <f t="shared" si="27"/>
        <v>0.70864318312094199</v>
      </c>
      <c r="G268" s="67">
        <f>E268/'Lookup Tables'!$C$48</f>
        <v>23.341343317554085</v>
      </c>
      <c r="H268" s="70">
        <f t="shared" si="30"/>
        <v>7.7715422773111636E-2</v>
      </c>
      <c r="I268" s="71">
        <f t="shared" si="28"/>
        <v>3.3611534377277881E-2</v>
      </c>
      <c r="L268" s="74"/>
      <c r="M268" s="74"/>
      <c r="N268" s="74"/>
      <c r="O268" s="74"/>
      <c r="P268" s="74"/>
      <c r="Q268" s="74"/>
      <c r="R268" s="74"/>
      <c r="S268" s="74"/>
      <c r="T268" s="74"/>
      <c r="U268" s="74"/>
      <c r="V268" s="74"/>
      <c r="W268" s="74"/>
      <c r="X268" s="74"/>
      <c r="Y268" s="74"/>
      <c r="Z268" s="74"/>
    </row>
    <row r="269" spans="1:26" x14ac:dyDescent="0.3">
      <c r="A269" s="66">
        <f t="shared" si="26"/>
        <v>2016.1999999999762</v>
      </c>
      <c r="B269" s="67">
        <f>LOOKUP(A269+0.01,AmountsB!$A$4:$A$103,AmountsB!$B$4:$B$103)*0.1*$A$2</f>
        <v>590.61123770000006</v>
      </c>
      <c r="C269" s="68">
        <f t="shared" si="31"/>
        <v>79520.954855099975</v>
      </c>
      <c r="D269" s="67">
        <f t="array" ref="D269">SUM($B$7:$B264*$F$1009*EXP(-$F$1009*($A269-$A$7:$A264)))*$F$1010</f>
        <v>6164804.8349265177</v>
      </c>
      <c r="E269" s="67">
        <f t="shared" si="29"/>
        <v>11.752656188441248</v>
      </c>
      <c r="F269" s="70">
        <f t="shared" si="27"/>
        <v>0.7136212837621525</v>
      </c>
      <c r="G269" s="67">
        <f>E269/'Lookup Tables'!$C$48</f>
        <v>23.505312376882497</v>
      </c>
      <c r="H269" s="70">
        <f t="shared" si="30"/>
        <v>7.768010462022959E-2</v>
      </c>
      <c r="I269" s="71">
        <f t="shared" si="28"/>
        <v>3.3847649822710796E-2</v>
      </c>
      <c r="L269" s="74"/>
      <c r="M269" s="74"/>
      <c r="N269" s="74"/>
      <c r="O269" s="74"/>
      <c r="P269" s="74"/>
      <c r="Q269" s="74"/>
      <c r="R269" s="74"/>
      <c r="S269" s="74"/>
      <c r="T269" s="74"/>
      <c r="U269" s="74"/>
      <c r="V269" s="74"/>
      <c r="W269" s="74"/>
      <c r="X269" s="74"/>
      <c r="Y269" s="74"/>
      <c r="Z269" s="74"/>
    </row>
    <row r="270" spans="1:26" x14ac:dyDescent="0.3">
      <c r="A270" s="66">
        <f t="shared" si="26"/>
        <v>2016.2999999999761</v>
      </c>
      <c r="B270" s="67">
        <f>LOOKUP(A270+0.01,AmountsB!$A$4:$A$103,AmountsB!$B$4:$B$103)*0.1*$A$2</f>
        <v>590.61123770000006</v>
      </c>
      <c r="C270" s="68">
        <f t="shared" si="31"/>
        <v>80111.566092799971</v>
      </c>
      <c r="D270" s="67">
        <f t="array" ref="D270">SUM($B$7:$B265*$F$1009*EXP(-$F$1009*($A270-$A$7:$A265)))*$F$1010</f>
        <v>6207749.3000563541</v>
      </c>
      <c r="E270" s="67">
        <f t="shared" si="29"/>
        <v>11.834526020071285</v>
      </c>
      <c r="F270" s="70">
        <f t="shared" si="27"/>
        <v>0.71859241993872847</v>
      </c>
      <c r="G270" s="67">
        <f>E270/'Lookup Tables'!$C$48</f>
        <v>23.669052040142571</v>
      </c>
      <c r="H270" s="70">
        <f t="shared" si="30"/>
        <v>7.7644554706920277E-2</v>
      </c>
      <c r="I270" s="71">
        <f t="shared" si="28"/>
        <v>3.4083434937805301E-2</v>
      </c>
      <c r="L270" s="74"/>
      <c r="M270" s="74"/>
      <c r="N270" s="74"/>
      <c r="O270" s="74"/>
      <c r="P270" s="74"/>
      <c r="Q270" s="74"/>
      <c r="R270" s="74"/>
      <c r="S270" s="74"/>
      <c r="T270" s="74"/>
      <c r="U270" s="74"/>
      <c r="V270" s="74"/>
      <c r="W270" s="74"/>
      <c r="X270" s="74"/>
      <c r="Y270" s="74"/>
      <c r="Z270" s="74"/>
    </row>
    <row r="271" spans="1:26" x14ac:dyDescent="0.3">
      <c r="A271" s="66">
        <f t="shared" si="26"/>
        <v>2016.399999999976</v>
      </c>
      <c r="B271" s="67">
        <f>LOOKUP(A271+0.01,AmountsB!$A$4:$A$103,AmountsB!$B$4:$B$103)*0.1*$A$2</f>
        <v>590.61123770000006</v>
      </c>
      <c r="C271" s="68">
        <f t="shared" si="31"/>
        <v>80702.177330499966</v>
      </c>
      <c r="D271" s="67">
        <f t="array" ref="D271">SUM($B$7:$B266*$F$1009*EXP(-$F$1009*($A271-$A$7:$A266)))*$F$1010</f>
        <v>6250633.6850009523</v>
      </c>
      <c r="E271" s="67">
        <f t="shared" si="29"/>
        <v>11.916281314132048</v>
      </c>
      <c r="F271" s="70">
        <f t="shared" si="27"/>
        <v>0.72355660139409794</v>
      </c>
      <c r="G271" s="67">
        <f>E271/'Lookup Tables'!$C$48</f>
        <v>23.832562628264096</v>
      </c>
      <c r="H271" s="70">
        <f t="shared" si="30"/>
        <v>7.7608779166615377E-2</v>
      </c>
      <c r="I271" s="71">
        <f t="shared" si="28"/>
        <v>3.4318890184700301E-2</v>
      </c>
      <c r="L271" s="74"/>
      <c r="M271" s="74"/>
      <c r="N271" s="74"/>
      <c r="O271" s="74"/>
      <c r="P271" s="74"/>
      <c r="Q271" s="74"/>
      <c r="R271" s="74"/>
      <c r="S271" s="74"/>
      <c r="T271" s="74"/>
      <c r="U271" s="74"/>
      <c r="V271" s="74"/>
      <c r="W271" s="74"/>
      <c r="X271" s="74"/>
      <c r="Y271" s="74"/>
      <c r="Z271" s="74"/>
    </row>
    <row r="272" spans="1:26" x14ac:dyDescent="0.3">
      <c r="A272" s="66">
        <f t="shared" si="26"/>
        <v>2016.4999999999759</v>
      </c>
      <c r="B272" s="67">
        <f>LOOKUP(A272+0.01,AmountsB!$A$4:$A$103,AmountsB!$B$4:$B$103)*0.1*$A$2</f>
        <v>590.61123770000006</v>
      </c>
      <c r="C272" s="68">
        <f t="shared" si="31"/>
        <v>81292.788568199961</v>
      </c>
      <c r="D272" s="67">
        <f t="array" ref="D272">SUM($B$7:$B267*$F$1009*EXP(-$F$1009*($A272-$A$7:$A267)))*$F$1010</f>
        <v>6294489.3704865426</v>
      </c>
      <c r="E272" s="67">
        <f t="shared" si="29"/>
        <v>11.99988830692774</v>
      </c>
      <c r="F272" s="70">
        <f t="shared" si="27"/>
        <v>0.72863321799665237</v>
      </c>
      <c r="G272" s="67">
        <f>E272/'Lookup Tables'!$C$48</f>
        <v>23.999776613855481</v>
      </c>
      <c r="H272" s="70">
        <f t="shared" si="30"/>
        <v>7.7585495653527653E-2</v>
      </c>
      <c r="I272" s="71">
        <f t="shared" si="28"/>
        <v>3.455967832395189E-2</v>
      </c>
      <c r="L272" s="74"/>
      <c r="M272" s="74"/>
      <c r="N272" s="74"/>
      <c r="O272" s="74"/>
      <c r="P272" s="74"/>
      <c r="Q272" s="74"/>
      <c r="R272" s="74"/>
      <c r="S272" s="74"/>
      <c r="T272" s="74"/>
      <c r="U272" s="74"/>
      <c r="V272" s="74"/>
      <c r="W272" s="74"/>
      <c r="X272" s="74"/>
      <c r="Y272" s="74"/>
      <c r="Z272" s="74"/>
    </row>
    <row r="273" spans="1:26" x14ac:dyDescent="0.3">
      <c r="A273" s="66">
        <f t="shared" si="26"/>
        <v>2016.5999999999758</v>
      </c>
      <c r="B273" s="67">
        <f>LOOKUP(A273+0.01,AmountsB!$A$4:$A$103,AmountsB!$B$4:$B$103)*0.1*$A$2</f>
        <v>590.61123770000006</v>
      </c>
      <c r="C273" s="68">
        <f t="shared" si="31"/>
        <v>81883.399805899957</v>
      </c>
      <c r="D273" s="67">
        <f t="array" ref="D273">SUM($B$7:$B268*$F$1009*EXP(-$F$1009*($A273-$A$7:$A268)))*$F$1010</f>
        <v>6338283.7009709757</v>
      </c>
      <c r="E273" s="67">
        <f t="shared" si="29"/>
        <v>12.083378331830151</v>
      </c>
      <c r="F273" s="70">
        <f t="shared" si="27"/>
        <v>0.73370273230872673</v>
      </c>
      <c r="G273" s="67">
        <f>E273/'Lookup Tables'!$C$48</f>
        <v>24.166756663660301</v>
      </c>
      <c r="H273" s="70">
        <f t="shared" si="30"/>
        <v>7.7561797217319692E-2</v>
      </c>
      <c r="I273" s="71">
        <f t="shared" si="28"/>
        <v>3.4800129595670831E-2</v>
      </c>
      <c r="L273" s="74"/>
      <c r="M273" s="74"/>
      <c r="N273" s="74"/>
      <c r="O273" s="74"/>
      <c r="P273" s="74"/>
      <c r="Q273" s="74"/>
      <c r="R273" s="74"/>
      <c r="S273" s="74"/>
      <c r="T273" s="74"/>
      <c r="U273" s="74"/>
      <c r="V273" s="74"/>
      <c r="W273" s="74"/>
      <c r="X273" s="74"/>
      <c r="Y273" s="74"/>
      <c r="Z273" s="74"/>
    </row>
    <row r="274" spans="1:26" x14ac:dyDescent="0.3">
      <c r="A274" s="66">
        <f t="shared" si="26"/>
        <v>2016.6999999999757</v>
      </c>
      <c r="B274" s="67">
        <f>LOOKUP(A274+0.01,AmountsB!$A$4:$A$103,AmountsB!$B$4:$B$103)*0.1*$A$2</f>
        <v>590.61123770000006</v>
      </c>
      <c r="C274" s="68">
        <f t="shared" si="31"/>
        <v>82474.011043599952</v>
      </c>
      <c r="D274" s="67">
        <f t="array" ref="D274">SUM($B$7:$B269*$F$1009*EXP(-$F$1009*($A274-$A$7:$A269)))*$F$1010</f>
        <v>6382016.7622911539</v>
      </c>
      <c r="E274" s="67">
        <f t="shared" si="29"/>
        <v>12.166751552479756</v>
      </c>
      <c r="F274" s="70">
        <f t="shared" si="27"/>
        <v>0.73876515426657086</v>
      </c>
      <c r="G274" s="67">
        <f>E274/'Lookup Tables'!$C$48</f>
        <v>24.333503104959512</v>
      </c>
      <c r="H274" s="70">
        <f t="shared" si="30"/>
        <v>7.753769381487606E-2</v>
      </c>
      <c r="I274" s="71">
        <f t="shared" si="28"/>
        <v>3.50402444711417E-2</v>
      </c>
      <c r="L274" s="74"/>
      <c r="M274" s="74"/>
      <c r="N274" s="74"/>
      <c r="O274" s="74"/>
      <c r="P274" s="74"/>
      <c r="Q274" s="74"/>
      <c r="R274" s="74"/>
      <c r="S274" s="74"/>
      <c r="T274" s="74"/>
      <c r="U274" s="74"/>
      <c r="V274" s="74"/>
      <c r="W274" s="74"/>
      <c r="X274" s="74"/>
      <c r="Y274" s="74"/>
      <c r="Z274" s="74"/>
    </row>
    <row r="275" spans="1:26" x14ac:dyDescent="0.3">
      <c r="A275" s="66">
        <f t="shared" ref="A275:A338" si="32">A274+0.1</f>
        <v>2016.7999999999756</v>
      </c>
      <c r="B275" s="67">
        <f>LOOKUP(A275+0.01,AmountsB!$A$4:$A$103,AmountsB!$B$4:$B$103)*0.1*$A$2</f>
        <v>590.61123770000006</v>
      </c>
      <c r="C275" s="68">
        <f t="shared" si="31"/>
        <v>83064.622281299948</v>
      </c>
      <c r="D275" s="67">
        <f t="array" ref="D275">SUM($B$7:$B270*$F$1009*EXP(-$F$1009*($A275-$A$7:$A270)))*$F$1010</f>
        <v>6425688.6401638901</v>
      </c>
      <c r="E275" s="67">
        <f t="shared" si="29"/>
        <v>12.250008132288089</v>
      </c>
      <c r="F275" s="70">
        <f t="shared" ref="F275:F338" si="33">E275*60*1012/1000000</f>
        <v>0.74382049379253279</v>
      </c>
      <c r="G275" s="67">
        <f>E275/'Lookup Tables'!$C$48</f>
        <v>24.500016264576178</v>
      </c>
      <c r="H275" s="70">
        <f t="shared" si="30"/>
        <v>7.7513195118448411E-2</v>
      </c>
      <c r="I275" s="71">
        <f t="shared" ref="I275:I338" si="34">G275*60*24/1000000</f>
        <v>3.5280023420989695E-2</v>
      </c>
      <c r="L275" s="74"/>
      <c r="M275" s="74"/>
      <c r="N275" s="74"/>
      <c r="O275" s="74"/>
      <c r="P275" s="74"/>
      <c r="Q275" s="74"/>
      <c r="R275" s="74"/>
      <c r="S275" s="74"/>
      <c r="T275" s="74"/>
      <c r="U275" s="74"/>
      <c r="V275" s="74"/>
      <c r="W275" s="74"/>
      <c r="X275" s="74"/>
      <c r="Y275" s="74"/>
      <c r="Z275" s="74"/>
    </row>
    <row r="276" spans="1:26" x14ac:dyDescent="0.3">
      <c r="A276" s="66">
        <f t="shared" si="32"/>
        <v>2016.8999999999755</v>
      </c>
      <c r="B276" s="67">
        <f>LOOKUP(A276+0.01,AmountsB!$A$4:$A$103,AmountsB!$B$4:$B$103)*0.1*$A$2</f>
        <v>590.61123770000006</v>
      </c>
      <c r="C276" s="68">
        <f t="shared" si="31"/>
        <v>83655.233518999943</v>
      </c>
      <c r="D276" s="67">
        <f t="array" ref="D276">SUM($B$7:$B271*$F$1009*EXP(-$F$1009*($A276-$A$7:$A271)))*$F$1010</f>
        <v>6469299.4201860791</v>
      </c>
      <c r="E276" s="67">
        <f t="shared" si="29"/>
        <v>12.333148234438077</v>
      </c>
      <c r="F276" s="70">
        <f t="shared" si="33"/>
        <v>0.74886876079508002</v>
      </c>
      <c r="G276" s="67">
        <f>E276/'Lookup Tables'!$C$48</f>
        <v>24.666296468876155</v>
      </c>
      <c r="H276" s="70">
        <f t="shared" si="30"/>
        <v>7.7488310525705234E-2</v>
      </c>
      <c r="I276" s="71">
        <f t="shared" si="34"/>
        <v>3.5519466915181666E-2</v>
      </c>
      <c r="L276" s="74"/>
      <c r="M276" s="74"/>
      <c r="N276" s="74"/>
      <c r="O276" s="74"/>
      <c r="P276" s="74"/>
      <c r="Q276" s="74"/>
      <c r="R276" s="74"/>
      <c r="S276" s="74"/>
      <c r="T276" s="74"/>
      <c r="U276" s="74"/>
      <c r="V276" s="74"/>
      <c r="W276" s="74"/>
      <c r="X276" s="74"/>
      <c r="Y276" s="74"/>
      <c r="Z276" s="74"/>
    </row>
    <row r="277" spans="1:26" x14ac:dyDescent="0.3">
      <c r="A277" s="66">
        <f t="shared" si="32"/>
        <v>2016.9999999999754</v>
      </c>
      <c r="B277" s="67">
        <f>LOOKUP(A277+0.01,AmountsB!$A$4:$A$103,AmountsB!$B$4:$B$103)*0.1*$A$2</f>
        <v>0</v>
      </c>
      <c r="C277" s="68">
        <f t="shared" si="31"/>
        <v>83655.233518999943</v>
      </c>
      <c r="D277" s="67">
        <f t="array" ref="D277">SUM($B$7:$B272*$F$1009*EXP(-$F$1009*($A277-$A$7:$A272)))*$F$1010</f>
        <v>6512849.1878348626</v>
      </c>
      <c r="E277" s="67">
        <f t="shared" si="29"/>
        <v>12.416172021884343</v>
      </c>
      <c r="F277" s="70">
        <f t="shared" si="33"/>
        <v>0.75390996516881736</v>
      </c>
      <c r="G277" s="67">
        <f>E277/'Lookup Tables'!$C$48</f>
        <v>24.832344043768686</v>
      </c>
      <c r="H277" s="70">
        <f t="shared" si="30"/>
        <v>7.8009943194052828E-2</v>
      </c>
      <c r="I277" s="71">
        <f t="shared" si="34"/>
        <v>3.5758575423026906E-2</v>
      </c>
      <c r="L277" s="74"/>
      <c r="M277" s="74"/>
      <c r="N277" s="74"/>
      <c r="O277" s="74"/>
      <c r="P277" s="74"/>
      <c r="Q277" s="74"/>
      <c r="R277" s="74"/>
      <c r="S277" s="74"/>
      <c r="T277" s="74"/>
      <c r="U277" s="74"/>
      <c r="V277" s="74"/>
      <c r="W277" s="74"/>
      <c r="X277" s="74"/>
      <c r="Y277" s="74"/>
      <c r="Z277" s="74"/>
    </row>
    <row r="278" spans="1:26" x14ac:dyDescent="0.3">
      <c r="A278" s="66">
        <f t="shared" si="32"/>
        <v>2017.0999999999754</v>
      </c>
      <c r="B278" s="67">
        <f>LOOKUP(A278+0.01,AmountsB!$A$4:$A$103,AmountsB!$B$4:$B$103)*0.1*$A$2</f>
        <v>0</v>
      </c>
      <c r="C278" s="68">
        <f t="shared" si="31"/>
        <v>83655.233518999943</v>
      </c>
      <c r="D278" s="67">
        <f t="array" ref="D278">SUM($B$7:$B273*$F$1009*EXP(-$F$1009*($A278-$A$7:$A273)))*$F$1010</f>
        <v>6556338.0284678005</v>
      </c>
      <c r="E278" s="67">
        <f t="shared" si="29"/>
        <v>12.499079657353541</v>
      </c>
      <c r="F278" s="70">
        <f t="shared" si="33"/>
        <v>0.75894411679450691</v>
      </c>
      <c r="G278" s="67">
        <f>E278/'Lookup Tables'!$C$48</f>
        <v>24.998159314707081</v>
      </c>
      <c r="H278" s="70">
        <f t="shared" si="30"/>
        <v>7.8530846087626283E-2</v>
      </c>
      <c r="I278" s="71">
        <f t="shared" si="34"/>
        <v>3.5997349413178191E-2</v>
      </c>
      <c r="L278" s="74"/>
      <c r="M278" s="74"/>
      <c r="N278" s="74"/>
      <c r="O278" s="74"/>
      <c r="P278" s="74"/>
      <c r="Q278" s="74"/>
      <c r="R278" s="74"/>
      <c r="S278" s="74"/>
      <c r="T278" s="74"/>
      <c r="U278" s="74"/>
      <c r="V278" s="74"/>
      <c r="W278" s="74"/>
      <c r="X278" s="74"/>
      <c r="Y278" s="74"/>
      <c r="Z278" s="74"/>
    </row>
    <row r="279" spans="1:26" x14ac:dyDescent="0.3">
      <c r="A279" s="66">
        <f t="shared" si="32"/>
        <v>2017.1999999999753</v>
      </c>
      <c r="B279" s="67">
        <f>LOOKUP(A279+0.01,AmountsB!$A$4:$A$103,AmountsB!$B$4:$B$103)*0.1*$A$2</f>
        <v>0</v>
      </c>
      <c r="C279" s="68">
        <f t="shared" si="31"/>
        <v>83655.233518999943</v>
      </c>
      <c r="D279" s="67">
        <f t="array" ref="D279">SUM($B$7:$B274*$F$1009*EXP(-$F$1009*($A279-$A$7:$A274)))*$F$1010</f>
        <v>6599766.0273230355</v>
      </c>
      <c r="E279" s="67">
        <f t="shared" si="29"/>
        <v>12.581871303344665</v>
      </c>
      <c r="F279" s="70">
        <f t="shared" si="33"/>
        <v>0.76397122553908803</v>
      </c>
      <c r="G279" s="67">
        <f>E279/'Lookup Tables'!$C$48</f>
        <v>25.163742606689329</v>
      </c>
      <c r="H279" s="70">
        <f t="shared" si="30"/>
        <v>7.9051020227395463E-2</v>
      </c>
      <c r="I279" s="71">
        <f t="shared" si="34"/>
        <v>3.6235789353632634E-2</v>
      </c>
      <c r="L279" s="74"/>
      <c r="M279" s="74"/>
      <c r="N279" s="74"/>
      <c r="O279" s="74"/>
      <c r="P279" s="74"/>
      <c r="Q279" s="74"/>
      <c r="R279" s="74"/>
      <c r="S279" s="74"/>
      <c r="T279" s="74"/>
      <c r="U279" s="74"/>
      <c r="V279" s="74"/>
      <c r="W279" s="74"/>
      <c r="X279" s="74"/>
      <c r="Y279" s="74"/>
      <c r="Z279" s="74"/>
    </row>
    <row r="280" spans="1:26" x14ac:dyDescent="0.3">
      <c r="A280" s="66">
        <f t="shared" si="32"/>
        <v>2017.2999999999752</v>
      </c>
      <c r="B280" s="67">
        <f>LOOKUP(A280+0.01,AmountsB!$A$4:$A$103,AmountsB!$B$4:$B$103)*0.1*$A$2</f>
        <v>0</v>
      </c>
      <c r="C280" s="68">
        <f t="shared" si="31"/>
        <v>83655.233518999943</v>
      </c>
      <c r="D280" s="67">
        <f t="array" ref="D280">SUM($B$7:$B275*$F$1009*EXP(-$F$1009*($A280-$A$7:$A275)))*$F$1010</f>
        <v>6643133.2695194585</v>
      </c>
      <c r="E280" s="67">
        <f t="shared" si="29"/>
        <v>12.664547122129363</v>
      </c>
      <c r="F280" s="70">
        <f t="shared" si="33"/>
        <v>0.76899130125569493</v>
      </c>
      <c r="G280" s="67">
        <f>E280/'Lookup Tables'!$C$48</f>
        <v>25.329094244258727</v>
      </c>
      <c r="H280" s="70">
        <f t="shared" si="30"/>
        <v>7.9570466632901793E-2</v>
      </c>
      <c r="I280" s="71">
        <f t="shared" si="34"/>
        <v>3.6473895711732561E-2</v>
      </c>
      <c r="L280" s="74"/>
      <c r="M280" s="74"/>
      <c r="N280" s="74"/>
      <c r="O280" s="74"/>
      <c r="P280" s="74"/>
      <c r="Q280" s="74"/>
      <c r="R280" s="74"/>
      <c r="S280" s="74"/>
      <c r="T280" s="74"/>
      <c r="U280" s="74"/>
      <c r="V280" s="74"/>
      <c r="W280" s="74"/>
      <c r="X280" s="74"/>
      <c r="Y280" s="74"/>
      <c r="Z280" s="74"/>
    </row>
    <row r="281" spans="1:26" x14ac:dyDescent="0.3">
      <c r="A281" s="66">
        <f t="shared" si="32"/>
        <v>2017.3999999999751</v>
      </c>
      <c r="B281" s="67">
        <f>LOOKUP(A281+0.01,AmountsB!$A$4:$A$103,AmountsB!$B$4:$B$103)*0.1*$A$2</f>
        <v>0</v>
      </c>
      <c r="C281" s="68">
        <f t="shared" si="31"/>
        <v>83655.233518999943</v>
      </c>
      <c r="D281" s="67">
        <f t="array" ref="D281">SUM($B$7:$B276*$F$1009*EXP(-$F$1009*($A281-$A$7:$A276)))*$F$1010</f>
        <v>6686439.8400568748</v>
      </c>
      <c r="E281" s="67">
        <f t="shared" si="29"/>
        <v>12.747107275752262</v>
      </c>
      <c r="F281" s="70">
        <f t="shared" si="33"/>
        <v>0.77400435378367738</v>
      </c>
      <c r="G281" s="67">
        <f>E281/'Lookup Tables'!$C$48</f>
        <v>25.494214551504523</v>
      </c>
      <c r="H281" s="70">
        <f t="shared" si="30"/>
        <v>8.0089186322260364E-2</v>
      </c>
      <c r="I281" s="71">
        <f t="shared" si="34"/>
        <v>3.6711668954166513E-2</v>
      </c>
      <c r="L281" s="74"/>
      <c r="M281" s="74"/>
      <c r="N281" s="74"/>
      <c r="O281" s="74"/>
      <c r="P281" s="74"/>
      <c r="Q281" s="74"/>
      <c r="R281" s="74"/>
      <c r="S281" s="74"/>
      <c r="T281" s="74"/>
      <c r="U281" s="74"/>
      <c r="V281" s="74"/>
      <c r="W281" s="74"/>
      <c r="X281" s="74"/>
      <c r="Y281" s="74"/>
      <c r="Z281" s="74"/>
    </row>
    <row r="282" spans="1:26" x14ac:dyDescent="0.3">
      <c r="A282" s="66">
        <f t="shared" si="32"/>
        <v>2017.499999999975</v>
      </c>
      <c r="B282" s="67">
        <f>LOOKUP(A282+0.01,AmountsB!$A$4:$A$103,AmountsB!$B$4:$B$103)*0.1*$A$2</f>
        <v>0</v>
      </c>
      <c r="C282" s="68">
        <f t="shared" si="31"/>
        <v>83655.233518999943</v>
      </c>
      <c r="D282" s="67">
        <f t="array" ref="D282">SUM($B$7:$B277*$F$1009*EXP(-$F$1009*($A282-$A$7:$A277)))*$F$1010</f>
        <v>6677085.373934987</v>
      </c>
      <c r="E282" s="67">
        <f t="shared" si="29"/>
        <v>12.729273811903724</v>
      </c>
      <c r="F282" s="70">
        <f t="shared" si="33"/>
        <v>0.77292150585879404</v>
      </c>
      <c r="G282" s="67">
        <f>E282/'Lookup Tables'!$C$48</f>
        <v>25.458547623807448</v>
      </c>
      <c r="H282" s="70">
        <f t="shared" si="30"/>
        <v>7.997713991219732E-2</v>
      </c>
      <c r="I282" s="71">
        <f t="shared" si="34"/>
        <v>3.6660308578282723E-2</v>
      </c>
      <c r="L282" s="74"/>
      <c r="M282" s="74"/>
      <c r="N282" s="74"/>
      <c r="O282" s="74"/>
      <c r="P282" s="74"/>
      <c r="Q282" s="74"/>
      <c r="R282" s="74"/>
      <c r="S282" s="74"/>
      <c r="T282" s="74"/>
      <c r="U282" s="74"/>
      <c r="V282" s="74"/>
      <c r="W282" s="74"/>
      <c r="X282" s="74"/>
      <c r="Y282" s="74"/>
      <c r="Z282" s="74"/>
    </row>
    <row r="283" spans="1:26" x14ac:dyDescent="0.3">
      <c r="A283" s="66">
        <f t="shared" si="32"/>
        <v>2017.5999999999749</v>
      </c>
      <c r="B283" s="67">
        <f>LOOKUP(A283+0.01,AmountsB!$A$4:$A$103,AmountsB!$B$4:$B$103)*0.1*$A$2</f>
        <v>0</v>
      </c>
      <c r="C283" s="68">
        <f t="shared" si="31"/>
        <v>83655.233518999943</v>
      </c>
      <c r="D283" s="67">
        <f t="array" ref="D283">SUM($B$7:$B278*$F$1009*EXP(-$F$1009*($A283-$A$7:$A278)))*$F$1010</f>
        <v>6667743.994902567</v>
      </c>
      <c r="E283" s="67">
        <f t="shared" si="29"/>
        <v>12.711465297435925</v>
      </c>
      <c r="F283" s="70">
        <f t="shared" si="33"/>
        <v>0.77184017286030937</v>
      </c>
      <c r="G283" s="67">
        <f>E283/'Lookup Tables'!$C$48</f>
        <v>25.42293059487185</v>
      </c>
      <c r="H283" s="70">
        <f t="shared" si="30"/>
        <v>7.986525025735404E-2</v>
      </c>
      <c r="I283" s="71">
        <f t="shared" si="34"/>
        <v>3.6609020056615468E-2</v>
      </c>
      <c r="L283" s="74"/>
      <c r="M283" s="74"/>
      <c r="N283" s="74"/>
      <c r="O283" s="74"/>
      <c r="P283" s="74"/>
      <c r="Q283" s="74"/>
      <c r="R283" s="74"/>
      <c r="S283" s="74"/>
      <c r="T283" s="74"/>
      <c r="U283" s="74"/>
      <c r="V283" s="74"/>
      <c r="W283" s="74"/>
      <c r="X283" s="74"/>
      <c r="Y283" s="74"/>
      <c r="Z283" s="74"/>
    </row>
    <row r="284" spans="1:26" x14ac:dyDescent="0.3">
      <c r="A284" s="66">
        <f t="shared" si="32"/>
        <v>2017.6999999999748</v>
      </c>
      <c r="B284" s="67">
        <f>LOOKUP(A284+0.01,AmountsB!$A$4:$A$103,AmountsB!$B$4:$B$103)*0.1*$A$2</f>
        <v>0</v>
      </c>
      <c r="C284" s="68">
        <f t="shared" si="31"/>
        <v>83655.233518999943</v>
      </c>
      <c r="D284" s="67">
        <f t="array" ref="D284">SUM($B$7:$B279*$F$1009*EXP(-$F$1009*($A284-$A$7:$A279)))*$F$1010</f>
        <v>6658415.6846505124</v>
      </c>
      <c r="E284" s="67">
        <f t="shared" si="29"/>
        <v>12.693681697444179</v>
      </c>
      <c r="F284" s="70">
        <f t="shared" si="33"/>
        <v>0.77076035266881049</v>
      </c>
      <c r="G284" s="67">
        <f>E284/'Lookup Tables'!$C$48</f>
        <v>25.387363394888357</v>
      </c>
      <c r="H284" s="70">
        <f t="shared" si="30"/>
        <v>7.9753517138426808E-2</v>
      </c>
      <c r="I284" s="71">
        <f t="shared" si="34"/>
        <v>3.655780328863923E-2</v>
      </c>
      <c r="L284" s="74"/>
      <c r="M284" s="74"/>
      <c r="N284" s="74"/>
      <c r="O284" s="74"/>
      <c r="P284" s="74"/>
      <c r="Q284" s="74"/>
      <c r="R284" s="74"/>
      <c r="S284" s="74"/>
      <c r="T284" s="74"/>
      <c r="U284" s="74"/>
      <c r="V284" s="74"/>
      <c r="W284" s="74"/>
      <c r="X284" s="74"/>
      <c r="Y284" s="74"/>
      <c r="Z284" s="74"/>
    </row>
    <row r="285" spans="1:26" x14ac:dyDescent="0.3">
      <c r="A285" s="66">
        <f t="shared" si="32"/>
        <v>2017.7999999999747</v>
      </c>
      <c r="B285" s="67">
        <f>LOOKUP(A285+0.01,AmountsB!$A$4:$A$103,AmountsB!$B$4:$B$103)*0.1*$A$2</f>
        <v>0</v>
      </c>
      <c r="C285" s="68">
        <f t="shared" si="31"/>
        <v>83655.233518999943</v>
      </c>
      <c r="D285" s="67">
        <f t="array" ref="D285">SUM($B$7:$B280*$F$1009*EXP(-$F$1009*($A285-$A$7:$A280)))*$F$1010</f>
        <v>6649100.4248953331</v>
      </c>
      <c r="E285" s="67">
        <f t="shared" si="29"/>
        <v>12.675922977072627</v>
      </c>
      <c r="F285" s="70">
        <f t="shared" si="33"/>
        <v>0.76968204316785005</v>
      </c>
      <c r="G285" s="67">
        <f>E285/'Lookup Tables'!$C$48</f>
        <v>25.351845954145254</v>
      </c>
      <c r="H285" s="70">
        <f t="shared" si="30"/>
        <v>7.9641940336418762E-2</v>
      </c>
      <c r="I285" s="71">
        <f t="shared" si="34"/>
        <v>3.650665817396917E-2</v>
      </c>
      <c r="L285" s="74"/>
      <c r="M285" s="74"/>
      <c r="N285" s="74"/>
      <c r="O285" s="74"/>
      <c r="P285" s="74"/>
      <c r="Q285" s="74"/>
      <c r="R285" s="74"/>
      <c r="S285" s="74"/>
      <c r="T285" s="74"/>
      <c r="U285" s="74"/>
      <c r="V285" s="74"/>
      <c r="W285" s="74"/>
      <c r="X285" s="74"/>
      <c r="Y285" s="74"/>
      <c r="Z285" s="74"/>
    </row>
    <row r="286" spans="1:26" x14ac:dyDescent="0.3">
      <c r="A286" s="66">
        <f t="shared" si="32"/>
        <v>2017.8999999999746</v>
      </c>
      <c r="B286" s="67">
        <f>LOOKUP(A286+0.01,AmountsB!$A$4:$A$103,AmountsB!$B$4:$B$103)*0.1*$A$2</f>
        <v>0</v>
      </c>
      <c r="C286" s="68">
        <f t="shared" si="31"/>
        <v>83655.233518999943</v>
      </c>
      <c r="D286" s="67">
        <f t="array" ref="D286">SUM($B$7:$B281*$F$1009*EXP(-$F$1009*($A286-$A$7:$A281)))*$F$1010</f>
        <v>6639798.1973791141</v>
      </c>
      <c r="E286" s="67">
        <f t="shared" si="29"/>
        <v>12.658189101514168</v>
      </c>
      <c r="F286" s="70">
        <f t="shared" si="33"/>
        <v>0.76860524224394033</v>
      </c>
      <c r="G286" s="67">
        <f>E286/'Lookup Tables'!$C$48</f>
        <v>25.316378203028336</v>
      </c>
      <c r="H286" s="70">
        <f t="shared" si="30"/>
        <v>7.9530519632639254E-2</v>
      </c>
      <c r="I286" s="71">
        <f t="shared" si="34"/>
        <v>3.6455584612360807E-2</v>
      </c>
      <c r="L286" s="74"/>
      <c r="M286" s="74"/>
      <c r="N286" s="74"/>
      <c r="O286" s="74"/>
      <c r="P286" s="74"/>
      <c r="Q286" s="74"/>
      <c r="R286" s="74"/>
      <c r="S286" s="74"/>
      <c r="T286" s="74"/>
      <c r="U286" s="74"/>
      <c r="V286" s="74"/>
      <c r="W286" s="74"/>
      <c r="X286" s="74"/>
      <c r="Y286" s="74"/>
      <c r="Z286" s="74"/>
    </row>
    <row r="287" spans="1:26" x14ac:dyDescent="0.3">
      <c r="A287" s="66">
        <f t="shared" si="32"/>
        <v>2017.9999999999745</v>
      </c>
      <c r="B287" s="67">
        <f>LOOKUP(A287+0.01,AmountsB!$A$4:$A$103,AmountsB!$B$4:$B$103)*0.1*$A$2</f>
        <v>0</v>
      </c>
      <c r="C287" s="68">
        <f t="shared" si="31"/>
        <v>83655.233518999943</v>
      </c>
      <c r="D287" s="67">
        <f t="array" ref="D287">SUM($B$7:$B282*$F$1009*EXP(-$F$1009*($A287-$A$7:$A282)))*$F$1010</f>
        <v>6630508.9838694874</v>
      </c>
      <c r="E287" s="67">
        <f t="shared" si="29"/>
        <v>12.640480036010398</v>
      </c>
      <c r="F287" s="70">
        <f t="shared" si="33"/>
        <v>0.76752994778655148</v>
      </c>
      <c r="G287" s="67">
        <f>E287/'Lookup Tables'!$C$48</f>
        <v>25.280960072020797</v>
      </c>
      <c r="H287" s="70">
        <f t="shared" si="30"/>
        <v>7.9419254808703668E-2</v>
      </c>
      <c r="I287" s="71">
        <f t="shared" si="34"/>
        <v>3.6404582503709947E-2</v>
      </c>
      <c r="L287" s="74"/>
      <c r="M287" s="74"/>
      <c r="N287" s="74"/>
      <c r="O287" s="74"/>
      <c r="P287" s="74"/>
      <c r="Q287" s="74"/>
      <c r="R287" s="74"/>
      <c r="S287" s="74"/>
      <c r="T287" s="74"/>
      <c r="U287" s="74"/>
      <c r="V287" s="74"/>
      <c r="W287" s="74"/>
      <c r="X287" s="74"/>
      <c r="Y287" s="74"/>
      <c r="Z287" s="74"/>
    </row>
    <row r="288" spans="1:26" x14ac:dyDescent="0.3">
      <c r="A288" s="66">
        <f t="shared" si="32"/>
        <v>2018.0999999999744</v>
      </c>
      <c r="B288" s="67">
        <f>LOOKUP(A288+0.01,AmountsB!$A$4:$A$103,AmountsB!$B$4:$B$103)*0.1*$A$2</f>
        <v>0</v>
      </c>
      <c r="C288" s="68">
        <f t="shared" si="31"/>
        <v>83655.233518999943</v>
      </c>
      <c r="D288" s="67">
        <f t="array" ref="D288">SUM($B$7:$B283*$F$1009*EXP(-$F$1009*($A288-$A$7:$A283)))*$F$1010</f>
        <v>6621232.7661595903</v>
      </c>
      <c r="E288" s="67">
        <f t="shared" si="29"/>
        <v>12.622795745851544</v>
      </c>
      <c r="F288" s="70">
        <f t="shared" si="33"/>
        <v>0.76645615768810582</v>
      </c>
      <c r="G288" s="67">
        <f>E288/'Lookup Tables'!$C$48</f>
        <v>25.245591491703088</v>
      </c>
      <c r="H288" s="70">
        <f t="shared" si="30"/>
        <v>7.9308145646532935E-2</v>
      </c>
      <c r="I288" s="71">
        <f t="shared" si="34"/>
        <v>3.6353651748052447E-2</v>
      </c>
      <c r="L288" s="74"/>
      <c r="M288" s="74"/>
      <c r="N288" s="74"/>
      <c r="O288" s="74"/>
      <c r="P288" s="74"/>
      <c r="Q288" s="74"/>
      <c r="R288" s="74"/>
      <c r="S288" s="74"/>
      <c r="T288" s="74"/>
      <c r="U288" s="74"/>
      <c r="V288" s="74"/>
      <c r="W288" s="74"/>
      <c r="X288" s="74"/>
      <c r="Y288" s="74"/>
      <c r="Z288" s="74"/>
    </row>
    <row r="289" spans="1:26" x14ac:dyDescent="0.3">
      <c r="A289" s="66">
        <f t="shared" si="32"/>
        <v>2018.1999999999744</v>
      </c>
      <c r="B289" s="67">
        <f>LOOKUP(A289+0.01,AmountsB!$A$4:$A$103,AmountsB!$B$4:$B$103)*0.1*$A$2</f>
        <v>0</v>
      </c>
      <c r="C289" s="68">
        <f t="shared" si="31"/>
        <v>83655.233518999943</v>
      </c>
      <c r="D289" s="67">
        <f t="array" ref="D289">SUM($B$7:$B284*$F$1009*EXP(-$F$1009*($A289-$A$7:$A284)))*$F$1010</f>
        <v>6611969.5260680346</v>
      </c>
      <c r="E289" s="67">
        <f t="shared" si="29"/>
        <v>12.605136196376392</v>
      </c>
      <c r="F289" s="70">
        <f t="shared" si="33"/>
        <v>0.76538386984397444</v>
      </c>
      <c r="G289" s="67">
        <f>E289/'Lookup Tables'!$C$48</f>
        <v>25.210272392752785</v>
      </c>
      <c r="H289" s="70">
        <f t="shared" si="30"/>
        <v>7.9197191928353033E-2</v>
      </c>
      <c r="I289" s="71">
        <f t="shared" si="34"/>
        <v>3.6302792245564007E-2</v>
      </c>
      <c r="L289" s="74"/>
      <c r="M289" s="74"/>
      <c r="N289" s="74"/>
      <c r="O289" s="74"/>
      <c r="P289" s="74"/>
      <c r="Q289" s="74"/>
      <c r="R289" s="74"/>
      <c r="S289" s="74"/>
      <c r="T289" s="74"/>
      <c r="U289" s="74"/>
      <c r="V289" s="74"/>
      <c r="W289" s="74"/>
      <c r="X289" s="74"/>
      <c r="Y289" s="74"/>
      <c r="Z289" s="74"/>
    </row>
    <row r="290" spans="1:26" x14ac:dyDescent="0.3">
      <c r="A290" s="66">
        <f t="shared" si="32"/>
        <v>2018.2999999999743</v>
      </c>
      <c r="B290" s="67">
        <f>LOOKUP(A290+0.01,AmountsB!$A$4:$A$103,AmountsB!$B$4:$B$103)*0.1*$A$2</f>
        <v>0</v>
      </c>
      <c r="C290" s="68">
        <f t="shared" si="31"/>
        <v>83655.233518999943</v>
      </c>
      <c r="D290" s="67">
        <f t="array" ref="D290">SUM($B$7:$B285*$F$1009*EXP(-$F$1009*($A290-$A$7:$A285)))*$F$1010</f>
        <v>6602719.2454388691</v>
      </c>
      <c r="E290" s="67">
        <f t="shared" si="29"/>
        <v>12.587501352972225</v>
      </c>
      <c r="F290" s="70">
        <f t="shared" si="33"/>
        <v>0.76431308215247351</v>
      </c>
      <c r="G290" s="67">
        <f>E290/'Lookup Tables'!$C$48</f>
        <v>25.175002705944451</v>
      </c>
      <c r="H290" s="70">
        <f t="shared" si="30"/>
        <v>7.9086393436694727E-2</v>
      </c>
      <c r="I290" s="71">
        <f t="shared" si="34"/>
        <v>3.6252003896560012E-2</v>
      </c>
      <c r="L290" s="74"/>
      <c r="M290" s="74"/>
      <c r="N290" s="74"/>
      <c r="O290" s="74"/>
      <c r="P290" s="74"/>
      <c r="Q290" s="74"/>
      <c r="R290" s="74"/>
      <c r="S290" s="74"/>
      <c r="T290" s="74"/>
      <c r="U290" s="74"/>
      <c r="V290" s="74"/>
      <c r="W290" s="74"/>
      <c r="X290" s="74"/>
      <c r="Y290" s="74"/>
      <c r="Z290" s="74"/>
    </row>
    <row r="291" spans="1:26" x14ac:dyDescent="0.3">
      <c r="A291" s="66">
        <f t="shared" si="32"/>
        <v>2018.3999999999742</v>
      </c>
      <c r="B291" s="67">
        <f>LOOKUP(A291+0.01,AmountsB!$A$4:$A$103,AmountsB!$B$4:$B$103)*0.1*$A$2</f>
        <v>0</v>
      </c>
      <c r="C291" s="68">
        <f t="shared" si="31"/>
        <v>83655.233518999943</v>
      </c>
      <c r="D291" s="67">
        <f t="array" ref="D291">SUM($B$7:$B286*$F$1009*EXP(-$F$1009*($A291-$A$7:$A286)))*$F$1010</f>
        <v>6593481.9061415372</v>
      </c>
      <c r="E291" s="67">
        <f t="shared" si="29"/>
        <v>12.569891181074738</v>
      </c>
      <c r="F291" s="70">
        <f t="shared" si="33"/>
        <v>0.76324379251485797</v>
      </c>
      <c r="G291" s="67">
        <f>E291/'Lookup Tables'!$C$48</f>
        <v>25.139782362149475</v>
      </c>
      <c r="H291" s="70">
        <f t="shared" si="30"/>
        <v>7.8975749954392827E-2</v>
      </c>
      <c r="I291" s="71">
        <f t="shared" si="34"/>
        <v>3.6201286601495242E-2</v>
      </c>
      <c r="L291" s="74"/>
      <c r="M291" s="74"/>
      <c r="N291" s="74"/>
      <c r="O291" s="74"/>
      <c r="P291" s="74"/>
      <c r="Q291" s="74"/>
      <c r="R291" s="74"/>
      <c r="S291" s="74"/>
      <c r="T291" s="74"/>
      <c r="U291" s="74"/>
      <c r="V291" s="74"/>
      <c r="W291" s="74"/>
      <c r="X291" s="74"/>
      <c r="Y291" s="74"/>
      <c r="Z291" s="74"/>
    </row>
    <row r="292" spans="1:26" x14ac:dyDescent="0.3">
      <c r="A292" s="66">
        <f t="shared" si="32"/>
        <v>2018.4999999999741</v>
      </c>
      <c r="B292" s="67">
        <f>LOOKUP(A292+0.01,AmountsB!$A$4:$A$103,AmountsB!$B$4:$B$103)*0.1*$A$2</f>
        <v>0</v>
      </c>
      <c r="C292" s="68">
        <f t="shared" si="31"/>
        <v>83655.233518999943</v>
      </c>
      <c r="D292" s="67">
        <f t="array" ref="D292">SUM($B$7:$B287*$F$1009*EXP(-$F$1009*($A292-$A$7:$A287)))*$F$1010</f>
        <v>6584257.4900708506</v>
      </c>
      <c r="E292" s="67">
        <f t="shared" si="29"/>
        <v>12.552305646167985</v>
      </c>
      <c r="F292" s="70">
        <f t="shared" si="33"/>
        <v>0.76217599883532017</v>
      </c>
      <c r="G292" s="67">
        <f>E292/'Lookup Tables'!$C$48</f>
        <v>25.104611292335971</v>
      </c>
      <c r="H292" s="70">
        <f t="shared" si="30"/>
        <v>7.8865261264586123E-2</v>
      </c>
      <c r="I292" s="71">
        <f t="shared" si="34"/>
        <v>3.6150640260963804E-2</v>
      </c>
      <c r="L292" s="74"/>
      <c r="M292" s="74"/>
      <c r="N292" s="74"/>
      <c r="O292" s="74"/>
      <c r="P292" s="74"/>
      <c r="Q292" s="74"/>
      <c r="R292" s="74"/>
      <c r="S292" s="74"/>
      <c r="T292" s="74"/>
      <c r="U292" s="74"/>
      <c r="V292" s="74"/>
      <c r="W292" s="74"/>
      <c r="X292" s="74"/>
      <c r="Y292" s="74"/>
      <c r="Z292" s="74"/>
    </row>
    <row r="293" spans="1:26" x14ac:dyDescent="0.3">
      <c r="A293" s="66">
        <f t="shared" si="32"/>
        <v>2018.599999999974</v>
      </c>
      <c r="B293" s="67">
        <f>LOOKUP(A293+0.01,AmountsB!$A$4:$A$103,AmountsB!$B$4:$B$103)*0.1*$A$2</f>
        <v>0</v>
      </c>
      <c r="C293" s="68">
        <f t="shared" si="31"/>
        <v>83655.233518999943</v>
      </c>
      <c r="D293" s="67">
        <f t="array" ref="D293">SUM($B$7:$B288*$F$1009*EXP(-$F$1009*($A293-$A$7:$A288)))*$F$1010</f>
        <v>6575045.9791469527</v>
      </c>
      <c r="E293" s="67">
        <f t="shared" si="29"/>
        <v>12.53474471378432</v>
      </c>
      <c r="F293" s="70">
        <f t="shared" si="33"/>
        <v>0.76110969902098391</v>
      </c>
      <c r="G293" s="67">
        <f>E293/'Lookup Tables'!$C$48</f>
        <v>25.069489427568641</v>
      </c>
      <c r="H293" s="70">
        <f t="shared" si="30"/>
        <v>7.8754927150716747E-2</v>
      </c>
      <c r="I293" s="71">
        <f t="shared" si="34"/>
        <v>3.610006477569884E-2</v>
      </c>
      <c r="L293" s="74"/>
      <c r="M293" s="74"/>
      <c r="N293" s="74"/>
      <c r="O293" s="74"/>
      <c r="P293" s="74"/>
      <c r="Q293" s="74"/>
      <c r="R293" s="74"/>
      <c r="S293" s="74"/>
      <c r="T293" s="74"/>
      <c r="U293" s="74"/>
      <c r="V293" s="74"/>
      <c r="W293" s="74"/>
      <c r="X293" s="74"/>
      <c r="Y293" s="74"/>
      <c r="Z293" s="74"/>
    </row>
    <row r="294" spans="1:26" x14ac:dyDescent="0.3">
      <c r="A294" s="66">
        <f t="shared" si="32"/>
        <v>2018.6999999999739</v>
      </c>
      <c r="B294" s="67">
        <f>LOOKUP(A294+0.01,AmountsB!$A$4:$A$103,AmountsB!$B$4:$B$103)*0.1*$A$2</f>
        <v>0</v>
      </c>
      <c r="C294" s="68">
        <f t="shared" si="31"/>
        <v>83655.233518999943</v>
      </c>
      <c r="D294" s="67">
        <f t="array" ref="D294">SUM($B$7:$B289*$F$1009*EXP(-$F$1009*($A294-$A$7:$A289)))*$F$1010</f>
        <v>6565847.3553152811</v>
      </c>
      <c r="E294" s="67">
        <f t="shared" si="29"/>
        <v>12.51720834950431</v>
      </c>
      <c r="F294" s="70">
        <f t="shared" si="33"/>
        <v>0.76004489098190176</v>
      </c>
      <c r="G294" s="67">
        <f>E294/'Lookup Tables'!$C$48</f>
        <v>25.03441669900862</v>
      </c>
      <c r="H294" s="70">
        <f t="shared" si="30"/>
        <v>7.8644747396529824E-2</v>
      </c>
      <c r="I294" s="71">
        <f t="shared" si="34"/>
        <v>3.6049560046572414E-2</v>
      </c>
      <c r="L294" s="74"/>
      <c r="M294" s="74"/>
      <c r="N294" s="74"/>
      <c r="O294" s="74"/>
      <c r="P294" s="74"/>
      <c r="Q294" s="74"/>
      <c r="R294" s="74"/>
      <c r="S294" s="74"/>
      <c r="T294" s="74"/>
      <c r="U294" s="74"/>
      <c r="V294" s="74"/>
      <c r="W294" s="74"/>
      <c r="X294" s="74"/>
      <c r="Y294" s="74"/>
      <c r="Z294" s="74"/>
    </row>
    <row r="295" spans="1:26" x14ac:dyDescent="0.3">
      <c r="A295" s="66">
        <f t="shared" si="32"/>
        <v>2018.7999999999738</v>
      </c>
      <c r="B295" s="67">
        <f>LOOKUP(A295+0.01,AmountsB!$A$4:$A$103,AmountsB!$B$4:$B$103)*0.1*$A$2</f>
        <v>0</v>
      </c>
      <c r="C295" s="68">
        <f t="shared" si="31"/>
        <v>83655.233518999943</v>
      </c>
      <c r="D295" s="67">
        <f t="array" ref="D295">SUM($B$7:$B290*$F$1009*EXP(-$F$1009*($A295-$A$7:$A290)))*$F$1010</f>
        <v>6556661.6005465258</v>
      </c>
      <c r="E295" s="67">
        <f t="shared" si="29"/>
        <v>12.499696518956668</v>
      </c>
      <c r="F295" s="70">
        <f t="shared" si="33"/>
        <v>0.75898157263104882</v>
      </c>
      <c r="G295" s="67">
        <f>E295/'Lookup Tables'!$C$48</f>
        <v>24.999393037913336</v>
      </c>
      <c r="H295" s="70">
        <f t="shared" si="30"/>
        <v>7.8534721786072931E-2</v>
      </c>
      <c r="I295" s="71">
        <f t="shared" si="34"/>
        <v>3.5999125974595196E-2</v>
      </c>
      <c r="L295" s="74"/>
      <c r="M295" s="74"/>
      <c r="N295" s="74"/>
      <c r="O295" s="74"/>
      <c r="P295" s="74"/>
      <c r="Q295" s="74"/>
      <c r="R295" s="74"/>
      <c r="S295" s="74"/>
      <c r="T295" s="74"/>
      <c r="U295" s="74"/>
      <c r="V295" s="74"/>
      <c r="W295" s="74"/>
      <c r="X295" s="74"/>
      <c r="Y295" s="74"/>
      <c r="Z295" s="74"/>
    </row>
    <row r="296" spans="1:26" x14ac:dyDescent="0.3">
      <c r="A296" s="66">
        <f t="shared" si="32"/>
        <v>2018.8999999999737</v>
      </c>
      <c r="B296" s="67">
        <f>LOOKUP(A296+0.01,AmountsB!$A$4:$A$103,AmountsB!$B$4:$B$103)*0.1*$A$2</f>
        <v>0</v>
      </c>
      <c r="C296" s="68">
        <f t="shared" si="31"/>
        <v>83655.233518999943</v>
      </c>
      <c r="D296" s="67">
        <f t="array" ref="D296">SUM($B$7:$B291*$F$1009*EXP(-$F$1009*($A296-$A$7:$A291)))*$F$1010</f>
        <v>6547488.6968366057</v>
      </c>
      <c r="E296" s="67">
        <f t="shared" si="29"/>
        <v>12.482209187818203</v>
      </c>
      <c r="F296" s="70">
        <f t="shared" si="33"/>
        <v>0.75791974188432132</v>
      </c>
      <c r="G296" s="67">
        <f>E296/'Lookup Tables'!$C$48</f>
        <v>24.964418375636406</v>
      </c>
      <c r="H296" s="70">
        <f t="shared" si="30"/>
        <v>7.8424850103695903E-2</v>
      </c>
      <c r="I296" s="71">
        <f t="shared" si="34"/>
        <v>3.5948762460916425E-2</v>
      </c>
      <c r="L296" s="74"/>
      <c r="M296" s="74"/>
      <c r="N296" s="74"/>
      <c r="O296" s="74"/>
      <c r="P296" s="74"/>
      <c r="Q296" s="74"/>
      <c r="R296" s="74"/>
      <c r="S296" s="74"/>
      <c r="T296" s="74"/>
      <c r="U296" s="74"/>
      <c r="V296" s="74"/>
      <c r="W296" s="74"/>
      <c r="X296" s="74"/>
      <c r="Y296" s="74"/>
      <c r="Z296" s="74"/>
    </row>
    <row r="297" spans="1:26" x14ac:dyDescent="0.3">
      <c r="A297" s="66">
        <f t="shared" si="32"/>
        <v>2018.9999999999736</v>
      </c>
      <c r="B297" s="67">
        <f>LOOKUP(A297+0.01,AmountsB!$A$4:$A$103,AmountsB!$B$4:$B$103)*0.1*$A$2</f>
        <v>0</v>
      </c>
      <c r="C297" s="68">
        <f t="shared" si="31"/>
        <v>83655.233518999943</v>
      </c>
      <c r="D297" s="67">
        <f t="array" ref="D297">SUM($B$7:$B292*$F$1009*EXP(-$F$1009*($A297-$A$7:$A292)))*$F$1010</f>
        <v>6538328.626206629</v>
      </c>
      <c r="E297" s="67">
        <f t="shared" si="29"/>
        <v>12.464746321813745</v>
      </c>
      <c r="F297" s="70">
        <f t="shared" si="33"/>
        <v>0.75685939666053059</v>
      </c>
      <c r="G297" s="67">
        <f>E297/'Lookup Tables'!$C$48</f>
        <v>24.929492643627491</v>
      </c>
      <c r="H297" s="70">
        <f t="shared" si="30"/>
        <v>7.8315132134050169E-2</v>
      </c>
      <c r="I297" s="71">
        <f t="shared" si="34"/>
        <v>3.5898469406823584E-2</v>
      </c>
      <c r="L297" s="74"/>
      <c r="M297" s="74"/>
      <c r="N297" s="74"/>
      <c r="O297" s="74"/>
      <c r="P297" s="74"/>
      <c r="Q297" s="74"/>
      <c r="R297" s="74"/>
      <c r="S297" s="74"/>
      <c r="T297" s="74"/>
      <c r="U297" s="74"/>
      <c r="V297" s="74"/>
      <c r="W297" s="74"/>
      <c r="X297" s="74"/>
      <c r="Y297" s="74"/>
      <c r="Z297" s="74"/>
    </row>
    <row r="298" spans="1:26" x14ac:dyDescent="0.3">
      <c r="A298" s="66">
        <f t="shared" si="32"/>
        <v>2019.0999999999735</v>
      </c>
      <c r="B298" s="67">
        <f>LOOKUP(A298+0.01,AmountsB!$A$4:$A$103,AmountsB!$B$4:$B$103)*0.1*$A$2</f>
        <v>0</v>
      </c>
      <c r="C298" s="68">
        <f t="shared" si="31"/>
        <v>83655.233518999943</v>
      </c>
      <c r="D298" s="67">
        <f t="array" ref="D298">SUM($B$7:$B293*$F$1009*EXP(-$F$1009*($A298-$A$7:$A293)))*$F$1010</f>
        <v>6529181.3707028506</v>
      </c>
      <c r="E298" s="67">
        <f t="shared" si="29"/>
        <v>12.447307886716066</v>
      </c>
      <c r="F298" s="70">
        <f t="shared" si="33"/>
        <v>0.75580053488139964</v>
      </c>
      <c r="G298" s="67">
        <f>E298/'Lookup Tables'!$C$48</f>
        <v>24.894615773432132</v>
      </c>
      <c r="H298" s="70">
        <f t="shared" si="30"/>
        <v>7.8205567662088499E-2</v>
      </c>
      <c r="I298" s="71">
        <f t="shared" si="34"/>
        <v>3.5848246713742274E-2</v>
      </c>
      <c r="L298" s="74"/>
      <c r="M298" s="74"/>
      <c r="N298" s="74"/>
      <c r="O298" s="74"/>
      <c r="P298" s="74"/>
      <c r="Q298" s="74"/>
      <c r="R298" s="74"/>
      <c r="S298" s="74"/>
      <c r="T298" s="74"/>
      <c r="U298" s="74"/>
      <c r="V298" s="74"/>
      <c r="W298" s="74"/>
      <c r="X298" s="74"/>
      <c r="Y298" s="74"/>
      <c r="Z298" s="74"/>
    </row>
    <row r="299" spans="1:26" x14ac:dyDescent="0.3">
      <c r="A299" s="66">
        <f t="shared" si="32"/>
        <v>2019.1999999999734</v>
      </c>
      <c r="B299" s="67">
        <f>LOOKUP(A299+0.01,AmountsB!$A$4:$A$103,AmountsB!$B$4:$B$103)*0.1*$A$2</f>
        <v>0</v>
      </c>
      <c r="C299" s="68">
        <f t="shared" si="31"/>
        <v>83655.233518999943</v>
      </c>
      <c r="D299" s="67">
        <f t="array" ref="D299">SUM($B$7:$B294*$F$1009*EXP(-$F$1009*($A299-$A$7:$A294)))*$F$1010</f>
        <v>6520046.9123966498</v>
      </c>
      <c r="E299" s="67">
        <f t="shared" si="29"/>
        <v>12.429893848345827</v>
      </c>
      <c r="F299" s="70">
        <f t="shared" si="33"/>
        <v>0.75474315447155849</v>
      </c>
      <c r="G299" s="67">
        <f>E299/'Lookup Tables'!$C$48</f>
        <v>24.859787696691654</v>
      </c>
      <c r="H299" s="70">
        <f t="shared" si="30"/>
        <v>7.8096156473064463E-2</v>
      </c>
      <c r="I299" s="71">
        <f t="shared" si="34"/>
        <v>3.5798094283235979E-2</v>
      </c>
      <c r="L299" s="74"/>
      <c r="M299" s="74"/>
      <c r="N299" s="74"/>
      <c r="O299" s="74"/>
      <c r="P299" s="74"/>
      <c r="Q299" s="74"/>
      <c r="R299" s="74"/>
      <c r="S299" s="74"/>
      <c r="T299" s="74"/>
      <c r="U299" s="74"/>
      <c r="V299" s="74"/>
      <c r="W299" s="74"/>
      <c r="X299" s="74"/>
      <c r="Y299" s="74"/>
      <c r="Z299" s="74"/>
    </row>
    <row r="300" spans="1:26" x14ac:dyDescent="0.3">
      <c r="A300" s="66">
        <f t="shared" si="32"/>
        <v>2019.2999999999734</v>
      </c>
      <c r="B300" s="67">
        <f>LOOKUP(A300+0.01,AmountsB!$A$4:$A$103,AmountsB!$B$4:$B$103)*0.1*$A$2</f>
        <v>0</v>
      </c>
      <c r="C300" s="68">
        <f t="shared" si="31"/>
        <v>83655.233518999943</v>
      </c>
      <c r="D300" s="67">
        <f t="array" ref="D300">SUM($B$7:$B295*$F$1009*EXP(-$F$1009*($A300-$A$7:$A295)))*$F$1010</f>
        <v>6510925.2333844854</v>
      </c>
      <c r="E300" s="67">
        <f t="shared" si="29"/>
        <v>12.412504172571515</v>
      </c>
      <c r="F300" s="70">
        <f t="shared" si="33"/>
        <v>0.75368725335854236</v>
      </c>
      <c r="G300" s="67">
        <f>E300/'Lookup Tables'!$C$48</f>
        <v>24.825008345143029</v>
      </c>
      <c r="H300" s="70">
        <f t="shared" si="30"/>
        <v>7.7986898352532127E-2</v>
      </c>
      <c r="I300" s="71">
        <f t="shared" si="34"/>
        <v>3.5748012017005962E-2</v>
      </c>
      <c r="L300" s="74"/>
      <c r="M300" s="74"/>
      <c r="N300" s="74"/>
      <c r="O300" s="74"/>
      <c r="P300" s="74"/>
      <c r="Q300" s="74"/>
      <c r="R300" s="74"/>
      <c r="S300" s="74"/>
      <c r="T300" s="74"/>
      <c r="U300" s="74"/>
      <c r="V300" s="74"/>
      <c r="W300" s="74"/>
      <c r="X300" s="74"/>
      <c r="Y300" s="74"/>
      <c r="Z300" s="74"/>
    </row>
    <row r="301" spans="1:26" x14ac:dyDescent="0.3">
      <c r="A301" s="66">
        <f t="shared" si="32"/>
        <v>2019.3999999999733</v>
      </c>
      <c r="B301" s="67">
        <f>LOOKUP(A301+0.01,AmountsB!$A$4:$A$103,AmountsB!$B$4:$B$103)*0.1*$A$2</f>
        <v>0</v>
      </c>
      <c r="C301" s="68">
        <f t="shared" si="31"/>
        <v>83655.233518999943</v>
      </c>
      <c r="D301" s="67">
        <f t="array" ref="D301">SUM($B$7:$B296*$F$1009*EXP(-$F$1009*($A301-$A$7:$A296)))*$F$1010</f>
        <v>6501816.3157878611</v>
      </c>
      <c r="E301" s="67">
        <f t="shared" si="29"/>
        <v>12.395138825309351</v>
      </c>
      <c r="F301" s="70">
        <f t="shared" si="33"/>
        <v>0.75263282947278387</v>
      </c>
      <c r="G301" s="67">
        <f>E301/'Lookup Tables'!$C$48</f>
        <v>24.790277650618702</v>
      </c>
      <c r="H301" s="70">
        <f t="shared" si="30"/>
        <v>7.7877793086345529E-2</v>
      </c>
      <c r="I301" s="71">
        <f t="shared" si="34"/>
        <v>3.5697999816890931E-2</v>
      </c>
      <c r="L301" s="74"/>
      <c r="M301" s="74"/>
      <c r="N301" s="74"/>
      <c r="O301" s="74"/>
      <c r="P301" s="74"/>
      <c r="Q301" s="74"/>
      <c r="R301" s="74"/>
      <c r="S301" s="74"/>
      <c r="T301" s="74"/>
      <c r="U301" s="74"/>
      <c r="V301" s="74"/>
      <c r="W301" s="74"/>
      <c r="X301" s="74"/>
      <c r="Y301" s="74"/>
      <c r="Z301" s="74"/>
    </row>
    <row r="302" spans="1:26" x14ac:dyDescent="0.3">
      <c r="A302" s="66">
        <f t="shared" si="32"/>
        <v>2019.4999999999732</v>
      </c>
      <c r="B302" s="67">
        <f>LOOKUP(A302+0.01,AmountsB!$A$4:$A$103,AmountsB!$B$4:$B$103)*0.1*$A$2</f>
        <v>0</v>
      </c>
      <c r="C302" s="68">
        <f t="shared" si="31"/>
        <v>83655.233518999943</v>
      </c>
      <c r="D302" s="67">
        <f t="array" ref="D302">SUM($B$7:$B297*$F$1009*EXP(-$F$1009*($A302-$A$7:$A297)))*$F$1010</f>
        <v>6492720.1417532982</v>
      </c>
      <c r="E302" s="67">
        <f t="shared" si="29"/>
        <v>12.377797772523255</v>
      </c>
      <c r="F302" s="70">
        <f t="shared" si="33"/>
        <v>0.75157988074761206</v>
      </c>
      <c r="G302" s="67">
        <f>E302/'Lookup Tables'!$C$48</f>
        <v>24.755595545046511</v>
      </c>
      <c r="H302" s="70">
        <f t="shared" si="30"/>
        <v>7.7768840460658323E-2</v>
      </c>
      <c r="I302" s="71">
        <f t="shared" si="34"/>
        <v>3.5648057584866978E-2</v>
      </c>
      <c r="L302" s="74"/>
      <c r="M302" s="74"/>
      <c r="N302" s="74"/>
      <c r="O302" s="74"/>
      <c r="P302" s="74"/>
      <c r="Q302" s="74"/>
      <c r="R302" s="74"/>
      <c r="S302" s="74"/>
      <c r="T302" s="74"/>
      <c r="U302" s="74"/>
      <c r="V302" s="74"/>
      <c r="W302" s="74"/>
      <c r="X302" s="74"/>
      <c r="Y302" s="74"/>
      <c r="Z302" s="74"/>
    </row>
    <row r="303" spans="1:26" x14ac:dyDescent="0.3">
      <c r="A303" s="66">
        <f t="shared" si="32"/>
        <v>2019.5999999999731</v>
      </c>
      <c r="B303" s="67">
        <f>LOOKUP(A303+0.01,AmountsB!$A$4:$A$103,AmountsB!$B$4:$B$103)*0.1*$A$2</f>
        <v>0</v>
      </c>
      <c r="C303" s="68">
        <f t="shared" si="31"/>
        <v>83655.233518999943</v>
      </c>
      <c r="D303" s="67">
        <f t="array" ref="D303">SUM($B$7:$B298*$F$1009*EXP(-$F$1009*($A303-$A$7:$A298)))*$F$1010</f>
        <v>6483636.6934522912</v>
      </c>
      <c r="E303" s="67">
        <f t="shared" si="29"/>
        <v>12.360480980224755</v>
      </c>
      <c r="F303" s="70">
        <f t="shared" si="33"/>
        <v>0.75052840511924712</v>
      </c>
      <c r="G303" s="67">
        <f>E303/'Lookup Tables'!$C$48</f>
        <v>24.720961960449511</v>
      </c>
      <c r="H303" s="70">
        <f t="shared" si="30"/>
        <v>7.7660040261923288E-2</v>
      </c>
      <c r="I303" s="71">
        <f t="shared" si="34"/>
        <v>3.5598185223047293E-2</v>
      </c>
      <c r="L303" s="74"/>
      <c r="M303" s="74"/>
      <c r="N303" s="74"/>
      <c r="O303" s="74"/>
      <c r="P303" s="74"/>
      <c r="Q303" s="74"/>
      <c r="R303" s="74"/>
      <c r="S303" s="74"/>
      <c r="T303" s="74"/>
      <c r="U303" s="74"/>
      <c r="V303" s="74"/>
      <c r="W303" s="74"/>
      <c r="X303" s="74"/>
      <c r="Y303" s="74"/>
      <c r="Z303" s="74"/>
    </row>
    <row r="304" spans="1:26" x14ac:dyDescent="0.3">
      <c r="A304" s="66">
        <f t="shared" si="32"/>
        <v>2019.699999999973</v>
      </c>
      <c r="B304" s="67">
        <f>LOOKUP(A304+0.01,AmountsB!$A$4:$A$103,AmountsB!$B$4:$B$103)*0.1*$A$2</f>
        <v>0</v>
      </c>
      <c r="C304" s="68">
        <f t="shared" si="31"/>
        <v>83655.233518999943</v>
      </c>
      <c r="D304" s="67">
        <f t="array" ref="D304">SUM($B$7:$B299*$F$1009*EXP(-$F$1009*($A304-$A$7:$A299)))*$F$1010</f>
        <v>6474565.9530812819</v>
      </c>
      <c r="E304" s="67">
        <f t="shared" si="29"/>
        <v>12.343188414472937</v>
      </c>
      <c r="F304" s="70">
        <f t="shared" si="33"/>
        <v>0.74947840052679682</v>
      </c>
      <c r="G304" s="67">
        <f>E304/'Lookup Tables'!$C$48</f>
        <v>24.686376828945875</v>
      </c>
      <c r="H304" s="70">
        <f t="shared" si="30"/>
        <v>7.7551392276892089E-2</v>
      </c>
      <c r="I304" s="71">
        <f t="shared" si="34"/>
        <v>3.5548382633682062E-2</v>
      </c>
      <c r="L304" s="74"/>
      <c r="M304" s="74"/>
      <c r="N304" s="74"/>
      <c r="O304" s="74"/>
      <c r="P304" s="74"/>
      <c r="Q304" s="74"/>
      <c r="R304" s="74"/>
      <c r="S304" s="74"/>
      <c r="T304" s="74"/>
      <c r="U304" s="74"/>
      <c r="V304" s="74"/>
      <c r="W304" s="74"/>
      <c r="X304" s="74"/>
      <c r="Y304" s="74"/>
      <c r="Z304" s="74"/>
    </row>
    <row r="305" spans="1:26" x14ac:dyDescent="0.3">
      <c r="A305" s="66">
        <f t="shared" si="32"/>
        <v>2019.7999999999729</v>
      </c>
      <c r="B305" s="67">
        <f>LOOKUP(A305+0.01,AmountsB!$A$4:$A$103,AmountsB!$B$4:$B$103)*0.1*$A$2</f>
        <v>0</v>
      </c>
      <c r="C305" s="68">
        <f t="shared" si="31"/>
        <v>83655.233518999943</v>
      </c>
      <c r="D305" s="67">
        <f t="array" ref="D305">SUM($B$7:$B300*$F$1009*EXP(-$F$1009*($A305-$A$7:$A300)))*$F$1010</f>
        <v>6465507.9028616119</v>
      </c>
      <c r="E305" s="67">
        <f t="shared" si="29"/>
        <v>12.325920041374362</v>
      </c>
      <c r="F305" s="70">
        <f t="shared" si="33"/>
        <v>0.74842986491225127</v>
      </c>
      <c r="G305" s="67">
        <f>E305/'Lookup Tables'!$C$48</f>
        <v>24.651840082748723</v>
      </c>
      <c r="H305" s="70">
        <f t="shared" si="30"/>
        <v>7.7442896292614527E-2</v>
      </c>
      <c r="I305" s="71">
        <f t="shared" si="34"/>
        <v>3.5498649719158157E-2</v>
      </c>
      <c r="L305" s="74"/>
      <c r="M305" s="74"/>
      <c r="N305" s="74"/>
      <c r="O305" s="74"/>
      <c r="P305" s="74"/>
      <c r="Q305" s="74"/>
      <c r="R305" s="74"/>
      <c r="S305" s="74"/>
      <c r="T305" s="74"/>
      <c r="U305" s="74"/>
      <c r="V305" s="74"/>
      <c r="W305" s="74"/>
      <c r="X305" s="74"/>
      <c r="Y305" s="74"/>
      <c r="Z305" s="74"/>
    </row>
    <row r="306" spans="1:26" x14ac:dyDescent="0.3">
      <c r="A306" s="66">
        <f t="shared" si="32"/>
        <v>2019.8999999999728</v>
      </c>
      <c r="B306" s="67">
        <f>LOOKUP(A306+0.01,AmountsB!$A$4:$A$103,AmountsB!$B$4:$B$103)*0.1*$A$2</f>
        <v>0</v>
      </c>
      <c r="C306" s="68">
        <f t="shared" si="31"/>
        <v>83655.233518999943</v>
      </c>
      <c r="D306" s="67">
        <f t="array" ref="D306">SUM($B$7:$B301*$F$1009*EXP(-$F$1009*($A306-$A$7:$A301)))*$F$1010</f>
        <v>6456462.5250395015</v>
      </c>
      <c r="E306" s="67">
        <f t="shared" si="29"/>
        <v>12.308675827083013</v>
      </c>
      <c r="F306" s="70">
        <f t="shared" si="33"/>
        <v>0.74738279622048043</v>
      </c>
      <c r="G306" s="67">
        <f>E306/'Lookup Tables'!$C$48</f>
        <v>24.617351654166026</v>
      </c>
      <c r="H306" s="70">
        <f t="shared" si="30"/>
        <v>7.7334552096438511E-2</v>
      </c>
      <c r="I306" s="71">
        <f t="shared" si="34"/>
        <v>3.5448986381999073E-2</v>
      </c>
      <c r="L306" s="74"/>
      <c r="M306" s="74"/>
      <c r="N306" s="74"/>
      <c r="O306" s="74"/>
      <c r="P306" s="74"/>
      <c r="Q306" s="74"/>
      <c r="R306" s="74"/>
      <c r="S306" s="74"/>
      <c r="T306" s="74"/>
      <c r="U306" s="74"/>
      <c r="V306" s="74"/>
      <c r="W306" s="74"/>
      <c r="X306" s="74"/>
      <c r="Y306" s="74"/>
      <c r="Z306" s="74"/>
    </row>
    <row r="307" spans="1:26" x14ac:dyDescent="0.3">
      <c r="A307" s="66">
        <f t="shared" si="32"/>
        <v>2019.9999999999727</v>
      </c>
      <c r="B307" s="67">
        <f>LOOKUP(A307+0.01,AmountsB!$A$4:$A$103,AmountsB!$B$4:$B$103)*0.1*$A$2</f>
        <v>0</v>
      </c>
      <c r="C307" s="68">
        <f t="shared" si="31"/>
        <v>83655.233518999943</v>
      </c>
      <c r="D307" s="67">
        <f t="array" ref="D307">SUM($B$7:$B302*$F$1009*EXP(-$F$1009*($A307-$A$7:$A302)))*$F$1010</f>
        <v>6447429.8018860053</v>
      </c>
      <c r="E307" s="67">
        <f t="shared" si="29"/>
        <v>12.291455737800222</v>
      </c>
      <c r="F307" s="70">
        <f t="shared" si="33"/>
        <v>0.74633719239922947</v>
      </c>
      <c r="G307" s="67">
        <f>E307/'Lookup Tables'!$C$48</f>
        <v>24.582911475600444</v>
      </c>
      <c r="H307" s="70">
        <f t="shared" si="30"/>
        <v>7.7226359476009351E-2</v>
      </c>
      <c r="I307" s="71">
        <f t="shared" si="34"/>
        <v>3.539939252486464E-2</v>
      </c>
      <c r="L307" s="74"/>
      <c r="M307" s="74"/>
      <c r="N307" s="74"/>
      <c r="O307" s="74"/>
      <c r="P307" s="74"/>
      <c r="Q307" s="74"/>
      <c r="R307" s="74"/>
      <c r="S307" s="74"/>
      <c r="T307" s="74"/>
      <c r="U307" s="74"/>
      <c r="V307" s="74"/>
      <c r="W307" s="74"/>
      <c r="X307" s="74"/>
      <c r="Y307" s="74"/>
      <c r="Z307" s="74"/>
    </row>
    <row r="308" spans="1:26" x14ac:dyDescent="0.3">
      <c r="A308" s="66">
        <f t="shared" si="32"/>
        <v>2020.0999999999726</v>
      </c>
      <c r="B308" s="67">
        <f>LOOKUP(A308+0.01,AmountsB!$A$4:$A$103,AmountsB!$B$4:$B$103)*0.1*$A$2</f>
        <v>0</v>
      </c>
      <c r="C308" s="68">
        <f t="shared" si="31"/>
        <v>83655.233518999943</v>
      </c>
      <c r="D308" s="67">
        <f t="array" ref="D308">SUM($B$7:$B303*$F$1009*EXP(-$F$1009*($A308-$A$7:$A303)))*$F$1010</f>
        <v>6438409.7156969877</v>
      </c>
      <c r="E308" s="67">
        <f t="shared" si="29"/>
        <v>12.274259739774619</v>
      </c>
      <c r="F308" s="70">
        <f t="shared" si="33"/>
        <v>0.74529305139911484</v>
      </c>
      <c r="G308" s="67">
        <f>E308/'Lookup Tables'!$C$48</f>
        <v>24.548519479549238</v>
      </c>
      <c r="H308" s="70">
        <f t="shared" si="30"/>
        <v>7.7118318219269524E-2</v>
      </c>
      <c r="I308" s="71">
        <f t="shared" si="34"/>
        <v>3.5349868050550903E-2</v>
      </c>
      <c r="L308" s="74"/>
      <c r="M308" s="74"/>
      <c r="N308" s="74"/>
      <c r="O308" s="74"/>
      <c r="P308" s="74"/>
      <c r="Q308" s="74"/>
      <c r="R308" s="74"/>
      <c r="S308" s="74"/>
      <c r="T308" s="74"/>
      <c r="U308" s="74"/>
      <c r="V308" s="74"/>
      <c r="W308" s="74"/>
      <c r="X308" s="74"/>
      <c r="Y308" s="74"/>
      <c r="Z308" s="74"/>
    </row>
    <row r="309" spans="1:26" x14ac:dyDescent="0.3">
      <c r="A309" s="66">
        <f t="shared" si="32"/>
        <v>2020.1999999999725</v>
      </c>
      <c r="B309" s="67">
        <f>LOOKUP(A309+0.01,AmountsB!$A$4:$A$103,AmountsB!$B$4:$B$103)*0.1*$A$2</f>
        <v>0</v>
      </c>
      <c r="C309" s="68">
        <f t="shared" si="31"/>
        <v>83655.233518999943</v>
      </c>
      <c r="D309" s="67">
        <f t="array" ref="D309">SUM($B$7:$B304*$F$1009*EXP(-$F$1009*($A309-$A$7:$A304)))*$F$1010</f>
        <v>6429402.248793073</v>
      </c>
      <c r="E309" s="67">
        <f t="shared" si="29"/>
        <v>12.257087799302031</v>
      </c>
      <c r="F309" s="70">
        <f t="shared" si="33"/>
        <v>0.74425037117361925</v>
      </c>
      <c r="G309" s="67">
        <f>E309/'Lookup Tables'!$C$48</f>
        <v>24.514175598604062</v>
      </c>
      <c r="H309" s="70">
        <f t="shared" si="30"/>
        <v>7.7010428114458046E-2</v>
      </c>
      <c r="I309" s="71">
        <f t="shared" si="34"/>
        <v>3.5300412861989851E-2</v>
      </c>
      <c r="L309" s="74"/>
      <c r="M309" s="74"/>
      <c r="N309" s="74"/>
      <c r="O309" s="74"/>
      <c r="P309" s="74"/>
      <c r="Q309" s="74"/>
      <c r="R309" s="74"/>
      <c r="S309" s="74"/>
      <c r="T309" s="74"/>
      <c r="U309" s="74"/>
      <c r="V309" s="74"/>
      <c r="W309" s="74"/>
      <c r="X309" s="74"/>
      <c r="Y309" s="74"/>
      <c r="Z309" s="74"/>
    </row>
    <row r="310" spans="1:26" x14ac:dyDescent="0.3">
      <c r="A310" s="66">
        <f t="shared" si="32"/>
        <v>2020.2999999999724</v>
      </c>
      <c r="B310" s="67">
        <f>LOOKUP(A310+0.01,AmountsB!$A$4:$A$103,AmountsB!$B$4:$B$103)*0.1*$A$2</f>
        <v>0</v>
      </c>
      <c r="C310" s="68">
        <f t="shared" si="31"/>
        <v>83655.233518999943</v>
      </c>
      <c r="D310" s="67">
        <f t="array" ref="D310">SUM($B$7:$B305*$F$1009*EXP(-$F$1009*($A310-$A$7:$A305)))*$F$1010</f>
        <v>6420407.3835196234</v>
      </c>
      <c r="E310" s="67">
        <f t="shared" si="29"/>
        <v>12.239939882725453</v>
      </c>
      <c r="F310" s="70">
        <f t="shared" si="33"/>
        <v>0.74320914967908958</v>
      </c>
      <c r="G310" s="67">
        <f>E310/'Lookup Tables'!$C$48</f>
        <v>24.479879765450907</v>
      </c>
      <c r="H310" s="70">
        <f t="shared" si="30"/>
        <v>7.6902688950110348E-2</v>
      </c>
      <c r="I310" s="71">
        <f t="shared" si="34"/>
        <v>3.5251026862249304E-2</v>
      </c>
      <c r="L310" s="74"/>
      <c r="M310" s="74"/>
      <c r="N310" s="74"/>
      <c r="O310" s="74"/>
      <c r="P310" s="74"/>
      <c r="Q310" s="74"/>
      <c r="R310" s="74"/>
      <c r="S310" s="74"/>
      <c r="T310" s="74"/>
      <c r="U310" s="74"/>
      <c r="V310" s="74"/>
      <c r="W310" s="74"/>
      <c r="X310" s="74"/>
      <c r="Y310" s="74"/>
      <c r="Z310" s="74"/>
    </row>
    <row r="311" spans="1:26" x14ac:dyDescent="0.3">
      <c r="A311" s="66">
        <f t="shared" si="32"/>
        <v>2020.3999999999724</v>
      </c>
      <c r="B311" s="67">
        <f>LOOKUP(A311+0.01,AmountsB!$A$4:$A$103,AmountsB!$B$4:$B$103)*0.1*$A$2</f>
        <v>0</v>
      </c>
      <c r="C311" s="68">
        <f t="shared" si="31"/>
        <v>83655.233518999943</v>
      </c>
      <c r="D311" s="67">
        <f t="array" ref="D311">SUM($B$7:$B306*$F$1009*EXP(-$F$1009*($A311-$A$7:$A306)))*$F$1010</f>
        <v>6411425.1022467026</v>
      </c>
      <c r="E311" s="67">
        <f t="shared" si="29"/>
        <v>12.222815956434967</v>
      </c>
      <c r="F311" s="70">
        <f t="shared" si="33"/>
        <v>0.74216938487473116</v>
      </c>
      <c r="G311" s="67">
        <f>E311/'Lookup Tables'!$C$48</f>
        <v>24.445631912869935</v>
      </c>
      <c r="H311" s="70">
        <f t="shared" si="30"/>
        <v>7.6795100515057627E-2</v>
      </c>
      <c r="I311" s="71">
        <f t="shared" si="34"/>
        <v>3.5201709954532708E-2</v>
      </c>
      <c r="L311" s="74"/>
      <c r="M311" s="74"/>
      <c r="N311" s="74"/>
      <c r="O311" s="74"/>
      <c r="P311" s="74"/>
      <c r="Q311" s="74"/>
      <c r="R311" s="74"/>
      <c r="S311" s="74"/>
      <c r="T311" s="74"/>
      <c r="U311" s="74"/>
      <c r="V311" s="74"/>
      <c r="W311" s="74"/>
      <c r="X311" s="74"/>
      <c r="Y311" s="74"/>
      <c r="Z311" s="74"/>
    </row>
    <row r="312" spans="1:26" x14ac:dyDescent="0.3">
      <c r="A312" s="66">
        <f t="shared" si="32"/>
        <v>2020.4999999999723</v>
      </c>
      <c r="B312" s="67">
        <f>LOOKUP(A312+0.01,AmountsB!$A$4:$A$103,AmountsB!$B$4:$B$103)*0.1*$A$2</f>
        <v>0</v>
      </c>
      <c r="C312" s="68">
        <f t="shared" si="31"/>
        <v>83655.233518999943</v>
      </c>
      <c r="D312" s="67">
        <f t="array" ref="D312">SUM($B$7:$B307*$F$1009*EXP(-$F$1009*($A312-$A$7:$A307)))*$F$1010</f>
        <v>6402455.3873690339</v>
      </c>
      <c r="E312" s="67">
        <f t="shared" si="29"/>
        <v>12.205715986867668</v>
      </c>
      <c r="F312" s="70">
        <f t="shared" si="33"/>
        <v>0.74113107472260487</v>
      </c>
      <c r="G312" s="67">
        <f>E312/'Lookup Tables'!$C$48</f>
        <v>24.411431973735336</v>
      </c>
      <c r="H312" s="70">
        <f t="shared" si="30"/>
        <v>7.6687662598426493E-2</v>
      </c>
      <c r="I312" s="71">
        <f t="shared" si="34"/>
        <v>3.5152462042178888E-2</v>
      </c>
      <c r="L312" s="74"/>
      <c r="M312" s="74"/>
      <c r="N312" s="74"/>
      <c r="O312" s="74"/>
      <c r="P312" s="74"/>
      <c r="Q312" s="74"/>
      <c r="R312" s="74"/>
      <c r="S312" s="74"/>
      <c r="T312" s="74"/>
      <c r="U312" s="74"/>
      <c r="V312" s="74"/>
      <c r="W312" s="74"/>
      <c r="X312" s="74"/>
      <c r="Y312" s="74"/>
      <c r="Z312" s="74"/>
    </row>
    <row r="313" spans="1:26" x14ac:dyDescent="0.3">
      <c r="A313" s="66">
        <f t="shared" si="32"/>
        <v>2020.5999999999722</v>
      </c>
      <c r="B313" s="67">
        <f>LOOKUP(A313+0.01,AmountsB!$A$4:$A$103,AmountsB!$B$4:$B$103)*0.1*$A$2</f>
        <v>0</v>
      </c>
      <c r="C313" s="68">
        <f t="shared" si="31"/>
        <v>83655.233518999943</v>
      </c>
      <c r="D313" s="67">
        <f t="array" ref="D313">SUM($B$7:$B308*$F$1009*EXP(-$F$1009*($A313-$A$7:$A308)))*$F$1010</f>
        <v>6393498.2213059738</v>
      </c>
      <c r="E313" s="67">
        <f t="shared" si="29"/>
        <v>12.188639940507608</v>
      </c>
      <c r="F313" s="70">
        <f t="shared" si="33"/>
        <v>0.74009421718762203</v>
      </c>
      <c r="G313" s="67">
        <f>E313/'Lookup Tables'!$C$48</f>
        <v>24.377279881015216</v>
      </c>
      <c r="H313" s="70">
        <f t="shared" si="30"/>
        <v>7.6580374989638586E-2</v>
      </c>
      <c r="I313" s="71">
        <f t="shared" si="34"/>
        <v>3.5103283028661912E-2</v>
      </c>
      <c r="L313" s="74"/>
      <c r="M313" s="74"/>
      <c r="N313" s="74"/>
      <c r="O313" s="74"/>
      <c r="P313" s="74"/>
      <c r="Q313" s="74"/>
      <c r="R313" s="74"/>
      <c r="S313" s="74"/>
      <c r="T313" s="74"/>
      <c r="U313" s="74"/>
      <c r="V313" s="74"/>
      <c r="W313" s="74"/>
      <c r="X313" s="74"/>
      <c r="Y313" s="74"/>
      <c r="Z313" s="74"/>
    </row>
    <row r="314" spans="1:26" x14ac:dyDescent="0.3">
      <c r="A314" s="66">
        <f t="shared" si="32"/>
        <v>2020.6999999999721</v>
      </c>
      <c r="B314" s="67">
        <f>LOOKUP(A314+0.01,AmountsB!$A$4:$A$103,AmountsB!$B$4:$B$103)*0.1*$A$2</f>
        <v>0</v>
      </c>
      <c r="C314" s="68">
        <f t="shared" si="31"/>
        <v>83655.233518999943</v>
      </c>
      <c r="D314" s="67">
        <f t="array" ref="D314">SUM($B$7:$B309*$F$1009*EXP(-$F$1009*($A314-$A$7:$A309)))*$F$1010</f>
        <v>6384553.5865014736</v>
      </c>
      <c r="E314" s="67">
        <f t="shared" si="29"/>
        <v>12.171587783885736</v>
      </c>
      <c r="F314" s="70">
        <f t="shared" si="33"/>
        <v>0.73905881023754183</v>
      </c>
      <c r="G314" s="67">
        <f>E314/'Lookup Tables'!$C$48</f>
        <v>24.343175567771471</v>
      </c>
      <c r="H314" s="70">
        <f t="shared" si="30"/>
        <v>7.6473237478410172E-2</v>
      </c>
      <c r="I314" s="71">
        <f t="shared" si="34"/>
        <v>3.5054172817590913E-2</v>
      </c>
      <c r="L314" s="74"/>
      <c r="M314" s="74"/>
      <c r="N314" s="74"/>
      <c r="O314" s="74"/>
      <c r="P314" s="74"/>
      <c r="Q314" s="74"/>
      <c r="R314" s="74"/>
      <c r="S314" s="74"/>
      <c r="T314" s="74"/>
      <c r="U314" s="74"/>
      <c r="V314" s="74"/>
      <c r="W314" s="74"/>
      <c r="X314" s="74"/>
      <c r="Y314" s="74"/>
      <c r="Z314" s="74"/>
    </row>
    <row r="315" spans="1:26" x14ac:dyDescent="0.3">
      <c r="A315" s="66">
        <f t="shared" si="32"/>
        <v>2020.799999999972</v>
      </c>
      <c r="B315" s="67">
        <f>LOOKUP(A315+0.01,AmountsB!$A$4:$A$103,AmountsB!$B$4:$B$103)*0.1*$A$2</f>
        <v>0</v>
      </c>
      <c r="C315" s="68">
        <f t="shared" si="31"/>
        <v>83655.233518999943</v>
      </c>
      <c r="D315" s="67">
        <f t="array" ref="D315">SUM($B$7:$B310*$F$1009*EXP(-$F$1009*($A315-$A$7:$A310)))*$F$1010</f>
        <v>6375621.4654240459</v>
      </c>
      <c r="E315" s="67">
        <f t="shared" si="29"/>
        <v>12.154559483579812</v>
      </c>
      <c r="F315" s="70">
        <f t="shared" si="33"/>
        <v>0.73802485184296618</v>
      </c>
      <c r="G315" s="67">
        <f>E315/'Lookup Tables'!$C$48</f>
        <v>24.309118967159623</v>
      </c>
      <c r="H315" s="70">
        <f t="shared" si="30"/>
        <v>7.6366249854751683E-2</v>
      </c>
      <c r="I315" s="71">
        <f t="shared" si="34"/>
        <v>3.5005131312709853E-2</v>
      </c>
      <c r="L315" s="74"/>
      <c r="M315" s="74"/>
      <c r="N315" s="74"/>
      <c r="O315" s="74"/>
      <c r="P315" s="74"/>
      <c r="Q315" s="74"/>
      <c r="R315" s="74"/>
      <c r="S315" s="74"/>
      <c r="T315" s="74"/>
      <c r="U315" s="74"/>
      <c r="V315" s="74"/>
      <c r="W315" s="74"/>
      <c r="X315" s="74"/>
      <c r="Y315" s="74"/>
      <c r="Z315" s="74"/>
    </row>
    <row r="316" spans="1:26" x14ac:dyDescent="0.3">
      <c r="A316" s="66">
        <f t="shared" si="32"/>
        <v>2020.8999999999719</v>
      </c>
      <c r="B316" s="67">
        <f>LOOKUP(A316+0.01,AmountsB!$A$4:$A$103,AmountsB!$B$4:$B$103)*0.1*$A$2</f>
        <v>0</v>
      </c>
      <c r="C316" s="68">
        <f t="shared" si="31"/>
        <v>83655.233518999943</v>
      </c>
      <c r="D316" s="67">
        <f t="array" ref="D316">SUM($B$7:$B311*$F$1009*EXP(-$F$1009*($A316-$A$7:$A311)))*$F$1010</f>
        <v>6366701.840566732</v>
      </c>
      <c r="E316" s="67">
        <f t="shared" si="29"/>
        <v>12.137555006214368</v>
      </c>
      <c r="F316" s="70">
        <f t="shared" si="33"/>
        <v>0.73699233997733649</v>
      </c>
      <c r="G316" s="67">
        <f>E316/'Lookup Tables'!$C$48</f>
        <v>24.275110012428737</v>
      </c>
      <c r="H316" s="70">
        <f t="shared" si="30"/>
        <v>7.6259411908967387E-2</v>
      </c>
      <c r="I316" s="71">
        <f t="shared" si="34"/>
        <v>3.4956158417897377E-2</v>
      </c>
      <c r="L316" s="74"/>
      <c r="M316" s="74"/>
      <c r="N316" s="74"/>
      <c r="O316" s="74"/>
      <c r="P316" s="74"/>
      <c r="Q316" s="74"/>
      <c r="R316" s="74"/>
      <c r="S316" s="74"/>
      <c r="T316" s="74"/>
      <c r="U316" s="74"/>
      <c r="V316" s="74"/>
      <c r="W316" s="74"/>
      <c r="X316" s="74"/>
      <c r="Y316" s="74"/>
      <c r="Z316" s="74"/>
    </row>
    <row r="317" spans="1:26" x14ac:dyDescent="0.3">
      <c r="A317" s="66">
        <f t="shared" si="32"/>
        <v>2020.9999999999718</v>
      </c>
      <c r="B317" s="67">
        <f>LOOKUP(A317+0.01,AmountsB!$A$4:$A$103,AmountsB!$B$4:$B$103)*0.1*$A$2</f>
        <v>0</v>
      </c>
      <c r="C317" s="68">
        <f t="shared" si="31"/>
        <v>83655.233518999943</v>
      </c>
      <c r="D317" s="67">
        <f t="array" ref="D317">SUM($B$7:$B312*$F$1009*EXP(-$F$1009*($A317-$A$7:$A312)))*$F$1010</f>
        <v>6357794.6944470657</v>
      </c>
      <c r="E317" s="67">
        <f t="shared" si="29"/>
        <v>12.120574318460626</v>
      </c>
      <c r="F317" s="70">
        <f t="shared" si="33"/>
        <v>0.73596127261692923</v>
      </c>
      <c r="G317" s="67">
        <f>E317/'Lookup Tables'!$C$48</f>
        <v>24.241148636921253</v>
      </c>
      <c r="H317" s="70">
        <f t="shared" si="30"/>
        <v>7.6152723431654842E-2</v>
      </c>
      <c r="I317" s="71">
        <f t="shared" si="34"/>
        <v>3.4907254037166602E-2</v>
      </c>
      <c r="L317" s="74"/>
      <c r="M317" s="74"/>
      <c r="N317" s="74"/>
      <c r="O317" s="74"/>
      <c r="P317" s="74"/>
      <c r="Q317" s="74"/>
      <c r="R317" s="74"/>
      <c r="S317" s="74"/>
      <c r="T317" s="74"/>
      <c r="U317" s="74"/>
      <c r="V317" s="74"/>
      <c r="W317" s="74"/>
      <c r="X317" s="74"/>
      <c r="Y317" s="74"/>
      <c r="Z317" s="74"/>
    </row>
    <row r="318" spans="1:26" x14ac:dyDescent="0.3">
      <c r="A318" s="66">
        <f t="shared" si="32"/>
        <v>2021.0999999999717</v>
      </c>
      <c r="B318" s="67">
        <f>LOOKUP(A318+0.01,AmountsB!$A$4:$A$103,AmountsB!$B$4:$B$103)*0.1*$A$2</f>
        <v>0</v>
      </c>
      <c r="C318" s="68">
        <f t="shared" si="31"/>
        <v>83655.233518999943</v>
      </c>
      <c r="D318" s="67">
        <f t="array" ref="D318">SUM($B$7:$B313*$F$1009*EXP(-$F$1009*($A318-$A$7:$A313)))*$F$1010</f>
        <v>6348900.0096070338</v>
      </c>
      <c r="E318" s="67">
        <f t="shared" si="29"/>
        <v>12.103617387036424</v>
      </c>
      <c r="F318" s="70">
        <f t="shared" si="33"/>
        <v>0.73493164774085162</v>
      </c>
      <c r="G318" s="67">
        <f>E318/'Lookup Tables'!$C$48</f>
        <v>24.207234774072848</v>
      </c>
      <c r="H318" s="70">
        <f t="shared" si="30"/>
        <v>7.6046184213704585E-2</v>
      </c>
      <c r="I318" s="71">
        <f t="shared" si="34"/>
        <v>3.4858418074664901E-2</v>
      </c>
      <c r="L318" s="74"/>
      <c r="M318" s="74"/>
      <c r="N318" s="74"/>
      <c r="O318" s="74"/>
      <c r="P318" s="74"/>
      <c r="Q318" s="74"/>
      <c r="R318" s="74"/>
      <c r="S318" s="74"/>
      <c r="T318" s="74"/>
      <c r="U318" s="74"/>
      <c r="V318" s="74"/>
      <c r="W318" s="74"/>
      <c r="X318" s="74"/>
      <c r="Y318" s="74"/>
      <c r="Z318" s="74"/>
    </row>
    <row r="319" spans="1:26" x14ac:dyDescent="0.3">
      <c r="A319" s="66">
        <f t="shared" si="32"/>
        <v>2021.1999999999716</v>
      </c>
      <c r="B319" s="67">
        <f>LOOKUP(A319+0.01,AmountsB!$A$4:$A$103,AmountsB!$B$4:$B$103)*0.1*$A$2</f>
        <v>0</v>
      </c>
      <c r="C319" s="68">
        <f t="shared" si="31"/>
        <v>83655.233518999943</v>
      </c>
      <c r="D319" s="67">
        <f t="array" ref="D319">SUM($B$7:$B314*$F$1009*EXP(-$F$1009*($A319-$A$7:$A314)))*$F$1010</f>
        <v>6340017.7686130544</v>
      </c>
      <c r="E319" s="67">
        <f t="shared" si="29"/>
        <v>12.086684178706177</v>
      </c>
      <c r="F319" s="70">
        <f t="shared" si="33"/>
        <v>0.73390346333103906</v>
      </c>
      <c r="G319" s="67">
        <f>E319/'Lookup Tables'!$C$48</f>
        <v>24.173368357412354</v>
      </c>
      <c r="H319" s="70">
        <f t="shared" si="30"/>
        <v>7.5939794046299747E-2</v>
      </c>
      <c r="I319" s="71">
        <f t="shared" si="34"/>
        <v>3.4809650434673794E-2</v>
      </c>
      <c r="L319" s="74"/>
      <c r="M319" s="74"/>
      <c r="N319" s="74"/>
      <c r="O319" s="74"/>
      <c r="P319" s="74"/>
      <c r="Q319" s="74"/>
      <c r="R319" s="74"/>
      <c r="S319" s="74"/>
      <c r="T319" s="74"/>
      <c r="U319" s="74"/>
      <c r="V319" s="74"/>
      <c r="W319" s="74"/>
      <c r="X319" s="74"/>
      <c r="Y319" s="74"/>
      <c r="Z319" s="74"/>
    </row>
    <row r="320" spans="1:26" x14ac:dyDescent="0.3">
      <c r="A320" s="66">
        <f t="shared" si="32"/>
        <v>2021.2999999999715</v>
      </c>
      <c r="B320" s="67">
        <f>LOOKUP(A320+0.01,AmountsB!$A$4:$A$103,AmountsB!$B$4:$B$103)*0.1*$A$2</f>
        <v>0</v>
      </c>
      <c r="C320" s="68">
        <f t="shared" si="31"/>
        <v>83655.233518999943</v>
      </c>
      <c r="D320" s="67">
        <f t="array" ref="D320">SUM($B$7:$B315*$F$1009*EXP(-$F$1009*($A320-$A$7:$A315)))*$F$1010</f>
        <v>6331147.9540559286</v>
      </c>
      <c r="E320" s="67">
        <f t="shared" si="29"/>
        <v>12.069774660280785</v>
      </c>
      <c r="F320" s="70">
        <f t="shared" si="33"/>
        <v>0.73287671737224935</v>
      </c>
      <c r="G320" s="67">
        <f>E320/'Lookup Tables'!$C$48</f>
        <v>24.139549320561571</v>
      </c>
      <c r="H320" s="70">
        <f t="shared" si="30"/>
        <v>7.583355272091552E-2</v>
      </c>
      <c r="I320" s="71">
        <f t="shared" si="34"/>
        <v>3.4760951021608665E-2</v>
      </c>
      <c r="L320" s="74"/>
      <c r="M320" s="74"/>
      <c r="N320" s="74"/>
      <c r="O320" s="74"/>
      <c r="P320" s="74"/>
      <c r="Q320" s="74"/>
      <c r="R320" s="74"/>
      <c r="S320" s="74"/>
      <c r="T320" s="74"/>
      <c r="U320" s="74"/>
      <c r="V320" s="74"/>
      <c r="W320" s="74"/>
      <c r="X320" s="74"/>
      <c r="Y320" s="74"/>
      <c r="Z320" s="74"/>
    </row>
    <row r="321" spans="1:26" x14ac:dyDescent="0.3">
      <c r="A321" s="66">
        <f t="shared" si="32"/>
        <v>2021.3999999999714</v>
      </c>
      <c r="B321" s="67">
        <f>LOOKUP(A321+0.01,AmountsB!$A$4:$A$103,AmountsB!$B$4:$B$103)*0.1*$A$2</f>
        <v>0</v>
      </c>
      <c r="C321" s="68">
        <f t="shared" si="31"/>
        <v>83655.233518999943</v>
      </c>
      <c r="D321" s="67">
        <f t="array" ref="D321">SUM($B$7:$B316*$F$1009*EXP(-$F$1009*($A321-$A$7:$A316)))*$F$1010</f>
        <v>6322290.54855082</v>
      </c>
      <c r="E321" s="67">
        <f t="shared" si="29"/>
        <v>12.052888798617595</v>
      </c>
      <c r="F321" s="70">
        <f t="shared" si="33"/>
        <v>0.73185140785206027</v>
      </c>
      <c r="G321" s="67">
        <f>E321/'Lookup Tables'!$C$48</f>
        <v>24.105777597235189</v>
      </c>
      <c r="H321" s="70">
        <f t="shared" si="30"/>
        <v>7.5727460029318891E-2</v>
      </c>
      <c r="I321" s="71">
        <f t="shared" si="34"/>
        <v>3.471231974001867E-2</v>
      </c>
      <c r="L321" s="74"/>
      <c r="M321" s="74"/>
      <c r="N321" s="74"/>
      <c r="O321" s="74"/>
      <c r="P321" s="74"/>
      <c r="Q321" s="74"/>
      <c r="R321" s="74"/>
      <c r="S321" s="74"/>
      <c r="T321" s="74"/>
      <c r="U321" s="74"/>
      <c r="V321" s="74"/>
      <c r="W321" s="74"/>
      <c r="X321" s="74"/>
      <c r="Y321" s="74"/>
      <c r="Z321" s="74"/>
    </row>
    <row r="322" spans="1:26" x14ac:dyDescent="0.3">
      <c r="A322" s="66">
        <f t="shared" si="32"/>
        <v>2021.4999999999714</v>
      </c>
      <c r="B322" s="67">
        <f>LOOKUP(A322+0.01,AmountsB!$A$4:$A$103,AmountsB!$B$4:$B$103)*0.1*$A$2</f>
        <v>0</v>
      </c>
      <c r="C322" s="68">
        <f t="shared" si="31"/>
        <v>83655.233518999943</v>
      </c>
      <c r="D322" s="67">
        <f t="array" ref="D322">SUM($B$7:$B317*$F$1009*EXP(-$F$1009*($A322-$A$7:$A317)))*$F$1010</f>
        <v>6313445.5347372107</v>
      </c>
      <c r="E322" s="67">
        <f t="shared" si="29"/>
        <v>12.036026560620307</v>
      </c>
      <c r="F322" s="70">
        <f t="shared" si="33"/>
        <v>0.7308275327608651</v>
      </c>
      <c r="G322" s="67">
        <f>E322/'Lookup Tables'!$C$48</f>
        <v>24.072053121240614</v>
      </c>
      <c r="H322" s="70">
        <f t="shared" si="30"/>
        <v>7.5621515763568209E-2</v>
      </c>
      <c r="I322" s="71">
        <f t="shared" si="34"/>
        <v>3.4663756494586487E-2</v>
      </c>
      <c r="L322" s="74"/>
      <c r="M322" s="74"/>
      <c r="N322" s="74"/>
      <c r="O322" s="74"/>
      <c r="P322" s="74"/>
      <c r="Q322" s="74"/>
      <c r="R322" s="74"/>
      <c r="S322" s="74"/>
      <c r="T322" s="74"/>
      <c r="U322" s="74"/>
      <c r="V322" s="74"/>
      <c r="W322" s="74"/>
      <c r="X322" s="74"/>
      <c r="Y322" s="74"/>
      <c r="Z322" s="74"/>
    </row>
    <row r="323" spans="1:26" x14ac:dyDescent="0.3">
      <c r="A323" s="66">
        <f t="shared" si="32"/>
        <v>2021.5999999999713</v>
      </c>
      <c r="B323" s="67">
        <f>LOOKUP(A323+0.01,AmountsB!$A$4:$A$103,AmountsB!$B$4:$B$103)*0.1*$A$2</f>
        <v>0</v>
      </c>
      <c r="C323" s="68">
        <f t="shared" si="31"/>
        <v>83655.233518999943</v>
      </c>
      <c r="D323" s="67">
        <f t="array" ref="D323">SUM($B$7:$B318*$F$1009*EXP(-$F$1009*($A323-$A$7:$A318)))*$F$1010</f>
        <v>6304612.8952788711</v>
      </c>
      <c r="E323" s="67">
        <f t="shared" si="29"/>
        <v>12.01918791323893</v>
      </c>
      <c r="F323" s="70">
        <f t="shared" si="33"/>
        <v>0.72980509009186789</v>
      </c>
      <c r="G323" s="67">
        <f>E323/'Lookup Tables'!$C$48</f>
        <v>24.038375826477861</v>
      </c>
      <c r="H323" s="70">
        <f t="shared" si="30"/>
        <v>7.5515719716012591E-2</v>
      </c>
      <c r="I323" s="71">
        <f t="shared" si="34"/>
        <v>3.4615261190128123E-2</v>
      </c>
      <c r="L323" s="74"/>
      <c r="M323" s="74"/>
      <c r="N323" s="74"/>
      <c r="O323" s="74"/>
      <c r="P323" s="74"/>
      <c r="Q323" s="74"/>
      <c r="R323" s="74"/>
      <c r="S323" s="74"/>
      <c r="T323" s="74"/>
      <c r="U323" s="74"/>
      <c r="V323" s="74"/>
      <c r="W323" s="74"/>
      <c r="X323" s="74"/>
      <c r="Y323" s="74"/>
      <c r="Z323" s="74"/>
    </row>
    <row r="324" spans="1:26" x14ac:dyDescent="0.3">
      <c r="A324" s="66">
        <f t="shared" si="32"/>
        <v>2021.6999999999712</v>
      </c>
      <c r="B324" s="67">
        <f>LOOKUP(A324+0.01,AmountsB!$A$4:$A$103,AmountsB!$B$4:$B$103)*0.1*$A$2</f>
        <v>0</v>
      </c>
      <c r="C324" s="68">
        <f t="shared" si="31"/>
        <v>83655.233518999943</v>
      </c>
      <c r="D324" s="67">
        <f t="array" ref="D324">SUM($B$7:$B319*$F$1009*EXP(-$F$1009*($A324-$A$7:$A319)))*$F$1010</f>
        <v>6295792.6128638266</v>
      </c>
      <c r="E324" s="67">
        <f t="shared" si="29"/>
        <v>12.002372823469717</v>
      </c>
      <c r="F324" s="70">
        <f t="shared" si="33"/>
        <v>0.72878407784108123</v>
      </c>
      <c r="G324" s="67">
        <f>E324/'Lookup Tables'!$C$48</f>
        <v>24.004745646939433</v>
      </c>
      <c r="H324" s="70">
        <f t="shared" si="30"/>
        <v>7.5410071679291826E-2</v>
      </c>
      <c r="I324" s="71">
        <f t="shared" si="34"/>
        <v>3.4566833731592778E-2</v>
      </c>
      <c r="L324" s="74"/>
      <c r="M324" s="74"/>
      <c r="N324" s="74"/>
      <c r="O324" s="74"/>
      <c r="P324" s="74"/>
      <c r="Q324" s="74"/>
      <c r="R324" s="74"/>
      <c r="S324" s="74"/>
      <c r="T324" s="74"/>
      <c r="U324" s="74"/>
      <c r="V324" s="74"/>
      <c r="W324" s="74"/>
      <c r="X324" s="74"/>
      <c r="Y324" s="74"/>
      <c r="Z324" s="74"/>
    </row>
    <row r="325" spans="1:26" x14ac:dyDescent="0.3">
      <c r="A325" s="66">
        <f t="shared" si="32"/>
        <v>2021.7999999999711</v>
      </c>
      <c r="B325" s="67">
        <f>LOOKUP(A325+0.01,AmountsB!$A$4:$A$103,AmountsB!$B$4:$B$103)*0.1*$A$2</f>
        <v>0</v>
      </c>
      <c r="C325" s="68">
        <f t="shared" si="31"/>
        <v>83655.233518999943</v>
      </c>
      <c r="D325" s="67">
        <f t="array" ref="D325">SUM($B$7:$B320*$F$1009*EXP(-$F$1009*($A325-$A$7:$A320)))*$F$1010</f>
        <v>6286984.6702043163</v>
      </c>
      <c r="E325" s="67">
        <f t="shared" si="29"/>
        <v>11.985581258355074</v>
      </c>
      <c r="F325" s="70">
        <f t="shared" si="33"/>
        <v>0.72776449400732013</v>
      </c>
      <c r="G325" s="67">
        <f>E325/'Lookup Tables'!$C$48</f>
        <v>23.971162516710148</v>
      </c>
      <c r="H325" s="70">
        <f t="shared" si="30"/>
        <v>7.5304571446335677E-2</v>
      </c>
      <c r="I325" s="71">
        <f t="shared" si="34"/>
        <v>3.4518474024062613E-2</v>
      </c>
      <c r="L325" s="74"/>
      <c r="M325" s="74"/>
      <c r="N325" s="74"/>
      <c r="O325" s="74"/>
      <c r="P325" s="74"/>
      <c r="Q325" s="74"/>
      <c r="R325" s="74"/>
      <c r="S325" s="74"/>
      <c r="T325" s="74"/>
      <c r="U325" s="74"/>
      <c r="V325" s="74"/>
      <c r="W325" s="74"/>
      <c r="X325" s="74"/>
      <c r="Y325" s="74"/>
      <c r="Z325" s="74"/>
    </row>
    <row r="326" spans="1:26" x14ac:dyDescent="0.3">
      <c r="A326" s="66">
        <f t="shared" si="32"/>
        <v>2021.899999999971</v>
      </c>
      <c r="B326" s="67">
        <f>LOOKUP(A326+0.01,AmountsB!$A$4:$A$103,AmountsB!$B$4:$B$103)*0.1*$A$2</f>
        <v>0</v>
      </c>
      <c r="C326" s="68">
        <f t="shared" si="31"/>
        <v>83655.233518999943</v>
      </c>
      <c r="D326" s="67">
        <f t="array" ref="D326">SUM($B$7:$B321*$F$1009*EXP(-$F$1009*($A326-$A$7:$A321)))*$F$1010</f>
        <v>6278189.0500367731</v>
      </c>
      <c r="E326" s="67">
        <f t="shared" si="29"/>
        <v>11.968813184983539</v>
      </c>
      <c r="F326" s="70">
        <f t="shared" si="33"/>
        <v>0.72674633659220045</v>
      </c>
      <c r="G326" s="67">
        <f>E326/'Lookup Tables'!$C$48</f>
        <v>23.937626369967077</v>
      </c>
      <c r="H326" s="70">
        <f t="shared" si="30"/>
        <v>7.5199218810363691E-2</v>
      </c>
      <c r="I326" s="71">
        <f t="shared" si="34"/>
        <v>3.4470181972752596E-2</v>
      </c>
      <c r="L326" s="74"/>
      <c r="M326" s="74"/>
      <c r="N326" s="74"/>
      <c r="O326" s="74"/>
      <c r="P326" s="74"/>
      <c r="Q326" s="74"/>
      <c r="R326" s="74"/>
      <c r="S326" s="74"/>
      <c r="T326" s="74"/>
      <c r="U326" s="74"/>
      <c r="V326" s="74"/>
      <c r="W326" s="74"/>
      <c r="X326" s="74"/>
      <c r="Y326" s="74"/>
      <c r="Z326" s="74"/>
    </row>
    <row r="327" spans="1:26" x14ac:dyDescent="0.3">
      <c r="A327" s="66">
        <f t="shared" si="32"/>
        <v>2021.9999999999709</v>
      </c>
      <c r="B327" s="67">
        <f>LOOKUP(A327+0.01,AmountsB!$A$4:$A$103,AmountsB!$B$4:$B$103)*0.1*$A$2</f>
        <v>0</v>
      </c>
      <c r="C327" s="68">
        <f t="shared" si="31"/>
        <v>83655.233518999943</v>
      </c>
      <c r="D327" s="67">
        <f t="array" ref="D327">SUM($B$7:$B322*$F$1009*EXP(-$F$1009*($A327-$A$7:$A322)))*$F$1010</f>
        <v>6269405.7351217791</v>
      </c>
      <c r="E327" s="67">
        <f t="shared" ref="E327:E390" si="35">D327/(365*24*60)*1.00201</f>
        <v>11.952068570489677</v>
      </c>
      <c r="F327" s="70">
        <f t="shared" si="33"/>
        <v>0.72572960360013317</v>
      </c>
      <c r="G327" s="67">
        <f>E327/'Lookup Tables'!$C$48</f>
        <v>23.904137140979355</v>
      </c>
      <c r="H327" s="70">
        <f t="shared" ref="H327:H390" si="36">G327*60*24*365/(C327*2000)</f>
        <v>7.509401356488464E-2</v>
      </c>
      <c r="I327" s="71">
        <f t="shared" si="34"/>
        <v>3.4421957483010274E-2</v>
      </c>
      <c r="L327" s="74"/>
      <c r="M327" s="74"/>
      <c r="N327" s="74"/>
      <c r="O327" s="74"/>
      <c r="P327" s="74"/>
      <c r="Q327" s="74"/>
      <c r="R327" s="74"/>
      <c r="S327" s="74"/>
      <c r="T327" s="74"/>
      <c r="U327" s="74"/>
      <c r="V327" s="74"/>
      <c r="W327" s="74"/>
      <c r="X327" s="74"/>
      <c r="Y327" s="74"/>
      <c r="Z327" s="74"/>
    </row>
    <row r="328" spans="1:26" x14ac:dyDescent="0.3">
      <c r="A328" s="66">
        <f t="shared" si="32"/>
        <v>2022.0999999999708</v>
      </c>
      <c r="B328" s="67">
        <f>LOOKUP(A328+0.01,AmountsB!$A$4:$A$103,AmountsB!$B$4:$B$103)*0.1*$A$2</f>
        <v>0</v>
      </c>
      <c r="C328" s="68">
        <f t="shared" si="31"/>
        <v>83655.233518999943</v>
      </c>
      <c r="D328" s="67">
        <f t="array" ref="D328">SUM($B$7:$B323*$F$1009*EXP(-$F$1009*($A328-$A$7:$A323)))*$F$1010</f>
        <v>6260634.7082440313</v>
      </c>
      <c r="E328" s="67">
        <f t="shared" si="35"/>
        <v>11.935347382054038</v>
      </c>
      <c r="F328" s="70">
        <f t="shared" si="33"/>
        <v>0.72471429303832124</v>
      </c>
      <c r="G328" s="67">
        <f>E328/'Lookup Tables'!$C$48</f>
        <v>23.870694764108077</v>
      </c>
      <c r="H328" s="70">
        <f t="shared" si="36"/>
        <v>7.4988955503696206E-2</v>
      </c>
      <c r="I328" s="71">
        <f t="shared" si="34"/>
        <v>3.4373800460315629E-2</v>
      </c>
      <c r="L328" s="74"/>
      <c r="M328" s="74"/>
      <c r="N328" s="74"/>
      <c r="O328" s="74"/>
      <c r="P328" s="74"/>
      <c r="Q328" s="74"/>
      <c r="R328" s="74"/>
      <c r="S328" s="74"/>
      <c r="T328" s="74"/>
      <c r="U328" s="74"/>
      <c r="V328" s="74"/>
      <c r="W328" s="74"/>
      <c r="X328" s="74"/>
      <c r="Y328" s="74"/>
      <c r="Z328" s="74"/>
    </row>
    <row r="329" spans="1:26" x14ac:dyDescent="0.3">
      <c r="A329" s="66">
        <f t="shared" si="32"/>
        <v>2022.1999999999707</v>
      </c>
      <c r="B329" s="67">
        <f>LOOKUP(A329+0.01,AmountsB!$A$4:$A$103,AmountsB!$B$4:$B$103)*0.1*$A$2</f>
        <v>0</v>
      </c>
      <c r="C329" s="68">
        <f t="shared" ref="C329:C392" si="37">C328+B329</f>
        <v>83655.233518999943</v>
      </c>
      <c r="D329" s="67">
        <f t="array" ref="D329">SUM($B$7:$B324*$F$1009*EXP(-$F$1009*($A329-$A$7:$A324)))*$F$1010</f>
        <v>6251875.9522123169</v>
      </c>
      <c r="E329" s="67">
        <f t="shared" si="35"/>
        <v>11.91864958690309</v>
      </c>
      <c r="F329" s="70">
        <f t="shared" si="33"/>
        <v>0.72370040291675564</v>
      </c>
      <c r="G329" s="67">
        <f>E329/'Lookup Tables'!$C$48</f>
        <v>23.83729917380618</v>
      </c>
      <c r="H329" s="70">
        <f t="shared" si="36"/>
        <v>7.4884044420884574E-2</v>
      </c>
      <c r="I329" s="71">
        <f t="shared" si="34"/>
        <v>3.43257108102809E-2</v>
      </c>
      <c r="L329" s="74"/>
      <c r="M329" s="74"/>
      <c r="N329" s="74"/>
      <c r="O329" s="74"/>
      <c r="P329" s="74"/>
      <c r="Q329" s="74"/>
      <c r="R329" s="74"/>
      <c r="S329" s="74"/>
      <c r="T329" s="74"/>
      <c r="U329" s="74"/>
      <c r="V329" s="74"/>
      <c r="W329" s="74"/>
      <c r="X329" s="74"/>
      <c r="Y329" s="74"/>
      <c r="Z329" s="74"/>
    </row>
    <row r="330" spans="1:26" x14ac:dyDescent="0.3">
      <c r="A330" s="66">
        <f t="shared" si="32"/>
        <v>2022.2999999999706</v>
      </c>
      <c r="B330" s="67">
        <f>LOOKUP(A330+0.01,AmountsB!$A$4:$A$103,AmountsB!$B$4:$B$103)*0.1*$A$2</f>
        <v>0</v>
      </c>
      <c r="C330" s="68">
        <f t="shared" si="37"/>
        <v>83655.233518999943</v>
      </c>
      <c r="D330" s="67">
        <f t="array" ref="D330">SUM($B$7:$B325*$F$1009*EXP(-$F$1009*($A330-$A$7:$A325)))*$F$1010</f>
        <v>6243129.4498594701</v>
      </c>
      <c r="E330" s="67">
        <f t="shared" si="35"/>
        <v>11.901975152309149</v>
      </c>
      <c r="F330" s="70">
        <f t="shared" si="33"/>
        <v>0.72268793124821151</v>
      </c>
      <c r="G330" s="67">
        <f>E330/'Lookup Tables'!$C$48</f>
        <v>23.803950304618297</v>
      </c>
      <c r="H330" s="70">
        <f t="shared" si="36"/>
        <v>7.4779280110823992E-2</v>
      </c>
      <c r="I330" s="71">
        <f t="shared" si="34"/>
        <v>3.4277688438650353E-2</v>
      </c>
      <c r="L330" s="74"/>
      <c r="M330" s="74"/>
      <c r="N330" s="74"/>
      <c r="O330" s="74"/>
      <c r="P330" s="74"/>
      <c r="Q330" s="74"/>
      <c r="R330" s="74"/>
      <c r="S330" s="74"/>
      <c r="T330" s="74"/>
      <c r="U330" s="74"/>
      <c r="V330" s="74"/>
      <c r="W330" s="74"/>
      <c r="X330" s="74"/>
      <c r="Y330" s="74"/>
      <c r="Z330" s="74"/>
    </row>
    <row r="331" spans="1:26" x14ac:dyDescent="0.3">
      <c r="A331" s="66">
        <f t="shared" si="32"/>
        <v>2022.3999999999705</v>
      </c>
      <c r="B331" s="67">
        <f>LOOKUP(A331+0.01,AmountsB!$A$4:$A$103,AmountsB!$B$4:$B$103)*0.1*$A$2</f>
        <v>0</v>
      </c>
      <c r="C331" s="68">
        <f t="shared" si="37"/>
        <v>83655.233518999943</v>
      </c>
      <c r="D331" s="67">
        <f t="array" ref="D331">SUM($B$7:$B326*$F$1009*EXP(-$F$1009*($A331-$A$7:$A326)))*$F$1010</f>
        <v>6234395.1840423439</v>
      </c>
      <c r="E331" s="67">
        <f t="shared" si="35"/>
        <v>11.885324045590314</v>
      </c>
      <c r="F331" s="70">
        <f t="shared" si="33"/>
        <v>0.72167687604824382</v>
      </c>
      <c r="G331" s="67">
        <f>E331/'Lookup Tables'!$C$48</f>
        <v>23.770648091180629</v>
      </c>
      <c r="H331" s="70">
        <f t="shared" si="36"/>
        <v>7.4674662368176326E-2</v>
      </c>
      <c r="I331" s="71">
        <f t="shared" si="34"/>
        <v>3.4229733251300104E-2</v>
      </c>
      <c r="L331" s="74"/>
      <c r="M331" s="74"/>
      <c r="N331" s="74"/>
      <c r="O331" s="74"/>
      <c r="P331" s="74"/>
      <c r="Q331" s="74"/>
      <c r="R331" s="74"/>
      <c r="S331" s="74"/>
      <c r="T331" s="74"/>
      <c r="U331" s="74"/>
      <c r="V331" s="74"/>
      <c r="W331" s="74"/>
      <c r="X331" s="74"/>
      <c r="Y331" s="74"/>
      <c r="Z331" s="74"/>
    </row>
    <row r="332" spans="1:26" x14ac:dyDescent="0.3">
      <c r="A332" s="66">
        <f t="shared" si="32"/>
        <v>2022.4999999999704</v>
      </c>
      <c r="B332" s="67">
        <f>LOOKUP(A332+0.01,AmountsB!$A$4:$A$103,AmountsB!$B$4:$B$103)*0.1*$A$2</f>
        <v>0</v>
      </c>
      <c r="C332" s="68">
        <f t="shared" si="37"/>
        <v>83655.233518999943</v>
      </c>
      <c r="D332" s="67">
        <f t="array" ref="D332">SUM($B$7:$B327*$F$1009*EXP(-$F$1009*($A332-$A$7:$A327)))*$F$1010</f>
        <v>6225673.1376417736</v>
      </c>
      <c r="E332" s="67">
        <f t="shared" si="35"/>
        <v>11.868696234110415</v>
      </c>
      <c r="F332" s="70">
        <f t="shared" si="33"/>
        <v>0.7206672353351844</v>
      </c>
      <c r="G332" s="67">
        <f>E332/'Lookup Tables'!$C$48</f>
        <v>23.737392468220829</v>
      </c>
      <c r="H332" s="70">
        <f t="shared" si="36"/>
        <v>7.4570190987890833E-2</v>
      </c>
      <c r="I332" s="71">
        <f t="shared" si="34"/>
        <v>3.4181845154237993E-2</v>
      </c>
      <c r="L332" s="74"/>
      <c r="M332" s="74"/>
      <c r="N332" s="74"/>
      <c r="O332" s="74"/>
      <c r="P332" s="74"/>
      <c r="Q332" s="74"/>
      <c r="R332" s="74"/>
      <c r="S332" s="74"/>
      <c r="T332" s="74"/>
      <c r="U332" s="74"/>
      <c r="V332" s="74"/>
      <c r="W332" s="74"/>
      <c r="X332" s="74"/>
      <c r="Y332" s="74"/>
      <c r="Z332" s="74"/>
    </row>
    <row r="333" spans="1:26" x14ac:dyDescent="0.3">
      <c r="A333" s="66">
        <f t="shared" si="32"/>
        <v>2022.5999999999704</v>
      </c>
      <c r="B333" s="67">
        <f>LOOKUP(A333+0.01,AmountsB!$A$4:$A$103,AmountsB!$B$4:$B$103)*0.1*$A$2</f>
        <v>0</v>
      </c>
      <c r="C333" s="68">
        <f t="shared" si="37"/>
        <v>83655.233518999943</v>
      </c>
      <c r="D333" s="67">
        <f t="array" ref="D333">SUM($B$7:$B328*$F$1009*EXP(-$F$1009*($A333-$A$7:$A328)))*$F$1010</f>
        <v>6216963.2935625473</v>
      </c>
      <c r="E333" s="67">
        <f t="shared" si="35"/>
        <v>11.852091685278936</v>
      </c>
      <c r="F333" s="70">
        <f t="shared" si="33"/>
        <v>0.71965900713013697</v>
      </c>
      <c r="G333" s="67">
        <f>E333/'Lookup Tables'!$C$48</f>
        <v>23.704183370557871</v>
      </c>
      <c r="H333" s="70">
        <f t="shared" si="36"/>
        <v>7.4465865765203587E-2</v>
      </c>
      <c r="I333" s="71">
        <f t="shared" si="34"/>
        <v>3.4134024053603336E-2</v>
      </c>
      <c r="L333" s="74"/>
      <c r="M333" s="74"/>
      <c r="N333" s="74"/>
      <c r="O333" s="74"/>
      <c r="P333" s="74"/>
      <c r="Q333" s="74"/>
      <c r="R333" s="74"/>
      <c r="S333" s="74"/>
      <c r="T333" s="74"/>
      <c r="U333" s="74"/>
      <c r="V333" s="74"/>
      <c r="W333" s="74"/>
      <c r="X333" s="74"/>
      <c r="Y333" s="74"/>
      <c r="Z333" s="74"/>
    </row>
    <row r="334" spans="1:26" x14ac:dyDescent="0.3">
      <c r="A334" s="66">
        <f t="shared" si="32"/>
        <v>2022.6999999999703</v>
      </c>
      <c r="B334" s="67">
        <f>LOOKUP(A334+0.01,AmountsB!$A$4:$A$103,AmountsB!$B$4:$B$103)*0.1*$A$2</f>
        <v>0</v>
      </c>
      <c r="C334" s="68">
        <f t="shared" si="37"/>
        <v>83655.233518999943</v>
      </c>
      <c r="D334" s="67">
        <f t="array" ref="D334">SUM($B$7:$B329*$F$1009*EXP(-$F$1009*($A334-$A$7:$A329)))*$F$1010</f>
        <v>6208265.634733364</v>
      </c>
      <c r="E334" s="67">
        <f t="shared" si="35"/>
        <v>11.835510366550949</v>
      </c>
      <c r="F334" s="70">
        <f t="shared" si="33"/>
        <v>0.71865218945697362</v>
      </c>
      <c r="G334" s="67">
        <f>E334/'Lookup Tables'!$C$48</f>
        <v>23.671020733101898</v>
      </c>
      <c r="H334" s="70">
        <f t="shared" si="36"/>
        <v>7.4361686495637E-2</v>
      </c>
      <c r="I334" s="71">
        <f t="shared" si="34"/>
        <v>3.4086269855666734E-2</v>
      </c>
      <c r="L334" s="74"/>
      <c r="M334" s="74"/>
      <c r="N334" s="74"/>
      <c r="O334" s="74"/>
      <c r="P334" s="74"/>
      <c r="Q334" s="74"/>
      <c r="R334" s="74"/>
      <c r="S334" s="74"/>
      <c r="T334" s="74"/>
      <c r="U334" s="74"/>
      <c r="V334" s="74"/>
      <c r="W334" s="74"/>
      <c r="X334" s="74"/>
      <c r="Y334" s="74"/>
      <c r="Z334" s="74"/>
    </row>
    <row r="335" spans="1:26" x14ac:dyDescent="0.3">
      <c r="A335" s="66">
        <f t="shared" si="32"/>
        <v>2022.7999999999702</v>
      </c>
      <c r="B335" s="67">
        <f>LOOKUP(A335+0.01,AmountsB!$A$4:$A$103,AmountsB!$B$4:$B$103)*0.1*$A$2</f>
        <v>0</v>
      </c>
      <c r="C335" s="68">
        <f t="shared" si="37"/>
        <v>83655.233518999943</v>
      </c>
      <c r="D335" s="67">
        <f t="array" ref="D335">SUM($B$7:$B330*$F$1009*EXP(-$F$1009*($A335-$A$7:$A330)))*$F$1010</f>
        <v>6199580.1441068146</v>
      </c>
      <c r="E335" s="67">
        <f t="shared" si="35"/>
        <v>11.818952245427074</v>
      </c>
      <c r="F335" s="70">
        <f t="shared" si="33"/>
        <v>0.71764678034233187</v>
      </c>
      <c r="G335" s="67">
        <f>E335/'Lookup Tables'!$C$48</f>
        <v>23.637904490854147</v>
      </c>
      <c r="H335" s="70">
        <f t="shared" si="36"/>
        <v>7.4257652974999797E-2</v>
      </c>
      <c r="I335" s="71">
        <f t="shared" si="34"/>
        <v>3.4038582466829968E-2</v>
      </c>
      <c r="L335" s="74"/>
      <c r="M335" s="74"/>
      <c r="N335" s="74"/>
      <c r="O335" s="74"/>
      <c r="P335" s="74"/>
      <c r="Q335" s="74"/>
      <c r="R335" s="74"/>
      <c r="S335" s="74"/>
      <c r="T335" s="74"/>
      <c r="U335" s="74"/>
      <c r="V335" s="74"/>
      <c r="W335" s="74"/>
      <c r="X335" s="74"/>
      <c r="Y335" s="74"/>
      <c r="Z335" s="74"/>
    </row>
    <row r="336" spans="1:26" x14ac:dyDescent="0.3">
      <c r="A336" s="66">
        <f t="shared" si="32"/>
        <v>2022.8999999999701</v>
      </c>
      <c r="B336" s="67">
        <f>LOOKUP(A336+0.01,AmountsB!$A$4:$A$103,AmountsB!$B$4:$B$103)*0.1*$A$2</f>
        <v>0</v>
      </c>
      <c r="C336" s="68">
        <f t="shared" si="37"/>
        <v>83655.233518999943</v>
      </c>
      <c r="D336" s="67">
        <f t="array" ref="D336">SUM($B$7:$B331*$F$1009*EXP(-$F$1009*($A336-$A$7:$A331)))*$F$1010</f>
        <v>6190906.8046593331</v>
      </c>
      <c r="E336" s="67">
        <f t="shared" si="35"/>
        <v>11.802417289453384</v>
      </c>
      <c r="F336" s="70">
        <f t="shared" si="33"/>
        <v>0.71664277781560948</v>
      </c>
      <c r="G336" s="67">
        <f>E336/'Lookup Tables'!$C$48</f>
        <v>23.604834578906768</v>
      </c>
      <c r="H336" s="70">
        <f t="shared" si="36"/>
        <v>7.415376499938621E-2</v>
      </c>
      <c r="I336" s="71">
        <f t="shared" si="34"/>
        <v>3.3990961793625742E-2</v>
      </c>
      <c r="L336" s="74"/>
      <c r="M336" s="74"/>
      <c r="N336" s="74"/>
      <c r="O336" s="74"/>
      <c r="P336" s="74"/>
      <c r="Q336" s="74"/>
      <c r="R336" s="74"/>
      <c r="S336" s="74"/>
      <c r="T336" s="74"/>
      <c r="U336" s="74"/>
      <c r="V336" s="74"/>
      <c r="W336" s="74"/>
      <c r="X336" s="74"/>
      <c r="Y336" s="74"/>
      <c r="Z336" s="74"/>
    </row>
    <row r="337" spans="1:26" x14ac:dyDescent="0.3">
      <c r="A337" s="66">
        <f t="shared" si="32"/>
        <v>2022.99999999997</v>
      </c>
      <c r="B337" s="67">
        <f>LOOKUP(A337+0.01,AmountsB!$A$4:$A$103,AmountsB!$B$4:$B$103)*0.1*$A$2</f>
        <v>0</v>
      </c>
      <c r="C337" s="68">
        <f t="shared" si="37"/>
        <v>83655.233518999943</v>
      </c>
      <c r="D337" s="67">
        <f t="array" ref="D337">SUM($B$7:$B332*$F$1009*EXP(-$F$1009*($A337-$A$7:$A332)))*$F$1010</f>
        <v>6182245.5993911689</v>
      </c>
      <c r="E337" s="67">
        <f t="shared" si="35"/>
        <v>11.785905466221358</v>
      </c>
      <c r="F337" s="70">
        <f t="shared" si="33"/>
        <v>0.71564017990896089</v>
      </c>
      <c r="G337" s="67">
        <f>E337/'Lookup Tables'!$C$48</f>
        <v>23.571810932442716</v>
      </c>
      <c r="H337" s="70">
        <f t="shared" si="36"/>
        <v>7.4050022365175758E-2</v>
      </c>
      <c r="I337" s="71">
        <f t="shared" si="34"/>
        <v>3.3943407742717514E-2</v>
      </c>
      <c r="L337" s="74"/>
      <c r="M337" s="74"/>
      <c r="N337" s="74"/>
      <c r="O337" s="74"/>
      <c r="P337" s="74"/>
      <c r="Q337" s="74"/>
      <c r="R337" s="74"/>
      <c r="S337" s="74"/>
      <c r="T337" s="74"/>
      <c r="U337" s="74"/>
      <c r="V337" s="74"/>
      <c r="W337" s="74"/>
      <c r="X337" s="74"/>
      <c r="Y337" s="74"/>
      <c r="Z337" s="74"/>
    </row>
    <row r="338" spans="1:26" x14ac:dyDescent="0.3">
      <c r="A338" s="66">
        <f t="shared" si="32"/>
        <v>2023.0999999999699</v>
      </c>
      <c r="B338" s="67">
        <f>LOOKUP(A338+0.01,AmountsB!$A$4:$A$103,AmountsB!$B$4:$B$103)*0.1*$A$2</f>
        <v>0</v>
      </c>
      <c r="C338" s="68">
        <f t="shared" si="37"/>
        <v>83655.233518999943</v>
      </c>
      <c r="D338" s="67">
        <f t="array" ref="D338">SUM($B$7:$B333*$F$1009*EXP(-$F$1009*($A338-$A$7:$A333)))*$F$1010</f>
        <v>6173596.5113263596</v>
      </c>
      <c r="E338" s="67">
        <f t="shared" si="35"/>
        <v>11.76941674336782</v>
      </c>
      <c r="F338" s="70">
        <f t="shared" si="33"/>
        <v>0.71463898465729403</v>
      </c>
      <c r="G338" s="67">
        <f>E338/'Lookup Tables'!$C$48</f>
        <v>23.538833486735641</v>
      </c>
      <c r="H338" s="70">
        <f t="shared" si="36"/>
        <v>7.3946424869032829E-2</v>
      </c>
      <c r="I338" s="71">
        <f t="shared" si="34"/>
        <v>3.3895920220899323E-2</v>
      </c>
      <c r="L338" s="74"/>
      <c r="M338" s="74"/>
      <c r="N338" s="74"/>
      <c r="O338" s="74"/>
      <c r="P338" s="74"/>
      <c r="Q338" s="74"/>
      <c r="R338" s="74"/>
      <c r="S338" s="74"/>
      <c r="T338" s="74"/>
      <c r="U338" s="74"/>
      <c r="V338" s="74"/>
      <c r="W338" s="74"/>
      <c r="X338" s="74"/>
      <c r="Y338" s="74"/>
      <c r="Z338" s="74"/>
    </row>
    <row r="339" spans="1:26" x14ac:dyDescent="0.3">
      <c r="A339" s="66">
        <f t="shared" ref="A339:A402" si="38">A338+0.1</f>
        <v>2023.1999999999698</v>
      </c>
      <c r="B339" s="67">
        <f>LOOKUP(A339+0.01,AmountsB!$A$4:$A$103,AmountsB!$B$4:$B$103)*0.1*$A$2</f>
        <v>0</v>
      </c>
      <c r="C339" s="68">
        <f t="shared" si="37"/>
        <v>83655.233518999943</v>
      </c>
      <c r="D339" s="67">
        <f t="array" ref="D339">SUM($B$7:$B334*$F$1009*EXP(-$F$1009*($A339-$A$7:$A334)))*$F$1010</f>
        <v>6164959.5235126875</v>
      </c>
      <c r="E339" s="67">
        <f t="shared" si="35"/>
        <v>11.752951088574864</v>
      </c>
      <c r="F339" s="70">
        <f t="shared" ref="F339:F402" si="39">E339*60*1012/1000000</f>
        <v>0.71363919009826582</v>
      </c>
      <c r="G339" s="67">
        <f>E339/'Lookup Tables'!$C$48</f>
        <v>23.505902177149729</v>
      </c>
      <c r="H339" s="70">
        <f t="shared" si="36"/>
        <v>7.3842972307906304E-2</v>
      </c>
      <c r="I339" s="71">
        <f t="shared" ref="I339:I402" si="40">G339*60*24/1000000</f>
        <v>3.3848499135095612E-2</v>
      </c>
      <c r="L339" s="74"/>
      <c r="M339" s="74"/>
      <c r="N339" s="74"/>
      <c r="O339" s="74"/>
      <c r="P339" s="74"/>
      <c r="Q339" s="74"/>
      <c r="R339" s="74"/>
      <c r="S339" s="74"/>
      <c r="T339" s="74"/>
      <c r="U339" s="74"/>
      <c r="V339" s="74"/>
      <c r="W339" s="74"/>
      <c r="X339" s="74"/>
      <c r="Y339" s="74"/>
      <c r="Z339" s="74"/>
    </row>
    <row r="340" spans="1:26" x14ac:dyDescent="0.3">
      <c r="A340" s="66">
        <f t="shared" si="38"/>
        <v>2023.2999999999697</v>
      </c>
      <c r="B340" s="67">
        <f>LOOKUP(A340+0.01,AmountsB!$A$4:$A$103,AmountsB!$B$4:$B$103)*0.1*$A$2</f>
        <v>0</v>
      </c>
      <c r="C340" s="68">
        <f t="shared" si="37"/>
        <v>83655.233518999943</v>
      </c>
      <c r="D340" s="67">
        <f t="array" ref="D340">SUM($B$7:$B335*$F$1009*EXP(-$F$1009*($A340-$A$7:$A335)))*$F$1010</f>
        <v>6156334.619021656</v>
      </c>
      <c r="E340" s="67">
        <f t="shared" si="35"/>
        <v>11.736508469569806</v>
      </c>
      <c r="F340" s="70">
        <f t="shared" si="39"/>
        <v>0.71264079427227867</v>
      </c>
      <c r="G340" s="67">
        <f>E340/'Lookup Tables'!$C$48</f>
        <v>23.473016939139612</v>
      </c>
      <c r="H340" s="70">
        <f t="shared" si="36"/>
        <v>7.373966447902916E-2</v>
      </c>
      <c r="I340" s="71">
        <f t="shared" si="40"/>
        <v>3.3801144392361045E-2</v>
      </c>
      <c r="L340" s="74"/>
      <c r="M340" s="74"/>
      <c r="N340" s="74"/>
      <c r="O340" s="74"/>
      <c r="P340" s="74"/>
      <c r="Q340" s="74"/>
      <c r="R340" s="74"/>
      <c r="S340" s="74"/>
      <c r="T340" s="74"/>
      <c r="U340" s="74"/>
      <c r="V340" s="74"/>
      <c r="W340" s="74"/>
      <c r="X340" s="74"/>
      <c r="Y340" s="74"/>
      <c r="Z340" s="74"/>
    </row>
    <row r="341" spans="1:26" x14ac:dyDescent="0.3">
      <c r="A341" s="66">
        <f t="shared" si="38"/>
        <v>2023.3999999999696</v>
      </c>
      <c r="B341" s="67">
        <f>LOOKUP(A341+0.01,AmountsB!$A$4:$A$103,AmountsB!$B$4:$B$103)*0.1*$A$2</f>
        <v>0</v>
      </c>
      <c r="C341" s="68">
        <f t="shared" si="37"/>
        <v>83655.233518999943</v>
      </c>
      <c r="D341" s="67">
        <f t="array" ref="D341">SUM($B$7:$B336*$F$1009*EXP(-$F$1009*($A341-$A$7:$A336)))*$F$1010</f>
        <v>6147721.7809484489</v>
      </c>
      <c r="E341" s="67">
        <f t="shared" si="35"/>
        <v>11.720088854125107</v>
      </c>
      <c r="F341" s="70">
        <f t="shared" si="39"/>
        <v>0.71164379522247656</v>
      </c>
      <c r="G341" s="67">
        <f>E341/'Lookup Tables'!$C$48</f>
        <v>23.440177708250214</v>
      </c>
      <c r="H341" s="70">
        <f t="shared" si="36"/>
        <v>7.3636501179918018E-2</v>
      </c>
      <c r="I341" s="71">
        <f t="shared" si="40"/>
        <v>3.3753855899880315E-2</v>
      </c>
      <c r="L341" s="74"/>
      <c r="M341" s="74"/>
      <c r="N341" s="74"/>
      <c r="O341" s="74"/>
      <c r="P341" s="74"/>
      <c r="Q341" s="74"/>
      <c r="R341" s="74"/>
      <c r="S341" s="74"/>
      <c r="T341" s="74"/>
      <c r="U341" s="74"/>
      <c r="V341" s="74"/>
      <c r="W341" s="74"/>
      <c r="X341" s="74"/>
      <c r="Y341" s="74"/>
      <c r="Z341" s="74"/>
    </row>
    <row r="342" spans="1:26" x14ac:dyDescent="0.3">
      <c r="A342" s="66">
        <f t="shared" si="38"/>
        <v>2023.4999999999695</v>
      </c>
      <c r="B342" s="67">
        <f>LOOKUP(A342+0.01,AmountsB!$A$4:$A$103,AmountsB!$B$4:$B$103)*0.1*$A$2</f>
        <v>0</v>
      </c>
      <c r="C342" s="68">
        <f t="shared" si="37"/>
        <v>83655.233518999943</v>
      </c>
      <c r="D342" s="67">
        <f t="array" ref="D342">SUM($B$7:$B337*$F$1009*EXP(-$F$1009*($A342-$A$7:$A337)))*$F$1010</f>
        <v>6139120.9924119022</v>
      </c>
      <c r="E342" s="67">
        <f t="shared" si="35"/>
        <v>11.703692210058316</v>
      </c>
      <c r="F342" s="70">
        <f t="shared" si="39"/>
        <v>0.71064819099474097</v>
      </c>
      <c r="G342" s="67">
        <f>E342/'Lookup Tables'!$C$48</f>
        <v>23.407384420116632</v>
      </c>
      <c r="H342" s="70">
        <f t="shared" si="36"/>
        <v>7.3533482208372761E-2</v>
      </c>
      <c r="I342" s="71">
        <f t="shared" si="40"/>
        <v>3.3706633564967954E-2</v>
      </c>
      <c r="L342" s="74"/>
      <c r="M342" s="74"/>
      <c r="N342" s="74"/>
      <c r="O342" s="74"/>
      <c r="P342" s="74"/>
      <c r="Q342" s="74"/>
      <c r="R342" s="74"/>
      <c r="S342" s="74"/>
      <c r="T342" s="74"/>
      <c r="U342" s="74"/>
      <c r="V342" s="74"/>
      <c r="W342" s="74"/>
      <c r="X342" s="74"/>
      <c r="Y342" s="74"/>
      <c r="Z342" s="74"/>
    </row>
    <row r="343" spans="1:26" x14ac:dyDescent="0.3">
      <c r="A343" s="66">
        <f t="shared" si="38"/>
        <v>2023.5999999999694</v>
      </c>
      <c r="B343" s="67">
        <f>LOOKUP(A343+0.01,AmountsB!$A$4:$A$103,AmountsB!$B$4:$B$103)*0.1*$A$2</f>
        <v>0</v>
      </c>
      <c r="C343" s="68">
        <f t="shared" si="37"/>
        <v>83655.233518999943</v>
      </c>
      <c r="D343" s="67">
        <f t="array" ref="D343">SUM($B$7:$B338*$F$1009*EXP(-$F$1009*($A343-$A$7:$A338)))*$F$1010</f>
        <v>6130532.2365544634</v>
      </c>
      <c r="E343" s="67">
        <f t="shared" si="35"/>
        <v>11.687318505231998</v>
      </c>
      <c r="F343" s="70">
        <f t="shared" si="39"/>
        <v>0.70965397963768695</v>
      </c>
      <c r="G343" s="67">
        <f>E343/'Lookup Tables'!$C$48</f>
        <v>23.374637010463996</v>
      </c>
      <c r="H343" s="70">
        <f t="shared" si="36"/>
        <v>7.3430607362476141E-2</v>
      </c>
      <c r="I343" s="71">
        <f t="shared" si="40"/>
        <v>3.3659477295068158E-2</v>
      </c>
      <c r="L343" s="74"/>
      <c r="M343" s="74"/>
      <c r="N343" s="74"/>
      <c r="O343" s="74"/>
      <c r="P343" s="74"/>
      <c r="Q343" s="74"/>
      <c r="R343" s="74"/>
      <c r="S343" s="74"/>
      <c r="T343" s="74"/>
      <c r="U343" s="74"/>
      <c r="V343" s="74"/>
      <c r="W343" s="74"/>
      <c r="X343" s="74"/>
      <c r="Y343" s="74"/>
      <c r="Z343" s="74"/>
    </row>
    <row r="344" spans="1:26" x14ac:dyDescent="0.3">
      <c r="A344" s="66">
        <f t="shared" si="38"/>
        <v>2023.6999999999694</v>
      </c>
      <c r="B344" s="67">
        <f>LOOKUP(A344+0.01,AmountsB!$A$4:$A$103,AmountsB!$B$4:$B$103)*0.1*$A$2</f>
        <v>0</v>
      </c>
      <c r="C344" s="68">
        <f t="shared" si="37"/>
        <v>83655.233518999943</v>
      </c>
      <c r="D344" s="67">
        <f t="array" ref="D344">SUM($B$7:$B339*$F$1009*EXP(-$F$1009*($A344-$A$7:$A339)))*$F$1010</f>
        <v>6121955.4965421725</v>
      </c>
      <c r="E344" s="67">
        <f t="shared" si="35"/>
        <v>11.670967707553695</v>
      </c>
      <c r="F344" s="70">
        <f t="shared" si="39"/>
        <v>0.70866115920266026</v>
      </c>
      <c r="G344" s="67">
        <f>E344/'Lookup Tables'!$C$48</f>
        <v>23.34193541510739</v>
      </c>
      <c r="H344" s="70">
        <f t="shared" si="36"/>
        <v>7.3327876440593479E-2</v>
      </c>
      <c r="I344" s="71">
        <f t="shared" si="40"/>
        <v>3.3612386997754644E-2</v>
      </c>
      <c r="L344" s="74"/>
      <c r="M344" s="74"/>
      <c r="N344" s="74"/>
      <c r="O344" s="74"/>
      <c r="P344" s="74"/>
      <c r="Q344" s="74"/>
      <c r="R344" s="74"/>
      <c r="S344" s="74"/>
      <c r="T344" s="74"/>
      <c r="U344" s="74"/>
      <c r="V344" s="74"/>
      <c r="W344" s="74"/>
      <c r="X344" s="74"/>
      <c r="Y344" s="74"/>
      <c r="Z344" s="74"/>
    </row>
    <row r="345" spans="1:26" x14ac:dyDescent="0.3">
      <c r="A345" s="66">
        <f t="shared" si="38"/>
        <v>2023.7999999999693</v>
      </c>
      <c r="B345" s="67">
        <f>LOOKUP(A345+0.01,AmountsB!$A$4:$A$103,AmountsB!$B$4:$B$103)*0.1*$A$2</f>
        <v>0</v>
      </c>
      <c r="C345" s="68">
        <f t="shared" si="37"/>
        <v>83655.233518999943</v>
      </c>
      <c r="D345" s="67">
        <f t="array" ref="D345">SUM($B$7:$B340*$F$1009*EXP(-$F$1009*($A345-$A$7:$A340)))*$F$1010</f>
        <v>6113390.7555646133</v>
      </c>
      <c r="E345" s="67">
        <f t="shared" si="35"/>
        <v>11.654639784975835</v>
      </c>
      <c r="F345" s="70">
        <f t="shared" si="39"/>
        <v>0.7076697277437326</v>
      </c>
      <c r="G345" s="67">
        <f>E345/'Lookup Tables'!$C$48</f>
        <v>23.30927956995167</v>
      </c>
      <c r="H345" s="70">
        <f t="shared" si="36"/>
        <v>7.3225289241372116E-2</v>
      </c>
      <c r="I345" s="71">
        <f t="shared" si="40"/>
        <v>3.3565362580730403E-2</v>
      </c>
      <c r="L345" s="74"/>
      <c r="M345" s="74"/>
      <c r="N345" s="74"/>
      <c r="O345" s="74"/>
      <c r="P345" s="74"/>
      <c r="Q345" s="74"/>
      <c r="R345" s="74"/>
      <c r="S345" s="74"/>
      <c r="T345" s="74"/>
      <c r="U345" s="74"/>
      <c r="V345" s="74"/>
      <c r="W345" s="74"/>
      <c r="X345" s="74"/>
      <c r="Y345" s="74"/>
      <c r="Z345" s="74"/>
    </row>
    <row r="346" spans="1:26" x14ac:dyDescent="0.3">
      <c r="A346" s="66">
        <f t="shared" si="38"/>
        <v>2023.8999999999692</v>
      </c>
      <c r="B346" s="67">
        <f>LOOKUP(A346+0.01,AmountsB!$A$4:$A$103,AmountsB!$B$4:$B$103)*0.1*$A$2</f>
        <v>0</v>
      </c>
      <c r="C346" s="68">
        <f t="shared" si="37"/>
        <v>83655.233518999943</v>
      </c>
      <c r="D346" s="67">
        <f t="array" ref="D346">SUM($B$7:$B341*$F$1009*EXP(-$F$1009*($A346-$A$7:$A341)))*$F$1010</f>
        <v>6104837.9968348918</v>
      </c>
      <c r="E346" s="67">
        <f t="shared" si="35"/>
        <v>11.638334705495682</v>
      </c>
      <c r="F346" s="70">
        <f t="shared" si="39"/>
        <v>0.70667968331769782</v>
      </c>
      <c r="G346" s="67">
        <f>E346/'Lookup Tables'!$C$48</f>
        <v>23.276669410991364</v>
      </c>
      <c r="H346" s="70">
        <f t="shared" si="36"/>
        <v>7.3122845563741101E-2</v>
      </c>
      <c r="I346" s="71">
        <f t="shared" si="40"/>
        <v>3.351840395182757E-2</v>
      </c>
      <c r="L346" s="74"/>
      <c r="M346" s="74"/>
      <c r="N346" s="74"/>
      <c r="O346" s="74"/>
      <c r="P346" s="74"/>
      <c r="Q346" s="74"/>
      <c r="R346" s="74"/>
      <c r="S346" s="74"/>
      <c r="T346" s="74"/>
      <c r="U346" s="74"/>
      <c r="V346" s="74"/>
      <c r="W346" s="74"/>
      <c r="X346" s="74"/>
      <c r="Y346" s="74"/>
      <c r="Z346" s="74"/>
    </row>
    <row r="347" spans="1:26" x14ac:dyDescent="0.3">
      <c r="A347" s="66">
        <f t="shared" si="38"/>
        <v>2023.9999999999691</v>
      </c>
      <c r="B347" s="67">
        <f>LOOKUP(A347+0.01,AmountsB!$A$4:$A$103,AmountsB!$B$4:$B$103)*0.1*$A$2</f>
        <v>0</v>
      </c>
      <c r="C347" s="68">
        <f t="shared" si="37"/>
        <v>83655.233518999943</v>
      </c>
      <c r="D347" s="67">
        <f t="array" ref="D347">SUM($B$7:$B342*$F$1009*EXP(-$F$1009*($A347-$A$7:$A342)))*$F$1010</f>
        <v>6096297.2035895977</v>
      </c>
      <c r="E347" s="67">
        <f t="shared" si="35"/>
        <v>11.622052437155276</v>
      </c>
      <c r="F347" s="70">
        <f t="shared" si="39"/>
        <v>0.70569102398406836</v>
      </c>
      <c r="G347" s="67">
        <f>E347/'Lookup Tables'!$C$48</f>
        <v>23.244104874310551</v>
      </c>
      <c r="H347" s="70">
        <f t="shared" si="36"/>
        <v>7.3020545206910772E-2</v>
      </c>
      <c r="I347" s="71">
        <f t="shared" si="40"/>
        <v>3.3471511019007194E-2</v>
      </c>
      <c r="L347" s="74"/>
      <c r="M347" s="74"/>
      <c r="N347" s="74"/>
      <c r="O347" s="74"/>
      <c r="P347" s="74"/>
      <c r="Q347" s="74"/>
      <c r="R347" s="74"/>
      <c r="S347" s="74"/>
      <c r="T347" s="74"/>
      <c r="U347" s="74"/>
      <c r="V347" s="74"/>
      <c r="W347" s="74"/>
      <c r="X347" s="74"/>
      <c r="Y347" s="74"/>
      <c r="Z347" s="74"/>
    </row>
    <row r="348" spans="1:26" x14ac:dyDescent="0.3">
      <c r="A348" s="66">
        <f t="shared" si="38"/>
        <v>2024.099999999969</v>
      </c>
      <c r="B348" s="67">
        <f>LOOKUP(A348+0.01,AmountsB!$A$4:$A$103,AmountsB!$B$4:$B$103)*0.1*$A$2</f>
        <v>0</v>
      </c>
      <c r="C348" s="68">
        <f t="shared" si="37"/>
        <v>83655.233518999943</v>
      </c>
      <c r="D348" s="67">
        <f t="array" ref="D348">SUM($B$7:$B343*$F$1009*EXP(-$F$1009*($A348-$A$7:$A343)))*$F$1010</f>
        <v>6087768.3590887748</v>
      </c>
      <c r="E348" s="67">
        <f t="shared" si="35"/>
        <v>11.605792948041369</v>
      </c>
      <c r="F348" s="70">
        <f t="shared" si="39"/>
        <v>0.70470374780507183</v>
      </c>
      <c r="G348" s="67">
        <f>E348/'Lookup Tables'!$C$48</f>
        <v>23.211585896082738</v>
      </c>
      <c r="H348" s="70">
        <f t="shared" si="36"/>
        <v>7.291838797037245E-2</v>
      </c>
      <c r="I348" s="71">
        <f t="shared" si="40"/>
        <v>3.3424683690359148E-2</v>
      </c>
      <c r="L348" s="74"/>
      <c r="M348" s="74"/>
      <c r="N348" s="74"/>
      <c r="O348" s="74"/>
      <c r="P348" s="74"/>
      <c r="Q348" s="74"/>
      <c r="R348" s="74"/>
      <c r="S348" s="74"/>
      <c r="T348" s="74"/>
      <c r="U348" s="74"/>
      <c r="V348" s="74"/>
      <c r="W348" s="74"/>
      <c r="X348" s="74"/>
      <c r="Y348" s="74"/>
      <c r="Z348" s="74"/>
    </row>
    <row r="349" spans="1:26" x14ac:dyDescent="0.3">
      <c r="A349" s="66">
        <f t="shared" si="38"/>
        <v>2024.1999999999689</v>
      </c>
      <c r="B349" s="67">
        <f>LOOKUP(A349+0.01,AmountsB!$A$4:$A$103,AmountsB!$B$4:$B$103)*0.1*$A$2</f>
        <v>0</v>
      </c>
      <c r="C349" s="68">
        <f t="shared" si="37"/>
        <v>83655.233518999943</v>
      </c>
      <c r="D349" s="67">
        <f t="array" ref="D349">SUM($B$7:$B344*$F$1009*EXP(-$F$1009*($A349-$A$7:$A344)))*$F$1010</f>
        <v>6079251.446615885</v>
      </c>
      <c r="E349" s="67">
        <f t="shared" si="35"/>
        <v>11.589556206285357</v>
      </c>
      <c r="F349" s="70">
        <f t="shared" si="39"/>
        <v>0.70371785284564692</v>
      </c>
      <c r="G349" s="67">
        <f>E349/'Lookup Tables'!$C$48</f>
        <v>23.179112412570714</v>
      </c>
      <c r="H349" s="70">
        <f t="shared" si="36"/>
        <v>7.2816373653897884E-2</v>
      </c>
      <c r="I349" s="71">
        <f t="shared" si="40"/>
        <v>3.3377921874101824E-2</v>
      </c>
      <c r="L349" s="74"/>
      <c r="M349" s="74"/>
      <c r="N349" s="74"/>
      <c r="O349" s="74"/>
      <c r="P349" s="74"/>
      <c r="Q349" s="74"/>
      <c r="R349" s="74"/>
      <c r="S349" s="74"/>
      <c r="T349" s="74"/>
      <c r="U349" s="74"/>
      <c r="V349" s="74"/>
      <c r="W349" s="74"/>
      <c r="X349" s="74"/>
      <c r="Y349" s="74"/>
      <c r="Z349" s="74"/>
    </row>
    <row r="350" spans="1:26" x14ac:dyDescent="0.3">
      <c r="A350" s="66">
        <f t="shared" si="38"/>
        <v>2024.2999999999688</v>
      </c>
      <c r="B350" s="67">
        <f>LOOKUP(A350+0.01,AmountsB!$A$4:$A$103,AmountsB!$B$4:$B$103)*0.1*$A$2</f>
        <v>0</v>
      </c>
      <c r="C350" s="68">
        <f t="shared" si="37"/>
        <v>83655.233518999943</v>
      </c>
      <c r="D350" s="67">
        <f t="array" ref="D350">SUM($B$7:$B345*$F$1009*EXP(-$F$1009*($A350-$A$7:$A345)))*$F$1010</f>
        <v>6070746.4494777787</v>
      </c>
      <c r="E350" s="67">
        <f t="shared" si="35"/>
        <v>11.573342180063223</v>
      </c>
      <c r="F350" s="70">
        <f t="shared" si="39"/>
        <v>0.70273333717343889</v>
      </c>
      <c r="G350" s="67">
        <f>E350/'Lookup Tables'!$C$48</f>
        <v>23.146684360126446</v>
      </c>
      <c r="H350" s="70">
        <f t="shared" si="36"/>
        <v>7.2714502057539043E-2</v>
      </c>
      <c r="I350" s="71">
        <f t="shared" si="40"/>
        <v>3.3331225478582083E-2</v>
      </c>
      <c r="L350" s="74"/>
      <c r="M350" s="74"/>
      <c r="N350" s="74"/>
      <c r="O350" s="74"/>
      <c r="P350" s="74"/>
      <c r="Q350" s="74"/>
      <c r="R350" s="74"/>
      <c r="S350" s="74"/>
      <c r="T350" s="74"/>
      <c r="U350" s="74"/>
      <c r="V350" s="74"/>
      <c r="W350" s="74"/>
      <c r="X350" s="74"/>
      <c r="Y350" s="74"/>
      <c r="Z350" s="74"/>
    </row>
    <row r="351" spans="1:26" x14ac:dyDescent="0.3">
      <c r="A351" s="66">
        <f t="shared" si="38"/>
        <v>2024.3999999999687</v>
      </c>
      <c r="B351" s="67">
        <f>LOOKUP(A351+0.01,AmountsB!$A$4:$A$103,AmountsB!$B$4:$B$103)*0.1*$A$2</f>
        <v>0</v>
      </c>
      <c r="C351" s="68">
        <f t="shared" si="37"/>
        <v>83655.233518999943</v>
      </c>
      <c r="D351" s="67">
        <f t="array" ref="D351">SUM($B$7:$B346*$F$1009*EXP(-$F$1009*($A351-$A$7:$A346)))*$F$1010</f>
        <v>6062253.3510046536</v>
      </c>
      <c r="E351" s="67">
        <f t="shared" si="35"/>
        <v>11.55715083759546</v>
      </c>
      <c r="F351" s="70">
        <f t="shared" si="39"/>
        <v>0.7017501988587963</v>
      </c>
      <c r="G351" s="67">
        <f>E351/'Lookup Tables'!$C$48</f>
        <v>23.114301675190919</v>
      </c>
      <c r="H351" s="70">
        <f t="shared" si="36"/>
        <v>7.2612772981627424E-2</v>
      </c>
      <c r="I351" s="71">
        <f t="shared" si="40"/>
        <v>3.3284594412274923E-2</v>
      </c>
      <c r="L351" s="74"/>
      <c r="M351" s="74"/>
      <c r="N351" s="74"/>
      <c r="O351" s="74"/>
      <c r="P351" s="74"/>
      <c r="Q351" s="74"/>
      <c r="R351" s="74"/>
      <c r="S351" s="74"/>
      <c r="T351" s="74"/>
      <c r="U351" s="74"/>
      <c r="V351" s="74"/>
      <c r="W351" s="74"/>
      <c r="X351" s="74"/>
      <c r="Y351" s="74"/>
      <c r="Z351" s="74"/>
    </row>
    <row r="352" spans="1:26" x14ac:dyDescent="0.3">
      <c r="A352" s="66">
        <f t="shared" si="38"/>
        <v>2024.4999999999686</v>
      </c>
      <c r="B352" s="67">
        <f>LOOKUP(A352+0.01,AmountsB!$A$4:$A$103,AmountsB!$B$4:$B$103)*0.1*$A$2</f>
        <v>0</v>
      </c>
      <c r="C352" s="68">
        <f t="shared" si="37"/>
        <v>83655.233518999943</v>
      </c>
      <c r="D352" s="67">
        <f t="array" ref="D352">SUM($B$7:$B347*$F$1009*EXP(-$F$1009*($A352-$A$7:$A347)))*$F$1010</f>
        <v>6053772.1345500387</v>
      </c>
      <c r="E352" s="67">
        <f t="shared" si="35"/>
        <v>11.540982147147041</v>
      </c>
      <c r="F352" s="70">
        <f t="shared" si="39"/>
        <v>0.70076843597476823</v>
      </c>
      <c r="G352" s="67">
        <f>E352/'Lookup Tables'!$C$48</f>
        <v>23.081964294294082</v>
      </c>
      <c r="H352" s="70">
        <f t="shared" si="36"/>
        <v>7.2511186226774146E-2</v>
      </c>
      <c r="I352" s="71">
        <f t="shared" si="40"/>
        <v>3.3238028583783476E-2</v>
      </c>
      <c r="L352" s="74"/>
      <c r="M352" s="74"/>
      <c r="N352" s="74"/>
      <c r="O352" s="74"/>
      <c r="P352" s="74"/>
      <c r="Q352" s="74"/>
      <c r="R352" s="74"/>
      <c r="S352" s="74"/>
      <c r="T352" s="74"/>
      <c r="U352" s="74"/>
      <c r="V352" s="74"/>
      <c r="W352" s="74"/>
      <c r="X352" s="74"/>
      <c r="Y352" s="74"/>
      <c r="Z352" s="74"/>
    </row>
    <row r="353" spans="1:26" x14ac:dyDescent="0.3">
      <c r="A353" s="66">
        <f t="shared" si="38"/>
        <v>2024.5999999999685</v>
      </c>
      <c r="B353" s="67">
        <f>LOOKUP(A353+0.01,AmountsB!$A$4:$A$103,AmountsB!$B$4:$B$103)*0.1*$A$2</f>
        <v>0</v>
      </c>
      <c r="C353" s="68">
        <f t="shared" si="37"/>
        <v>83655.233518999943</v>
      </c>
      <c r="D353" s="67">
        <f t="array" ref="D353">SUM($B$7:$B348*$F$1009*EXP(-$F$1009*($A353-$A$7:$A348)))*$F$1010</f>
        <v>6045302.7834907444</v>
      </c>
      <c r="E353" s="67">
        <f t="shared" si="35"/>
        <v>11.524836077027324</v>
      </c>
      <c r="F353" s="70">
        <f t="shared" si="39"/>
        <v>0.69978804659709914</v>
      </c>
      <c r="G353" s="67">
        <f>E353/'Lookup Tables'!$C$48</f>
        <v>23.049672154054647</v>
      </c>
      <c r="H353" s="70">
        <f t="shared" si="36"/>
        <v>7.2409741593869079E-2</v>
      </c>
      <c r="I353" s="71">
        <f t="shared" si="40"/>
        <v>3.3191527901838692E-2</v>
      </c>
      <c r="L353" s="74"/>
      <c r="M353" s="74"/>
      <c r="N353" s="74"/>
      <c r="O353" s="74"/>
      <c r="P353" s="74"/>
      <c r="Q353" s="74"/>
      <c r="R353" s="74"/>
      <c r="S353" s="74"/>
      <c r="T353" s="74"/>
      <c r="U353" s="74"/>
      <c r="V353" s="74"/>
      <c r="W353" s="74"/>
      <c r="X353" s="74"/>
      <c r="Y353" s="74"/>
      <c r="Z353" s="74"/>
    </row>
    <row r="354" spans="1:26" x14ac:dyDescent="0.3">
      <c r="A354" s="66">
        <f t="shared" si="38"/>
        <v>2024.6999999999684</v>
      </c>
      <c r="B354" s="67">
        <f>LOOKUP(A354+0.01,AmountsB!$A$4:$A$103,AmountsB!$B$4:$B$103)*0.1*$A$2</f>
        <v>0</v>
      </c>
      <c r="C354" s="68">
        <f t="shared" si="37"/>
        <v>83655.233518999943</v>
      </c>
      <c r="D354" s="67">
        <f t="array" ref="D354">SUM($B$7:$B349*$F$1009*EXP(-$F$1009*($A354-$A$7:$A349)))*$F$1010</f>
        <v>6036845.2812268408</v>
      </c>
      <c r="E354" s="67">
        <f t="shared" si="35"/>
        <v>11.508712595590007</v>
      </c>
      <c r="F354" s="70">
        <f t="shared" si="39"/>
        <v>0.69880902880422524</v>
      </c>
      <c r="G354" s="67">
        <f>E354/'Lookup Tables'!$C$48</f>
        <v>23.017425191180013</v>
      </c>
      <c r="H354" s="70">
        <f t="shared" si="36"/>
        <v>7.23084388840807E-2</v>
      </c>
      <c r="I354" s="71">
        <f t="shared" si="40"/>
        <v>3.3145092275299222E-2</v>
      </c>
      <c r="L354" s="74"/>
      <c r="M354" s="74"/>
      <c r="N354" s="74"/>
      <c r="O354" s="74"/>
      <c r="P354" s="74"/>
      <c r="Q354" s="74"/>
      <c r="R354" s="74"/>
      <c r="S354" s="74"/>
      <c r="T354" s="74"/>
      <c r="U354" s="74"/>
      <c r="V354" s="74"/>
      <c r="W354" s="74"/>
      <c r="X354" s="74"/>
      <c r="Y354" s="74"/>
      <c r="Z354" s="74"/>
    </row>
    <row r="355" spans="1:26" x14ac:dyDescent="0.3">
      <c r="A355" s="66">
        <f t="shared" si="38"/>
        <v>2024.7999999999683</v>
      </c>
      <c r="B355" s="67">
        <f>LOOKUP(A355+0.01,AmountsB!$A$4:$A$103,AmountsB!$B$4:$B$103)*0.1*$A$2</f>
        <v>0</v>
      </c>
      <c r="C355" s="68">
        <f t="shared" si="37"/>
        <v>83655.233518999943</v>
      </c>
      <c r="D355" s="67">
        <f t="array" ref="D355">SUM($B$7:$B350*$F$1009*EXP(-$F$1009*($A355-$A$7:$A350)))*$F$1010</f>
        <v>6028399.6111816214</v>
      </c>
      <c r="E355" s="67">
        <f t="shared" si="35"/>
        <v>11.49261167123306</v>
      </c>
      <c r="F355" s="70">
        <f t="shared" si="39"/>
        <v>0.69783138067727157</v>
      </c>
      <c r="G355" s="67">
        <f>E355/'Lookup Tables'!$C$48</f>
        <v>22.985223342466121</v>
      </c>
      <c r="H355" s="70">
        <f t="shared" si="36"/>
        <v>7.2207277898855698E-2</v>
      </c>
      <c r="I355" s="71">
        <f t="shared" si="40"/>
        <v>3.3098721613151215E-2</v>
      </c>
      <c r="L355" s="74"/>
      <c r="M355" s="74"/>
      <c r="N355" s="74"/>
      <c r="O355" s="74"/>
      <c r="P355" s="74"/>
      <c r="Q355" s="74"/>
      <c r="R355" s="74"/>
      <c r="S355" s="74"/>
      <c r="T355" s="74"/>
      <c r="U355" s="74"/>
      <c r="V355" s="74"/>
      <c r="W355" s="74"/>
      <c r="X355" s="74"/>
      <c r="Y355" s="74"/>
      <c r="Z355" s="74"/>
    </row>
    <row r="356" spans="1:26" x14ac:dyDescent="0.3">
      <c r="A356" s="66">
        <f t="shared" si="38"/>
        <v>2024.8999999999683</v>
      </c>
      <c r="B356" s="67">
        <f>LOOKUP(A356+0.01,AmountsB!$A$4:$A$103,AmountsB!$B$4:$B$103)*0.1*$A$2</f>
        <v>0</v>
      </c>
      <c r="C356" s="68">
        <f t="shared" si="37"/>
        <v>83655.233518999943</v>
      </c>
      <c r="D356" s="67">
        <f t="array" ref="D356">SUM($B$7:$B351*$F$1009*EXP(-$F$1009*($A356-$A$7:$A351)))*$F$1010</f>
        <v>6019965.7568015689</v>
      </c>
      <c r="E356" s="67">
        <f t="shared" si="35"/>
        <v>11.476533272398671</v>
      </c>
      <c r="F356" s="70">
        <f t="shared" si="39"/>
        <v>0.69685510030004716</v>
      </c>
      <c r="G356" s="67">
        <f>E356/'Lookup Tables'!$C$48</f>
        <v>22.953066544797341</v>
      </c>
      <c r="H356" s="70">
        <f t="shared" si="36"/>
        <v>7.2106258439918483E-2</v>
      </c>
      <c r="I356" s="71">
        <f t="shared" si="40"/>
        <v>3.3052415824508172E-2</v>
      </c>
      <c r="L356" s="74"/>
      <c r="M356" s="74"/>
      <c r="N356" s="74"/>
      <c r="O356" s="74"/>
      <c r="P356" s="74"/>
      <c r="Q356" s="74"/>
      <c r="R356" s="74"/>
      <c r="S356" s="74"/>
      <c r="T356" s="74"/>
      <c r="U356" s="74"/>
      <c r="V356" s="74"/>
      <c r="W356" s="74"/>
      <c r="X356" s="74"/>
      <c r="Y356" s="74"/>
      <c r="Z356" s="74"/>
    </row>
    <row r="357" spans="1:26" x14ac:dyDescent="0.3">
      <c r="A357" s="66">
        <f t="shared" si="38"/>
        <v>2024.9999999999682</v>
      </c>
      <c r="B357" s="67">
        <f>LOOKUP(A357+0.01,AmountsB!$A$4:$A$103,AmountsB!$B$4:$B$103)*0.1*$A$2</f>
        <v>0</v>
      </c>
      <c r="C357" s="68">
        <f t="shared" si="37"/>
        <v>83655.233518999943</v>
      </c>
      <c r="D357" s="67">
        <f t="array" ref="D357">SUM($B$7:$B352*$F$1009*EXP(-$F$1009*($A357-$A$7:$A352)))*$F$1010</f>
        <v>6011543.7015563296</v>
      </c>
      <c r="E357" s="67">
        <f t="shared" si="35"/>
        <v>11.460477367573171</v>
      </c>
      <c r="F357" s="70">
        <f t="shared" si="39"/>
        <v>0.69588018575904298</v>
      </c>
      <c r="G357" s="67">
        <f>E357/'Lookup Tables'!$C$48</f>
        <v>22.920954735146342</v>
      </c>
      <c r="H357" s="70">
        <f t="shared" si="36"/>
        <v>7.2005380309270922E-2</v>
      </c>
      <c r="I357" s="71">
        <f t="shared" si="40"/>
        <v>3.3006174818610734E-2</v>
      </c>
      <c r="L357" s="74"/>
      <c r="M357" s="74"/>
      <c r="N357" s="74"/>
      <c r="O357" s="74"/>
      <c r="P357" s="74"/>
      <c r="Q357" s="74"/>
      <c r="R357" s="74"/>
      <c r="S357" s="74"/>
      <c r="T357" s="74"/>
      <c r="U357" s="74"/>
      <c r="V357" s="74"/>
      <c r="W357" s="74"/>
      <c r="X357" s="74"/>
      <c r="Y357" s="74"/>
      <c r="Z357" s="74"/>
    </row>
    <row r="358" spans="1:26" x14ac:dyDescent="0.3">
      <c r="A358" s="66">
        <f t="shared" si="38"/>
        <v>2025.0999999999681</v>
      </c>
      <c r="B358" s="67">
        <f>LOOKUP(A358+0.01,AmountsB!$A$4:$A$103,AmountsB!$B$4:$B$103)*0.1*$A$2</f>
        <v>0</v>
      </c>
      <c r="C358" s="68">
        <f t="shared" si="37"/>
        <v>83655.233518999943</v>
      </c>
      <c r="D358" s="67">
        <f t="array" ref="D358">SUM($B$7:$B353*$F$1009*EXP(-$F$1009*($A358-$A$7:$A353)))*$F$1010</f>
        <v>6003133.4289386673</v>
      </c>
      <c r="E358" s="67">
        <f t="shared" si="35"/>
        <v>11.444443925286976</v>
      </c>
      <c r="F358" s="70">
        <f t="shared" si="39"/>
        <v>0.69490663514342521</v>
      </c>
      <c r="G358" s="67">
        <f>E358/'Lookup Tables'!$C$48</f>
        <v>22.888887850573951</v>
      </c>
      <c r="H358" s="70">
        <f t="shared" si="36"/>
        <v>7.1904643309191774E-2</v>
      </c>
      <c r="I358" s="71">
        <f t="shared" si="40"/>
        <v>3.295999850482649E-2</v>
      </c>
      <c r="L358" s="74"/>
      <c r="M358" s="74"/>
      <c r="N358" s="74"/>
      <c r="O358" s="74"/>
      <c r="P358" s="74"/>
      <c r="Q358" s="74"/>
      <c r="R358" s="74"/>
      <c r="S358" s="74"/>
      <c r="T358" s="74"/>
      <c r="U358" s="74"/>
      <c r="V358" s="74"/>
      <c r="W358" s="74"/>
      <c r="X358" s="74"/>
      <c r="Y358" s="74"/>
      <c r="Z358" s="74"/>
    </row>
    <row r="359" spans="1:26" x14ac:dyDescent="0.3">
      <c r="A359" s="66">
        <f t="shared" si="38"/>
        <v>2025.199999999968</v>
      </c>
      <c r="B359" s="67">
        <f>LOOKUP(A359+0.01,AmountsB!$A$4:$A$103,AmountsB!$B$4:$B$103)*0.1*$A$2</f>
        <v>0</v>
      </c>
      <c r="C359" s="68">
        <f t="shared" si="37"/>
        <v>83655.233518999943</v>
      </c>
      <c r="D359" s="67">
        <f t="array" ref="D359">SUM($B$7:$B354*$F$1009*EXP(-$F$1009*($A359-$A$7:$A354)))*$F$1010</f>
        <v>5994734.9224644499</v>
      </c>
      <c r="E359" s="67">
        <f t="shared" si="35"/>
        <v>11.428432914114543</v>
      </c>
      <c r="F359" s="70">
        <f t="shared" si="39"/>
        <v>0.693934446545035</v>
      </c>
      <c r="G359" s="67">
        <f>E359/'Lookup Tables'!$C$48</f>
        <v>22.856865828229086</v>
      </c>
      <c r="H359" s="70">
        <f t="shared" si="36"/>
        <v>7.1804047242236546E-2</v>
      </c>
      <c r="I359" s="71">
        <f t="shared" si="40"/>
        <v>3.291388679264988E-2</v>
      </c>
      <c r="L359" s="74"/>
      <c r="M359" s="74"/>
      <c r="N359" s="74"/>
      <c r="O359" s="74"/>
      <c r="P359" s="74"/>
      <c r="Q359" s="74"/>
      <c r="R359" s="74"/>
      <c r="S359" s="74"/>
      <c r="T359" s="74"/>
      <c r="U359" s="74"/>
      <c r="V359" s="74"/>
      <c r="W359" s="74"/>
      <c r="X359" s="74"/>
      <c r="Y359" s="74"/>
      <c r="Z359" s="74"/>
    </row>
    <row r="360" spans="1:26" x14ac:dyDescent="0.3">
      <c r="A360" s="66">
        <f t="shared" si="38"/>
        <v>2025.2999999999679</v>
      </c>
      <c r="B360" s="67">
        <f>LOOKUP(A360+0.01,AmountsB!$A$4:$A$103,AmountsB!$B$4:$B$103)*0.1*$A$2</f>
        <v>0</v>
      </c>
      <c r="C360" s="68">
        <f t="shared" si="37"/>
        <v>83655.233518999943</v>
      </c>
      <c r="D360" s="67">
        <f t="array" ref="D360">SUM($B$7:$B355*$F$1009*EXP(-$F$1009*($A360-$A$7:$A355)))*$F$1010</f>
        <v>5986348.1656725993</v>
      </c>
      <c r="E360" s="67">
        <f t="shared" si="35"/>
        <v>11.412444302674281</v>
      </c>
      <c r="F360" s="70">
        <f t="shared" si="39"/>
        <v>0.69296361805838225</v>
      </c>
      <c r="G360" s="67">
        <f>E360/'Lookup Tables'!$C$48</f>
        <v>22.824888605348562</v>
      </c>
      <c r="H360" s="70">
        <f t="shared" si="36"/>
        <v>7.1703591911236944E-2</v>
      </c>
      <c r="I360" s="71">
        <f t="shared" si="40"/>
        <v>3.2867839591701926E-2</v>
      </c>
      <c r="L360" s="74"/>
      <c r="M360" s="74"/>
      <c r="N360" s="74"/>
      <c r="O360" s="74"/>
      <c r="P360" s="74"/>
      <c r="Q360" s="74"/>
      <c r="R360" s="74"/>
      <c r="S360" s="74"/>
      <c r="T360" s="74"/>
      <c r="U360" s="74"/>
      <c r="V360" s="74"/>
      <c r="W360" s="74"/>
      <c r="X360" s="74"/>
      <c r="Y360" s="74"/>
      <c r="Z360" s="74"/>
    </row>
    <row r="361" spans="1:26" x14ac:dyDescent="0.3">
      <c r="A361" s="66">
        <f t="shared" si="38"/>
        <v>2025.3999999999678</v>
      </c>
      <c r="B361" s="67">
        <f>LOOKUP(A361+0.01,AmountsB!$A$4:$A$103,AmountsB!$B$4:$B$103)*0.1*$A$2</f>
        <v>0</v>
      </c>
      <c r="C361" s="68">
        <f t="shared" si="37"/>
        <v>83655.233518999943</v>
      </c>
      <c r="D361" s="67">
        <f t="array" ref="D361">SUM($B$7:$B356*$F$1009*EXP(-$F$1009*($A361-$A$7:$A356)))*$F$1010</f>
        <v>5977973.1421250682</v>
      </c>
      <c r="E361" s="67">
        <f t="shared" si="35"/>
        <v>11.396478059628501</v>
      </c>
      <c r="F361" s="70">
        <f t="shared" si="39"/>
        <v>0.69199414778064261</v>
      </c>
      <c r="G361" s="67">
        <f>E361/'Lookup Tables'!$C$48</f>
        <v>22.792956119257003</v>
      </c>
      <c r="H361" s="70">
        <f t="shared" si="36"/>
        <v>7.160327711930041E-2</v>
      </c>
      <c r="I361" s="71">
        <f t="shared" si="40"/>
        <v>3.2821856811730089E-2</v>
      </c>
      <c r="L361" s="74"/>
      <c r="M361" s="74"/>
      <c r="N361" s="74"/>
      <c r="O361" s="74"/>
      <c r="P361" s="74"/>
      <c r="Q361" s="74"/>
      <c r="R361" s="74"/>
      <c r="S361" s="74"/>
      <c r="T361" s="74"/>
      <c r="U361" s="74"/>
      <c r="V361" s="74"/>
      <c r="W361" s="74"/>
      <c r="X361" s="74"/>
      <c r="Y361" s="74"/>
      <c r="Z361" s="74"/>
    </row>
    <row r="362" spans="1:26" x14ac:dyDescent="0.3">
      <c r="A362" s="66">
        <f t="shared" si="38"/>
        <v>2025.4999999999677</v>
      </c>
      <c r="B362" s="67">
        <f>LOOKUP(A362+0.01,AmountsB!$A$4:$A$103,AmountsB!$B$4:$B$103)*0.1*$A$2</f>
        <v>0</v>
      </c>
      <c r="C362" s="68">
        <f t="shared" si="37"/>
        <v>83655.233518999943</v>
      </c>
      <c r="D362" s="67">
        <f t="array" ref="D362">SUM($B$7:$B357*$F$1009*EXP(-$F$1009*($A362-$A$7:$A357)))*$F$1010</f>
        <v>5969609.8354068091</v>
      </c>
      <c r="E362" s="67">
        <f t="shared" si="35"/>
        <v>11.380534153683366</v>
      </c>
      <c r="F362" s="70">
        <f t="shared" si="39"/>
        <v>0.69102603381165395</v>
      </c>
      <c r="G362" s="67">
        <f>E362/'Lookup Tables'!$C$48</f>
        <v>22.761068307366731</v>
      </c>
      <c r="H362" s="70">
        <f t="shared" si="36"/>
        <v>7.1503102669809915E-2</v>
      </c>
      <c r="I362" s="71">
        <f t="shared" si="40"/>
        <v>3.2775938362608094E-2</v>
      </c>
      <c r="L362" s="74"/>
      <c r="M362" s="74"/>
      <c r="N362" s="74"/>
      <c r="O362" s="74"/>
      <c r="P362" s="74"/>
      <c r="Q362" s="74"/>
      <c r="R362" s="74"/>
      <c r="S362" s="74"/>
      <c r="T362" s="74"/>
      <c r="U362" s="74"/>
      <c r="V362" s="74"/>
      <c r="W362" s="74"/>
      <c r="X362" s="74"/>
      <c r="Y362" s="74"/>
      <c r="Z362" s="74"/>
    </row>
    <row r="363" spans="1:26" x14ac:dyDescent="0.3">
      <c r="A363" s="66">
        <f t="shared" si="38"/>
        <v>2025.5999999999676</v>
      </c>
      <c r="B363" s="67">
        <f>LOOKUP(A363+0.01,AmountsB!$A$4:$A$103,AmountsB!$B$4:$B$103)*0.1*$A$2</f>
        <v>0</v>
      </c>
      <c r="C363" s="68">
        <f t="shared" si="37"/>
        <v>83655.233518999943</v>
      </c>
      <c r="D363" s="67">
        <f t="array" ref="D363">SUM($B$7:$B358*$F$1009*EXP(-$F$1009*($A363-$A$7:$A358)))*$F$1010</f>
        <v>5961258.2291257391</v>
      </c>
      <c r="E363" s="67">
        <f t="shared" si="35"/>
        <v>11.364612553588817</v>
      </c>
      <c r="F363" s="70">
        <f t="shared" si="39"/>
        <v>0.690059274253913</v>
      </c>
      <c r="G363" s="67">
        <f>E363/'Lookup Tables'!$C$48</f>
        <v>22.729225107177633</v>
      </c>
      <c r="H363" s="70">
        <f t="shared" si="36"/>
        <v>7.1403068366423572E-2</v>
      </c>
      <c r="I363" s="71">
        <f t="shared" si="40"/>
        <v>3.2730084154335794E-2</v>
      </c>
      <c r="L363" s="74"/>
      <c r="M363" s="74"/>
      <c r="N363" s="74"/>
      <c r="O363" s="74"/>
      <c r="P363" s="74"/>
      <c r="Q363" s="74"/>
      <c r="R363" s="74"/>
      <c r="S363" s="74"/>
      <c r="T363" s="74"/>
      <c r="U363" s="74"/>
      <c r="V363" s="74"/>
      <c r="W363" s="74"/>
      <c r="X363" s="74"/>
      <c r="Y363" s="74"/>
      <c r="Z363" s="74"/>
    </row>
    <row r="364" spans="1:26" x14ac:dyDescent="0.3">
      <c r="A364" s="66">
        <f t="shared" si="38"/>
        <v>2025.6999999999675</v>
      </c>
      <c r="B364" s="67">
        <f>LOOKUP(A364+0.01,AmountsB!$A$4:$A$103,AmountsB!$B$4:$B$103)*0.1*$A$2</f>
        <v>0</v>
      </c>
      <c r="C364" s="68">
        <f t="shared" si="37"/>
        <v>83655.233518999943</v>
      </c>
      <c r="D364" s="67">
        <f t="array" ref="D364">SUM($B$7:$B359*$F$1009*EXP(-$F$1009*($A364-$A$7:$A359)))*$F$1010</f>
        <v>5952918.3069127062</v>
      </c>
      <c r="E364" s="67">
        <f t="shared" si="35"/>
        <v>11.348713228138511</v>
      </c>
      <c r="F364" s="70">
        <f t="shared" si="39"/>
        <v>0.68909386721257038</v>
      </c>
      <c r="G364" s="67">
        <f>E364/'Lookup Tables'!$C$48</f>
        <v>22.697426456277022</v>
      </c>
      <c r="H364" s="70">
        <f t="shared" si="36"/>
        <v>7.130317401307408E-2</v>
      </c>
      <c r="I364" s="71">
        <f t="shared" si="40"/>
        <v>3.2684294097038907E-2</v>
      </c>
      <c r="L364" s="74"/>
      <c r="M364" s="74"/>
      <c r="N364" s="74"/>
      <c r="O364" s="74"/>
      <c r="P364" s="74"/>
      <c r="Q364" s="74"/>
      <c r="R364" s="74"/>
      <c r="S364" s="74"/>
      <c r="T364" s="74"/>
      <c r="U364" s="74"/>
      <c r="V364" s="74"/>
      <c r="W364" s="74"/>
      <c r="X364" s="74"/>
      <c r="Y364" s="74"/>
      <c r="Z364" s="74"/>
    </row>
    <row r="365" spans="1:26" x14ac:dyDescent="0.3">
      <c r="A365" s="66">
        <f t="shared" si="38"/>
        <v>2025.7999999999674</v>
      </c>
      <c r="B365" s="67">
        <f>LOOKUP(A365+0.01,AmountsB!$A$4:$A$103,AmountsB!$B$4:$B$103)*0.1*$A$2</f>
        <v>0</v>
      </c>
      <c r="C365" s="68">
        <f t="shared" si="37"/>
        <v>83655.233518999943</v>
      </c>
      <c r="D365" s="67">
        <f t="array" ref="D365">SUM($B$7:$B360*$F$1009*EXP(-$F$1009*($A365-$A$7:$A360)))*$F$1010</f>
        <v>5944590.0524214618</v>
      </c>
      <c r="E365" s="67">
        <f t="shared" si="35"/>
        <v>11.332836146169766</v>
      </c>
      <c r="F365" s="70">
        <f t="shared" si="39"/>
        <v>0.68812981079542823</v>
      </c>
      <c r="G365" s="67">
        <f>E365/'Lookup Tables'!$C$48</f>
        <v>22.665672292339533</v>
      </c>
      <c r="H365" s="70">
        <f t="shared" si="36"/>
        <v>7.1203419413968502E-2</v>
      </c>
      <c r="I365" s="71">
        <f t="shared" si="40"/>
        <v>3.2638568100968927E-2</v>
      </c>
      <c r="L365" s="74"/>
      <c r="M365" s="74"/>
      <c r="N365" s="74"/>
      <c r="O365" s="74"/>
      <c r="P365" s="74"/>
      <c r="Q365" s="74"/>
      <c r="R365" s="74"/>
      <c r="S365" s="74"/>
      <c r="T365" s="74"/>
      <c r="U365" s="74"/>
      <c r="V365" s="74"/>
      <c r="W365" s="74"/>
      <c r="X365" s="74"/>
      <c r="Y365" s="74"/>
      <c r="Z365" s="74"/>
    </row>
    <row r="366" spans="1:26" x14ac:dyDescent="0.3">
      <c r="A366" s="66">
        <f t="shared" si="38"/>
        <v>2025.8999999999673</v>
      </c>
      <c r="B366" s="67">
        <f>LOOKUP(A366+0.01,AmountsB!$A$4:$A$103,AmountsB!$B$4:$B$103)*0.1*$A$2</f>
        <v>0</v>
      </c>
      <c r="C366" s="68">
        <f t="shared" si="37"/>
        <v>83655.233518999943</v>
      </c>
      <c r="D366" s="67">
        <f t="array" ref="D366">SUM($B$7:$B361*$F$1009*EXP(-$F$1009*($A366-$A$7:$A361)))*$F$1010</f>
        <v>5936273.4493286237</v>
      </c>
      <c r="E366" s="67">
        <f t="shared" si="35"/>
        <v>11.316981276563498</v>
      </c>
      <c r="F366" s="70">
        <f t="shared" si="39"/>
        <v>0.68716710311293561</v>
      </c>
      <c r="G366" s="67">
        <f>E366/'Lookup Tables'!$C$48</f>
        <v>22.633962553126995</v>
      </c>
      <c r="H366" s="70">
        <f t="shared" si="36"/>
        <v>7.1103804373587765E-2</v>
      </c>
      <c r="I366" s="71">
        <f t="shared" si="40"/>
        <v>3.2592906076502871E-2</v>
      </c>
      <c r="L366" s="74"/>
      <c r="M366" s="74"/>
      <c r="N366" s="74"/>
      <c r="O366" s="74"/>
      <c r="P366" s="74"/>
      <c r="Q366" s="74"/>
      <c r="R366" s="74"/>
      <c r="S366" s="74"/>
      <c r="T366" s="74"/>
      <c r="U366" s="74"/>
      <c r="V366" s="74"/>
      <c r="W366" s="74"/>
      <c r="X366" s="74"/>
      <c r="Y366" s="74"/>
      <c r="Z366" s="74"/>
    </row>
    <row r="367" spans="1:26" x14ac:dyDescent="0.3">
      <c r="A367" s="66">
        <f t="shared" si="38"/>
        <v>2025.9999999999673</v>
      </c>
      <c r="B367" s="67">
        <f>LOOKUP(A367+0.01,AmountsB!$A$4:$A$103,AmountsB!$B$4:$B$103)*0.1*$A$2</f>
        <v>0</v>
      </c>
      <c r="C367" s="68">
        <f t="shared" si="37"/>
        <v>83655.233518999943</v>
      </c>
      <c r="D367" s="67">
        <f t="array" ref="D367">SUM($B$7:$B362*$F$1009*EXP(-$F$1009*($A367-$A$7:$A362)))*$F$1010</f>
        <v>5927968.4813336469</v>
      </c>
      <c r="E367" s="67">
        <f t="shared" si="35"/>
        <v>11.301148588244155</v>
      </c>
      <c r="F367" s="70">
        <f t="shared" si="39"/>
        <v>0.68620574227818509</v>
      </c>
      <c r="G367" s="67">
        <f>E367/'Lookup Tables'!$C$48</f>
        <v>22.60229717648831</v>
      </c>
      <c r="H367" s="70">
        <f t="shared" si="36"/>
        <v>7.1004328696686367E-2</v>
      </c>
      <c r="I367" s="71">
        <f t="shared" si="40"/>
        <v>3.2547307934143163E-2</v>
      </c>
      <c r="L367" s="74"/>
      <c r="M367" s="74"/>
      <c r="N367" s="74"/>
      <c r="O367" s="74"/>
      <c r="P367" s="74"/>
      <c r="Q367" s="74"/>
      <c r="R367" s="74"/>
      <c r="S367" s="74"/>
      <c r="T367" s="74"/>
      <c r="U367" s="74"/>
      <c r="V367" s="74"/>
      <c r="W367" s="74"/>
      <c r="X367" s="74"/>
      <c r="Y367" s="74"/>
      <c r="Z367" s="74"/>
    </row>
    <row r="368" spans="1:26" x14ac:dyDescent="0.3">
      <c r="A368" s="66">
        <f t="shared" si="38"/>
        <v>2026.0999999999672</v>
      </c>
      <c r="B368" s="67">
        <f>LOOKUP(A368+0.01,AmountsB!$A$4:$A$103,AmountsB!$B$4:$B$103)*0.1*$A$2</f>
        <v>0</v>
      </c>
      <c r="C368" s="68">
        <f t="shared" si="37"/>
        <v>83655.233518999943</v>
      </c>
      <c r="D368" s="67">
        <f t="array" ref="D368">SUM($B$7:$B363*$F$1009*EXP(-$F$1009*($A368-$A$7:$A363)))*$F$1010</f>
        <v>5919675.1321587898</v>
      </c>
      <c r="E368" s="67">
        <f t="shared" si="35"/>
        <v>11.285338050179661</v>
      </c>
      <c r="F368" s="70">
        <f t="shared" si="39"/>
        <v>0.68524572640690895</v>
      </c>
      <c r="G368" s="67">
        <f>E368/'Lookup Tables'!$C$48</f>
        <v>22.570676100359321</v>
      </c>
      <c r="H368" s="70">
        <f t="shared" si="36"/>
        <v>7.0904992188291938E-2</v>
      </c>
      <c r="I368" s="71">
        <f t="shared" si="40"/>
        <v>3.2501773584517425E-2</v>
      </c>
      <c r="L368" s="74"/>
      <c r="M368" s="74"/>
      <c r="N368" s="74"/>
      <c r="O368" s="74"/>
      <c r="P368" s="74"/>
      <c r="Q368" s="74"/>
      <c r="R368" s="74"/>
      <c r="S368" s="74"/>
      <c r="T368" s="74"/>
      <c r="U368" s="74"/>
      <c r="V368" s="74"/>
      <c r="W368" s="74"/>
      <c r="X368" s="74"/>
      <c r="Y368" s="74"/>
      <c r="Z368" s="74"/>
    </row>
    <row r="369" spans="1:26" x14ac:dyDescent="0.3">
      <c r="A369" s="66">
        <f t="shared" si="38"/>
        <v>2026.1999999999671</v>
      </c>
      <c r="B369" s="67">
        <f>LOOKUP(A369+0.01,AmountsB!$A$4:$A$103,AmountsB!$B$4:$B$103)*0.1*$A$2</f>
        <v>0</v>
      </c>
      <c r="C369" s="68">
        <f t="shared" si="37"/>
        <v>83655.233518999943</v>
      </c>
      <c r="D369" s="67">
        <f t="array" ref="D369">SUM($B$7:$B364*$F$1009*EXP(-$F$1009*($A369-$A$7:$A364)))*$F$1010</f>
        <v>5911393.3855490871</v>
      </c>
      <c r="E369" s="67">
        <f t="shared" si="35"/>
        <v>11.269549631381356</v>
      </c>
      <c r="F369" s="70">
        <f t="shared" si="39"/>
        <v>0.68428705361747588</v>
      </c>
      <c r="G369" s="67">
        <f>E369/'Lookup Tables'!$C$48</f>
        <v>22.539099262762711</v>
      </c>
      <c r="H369" s="70">
        <f t="shared" si="36"/>
        <v>7.0805794653704887E-2</v>
      </c>
      <c r="I369" s="71">
        <f t="shared" si="40"/>
        <v>3.2456302938378305E-2</v>
      </c>
      <c r="L369" s="74"/>
      <c r="M369" s="74"/>
      <c r="N369" s="74"/>
      <c r="O369" s="74"/>
      <c r="P369" s="74"/>
      <c r="Q369" s="74"/>
      <c r="R369" s="74"/>
      <c r="S369" s="74"/>
      <c r="T369" s="74"/>
      <c r="U369" s="74"/>
      <c r="V369" s="74"/>
      <c r="W369" s="74"/>
      <c r="X369" s="74"/>
      <c r="Y369" s="74"/>
      <c r="Z369" s="74"/>
    </row>
    <row r="370" spans="1:26" x14ac:dyDescent="0.3">
      <c r="A370" s="66">
        <f t="shared" si="38"/>
        <v>2026.299999999967</v>
      </c>
      <c r="B370" s="67">
        <f>LOOKUP(A370+0.01,AmountsB!$A$4:$A$103,AmountsB!$B$4:$B$103)*0.1*$A$2</f>
        <v>0</v>
      </c>
      <c r="C370" s="68">
        <f t="shared" si="37"/>
        <v>83655.233518999943</v>
      </c>
      <c r="D370" s="67">
        <f t="array" ref="D370">SUM($B$7:$B365*$F$1009*EXP(-$F$1009*($A370-$A$7:$A365)))*$F$1010</f>
        <v>5903123.2252723137</v>
      </c>
      <c r="E370" s="67">
        <f t="shared" si="35"/>
        <v>11.25378330090394</v>
      </c>
      <c r="F370" s="70">
        <f t="shared" si="39"/>
        <v>0.68332972203088727</v>
      </c>
      <c r="G370" s="67">
        <f>E370/'Lookup Tables'!$C$48</f>
        <v>22.507566601807881</v>
      </c>
      <c r="H370" s="70">
        <f t="shared" si="36"/>
        <v>7.070673589849806E-2</v>
      </c>
      <c r="I370" s="71">
        <f t="shared" si="40"/>
        <v>3.241089590660335E-2</v>
      </c>
      <c r="L370" s="74"/>
      <c r="M370" s="74"/>
      <c r="N370" s="74"/>
      <c r="O370" s="74"/>
      <c r="P370" s="74"/>
      <c r="Q370" s="74"/>
      <c r="R370" s="74"/>
      <c r="S370" s="74"/>
      <c r="T370" s="74"/>
      <c r="U370" s="74"/>
      <c r="V370" s="74"/>
      <c r="W370" s="74"/>
      <c r="X370" s="74"/>
      <c r="Y370" s="74"/>
      <c r="Z370" s="74"/>
    </row>
    <row r="371" spans="1:26" x14ac:dyDescent="0.3">
      <c r="A371" s="66">
        <f t="shared" si="38"/>
        <v>2026.3999999999669</v>
      </c>
      <c r="B371" s="67">
        <f>LOOKUP(A371+0.01,AmountsB!$A$4:$A$103,AmountsB!$B$4:$B$103)*0.1*$A$2</f>
        <v>0</v>
      </c>
      <c r="C371" s="68">
        <f t="shared" si="37"/>
        <v>83655.233518999943</v>
      </c>
      <c r="D371" s="67">
        <f t="array" ref="D371">SUM($B$7:$B366*$F$1009*EXP(-$F$1009*($A371-$A$7:$A366)))*$F$1010</f>
        <v>5894864.6351189511</v>
      </c>
      <c r="E371" s="67">
        <f t="shared" si="35"/>
        <v>11.238039027845398</v>
      </c>
      <c r="F371" s="70">
        <f t="shared" si="39"/>
        <v>0.6823737297707726</v>
      </c>
      <c r="G371" s="67">
        <f>E371/'Lookup Tables'!$C$48</f>
        <v>22.476078055690795</v>
      </c>
      <c r="H371" s="70">
        <f t="shared" si="36"/>
        <v>7.060781572851621E-2</v>
      </c>
      <c r="I371" s="71">
        <f t="shared" si="40"/>
        <v>3.2365552400194751E-2</v>
      </c>
      <c r="L371" s="74"/>
      <c r="M371" s="74"/>
      <c r="N371" s="74"/>
      <c r="O371" s="74"/>
      <c r="P371" s="74"/>
      <c r="Q371" s="74"/>
      <c r="R371" s="74"/>
      <c r="S371" s="74"/>
      <c r="T371" s="74"/>
      <c r="U371" s="74"/>
      <c r="V371" s="74"/>
      <c r="W371" s="74"/>
      <c r="X371" s="74"/>
      <c r="Y371" s="74"/>
      <c r="Z371" s="74"/>
    </row>
    <row r="372" spans="1:26" x14ac:dyDescent="0.3">
      <c r="A372" s="66">
        <f t="shared" si="38"/>
        <v>2026.4999999999668</v>
      </c>
      <c r="B372" s="67">
        <f>LOOKUP(A372+0.01,AmountsB!$A$4:$A$103,AmountsB!$B$4:$B$103)*0.1*$A$2</f>
        <v>0</v>
      </c>
      <c r="C372" s="68">
        <f t="shared" si="37"/>
        <v>83655.233518999943</v>
      </c>
      <c r="D372" s="67">
        <f t="array" ref="D372">SUM($B$7:$B367*$F$1009*EXP(-$F$1009*($A372-$A$7:$A367)))*$F$1010</f>
        <v>5886617.5989021603</v>
      </c>
      <c r="E372" s="67">
        <f t="shared" si="35"/>
        <v>11.222316781346944</v>
      </c>
      <c r="F372" s="70">
        <f t="shared" si="39"/>
        <v>0.6814190749633865</v>
      </c>
      <c r="G372" s="67">
        <f>E372/'Lookup Tables'!$C$48</f>
        <v>22.444633562693888</v>
      </c>
      <c r="H372" s="70">
        <f t="shared" si="36"/>
        <v>7.0509033949875788E-2</v>
      </c>
      <c r="I372" s="71">
        <f t="shared" si="40"/>
        <v>3.2320272330279197E-2</v>
      </c>
      <c r="L372" s="74"/>
      <c r="M372" s="74"/>
      <c r="N372" s="74"/>
      <c r="O372" s="74"/>
      <c r="P372" s="74"/>
      <c r="Q372" s="74"/>
      <c r="R372" s="74"/>
      <c r="S372" s="74"/>
      <c r="T372" s="74"/>
      <c r="U372" s="74"/>
      <c r="V372" s="74"/>
      <c r="W372" s="74"/>
      <c r="X372" s="74"/>
      <c r="Y372" s="74"/>
      <c r="Z372" s="74"/>
    </row>
    <row r="373" spans="1:26" x14ac:dyDescent="0.3">
      <c r="A373" s="66">
        <f t="shared" si="38"/>
        <v>2026.5999999999667</v>
      </c>
      <c r="B373" s="67">
        <f>LOOKUP(A373+0.01,AmountsB!$A$4:$A$103,AmountsB!$B$4:$B$103)*0.1*$A$2</f>
        <v>0</v>
      </c>
      <c r="C373" s="68">
        <f t="shared" si="37"/>
        <v>83655.233518999943</v>
      </c>
      <c r="D373" s="67">
        <f t="array" ref="D373">SUM($B$7:$B368*$F$1009*EXP(-$F$1009*($A373-$A$7:$A368)))*$F$1010</f>
        <v>5878382.1004577475</v>
      </c>
      <c r="E373" s="67">
        <f t="shared" si="35"/>
        <v>11.206616530592976</v>
      </c>
      <c r="F373" s="70">
        <f t="shared" si="39"/>
        <v>0.68046575573760548</v>
      </c>
      <c r="G373" s="67">
        <f>E373/'Lookup Tables'!$C$48</f>
        <v>22.413233061185952</v>
      </c>
      <c r="H373" s="70">
        <f t="shared" si="36"/>
        <v>7.0410390368964473E-2</v>
      </c>
      <c r="I373" s="71">
        <f t="shared" si="40"/>
        <v>3.2275055608107769E-2</v>
      </c>
      <c r="L373" s="74"/>
      <c r="M373" s="74"/>
      <c r="N373" s="74"/>
      <c r="O373" s="74"/>
      <c r="P373" s="74"/>
      <c r="Q373" s="74"/>
      <c r="R373" s="74"/>
      <c r="S373" s="74"/>
      <c r="T373" s="74"/>
      <c r="U373" s="74"/>
      <c r="V373" s="74"/>
      <c r="W373" s="74"/>
      <c r="X373" s="74"/>
      <c r="Y373" s="74"/>
      <c r="Z373" s="74"/>
    </row>
    <row r="374" spans="1:26" x14ac:dyDescent="0.3">
      <c r="A374" s="66">
        <f t="shared" si="38"/>
        <v>2026.6999999999666</v>
      </c>
      <c r="B374" s="67">
        <f>LOOKUP(A374+0.01,AmountsB!$A$4:$A$103,AmountsB!$B$4:$B$103)*0.1*$A$2</f>
        <v>0</v>
      </c>
      <c r="C374" s="68">
        <f t="shared" si="37"/>
        <v>83655.233518999943</v>
      </c>
      <c r="D374" s="67">
        <f t="array" ref="D374">SUM($B$7:$B369*$F$1009*EXP(-$F$1009*($A374-$A$7:$A369)))*$F$1010</f>
        <v>5870158.1236441322</v>
      </c>
      <c r="E374" s="67">
        <f t="shared" si="35"/>
        <v>11.190938244810992</v>
      </c>
      <c r="F374" s="70">
        <f t="shared" si="39"/>
        <v>0.67951377022492354</v>
      </c>
      <c r="G374" s="67">
        <f>E374/'Lookup Tables'!$C$48</f>
        <v>22.381876489621984</v>
      </c>
      <c r="H374" s="70">
        <f t="shared" si="36"/>
        <v>7.0311884792440826E-2</v>
      </c>
      <c r="I374" s="71">
        <f t="shared" si="40"/>
        <v>3.222990214505566E-2</v>
      </c>
      <c r="L374" s="74"/>
      <c r="M374" s="74"/>
      <c r="N374" s="74"/>
      <c r="O374" s="74"/>
      <c r="P374" s="74"/>
      <c r="Q374" s="74"/>
      <c r="R374" s="74"/>
      <c r="S374" s="74"/>
      <c r="T374" s="74"/>
      <c r="U374" s="74"/>
      <c r="V374" s="74"/>
      <c r="W374" s="74"/>
      <c r="X374" s="74"/>
      <c r="Y374" s="74"/>
      <c r="Z374" s="74"/>
    </row>
    <row r="375" spans="1:26" x14ac:dyDescent="0.3">
      <c r="A375" s="66">
        <f t="shared" si="38"/>
        <v>2026.7999999999665</v>
      </c>
      <c r="B375" s="67">
        <f>LOOKUP(A375+0.01,AmountsB!$A$4:$A$103,AmountsB!$B$4:$B$103)*0.1*$A$2</f>
        <v>0</v>
      </c>
      <c r="C375" s="68">
        <f t="shared" si="37"/>
        <v>83655.233518999943</v>
      </c>
      <c r="D375" s="67">
        <f t="array" ref="D375">SUM($B$7:$B370*$F$1009*EXP(-$F$1009*($A375-$A$7:$A370)))*$F$1010</f>
        <v>5861945.6523423204</v>
      </c>
      <c r="E375" s="67">
        <f t="shared" si="35"/>
        <v>11.175281893271553</v>
      </c>
      <c r="F375" s="70">
        <f t="shared" si="39"/>
        <v>0.67856311655944879</v>
      </c>
      <c r="G375" s="67">
        <f>E375/'Lookup Tables'!$C$48</f>
        <v>22.350563786543105</v>
      </c>
      <c r="H375" s="70">
        <f t="shared" si="36"/>
        <v>7.0213517027233871E-2</v>
      </c>
      <c r="I375" s="71">
        <f t="shared" si="40"/>
        <v>3.2184811852622071E-2</v>
      </c>
      <c r="L375" s="74"/>
      <c r="M375" s="74"/>
      <c r="N375" s="74"/>
      <c r="O375" s="74"/>
      <c r="P375" s="74"/>
      <c r="Q375" s="74"/>
      <c r="R375" s="74"/>
      <c r="S375" s="74"/>
      <c r="T375" s="74"/>
      <c r="U375" s="74"/>
      <c r="V375" s="74"/>
      <c r="W375" s="74"/>
      <c r="X375" s="74"/>
      <c r="Y375" s="74"/>
      <c r="Z375" s="74"/>
    </row>
    <row r="376" spans="1:26" x14ac:dyDescent="0.3">
      <c r="A376" s="66">
        <f t="shared" si="38"/>
        <v>2026.8999999999664</v>
      </c>
      <c r="B376" s="67">
        <f>LOOKUP(A376+0.01,AmountsB!$A$4:$A$103,AmountsB!$B$4:$B$103)*0.1*$A$2</f>
        <v>0</v>
      </c>
      <c r="C376" s="68">
        <f t="shared" si="37"/>
        <v>83655.233518999943</v>
      </c>
      <c r="D376" s="67">
        <f t="array" ref="D376">SUM($B$7:$B371*$F$1009*EXP(-$F$1009*($A376-$A$7:$A371)))*$F$1010</f>
        <v>5853744.6704558609</v>
      </c>
      <c r="E376" s="67">
        <f t="shared" si="35"/>
        <v>11.159647445288199</v>
      </c>
      <c r="F376" s="70">
        <f t="shared" si="39"/>
        <v>0.67761379287789947</v>
      </c>
      <c r="G376" s="67">
        <f>E376/'Lookup Tables'!$C$48</f>
        <v>22.319294890576398</v>
      </c>
      <c r="H376" s="70">
        <f t="shared" si="36"/>
        <v>7.0115286880542763E-2</v>
      </c>
      <c r="I376" s="71">
        <f t="shared" si="40"/>
        <v>3.2139784642430017E-2</v>
      </c>
      <c r="L376" s="74"/>
      <c r="M376" s="74"/>
      <c r="N376" s="74"/>
      <c r="O376" s="74"/>
      <c r="P376" s="74"/>
      <c r="Q376" s="74"/>
      <c r="R376" s="74"/>
      <c r="S376" s="74"/>
      <c r="T376" s="74"/>
      <c r="U376" s="74"/>
      <c r="V376" s="74"/>
      <c r="W376" s="74"/>
      <c r="X376" s="74"/>
      <c r="Y376" s="74"/>
      <c r="Z376" s="74"/>
    </row>
    <row r="377" spans="1:26" x14ac:dyDescent="0.3">
      <c r="A377" s="66">
        <f t="shared" si="38"/>
        <v>2026.9999999999663</v>
      </c>
      <c r="B377" s="67">
        <f>LOOKUP(A377+0.01,AmountsB!$A$4:$A$103,AmountsB!$B$4:$B$103)*0.1*$A$2</f>
        <v>0</v>
      </c>
      <c r="C377" s="68">
        <f t="shared" si="37"/>
        <v>83655.233518999943</v>
      </c>
      <c r="D377" s="67">
        <f t="array" ref="D377">SUM($B$7:$B372*$F$1009*EXP(-$F$1009*($A377-$A$7:$A372)))*$F$1010</f>
        <v>5845555.1619108329</v>
      </c>
      <c r="E377" s="67">
        <f t="shared" si="35"/>
        <v>11.144034870217416</v>
      </c>
      <c r="F377" s="70">
        <f t="shared" si="39"/>
        <v>0.67666579731960153</v>
      </c>
      <c r="G377" s="67">
        <f>E377/'Lookup Tables'!$C$48</f>
        <v>22.288069740434832</v>
      </c>
      <c r="H377" s="70">
        <f t="shared" si="36"/>
        <v>7.0017194159836399E-2</v>
      </c>
      <c r="I377" s="71">
        <f t="shared" si="40"/>
        <v>3.2094820426226155E-2</v>
      </c>
      <c r="L377" s="74"/>
      <c r="M377" s="74"/>
      <c r="N377" s="74"/>
      <c r="O377" s="74"/>
      <c r="P377" s="74"/>
      <c r="Q377" s="74"/>
      <c r="R377" s="74"/>
      <c r="S377" s="74"/>
      <c r="T377" s="74"/>
      <c r="U377" s="74"/>
      <c r="V377" s="74"/>
      <c r="W377" s="74"/>
      <c r="X377" s="74"/>
      <c r="Y377" s="74"/>
      <c r="Z377" s="74"/>
    </row>
    <row r="378" spans="1:26" x14ac:dyDescent="0.3">
      <c r="A378" s="66">
        <f t="shared" si="38"/>
        <v>2027.0999999999663</v>
      </c>
      <c r="B378" s="67">
        <f>LOOKUP(A378+0.01,AmountsB!$A$4:$A$103,AmountsB!$B$4:$B$103)*0.1*$A$2</f>
        <v>0</v>
      </c>
      <c r="C378" s="68">
        <f t="shared" si="37"/>
        <v>83655.233518999943</v>
      </c>
      <c r="D378" s="67">
        <f t="array" ref="D378">SUM($B$7:$B373*$F$1009*EXP(-$F$1009*($A378-$A$7:$A373)))*$F$1010</f>
        <v>5837377.1106557911</v>
      </c>
      <c r="E378" s="67">
        <f t="shared" si="35"/>
        <v>11.128444137458541</v>
      </c>
      <c r="F378" s="70">
        <f t="shared" si="39"/>
        <v>0.6757191280264826</v>
      </c>
      <c r="G378" s="67">
        <f>E378/'Lookup Tables'!$C$48</f>
        <v>22.256888274917081</v>
      </c>
      <c r="H378" s="70">
        <f t="shared" si="36"/>
        <v>6.9919238672853004E-2</v>
      </c>
      <c r="I378" s="71">
        <f t="shared" si="40"/>
        <v>3.20499191158806E-2</v>
      </c>
      <c r="L378" s="74"/>
      <c r="M378" s="74"/>
      <c r="N378" s="74"/>
      <c r="O378" s="74"/>
      <c r="P378" s="74"/>
      <c r="Q378" s="74"/>
      <c r="R378" s="74"/>
      <c r="S378" s="74"/>
      <c r="T378" s="74"/>
      <c r="U378" s="74"/>
      <c r="V378" s="74"/>
      <c r="W378" s="74"/>
      <c r="X378" s="74"/>
      <c r="Y378" s="74"/>
      <c r="Z378" s="74"/>
    </row>
    <row r="379" spans="1:26" x14ac:dyDescent="0.3">
      <c r="A379" s="66">
        <f t="shared" si="38"/>
        <v>2027.1999999999662</v>
      </c>
      <c r="B379" s="67">
        <f>LOOKUP(A379+0.01,AmountsB!$A$4:$A$103,AmountsB!$B$4:$B$103)*0.1*$A$2</f>
        <v>0</v>
      </c>
      <c r="C379" s="68">
        <f t="shared" si="37"/>
        <v>83655.233518999943</v>
      </c>
      <c r="D379" s="67">
        <f t="array" ref="D379">SUM($B$7:$B374*$F$1009*EXP(-$F$1009*($A379-$A$7:$A374)))*$F$1010</f>
        <v>5829210.500661755</v>
      </c>
      <c r="E379" s="67">
        <f t="shared" si="35"/>
        <v>11.112875216453739</v>
      </c>
      <c r="F379" s="70">
        <f t="shared" si="39"/>
        <v>0.67477378314307102</v>
      </c>
      <c r="G379" s="67">
        <f>E379/'Lookup Tables'!$C$48</f>
        <v>22.225750432907478</v>
      </c>
      <c r="H379" s="70">
        <f t="shared" si="36"/>
        <v>6.9821420227599768E-2</v>
      </c>
      <c r="I379" s="71">
        <f t="shared" si="40"/>
        <v>3.2005080623386771E-2</v>
      </c>
      <c r="L379" s="74"/>
      <c r="M379" s="74"/>
      <c r="N379" s="74"/>
      <c r="O379" s="74"/>
      <c r="P379" s="74"/>
      <c r="Q379" s="74"/>
      <c r="R379" s="74"/>
      <c r="S379" s="74"/>
      <c r="T379" s="74"/>
      <c r="U379" s="74"/>
      <c r="V379" s="74"/>
      <c r="W379" s="74"/>
      <c r="X379" s="74"/>
      <c r="Y379" s="74"/>
      <c r="Z379" s="74"/>
    </row>
    <row r="380" spans="1:26" x14ac:dyDescent="0.3">
      <c r="A380" s="66">
        <f t="shared" si="38"/>
        <v>2027.2999999999661</v>
      </c>
      <c r="B380" s="67">
        <f>LOOKUP(A380+0.01,AmountsB!$A$4:$A$103,AmountsB!$B$4:$B$103)*0.1*$A$2</f>
        <v>0</v>
      </c>
      <c r="C380" s="68">
        <f t="shared" si="37"/>
        <v>83655.233518999943</v>
      </c>
      <c r="D380" s="67">
        <f t="array" ref="D380">SUM($B$7:$B375*$F$1009*EXP(-$F$1009*($A380-$A$7:$A375)))*$F$1010</f>
        <v>5821055.3159221653</v>
      </c>
      <c r="E380" s="67">
        <f t="shared" si="35"/>
        <v>11.097328076687917</v>
      </c>
      <c r="F380" s="70">
        <f t="shared" si="39"/>
        <v>0.67382976081649038</v>
      </c>
      <c r="G380" s="67">
        <f>E380/'Lookup Tables'!$C$48</f>
        <v>22.194656153375835</v>
      </c>
      <c r="H380" s="70">
        <f t="shared" si="36"/>
        <v>6.9723738632352539E-2</v>
      </c>
      <c r="I380" s="71">
        <f t="shared" si="40"/>
        <v>3.1960304860861204E-2</v>
      </c>
      <c r="L380" s="74"/>
      <c r="M380" s="74"/>
      <c r="N380" s="74"/>
      <c r="O380" s="74"/>
      <c r="P380" s="74"/>
      <c r="Q380" s="74"/>
      <c r="R380" s="74"/>
      <c r="S380" s="74"/>
      <c r="T380" s="74"/>
      <c r="U380" s="74"/>
      <c r="V380" s="74"/>
      <c r="W380" s="74"/>
      <c r="X380" s="74"/>
      <c r="Y380" s="74"/>
      <c r="Z380" s="74"/>
    </row>
    <row r="381" spans="1:26" x14ac:dyDescent="0.3">
      <c r="A381" s="66">
        <f t="shared" si="38"/>
        <v>2027.399999999966</v>
      </c>
      <c r="B381" s="67">
        <f>LOOKUP(A381+0.01,AmountsB!$A$4:$A$103,AmountsB!$B$4:$B$103)*0.1*$A$2</f>
        <v>0</v>
      </c>
      <c r="C381" s="68">
        <f t="shared" si="37"/>
        <v>83655.233518999943</v>
      </c>
      <c r="D381" s="67">
        <f t="array" ref="D381">SUM($B$7:$B376*$F$1009*EXP(-$F$1009*($A381-$A$7:$A376)))*$F$1010</f>
        <v>5812911.5404528603</v>
      </c>
      <c r="E381" s="67">
        <f t="shared" si="35"/>
        <v>11.081802687688681</v>
      </c>
      <c r="F381" s="70">
        <f t="shared" si="39"/>
        <v>0.67288705919645664</v>
      </c>
      <c r="G381" s="67">
        <f>E381/'Lookup Tables'!$C$48</f>
        <v>22.163605375377362</v>
      </c>
      <c r="H381" s="70">
        <f t="shared" si="36"/>
        <v>6.9626193695655356E-2</v>
      </c>
      <c r="I381" s="71">
        <f t="shared" si="40"/>
        <v>3.1915591740543404E-2</v>
      </c>
      <c r="L381" s="74"/>
      <c r="M381" s="74"/>
      <c r="N381" s="74"/>
      <c r="O381" s="74"/>
      <c r="P381" s="74"/>
      <c r="Q381" s="74"/>
      <c r="R381" s="74"/>
      <c r="S381" s="74"/>
      <c r="T381" s="74"/>
      <c r="U381" s="74"/>
      <c r="V381" s="74"/>
      <c r="W381" s="74"/>
      <c r="X381" s="74"/>
      <c r="Y381" s="74"/>
      <c r="Z381" s="74"/>
    </row>
    <row r="382" spans="1:26" x14ac:dyDescent="0.3">
      <c r="A382" s="66">
        <f t="shared" si="38"/>
        <v>2027.4999999999659</v>
      </c>
      <c r="B382" s="67">
        <f>LOOKUP(A382+0.01,AmountsB!$A$4:$A$103,AmountsB!$B$4:$B$103)*0.1*$A$2</f>
        <v>0</v>
      </c>
      <c r="C382" s="68">
        <f t="shared" si="37"/>
        <v>83655.233518999943</v>
      </c>
      <c r="D382" s="67">
        <f t="array" ref="D382">SUM($B$7:$B377*$F$1009*EXP(-$F$1009*($A382-$A$7:$A377)))*$F$1010</f>
        <v>5804779.1582920356</v>
      </c>
      <c r="E382" s="67">
        <f t="shared" si="35"/>
        <v>11.066299019026262</v>
      </c>
      <c r="F382" s="70">
        <f t="shared" si="39"/>
        <v>0.67194567643527459</v>
      </c>
      <c r="G382" s="67">
        <f>E382/'Lookup Tables'!$C$48</f>
        <v>22.132598038052524</v>
      </c>
      <c r="H382" s="70">
        <f t="shared" si="36"/>
        <v>6.9528785226320111E-2</v>
      </c>
      <c r="I382" s="71">
        <f t="shared" si="40"/>
        <v>3.1870941174795636E-2</v>
      </c>
      <c r="L382" s="74"/>
      <c r="M382" s="74"/>
      <c r="N382" s="74"/>
      <c r="O382" s="74"/>
      <c r="P382" s="74"/>
      <c r="Q382" s="74"/>
      <c r="R382" s="74"/>
      <c r="S382" s="74"/>
      <c r="T382" s="74"/>
      <c r="U382" s="74"/>
      <c r="V382" s="74"/>
      <c r="W382" s="74"/>
      <c r="X382" s="74"/>
      <c r="Y382" s="74"/>
      <c r="Z382" s="74"/>
    </row>
    <row r="383" spans="1:26" x14ac:dyDescent="0.3">
      <c r="A383" s="66">
        <f t="shared" si="38"/>
        <v>2027.5999999999658</v>
      </c>
      <c r="B383" s="67">
        <f>LOOKUP(A383+0.01,AmountsB!$A$4:$A$103,AmountsB!$B$4:$B$103)*0.1*$A$2</f>
        <v>0</v>
      </c>
      <c r="C383" s="68">
        <f t="shared" si="37"/>
        <v>83655.233518999943</v>
      </c>
      <c r="D383" s="67">
        <f t="array" ref="D383">SUM($B$7:$B378*$F$1009*EXP(-$F$1009*($A383-$A$7:$A378)))*$F$1010</f>
        <v>5796658.1535002189</v>
      </c>
      <c r="E383" s="67">
        <f t="shared" si="35"/>
        <v>11.05081704031346</v>
      </c>
      <c r="F383" s="70">
        <f t="shared" si="39"/>
        <v>0.67100561068783326</v>
      </c>
      <c r="G383" s="67">
        <f>E383/'Lookup Tables'!$C$48</f>
        <v>22.101634080626919</v>
      </c>
      <c r="H383" s="70">
        <f t="shared" si="36"/>
        <v>6.9431513033426165E-2</v>
      </c>
      <c r="I383" s="71">
        <f t="shared" si="40"/>
        <v>3.1826353076102765E-2</v>
      </c>
      <c r="L383" s="74"/>
      <c r="M383" s="74"/>
      <c r="N383" s="74"/>
      <c r="O383" s="74"/>
      <c r="P383" s="74"/>
      <c r="Q383" s="74"/>
      <c r="R383" s="74"/>
      <c r="S383" s="74"/>
      <c r="T383" s="74"/>
      <c r="U383" s="74"/>
      <c r="V383" s="74"/>
      <c r="W383" s="74"/>
      <c r="X383" s="74"/>
      <c r="Y383" s="74"/>
      <c r="Z383" s="74"/>
    </row>
    <row r="384" spans="1:26" x14ac:dyDescent="0.3">
      <c r="A384" s="66">
        <f t="shared" si="38"/>
        <v>2027.6999999999657</v>
      </c>
      <c r="B384" s="67">
        <f>LOOKUP(A384+0.01,AmountsB!$A$4:$A$103,AmountsB!$B$4:$B$103)*0.1*$A$2</f>
        <v>0</v>
      </c>
      <c r="C384" s="68">
        <f t="shared" si="37"/>
        <v>83655.233518999943</v>
      </c>
      <c r="D384" s="67">
        <f t="array" ref="D384">SUM($B$7:$B379*$F$1009*EXP(-$F$1009*($A384-$A$7:$A379)))*$F$1010</f>
        <v>5788548.5101602385</v>
      </c>
      <c r="E384" s="67">
        <f t="shared" si="35"/>
        <v>11.035356721205595</v>
      </c>
      <c r="F384" s="70">
        <f t="shared" si="39"/>
        <v>0.67006686011160377</v>
      </c>
      <c r="G384" s="67">
        <f>E384/'Lookup Tables'!$C$48</f>
        <v>22.07071344241119</v>
      </c>
      <c r="H384" s="70">
        <f t="shared" si="36"/>
        <v>6.9334376926319982E-2</v>
      </c>
      <c r="I384" s="71">
        <f t="shared" si="40"/>
        <v>3.1781827357072114E-2</v>
      </c>
      <c r="L384" s="74"/>
      <c r="M384" s="74"/>
      <c r="N384" s="74"/>
      <c r="O384" s="74"/>
      <c r="P384" s="74"/>
      <c r="Q384" s="74"/>
      <c r="R384" s="74"/>
      <c r="S384" s="74"/>
      <c r="T384" s="74"/>
      <c r="U384" s="74"/>
      <c r="V384" s="74"/>
      <c r="W384" s="74"/>
      <c r="X384" s="74"/>
      <c r="Y384" s="74"/>
      <c r="Z384" s="74"/>
    </row>
    <row r="385" spans="1:26" x14ac:dyDescent="0.3">
      <c r="A385" s="66">
        <f t="shared" si="38"/>
        <v>2027.7999999999656</v>
      </c>
      <c r="B385" s="67">
        <f>LOOKUP(A385+0.01,AmountsB!$A$4:$A$103,AmountsB!$B$4:$B$103)*0.1*$A$2</f>
        <v>0</v>
      </c>
      <c r="C385" s="68">
        <f t="shared" si="37"/>
        <v>83655.233518999943</v>
      </c>
      <c r="D385" s="67">
        <f t="array" ref="D385">SUM($B$7:$B380*$F$1009*EXP(-$F$1009*($A385-$A$7:$A380)))*$F$1010</f>
        <v>5780450.2123771915</v>
      </c>
      <c r="E385" s="67">
        <f t="shared" si="35"/>
        <v>11.019918031400438</v>
      </c>
      <c r="F385" s="70">
        <f t="shared" si="39"/>
        <v>0.66912942286663468</v>
      </c>
      <c r="G385" s="67">
        <f>E385/'Lookup Tables'!$C$48</f>
        <v>22.039836062800877</v>
      </c>
      <c r="H385" s="70">
        <f t="shared" si="36"/>
        <v>6.9237376714614787E-2</v>
      </c>
      <c r="I385" s="71">
        <f t="shared" si="40"/>
        <v>3.1737363930433263E-2</v>
      </c>
      <c r="L385" s="74"/>
      <c r="M385" s="74"/>
      <c r="N385" s="74"/>
      <c r="O385" s="74"/>
      <c r="P385" s="74"/>
      <c r="Q385" s="74"/>
      <c r="R385" s="74"/>
      <c r="S385" s="74"/>
      <c r="T385" s="74"/>
      <c r="U385" s="74"/>
      <c r="V385" s="74"/>
      <c r="W385" s="74"/>
      <c r="X385" s="74"/>
      <c r="Y385" s="74"/>
      <c r="Z385" s="74"/>
    </row>
    <row r="386" spans="1:26" x14ac:dyDescent="0.3">
      <c r="A386" s="66">
        <f t="shared" si="38"/>
        <v>2027.8999999999655</v>
      </c>
      <c r="B386" s="67">
        <f>LOOKUP(A386+0.01,AmountsB!$A$4:$A$103,AmountsB!$B$4:$B$103)*0.1*$A$2</f>
        <v>0</v>
      </c>
      <c r="C386" s="68">
        <f t="shared" si="37"/>
        <v>83655.233518999943</v>
      </c>
      <c r="D386" s="67">
        <f t="array" ref="D386">SUM($B$7:$B381*$F$1009*EXP(-$F$1009*($A386-$A$7:$A381)))*$F$1010</f>
        <v>5772363.2442784123</v>
      </c>
      <c r="E386" s="67">
        <f t="shared" si="35"/>
        <v>11.004500940638152</v>
      </c>
      <c r="F386" s="70">
        <f t="shared" si="39"/>
        <v>0.66819329711554865</v>
      </c>
      <c r="G386" s="67">
        <f>E386/'Lookup Tables'!$C$48</f>
        <v>22.009001881276305</v>
      </c>
      <c r="H386" s="70">
        <f t="shared" si="36"/>
        <v>6.9140512208190147E-2</v>
      </c>
      <c r="I386" s="71">
        <f t="shared" si="40"/>
        <v>3.1692962709037882E-2</v>
      </c>
      <c r="L386" s="74"/>
      <c r="M386" s="74"/>
      <c r="N386" s="74"/>
      <c r="O386" s="74"/>
      <c r="P386" s="74"/>
      <c r="Q386" s="74"/>
      <c r="R386" s="74"/>
      <c r="S386" s="74"/>
      <c r="T386" s="74"/>
      <c r="U386" s="74"/>
      <c r="V386" s="74"/>
      <c r="W386" s="74"/>
      <c r="X386" s="74"/>
      <c r="Y386" s="74"/>
      <c r="Z386" s="74"/>
    </row>
    <row r="387" spans="1:26" x14ac:dyDescent="0.3">
      <c r="A387" s="66">
        <f t="shared" si="38"/>
        <v>2027.9999999999654</v>
      </c>
      <c r="B387" s="67">
        <f>LOOKUP(A387+0.01,AmountsB!$A$4:$A$103,AmountsB!$B$4:$B$103)*0.1*$A$2</f>
        <v>0</v>
      </c>
      <c r="C387" s="68">
        <f t="shared" si="37"/>
        <v>83655.233518999943</v>
      </c>
      <c r="D387" s="67">
        <f t="array" ref="D387">SUM($B$7:$B382*$F$1009*EXP(-$F$1009*($A387-$A$7:$A382)))*$F$1010</f>
        <v>5764287.590013437</v>
      </c>
      <c r="E387" s="67">
        <f t="shared" si="35"/>
        <v>10.989105418701227</v>
      </c>
      <c r="F387" s="70">
        <f t="shared" si="39"/>
        <v>0.66725848102353846</v>
      </c>
      <c r="G387" s="67">
        <f>E387/'Lookup Tables'!$C$48</f>
        <v>21.978210837402454</v>
      </c>
      <c r="H387" s="70">
        <f t="shared" si="36"/>
        <v>6.9043783217191498E-2</v>
      </c>
      <c r="I387" s="71">
        <f t="shared" si="40"/>
        <v>3.164862360585953E-2</v>
      </c>
      <c r="L387" s="74"/>
      <c r="M387" s="74"/>
      <c r="N387" s="74"/>
      <c r="O387" s="74"/>
      <c r="P387" s="74"/>
      <c r="Q387" s="74"/>
      <c r="R387" s="74"/>
      <c r="S387" s="74"/>
      <c r="T387" s="74"/>
      <c r="U387" s="74"/>
      <c r="V387" s="74"/>
      <c r="W387" s="74"/>
      <c r="X387" s="74"/>
      <c r="Y387" s="74"/>
      <c r="Z387" s="74"/>
    </row>
    <row r="388" spans="1:26" x14ac:dyDescent="0.3">
      <c r="A388" s="66">
        <f t="shared" si="38"/>
        <v>2028.0999999999653</v>
      </c>
      <c r="B388" s="67">
        <f>LOOKUP(A388+0.01,AmountsB!$A$4:$A$103,AmountsB!$B$4:$B$103)*0.1*$A$2</f>
        <v>0</v>
      </c>
      <c r="C388" s="68">
        <f t="shared" si="37"/>
        <v>83655.233518999943</v>
      </c>
      <c r="D388" s="67">
        <f t="array" ref="D388">SUM($B$7:$B383*$F$1009*EXP(-$F$1009*($A388-$A$7:$A383)))*$F$1010</f>
        <v>5756223.2337539867</v>
      </c>
      <c r="E388" s="67">
        <f t="shared" si="35"/>
        <v>10.973731435414447</v>
      </c>
      <c r="F388" s="70">
        <f t="shared" si="39"/>
        <v>0.66632497275836522</v>
      </c>
      <c r="G388" s="67">
        <f>E388/'Lookup Tables'!$C$48</f>
        <v>21.947462870828893</v>
      </c>
      <c r="H388" s="70">
        <f t="shared" si="36"/>
        <v>6.8947189552030122E-2</v>
      </c>
      <c r="I388" s="71">
        <f t="shared" si="40"/>
        <v>3.1604346533993612E-2</v>
      </c>
      <c r="L388" s="74"/>
      <c r="M388" s="74"/>
      <c r="N388" s="74"/>
      <c r="O388" s="74"/>
      <c r="P388" s="74"/>
      <c r="Q388" s="74"/>
      <c r="R388" s="74"/>
      <c r="S388" s="74"/>
      <c r="T388" s="74"/>
      <c r="U388" s="74"/>
      <c r="V388" s="74"/>
      <c r="W388" s="74"/>
      <c r="X388" s="74"/>
      <c r="Y388" s="74"/>
      <c r="Z388" s="74"/>
    </row>
    <row r="389" spans="1:26" x14ac:dyDescent="0.3">
      <c r="A389" s="66">
        <f t="shared" si="38"/>
        <v>2028.1999999999653</v>
      </c>
      <c r="B389" s="67">
        <f>LOOKUP(A389+0.01,AmountsB!$A$4:$A$103,AmountsB!$B$4:$B$103)*0.1*$A$2</f>
        <v>0</v>
      </c>
      <c r="C389" s="68">
        <f t="shared" si="37"/>
        <v>83655.233518999943</v>
      </c>
      <c r="D389" s="67">
        <f t="array" ref="D389">SUM($B$7:$B384*$F$1009*EXP(-$F$1009*($A389-$A$7:$A384)))*$F$1010</f>
        <v>5748170.1596939154</v>
      </c>
      <c r="E389" s="67">
        <f t="shared" si="35"/>
        <v>10.958378960644787</v>
      </c>
      <c r="F389" s="70">
        <f t="shared" si="39"/>
        <v>0.6653927704903515</v>
      </c>
      <c r="G389" s="67">
        <f>E389/'Lookup Tables'!$C$48</f>
        <v>21.916757921289573</v>
      </c>
      <c r="H389" s="70">
        <f t="shared" si="36"/>
        <v>6.8850731023382294E-2</v>
      </c>
      <c r="I389" s="71">
        <f t="shared" si="40"/>
        <v>3.1560131406656984E-2</v>
      </c>
      <c r="L389" s="74"/>
      <c r="M389" s="74"/>
      <c r="N389" s="74"/>
      <c r="O389" s="74"/>
      <c r="P389" s="74"/>
      <c r="Q389" s="74"/>
      <c r="R389" s="74"/>
      <c r="S389" s="74"/>
      <c r="T389" s="74"/>
      <c r="U389" s="74"/>
      <c r="V389" s="74"/>
      <c r="W389" s="74"/>
      <c r="X389" s="74"/>
      <c r="Y389" s="74"/>
      <c r="Z389" s="74"/>
    </row>
    <row r="390" spans="1:26" x14ac:dyDescent="0.3">
      <c r="A390" s="66">
        <f t="shared" si="38"/>
        <v>2028.2999999999652</v>
      </c>
      <c r="B390" s="67">
        <f>LOOKUP(A390+0.01,AmountsB!$A$4:$A$103,AmountsB!$B$4:$B$103)*0.1*$A$2</f>
        <v>0</v>
      </c>
      <c r="C390" s="68">
        <f t="shared" si="37"/>
        <v>83655.233518999943</v>
      </c>
      <c r="D390" s="67">
        <f t="array" ref="D390">SUM($B$7:$B385*$F$1009*EXP(-$F$1009*($A390-$A$7:$A385)))*$F$1010</f>
        <v>5740128.352049198</v>
      </c>
      <c r="E390" s="67">
        <f t="shared" si="35"/>
        <v>10.943047964301403</v>
      </c>
      <c r="F390" s="70">
        <f t="shared" si="39"/>
        <v>0.66446187239238119</v>
      </c>
      <c r="G390" s="67">
        <f>E390/'Lookup Tables'!$C$48</f>
        <v>21.886095928602806</v>
      </c>
      <c r="H390" s="70">
        <f t="shared" si="36"/>
        <v>6.8754407442189344E-2</v>
      </c>
      <c r="I390" s="71">
        <f t="shared" si="40"/>
        <v>3.1515978137188039E-2</v>
      </c>
      <c r="L390" s="74"/>
      <c r="M390" s="74"/>
      <c r="N390" s="74"/>
      <c r="O390" s="74"/>
      <c r="P390" s="74"/>
      <c r="Q390" s="74"/>
      <c r="R390" s="74"/>
      <c r="S390" s="74"/>
      <c r="T390" s="74"/>
      <c r="U390" s="74"/>
      <c r="V390" s="74"/>
      <c r="W390" s="74"/>
      <c r="X390" s="74"/>
      <c r="Y390" s="74"/>
      <c r="Z390" s="74"/>
    </row>
    <row r="391" spans="1:26" x14ac:dyDescent="0.3">
      <c r="A391" s="66">
        <f t="shared" si="38"/>
        <v>2028.3999999999651</v>
      </c>
      <c r="B391" s="67">
        <f>LOOKUP(A391+0.01,AmountsB!$A$4:$A$103,AmountsB!$B$4:$B$103)*0.1*$A$2</f>
        <v>0</v>
      </c>
      <c r="C391" s="68">
        <f t="shared" si="37"/>
        <v>83655.233518999943</v>
      </c>
      <c r="D391" s="67">
        <f t="array" ref="D391">SUM($B$7:$B386*$F$1009*EXP(-$F$1009*($A391-$A$7:$A386)))*$F$1010</f>
        <v>5732097.7950578881</v>
      </c>
      <c r="E391" s="67">
        <f t="shared" ref="E391:E454" si="41">D391/(365*24*60)*1.00201</f>
        <v>10.927738416335531</v>
      </c>
      <c r="F391" s="70">
        <f t="shared" si="39"/>
        <v>0.66353227663989345</v>
      </c>
      <c r="G391" s="67">
        <f>E391/'Lookup Tables'!$C$48</f>
        <v>21.855476832671062</v>
      </c>
      <c r="H391" s="70">
        <f t="shared" ref="H391:H454" si="42">G391*60*24*365/(C391*2000)</f>
        <v>6.8658218619656985E-2</v>
      </c>
      <c r="I391" s="71">
        <f t="shared" si="40"/>
        <v>3.1471886639046327E-2</v>
      </c>
      <c r="L391" s="74"/>
      <c r="M391" s="74"/>
      <c r="N391" s="74"/>
      <c r="O391" s="74"/>
      <c r="P391" s="74"/>
      <c r="Q391" s="74"/>
      <c r="R391" s="74"/>
      <c r="S391" s="74"/>
      <c r="T391" s="74"/>
      <c r="U391" s="74"/>
      <c r="V391" s="74"/>
      <c r="W391" s="74"/>
      <c r="X391" s="74"/>
      <c r="Y391" s="74"/>
      <c r="Z391" s="74"/>
    </row>
    <row r="392" spans="1:26" x14ac:dyDescent="0.3">
      <c r="A392" s="66">
        <f t="shared" si="38"/>
        <v>2028.499999999965</v>
      </c>
      <c r="B392" s="67">
        <f>LOOKUP(A392+0.01,AmountsB!$A$4:$A$103,AmountsB!$B$4:$B$103)*0.1*$A$2</f>
        <v>0</v>
      </c>
      <c r="C392" s="68">
        <f t="shared" si="37"/>
        <v>83655.233518999943</v>
      </c>
      <c r="D392" s="67">
        <f t="array" ref="D392">SUM($B$7:$B387*$F$1009*EXP(-$F$1009*($A392-$A$7:$A387)))*$F$1010</f>
        <v>5724078.4729800913</v>
      </c>
      <c r="E392" s="67">
        <f t="shared" si="41"/>
        <v>10.912450286740452</v>
      </c>
      <c r="F392" s="70">
        <f t="shared" si="39"/>
        <v>0.66260398141088006</v>
      </c>
      <c r="G392" s="67">
        <f>E392/'Lookup Tables'!$C$48</f>
        <v>21.824900573480903</v>
      </c>
      <c r="H392" s="70">
        <f t="shared" si="42"/>
        <v>6.8562164367255082E-2</v>
      </c>
      <c r="I392" s="71">
        <f t="shared" si="40"/>
        <v>3.1427856825812499E-2</v>
      </c>
      <c r="L392" s="74"/>
      <c r="M392" s="74"/>
      <c r="N392" s="74"/>
      <c r="O392" s="74"/>
      <c r="P392" s="74"/>
      <c r="Q392" s="74"/>
      <c r="R392" s="74"/>
      <c r="S392" s="74"/>
      <c r="T392" s="74"/>
      <c r="U392" s="74"/>
      <c r="V392" s="74"/>
      <c r="W392" s="74"/>
      <c r="X392" s="74"/>
      <c r="Y392" s="74"/>
      <c r="Z392" s="74"/>
    </row>
    <row r="393" spans="1:26" x14ac:dyDescent="0.3">
      <c r="A393" s="66">
        <f t="shared" si="38"/>
        <v>2028.5999999999649</v>
      </c>
      <c r="B393" s="67">
        <f>LOOKUP(A393+0.01,AmountsB!$A$4:$A$103,AmountsB!$B$4:$B$103)*0.1*$A$2</f>
        <v>0</v>
      </c>
      <c r="C393" s="68">
        <f t="shared" ref="C393:C456" si="43">C392+B393</f>
        <v>83655.233518999943</v>
      </c>
      <c r="D393" s="67">
        <f t="array" ref="D393">SUM($B$7:$B388*$F$1009*EXP(-$F$1009*($A393-$A$7:$A388)))*$F$1010</f>
        <v>5716070.3700979343</v>
      </c>
      <c r="E393" s="67">
        <f t="shared" si="41"/>
        <v>10.89718354555143</v>
      </c>
      <c r="F393" s="70">
        <f t="shared" si="39"/>
        <v>0.66167698488588278</v>
      </c>
      <c r="G393" s="67">
        <f>E393/'Lookup Tables'!$C$48</f>
        <v>21.79436709110286</v>
      </c>
      <c r="H393" s="70">
        <f t="shared" si="42"/>
        <v>6.8466244496717302E-2</v>
      </c>
      <c r="I393" s="71">
        <f t="shared" si="40"/>
        <v>3.138388861118812E-2</v>
      </c>
      <c r="L393" s="74"/>
      <c r="M393" s="74"/>
      <c r="N393" s="74"/>
      <c r="O393" s="74"/>
      <c r="P393" s="74"/>
      <c r="Q393" s="74"/>
      <c r="R393" s="74"/>
      <c r="S393" s="74"/>
      <c r="T393" s="74"/>
      <c r="U393" s="74"/>
      <c r="V393" s="74"/>
      <c r="W393" s="74"/>
      <c r="X393" s="74"/>
      <c r="Y393" s="74"/>
      <c r="Z393" s="74"/>
    </row>
    <row r="394" spans="1:26" x14ac:dyDescent="0.3">
      <c r="A394" s="66">
        <f t="shared" si="38"/>
        <v>2028.6999999999648</v>
      </c>
      <c r="B394" s="67">
        <f>LOOKUP(A394+0.01,AmountsB!$A$4:$A$103,AmountsB!$B$4:$B$103)*0.1*$A$2</f>
        <v>0</v>
      </c>
      <c r="C394" s="68">
        <f t="shared" si="43"/>
        <v>83655.233518999943</v>
      </c>
      <c r="D394" s="67">
        <f t="array" ref="D394">SUM($B$7:$B389*$F$1009*EXP(-$F$1009*($A394-$A$7:$A389)))*$F$1010</f>
        <v>5708073.4707155311</v>
      </c>
      <c r="E394" s="67">
        <f t="shared" si="41"/>
        <v>10.881938162845643</v>
      </c>
      <c r="F394" s="70">
        <f t="shared" si="39"/>
        <v>0.66075128524798732</v>
      </c>
      <c r="G394" s="67">
        <f>E394/'Lookup Tables'!$C$48</f>
        <v>21.763876325691285</v>
      </c>
      <c r="H394" s="70">
        <f t="shared" si="42"/>
        <v>6.8370458820040642E-2</v>
      </c>
      <c r="I394" s="71">
        <f t="shared" si="40"/>
        <v>3.1339981908995451E-2</v>
      </c>
      <c r="L394" s="74"/>
      <c r="M394" s="74"/>
      <c r="N394" s="74"/>
      <c r="O394" s="74"/>
      <c r="P394" s="74"/>
      <c r="Q394" s="74"/>
      <c r="R394" s="74"/>
      <c r="S394" s="74"/>
      <c r="T394" s="74"/>
      <c r="U394" s="74"/>
      <c r="V394" s="74"/>
      <c r="W394" s="74"/>
      <c r="X394" s="74"/>
      <c r="Y394" s="74"/>
      <c r="Z394" s="74"/>
    </row>
    <row r="395" spans="1:26" x14ac:dyDescent="0.3">
      <c r="A395" s="66">
        <f t="shared" si="38"/>
        <v>2028.7999999999647</v>
      </c>
      <c r="B395" s="67">
        <f>LOOKUP(A395+0.01,AmountsB!$A$4:$A$103,AmountsB!$B$4:$B$103)*0.1*$A$2</f>
        <v>0</v>
      </c>
      <c r="C395" s="68">
        <f t="shared" si="43"/>
        <v>83655.233518999943</v>
      </c>
      <c r="D395" s="67">
        <f t="array" ref="D395">SUM($B$7:$B390*$F$1009*EXP(-$F$1009*($A395-$A$7:$A390)))*$F$1010</f>
        <v>5700087.7591589596</v>
      </c>
      <c r="E395" s="67">
        <f t="shared" si="41"/>
        <v>10.866714108742142</v>
      </c>
      <c r="F395" s="70">
        <f t="shared" si="39"/>
        <v>0.65982688068282291</v>
      </c>
      <c r="G395" s="67">
        <f>E395/'Lookup Tables'!$C$48</f>
        <v>21.733428217484285</v>
      </c>
      <c r="H395" s="70">
        <f t="shared" si="42"/>
        <v>6.8274807149485167E-2</v>
      </c>
      <c r="I395" s="71">
        <f t="shared" si="40"/>
        <v>3.1296136633177367E-2</v>
      </c>
      <c r="L395" s="74"/>
      <c r="M395" s="74"/>
      <c r="N395" s="74"/>
      <c r="O395" s="74"/>
      <c r="P395" s="74"/>
      <c r="Q395" s="74"/>
      <c r="R395" s="74"/>
      <c r="S395" s="74"/>
      <c r="T395" s="74"/>
      <c r="U395" s="74"/>
      <c r="V395" s="74"/>
      <c r="W395" s="74"/>
      <c r="X395" s="74"/>
      <c r="Y395" s="74"/>
      <c r="Z395" s="74"/>
    </row>
    <row r="396" spans="1:26" x14ac:dyDescent="0.3">
      <c r="A396" s="66">
        <f t="shared" si="38"/>
        <v>2028.8999999999646</v>
      </c>
      <c r="B396" s="67">
        <f>LOOKUP(A396+0.01,AmountsB!$A$4:$A$103,AmountsB!$B$4:$B$103)*0.1*$A$2</f>
        <v>0</v>
      </c>
      <c r="C396" s="68">
        <f t="shared" si="43"/>
        <v>83655.233518999943</v>
      </c>
      <c r="D396" s="67">
        <f t="array" ref="D396">SUM($B$7:$B391*$F$1009*EXP(-$F$1009*($A396-$A$7:$A391)))*$F$1010</f>
        <v>5692113.2197762206</v>
      </c>
      <c r="E396" s="67">
        <f t="shared" si="41"/>
        <v>10.851511353401772</v>
      </c>
      <c r="F396" s="70">
        <f t="shared" si="39"/>
        <v>0.65890376937855555</v>
      </c>
      <c r="G396" s="67">
        <f>E396/'Lookup Tables'!$C$48</f>
        <v>21.703022706803544</v>
      </c>
      <c r="H396" s="70">
        <f t="shared" si="42"/>
        <v>6.8179289297573581E-2</v>
      </c>
      <c r="I396" s="71">
        <f t="shared" si="40"/>
        <v>3.1252352697797102E-2</v>
      </c>
      <c r="L396" s="74"/>
      <c r="M396" s="74"/>
      <c r="N396" s="74"/>
      <c r="O396" s="74"/>
      <c r="P396" s="74"/>
      <c r="Q396" s="74"/>
      <c r="R396" s="74"/>
      <c r="S396" s="74"/>
      <c r="T396" s="74"/>
      <c r="U396" s="74"/>
      <c r="V396" s="74"/>
      <c r="W396" s="74"/>
      <c r="X396" s="74"/>
      <c r="Y396" s="74"/>
      <c r="Z396" s="74"/>
    </row>
    <row r="397" spans="1:26" x14ac:dyDescent="0.3">
      <c r="A397" s="66">
        <f t="shared" si="38"/>
        <v>2028.9999999999645</v>
      </c>
      <c r="B397" s="67">
        <f>LOOKUP(A397+0.01,AmountsB!$A$4:$A$103,AmountsB!$B$4:$B$103)*0.1*$A$2</f>
        <v>0</v>
      </c>
      <c r="C397" s="68">
        <f t="shared" si="43"/>
        <v>83655.233518999943</v>
      </c>
      <c r="D397" s="67">
        <f t="array" ref="D397">SUM($B$7:$B392*$F$1009*EXP(-$F$1009*($A397-$A$7:$A392)))*$F$1010</f>
        <v>5684149.8369372152</v>
      </c>
      <c r="E397" s="67">
        <f t="shared" si="41"/>
        <v>10.836329867027128</v>
      </c>
      <c r="F397" s="70">
        <f t="shared" si="39"/>
        <v>0.65798194952588729</v>
      </c>
      <c r="G397" s="67">
        <f>E397/'Lookup Tables'!$C$48</f>
        <v>21.672659734054257</v>
      </c>
      <c r="H397" s="70">
        <f t="shared" si="42"/>
        <v>6.808390507709082E-2</v>
      </c>
      <c r="I397" s="71">
        <f t="shared" si="40"/>
        <v>3.1208630017038129E-2</v>
      </c>
      <c r="L397" s="74"/>
      <c r="M397" s="74"/>
      <c r="N397" s="74"/>
      <c r="O397" s="74"/>
      <c r="P397" s="74"/>
      <c r="Q397" s="74"/>
      <c r="R397" s="74"/>
      <c r="S397" s="74"/>
      <c r="T397" s="74"/>
      <c r="U397" s="74"/>
      <c r="V397" s="74"/>
      <c r="W397" s="74"/>
      <c r="X397" s="74"/>
      <c r="Y397" s="74"/>
      <c r="Z397" s="74"/>
    </row>
    <row r="398" spans="1:26" x14ac:dyDescent="0.3">
      <c r="A398" s="66">
        <f t="shared" si="38"/>
        <v>2029.0999999999644</v>
      </c>
      <c r="B398" s="67">
        <f>LOOKUP(A398+0.01,AmountsB!$A$4:$A$103,AmountsB!$B$4:$B$103)*0.1*$A$2</f>
        <v>0</v>
      </c>
      <c r="C398" s="68">
        <f t="shared" si="43"/>
        <v>83655.233518999943</v>
      </c>
      <c r="D398" s="67">
        <f t="array" ref="D398">SUM($B$7:$B393*$F$1009*EXP(-$F$1009*($A398-$A$7:$A393)))*$F$1010</f>
        <v>5676197.595033708</v>
      </c>
      <c r="E398" s="67">
        <f t="shared" si="41"/>
        <v>10.821169619862491</v>
      </c>
      <c r="F398" s="70">
        <f t="shared" si="39"/>
        <v>0.6570614193180504</v>
      </c>
      <c r="G398" s="67">
        <f>E398/'Lookup Tables'!$C$48</f>
        <v>21.642339239724983</v>
      </c>
      <c r="H398" s="70">
        <f t="shared" si="42"/>
        <v>6.7988654301083778E-2</v>
      </c>
      <c r="I398" s="71">
        <f t="shared" si="40"/>
        <v>3.116496850520397E-2</v>
      </c>
      <c r="L398" s="74"/>
      <c r="M398" s="74"/>
      <c r="N398" s="74"/>
      <c r="O398" s="74"/>
      <c r="P398" s="74"/>
      <c r="Q398" s="74"/>
      <c r="R398" s="74"/>
      <c r="S398" s="74"/>
      <c r="T398" s="74"/>
      <c r="U398" s="74"/>
      <c r="V398" s="74"/>
      <c r="W398" s="74"/>
      <c r="X398" s="74"/>
      <c r="Y398" s="74"/>
      <c r="Z398" s="74"/>
    </row>
    <row r="399" spans="1:26" x14ac:dyDescent="0.3">
      <c r="A399" s="66">
        <f t="shared" si="38"/>
        <v>2029.1999999999643</v>
      </c>
      <c r="B399" s="67">
        <f>LOOKUP(A399+0.01,AmountsB!$A$4:$A$103,AmountsB!$B$4:$B$103)*0.1*$A$2</f>
        <v>0</v>
      </c>
      <c r="C399" s="68">
        <f t="shared" si="43"/>
        <v>83655.233518999943</v>
      </c>
      <c r="D399" s="67">
        <f t="array" ref="D399">SUM($B$7:$B394*$F$1009*EXP(-$F$1009*($A399-$A$7:$A394)))*$F$1010</f>
        <v>5668256.4784793071</v>
      </c>
      <c r="E399" s="67">
        <f t="shared" si="41"/>
        <v>10.806030582193779</v>
      </c>
      <c r="F399" s="70">
        <f t="shared" si="39"/>
        <v>0.65614217695080623</v>
      </c>
      <c r="G399" s="67">
        <f>E399/'Lookup Tables'!$C$48</f>
        <v>21.612061164387558</v>
      </c>
      <c r="H399" s="70">
        <f t="shared" si="42"/>
        <v>6.7893536782861003E-2</v>
      </c>
      <c r="I399" s="71">
        <f t="shared" si="40"/>
        <v>3.1121368076718083E-2</v>
      </c>
      <c r="L399" s="74"/>
      <c r="M399" s="74"/>
      <c r="N399" s="74"/>
      <c r="O399" s="74"/>
      <c r="P399" s="74"/>
      <c r="Q399" s="74"/>
      <c r="R399" s="74"/>
      <c r="S399" s="74"/>
      <c r="T399" s="74"/>
      <c r="U399" s="74"/>
      <c r="V399" s="74"/>
      <c r="W399" s="74"/>
      <c r="X399" s="74"/>
      <c r="Y399" s="74"/>
      <c r="Z399" s="74"/>
    </row>
    <row r="400" spans="1:26" x14ac:dyDescent="0.3">
      <c r="A400" s="66">
        <f t="shared" si="38"/>
        <v>2029.2999999999643</v>
      </c>
      <c r="B400" s="67">
        <f>LOOKUP(A400+0.01,AmountsB!$A$4:$A$103,AmountsB!$B$4:$B$103)*0.1*$A$2</f>
        <v>0</v>
      </c>
      <c r="C400" s="68">
        <f t="shared" si="43"/>
        <v>83655.233518999943</v>
      </c>
      <c r="D400" s="67">
        <f t="array" ref="D400">SUM($B$7:$B395*$F$1009*EXP(-$F$1009*($A400-$A$7:$A395)))*$F$1010</f>
        <v>5660326.4717094162</v>
      </c>
      <c r="E400" s="67">
        <f t="shared" si="41"/>
        <v>10.790912724348464</v>
      </c>
      <c r="F400" s="70">
        <f t="shared" si="39"/>
        <v>0.65522422062243879</v>
      </c>
      <c r="G400" s="67">
        <f>E400/'Lookup Tables'!$C$48</f>
        <v>21.581825448696929</v>
      </c>
      <c r="H400" s="70">
        <f t="shared" si="42"/>
        <v>6.7798552335992038E-2</v>
      </c>
      <c r="I400" s="71">
        <f t="shared" si="40"/>
        <v>3.1077828646123577E-2</v>
      </c>
      <c r="L400" s="74"/>
      <c r="M400" s="74"/>
      <c r="N400" s="74"/>
      <c r="O400" s="74"/>
      <c r="P400" s="74"/>
      <c r="Q400" s="74"/>
      <c r="R400" s="74"/>
      <c r="S400" s="74"/>
      <c r="T400" s="74"/>
      <c r="U400" s="74"/>
      <c r="V400" s="74"/>
      <c r="W400" s="74"/>
      <c r="X400" s="74"/>
      <c r="Y400" s="74"/>
      <c r="Z400" s="74"/>
    </row>
    <row r="401" spans="1:26" x14ac:dyDescent="0.3">
      <c r="A401" s="66">
        <f t="shared" si="38"/>
        <v>2029.3999999999642</v>
      </c>
      <c r="B401" s="67">
        <f>LOOKUP(A401+0.01,AmountsB!$A$4:$A$103,AmountsB!$B$4:$B$103)*0.1*$A$2</f>
        <v>0</v>
      </c>
      <c r="C401" s="68">
        <f t="shared" si="43"/>
        <v>83655.233518999943</v>
      </c>
      <c r="D401" s="67">
        <f t="array" ref="D401">SUM($B$7:$B396*$F$1009*EXP(-$F$1009*($A401-$A$7:$A396)))*$F$1010</f>
        <v>5652407.5591812227</v>
      </c>
      <c r="E401" s="67">
        <f t="shared" si="41"/>
        <v>10.775816016695543</v>
      </c>
      <c r="F401" s="70">
        <f t="shared" si="39"/>
        <v>0.65430754853375339</v>
      </c>
      <c r="G401" s="67">
        <f>E401/'Lookup Tables'!$C$48</f>
        <v>21.551632033391087</v>
      </c>
      <c r="H401" s="70">
        <f t="shared" si="42"/>
        <v>6.7703700774307318E-2</v>
      </c>
      <c r="I401" s="71">
        <f t="shared" si="40"/>
        <v>3.1034350128083161E-2</v>
      </c>
      <c r="L401" s="74"/>
      <c r="M401" s="74"/>
      <c r="N401" s="74"/>
      <c r="O401" s="74"/>
      <c r="P401" s="74"/>
      <c r="Q401" s="74"/>
      <c r="R401" s="74"/>
      <c r="S401" s="74"/>
      <c r="T401" s="74"/>
      <c r="U401" s="74"/>
      <c r="V401" s="74"/>
      <c r="W401" s="74"/>
      <c r="X401" s="74"/>
      <c r="Y401" s="74"/>
      <c r="Z401" s="74"/>
    </row>
    <row r="402" spans="1:26" x14ac:dyDescent="0.3">
      <c r="A402" s="66">
        <f t="shared" si="38"/>
        <v>2029.4999999999641</v>
      </c>
      <c r="B402" s="67">
        <f>LOOKUP(A402+0.01,AmountsB!$A$4:$A$103,AmountsB!$B$4:$B$103)*0.1*$A$2</f>
        <v>0</v>
      </c>
      <c r="C402" s="68">
        <f t="shared" si="43"/>
        <v>83655.233518999943</v>
      </c>
      <c r="D402" s="67">
        <f t="array" ref="D402">SUM($B$7:$B397*$F$1009*EXP(-$F$1009*($A402-$A$7:$A397)))*$F$1010</f>
        <v>5644499.7253736546</v>
      </c>
      <c r="E402" s="67">
        <f t="shared" si="41"/>
        <v>10.760740429645464</v>
      </c>
      <c r="F402" s="70">
        <f t="shared" si="39"/>
        <v>0.65339215888807256</v>
      </c>
      <c r="G402" s="67">
        <f>E402/'Lookup Tables'!$C$48</f>
        <v>21.521480859290929</v>
      </c>
      <c r="H402" s="70">
        <f t="shared" si="42"/>
        <v>6.760898191189782E-2</v>
      </c>
      <c r="I402" s="71">
        <f t="shared" si="40"/>
        <v>3.0990932437378934E-2</v>
      </c>
      <c r="L402" s="74"/>
      <c r="M402" s="74"/>
      <c r="N402" s="74"/>
      <c r="O402" s="74"/>
      <c r="P402" s="74"/>
      <c r="Q402" s="74"/>
      <c r="R402" s="74"/>
      <c r="S402" s="74"/>
      <c r="T402" s="74"/>
      <c r="U402" s="74"/>
      <c r="V402" s="74"/>
      <c r="W402" s="74"/>
      <c r="X402" s="74"/>
      <c r="Y402" s="74"/>
      <c r="Z402" s="74"/>
    </row>
    <row r="403" spans="1:26" x14ac:dyDescent="0.3">
      <c r="A403" s="66">
        <f t="shared" ref="A403:A466" si="44">A402+0.1</f>
        <v>2029.599999999964</v>
      </c>
      <c r="B403" s="67">
        <f>LOOKUP(A403+0.01,AmountsB!$A$4:$A$103,AmountsB!$B$4:$B$103)*0.1*$A$2</f>
        <v>0</v>
      </c>
      <c r="C403" s="68">
        <f t="shared" si="43"/>
        <v>83655.233518999943</v>
      </c>
      <c r="D403" s="67">
        <f t="array" ref="D403">SUM($B$7:$B398*$F$1009*EXP(-$F$1009*($A403-$A$7:$A398)))*$F$1010</f>
        <v>5636602.9547873558</v>
      </c>
      <c r="E403" s="67">
        <f t="shared" si="41"/>
        <v>10.745685933650075</v>
      </c>
      <c r="F403" s="70">
        <f t="shared" ref="F403:F466" si="45">E403*60*1012/1000000</f>
        <v>0.65247804989123248</v>
      </c>
      <c r="G403" s="67">
        <f>E403/'Lookup Tables'!$C$48</f>
        <v>21.491371867300149</v>
      </c>
      <c r="H403" s="70">
        <f t="shared" si="42"/>
        <v>6.7514395563114518E-2</v>
      </c>
      <c r="I403" s="71">
        <f t="shared" ref="I403:I466" si="46">G403*60*24/1000000</f>
        <v>3.0947575488912218E-2</v>
      </c>
      <c r="L403" s="74"/>
      <c r="M403" s="74"/>
      <c r="N403" s="74"/>
      <c r="O403" s="74"/>
      <c r="P403" s="74"/>
      <c r="Q403" s="74"/>
      <c r="R403" s="74"/>
      <c r="S403" s="74"/>
      <c r="T403" s="74"/>
      <c r="U403" s="74"/>
      <c r="V403" s="74"/>
      <c r="W403" s="74"/>
      <c r="X403" s="74"/>
      <c r="Y403" s="74"/>
      <c r="Z403" s="74"/>
    </row>
    <row r="404" spans="1:26" x14ac:dyDescent="0.3">
      <c r="A404" s="66">
        <f t="shared" si="44"/>
        <v>2029.6999999999639</v>
      </c>
      <c r="B404" s="67">
        <f>LOOKUP(A404+0.01,AmountsB!$A$4:$A$103,AmountsB!$B$4:$B$103)*0.1*$A$2</f>
        <v>0</v>
      </c>
      <c r="C404" s="68">
        <f t="shared" si="43"/>
        <v>83655.233518999943</v>
      </c>
      <c r="D404" s="67">
        <f t="array" ref="D404">SUM($B$7:$B399*$F$1009*EXP(-$F$1009*($A404-$A$7:$A399)))*$F$1010</f>
        <v>5628717.2319446523</v>
      </c>
      <c r="E404" s="67">
        <f t="shared" si="41"/>
        <v>10.730652499202552</v>
      </c>
      <c r="F404" s="70">
        <f t="shared" si="45"/>
        <v>0.65156521975157899</v>
      </c>
      <c r="G404" s="67">
        <f>E404/'Lookup Tables'!$C$48</f>
        <v>21.461304998405105</v>
      </c>
      <c r="H404" s="70">
        <f t="shared" si="42"/>
        <v>6.7419941542568113E-2</v>
      </c>
      <c r="I404" s="71">
        <f t="shared" si="46"/>
        <v>3.090427919770335E-2</v>
      </c>
      <c r="L404" s="74"/>
      <c r="M404" s="74"/>
      <c r="N404" s="74"/>
      <c r="O404" s="74"/>
      <c r="P404" s="74"/>
      <c r="Q404" s="74"/>
      <c r="R404" s="74"/>
      <c r="S404" s="74"/>
      <c r="T404" s="74"/>
      <c r="U404" s="74"/>
      <c r="V404" s="74"/>
      <c r="W404" s="74"/>
      <c r="X404" s="74"/>
      <c r="Y404" s="74"/>
      <c r="Z404" s="74"/>
    </row>
    <row r="405" spans="1:26" x14ac:dyDescent="0.3">
      <c r="A405" s="66">
        <f t="shared" si="44"/>
        <v>2029.7999999999638</v>
      </c>
      <c r="B405" s="67">
        <f>LOOKUP(A405+0.01,AmountsB!$A$4:$A$103,AmountsB!$B$4:$B$103)*0.1*$A$2</f>
        <v>0</v>
      </c>
      <c r="C405" s="68">
        <f t="shared" si="43"/>
        <v>83655.233518999943</v>
      </c>
      <c r="D405" s="67">
        <f t="array" ref="D405">SUM($B$7:$B400*$F$1009*EXP(-$F$1009*($A405-$A$7:$A400)))*$F$1010</f>
        <v>5620842.5413895249</v>
      </c>
      <c r="E405" s="67">
        <f t="shared" si="41"/>
        <v>10.715640096837364</v>
      </c>
      <c r="F405" s="70">
        <f t="shared" si="45"/>
        <v>0.6506536666799646</v>
      </c>
      <c r="G405" s="67">
        <f>E405/'Lookup Tables'!$C$48</f>
        <v>21.431280193674727</v>
      </c>
      <c r="H405" s="70">
        <f t="shared" si="42"/>
        <v>6.7325619665128705E-2</v>
      </c>
      <c r="I405" s="71">
        <f t="shared" si="46"/>
        <v>3.0861043478891601E-2</v>
      </c>
      <c r="L405" s="74"/>
      <c r="M405" s="74"/>
      <c r="N405" s="74"/>
      <c r="O405" s="74"/>
      <c r="P405" s="74"/>
      <c r="Q405" s="74"/>
      <c r="R405" s="74"/>
      <c r="S405" s="74"/>
      <c r="T405" s="74"/>
      <c r="U405" s="74"/>
      <c r="V405" s="74"/>
      <c r="W405" s="74"/>
      <c r="X405" s="74"/>
      <c r="Y405" s="74"/>
      <c r="Z405" s="74"/>
    </row>
    <row r="406" spans="1:26" x14ac:dyDescent="0.3">
      <c r="A406" s="66">
        <f t="shared" si="44"/>
        <v>2029.8999999999637</v>
      </c>
      <c r="B406" s="67">
        <f>LOOKUP(A406+0.01,AmountsB!$A$4:$A$103,AmountsB!$B$4:$B$103)*0.1*$A$2</f>
        <v>0</v>
      </c>
      <c r="C406" s="68">
        <f t="shared" si="43"/>
        <v>83655.233518999943</v>
      </c>
      <c r="D406" s="67">
        <f t="array" ref="D406">SUM($B$7:$B401*$F$1009*EXP(-$F$1009*($A406-$A$7:$A401)))*$F$1010</f>
        <v>5612978.8676875774</v>
      </c>
      <c r="E406" s="67">
        <f t="shared" si="41"/>
        <v>10.700648697130195</v>
      </c>
      <c r="F406" s="70">
        <f t="shared" si="45"/>
        <v>0.64974338888974548</v>
      </c>
      <c r="G406" s="67">
        <f>E406/'Lookup Tables'!$C$48</f>
        <v>21.401297394260389</v>
      </c>
      <c r="H406" s="70">
        <f t="shared" si="42"/>
        <v>6.7231429745925414E-2</v>
      </c>
      <c r="I406" s="71">
        <f t="shared" si="46"/>
        <v>3.0817868247734963E-2</v>
      </c>
      <c r="L406" s="74"/>
      <c r="M406" s="74"/>
      <c r="N406" s="74"/>
      <c r="O406" s="74"/>
      <c r="P406" s="74"/>
      <c r="Q406" s="74"/>
      <c r="R406" s="74"/>
      <c r="S406" s="74"/>
      <c r="T406" s="74"/>
      <c r="U406" s="74"/>
      <c r="V406" s="74"/>
      <c r="W406" s="74"/>
      <c r="X406" s="74"/>
      <c r="Y406" s="74"/>
      <c r="Z406" s="74"/>
    </row>
    <row r="407" spans="1:26" x14ac:dyDescent="0.3">
      <c r="A407" s="66">
        <f t="shared" si="44"/>
        <v>2029.9999999999636</v>
      </c>
      <c r="B407" s="67">
        <f>LOOKUP(A407+0.01,AmountsB!$A$4:$A$103,AmountsB!$B$4:$B$103)*0.1*$A$2</f>
        <v>0</v>
      </c>
      <c r="C407" s="68">
        <f t="shared" si="43"/>
        <v>83655.233518999943</v>
      </c>
      <c r="D407" s="67">
        <f t="array" ref="D407">SUM($B$7:$B402*$F$1009*EXP(-$F$1009*($A407-$A$7:$A402)))*$F$1010</f>
        <v>5605126.1954260087</v>
      </c>
      <c r="E407" s="67">
        <f t="shared" si="41"/>
        <v>10.685678270697897</v>
      </c>
      <c r="F407" s="70">
        <f t="shared" si="45"/>
        <v>0.64883438459677634</v>
      </c>
      <c r="G407" s="67">
        <f>E407/'Lookup Tables'!$C$48</f>
        <v>21.371356541395794</v>
      </c>
      <c r="H407" s="70">
        <f t="shared" si="42"/>
        <v>6.7137371600345941E-2</v>
      </c>
      <c r="I407" s="71">
        <f t="shared" si="46"/>
        <v>3.0774753419609942E-2</v>
      </c>
      <c r="L407" s="74"/>
      <c r="M407" s="74"/>
      <c r="N407" s="74"/>
      <c r="O407" s="74"/>
      <c r="P407" s="74"/>
      <c r="Q407" s="74"/>
      <c r="R407" s="74"/>
      <c r="S407" s="74"/>
      <c r="T407" s="74"/>
      <c r="U407" s="74"/>
      <c r="V407" s="74"/>
      <c r="W407" s="74"/>
      <c r="X407" s="74"/>
      <c r="Y407" s="74"/>
      <c r="Z407" s="74"/>
    </row>
    <row r="408" spans="1:26" x14ac:dyDescent="0.3">
      <c r="A408" s="66">
        <f t="shared" si="44"/>
        <v>2030.0999999999635</v>
      </c>
      <c r="B408" s="67">
        <f>LOOKUP(A408+0.01,AmountsB!$A$4:$A$103,AmountsB!$B$4:$B$103)*0.1*$A$2</f>
        <v>0</v>
      </c>
      <c r="C408" s="68">
        <f t="shared" si="43"/>
        <v>83655.233518999943</v>
      </c>
      <c r="D408" s="67">
        <f t="array" ref="D408">SUM($B$7:$B403*$F$1009*EXP(-$F$1009*($A408-$A$7:$A403)))*$F$1010</f>
        <v>5597284.5092135761</v>
      </c>
      <c r="E408" s="67">
        <f t="shared" si="41"/>
        <v>10.670728788198431</v>
      </c>
      <c r="F408" s="70">
        <f t="shared" si="45"/>
        <v>0.6479266520194088</v>
      </c>
      <c r="G408" s="67">
        <f>E408/'Lookup Tables'!$C$48</f>
        <v>21.341457576396863</v>
      </c>
      <c r="H408" s="70">
        <f t="shared" si="42"/>
        <v>6.7043445044036282E-2</v>
      </c>
      <c r="I408" s="71">
        <f t="shared" si="46"/>
        <v>3.0731698910011481E-2</v>
      </c>
      <c r="L408" s="74"/>
      <c r="M408" s="74"/>
      <c r="N408" s="74"/>
      <c r="O408" s="74"/>
      <c r="P408" s="74"/>
      <c r="Q408" s="74"/>
      <c r="R408" s="74"/>
      <c r="S408" s="74"/>
      <c r="T408" s="74"/>
      <c r="U408" s="74"/>
      <c r="V408" s="74"/>
      <c r="W408" s="74"/>
      <c r="X408" s="74"/>
      <c r="Y408" s="74"/>
      <c r="Z408" s="74"/>
    </row>
    <row r="409" spans="1:26" x14ac:dyDescent="0.3">
      <c r="A409" s="66">
        <f t="shared" si="44"/>
        <v>2030.1999999999634</v>
      </c>
      <c r="B409" s="67">
        <f>LOOKUP(A409+0.01,AmountsB!$A$4:$A$103,AmountsB!$B$4:$B$103)*0.1*$A$2</f>
        <v>0</v>
      </c>
      <c r="C409" s="68">
        <f t="shared" si="43"/>
        <v>83655.233518999943</v>
      </c>
      <c r="D409" s="67">
        <f t="array" ref="D409">SUM($B$7:$B404*$F$1009*EXP(-$F$1009*($A409-$A$7:$A404)))*$F$1010</f>
        <v>5589453.7936805729</v>
      </c>
      <c r="E409" s="67">
        <f t="shared" si="41"/>
        <v>10.655800220330805</v>
      </c>
      <c r="F409" s="70">
        <f t="shared" si="45"/>
        <v>0.64702018937848649</v>
      </c>
      <c r="G409" s="67">
        <f>E409/'Lookup Tables'!$C$48</f>
        <v>21.311600440661611</v>
      </c>
      <c r="H409" s="70">
        <f t="shared" si="42"/>
        <v>6.6949649892900379E-2</v>
      </c>
      <c r="I409" s="71">
        <f t="shared" si="46"/>
        <v>3.068870463455272E-2</v>
      </c>
      <c r="L409" s="74"/>
      <c r="M409" s="74"/>
      <c r="N409" s="74"/>
      <c r="O409" s="74"/>
      <c r="P409" s="74"/>
      <c r="Q409" s="74"/>
      <c r="R409" s="74"/>
      <c r="S409" s="74"/>
      <c r="T409" s="74"/>
      <c r="U409" s="74"/>
      <c r="V409" s="74"/>
      <c r="W409" s="74"/>
      <c r="X409" s="74"/>
      <c r="Y409" s="74"/>
      <c r="Z409" s="74"/>
    </row>
    <row r="410" spans="1:26" x14ac:dyDescent="0.3">
      <c r="A410" s="66">
        <f t="shared" si="44"/>
        <v>2030.2999999999633</v>
      </c>
      <c r="B410" s="67">
        <f>LOOKUP(A410+0.01,AmountsB!$A$4:$A$103,AmountsB!$B$4:$B$103)*0.1*$A$2</f>
        <v>0</v>
      </c>
      <c r="C410" s="68">
        <f t="shared" si="43"/>
        <v>83655.233518999943</v>
      </c>
      <c r="D410" s="67">
        <f t="array" ref="D410">SUM($B$7:$B405*$F$1009*EXP(-$F$1009*($A410-$A$7:$A405)))*$F$1010</f>
        <v>5581634.0334787965</v>
      </c>
      <c r="E410" s="67">
        <f t="shared" si="41"/>
        <v>10.640892537835025</v>
      </c>
      <c r="F410" s="70">
        <f t="shared" si="45"/>
        <v>0.6461149948973427</v>
      </c>
      <c r="G410" s="67">
        <f>E410/'Lookup Tables'!$C$48</f>
        <v>21.281785075670051</v>
      </c>
      <c r="H410" s="70">
        <f t="shared" si="42"/>
        <v>6.6855985963099718E-2</v>
      </c>
      <c r="I410" s="71">
        <f t="shared" si="46"/>
        <v>3.0645770508964873E-2</v>
      </c>
      <c r="L410" s="74"/>
      <c r="M410" s="74"/>
      <c r="N410" s="74"/>
      <c r="O410" s="74"/>
      <c r="P410" s="74"/>
      <c r="Q410" s="74"/>
      <c r="R410" s="74"/>
      <c r="S410" s="74"/>
      <c r="T410" s="74"/>
      <c r="U410" s="74"/>
      <c r="V410" s="74"/>
      <c r="W410" s="74"/>
      <c r="X410" s="74"/>
      <c r="Y410" s="74"/>
      <c r="Z410" s="74"/>
    </row>
    <row r="411" spans="1:26" x14ac:dyDescent="0.3">
      <c r="A411" s="66">
        <f t="shared" si="44"/>
        <v>2030.3999999999633</v>
      </c>
      <c r="B411" s="67">
        <f>LOOKUP(A411+0.01,AmountsB!$A$4:$A$103,AmountsB!$B$4:$B$103)*0.1*$A$2</f>
        <v>0</v>
      </c>
      <c r="C411" s="68">
        <f t="shared" si="43"/>
        <v>83655.233518999943</v>
      </c>
      <c r="D411" s="67">
        <f t="array" ref="D411">SUM($B$7:$B406*$F$1009*EXP(-$F$1009*($A411-$A$7:$A406)))*$F$1010</f>
        <v>5573825.2132815123</v>
      </c>
      <c r="E411" s="67">
        <f t="shared" si="41"/>
        <v>10.626005711492025</v>
      </c>
      <c r="F411" s="70">
        <f t="shared" si="45"/>
        <v>0.64521106680179585</v>
      </c>
      <c r="G411" s="67">
        <f>E411/'Lookup Tables'!$C$48</f>
        <v>21.252011422984051</v>
      </c>
      <c r="H411" s="70">
        <f t="shared" si="42"/>
        <v>6.6762453071052941E-2</v>
      </c>
      <c r="I411" s="71">
        <f t="shared" si="46"/>
        <v>3.0602896449097035E-2</v>
      </c>
      <c r="L411" s="74"/>
      <c r="M411" s="74"/>
      <c r="N411" s="74"/>
      <c r="O411" s="74"/>
      <c r="P411" s="74"/>
      <c r="Q411" s="74"/>
      <c r="R411" s="74"/>
      <c r="S411" s="74"/>
      <c r="T411" s="74"/>
      <c r="U411" s="74"/>
      <c r="V411" s="74"/>
      <c r="W411" s="74"/>
      <c r="X411" s="74"/>
      <c r="Y411" s="74"/>
      <c r="Z411" s="74"/>
    </row>
    <row r="412" spans="1:26" x14ac:dyDescent="0.3">
      <c r="A412" s="66">
        <f t="shared" si="44"/>
        <v>2030.4999999999632</v>
      </c>
      <c r="B412" s="67">
        <f>LOOKUP(A412+0.01,AmountsB!$A$4:$A$103,AmountsB!$B$4:$B$103)*0.1*$A$2</f>
        <v>0</v>
      </c>
      <c r="C412" s="68">
        <f t="shared" si="43"/>
        <v>83655.233518999943</v>
      </c>
      <c r="D412" s="67">
        <f t="array" ref="D412">SUM($B$7:$B407*$F$1009*EXP(-$F$1009*($A412-$A$7:$A407)))*$F$1010</f>
        <v>5566027.3177834293</v>
      </c>
      <c r="E412" s="67">
        <f t="shared" si="41"/>
        <v>10.611139712123618</v>
      </c>
      <c r="F412" s="70">
        <f t="shared" si="45"/>
        <v>0.64430840332014616</v>
      </c>
      <c r="G412" s="67">
        <f>E412/'Lookup Tables'!$C$48</f>
        <v>21.222279424247237</v>
      </c>
      <c r="H412" s="70">
        <f t="shared" si="42"/>
        <v>6.6669051033435525E-2</v>
      </c>
      <c r="I412" s="71">
        <f t="shared" si="46"/>
        <v>3.0560082370916022E-2</v>
      </c>
      <c r="L412" s="74"/>
      <c r="M412" s="74"/>
      <c r="N412" s="74"/>
      <c r="O412" s="74"/>
      <c r="P412" s="74"/>
      <c r="Q412" s="74"/>
      <c r="R412" s="74"/>
      <c r="S412" s="74"/>
      <c r="T412" s="74"/>
      <c r="U412" s="74"/>
      <c r="V412" s="74"/>
      <c r="W412" s="74"/>
      <c r="X412" s="74"/>
      <c r="Y412" s="74"/>
      <c r="Z412" s="74"/>
    </row>
    <row r="413" spans="1:26" x14ac:dyDescent="0.3">
      <c r="A413" s="66">
        <f t="shared" si="44"/>
        <v>2030.5999999999631</v>
      </c>
      <c r="B413" s="67">
        <f>LOOKUP(A413+0.01,AmountsB!$A$4:$A$103,AmountsB!$B$4:$B$103)*0.1*$A$2</f>
        <v>0</v>
      </c>
      <c r="C413" s="68">
        <f t="shared" si="43"/>
        <v>83655.233518999943</v>
      </c>
      <c r="D413" s="67">
        <f t="array" ref="D413">SUM($B$7:$B408*$F$1009*EXP(-$F$1009*($A413-$A$7:$A408)))*$F$1010</f>
        <v>5558240.3317006715</v>
      </c>
      <c r="E413" s="67">
        <f t="shared" si="41"/>
        <v>10.596294510592447</v>
      </c>
      <c r="F413" s="70">
        <f t="shared" si="45"/>
        <v>0.6434070026831733</v>
      </c>
      <c r="G413" s="67">
        <f>E413/'Lookup Tables'!$C$48</f>
        <v>21.192589021184894</v>
      </c>
      <c r="H413" s="70">
        <f t="shared" si="42"/>
        <v>6.6575779667179494E-2</v>
      </c>
      <c r="I413" s="71">
        <f t="shared" si="46"/>
        <v>3.0517328190506246E-2</v>
      </c>
      <c r="L413" s="74"/>
      <c r="M413" s="74"/>
      <c r="N413" s="74"/>
      <c r="O413" s="74"/>
      <c r="P413" s="74"/>
      <c r="Q413" s="74"/>
      <c r="R413" s="74"/>
      <c r="S413" s="74"/>
      <c r="T413" s="74"/>
      <c r="U413" s="74"/>
      <c r="V413" s="74"/>
      <c r="W413" s="74"/>
      <c r="X413" s="74"/>
      <c r="Y413" s="74"/>
      <c r="Z413" s="74"/>
    </row>
    <row r="414" spans="1:26" x14ac:dyDescent="0.3">
      <c r="A414" s="66">
        <f t="shared" si="44"/>
        <v>2030.699999999963</v>
      </c>
      <c r="B414" s="67">
        <f>LOOKUP(A414+0.01,AmountsB!$A$4:$A$103,AmountsB!$B$4:$B$103)*0.1*$A$2</f>
        <v>0</v>
      </c>
      <c r="C414" s="68">
        <f t="shared" si="43"/>
        <v>83655.233518999943</v>
      </c>
      <c r="D414" s="67">
        <f t="array" ref="D414">SUM($B$7:$B409*$F$1009*EXP(-$F$1009*($A414-$A$7:$A409)))*$F$1010</f>
        <v>5550464.2397707412</v>
      </c>
      <c r="E414" s="67">
        <f t="shared" si="41"/>
        <v>10.581470077801903</v>
      </c>
      <c r="F414" s="70">
        <f t="shared" si="45"/>
        <v>0.64250686312413152</v>
      </c>
      <c r="G414" s="67">
        <f>E414/'Lookup Tables'!$C$48</f>
        <v>21.162940155603806</v>
      </c>
      <c r="H414" s="70">
        <f t="shared" si="42"/>
        <v>6.6482638789472914E-2</v>
      </c>
      <c r="I414" s="71">
        <f t="shared" si="46"/>
        <v>3.0474633824069484E-2</v>
      </c>
      <c r="L414" s="74"/>
      <c r="M414" s="74"/>
      <c r="N414" s="74"/>
      <c r="O414" s="74"/>
      <c r="P414" s="74"/>
      <c r="Q414" s="74"/>
      <c r="R414" s="74"/>
      <c r="S414" s="74"/>
      <c r="T414" s="74"/>
      <c r="U414" s="74"/>
      <c r="V414" s="74"/>
      <c r="W414" s="74"/>
      <c r="X414" s="74"/>
      <c r="Y414" s="74"/>
      <c r="Z414" s="74"/>
    </row>
    <row r="415" spans="1:26" x14ac:dyDescent="0.3">
      <c r="A415" s="66">
        <f t="shared" si="44"/>
        <v>2030.7999999999629</v>
      </c>
      <c r="B415" s="67">
        <f>LOOKUP(A415+0.01,AmountsB!$A$4:$A$103,AmountsB!$B$4:$B$103)*0.1*$A$2</f>
        <v>0</v>
      </c>
      <c r="C415" s="68">
        <f t="shared" si="43"/>
        <v>83655.233518999943</v>
      </c>
      <c r="D415" s="67">
        <f t="array" ref="D415">SUM($B$7:$B410*$F$1009*EXP(-$F$1009*($A415-$A$7:$A410)))*$F$1010</f>
        <v>5542699.0267525008</v>
      </c>
      <c r="E415" s="67">
        <f t="shared" si="41"/>
        <v>10.566666384696106</v>
      </c>
      <c r="F415" s="70">
        <f t="shared" si="45"/>
        <v>0.64160798287874754</v>
      </c>
      <c r="G415" s="67">
        <f>E415/'Lookup Tables'!$C$48</f>
        <v>21.133332769392212</v>
      </c>
      <c r="H415" s="70">
        <f t="shared" si="42"/>
        <v>6.6389628217759664E-2</v>
      </c>
      <c r="I415" s="71">
        <f t="shared" si="46"/>
        <v>3.0431999187924781E-2</v>
      </c>
      <c r="L415" s="74"/>
      <c r="M415" s="74"/>
      <c r="N415" s="74"/>
      <c r="O415" s="74"/>
      <c r="P415" s="74"/>
      <c r="Q415" s="74"/>
      <c r="R415" s="74"/>
      <c r="S415" s="74"/>
      <c r="T415" s="74"/>
      <c r="U415" s="74"/>
      <c r="V415" s="74"/>
      <c r="W415" s="74"/>
      <c r="X415" s="74"/>
      <c r="Y415" s="74"/>
      <c r="Z415" s="74"/>
    </row>
    <row r="416" spans="1:26" x14ac:dyDescent="0.3">
      <c r="A416" s="66">
        <f t="shared" si="44"/>
        <v>2030.8999999999628</v>
      </c>
      <c r="B416" s="67">
        <f>LOOKUP(A416+0.01,AmountsB!$A$4:$A$103,AmountsB!$B$4:$B$103)*0.1*$A$2</f>
        <v>0</v>
      </c>
      <c r="C416" s="68">
        <f t="shared" si="43"/>
        <v>83655.233518999943</v>
      </c>
      <c r="D416" s="67">
        <f t="array" ref="D416">SUM($B$7:$B411*$F$1009*EXP(-$F$1009*($A416-$A$7:$A411)))*$F$1010</f>
        <v>5534944.6774261268</v>
      </c>
      <c r="E416" s="67">
        <f t="shared" si="41"/>
        <v>10.551883402259804</v>
      </c>
      <c r="F416" s="70">
        <f t="shared" si="45"/>
        <v>0.64071036018521521</v>
      </c>
      <c r="G416" s="67">
        <f>E416/'Lookup Tables'!$C$48</f>
        <v>21.103766804519609</v>
      </c>
      <c r="H416" s="70">
        <f t="shared" si="42"/>
        <v>6.629674776973897E-2</v>
      </c>
      <c r="I416" s="71">
        <f t="shared" si="46"/>
        <v>3.0389424198508232E-2</v>
      </c>
      <c r="L416" s="74"/>
      <c r="M416" s="74"/>
      <c r="N416" s="74"/>
      <c r="O416" s="74"/>
      <c r="P416" s="74"/>
      <c r="Q416" s="74"/>
      <c r="R416" s="74"/>
      <c r="S416" s="74"/>
      <c r="T416" s="74"/>
      <c r="U416" s="74"/>
      <c r="V416" s="74"/>
      <c r="W416" s="74"/>
      <c r="X416" s="74"/>
      <c r="Y416" s="74"/>
      <c r="Z416" s="74"/>
    </row>
    <row r="417" spans="1:26" x14ac:dyDescent="0.3">
      <c r="A417" s="66">
        <f t="shared" si="44"/>
        <v>2030.9999999999627</v>
      </c>
      <c r="B417" s="67">
        <f>LOOKUP(A417+0.01,AmountsB!$A$4:$A$103,AmountsB!$B$4:$B$103)*0.1*$A$2</f>
        <v>0</v>
      </c>
      <c r="C417" s="68">
        <f t="shared" si="43"/>
        <v>83655.233518999943</v>
      </c>
      <c r="D417" s="67">
        <f t="array" ref="D417">SUM($B$7:$B412*$F$1009*EXP(-$F$1009*($A417-$A$7:$A412)))*$F$1010</f>
        <v>5527201.1765930951</v>
      </c>
      <c r="E417" s="67">
        <f t="shared" si="41"/>
        <v>10.537121101518355</v>
      </c>
      <c r="F417" s="70">
        <f t="shared" si="45"/>
        <v>0.63981399328419464</v>
      </c>
      <c r="G417" s="67">
        <f>E417/'Lookup Tables'!$C$48</f>
        <v>21.074242203036711</v>
      </c>
      <c r="H417" s="70">
        <f t="shared" si="42"/>
        <v>6.6203997263365191E-2</v>
      </c>
      <c r="I417" s="71">
        <f t="shared" si="46"/>
        <v>3.0346908772372866E-2</v>
      </c>
      <c r="L417" s="74"/>
      <c r="M417" s="74"/>
      <c r="N417" s="74"/>
      <c r="O417" s="74"/>
      <c r="P417" s="74"/>
      <c r="Q417" s="74"/>
      <c r="R417" s="74"/>
      <c r="S417" s="74"/>
      <c r="T417" s="74"/>
      <c r="U417" s="74"/>
      <c r="V417" s="74"/>
      <c r="W417" s="74"/>
      <c r="X417" s="74"/>
      <c r="Y417" s="74"/>
      <c r="Z417" s="74"/>
    </row>
    <row r="418" spans="1:26" x14ac:dyDescent="0.3">
      <c r="A418" s="66">
        <f t="shared" si="44"/>
        <v>2031.0999999999626</v>
      </c>
      <c r="B418" s="67">
        <f>LOOKUP(A418+0.01,AmountsB!$A$4:$A$103,AmountsB!$B$4:$B$103)*0.1*$A$2</f>
        <v>0</v>
      </c>
      <c r="C418" s="68">
        <f t="shared" si="43"/>
        <v>83655.233518999943</v>
      </c>
      <c r="D418" s="67">
        <f t="array" ref="D418">SUM($B$7:$B413*$F$1009*EXP(-$F$1009*($A418-$A$7:$A413)))*$F$1010</f>
        <v>5519468.5090761362</v>
      </c>
      <c r="E418" s="67">
        <f t="shared" si="41"/>
        <v>10.522379453537631</v>
      </c>
      <c r="F418" s="70">
        <f t="shared" si="45"/>
        <v>0.63891888041880496</v>
      </c>
      <c r="G418" s="67">
        <f>E418/'Lookup Tables'!$C$48</f>
        <v>21.044758907075263</v>
      </c>
      <c r="H418" s="70">
        <f t="shared" si="42"/>
        <v>6.6111376516847162E-2</v>
      </c>
      <c r="I418" s="71">
        <f t="shared" si="46"/>
        <v>3.0304452826188374E-2</v>
      </c>
      <c r="L418" s="74"/>
      <c r="M418" s="74"/>
      <c r="N418" s="74"/>
      <c r="O418" s="74"/>
      <c r="P418" s="74"/>
      <c r="Q418" s="74"/>
      <c r="R418" s="74"/>
      <c r="S418" s="74"/>
      <c r="T418" s="74"/>
      <c r="U418" s="74"/>
      <c r="V418" s="74"/>
      <c r="W418" s="74"/>
      <c r="X418" s="74"/>
      <c r="Y418" s="74"/>
      <c r="Z418" s="74"/>
    </row>
    <row r="419" spans="1:26" x14ac:dyDescent="0.3">
      <c r="A419" s="66">
        <f t="shared" si="44"/>
        <v>2031.1999999999625</v>
      </c>
      <c r="B419" s="67">
        <f>LOOKUP(A419+0.01,AmountsB!$A$4:$A$103,AmountsB!$B$4:$B$103)*0.1*$A$2</f>
        <v>0</v>
      </c>
      <c r="C419" s="68">
        <f t="shared" si="43"/>
        <v>83655.233518999943</v>
      </c>
      <c r="D419" s="67">
        <f t="array" ref="D419">SUM($B$7:$B414*$F$1009*EXP(-$F$1009*($A419-$A$7:$A414)))*$F$1010</f>
        <v>5511746.6597192213</v>
      </c>
      <c r="E419" s="67">
        <f t="shared" si="41"/>
        <v>10.507658429424005</v>
      </c>
      <c r="F419" s="70">
        <f t="shared" si="45"/>
        <v>0.63802501983462567</v>
      </c>
      <c r="G419" s="67">
        <f>E419/'Lookup Tables'!$C$48</f>
        <v>21.01531685884801</v>
      </c>
      <c r="H419" s="70">
        <f t="shared" si="42"/>
        <v>6.601888534864829E-2</v>
      </c>
      <c r="I419" s="71">
        <f t="shared" si="46"/>
        <v>3.0262056276741136E-2</v>
      </c>
      <c r="L419" s="74"/>
      <c r="M419" s="74"/>
      <c r="N419" s="74"/>
      <c r="O419" s="74"/>
      <c r="P419" s="74"/>
      <c r="Q419" s="74"/>
      <c r="R419" s="74"/>
      <c r="S419" s="74"/>
      <c r="T419" s="74"/>
      <c r="U419" s="74"/>
      <c r="V419" s="74"/>
      <c r="W419" s="74"/>
      <c r="X419" s="74"/>
      <c r="Y419" s="74"/>
      <c r="Z419" s="74"/>
    </row>
    <row r="420" spans="1:26" x14ac:dyDescent="0.3">
      <c r="A420" s="66">
        <f t="shared" si="44"/>
        <v>2031.2999999999624</v>
      </c>
      <c r="B420" s="67">
        <f>LOOKUP(A420+0.01,AmountsB!$A$4:$A$103,AmountsB!$B$4:$B$103)*0.1*$A$2</f>
        <v>0</v>
      </c>
      <c r="C420" s="68">
        <f t="shared" si="43"/>
        <v>83655.233518999943</v>
      </c>
      <c r="D420" s="67">
        <f t="array" ref="D420">SUM($B$7:$B415*$F$1009*EXP(-$F$1009*($A420-$A$7:$A415)))*$F$1010</f>
        <v>5504035.6133875242</v>
      </c>
      <c r="E420" s="67">
        <f t="shared" si="41"/>
        <v>10.492958000324263</v>
      </c>
      <c r="F420" s="70">
        <f t="shared" si="45"/>
        <v>0.63713240977968932</v>
      </c>
      <c r="G420" s="67">
        <f>E420/'Lookup Tables'!$C$48</f>
        <v>20.985916000648526</v>
      </c>
      <c r="H420" s="70">
        <f t="shared" si="42"/>
        <v>6.5926523577485824E-2</v>
      </c>
      <c r="I420" s="71">
        <f t="shared" si="46"/>
        <v>3.021971904093388E-2</v>
      </c>
      <c r="L420" s="74"/>
      <c r="M420" s="74"/>
      <c r="N420" s="74"/>
      <c r="O420" s="74"/>
      <c r="P420" s="74"/>
      <c r="Q420" s="74"/>
      <c r="R420" s="74"/>
      <c r="S420" s="74"/>
      <c r="T420" s="74"/>
      <c r="U420" s="74"/>
      <c r="V420" s="74"/>
      <c r="W420" s="74"/>
      <c r="X420" s="74"/>
      <c r="Y420" s="74"/>
      <c r="Z420" s="74"/>
    </row>
    <row r="421" spans="1:26" x14ac:dyDescent="0.3">
      <c r="A421" s="66">
        <f t="shared" si="44"/>
        <v>2031.3999999999623</v>
      </c>
      <c r="B421" s="67">
        <f>LOOKUP(A421+0.01,AmountsB!$A$4:$A$103,AmountsB!$B$4:$B$103)*0.1*$A$2</f>
        <v>0</v>
      </c>
      <c r="C421" s="68">
        <f t="shared" si="43"/>
        <v>83655.233518999943</v>
      </c>
      <c r="D421" s="67">
        <f t="array" ref="D421">SUM($B$7:$B416*$F$1009*EXP(-$F$1009*($A421-$A$7:$A416)))*$F$1010</f>
        <v>5496335.354967392</v>
      </c>
      <c r="E421" s="67">
        <f t="shared" si="41"/>
        <v>10.478278137425566</v>
      </c>
      <c r="F421" s="70">
        <f t="shared" si="45"/>
        <v>0.63624104850448027</v>
      </c>
      <c r="G421" s="67">
        <f>E421/'Lookup Tables'!$C$48</f>
        <v>20.956556274851131</v>
      </c>
      <c r="H421" s="70">
        <f t="shared" si="42"/>
        <v>6.5834291022330696E-2</v>
      </c>
      <c r="I421" s="71">
        <f t="shared" si="46"/>
        <v>3.0177441035785624E-2</v>
      </c>
      <c r="L421" s="74"/>
      <c r="M421" s="74"/>
      <c r="N421" s="74"/>
      <c r="O421" s="74"/>
      <c r="P421" s="74"/>
      <c r="Q421" s="74"/>
      <c r="R421" s="74"/>
      <c r="S421" s="74"/>
      <c r="T421" s="74"/>
      <c r="U421" s="74"/>
      <c r="V421" s="74"/>
      <c r="W421" s="74"/>
      <c r="X421" s="74"/>
      <c r="Y421" s="74"/>
      <c r="Z421" s="74"/>
    </row>
    <row r="422" spans="1:26" x14ac:dyDescent="0.3">
      <c r="A422" s="66">
        <f t="shared" si="44"/>
        <v>2031.4999999999623</v>
      </c>
      <c r="B422" s="67">
        <f>LOOKUP(A422+0.01,AmountsB!$A$4:$A$103,AmountsB!$B$4:$B$103)*0.1*$A$2</f>
        <v>0</v>
      </c>
      <c r="C422" s="68">
        <f t="shared" si="43"/>
        <v>83655.233518999943</v>
      </c>
      <c r="D422" s="67">
        <f t="array" ref="D422">SUM($B$7:$B417*$F$1009*EXP(-$F$1009*($A422-$A$7:$A417)))*$F$1010</f>
        <v>5488645.8693663143</v>
      </c>
      <c r="E422" s="67">
        <f t="shared" si="41"/>
        <v>10.463618811955367</v>
      </c>
      <c r="F422" s="70">
        <f t="shared" si="45"/>
        <v>0.6353509342619299</v>
      </c>
      <c r="G422" s="67">
        <f>E422/'Lookup Tables'!$C$48</f>
        <v>20.927237623910734</v>
      </c>
      <c r="H422" s="70">
        <f t="shared" si="42"/>
        <v>6.574218750240704E-2</v>
      </c>
      <c r="I422" s="71">
        <f t="shared" si="46"/>
        <v>3.0135222178431457E-2</v>
      </c>
      <c r="L422" s="74"/>
      <c r="M422" s="74"/>
      <c r="N422" s="74"/>
      <c r="O422" s="74"/>
      <c r="P422" s="74"/>
      <c r="Q422" s="74"/>
      <c r="R422" s="74"/>
      <c r="S422" s="74"/>
      <c r="T422" s="74"/>
      <c r="U422" s="74"/>
      <c r="V422" s="74"/>
      <c r="W422" s="74"/>
      <c r="X422" s="74"/>
      <c r="Y422" s="74"/>
      <c r="Z422" s="74"/>
    </row>
    <row r="423" spans="1:26" x14ac:dyDescent="0.3">
      <c r="A423" s="66">
        <f t="shared" si="44"/>
        <v>2031.5999999999622</v>
      </c>
      <c r="B423" s="67">
        <f>LOOKUP(A423+0.01,AmountsB!$A$4:$A$103,AmountsB!$B$4:$B$103)*0.1*$A$2</f>
        <v>0</v>
      </c>
      <c r="C423" s="68">
        <f t="shared" si="43"/>
        <v>83655.233518999943</v>
      </c>
      <c r="D423" s="67">
        <f t="array" ref="D423">SUM($B$7:$B418*$F$1009*EXP(-$F$1009*($A423-$A$7:$A418)))*$F$1010</f>
        <v>5480967.1415128978</v>
      </c>
      <c r="E423" s="67">
        <f t="shared" si="41"/>
        <v>10.448979995181391</v>
      </c>
      <c r="F423" s="70">
        <f t="shared" si="45"/>
        <v>0.634462065307414</v>
      </c>
      <c r="G423" s="67">
        <f>E423/'Lookup Tables'!$C$48</f>
        <v>20.897959990362782</v>
      </c>
      <c r="H423" s="70">
        <f t="shared" si="42"/>
        <v>6.5650212837191926E-2</v>
      </c>
      <c r="I423" s="71">
        <f t="shared" si="46"/>
        <v>3.0093062386122409E-2</v>
      </c>
      <c r="L423" s="74"/>
      <c r="M423" s="74"/>
      <c r="N423" s="74"/>
      <c r="O423" s="74"/>
      <c r="P423" s="74"/>
      <c r="Q423" s="74"/>
      <c r="R423" s="74"/>
      <c r="S423" s="74"/>
      <c r="T423" s="74"/>
      <c r="U423" s="74"/>
      <c r="V423" s="74"/>
      <c r="W423" s="74"/>
      <c r="X423" s="74"/>
      <c r="Y423" s="74"/>
      <c r="Z423" s="74"/>
    </row>
    <row r="424" spans="1:26" x14ac:dyDescent="0.3">
      <c r="A424" s="66">
        <f t="shared" si="44"/>
        <v>2031.6999999999621</v>
      </c>
      <c r="B424" s="67">
        <f>LOOKUP(A424+0.01,AmountsB!$A$4:$A$103,AmountsB!$B$4:$B$103)*0.1*$A$2</f>
        <v>0</v>
      </c>
      <c r="C424" s="68">
        <f t="shared" si="43"/>
        <v>83655.233518999943</v>
      </c>
      <c r="D424" s="67">
        <f t="array" ref="D424">SUM($B$7:$B419*$F$1009*EXP(-$F$1009*($A424-$A$7:$A419)))*$F$1010</f>
        <v>5473299.1563568339</v>
      </c>
      <c r="E424" s="67">
        <f t="shared" si="41"/>
        <v>10.43436165841155</v>
      </c>
      <c r="F424" s="70">
        <f t="shared" si="45"/>
        <v>0.6335744398987494</v>
      </c>
      <c r="G424" s="67">
        <f>E424/'Lookup Tables'!$C$48</f>
        <v>20.8687233168231</v>
      </c>
      <c r="H424" s="70">
        <f t="shared" si="42"/>
        <v>6.5558366846415E-2</v>
      </c>
      <c r="I424" s="71">
        <f t="shared" si="46"/>
        <v>3.0050961576225266E-2</v>
      </c>
      <c r="L424" s="74"/>
      <c r="M424" s="74"/>
      <c r="N424" s="74"/>
      <c r="O424" s="74"/>
      <c r="P424" s="74"/>
      <c r="Q424" s="74"/>
      <c r="R424" s="74"/>
      <c r="S424" s="74"/>
      <c r="T424" s="74"/>
      <c r="U424" s="74"/>
      <c r="V424" s="74"/>
      <c r="W424" s="74"/>
      <c r="X424" s="74"/>
      <c r="Y424" s="74"/>
      <c r="Z424" s="74"/>
    </row>
    <row r="425" spans="1:26" x14ac:dyDescent="0.3">
      <c r="A425" s="66">
        <f t="shared" si="44"/>
        <v>2031.799999999962</v>
      </c>
      <c r="B425" s="67">
        <f>LOOKUP(A425+0.01,AmountsB!$A$4:$A$103,AmountsB!$B$4:$B$103)*0.1*$A$2</f>
        <v>0</v>
      </c>
      <c r="C425" s="68">
        <f t="shared" si="43"/>
        <v>83655.233518999943</v>
      </c>
      <c r="D425" s="67">
        <f t="array" ref="D425">SUM($B$7:$B420*$F$1009*EXP(-$F$1009*($A425-$A$7:$A420)))*$F$1010</f>
        <v>5465641.8988688672</v>
      </c>
      <c r="E425" s="67">
        <f t="shared" si="41"/>
        <v>10.4197637729939</v>
      </c>
      <c r="F425" s="70">
        <f t="shared" si="45"/>
        <v>0.63268805629618963</v>
      </c>
      <c r="G425" s="67">
        <f>E425/'Lookup Tables'!$C$48</f>
        <v>20.839527545987799</v>
      </c>
      <c r="H425" s="70">
        <f t="shared" si="42"/>
        <v>6.5466649350058082E-2</v>
      </c>
      <c r="I425" s="71">
        <f t="shared" si="46"/>
        <v>3.0008919666222433E-2</v>
      </c>
      <c r="L425" s="74"/>
      <c r="M425" s="74"/>
      <c r="N425" s="74"/>
      <c r="O425" s="74"/>
      <c r="P425" s="74"/>
      <c r="Q425" s="74"/>
      <c r="R425" s="74"/>
      <c r="S425" s="74"/>
      <c r="T425" s="74"/>
      <c r="U425" s="74"/>
      <c r="V425" s="74"/>
      <c r="W425" s="74"/>
      <c r="X425" s="74"/>
      <c r="Y425" s="74"/>
      <c r="Z425" s="74"/>
    </row>
    <row r="426" spans="1:26" x14ac:dyDescent="0.3">
      <c r="A426" s="66">
        <f t="shared" si="44"/>
        <v>2031.8999999999619</v>
      </c>
      <c r="B426" s="67">
        <f>LOOKUP(A426+0.01,AmountsB!$A$4:$A$103,AmountsB!$B$4:$B$103)*0.1*$A$2</f>
        <v>0</v>
      </c>
      <c r="C426" s="68">
        <f t="shared" si="43"/>
        <v>83655.233518999943</v>
      </c>
      <c r="D426" s="67">
        <f t="array" ref="D426">SUM($B$7:$B421*$F$1009*EXP(-$F$1009*($A426-$A$7:$A421)))*$F$1010</f>
        <v>5457995.3540407745</v>
      </c>
      <c r="E426" s="67">
        <f t="shared" si="41"/>
        <v>10.405186310316585</v>
      </c>
      <c r="F426" s="70">
        <f t="shared" si="45"/>
        <v>0.63180291276242306</v>
      </c>
      <c r="G426" s="67">
        <f>E426/'Lookup Tables'!$C$48</f>
        <v>20.810372620633171</v>
      </c>
      <c r="H426" s="70">
        <f t="shared" si="42"/>
        <v>6.5375060168354843E-2</v>
      </c>
      <c r="I426" s="71">
        <f t="shared" si="46"/>
        <v>2.9966936573711762E-2</v>
      </c>
      <c r="L426" s="74"/>
      <c r="M426" s="74"/>
      <c r="N426" s="74"/>
      <c r="O426" s="74"/>
      <c r="P426" s="74"/>
      <c r="Q426" s="74"/>
      <c r="R426" s="74"/>
      <c r="S426" s="74"/>
      <c r="T426" s="74"/>
      <c r="U426" s="74"/>
      <c r="V426" s="74"/>
      <c r="W426" s="74"/>
      <c r="X426" s="74"/>
      <c r="Y426" s="74"/>
      <c r="Z426" s="74"/>
    </row>
    <row r="427" spans="1:26" x14ac:dyDescent="0.3">
      <c r="A427" s="66">
        <f t="shared" si="44"/>
        <v>2031.9999999999618</v>
      </c>
      <c r="B427" s="67">
        <f>LOOKUP(A427+0.01,AmountsB!$A$4:$A$103,AmountsB!$B$4:$B$103)*0.1*$A$2</f>
        <v>0</v>
      </c>
      <c r="C427" s="68">
        <f t="shared" si="43"/>
        <v>83655.233518999943</v>
      </c>
      <c r="D427" s="67">
        <f t="array" ref="D427">SUM($B$7:$B422*$F$1009*EXP(-$F$1009*($A427-$A$7:$A422)))*$F$1010</f>
        <v>5450359.5068853218</v>
      </c>
      <c r="E427" s="67">
        <f t="shared" si="41"/>
        <v>10.390629241807765</v>
      </c>
      <c r="F427" s="70">
        <f t="shared" si="45"/>
        <v>0.63091900756256747</v>
      </c>
      <c r="G427" s="67">
        <f>E427/'Lookup Tables'!$C$48</f>
        <v>20.781258483615531</v>
      </c>
      <c r="H427" s="70">
        <f t="shared" si="42"/>
        <v>6.5283599121790478E-2</v>
      </c>
      <c r="I427" s="71">
        <f t="shared" si="46"/>
        <v>2.9925012216406366E-2</v>
      </c>
      <c r="L427" s="74"/>
      <c r="M427" s="74"/>
      <c r="N427" s="74"/>
      <c r="O427" s="74"/>
      <c r="P427" s="74"/>
      <c r="Q427" s="74"/>
      <c r="R427" s="74"/>
      <c r="S427" s="74"/>
      <c r="T427" s="74"/>
      <c r="U427" s="74"/>
      <c r="V427" s="74"/>
      <c r="W427" s="74"/>
      <c r="X427" s="74"/>
      <c r="Y427" s="74"/>
      <c r="Z427" s="74"/>
    </row>
    <row r="428" spans="1:26" x14ac:dyDescent="0.3">
      <c r="A428" s="66">
        <f t="shared" si="44"/>
        <v>2032.0999999999617</v>
      </c>
      <c r="B428" s="67">
        <f>LOOKUP(A428+0.01,AmountsB!$A$4:$A$103,AmountsB!$B$4:$B$103)*0.1*$A$2</f>
        <v>0</v>
      </c>
      <c r="C428" s="68">
        <f t="shared" si="43"/>
        <v>83655.233518999943</v>
      </c>
      <c r="D428" s="67">
        <f t="array" ref="D428">SUM($B$7:$B423*$F$1009*EXP(-$F$1009*($A428-$A$7:$A423)))*$F$1010</f>
        <v>5442734.3424362484</v>
      </c>
      <c r="E428" s="67">
        <f t="shared" si="41"/>
        <v>10.376092538935589</v>
      </c>
      <c r="F428" s="70">
        <f t="shared" si="45"/>
        <v>0.630036338964169</v>
      </c>
      <c r="G428" s="67">
        <f>E428/'Lookup Tables'!$C$48</f>
        <v>20.752185077871179</v>
      </c>
      <c r="H428" s="70">
        <f t="shared" si="42"/>
        <v>6.5192266031101287E-2</v>
      </c>
      <c r="I428" s="71">
        <f t="shared" si="46"/>
        <v>2.9883146512134501E-2</v>
      </c>
      <c r="L428" s="74"/>
      <c r="M428" s="74"/>
      <c r="N428" s="74"/>
      <c r="O428" s="74"/>
      <c r="P428" s="74"/>
      <c r="Q428" s="74"/>
      <c r="R428" s="74"/>
      <c r="S428" s="74"/>
      <c r="T428" s="74"/>
      <c r="U428" s="74"/>
      <c r="V428" s="74"/>
      <c r="W428" s="74"/>
      <c r="X428" s="74"/>
      <c r="Y428" s="74"/>
      <c r="Z428" s="74"/>
    </row>
    <row r="429" spans="1:26" x14ac:dyDescent="0.3">
      <c r="A429" s="66">
        <f t="shared" si="44"/>
        <v>2032.1999999999616</v>
      </c>
      <c r="B429" s="67">
        <f>LOOKUP(A429+0.01,AmountsB!$A$4:$A$103,AmountsB!$B$4:$B$103)*0.1*$A$2</f>
        <v>0</v>
      </c>
      <c r="C429" s="68">
        <f t="shared" si="43"/>
        <v>83655.233518999943</v>
      </c>
      <c r="D429" s="67">
        <f t="array" ref="D429">SUM($B$7:$B424*$F$1009*EXP(-$F$1009*($A429-$A$7:$A424)))*$F$1010</f>
        <v>5435119.8457482271</v>
      </c>
      <c r="E429" s="67">
        <f t="shared" si="41"/>
        <v>10.361576173208107</v>
      </c>
      <c r="F429" s="70">
        <f t="shared" si="45"/>
        <v>0.62915490523719619</v>
      </c>
      <c r="G429" s="67">
        <f>E429/'Lookup Tables'!$C$48</f>
        <v>20.723152346416214</v>
      </c>
      <c r="H429" s="70">
        <f t="shared" si="42"/>
        <v>6.5101060717274367E-2</v>
      </c>
      <c r="I429" s="71">
        <f t="shared" si="46"/>
        <v>2.9841339378839347E-2</v>
      </c>
      <c r="L429" s="74"/>
      <c r="M429" s="74"/>
      <c r="N429" s="74"/>
      <c r="O429" s="74"/>
      <c r="P429" s="74"/>
      <c r="Q429" s="74"/>
      <c r="R429" s="74"/>
      <c r="S429" s="74"/>
      <c r="T429" s="74"/>
      <c r="U429" s="74"/>
      <c r="V429" s="74"/>
      <c r="W429" s="74"/>
      <c r="X429" s="74"/>
      <c r="Y429" s="74"/>
      <c r="Z429" s="74"/>
    </row>
    <row r="430" spans="1:26" x14ac:dyDescent="0.3">
      <c r="A430" s="66">
        <f t="shared" si="44"/>
        <v>2032.2999999999615</v>
      </c>
      <c r="B430" s="67">
        <f>LOOKUP(A430+0.01,AmountsB!$A$4:$A$103,AmountsB!$B$4:$B$103)*0.1*$A$2</f>
        <v>0</v>
      </c>
      <c r="C430" s="68">
        <f t="shared" si="43"/>
        <v>83655.233518999943</v>
      </c>
      <c r="D430" s="67">
        <f t="array" ref="D430">SUM($B$7:$B425*$F$1009*EXP(-$F$1009*($A430-$A$7:$A425)))*$F$1010</f>
        <v>5427516.0018968442</v>
      </c>
      <c r="E430" s="67">
        <f t="shared" si="41"/>
        <v>10.347080116173244</v>
      </c>
      <c r="F430" s="70">
        <f t="shared" si="45"/>
        <v>0.62827470465403934</v>
      </c>
      <c r="G430" s="67">
        <f>E430/'Lookup Tables'!$C$48</f>
        <v>20.694160232346487</v>
      </c>
      <c r="H430" s="70">
        <f t="shared" si="42"/>
        <v>6.5009983001547311E-2</v>
      </c>
      <c r="I430" s="71">
        <f t="shared" si="46"/>
        <v>2.9799590734578947E-2</v>
      </c>
      <c r="L430" s="74"/>
      <c r="M430" s="74"/>
      <c r="N430" s="74"/>
      <c r="O430" s="74"/>
      <c r="P430" s="74"/>
      <c r="Q430" s="74"/>
      <c r="R430" s="74"/>
      <c r="S430" s="74"/>
      <c r="T430" s="74"/>
      <c r="U430" s="74"/>
      <c r="V430" s="74"/>
      <c r="W430" s="74"/>
      <c r="X430" s="74"/>
      <c r="Y430" s="74"/>
      <c r="Z430" s="74"/>
    </row>
    <row r="431" spans="1:26" x14ac:dyDescent="0.3">
      <c r="A431" s="66">
        <f t="shared" si="44"/>
        <v>2032.3999999999614</v>
      </c>
      <c r="B431" s="67">
        <f>LOOKUP(A431+0.01,AmountsB!$A$4:$A$103,AmountsB!$B$4:$B$103)*0.1*$A$2</f>
        <v>0</v>
      </c>
      <c r="C431" s="68">
        <f t="shared" si="43"/>
        <v>83655.233518999943</v>
      </c>
      <c r="D431" s="67">
        <f t="array" ref="D431">SUM($B$7:$B426*$F$1009*EXP(-$F$1009*($A431-$A$7:$A426)))*$F$1010</f>
        <v>5419922.7959785629</v>
      </c>
      <c r="E431" s="67">
        <f t="shared" si="41"/>
        <v>10.332604339418722</v>
      </c>
      <c r="F431" s="70">
        <f t="shared" si="45"/>
        <v>0.62739573548950489</v>
      </c>
      <c r="G431" s="67">
        <f>E431/'Lookup Tables'!$C$48</f>
        <v>20.665208678837445</v>
      </c>
      <c r="H431" s="70">
        <f t="shared" si="42"/>
        <v>6.4919032705407761E-2</v>
      </c>
      <c r="I431" s="71">
        <f t="shared" si="46"/>
        <v>2.9757900497525924E-2</v>
      </c>
      <c r="L431" s="74"/>
      <c r="M431" s="74"/>
      <c r="N431" s="74"/>
      <c r="O431" s="74"/>
      <c r="P431" s="74"/>
      <c r="Q431" s="74"/>
      <c r="R431" s="74"/>
      <c r="S431" s="74"/>
      <c r="T431" s="74"/>
      <c r="U431" s="74"/>
      <c r="V431" s="74"/>
      <c r="W431" s="74"/>
      <c r="X431" s="74"/>
      <c r="Y431" s="74"/>
      <c r="Z431" s="74"/>
    </row>
    <row r="432" spans="1:26" x14ac:dyDescent="0.3">
      <c r="A432" s="66">
        <f t="shared" si="44"/>
        <v>2032.4999999999613</v>
      </c>
      <c r="B432" s="67">
        <f>LOOKUP(A432+0.01,AmountsB!$A$4:$A$103,AmountsB!$B$4:$B$103)*0.1*$A$2</f>
        <v>0</v>
      </c>
      <c r="C432" s="68">
        <f t="shared" si="43"/>
        <v>83655.233518999943</v>
      </c>
      <c r="D432" s="67">
        <f t="array" ref="D432">SUM($B$7:$B427*$F$1009*EXP(-$F$1009*($A432-$A$7:$A427)))*$F$1010</f>
        <v>5412340.2131106947</v>
      </c>
      <c r="E432" s="67">
        <f t="shared" si="41"/>
        <v>10.318148814572009</v>
      </c>
      <c r="F432" s="70">
        <f t="shared" si="45"/>
        <v>0.62651799602081237</v>
      </c>
      <c r="G432" s="67">
        <f>E432/'Lookup Tables'!$C$48</f>
        <v>20.636297629144018</v>
      </c>
      <c r="H432" s="70">
        <f t="shared" si="42"/>
        <v>6.4828209650593063E-2</v>
      </c>
      <c r="I432" s="71">
        <f t="shared" si="46"/>
        <v>2.9716268585967386E-2</v>
      </c>
      <c r="L432" s="74"/>
      <c r="M432" s="74"/>
      <c r="N432" s="74"/>
      <c r="O432" s="74"/>
      <c r="P432" s="74"/>
      <c r="Q432" s="74"/>
      <c r="R432" s="74"/>
      <c r="S432" s="74"/>
      <c r="T432" s="74"/>
      <c r="U432" s="74"/>
      <c r="V432" s="74"/>
      <c r="W432" s="74"/>
      <c r="X432" s="74"/>
      <c r="Y432" s="74"/>
      <c r="Z432" s="74"/>
    </row>
    <row r="433" spans="1:26" x14ac:dyDescent="0.3">
      <c r="A433" s="66">
        <f t="shared" si="44"/>
        <v>2032.5999999999613</v>
      </c>
      <c r="B433" s="67">
        <f>LOOKUP(A433+0.01,AmountsB!$A$4:$A$103,AmountsB!$B$4:$B$103)*0.1*$A$2</f>
        <v>0</v>
      </c>
      <c r="C433" s="68">
        <f t="shared" si="43"/>
        <v>83655.233518999943</v>
      </c>
      <c r="D433" s="67">
        <f t="array" ref="D433">SUM($B$7:$B428*$F$1009*EXP(-$F$1009*($A433-$A$7:$A428)))*$F$1010</f>
        <v>5404768.2384313764</v>
      </c>
      <c r="E433" s="67">
        <f t="shared" si="41"/>
        <v>10.303713513300274</v>
      </c>
      <c r="F433" s="70">
        <f t="shared" si="45"/>
        <v>0.62564148452759272</v>
      </c>
      <c r="G433" s="67">
        <f>E433/'Lookup Tables'!$C$48</f>
        <v>20.607427026600547</v>
      </c>
      <c r="H433" s="70">
        <f t="shared" si="42"/>
        <v>6.4737513659090015E-2</v>
      </c>
      <c r="I433" s="71">
        <f t="shared" si="46"/>
        <v>2.9674694918304791E-2</v>
      </c>
      <c r="L433" s="74"/>
      <c r="M433" s="74"/>
      <c r="N433" s="74"/>
      <c r="O433" s="74"/>
      <c r="P433" s="74"/>
      <c r="Q433" s="74"/>
      <c r="R433" s="74"/>
      <c r="S433" s="74"/>
      <c r="T433" s="74"/>
      <c r="U433" s="74"/>
      <c r="V433" s="74"/>
      <c r="W433" s="74"/>
      <c r="X433" s="74"/>
      <c r="Y433" s="74"/>
      <c r="Z433" s="74"/>
    </row>
    <row r="434" spans="1:26" x14ac:dyDescent="0.3">
      <c r="A434" s="66">
        <f t="shared" si="44"/>
        <v>2032.6999999999612</v>
      </c>
      <c r="B434" s="67">
        <f>LOOKUP(A434+0.01,AmountsB!$A$4:$A$103,AmountsB!$B$4:$B$103)*0.1*$A$2</f>
        <v>0</v>
      </c>
      <c r="C434" s="68">
        <f t="shared" si="43"/>
        <v>83655.233518999943</v>
      </c>
      <c r="D434" s="67">
        <f t="array" ref="D434">SUM($B$7:$B429*$F$1009*EXP(-$F$1009*($A434-$A$7:$A429)))*$F$1010</f>
        <v>5397206.8570995377</v>
      </c>
      <c r="E434" s="67">
        <f t="shared" si="41"/>
        <v>10.289298407310328</v>
      </c>
      <c r="F434" s="70">
        <f t="shared" si="45"/>
        <v>0.62476619929188315</v>
      </c>
      <c r="G434" s="67">
        <f>E434/'Lookup Tables'!$C$48</f>
        <v>20.578596814620656</v>
      </c>
      <c r="H434" s="70">
        <f t="shared" si="42"/>
        <v>6.4646944553134508E-2</v>
      </c>
      <c r="I434" s="71">
        <f t="shared" si="46"/>
        <v>2.9633179413053747E-2</v>
      </c>
      <c r="L434" s="74"/>
      <c r="M434" s="74"/>
      <c r="N434" s="74"/>
      <c r="O434" s="74"/>
      <c r="P434" s="74"/>
      <c r="Q434" s="74"/>
      <c r="R434" s="74"/>
      <c r="S434" s="74"/>
      <c r="T434" s="74"/>
      <c r="U434" s="74"/>
      <c r="V434" s="74"/>
      <c r="W434" s="74"/>
      <c r="X434" s="74"/>
      <c r="Y434" s="74"/>
      <c r="Z434" s="74"/>
    </row>
    <row r="435" spans="1:26" x14ac:dyDescent="0.3">
      <c r="A435" s="66">
        <f t="shared" si="44"/>
        <v>2032.7999999999611</v>
      </c>
      <c r="B435" s="67">
        <f>LOOKUP(A435+0.01,AmountsB!$A$4:$A$103,AmountsB!$B$4:$B$103)*0.1*$A$2</f>
        <v>0</v>
      </c>
      <c r="C435" s="68">
        <f t="shared" si="43"/>
        <v>83655.233518999943</v>
      </c>
      <c r="D435" s="67">
        <f t="array" ref="D435">SUM($B$7:$B430*$F$1009*EXP(-$F$1009*($A435-$A$7:$A430)))*$F$1010</f>
        <v>5389656.0542948646</v>
      </c>
      <c r="E435" s="67">
        <f t="shared" si="41"/>
        <v>10.274903468348551</v>
      </c>
      <c r="F435" s="70">
        <f t="shared" si="45"/>
        <v>0.62389213859812398</v>
      </c>
      <c r="G435" s="67">
        <f>E435/'Lookup Tables'!$C$48</f>
        <v>20.549806936697102</v>
      </c>
      <c r="H435" s="70">
        <f t="shared" si="42"/>
        <v>6.4556502155210985E-2</v>
      </c>
      <c r="I435" s="71">
        <f t="shared" si="46"/>
        <v>2.9591721988843828E-2</v>
      </c>
      <c r="L435" s="74"/>
      <c r="M435" s="74"/>
      <c r="N435" s="74"/>
      <c r="O435" s="74"/>
      <c r="P435" s="74"/>
      <c r="Q435" s="74"/>
      <c r="R435" s="74"/>
      <c r="S435" s="74"/>
      <c r="T435" s="74"/>
      <c r="U435" s="74"/>
      <c r="V435" s="74"/>
      <c r="W435" s="74"/>
      <c r="X435" s="74"/>
      <c r="Y435" s="74"/>
      <c r="Z435" s="74"/>
    </row>
    <row r="436" spans="1:26" x14ac:dyDescent="0.3">
      <c r="A436" s="66">
        <f t="shared" si="44"/>
        <v>2032.899999999961</v>
      </c>
      <c r="B436" s="67">
        <f>LOOKUP(A436+0.01,AmountsB!$A$4:$A$103,AmountsB!$B$4:$B$103)*0.1*$A$2</f>
        <v>0</v>
      </c>
      <c r="C436" s="68">
        <f t="shared" si="43"/>
        <v>83655.233518999943</v>
      </c>
      <c r="D436" s="67">
        <f t="array" ref="D436">SUM($B$7:$B431*$F$1009*EXP(-$F$1009*($A436-$A$7:$A431)))*$F$1010</f>
        <v>5382115.8152177846</v>
      </c>
      <c r="E436" s="67">
        <f t="shared" si="41"/>
        <v>10.260528668200861</v>
      </c>
      <c r="F436" s="70">
        <f t="shared" si="45"/>
        <v>0.62301930073315626</v>
      </c>
      <c r="G436" s="67">
        <f>E436/'Lookup Tables'!$C$48</f>
        <v>20.521057336401721</v>
      </c>
      <c r="H436" s="70">
        <f t="shared" si="42"/>
        <v>6.4466186288052355E-2</v>
      </c>
      <c r="I436" s="71">
        <f t="shared" si="46"/>
        <v>2.9550322564418478E-2</v>
      </c>
      <c r="L436" s="74"/>
      <c r="M436" s="74"/>
      <c r="N436" s="74"/>
      <c r="O436" s="74"/>
      <c r="P436" s="74"/>
      <c r="Q436" s="74"/>
      <c r="R436" s="74"/>
      <c r="S436" s="74"/>
      <c r="T436" s="74"/>
      <c r="U436" s="74"/>
      <c r="V436" s="74"/>
      <c r="W436" s="74"/>
      <c r="X436" s="74"/>
      <c r="Y436" s="74"/>
      <c r="Z436" s="74"/>
    </row>
    <row r="437" spans="1:26" x14ac:dyDescent="0.3">
      <c r="A437" s="66">
        <f t="shared" si="44"/>
        <v>2032.9999999999609</v>
      </c>
      <c r="B437" s="67">
        <f>LOOKUP(A437+0.01,AmountsB!$A$4:$A$103,AmountsB!$B$4:$B$103)*0.1*$A$2</f>
        <v>0</v>
      </c>
      <c r="C437" s="68">
        <f t="shared" si="43"/>
        <v>83655.233518999943</v>
      </c>
      <c r="D437" s="67">
        <f t="array" ref="D437">SUM($B$7:$B432*$F$1009*EXP(-$F$1009*($A437-$A$7:$A432)))*$F$1010</f>
        <v>5374586.1250894247</v>
      </c>
      <c r="E437" s="67">
        <f t="shared" si="41"/>
        <v>10.246173978692646</v>
      </c>
      <c r="F437" s="70">
        <f t="shared" si="45"/>
        <v>0.62214768398621745</v>
      </c>
      <c r="G437" s="67">
        <f>E437/'Lookup Tables'!$C$48</f>
        <v>20.492347957385292</v>
      </c>
      <c r="H437" s="70">
        <f t="shared" si="42"/>
        <v>6.4375996774639496E-2</v>
      </c>
      <c r="I437" s="71">
        <f t="shared" si="46"/>
        <v>2.9508981058634823E-2</v>
      </c>
      <c r="L437" s="74"/>
      <c r="M437" s="74"/>
      <c r="N437" s="74"/>
      <c r="O437" s="74"/>
      <c r="P437" s="74"/>
      <c r="Q437" s="74"/>
      <c r="R437" s="74"/>
      <c r="S437" s="74"/>
      <c r="T437" s="74"/>
      <c r="U437" s="74"/>
      <c r="V437" s="74"/>
      <c r="W437" s="74"/>
      <c r="X437" s="74"/>
      <c r="Y437" s="74"/>
      <c r="Z437" s="74"/>
    </row>
    <row r="438" spans="1:26" x14ac:dyDescent="0.3">
      <c r="A438" s="66">
        <f t="shared" si="44"/>
        <v>2033.0999999999608</v>
      </c>
      <c r="B438" s="67">
        <f>LOOKUP(A438+0.01,AmountsB!$A$4:$A$103,AmountsB!$B$4:$B$103)*0.1*$A$2</f>
        <v>0</v>
      </c>
      <c r="C438" s="68">
        <f t="shared" si="43"/>
        <v>83655.233518999943</v>
      </c>
      <c r="D438" s="67">
        <f t="array" ref="D438">SUM($B$7:$B433*$F$1009*EXP(-$F$1009*($A438-$A$7:$A433)))*$F$1010</f>
        <v>5367066.9691515919</v>
      </c>
      <c r="E438" s="67">
        <f t="shared" si="41"/>
        <v>10.231839371688713</v>
      </c>
      <c r="F438" s="70">
        <f t="shared" si="45"/>
        <v>0.62127728664893855</v>
      </c>
      <c r="G438" s="67">
        <f>E438/'Lookup Tables'!$C$48</f>
        <v>20.463678743377425</v>
      </c>
      <c r="H438" s="70">
        <f t="shared" si="42"/>
        <v>6.4285933438200937E-2</v>
      </c>
      <c r="I438" s="71">
        <f t="shared" si="46"/>
        <v>2.9467697390463489E-2</v>
      </c>
      <c r="L438" s="74"/>
      <c r="M438" s="74"/>
      <c r="N438" s="74"/>
      <c r="O438" s="74"/>
      <c r="P438" s="74"/>
      <c r="Q438" s="74"/>
      <c r="R438" s="74"/>
      <c r="S438" s="74"/>
      <c r="T438" s="74"/>
      <c r="U438" s="74"/>
      <c r="V438" s="74"/>
      <c r="W438" s="74"/>
      <c r="X438" s="74"/>
      <c r="Y438" s="74"/>
      <c r="Z438" s="74"/>
    </row>
    <row r="439" spans="1:26" x14ac:dyDescent="0.3">
      <c r="A439" s="66">
        <f t="shared" si="44"/>
        <v>2033.1999999999607</v>
      </c>
      <c r="B439" s="67">
        <f>LOOKUP(A439+0.01,AmountsB!$A$4:$A$103,AmountsB!$B$4:$B$103)*0.1*$A$2</f>
        <v>0</v>
      </c>
      <c r="C439" s="68">
        <f t="shared" si="43"/>
        <v>83655.233518999943</v>
      </c>
      <c r="D439" s="67">
        <f t="array" ref="D439">SUM($B$7:$B434*$F$1009*EXP(-$F$1009*($A439-$A$7:$A434)))*$F$1010</f>
        <v>5359558.3326667361</v>
      </c>
      <c r="E439" s="67">
        <f t="shared" si="41"/>
        <v>10.217524819093219</v>
      </c>
      <c r="F439" s="70">
        <f t="shared" si="45"/>
        <v>0.62040810701534022</v>
      </c>
      <c r="G439" s="67">
        <f>E439/'Lookup Tables'!$C$48</f>
        <v>20.435049638186438</v>
      </c>
      <c r="H439" s="70">
        <f t="shared" si="42"/>
        <v>6.4195996102212466E-2</v>
      </c>
      <c r="I439" s="71">
        <f t="shared" si="46"/>
        <v>2.9426471478988466E-2</v>
      </c>
      <c r="L439" s="74"/>
      <c r="M439" s="74"/>
      <c r="N439" s="74"/>
      <c r="O439" s="74"/>
      <c r="P439" s="74"/>
      <c r="Q439" s="74"/>
      <c r="R439" s="74"/>
      <c r="S439" s="74"/>
      <c r="T439" s="74"/>
      <c r="U439" s="74"/>
      <c r="V439" s="74"/>
      <c r="W439" s="74"/>
      <c r="X439" s="74"/>
      <c r="Y439" s="74"/>
      <c r="Z439" s="74"/>
    </row>
    <row r="440" spans="1:26" x14ac:dyDescent="0.3">
      <c r="A440" s="66">
        <f t="shared" si="44"/>
        <v>2033.2999999999606</v>
      </c>
      <c r="B440" s="67">
        <f>LOOKUP(A440+0.01,AmountsB!$A$4:$A$103,AmountsB!$B$4:$B$103)*0.1*$A$2</f>
        <v>0</v>
      </c>
      <c r="C440" s="68">
        <f t="shared" si="43"/>
        <v>83655.233518999943</v>
      </c>
      <c r="D440" s="67">
        <f t="array" ref="D440">SUM($B$7:$B435*$F$1009*EXP(-$F$1009*($A440-$A$7:$A435)))*$F$1010</f>
        <v>5352060.2009179275</v>
      </c>
      <c r="E440" s="67">
        <f t="shared" si="41"/>
        <v>10.203230292849645</v>
      </c>
      <c r="F440" s="70">
        <f t="shared" si="45"/>
        <v>0.61954014338183039</v>
      </c>
      <c r="G440" s="67">
        <f>E440/'Lookup Tables'!$C$48</f>
        <v>20.406460585699289</v>
      </c>
      <c r="H440" s="70">
        <f t="shared" si="42"/>
        <v>6.410618459039695E-2</v>
      </c>
      <c r="I440" s="71">
        <f t="shared" si="46"/>
        <v>2.9385303243406977E-2</v>
      </c>
      <c r="L440" s="74"/>
      <c r="M440" s="74"/>
      <c r="N440" s="74"/>
      <c r="O440" s="74"/>
      <c r="P440" s="74"/>
      <c r="Q440" s="74"/>
      <c r="R440" s="74"/>
      <c r="S440" s="74"/>
      <c r="T440" s="74"/>
      <c r="U440" s="74"/>
      <c r="V440" s="74"/>
      <c r="W440" s="74"/>
      <c r="X440" s="74"/>
      <c r="Y440" s="74"/>
      <c r="Z440" s="74"/>
    </row>
    <row r="441" spans="1:26" x14ac:dyDescent="0.3">
      <c r="A441" s="66">
        <f t="shared" si="44"/>
        <v>2033.3999999999605</v>
      </c>
      <c r="B441" s="67">
        <f>LOOKUP(A441+0.01,AmountsB!$A$4:$A$103,AmountsB!$B$4:$B$103)*0.1*$A$2</f>
        <v>0</v>
      </c>
      <c r="C441" s="68">
        <f t="shared" si="43"/>
        <v>83655.233518999943</v>
      </c>
      <c r="D441" s="67">
        <f t="array" ref="D441">SUM($B$7:$B436*$F$1009*EXP(-$F$1009*($A441-$A$7:$A436)))*$F$1010</f>
        <v>5344572.5592088271</v>
      </c>
      <c r="E441" s="67">
        <f t="shared" si="41"/>
        <v>10.18895576494071</v>
      </c>
      <c r="F441" s="70">
        <f t="shared" si="45"/>
        <v>0.6186733940471999</v>
      </c>
      <c r="G441" s="67">
        <f>E441/'Lookup Tables'!$C$48</f>
        <v>20.37791152988142</v>
      </c>
      <c r="H441" s="70">
        <f t="shared" si="42"/>
        <v>6.4016498726723742E-2</v>
      </c>
      <c r="I441" s="71">
        <f t="shared" si="46"/>
        <v>2.9344192603029246E-2</v>
      </c>
      <c r="L441" s="74"/>
      <c r="M441" s="74"/>
      <c r="N441" s="74"/>
      <c r="O441" s="74"/>
      <c r="P441" s="74"/>
      <c r="Q441" s="74"/>
      <c r="R441" s="74"/>
      <c r="S441" s="74"/>
      <c r="T441" s="74"/>
      <c r="U441" s="74"/>
      <c r="V441" s="74"/>
      <c r="W441" s="74"/>
      <c r="X441" s="74"/>
      <c r="Y441" s="74"/>
      <c r="Z441" s="74"/>
    </row>
    <row r="442" spans="1:26" x14ac:dyDescent="0.3">
      <c r="A442" s="66">
        <f t="shared" si="44"/>
        <v>2033.4999999999604</v>
      </c>
      <c r="B442" s="67">
        <f>LOOKUP(A442+0.01,AmountsB!$A$4:$A$103,AmountsB!$B$4:$B$103)*0.1*$A$2</f>
        <v>0</v>
      </c>
      <c r="C442" s="68">
        <f t="shared" si="43"/>
        <v>83655.233518999943</v>
      </c>
      <c r="D442" s="67">
        <f t="array" ref="D442">SUM($B$7:$B437*$F$1009*EXP(-$F$1009*($A442-$A$7:$A437)))*$F$1010</f>
        <v>5337095.3928636517</v>
      </c>
      <c r="E442" s="67">
        <f t="shared" si="41"/>
        <v>10.174701207388333</v>
      </c>
      <c r="F442" s="70">
        <f t="shared" si="45"/>
        <v>0.61780785731261956</v>
      </c>
      <c r="G442" s="67">
        <f>E442/'Lookup Tables'!$C$48</f>
        <v>20.349402414776666</v>
      </c>
      <c r="H442" s="70">
        <f t="shared" si="42"/>
        <v>6.3926938335408495E-2</v>
      </c>
      <c r="I442" s="71">
        <f t="shared" si="46"/>
        <v>2.93031394772784E-2</v>
      </c>
      <c r="L442" s="74"/>
      <c r="M442" s="74"/>
      <c r="N442" s="74"/>
      <c r="O442" s="74"/>
      <c r="P442" s="74"/>
      <c r="Q442" s="74"/>
      <c r="R442" s="74"/>
      <c r="S442" s="74"/>
      <c r="T442" s="74"/>
      <c r="U442" s="74"/>
      <c r="V442" s="74"/>
      <c r="W442" s="74"/>
      <c r="X442" s="74"/>
      <c r="Y442" s="74"/>
      <c r="Z442" s="74"/>
    </row>
    <row r="443" spans="1:26" x14ac:dyDescent="0.3">
      <c r="A443" s="66">
        <f t="shared" si="44"/>
        <v>2033.5999999999603</v>
      </c>
      <c r="B443" s="67">
        <f>LOOKUP(A443+0.01,AmountsB!$A$4:$A$103,AmountsB!$B$4:$B$103)*0.1*$A$2</f>
        <v>0</v>
      </c>
      <c r="C443" s="68">
        <f t="shared" si="43"/>
        <v>83655.233518999943</v>
      </c>
      <c r="D443" s="67">
        <f t="array" ref="D443">SUM($B$7:$B438*$F$1009*EXP(-$F$1009*($A443-$A$7:$A438)))*$F$1010</f>
        <v>5329628.6872271569</v>
      </c>
      <c r="E443" s="67">
        <f t="shared" si="41"/>
        <v>10.160466592253584</v>
      </c>
      <c r="F443" s="70">
        <f t="shared" si="45"/>
        <v>0.61694353148163761</v>
      </c>
      <c r="G443" s="67">
        <f>E443/'Lookup Tables'!$C$48</f>
        <v>20.320933184507169</v>
      </c>
      <c r="H443" s="70">
        <f t="shared" si="42"/>
        <v>6.3837503240912891E-2</v>
      </c>
      <c r="I443" s="71">
        <f t="shared" si="46"/>
        <v>2.9262143785690323E-2</v>
      </c>
      <c r="L443" s="74"/>
      <c r="M443" s="74"/>
      <c r="N443" s="74"/>
      <c r="O443" s="74"/>
      <c r="P443" s="74"/>
      <c r="Q443" s="74"/>
      <c r="R443" s="74"/>
      <c r="S443" s="74"/>
      <c r="T443" s="74"/>
      <c r="U443" s="74"/>
      <c r="V443" s="74"/>
      <c r="W443" s="74"/>
      <c r="X443" s="74"/>
      <c r="Y443" s="74"/>
      <c r="Z443" s="74"/>
    </row>
    <row r="444" spans="1:26" x14ac:dyDescent="0.3">
      <c r="A444" s="66">
        <f t="shared" si="44"/>
        <v>2033.6999999999603</v>
      </c>
      <c r="B444" s="67">
        <f>LOOKUP(A444+0.01,AmountsB!$A$4:$A$103,AmountsB!$B$4:$B$103)*0.1*$A$2</f>
        <v>0</v>
      </c>
      <c r="C444" s="68">
        <f t="shared" si="43"/>
        <v>83655.233518999943</v>
      </c>
      <c r="D444" s="67">
        <f t="array" ref="D444">SUM($B$7:$B439*$F$1009*EXP(-$F$1009*($A444-$A$7:$A439)))*$F$1010</f>
        <v>5322172.4276645966</v>
      </c>
      <c r="E444" s="67">
        <f t="shared" si="41"/>
        <v>10.146251891636611</v>
      </c>
      <c r="F444" s="70">
        <f t="shared" si="45"/>
        <v>0.61608041486017495</v>
      </c>
      <c r="G444" s="67">
        <f>E444/'Lookup Tables'!$C$48</f>
        <v>20.292503783273222</v>
      </c>
      <c r="H444" s="70">
        <f t="shared" si="42"/>
        <v>6.3748193267944092E-2</v>
      </c>
      <c r="I444" s="71">
        <f t="shared" si="46"/>
        <v>2.9221205447913439E-2</v>
      </c>
      <c r="L444" s="74"/>
      <c r="M444" s="74"/>
      <c r="N444" s="74"/>
      <c r="O444" s="74"/>
      <c r="P444" s="74"/>
      <c r="Q444" s="74"/>
      <c r="R444" s="74"/>
      <c r="S444" s="74"/>
      <c r="T444" s="74"/>
      <c r="U444" s="74"/>
      <c r="V444" s="74"/>
      <c r="W444" s="74"/>
      <c r="X444" s="74"/>
      <c r="Y444" s="74"/>
      <c r="Z444" s="74"/>
    </row>
    <row r="445" spans="1:26" x14ac:dyDescent="0.3">
      <c r="A445" s="66">
        <f t="shared" si="44"/>
        <v>2033.7999999999602</v>
      </c>
      <c r="B445" s="67">
        <f>LOOKUP(A445+0.01,AmountsB!$A$4:$A$103,AmountsB!$B$4:$B$103)*0.1*$A$2</f>
        <v>0</v>
      </c>
      <c r="C445" s="68">
        <f t="shared" si="43"/>
        <v>83655.233518999943</v>
      </c>
      <c r="D445" s="67">
        <f t="array" ref="D445">SUM($B$7:$B440*$F$1009*EXP(-$F$1009*($A445-$A$7:$A440)))*$F$1010</f>
        <v>5314726.5995616959</v>
      </c>
      <c r="E445" s="67">
        <f t="shared" si="41"/>
        <v>10.132057077676588</v>
      </c>
      <c r="F445" s="70">
        <f t="shared" si="45"/>
        <v>0.61521850575652237</v>
      </c>
      <c r="G445" s="67">
        <f>E445/'Lookup Tables'!$C$48</f>
        <v>20.264114155353177</v>
      </c>
      <c r="H445" s="70">
        <f t="shared" si="42"/>
        <v>6.3659008241454457E-2</v>
      </c>
      <c r="I445" s="71">
        <f t="shared" si="46"/>
        <v>2.9180324383708576E-2</v>
      </c>
      <c r="L445" s="74"/>
      <c r="M445" s="74"/>
      <c r="N445" s="74"/>
      <c r="O445" s="74"/>
      <c r="P445" s="74"/>
      <c r="Q445" s="74"/>
      <c r="R445" s="74"/>
      <c r="S445" s="74"/>
      <c r="T445" s="74"/>
      <c r="U445" s="74"/>
      <c r="V445" s="74"/>
      <c r="W445" s="74"/>
      <c r="X445" s="74"/>
      <c r="Y445" s="74"/>
      <c r="Z445" s="74"/>
    </row>
    <row r="446" spans="1:26" x14ac:dyDescent="0.3">
      <c r="A446" s="66">
        <f t="shared" si="44"/>
        <v>2033.8999999999601</v>
      </c>
      <c r="B446" s="67">
        <f>LOOKUP(A446+0.01,AmountsB!$A$4:$A$103,AmountsB!$B$4:$B$103)*0.1*$A$2</f>
        <v>0</v>
      </c>
      <c r="C446" s="68">
        <f t="shared" si="43"/>
        <v>83655.233518999943</v>
      </c>
      <c r="D446" s="67">
        <f t="array" ref="D446">SUM($B$7:$B441*$F$1009*EXP(-$F$1009*($A446-$A$7:$A441)))*$F$1010</f>
        <v>5307291.1883246331</v>
      </c>
      <c r="E446" s="67">
        <f t="shared" si="41"/>
        <v>10.117882122551686</v>
      </c>
      <c r="F446" s="70">
        <f t="shared" si="45"/>
        <v>0.61435780248133842</v>
      </c>
      <c r="G446" s="67">
        <f>E446/'Lookup Tables'!$C$48</f>
        <v>20.235764245103372</v>
      </c>
      <c r="H446" s="70">
        <f t="shared" si="42"/>
        <v>6.3569947986641395E-2</v>
      </c>
      <c r="I446" s="71">
        <f t="shared" si="46"/>
        <v>2.9139500512948856E-2</v>
      </c>
      <c r="L446" s="74"/>
      <c r="M446" s="74"/>
      <c r="N446" s="74"/>
      <c r="O446" s="74"/>
      <c r="P446" s="74"/>
      <c r="Q446" s="74"/>
      <c r="R446" s="74"/>
      <c r="S446" s="74"/>
      <c r="T446" s="74"/>
      <c r="U446" s="74"/>
      <c r="V446" s="74"/>
      <c r="W446" s="74"/>
      <c r="X446" s="74"/>
      <c r="Y446" s="74"/>
      <c r="Z446" s="74"/>
    </row>
    <row r="447" spans="1:26" x14ac:dyDescent="0.3">
      <c r="A447" s="66">
        <f t="shared" si="44"/>
        <v>2033.99999999996</v>
      </c>
      <c r="B447" s="67">
        <f>LOOKUP(A447+0.01,AmountsB!$A$4:$A$103,AmountsB!$B$4:$B$103)*0.1*$A$2</f>
        <v>0</v>
      </c>
      <c r="C447" s="68">
        <f t="shared" si="43"/>
        <v>83655.233518999943</v>
      </c>
      <c r="D447" s="67">
        <f t="array" ref="D447">SUM($B$7:$B442*$F$1009*EXP(-$F$1009*($A447-$A$7:$A442)))*$F$1010</f>
        <v>5299866.1793799968</v>
      </c>
      <c r="E447" s="67">
        <f t="shared" si="41"/>
        <v>10.103726998478978</v>
      </c>
      <c r="F447" s="70">
        <f t="shared" si="45"/>
        <v>0.61349830334764355</v>
      </c>
      <c r="G447" s="67">
        <f>E447/'Lookup Tables'!$C$48</f>
        <v>20.207453996957955</v>
      </c>
      <c r="H447" s="70">
        <f t="shared" si="42"/>
        <v>6.3481012328946693E-2</v>
      </c>
      <c r="I447" s="71">
        <f t="shared" si="46"/>
        <v>2.9098733755619454E-2</v>
      </c>
      <c r="L447" s="74"/>
      <c r="M447" s="74"/>
      <c r="N447" s="74"/>
      <c r="O447" s="74"/>
      <c r="P447" s="74"/>
      <c r="Q447" s="74"/>
      <c r="R447" s="74"/>
      <c r="S447" s="74"/>
      <c r="T447" s="74"/>
      <c r="U447" s="74"/>
      <c r="V447" s="74"/>
      <c r="W447" s="74"/>
      <c r="X447" s="74"/>
      <c r="Y447" s="74"/>
      <c r="Z447" s="74"/>
    </row>
    <row r="448" spans="1:26" x14ac:dyDescent="0.3">
      <c r="A448" s="66">
        <f t="shared" si="44"/>
        <v>2034.0999999999599</v>
      </c>
      <c r="B448" s="67">
        <f>LOOKUP(A448+0.01,AmountsB!$A$4:$A$103,AmountsB!$B$4:$B$103)*0.1*$A$2</f>
        <v>0</v>
      </c>
      <c r="C448" s="68">
        <f t="shared" si="43"/>
        <v>83655.233518999943</v>
      </c>
      <c r="D448" s="67">
        <f t="array" ref="D448">SUM($B$7:$B443*$F$1009*EXP(-$F$1009*($A448-$A$7:$A443)))*$F$1010</f>
        <v>5292451.5581747685</v>
      </c>
      <c r="E448" s="67">
        <f t="shared" si="41"/>
        <v>10.089591677714422</v>
      </c>
      <c r="F448" s="70">
        <f t="shared" si="45"/>
        <v>0.61264000667081975</v>
      </c>
      <c r="G448" s="67">
        <f>E448/'Lookup Tables'!$C$48</f>
        <v>20.179183355428844</v>
      </c>
      <c r="H448" s="70">
        <f t="shared" si="42"/>
        <v>6.3392201094056494E-2</v>
      </c>
      <c r="I448" s="71">
        <f t="shared" si="46"/>
        <v>2.9058024031817533E-2</v>
      </c>
      <c r="L448" s="74"/>
      <c r="M448" s="74"/>
      <c r="N448" s="74"/>
      <c r="O448" s="74"/>
      <c r="P448" s="74"/>
      <c r="Q448" s="74"/>
      <c r="R448" s="74"/>
      <c r="S448" s="74"/>
      <c r="T448" s="74"/>
      <c r="U448" s="74"/>
      <c r="V448" s="74"/>
      <c r="W448" s="74"/>
      <c r="X448" s="74"/>
      <c r="Y448" s="74"/>
      <c r="Z448" s="74"/>
    </row>
    <row r="449" spans="1:26" x14ac:dyDescent="0.3">
      <c r="A449" s="66">
        <f t="shared" si="44"/>
        <v>2034.1999999999598</v>
      </c>
      <c r="B449" s="67">
        <f>LOOKUP(A449+0.01,AmountsB!$A$4:$A$103,AmountsB!$B$4:$B$103)*0.1*$A$2</f>
        <v>0</v>
      </c>
      <c r="C449" s="68">
        <f t="shared" si="43"/>
        <v>83655.233518999943</v>
      </c>
      <c r="D449" s="67">
        <f t="array" ref="D449">SUM($B$7:$B444*$F$1009*EXP(-$F$1009*($A449-$A$7:$A444)))*$F$1010</f>
        <v>5285047.3101762906</v>
      </c>
      <c r="E449" s="67">
        <f t="shared" si="41"/>
        <v>10.075476132552787</v>
      </c>
      <c r="F449" s="70">
        <f t="shared" si="45"/>
        <v>0.61178291076860514</v>
      </c>
      <c r="G449" s="67">
        <f>E449/'Lookup Tables'!$C$48</f>
        <v>20.150952265105573</v>
      </c>
      <c r="H449" s="70">
        <f t="shared" si="42"/>
        <v>6.3303514107900749E-2</v>
      </c>
      <c r="I449" s="71">
        <f t="shared" si="46"/>
        <v>2.901737126175203E-2</v>
      </c>
      <c r="L449" s="74"/>
      <c r="M449" s="74"/>
      <c r="N449" s="74"/>
      <c r="O449" s="74"/>
      <c r="P449" s="74"/>
      <c r="Q449" s="74"/>
      <c r="R449" s="74"/>
      <c r="S449" s="74"/>
      <c r="T449" s="74"/>
      <c r="U449" s="74"/>
      <c r="V449" s="74"/>
      <c r="W449" s="74"/>
      <c r="X449" s="74"/>
      <c r="Y449" s="74"/>
      <c r="Z449" s="74"/>
    </row>
    <row r="450" spans="1:26" x14ac:dyDescent="0.3">
      <c r="A450" s="66">
        <f t="shared" si="44"/>
        <v>2034.2999999999597</v>
      </c>
      <c r="B450" s="67">
        <f>LOOKUP(A450+0.01,AmountsB!$A$4:$A$103,AmountsB!$B$4:$B$103)*0.1*$A$2</f>
        <v>0</v>
      </c>
      <c r="C450" s="68">
        <f t="shared" si="43"/>
        <v>83655.233518999943</v>
      </c>
      <c r="D450" s="67">
        <f t="array" ref="D450">SUM($B$7:$B445*$F$1009*EXP(-$F$1009*($A450-$A$7:$A445)))*$F$1010</f>
        <v>5277653.4208722319</v>
      </c>
      <c r="E450" s="67">
        <f t="shared" si="41"/>
        <v>10.061380335327597</v>
      </c>
      <c r="F450" s="70">
        <f t="shared" si="45"/>
        <v>0.61092701396109172</v>
      </c>
      <c r="G450" s="67">
        <f>E450/'Lookup Tables'!$C$48</f>
        <v>20.122760670655193</v>
      </c>
      <c r="H450" s="70">
        <f t="shared" si="42"/>
        <v>6.3214951196652922E-2</v>
      </c>
      <c r="I450" s="71">
        <f t="shared" si="46"/>
        <v>2.897677536574348E-2</v>
      </c>
      <c r="L450" s="74"/>
      <c r="M450" s="74"/>
      <c r="N450" s="74"/>
      <c r="O450" s="74"/>
      <c r="P450" s="74"/>
      <c r="Q450" s="74"/>
      <c r="R450" s="74"/>
      <c r="S450" s="74"/>
      <c r="T450" s="74"/>
      <c r="U450" s="74"/>
      <c r="V450" s="74"/>
      <c r="W450" s="74"/>
      <c r="X450" s="74"/>
      <c r="Y450" s="74"/>
      <c r="Z450" s="74"/>
    </row>
    <row r="451" spans="1:26" x14ac:dyDescent="0.3">
      <c r="A451" s="66">
        <f t="shared" si="44"/>
        <v>2034.3999999999596</v>
      </c>
      <c r="B451" s="67">
        <f>LOOKUP(A451+0.01,AmountsB!$A$4:$A$103,AmountsB!$B$4:$B$103)*0.1*$A$2</f>
        <v>0</v>
      </c>
      <c r="C451" s="68">
        <f t="shared" si="43"/>
        <v>83655.233518999943</v>
      </c>
      <c r="D451" s="67">
        <f t="array" ref="D451">SUM($B$7:$B446*$F$1009*EXP(-$F$1009*($A451-$A$7:$A446)))*$F$1010</f>
        <v>5270269.8757705679</v>
      </c>
      <c r="E451" s="67">
        <f t="shared" si="41"/>
        <v>10.047304258411087</v>
      </c>
      <c r="F451" s="70">
        <f t="shared" si="45"/>
        <v>0.6100723145707212</v>
      </c>
      <c r="G451" s="67">
        <f>E451/'Lookup Tables'!$C$48</f>
        <v>20.094608516822174</v>
      </c>
      <c r="H451" s="70">
        <f t="shared" si="42"/>
        <v>6.3126512186729683E-2</v>
      </c>
      <c r="I451" s="71">
        <f t="shared" si="46"/>
        <v>2.8936236264223932E-2</v>
      </c>
      <c r="L451" s="74"/>
      <c r="M451" s="74"/>
      <c r="N451" s="74"/>
      <c r="O451" s="74"/>
      <c r="P451" s="74"/>
      <c r="Q451" s="74"/>
      <c r="R451" s="74"/>
      <c r="S451" s="74"/>
      <c r="T451" s="74"/>
      <c r="U451" s="74"/>
      <c r="V451" s="74"/>
      <c r="W451" s="74"/>
      <c r="X451" s="74"/>
      <c r="Y451" s="74"/>
      <c r="Z451" s="74"/>
    </row>
    <row r="452" spans="1:26" x14ac:dyDescent="0.3">
      <c r="A452" s="66">
        <f t="shared" si="44"/>
        <v>2034.4999999999595</v>
      </c>
      <c r="B452" s="67">
        <f>LOOKUP(A452+0.01,AmountsB!$A$4:$A$103,AmountsB!$B$4:$B$103)*0.1*$A$2</f>
        <v>0</v>
      </c>
      <c r="C452" s="68">
        <f t="shared" si="43"/>
        <v>83655.233518999943</v>
      </c>
      <c r="D452" s="67">
        <f t="array" ref="D452">SUM($B$7:$B447*$F$1009*EXP(-$F$1009*($A452-$A$7:$A447)))*$F$1010</f>
        <v>5262896.6603995468</v>
      </c>
      <c r="E452" s="67">
        <f t="shared" si="41"/>
        <v>10.033247874214137</v>
      </c>
      <c r="F452" s="70">
        <f t="shared" si="45"/>
        <v>0.60921881092228236</v>
      </c>
      <c r="G452" s="67">
        <f>E452/'Lookup Tables'!$C$48</f>
        <v>20.066495748428274</v>
      </c>
      <c r="H452" s="70">
        <f t="shared" si="42"/>
        <v>6.3038196904790511E-2</v>
      </c>
      <c r="I452" s="71">
        <f t="shared" si="46"/>
        <v>2.8895753877736716E-2</v>
      </c>
      <c r="L452" s="74"/>
      <c r="M452" s="74"/>
      <c r="N452" s="74"/>
      <c r="O452" s="74"/>
      <c r="P452" s="74"/>
      <c r="Q452" s="74"/>
      <c r="R452" s="74"/>
      <c r="S452" s="74"/>
      <c r="T452" s="74"/>
      <c r="U452" s="74"/>
      <c r="V452" s="74"/>
      <c r="W452" s="74"/>
      <c r="X452" s="74"/>
      <c r="Y452" s="74"/>
      <c r="Z452" s="74"/>
    </row>
    <row r="453" spans="1:26" x14ac:dyDescent="0.3">
      <c r="A453" s="66">
        <f t="shared" si="44"/>
        <v>2034.5999999999594</v>
      </c>
      <c r="B453" s="67">
        <f>LOOKUP(A453+0.01,AmountsB!$A$4:$A$103,AmountsB!$B$4:$B$103)*0.1*$A$2</f>
        <v>0</v>
      </c>
      <c r="C453" s="68">
        <f t="shared" si="43"/>
        <v>83655.233518999943</v>
      </c>
      <c r="D453" s="67">
        <f t="array" ref="D453">SUM($B$7:$B448*$F$1009*EXP(-$F$1009*($A453-$A$7:$A448)))*$F$1010</f>
        <v>5255533.7603076668</v>
      </c>
      <c r="E453" s="67">
        <f t="shared" si="41"/>
        <v>10.019211155186236</v>
      </c>
      <c r="F453" s="70">
        <f t="shared" si="45"/>
        <v>0.60836650134290826</v>
      </c>
      <c r="G453" s="67">
        <f>E453/'Lookup Tables'!$C$48</f>
        <v>20.038422310372471</v>
      </c>
      <c r="H453" s="70">
        <f t="shared" si="42"/>
        <v>6.2950005177737495E-2</v>
      </c>
      <c r="I453" s="71">
        <f t="shared" si="46"/>
        <v>2.8855328126936357E-2</v>
      </c>
      <c r="L453" s="74"/>
      <c r="M453" s="74"/>
      <c r="N453" s="74"/>
      <c r="O453" s="74"/>
      <c r="P453" s="74"/>
      <c r="Q453" s="74"/>
      <c r="R453" s="74"/>
      <c r="S453" s="74"/>
      <c r="T453" s="74"/>
      <c r="U453" s="74"/>
      <c r="V453" s="74"/>
      <c r="W453" s="74"/>
      <c r="X453" s="74"/>
      <c r="Y453" s="74"/>
      <c r="Z453" s="74"/>
    </row>
    <row r="454" spans="1:26" x14ac:dyDescent="0.3">
      <c r="A454" s="66">
        <f t="shared" si="44"/>
        <v>2034.6999999999593</v>
      </c>
      <c r="B454" s="67">
        <f>LOOKUP(A454+0.01,AmountsB!$A$4:$A$103,AmountsB!$B$4:$B$103)*0.1*$A$2</f>
        <v>0</v>
      </c>
      <c r="C454" s="68">
        <f t="shared" si="43"/>
        <v>83655.233518999943</v>
      </c>
      <c r="D454" s="67">
        <f t="array" ref="D454">SUM($B$7:$B449*$F$1009*EXP(-$F$1009*($A454-$A$7:$A449)))*$F$1010</f>
        <v>5248181.1610636376</v>
      </c>
      <c r="E454" s="67">
        <f t="shared" si="41"/>
        <v>10.005194073815403</v>
      </c>
      <c r="F454" s="70">
        <f t="shared" si="45"/>
        <v>0.60751538416207129</v>
      </c>
      <c r="G454" s="67">
        <f>E454/'Lookup Tables'!$C$48</f>
        <v>20.010388147630806</v>
      </c>
      <c r="H454" s="70">
        <f t="shared" si="42"/>
        <v>6.2861936832714752E-2</v>
      </c>
      <c r="I454" s="71">
        <f t="shared" si="46"/>
        <v>2.8814958932588362E-2</v>
      </c>
      <c r="L454" s="74"/>
      <c r="M454" s="74"/>
      <c r="N454" s="74"/>
      <c r="O454" s="74"/>
      <c r="P454" s="74"/>
      <c r="Q454" s="74"/>
      <c r="R454" s="74"/>
      <c r="S454" s="74"/>
      <c r="T454" s="74"/>
      <c r="U454" s="74"/>
      <c r="V454" s="74"/>
      <c r="W454" s="74"/>
      <c r="X454" s="74"/>
      <c r="Y454" s="74"/>
      <c r="Z454" s="74"/>
    </row>
    <row r="455" spans="1:26" x14ac:dyDescent="0.3">
      <c r="A455" s="66">
        <f t="shared" si="44"/>
        <v>2034.7999999999593</v>
      </c>
      <c r="B455" s="67">
        <f>LOOKUP(A455+0.01,AmountsB!$A$4:$A$103,AmountsB!$B$4:$B$103)*0.1*$A$2</f>
        <v>0</v>
      </c>
      <c r="C455" s="68">
        <f t="shared" si="43"/>
        <v>83655.233518999943</v>
      </c>
      <c r="D455" s="67">
        <f t="array" ref="D455">SUM($B$7:$B450*$F$1009*EXP(-$F$1009*($A455-$A$7:$A450)))*$F$1010</f>
        <v>5240838.8482563654</v>
      </c>
      <c r="E455" s="67">
        <f t="shared" ref="E455:E518" si="47">D455/(365*24*60)*1.00201</f>
        <v>9.9911966026281593</v>
      </c>
      <c r="F455" s="70">
        <f t="shared" si="45"/>
        <v>0.60666545771158187</v>
      </c>
      <c r="G455" s="67">
        <f>E455/'Lookup Tables'!$C$48</f>
        <v>19.982393205256319</v>
      </c>
      <c r="H455" s="70">
        <f t="shared" ref="H455:H518" si="48">G455*60*24*365/(C455*2000)</f>
        <v>6.2773991697108331E-2</v>
      </c>
      <c r="I455" s="71">
        <f t="shared" si="46"/>
        <v>2.8774646215569102E-2</v>
      </c>
      <c r="L455" s="74"/>
      <c r="M455" s="74"/>
      <c r="N455" s="74"/>
      <c r="O455" s="74"/>
      <c r="P455" s="74"/>
      <c r="Q455" s="74"/>
      <c r="R455" s="74"/>
      <c r="S455" s="74"/>
      <c r="T455" s="74"/>
      <c r="U455" s="74"/>
      <c r="V455" s="74"/>
      <c r="W455" s="74"/>
      <c r="X455" s="74"/>
      <c r="Y455" s="74"/>
      <c r="Z455" s="74"/>
    </row>
    <row r="456" spans="1:26" x14ac:dyDescent="0.3">
      <c r="A456" s="66">
        <f t="shared" si="44"/>
        <v>2034.8999999999592</v>
      </c>
      <c r="B456" s="67">
        <f>LOOKUP(A456+0.01,AmountsB!$A$4:$A$103,AmountsB!$B$4:$B$103)*0.1*$A$2</f>
        <v>0</v>
      </c>
      <c r="C456" s="68">
        <f t="shared" si="43"/>
        <v>83655.233518999943</v>
      </c>
      <c r="D456" s="67">
        <f t="array" ref="D456">SUM($B$7:$B451*$F$1009*EXP(-$F$1009*($A456-$A$7:$A451)))*$F$1010</f>
        <v>5233506.8074949123</v>
      </c>
      <c r="E456" s="67">
        <f t="shared" si="47"/>
        <v>9.9772187141894548</v>
      </c>
      <c r="F456" s="70">
        <f t="shared" si="45"/>
        <v>0.60581672032558376</v>
      </c>
      <c r="G456" s="67">
        <f>E456/'Lookup Tables'!$C$48</f>
        <v>19.95443742837891</v>
      </c>
      <c r="H456" s="70">
        <f t="shared" si="48"/>
        <v>6.2686169598545713E-2</v>
      </c>
      <c r="I456" s="71">
        <f t="shared" si="46"/>
        <v>2.8734389896865629E-2</v>
      </c>
      <c r="L456" s="74"/>
      <c r="M456" s="74"/>
      <c r="N456" s="74"/>
      <c r="O456" s="74"/>
      <c r="P456" s="74"/>
      <c r="Q456" s="74"/>
      <c r="R456" s="74"/>
      <c r="S456" s="74"/>
      <c r="T456" s="74"/>
      <c r="U456" s="74"/>
      <c r="V456" s="74"/>
      <c r="W456" s="74"/>
      <c r="X456" s="74"/>
      <c r="Y456" s="74"/>
      <c r="Z456" s="74"/>
    </row>
    <row r="457" spans="1:26" x14ac:dyDescent="0.3">
      <c r="A457" s="66">
        <f t="shared" si="44"/>
        <v>2034.9999999999591</v>
      </c>
      <c r="B457" s="67">
        <f>LOOKUP(A457+0.01,AmountsB!$A$4:$A$103,AmountsB!$B$4:$B$103)*0.1*$A$2</f>
        <v>0</v>
      </c>
      <c r="C457" s="68">
        <f t="shared" ref="C457:C520" si="49">C456+B457</f>
        <v>83655.233518999943</v>
      </c>
      <c r="D457" s="67">
        <f t="array" ref="D457">SUM($B$7:$B452*$F$1009*EXP(-$F$1009*($A457-$A$7:$A452)))*$F$1010</f>
        <v>5226185.0244084783</v>
      </c>
      <c r="E457" s="67">
        <f t="shared" si="47"/>
        <v>9.963260381102625</v>
      </c>
      <c r="F457" s="70">
        <f t="shared" si="45"/>
        <v>0.60496917034055142</v>
      </c>
      <c r="G457" s="67">
        <f>E457/'Lookup Tables'!$C$48</f>
        <v>19.92652076220525</v>
      </c>
      <c r="H457" s="70">
        <f t="shared" si="48"/>
        <v>6.2598470364895603E-2</v>
      </c>
      <c r="I457" s="71">
        <f t="shared" si="46"/>
        <v>2.8694189897575561E-2</v>
      </c>
      <c r="L457" s="74"/>
      <c r="M457" s="74"/>
      <c r="N457" s="74"/>
      <c r="O457" s="74"/>
      <c r="P457" s="74"/>
      <c r="Q457" s="74"/>
      <c r="R457" s="74"/>
      <c r="S457" s="74"/>
      <c r="T457" s="74"/>
      <c r="U457" s="74"/>
      <c r="V457" s="74"/>
      <c r="W457" s="74"/>
      <c r="X457" s="74"/>
      <c r="Y457" s="74"/>
      <c r="Z457" s="74"/>
    </row>
    <row r="458" spans="1:26" x14ac:dyDescent="0.3">
      <c r="A458" s="66">
        <f t="shared" si="44"/>
        <v>2035.099999999959</v>
      </c>
      <c r="B458" s="67">
        <f>LOOKUP(A458+0.01,AmountsB!$A$4:$A$103,AmountsB!$B$4:$B$103)*0.1*$A$2</f>
        <v>0</v>
      </c>
      <c r="C458" s="68">
        <f t="shared" si="49"/>
        <v>83655.233518999943</v>
      </c>
      <c r="D458" s="67">
        <f t="array" ref="D458">SUM($B$7:$B453*$F$1009*EXP(-$F$1009*($A458-$A$7:$A453)))*$F$1010</f>
        <v>5218873.484646366</v>
      </c>
      <c r="E458" s="67">
        <f t="shared" si="47"/>
        <v>9.9493215760093321</v>
      </c>
      <c r="F458" s="70">
        <f t="shared" si="45"/>
        <v>0.60412280609528657</v>
      </c>
      <c r="G458" s="67">
        <f>E458/'Lookup Tables'!$C$48</f>
        <v>19.898643152018664</v>
      </c>
      <c r="H458" s="70">
        <f t="shared" si="48"/>
        <v>6.251089382426743E-2</v>
      </c>
      <c r="I458" s="71">
        <f t="shared" si="46"/>
        <v>2.8654046138906875E-2</v>
      </c>
      <c r="L458" s="74"/>
      <c r="M458" s="74"/>
      <c r="N458" s="74"/>
      <c r="O458" s="74"/>
      <c r="P458" s="74"/>
      <c r="Q458" s="74"/>
      <c r="R458" s="74"/>
      <c r="S458" s="74"/>
      <c r="T458" s="74"/>
      <c r="U458" s="74"/>
      <c r="V458" s="74"/>
      <c r="W458" s="74"/>
      <c r="X458" s="74"/>
      <c r="Y458" s="74"/>
      <c r="Z458" s="74"/>
    </row>
    <row r="459" spans="1:26" x14ac:dyDescent="0.3">
      <c r="A459" s="66">
        <f t="shared" si="44"/>
        <v>2035.1999999999589</v>
      </c>
      <c r="B459" s="67">
        <f>LOOKUP(A459+0.01,AmountsB!$A$4:$A$103,AmountsB!$B$4:$B$103)*0.1*$A$2</f>
        <v>0</v>
      </c>
      <c r="C459" s="68">
        <f t="shared" si="49"/>
        <v>83655.233518999943</v>
      </c>
      <c r="D459" s="67">
        <f t="array" ref="D459">SUM($B$7:$B454*$F$1009*EXP(-$F$1009*($A459-$A$7:$A454)))*$F$1010</f>
        <v>5211572.1738779517</v>
      </c>
      <c r="E459" s="67">
        <f t="shared" si="47"/>
        <v>9.9354022715895098</v>
      </c>
      <c r="F459" s="70">
        <f t="shared" si="45"/>
        <v>0.60327762593091505</v>
      </c>
      <c r="G459" s="67">
        <f>E459/'Lookup Tables'!$C$48</f>
        <v>19.87080454317902</v>
      </c>
      <c r="H459" s="70">
        <f t="shared" si="48"/>
        <v>6.242343980501118E-2</v>
      </c>
      <c r="I459" s="71">
        <f t="shared" si="46"/>
        <v>2.8613958542177787E-2</v>
      </c>
      <c r="L459" s="74"/>
      <c r="M459" s="74"/>
      <c r="N459" s="74"/>
      <c r="O459" s="74"/>
      <c r="P459" s="74"/>
      <c r="Q459" s="74"/>
      <c r="R459" s="74"/>
      <c r="S459" s="74"/>
      <c r="T459" s="74"/>
      <c r="U459" s="74"/>
      <c r="V459" s="74"/>
      <c r="W459" s="74"/>
      <c r="X459" s="74"/>
      <c r="Y459" s="74"/>
      <c r="Z459" s="74"/>
    </row>
    <row r="460" spans="1:26" x14ac:dyDescent="0.3">
      <c r="A460" s="66">
        <f t="shared" si="44"/>
        <v>2035.2999999999588</v>
      </c>
      <c r="B460" s="67">
        <f>LOOKUP(A460+0.01,AmountsB!$A$4:$A$103,AmountsB!$B$4:$B$103)*0.1*$A$2</f>
        <v>0</v>
      </c>
      <c r="C460" s="68">
        <f t="shared" si="49"/>
        <v>83655.233518999943</v>
      </c>
      <c r="D460" s="67">
        <f t="array" ref="D460">SUM($B$7:$B455*$F$1009*EXP(-$F$1009*($A460-$A$7:$A455)))*$F$1010</f>
        <v>5204281.0777926687</v>
      </c>
      <c r="E460" s="67">
        <f t="shared" si="47"/>
        <v>9.9215024405613246</v>
      </c>
      <c r="F460" s="70">
        <f t="shared" si="45"/>
        <v>0.60243362819088364</v>
      </c>
      <c r="G460" s="67">
        <f>E460/'Lookup Tables'!$C$48</f>
        <v>19.843004881122649</v>
      </c>
      <c r="H460" s="70">
        <f t="shared" si="48"/>
        <v>6.2336108135716932E-2</v>
      </c>
      <c r="I460" s="71">
        <f t="shared" si="46"/>
        <v>2.8573927028816615E-2</v>
      </c>
      <c r="L460" s="74"/>
      <c r="M460" s="74"/>
      <c r="N460" s="74"/>
      <c r="O460" s="74"/>
      <c r="P460" s="74"/>
      <c r="Q460" s="74"/>
      <c r="R460" s="74"/>
      <c r="S460" s="74"/>
      <c r="T460" s="74"/>
      <c r="U460" s="74"/>
      <c r="V460" s="74"/>
      <c r="W460" s="74"/>
      <c r="X460" s="74"/>
      <c r="Y460" s="74"/>
      <c r="Z460" s="74"/>
    </row>
    <row r="461" spans="1:26" x14ac:dyDescent="0.3">
      <c r="A461" s="66">
        <f t="shared" si="44"/>
        <v>2035.3999999999587</v>
      </c>
      <c r="B461" s="67">
        <f>LOOKUP(A461+0.01,AmountsB!$A$4:$A$103,AmountsB!$B$4:$B$103)*0.1*$A$2</f>
        <v>0</v>
      </c>
      <c r="C461" s="68">
        <f t="shared" si="49"/>
        <v>83655.233518999943</v>
      </c>
      <c r="D461" s="67">
        <f t="array" ref="D461">SUM($B$7:$B456*$F$1009*EXP(-$F$1009*($A461-$A$7:$A456)))*$F$1010</f>
        <v>5197000.1820999626</v>
      </c>
      <c r="E461" s="67">
        <f t="shared" si="47"/>
        <v>9.907622055681097</v>
      </c>
      <c r="F461" s="70">
        <f t="shared" si="45"/>
        <v>0.60159081122095626</v>
      </c>
      <c r="G461" s="67">
        <f>E461/'Lookup Tables'!$C$48</f>
        <v>19.815244111362194</v>
      </c>
      <c r="H461" s="70">
        <f t="shared" si="48"/>
        <v>6.2248898645214566E-2</v>
      </c>
      <c r="I461" s="71">
        <f t="shared" si="46"/>
        <v>2.8533951520361558E-2</v>
      </c>
      <c r="L461" s="74"/>
      <c r="M461" s="74"/>
      <c r="N461" s="74"/>
      <c r="O461" s="74"/>
      <c r="P461" s="74"/>
      <c r="Q461" s="74"/>
      <c r="R461" s="74"/>
      <c r="S461" s="74"/>
      <c r="T461" s="74"/>
      <c r="U461" s="74"/>
      <c r="V461" s="74"/>
      <c r="W461" s="74"/>
      <c r="X461" s="74"/>
      <c r="Y461" s="74"/>
      <c r="Z461" s="74"/>
    </row>
    <row r="462" spans="1:26" x14ac:dyDescent="0.3">
      <c r="A462" s="66">
        <f t="shared" si="44"/>
        <v>2035.4999999999586</v>
      </c>
      <c r="B462" s="67">
        <f>LOOKUP(A462+0.01,AmountsB!$A$4:$A$103,AmountsB!$B$4:$B$103)*0.1*$A$2</f>
        <v>0</v>
      </c>
      <c r="C462" s="68">
        <f t="shared" si="49"/>
        <v>83655.233518999943</v>
      </c>
      <c r="D462" s="67">
        <f t="array" ref="D462">SUM($B$7:$B457*$F$1009*EXP(-$F$1009*($A462-$A$7:$A457)))*$F$1010</f>
        <v>5189729.4725292791</v>
      </c>
      <c r="E462" s="67">
        <f t="shared" si="47"/>
        <v>9.8937610897432702</v>
      </c>
      <c r="F462" s="70">
        <f t="shared" si="45"/>
        <v>0.60074917336921141</v>
      </c>
      <c r="G462" s="67">
        <f>E462/'Lookup Tables'!$C$48</f>
        <v>19.78752217948654</v>
      </c>
      <c r="H462" s="70">
        <f t="shared" si="48"/>
        <v>6.2161811162573487E-2</v>
      </c>
      <c r="I462" s="71">
        <f t="shared" si="46"/>
        <v>2.8494031938460618E-2</v>
      </c>
      <c r="L462" s="74"/>
      <c r="M462" s="74"/>
      <c r="N462" s="74"/>
      <c r="O462" s="74"/>
      <c r="P462" s="74"/>
      <c r="Q462" s="74"/>
      <c r="R462" s="74"/>
      <c r="S462" s="74"/>
      <c r="T462" s="74"/>
      <c r="U462" s="74"/>
      <c r="V462" s="74"/>
      <c r="W462" s="74"/>
      <c r="X462" s="74"/>
      <c r="Y462" s="74"/>
      <c r="Z462" s="74"/>
    </row>
    <row r="463" spans="1:26" x14ac:dyDescent="0.3">
      <c r="A463" s="66">
        <f t="shared" si="44"/>
        <v>2035.5999999999585</v>
      </c>
      <c r="B463" s="67">
        <f>LOOKUP(A463+0.01,AmountsB!$A$4:$A$103,AmountsB!$B$4:$B$103)*0.1*$A$2</f>
        <v>0</v>
      </c>
      <c r="C463" s="68">
        <f t="shared" si="49"/>
        <v>83655.233518999943</v>
      </c>
      <c r="D463" s="67">
        <f t="array" ref="D463">SUM($B$7:$B458*$F$1009*EXP(-$F$1009*($A463-$A$7:$A458)))*$F$1010</f>
        <v>5182468.934830023</v>
      </c>
      <c r="E463" s="67">
        <f t="shared" si="47"/>
        <v>9.8799195155803492</v>
      </c>
      <c r="F463" s="70">
        <f t="shared" si="45"/>
        <v>0.59990871298603876</v>
      </c>
      <c r="G463" s="67">
        <f>E463/'Lookup Tables'!$C$48</f>
        <v>19.759839031160698</v>
      </c>
      <c r="H463" s="70">
        <f t="shared" si="48"/>
        <v>6.2074845517102198E-2</v>
      </c>
      <c r="I463" s="71">
        <f t="shared" si="46"/>
        <v>2.8454168204871406E-2</v>
      </c>
      <c r="L463" s="74"/>
      <c r="M463" s="74"/>
      <c r="N463" s="74"/>
      <c r="O463" s="74"/>
      <c r="P463" s="74"/>
      <c r="Q463" s="74"/>
      <c r="R463" s="74"/>
      <c r="S463" s="74"/>
      <c r="T463" s="74"/>
      <c r="U463" s="74"/>
      <c r="V463" s="74"/>
      <c r="W463" s="74"/>
      <c r="X463" s="74"/>
      <c r="Y463" s="74"/>
      <c r="Z463" s="74"/>
    </row>
    <row r="464" spans="1:26" x14ac:dyDescent="0.3">
      <c r="A464" s="66">
        <f t="shared" si="44"/>
        <v>2035.6999999999584</v>
      </c>
      <c r="B464" s="67">
        <f>LOOKUP(A464+0.01,AmountsB!$A$4:$A$103,AmountsB!$B$4:$B$103)*0.1*$A$2</f>
        <v>0</v>
      </c>
      <c r="C464" s="68">
        <f t="shared" si="49"/>
        <v>83655.233518999943</v>
      </c>
      <c r="D464" s="67">
        <f t="array" ref="D464">SUM($B$7:$B459*$F$1009*EXP(-$F$1009*($A464-$A$7:$A459)))*$F$1010</f>
        <v>5175218.554771537</v>
      </c>
      <c r="E464" s="67">
        <f t="shared" si="47"/>
        <v>9.866097306062839</v>
      </c>
      <c r="F464" s="70">
        <f t="shared" si="45"/>
        <v>0.59906942842413557</v>
      </c>
      <c r="G464" s="67">
        <f>E464/'Lookup Tables'!$C$48</f>
        <v>19.732194612125678</v>
      </c>
      <c r="H464" s="70">
        <f t="shared" si="48"/>
        <v>6.1988001538347985E-2</v>
      </c>
      <c r="I464" s="71">
        <f t="shared" si="46"/>
        <v>2.8414360241460979E-2</v>
      </c>
      <c r="L464" s="74"/>
      <c r="M464" s="74"/>
      <c r="N464" s="74"/>
      <c r="O464" s="74"/>
      <c r="P464" s="74"/>
      <c r="Q464" s="74"/>
      <c r="R464" s="74"/>
      <c r="S464" s="74"/>
      <c r="T464" s="74"/>
      <c r="U464" s="74"/>
      <c r="V464" s="74"/>
      <c r="W464" s="74"/>
      <c r="X464" s="74"/>
      <c r="Y464" s="74"/>
      <c r="Z464" s="74"/>
    </row>
    <row r="465" spans="1:26" x14ac:dyDescent="0.3">
      <c r="A465" s="66">
        <f t="shared" si="44"/>
        <v>2035.7999999999583</v>
      </c>
      <c r="B465" s="67">
        <f>LOOKUP(A465+0.01,AmountsB!$A$4:$A$103,AmountsB!$B$4:$B$103)*0.1*$A$2</f>
        <v>0</v>
      </c>
      <c r="C465" s="68">
        <f t="shared" si="49"/>
        <v>83655.233518999943</v>
      </c>
      <c r="D465" s="67">
        <f t="array" ref="D465">SUM($B$7:$B460*$F$1009*EXP(-$F$1009*($A465-$A$7:$A460)))*$F$1010</f>
        <v>5167978.3181430763</v>
      </c>
      <c r="E465" s="67">
        <f t="shared" si="47"/>
        <v>9.8522944340992087</v>
      </c>
      <c r="F465" s="70">
        <f t="shared" si="45"/>
        <v>0.59823131803850393</v>
      </c>
      <c r="G465" s="67">
        <f>E465/'Lookup Tables'!$C$48</f>
        <v>19.704588868198417</v>
      </c>
      <c r="H465" s="70">
        <f t="shared" si="48"/>
        <v>6.1901279056096624E-2</v>
      </c>
      <c r="I465" s="71">
        <f t="shared" si="46"/>
        <v>2.8374607970205721E-2</v>
      </c>
      <c r="L465" s="74"/>
      <c r="M465" s="74"/>
      <c r="N465" s="74"/>
      <c r="O465" s="74"/>
      <c r="P465" s="74"/>
      <c r="Q465" s="74"/>
      <c r="R465" s="74"/>
      <c r="S465" s="74"/>
      <c r="T465" s="74"/>
      <c r="U465" s="74"/>
      <c r="V465" s="74"/>
      <c r="W465" s="74"/>
      <c r="X465" s="74"/>
      <c r="Y465" s="74"/>
      <c r="Z465" s="74"/>
    </row>
    <row r="466" spans="1:26" x14ac:dyDescent="0.3">
      <c r="A466" s="66">
        <f t="shared" si="44"/>
        <v>2035.8999999999583</v>
      </c>
      <c r="B466" s="67">
        <f>LOOKUP(A466+0.01,AmountsB!$A$4:$A$103,AmountsB!$B$4:$B$103)*0.1*$A$2</f>
        <v>0</v>
      </c>
      <c r="C466" s="68">
        <f t="shared" si="49"/>
        <v>83655.233518999943</v>
      </c>
      <c r="D466" s="67">
        <f t="array" ref="D466">SUM($B$7:$B461*$F$1009*EXP(-$F$1009*($A466-$A$7:$A461)))*$F$1010</f>
        <v>5160748.2107537724</v>
      </c>
      <c r="E466" s="67">
        <f t="shared" si="47"/>
        <v>9.8385108726358208</v>
      </c>
      <c r="F466" s="70">
        <f t="shared" si="45"/>
        <v>0.59739438018644708</v>
      </c>
      <c r="G466" s="67">
        <f>E466/'Lookup Tables'!$C$48</f>
        <v>19.677021745271642</v>
      </c>
      <c r="H466" s="70">
        <f t="shared" si="48"/>
        <v>6.1814677900372025E-2</v>
      </c>
      <c r="I466" s="71">
        <f t="shared" si="46"/>
        <v>2.8334911313191165E-2</v>
      </c>
      <c r="L466" s="74"/>
      <c r="M466" s="74"/>
      <c r="N466" s="74"/>
      <c r="O466" s="74"/>
      <c r="P466" s="74"/>
      <c r="Q466" s="74"/>
      <c r="R466" s="74"/>
      <c r="S466" s="74"/>
      <c r="T466" s="74"/>
      <c r="U466" s="74"/>
      <c r="V466" s="74"/>
      <c r="W466" s="74"/>
      <c r="X466" s="74"/>
      <c r="Y466" s="74"/>
      <c r="Z466" s="74"/>
    </row>
    <row r="467" spans="1:26" x14ac:dyDescent="0.3">
      <c r="A467" s="66">
        <f t="shared" ref="A467:A530" si="50">A466+0.1</f>
        <v>2035.9999999999582</v>
      </c>
      <c r="B467" s="67">
        <f>LOOKUP(A467+0.01,AmountsB!$A$4:$A$103,AmountsB!$B$4:$B$103)*0.1*$A$2</f>
        <v>0</v>
      </c>
      <c r="C467" s="68">
        <f t="shared" si="49"/>
        <v>83655.233518999943</v>
      </c>
      <c r="D467" s="67">
        <f t="array" ref="D467">SUM($B$7:$B462*$F$1009*EXP(-$F$1009*($A467-$A$7:$A462)))*$F$1010</f>
        <v>5153528.2184326155</v>
      </c>
      <c r="E467" s="67">
        <f t="shared" si="47"/>
        <v>9.8247465946568973</v>
      </c>
      <c r="F467" s="70">
        <f t="shared" ref="F467:F530" si="51">E467*60*1012/1000000</f>
        <v>0.59655861322756687</v>
      </c>
      <c r="G467" s="67">
        <f>E467/'Lookup Tables'!$C$48</f>
        <v>19.649493189313795</v>
      </c>
      <c r="H467" s="70">
        <f t="shared" si="48"/>
        <v>6.1728197901435931E-2</v>
      </c>
      <c r="I467" s="71">
        <f t="shared" ref="I467:I530" si="52">G467*60*24/1000000</f>
        <v>2.8295270192611868E-2</v>
      </c>
      <c r="L467" s="74"/>
      <c r="M467" s="74"/>
      <c r="N467" s="74"/>
      <c r="O467" s="74"/>
      <c r="P467" s="74"/>
      <c r="Q467" s="74"/>
      <c r="R467" s="74"/>
      <c r="S467" s="74"/>
      <c r="T467" s="74"/>
      <c r="U467" s="74"/>
      <c r="V467" s="74"/>
      <c r="W467" s="74"/>
      <c r="X467" s="74"/>
      <c r="Y467" s="74"/>
      <c r="Z467" s="74"/>
    </row>
    <row r="468" spans="1:26" x14ac:dyDescent="0.3">
      <c r="A468" s="66">
        <f t="shared" si="50"/>
        <v>2036.0999999999581</v>
      </c>
      <c r="B468" s="67">
        <f>LOOKUP(A468+0.01,AmountsB!$A$4:$A$103,AmountsB!$B$4:$B$103)*0.1*$A$2</f>
        <v>0</v>
      </c>
      <c r="C468" s="68">
        <f t="shared" si="49"/>
        <v>83655.233518999943</v>
      </c>
      <c r="D468" s="67">
        <f t="array" ref="D468">SUM($B$7:$B463*$F$1009*EXP(-$F$1009*($A468-$A$7:$A463)))*$F$1010</f>
        <v>5146318.3270284152</v>
      </c>
      <c r="E468" s="67">
        <f t="shared" si="47"/>
        <v>9.8110015731844413</v>
      </c>
      <c r="F468" s="70">
        <f t="shared" si="51"/>
        <v>0.5957240155237592</v>
      </c>
      <c r="G468" s="67">
        <f>E468/'Lookup Tables'!$C$48</f>
        <v>19.622003146368883</v>
      </c>
      <c r="H468" s="70">
        <f t="shared" si="48"/>
        <v>6.1641838889787449E-2</v>
      </c>
      <c r="I468" s="71">
        <f t="shared" si="52"/>
        <v>2.8255684530771187E-2</v>
      </c>
      <c r="L468" s="74"/>
      <c r="M468" s="74"/>
      <c r="N468" s="74"/>
      <c r="O468" s="74"/>
      <c r="P468" s="74"/>
      <c r="Q468" s="74"/>
      <c r="R468" s="74"/>
      <c r="S468" s="74"/>
      <c r="T468" s="74"/>
      <c r="U468" s="74"/>
      <c r="V468" s="74"/>
      <c r="W468" s="74"/>
      <c r="X468" s="74"/>
      <c r="Y468" s="74"/>
      <c r="Z468" s="74"/>
    </row>
    <row r="469" spans="1:26" x14ac:dyDescent="0.3">
      <c r="A469" s="66">
        <f t="shared" si="50"/>
        <v>2036.199999999958</v>
      </c>
      <c r="B469" s="67">
        <f>LOOKUP(A469+0.01,AmountsB!$A$4:$A$103,AmountsB!$B$4:$B$103)*0.1*$A$2</f>
        <v>0</v>
      </c>
      <c r="C469" s="68">
        <f t="shared" si="49"/>
        <v>83655.233518999943</v>
      </c>
      <c r="D469" s="67">
        <f t="array" ref="D469">SUM($B$7:$B464*$F$1009*EXP(-$F$1009*($A469-$A$7:$A464)))*$F$1010</f>
        <v>5139118.5224097827</v>
      </c>
      <c r="E469" s="67">
        <f t="shared" si="47"/>
        <v>9.7972757812782092</v>
      </c>
      <c r="F469" s="70">
        <f t="shared" si="51"/>
        <v>0.5948905854392128</v>
      </c>
      <c r="G469" s="67">
        <f>E469/'Lookup Tables'!$C$48</f>
        <v>19.594551562556418</v>
      </c>
      <c r="H469" s="70">
        <f t="shared" si="48"/>
        <v>6.1555600696162935E-2</v>
      </c>
      <c r="I469" s="71">
        <f t="shared" si="52"/>
        <v>2.8216154250081244E-2</v>
      </c>
      <c r="L469" s="74"/>
      <c r="M469" s="74"/>
      <c r="N469" s="74"/>
      <c r="O469" s="74"/>
      <c r="P469" s="74"/>
      <c r="Q469" s="74"/>
      <c r="R469" s="74"/>
      <c r="S469" s="74"/>
      <c r="T469" s="74"/>
      <c r="U469" s="74"/>
      <c r="V469" s="74"/>
      <c r="W469" s="74"/>
      <c r="X469" s="74"/>
      <c r="Y469" s="74"/>
      <c r="Z469" s="74"/>
    </row>
    <row r="470" spans="1:26" x14ac:dyDescent="0.3">
      <c r="A470" s="66">
        <f t="shared" si="50"/>
        <v>2036.2999999999579</v>
      </c>
      <c r="B470" s="67">
        <f>LOOKUP(A470+0.01,AmountsB!$A$4:$A$103,AmountsB!$B$4:$B$103)*0.1*$A$2</f>
        <v>0</v>
      </c>
      <c r="C470" s="68">
        <f t="shared" si="49"/>
        <v>83655.233518999943</v>
      </c>
      <c r="D470" s="67">
        <f t="array" ref="D470">SUM($B$7:$B465*$F$1009*EXP(-$F$1009*($A470-$A$7:$A465)))*$F$1010</f>
        <v>5131928.7904650988</v>
      </c>
      <c r="E470" s="67">
        <f t="shared" si="47"/>
        <v>9.7835691920356425</v>
      </c>
      <c r="F470" s="70">
        <f t="shared" si="51"/>
        <v>0.59405832134040415</v>
      </c>
      <c r="G470" s="67">
        <f>E470/'Lookup Tables'!$C$48</f>
        <v>19.567138384071285</v>
      </c>
      <c r="H470" s="70">
        <f t="shared" si="48"/>
        <v>6.1469483151535477E-2</v>
      </c>
      <c r="I470" s="71">
        <f t="shared" si="52"/>
        <v>2.8176679273062648E-2</v>
      </c>
      <c r="L470" s="74"/>
      <c r="M470" s="74"/>
      <c r="N470" s="74"/>
      <c r="O470" s="74"/>
      <c r="P470" s="74"/>
      <c r="Q470" s="74"/>
      <c r="R470" s="74"/>
      <c r="S470" s="74"/>
      <c r="T470" s="74"/>
      <c r="U470" s="74"/>
      <c r="V470" s="74"/>
      <c r="W470" s="74"/>
      <c r="X470" s="74"/>
      <c r="Y470" s="74"/>
      <c r="Z470" s="74"/>
    </row>
    <row r="471" spans="1:26" x14ac:dyDescent="0.3">
      <c r="A471" s="66">
        <f t="shared" si="50"/>
        <v>2036.3999999999578</v>
      </c>
      <c r="B471" s="67">
        <f>LOOKUP(A471+0.01,AmountsB!$A$4:$A$103,AmountsB!$B$4:$B$103)*0.1*$A$2</f>
        <v>0</v>
      </c>
      <c r="C471" s="68">
        <f t="shared" si="49"/>
        <v>83655.233518999943</v>
      </c>
      <c r="D471" s="67">
        <f t="array" ref="D471">SUM($B$7:$B466*$F$1009*EXP(-$F$1009*($A471-$A$7:$A466)))*$F$1010</f>
        <v>5124749.117102487</v>
      </c>
      <c r="E471" s="67">
        <f t="shared" si="47"/>
        <v>9.7698817785918255</v>
      </c>
      <c r="F471" s="70">
        <f t="shared" si="51"/>
        <v>0.59322722159609564</v>
      </c>
      <c r="G471" s="67">
        <f>E471/'Lookup Tables'!$C$48</f>
        <v>19.539763557183651</v>
      </c>
      <c r="H471" s="70">
        <f t="shared" si="48"/>
        <v>6.1383486087114678E-2</v>
      </c>
      <c r="I471" s="71">
        <f t="shared" si="52"/>
        <v>2.8137259522344454E-2</v>
      </c>
      <c r="L471" s="74"/>
      <c r="M471" s="74"/>
      <c r="N471" s="74"/>
      <c r="O471" s="74"/>
      <c r="P471" s="74"/>
      <c r="Q471" s="74"/>
      <c r="R471" s="74"/>
      <c r="S471" s="74"/>
      <c r="T471" s="74"/>
      <c r="U471" s="74"/>
      <c r="V471" s="74"/>
      <c r="W471" s="74"/>
      <c r="X471" s="74"/>
      <c r="Y471" s="74"/>
      <c r="Z471" s="74"/>
    </row>
    <row r="472" spans="1:26" x14ac:dyDescent="0.3">
      <c r="A472" s="66">
        <f t="shared" si="50"/>
        <v>2036.4999999999577</v>
      </c>
      <c r="B472" s="67">
        <f>LOOKUP(A472+0.01,AmountsB!$A$4:$A$103,AmountsB!$B$4:$B$103)*0.1*$A$2</f>
        <v>0</v>
      </c>
      <c r="C472" s="68">
        <f t="shared" si="49"/>
        <v>83655.233518999943</v>
      </c>
      <c r="D472" s="67">
        <f t="array" ref="D472">SUM($B$7:$B467*$F$1009*EXP(-$F$1009*($A472-$A$7:$A467)))*$F$1010</f>
        <v>5117579.4882497871</v>
      </c>
      <c r="E472" s="67">
        <f t="shared" si="47"/>
        <v>9.7562135141194251</v>
      </c>
      <c r="F472" s="70">
        <f t="shared" si="51"/>
        <v>0.59239728457733154</v>
      </c>
      <c r="G472" s="67">
        <f>E472/'Lookup Tables'!$C$48</f>
        <v>19.51242702823885</v>
      </c>
      <c r="H472" s="70">
        <f t="shared" si="48"/>
        <v>6.129760933434629E-2</v>
      </c>
      <c r="I472" s="71">
        <f t="shared" si="52"/>
        <v>2.8097894920663946E-2</v>
      </c>
      <c r="L472" s="74"/>
      <c r="M472" s="74"/>
      <c r="N472" s="74"/>
      <c r="O472" s="74"/>
      <c r="P472" s="74"/>
      <c r="Q472" s="74"/>
      <c r="R472" s="74"/>
      <c r="S472" s="74"/>
      <c r="T472" s="74"/>
      <c r="U472" s="74"/>
      <c r="V472" s="74"/>
      <c r="W472" s="74"/>
      <c r="X472" s="74"/>
      <c r="Y472" s="74"/>
      <c r="Z472" s="74"/>
    </row>
    <row r="473" spans="1:26" x14ac:dyDescent="0.3">
      <c r="A473" s="66">
        <f t="shared" si="50"/>
        <v>2036.5999999999576</v>
      </c>
      <c r="B473" s="67">
        <f>LOOKUP(A473+0.01,AmountsB!$A$4:$A$103,AmountsB!$B$4:$B$103)*0.1*$A$2</f>
        <v>0</v>
      </c>
      <c r="C473" s="68">
        <f t="shared" si="49"/>
        <v>83655.233518999943</v>
      </c>
      <c r="D473" s="67">
        <f t="array" ref="D473">SUM($B$7:$B468*$F$1009*EXP(-$F$1009*($A473-$A$7:$A468)))*$F$1010</f>
        <v>5110419.8898545224</v>
      </c>
      <c r="E473" s="67">
        <f t="shared" si="47"/>
        <v>9.7425643718286334</v>
      </c>
      <c r="F473" s="70">
        <f t="shared" si="51"/>
        <v>0.59156850865743471</v>
      </c>
      <c r="G473" s="67">
        <f>E473/'Lookup Tables'!$C$48</f>
        <v>19.485128743657267</v>
      </c>
      <c r="H473" s="70">
        <f t="shared" si="48"/>
        <v>6.1211852724911801E-2</v>
      </c>
      <c r="I473" s="71">
        <f t="shared" si="52"/>
        <v>2.8058585390866465E-2</v>
      </c>
      <c r="L473" s="74"/>
      <c r="M473" s="74"/>
      <c r="N473" s="74"/>
      <c r="O473" s="74"/>
      <c r="P473" s="74"/>
      <c r="Q473" s="74"/>
      <c r="R473" s="74"/>
      <c r="S473" s="74"/>
      <c r="T473" s="74"/>
      <c r="U473" s="74"/>
      <c r="V473" s="74"/>
      <c r="W473" s="74"/>
      <c r="X473" s="74"/>
      <c r="Y473" s="74"/>
      <c r="Z473" s="74"/>
    </row>
    <row r="474" spans="1:26" x14ac:dyDescent="0.3">
      <c r="A474" s="66">
        <f t="shared" si="50"/>
        <v>2036.6999999999575</v>
      </c>
      <c r="B474" s="67">
        <f>LOOKUP(A474+0.01,AmountsB!$A$4:$A$103,AmountsB!$B$4:$B$103)*0.1*$A$2</f>
        <v>0</v>
      </c>
      <c r="C474" s="68">
        <f t="shared" si="49"/>
        <v>83655.233518999943</v>
      </c>
      <c r="D474" s="67">
        <f t="array" ref="D474">SUM($B$7:$B469*$F$1009*EXP(-$F$1009*($A474-$A$7:$A469)))*$F$1010</f>
        <v>5103270.3078838773</v>
      </c>
      <c r="E474" s="67">
        <f t="shared" si="47"/>
        <v>9.7289343249671312</v>
      </c>
      <c r="F474" s="70">
        <f t="shared" si="51"/>
        <v>0.59074089221200421</v>
      </c>
      <c r="G474" s="67">
        <f>E474/'Lookup Tables'!$C$48</f>
        <v>19.457868649934262</v>
      </c>
      <c r="H474" s="70">
        <f t="shared" si="48"/>
        <v>6.1126216090728262E-2</v>
      </c>
      <c r="I474" s="71">
        <f t="shared" si="52"/>
        <v>2.8019330855905342E-2</v>
      </c>
      <c r="L474" s="74"/>
      <c r="M474" s="74"/>
      <c r="N474" s="74"/>
      <c r="O474" s="74"/>
      <c r="P474" s="74"/>
      <c r="Q474" s="74"/>
      <c r="R474" s="74"/>
      <c r="S474" s="74"/>
      <c r="T474" s="74"/>
      <c r="U474" s="74"/>
      <c r="V474" s="74"/>
      <c r="W474" s="74"/>
      <c r="X474" s="74"/>
      <c r="Y474" s="74"/>
      <c r="Z474" s="74"/>
    </row>
    <row r="475" spans="1:26" x14ac:dyDescent="0.3">
      <c r="A475" s="66">
        <f t="shared" si="50"/>
        <v>2036.7999999999574</v>
      </c>
      <c r="B475" s="67">
        <f>LOOKUP(A475+0.01,AmountsB!$A$4:$A$103,AmountsB!$B$4:$B$103)*0.1*$A$2</f>
        <v>0</v>
      </c>
      <c r="C475" s="68">
        <f t="shared" si="49"/>
        <v>83655.233518999943</v>
      </c>
      <c r="D475" s="67">
        <f t="array" ref="D475">SUM($B$7:$B470*$F$1009*EXP(-$F$1009*($A475-$A$7:$A470)))*$F$1010</f>
        <v>5096130.7283246676</v>
      </c>
      <c r="E475" s="67">
        <f t="shared" si="47"/>
        <v>9.715323346820016</v>
      </c>
      <c r="F475" s="70">
        <f t="shared" si="51"/>
        <v>0.58991443361891138</v>
      </c>
      <c r="G475" s="67">
        <f>E475/'Lookup Tables'!$C$48</f>
        <v>19.430646693640032</v>
      </c>
      <c r="H475" s="70">
        <f t="shared" si="48"/>
        <v>6.1040699263947791E-2</v>
      </c>
      <c r="I475" s="71">
        <f t="shared" si="52"/>
        <v>2.798013123884165E-2</v>
      </c>
      <c r="L475" s="74"/>
      <c r="M475" s="74"/>
      <c r="N475" s="74"/>
      <c r="O475" s="74"/>
      <c r="P475" s="74"/>
      <c r="Q475" s="74"/>
      <c r="R475" s="74"/>
      <c r="S475" s="74"/>
      <c r="T475" s="74"/>
      <c r="U475" s="74"/>
      <c r="V475" s="74"/>
      <c r="W475" s="74"/>
      <c r="X475" s="74"/>
      <c r="Y475" s="74"/>
      <c r="Z475" s="74"/>
    </row>
    <row r="476" spans="1:26" x14ac:dyDescent="0.3">
      <c r="A476" s="66">
        <f t="shared" si="50"/>
        <v>2036.8999999999573</v>
      </c>
      <c r="B476" s="67">
        <f>LOOKUP(A476+0.01,AmountsB!$A$4:$A$103,AmountsB!$B$4:$B$103)*0.1*$A$2</f>
        <v>0</v>
      </c>
      <c r="C476" s="68">
        <f t="shared" si="49"/>
        <v>83655.233518999943</v>
      </c>
      <c r="D476" s="67">
        <f t="array" ref="D476">SUM($B$7:$B471*$F$1009*EXP(-$F$1009*($A476-$A$7:$A471)))*$F$1010</f>
        <v>5089001.137183317</v>
      </c>
      <c r="E476" s="67">
        <f t="shared" si="47"/>
        <v>9.7017314107097707</v>
      </c>
      <c r="F476" s="70">
        <f t="shared" si="51"/>
        <v>0.58908913125829721</v>
      </c>
      <c r="G476" s="67">
        <f>E476/'Lookup Tables'!$C$48</f>
        <v>19.403462821419541</v>
      </c>
      <c r="H476" s="70">
        <f t="shared" si="48"/>
        <v>6.0955302076957416E-2</v>
      </c>
      <c r="I476" s="71">
        <f t="shared" si="52"/>
        <v>2.7940986462844136E-2</v>
      </c>
      <c r="L476" s="74"/>
      <c r="M476" s="74"/>
      <c r="N476" s="74"/>
      <c r="O476" s="74"/>
      <c r="P476" s="74"/>
      <c r="Q476" s="74"/>
      <c r="R476" s="74"/>
      <c r="S476" s="74"/>
      <c r="T476" s="74"/>
      <c r="U476" s="74"/>
      <c r="V476" s="74"/>
      <c r="W476" s="74"/>
      <c r="X476" s="74"/>
      <c r="Y476" s="74"/>
      <c r="Z476" s="74"/>
    </row>
    <row r="477" spans="1:26" x14ac:dyDescent="0.3">
      <c r="A477" s="66">
        <f t="shared" si="50"/>
        <v>2036.9999999999573</v>
      </c>
      <c r="B477" s="67">
        <f>LOOKUP(A477+0.01,AmountsB!$A$4:$A$103,AmountsB!$B$4:$B$103)*0.1*$A$2</f>
        <v>0</v>
      </c>
      <c r="C477" s="68">
        <f t="shared" si="49"/>
        <v>83655.233518999943</v>
      </c>
      <c r="D477" s="67">
        <f t="array" ref="D477">SUM($B$7:$B472*$F$1009*EXP(-$F$1009*($A477-$A$7:$A472)))*$F$1010</f>
        <v>5081881.5204858268</v>
      </c>
      <c r="E477" s="67">
        <f t="shared" si="47"/>
        <v>9.6881584899962014</v>
      </c>
      <c r="F477" s="70">
        <f t="shared" si="51"/>
        <v>0.58826498351256928</v>
      </c>
      <c r="G477" s="67">
        <f>E477/'Lookup Tables'!$C$48</f>
        <v>19.376316979992403</v>
      </c>
      <c r="H477" s="70">
        <f t="shared" si="48"/>
        <v>6.0870024362378664E-2</v>
      </c>
      <c r="I477" s="71">
        <f t="shared" si="52"/>
        <v>2.7901896451189057E-2</v>
      </c>
      <c r="L477" s="74"/>
      <c r="M477" s="74"/>
      <c r="N477" s="74"/>
      <c r="O477" s="74"/>
      <c r="P477" s="74"/>
      <c r="Q477" s="74"/>
      <c r="R477" s="74"/>
      <c r="S477" s="74"/>
      <c r="T477" s="74"/>
      <c r="U477" s="74"/>
      <c r="V477" s="74"/>
      <c r="W477" s="74"/>
      <c r="X477" s="74"/>
      <c r="Y477" s="74"/>
      <c r="Z477" s="74"/>
    </row>
    <row r="478" spans="1:26" x14ac:dyDescent="0.3">
      <c r="A478" s="66">
        <f t="shared" si="50"/>
        <v>2037.0999999999572</v>
      </c>
      <c r="B478" s="67">
        <f>LOOKUP(A478+0.01,AmountsB!$A$4:$A$103,AmountsB!$B$4:$B$103)*0.1*$A$2</f>
        <v>0</v>
      </c>
      <c r="C478" s="68">
        <f t="shared" si="49"/>
        <v>83655.233518999943</v>
      </c>
      <c r="D478" s="67">
        <f t="array" ref="D478">SUM($B$7:$B473*$F$1009*EXP(-$F$1009*($A478-$A$7:$A473)))*$F$1010</f>
        <v>5074771.8642777419</v>
      </c>
      <c r="E478" s="67">
        <f t="shared" si="47"/>
        <v>9.6746045580763713</v>
      </c>
      <c r="F478" s="70">
        <f t="shared" si="51"/>
        <v>0.58744198876639719</v>
      </c>
      <c r="G478" s="67">
        <f>E478/'Lookup Tables'!$C$48</f>
        <v>19.349209116152743</v>
      </c>
      <c r="H478" s="70">
        <f t="shared" si="48"/>
        <v>6.078486595306714E-2</v>
      </c>
      <c r="I478" s="71">
        <f t="shared" si="52"/>
        <v>2.7862861127259952E-2</v>
      </c>
      <c r="L478" s="74"/>
      <c r="M478" s="74"/>
      <c r="N478" s="74"/>
      <c r="O478" s="74"/>
      <c r="P478" s="74"/>
      <c r="Q478" s="74"/>
      <c r="R478" s="74"/>
      <c r="S478" s="74"/>
      <c r="T478" s="74"/>
      <c r="U478" s="74"/>
      <c r="V478" s="74"/>
      <c r="W478" s="74"/>
      <c r="X478" s="74"/>
      <c r="Y478" s="74"/>
      <c r="Z478" s="74"/>
    </row>
    <row r="479" spans="1:26" x14ac:dyDescent="0.3">
      <c r="A479" s="66">
        <f t="shared" si="50"/>
        <v>2037.1999999999571</v>
      </c>
      <c r="B479" s="67">
        <f>LOOKUP(A479+0.01,AmountsB!$A$4:$A$103,AmountsB!$B$4:$B$103)*0.1*$A$2</f>
        <v>0</v>
      </c>
      <c r="C479" s="68">
        <f t="shared" si="49"/>
        <v>83655.233518999943</v>
      </c>
      <c r="D479" s="67">
        <f t="array" ref="D479">SUM($B$7:$B474*$F$1009*EXP(-$F$1009*($A479-$A$7:$A474)))*$F$1010</f>
        <v>5067672.1546241371</v>
      </c>
      <c r="E479" s="67">
        <f t="shared" si="47"/>
        <v>9.6610695883845743</v>
      </c>
      <c r="F479" s="70">
        <f t="shared" si="51"/>
        <v>0.58662014540671137</v>
      </c>
      <c r="G479" s="67">
        <f>E479/'Lookup Tables'!$C$48</f>
        <v>19.322139176769149</v>
      </c>
      <c r="H479" s="70">
        <f t="shared" si="48"/>
        <v>6.0699826682112344E-2</v>
      </c>
      <c r="I479" s="71">
        <f t="shared" si="52"/>
        <v>2.7823880414547572E-2</v>
      </c>
      <c r="L479" s="74"/>
      <c r="M479" s="74"/>
      <c r="N479" s="74"/>
      <c r="O479" s="74"/>
      <c r="P479" s="74"/>
      <c r="Q479" s="74"/>
      <c r="R479" s="74"/>
      <c r="S479" s="74"/>
      <c r="T479" s="74"/>
      <c r="U479" s="74"/>
      <c r="V479" s="74"/>
      <c r="W479" s="74"/>
      <c r="X479" s="74"/>
      <c r="Y479" s="74"/>
      <c r="Z479" s="74"/>
    </row>
    <row r="480" spans="1:26" x14ac:dyDescent="0.3">
      <c r="A480" s="66">
        <f t="shared" si="50"/>
        <v>2037.299999999957</v>
      </c>
      <c r="B480" s="67">
        <f>LOOKUP(A480+0.01,AmountsB!$A$4:$A$103,AmountsB!$B$4:$B$103)*0.1*$A$2</f>
        <v>0</v>
      </c>
      <c r="C480" s="68">
        <f t="shared" si="49"/>
        <v>83655.233518999943</v>
      </c>
      <c r="D480" s="67">
        <f t="array" ref="D480">SUM($B$7:$B475*$F$1009*EXP(-$F$1009*($A480-$A$7:$A475)))*$F$1010</f>
        <v>5060582.377609577</v>
      </c>
      <c r="E480" s="67">
        <f t="shared" si="47"/>
        <v>9.6475535543922604</v>
      </c>
      <c r="F480" s="70">
        <f t="shared" si="51"/>
        <v>0.58579945182269799</v>
      </c>
      <c r="G480" s="67">
        <f>E480/'Lookup Tables'!$C$48</f>
        <v>19.295107108784521</v>
      </c>
      <c r="H480" s="70">
        <f t="shared" si="48"/>
        <v>6.0614906382837272E-2</v>
      </c>
      <c r="I480" s="71">
        <f t="shared" si="52"/>
        <v>2.7784954236649711E-2</v>
      </c>
      <c r="L480" s="74"/>
      <c r="M480" s="74"/>
      <c r="N480" s="74"/>
      <c r="O480" s="74"/>
      <c r="P480" s="74"/>
      <c r="Q480" s="74"/>
      <c r="R480" s="74"/>
      <c r="S480" s="74"/>
      <c r="T480" s="74"/>
      <c r="U480" s="74"/>
      <c r="V480" s="74"/>
      <c r="W480" s="74"/>
      <c r="X480" s="74"/>
      <c r="Y480" s="74"/>
      <c r="Z480" s="74"/>
    </row>
    <row r="481" spans="1:26" x14ac:dyDescent="0.3">
      <c r="A481" s="66">
        <f t="shared" si="50"/>
        <v>2037.3999999999569</v>
      </c>
      <c r="B481" s="67">
        <f>LOOKUP(A481+0.01,AmountsB!$A$4:$A$103,AmountsB!$B$4:$B$103)*0.1*$A$2</f>
        <v>0</v>
      </c>
      <c r="C481" s="68">
        <f t="shared" si="49"/>
        <v>83655.233518999943</v>
      </c>
      <c r="D481" s="67">
        <f t="array" ref="D481">SUM($B$7:$B476*$F$1009*EXP(-$F$1009*($A481-$A$7:$A476)))*$F$1010</f>
        <v>5053502.5193380984</v>
      </c>
      <c r="E481" s="67">
        <f t="shared" si="47"/>
        <v>9.6340564296080071</v>
      </c>
      <c r="F481" s="70">
        <f t="shared" si="51"/>
        <v>0.58497990640579822</v>
      </c>
      <c r="G481" s="67">
        <f>E481/'Lookup Tables'!$C$48</f>
        <v>19.268112859216014</v>
      </c>
      <c r="H481" s="70">
        <f t="shared" si="48"/>
        <v>6.0530104888798134E-2</v>
      </c>
      <c r="I481" s="71">
        <f t="shared" si="52"/>
        <v>2.7746082517271061E-2</v>
      </c>
      <c r="L481" s="74"/>
      <c r="M481" s="74"/>
      <c r="N481" s="74"/>
      <c r="O481" s="74"/>
      <c r="P481" s="74"/>
      <c r="Q481" s="74"/>
      <c r="R481" s="74"/>
      <c r="S481" s="74"/>
      <c r="T481" s="74"/>
      <c r="U481" s="74"/>
      <c r="V481" s="74"/>
      <c r="W481" s="74"/>
      <c r="X481" s="74"/>
      <c r="Y481" s="74"/>
      <c r="Z481" s="74"/>
    </row>
    <row r="482" spans="1:26" x14ac:dyDescent="0.3">
      <c r="A482" s="66">
        <f t="shared" si="50"/>
        <v>2037.4999999999568</v>
      </c>
      <c r="B482" s="67">
        <f>LOOKUP(A482+0.01,AmountsB!$A$4:$A$103,AmountsB!$B$4:$B$103)*0.1*$A$2</f>
        <v>0</v>
      </c>
      <c r="C482" s="68">
        <f t="shared" si="49"/>
        <v>83655.233518999943</v>
      </c>
      <c r="D482" s="67">
        <f t="array" ref="D482">SUM($B$7:$B477*$F$1009*EXP(-$F$1009*($A482-$A$7:$A477)))*$F$1010</f>
        <v>5046432.5659331735</v>
      </c>
      <c r="E482" s="67">
        <f t="shared" si="47"/>
        <v>9.6205781875774345</v>
      </c>
      <c r="F482" s="70">
        <f t="shared" si="51"/>
        <v>0.58416150754970186</v>
      </c>
      <c r="G482" s="67">
        <f>E482/'Lookup Tables'!$C$48</f>
        <v>19.241156375154869</v>
      </c>
      <c r="H482" s="70">
        <f t="shared" si="48"/>
        <v>6.0445422033783933E-2</v>
      </c>
      <c r="I482" s="71">
        <f t="shared" si="52"/>
        <v>2.7707265180223015E-2</v>
      </c>
      <c r="L482" s="74"/>
      <c r="M482" s="74"/>
      <c r="N482" s="74"/>
      <c r="O482" s="74"/>
      <c r="P482" s="74"/>
      <c r="Q482" s="74"/>
      <c r="R482" s="74"/>
      <c r="S482" s="74"/>
      <c r="T482" s="74"/>
      <c r="U482" s="74"/>
      <c r="V482" s="74"/>
      <c r="W482" s="74"/>
      <c r="X482" s="74"/>
      <c r="Y482" s="74"/>
      <c r="Z482" s="74"/>
    </row>
    <row r="483" spans="1:26" x14ac:dyDescent="0.3">
      <c r="A483" s="66">
        <f t="shared" si="50"/>
        <v>2037.5999999999567</v>
      </c>
      <c r="B483" s="67">
        <f>LOOKUP(A483+0.01,AmountsB!$A$4:$A$103,AmountsB!$B$4:$B$103)*0.1*$A$2</f>
        <v>0</v>
      </c>
      <c r="C483" s="68">
        <f t="shared" si="49"/>
        <v>83655.233518999943</v>
      </c>
      <c r="D483" s="67">
        <f t="array" ref="D483">SUM($B$7:$B478*$F$1009*EXP(-$F$1009*($A483-$A$7:$A478)))*$F$1010</f>
        <v>5039372.503537694</v>
      </c>
      <c r="E483" s="67">
        <f t="shared" si="47"/>
        <v>9.6071188018831908</v>
      </c>
      <c r="F483" s="70">
        <f t="shared" si="51"/>
        <v>0.58334425365034737</v>
      </c>
      <c r="G483" s="67">
        <f>E483/'Lookup Tables'!$C$48</f>
        <v>19.214237603766382</v>
      </c>
      <c r="H483" s="70">
        <f t="shared" si="48"/>
        <v>6.0360857651816271E-2</v>
      </c>
      <c r="I483" s="71">
        <f t="shared" si="52"/>
        <v>2.7668502149423593E-2</v>
      </c>
      <c r="L483" s="74"/>
      <c r="M483" s="74"/>
      <c r="N483" s="74"/>
      <c r="O483" s="74"/>
      <c r="P483" s="74"/>
      <c r="Q483" s="74"/>
      <c r="R483" s="74"/>
      <c r="S483" s="74"/>
      <c r="T483" s="74"/>
      <c r="U483" s="74"/>
      <c r="V483" s="74"/>
      <c r="W483" s="74"/>
      <c r="X483" s="74"/>
      <c r="Y483" s="74"/>
      <c r="Z483" s="74"/>
    </row>
    <row r="484" spans="1:26" x14ac:dyDescent="0.3">
      <c r="A484" s="66">
        <f t="shared" si="50"/>
        <v>2037.6999999999566</v>
      </c>
      <c r="B484" s="67">
        <f>LOOKUP(A484+0.01,AmountsB!$A$4:$A$103,AmountsB!$B$4:$B$103)*0.1*$A$2</f>
        <v>0</v>
      </c>
      <c r="C484" s="68">
        <f t="shared" si="49"/>
        <v>83655.233518999943</v>
      </c>
      <c r="D484" s="67">
        <f t="array" ref="D484">SUM($B$7:$B479*$F$1009*EXP(-$F$1009*($A484-$A$7:$A479)))*$F$1010</f>
        <v>5032322.3183139339</v>
      </c>
      <c r="E484" s="67">
        <f t="shared" si="47"/>
        <v>9.5936782461448722</v>
      </c>
      <c r="F484" s="70">
        <f t="shared" si="51"/>
        <v>0.58252814310591672</v>
      </c>
      <c r="G484" s="67">
        <f>E484/'Lookup Tables'!$C$48</f>
        <v>19.187356492289744</v>
      </c>
      <c r="H484" s="70">
        <f t="shared" si="48"/>
        <v>6.0276411577148921E-2</v>
      </c>
      <c r="I484" s="71">
        <f t="shared" si="52"/>
        <v>2.7629793348897234E-2</v>
      </c>
      <c r="L484" s="74"/>
      <c r="M484" s="74"/>
      <c r="N484" s="74"/>
      <c r="O484" s="74"/>
      <c r="P484" s="74"/>
      <c r="Q484" s="74"/>
      <c r="R484" s="74"/>
      <c r="S484" s="74"/>
      <c r="T484" s="74"/>
      <c r="U484" s="74"/>
      <c r="V484" s="74"/>
      <c r="W484" s="74"/>
      <c r="X484" s="74"/>
      <c r="Y484" s="74"/>
      <c r="Z484" s="74"/>
    </row>
    <row r="485" spans="1:26" x14ac:dyDescent="0.3">
      <c r="A485" s="66">
        <f t="shared" si="50"/>
        <v>2037.7999999999565</v>
      </c>
      <c r="B485" s="67">
        <f>LOOKUP(A485+0.01,AmountsB!$A$4:$A$103,AmountsB!$B$4:$B$103)*0.1*$A$2</f>
        <v>0</v>
      </c>
      <c r="C485" s="68">
        <f t="shared" si="49"/>
        <v>83655.233518999943</v>
      </c>
      <c r="D485" s="67">
        <f t="array" ref="D485">SUM($B$7:$B480*$F$1009*EXP(-$F$1009*($A485-$A$7:$A480)))*$F$1010</f>
        <v>5025281.9964435296</v>
      </c>
      <c r="E485" s="67">
        <f t="shared" si="47"/>
        <v>9.5802564940189914</v>
      </c>
      <c r="F485" s="70">
        <f t="shared" si="51"/>
        <v>0.58171317431683311</v>
      </c>
      <c r="G485" s="67">
        <f>E485/'Lookup Tables'!$C$48</f>
        <v>19.160512988037983</v>
      </c>
      <c r="H485" s="70">
        <f t="shared" si="48"/>
        <v>6.0192083644267584E-2</v>
      </c>
      <c r="I485" s="71">
        <f t="shared" si="52"/>
        <v>2.7591138702774697E-2</v>
      </c>
      <c r="L485" s="74"/>
      <c r="M485" s="74"/>
      <c r="N485" s="74"/>
      <c r="O485" s="74"/>
      <c r="P485" s="74"/>
      <c r="Q485" s="74"/>
      <c r="R485" s="74"/>
      <c r="S485" s="74"/>
      <c r="T485" s="74"/>
      <c r="U485" s="74"/>
      <c r="V485" s="74"/>
      <c r="W485" s="74"/>
      <c r="X485" s="74"/>
      <c r="Y485" s="74"/>
      <c r="Z485" s="74"/>
    </row>
    <row r="486" spans="1:26" x14ac:dyDescent="0.3">
      <c r="A486" s="66">
        <f t="shared" si="50"/>
        <v>2037.8999999999564</v>
      </c>
      <c r="B486" s="67">
        <f>LOOKUP(A486+0.01,AmountsB!$A$4:$A$103,AmountsB!$B$4:$B$103)*0.1*$A$2</f>
        <v>0</v>
      </c>
      <c r="C486" s="68">
        <f t="shared" si="49"/>
        <v>83655.233518999943</v>
      </c>
      <c r="D486" s="67">
        <f t="array" ref="D486">SUM($B$7:$B481*$F$1009*EXP(-$F$1009*($A486-$A$7:$A481)))*$F$1010</f>
        <v>5018251.5241274461</v>
      </c>
      <c r="E486" s="67">
        <f t="shared" si="47"/>
        <v>9.5668535191989008</v>
      </c>
      <c r="F486" s="70">
        <f t="shared" si="51"/>
        <v>0.58089934568575718</v>
      </c>
      <c r="G486" s="67">
        <f>E486/'Lookup Tables'!$C$48</f>
        <v>19.133707038397802</v>
      </c>
      <c r="H486" s="70">
        <f t="shared" si="48"/>
        <v>6.0107873687889425E-2</v>
      </c>
      <c r="I486" s="71">
        <f t="shared" si="52"/>
        <v>2.7552538135292834E-2</v>
      </c>
      <c r="L486" s="74"/>
      <c r="M486" s="74"/>
      <c r="N486" s="74"/>
      <c r="O486" s="74"/>
      <c r="P486" s="74"/>
      <c r="Q486" s="74"/>
      <c r="R486" s="74"/>
      <c r="S486" s="74"/>
      <c r="T486" s="74"/>
      <c r="U486" s="74"/>
      <c r="V486" s="74"/>
      <c r="W486" s="74"/>
      <c r="X486" s="74"/>
      <c r="Y486" s="74"/>
      <c r="Z486" s="74"/>
    </row>
    <row r="487" spans="1:26" x14ac:dyDescent="0.3">
      <c r="A487" s="66">
        <f t="shared" si="50"/>
        <v>2037.9999999999563</v>
      </c>
      <c r="B487" s="67">
        <f>LOOKUP(A487+0.01,AmountsB!$A$4:$A$103,AmountsB!$B$4:$B$103)*0.1*$A$2</f>
        <v>0</v>
      </c>
      <c r="C487" s="68">
        <f t="shared" si="49"/>
        <v>83655.233518999943</v>
      </c>
      <c r="D487" s="67">
        <f t="array" ref="D487">SUM($B$7:$B482*$F$1009*EXP(-$F$1009*($A487-$A$7:$A482)))*$F$1010</f>
        <v>5011230.8875859575</v>
      </c>
      <c r="E487" s="67">
        <f t="shared" si="47"/>
        <v>9.5534692954147751</v>
      </c>
      <c r="F487" s="70">
        <f t="shared" si="51"/>
        <v>0.58008665561758521</v>
      </c>
      <c r="G487" s="67">
        <f>E487/'Lookup Tables'!$C$48</f>
        <v>19.10693859082955</v>
      </c>
      <c r="H487" s="70">
        <f t="shared" si="48"/>
        <v>6.0023781542962971E-2</v>
      </c>
      <c r="I487" s="71">
        <f t="shared" si="52"/>
        <v>2.7513991570794556E-2</v>
      </c>
      <c r="L487" s="74"/>
      <c r="M487" s="74"/>
      <c r="N487" s="74"/>
      <c r="O487" s="74"/>
      <c r="P487" s="74"/>
      <c r="Q487" s="74"/>
      <c r="R487" s="74"/>
      <c r="S487" s="74"/>
      <c r="T487" s="74"/>
      <c r="U487" s="74"/>
      <c r="V487" s="74"/>
      <c r="W487" s="74"/>
      <c r="X487" s="74"/>
      <c r="Y487" s="74"/>
      <c r="Z487" s="74"/>
    </row>
    <row r="488" spans="1:26" x14ac:dyDescent="0.3">
      <c r="A488" s="66">
        <f t="shared" si="50"/>
        <v>2038.0999999999563</v>
      </c>
      <c r="B488" s="67">
        <f>LOOKUP(A488+0.01,AmountsB!$A$4:$A$103,AmountsB!$B$4:$B$103)*0.1*$A$2</f>
        <v>0</v>
      </c>
      <c r="C488" s="68">
        <f t="shared" si="49"/>
        <v>83655.233518999943</v>
      </c>
      <c r="D488" s="67">
        <f t="array" ref="D488">SUM($B$7:$B483*$F$1009*EXP(-$F$1009*($A488-$A$7:$A483)))*$F$1010</f>
        <v>5004220.0730586126</v>
      </c>
      <c r="E488" s="67">
        <f t="shared" si="47"/>
        <v>9.5401037964335256</v>
      </c>
      <c r="F488" s="70">
        <f t="shared" si="51"/>
        <v>0.57927510251944359</v>
      </c>
      <c r="G488" s="67">
        <f>E488/'Lookup Tables'!$C$48</f>
        <v>19.080207592867051</v>
      </c>
      <c r="H488" s="70">
        <f t="shared" si="48"/>
        <v>5.9939807044667531E-2</v>
      </c>
      <c r="I488" s="71">
        <f t="shared" si="52"/>
        <v>2.747549893372855E-2</v>
      </c>
      <c r="L488" s="74"/>
      <c r="M488" s="74"/>
      <c r="N488" s="74"/>
      <c r="O488" s="74"/>
      <c r="P488" s="74"/>
      <c r="Q488" s="74"/>
      <c r="R488" s="74"/>
      <c r="S488" s="74"/>
      <c r="T488" s="74"/>
      <c r="U488" s="74"/>
      <c r="V488" s="74"/>
      <c r="W488" s="74"/>
      <c r="X488" s="74"/>
      <c r="Y488" s="74"/>
      <c r="Z488" s="74"/>
    </row>
    <row r="489" spans="1:26" x14ac:dyDescent="0.3">
      <c r="A489" s="66">
        <f t="shared" si="50"/>
        <v>2038.1999999999562</v>
      </c>
      <c r="B489" s="67">
        <f>LOOKUP(A489+0.01,AmountsB!$A$4:$A$103,AmountsB!$B$4:$B$103)*0.1*$A$2</f>
        <v>0</v>
      </c>
      <c r="C489" s="68">
        <f t="shared" si="49"/>
        <v>83655.233518999943</v>
      </c>
      <c r="D489" s="67">
        <f t="array" ref="D489">SUM($B$7:$B484*$F$1009*EXP(-$F$1009*($A489-$A$7:$A484)))*$F$1010</f>
        <v>4997219.0668042134</v>
      </c>
      <c r="E489" s="67">
        <f t="shared" si="47"/>
        <v>9.5267569960587704</v>
      </c>
      <c r="F489" s="70">
        <f t="shared" si="51"/>
        <v>0.57846468480068858</v>
      </c>
      <c r="G489" s="67">
        <f>E489/'Lookup Tables'!$C$48</f>
        <v>19.053513992117541</v>
      </c>
      <c r="H489" s="70">
        <f t="shared" si="48"/>
        <v>5.9855950028413103E-2</v>
      </c>
      <c r="I489" s="71">
        <f t="shared" si="52"/>
        <v>2.7437060148649259E-2</v>
      </c>
      <c r="L489" s="74"/>
      <c r="M489" s="74"/>
      <c r="N489" s="74"/>
      <c r="O489" s="74"/>
      <c r="P489" s="74"/>
      <c r="Q489" s="74"/>
      <c r="R489" s="74"/>
      <c r="S489" s="74"/>
      <c r="T489" s="74"/>
      <c r="U489" s="74"/>
      <c r="V489" s="74"/>
      <c r="W489" s="74"/>
      <c r="X489" s="74"/>
      <c r="Y489" s="74"/>
      <c r="Z489" s="74"/>
    </row>
    <row r="490" spans="1:26" x14ac:dyDescent="0.3">
      <c r="A490" s="66">
        <f t="shared" si="50"/>
        <v>2038.2999999999561</v>
      </c>
      <c r="B490" s="67">
        <f>LOOKUP(A490+0.01,AmountsB!$A$4:$A$103,AmountsB!$B$4:$B$103)*0.1*$A$2</f>
        <v>0</v>
      </c>
      <c r="C490" s="68">
        <f t="shared" si="49"/>
        <v>83655.233518999943</v>
      </c>
      <c r="D490" s="67">
        <f t="array" ref="D490">SUM($B$7:$B485*$F$1009*EXP(-$F$1009*($A490-$A$7:$A485)))*$F$1010</f>
        <v>4990227.8551007835</v>
      </c>
      <c r="E490" s="67">
        <f t="shared" si="47"/>
        <v>9.5134288681307773</v>
      </c>
      <c r="F490" s="70">
        <f t="shared" si="51"/>
        <v>0.5776554008729009</v>
      </c>
      <c r="G490" s="67">
        <f>E490/'Lookup Tables'!$C$48</f>
        <v>19.026857736261555</v>
      </c>
      <c r="H490" s="70">
        <f t="shared" si="48"/>
        <v>5.9772210329839891E-2</v>
      </c>
      <c r="I490" s="71">
        <f t="shared" si="52"/>
        <v>2.7398675140216641E-2</v>
      </c>
      <c r="L490" s="74"/>
      <c r="M490" s="74"/>
      <c r="N490" s="74"/>
      <c r="O490" s="74"/>
      <c r="P490" s="74"/>
      <c r="Q490" s="74"/>
      <c r="R490" s="74"/>
      <c r="S490" s="74"/>
      <c r="T490" s="74"/>
      <c r="U490" s="74"/>
      <c r="V490" s="74"/>
      <c r="W490" s="74"/>
      <c r="X490" s="74"/>
      <c r="Y490" s="74"/>
      <c r="Z490" s="74"/>
    </row>
    <row r="491" spans="1:26" x14ac:dyDescent="0.3">
      <c r="A491" s="66">
        <f t="shared" si="50"/>
        <v>2038.399999999956</v>
      </c>
      <c r="B491" s="67">
        <f>LOOKUP(A491+0.01,AmountsB!$A$4:$A$103,AmountsB!$B$4:$B$103)*0.1*$A$2</f>
        <v>0</v>
      </c>
      <c r="C491" s="68">
        <f t="shared" si="49"/>
        <v>83655.233518999943</v>
      </c>
      <c r="D491" s="67">
        <f t="array" ref="D491">SUM($B$7:$B486*$F$1009*EXP(-$F$1009*($A491-$A$7:$A486)))*$F$1010</f>
        <v>4983246.4242455484</v>
      </c>
      <c r="E491" s="67">
        <f t="shared" si="47"/>
        <v>9.5001193865264124</v>
      </c>
      <c r="F491" s="70">
        <f t="shared" si="51"/>
        <v>0.57684724914988372</v>
      </c>
      <c r="G491" s="67">
        <f>E491/'Lookup Tables'!$C$48</f>
        <v>19.000238773052825</v>
      </c>
      <c r="H491" s="70">
        <f t="shared" si="48"/>
        <v>5.9688587784818052E-2</v>
      </c>
      <c r="I491" s="71">
        <f t="shared" si="52"/>
        <v>2.7360343833196063E-2</v>
      </c>
      <c r="L491" s="74"/>
      <c r="M491" s="74"/>
      <c r="N491" s="74"/>
      <c r="O491" s="74"/>
      <c r="P491" s="74"/>
      <c r="Q491" s="74"/>
      <c r="R491" s="74"/>
      <c r="S491" s="74"/>
      <c r="T491" s="74"/>
      <c r="U491" s="74"/>
      <c r="V491" s="74"/>
      <c r="W491" s="74"/>
      <c r="X491" s="74"/>
      <c r="Y491" s="74"/>
      <c r="Z491" s="74"/>
    </row>
    <row r="492" spans="1:26" x14ac:dyDescent="0.3">
      <c r="A492" s="66">
        <f t="shared" si="50"/>
        <v>2038.4999999999559</v>
      </c>
      <c r="B492" s="67">
        <f>LOOKUP(A492+0.01,AmountsB!$A$4:$A$103,AmountsB!$B$4:$B$103)*0.1*$A$2</f>
        <v>0</v>
      </c>
      <c r="C492" s="68">
        <f t="shared" si="49"/>
        <v>83655.233518999943</v>
      </c>
      <c r="D492" s="67">
        <f t="array" ref="D492">SUM($B$7:$B487*$F$1009*EXP(-$F$1009*($A492-$A$7:$A487)))*$F$1010</f>
        <v>4976274.7605549004</v>
      </c>
      <c r="E492" s="67">
        <f t="shared" si="47"/>
        <v>9.4868285251590869</v>
      </c>
      <c r="F492" s="70">
        <f t="shared" si="51"/>
        <v>0.57604022804765975</v>
      </c>
      <c r="G492" s="67">
        <f>E492/'Lookup Tables'!$C$48</f>
        <v>18.973657050318174</v>
      </c>
      <c r="H492" s="70">
        <f t="shared" si="48"/>
        <v>5.9605082229447395E-2</v>
      </c>
      <c r="I492" s="71">
        <f t="shared" si="52"/>
        <v>2.7322066152458167E-2</v>
      </c>
      <c r="L492" s="74"/>
      <c r="M492" s="74"/>
      <c r="N492" s="74"/>
      <c r="O492" s="74"/>
      <c r="P492" s="74"/>
      <c r="Q492" s="74"/>
      <c r="R492" s="74"/>
      <c r="S492" s="74"/>
      <c r="T492" s="74"/>
      <c r="U492" s="74"/>
      <c r="V492" s="74"/>
      <c r="W492" s="74"/>
      <c r="X492" s="74"/>
      <c r="Y492" s="74"/>
      <c r="Z492" s="74"/>
    </row>
    <row r="493" spans="1:26" x14ac:dyDescent="0.3">
      <c r="A493" s="66">
        <f t="shared" si="50"/>
        <v>2038.5999999999558</v>
      </c>
      <c r="B493" s="67">
        <f>LOOKUP(A493+0.01,AmountsB!$A$4:$A$103,AmountsB!$B$4:$B$103)*0.1*$A$2</f>
        <v>0</v>
      </c>
      <c r="C493" s="68">
        <f t="shared" si="49"/>
        <v>83655.233518999943</v>
      </c>
      <c r="D493" s="67">
        <f t="array" ref="D493">SUM($B$7:$B488*$F$1009*EXP(-$F$1009*($A493-$A$7:$A488)))*$F$1010</f>
        <v>4969312.8503643749</v>
      </c>
      <c r="E493" s="67">
        <f t="shared" si="47"/>
        <v>9.4735562579787054</v>
      </c>
      <c r="F493" s="70">
        <f t="shared" si="51"/>
        <v>0.57523433598446694</v>
      </c>
      <c r="G493" s="67">
        <f>E493/'Lookup Tables'!$C$48</f>
        <v>18.947112515957411</v>
      </c>
      <c r="H493" s="70">
        <f t="shared" si="48"/>
        <v>5.9521693500056976E-2</v>
      </c>
      <c r="I493" s="71">
        <f t="shared" si="52"/>
        <v>2.728384202297867E-2</v>
      </c>
      <c r="L493" s="74"/>
      <c r="M493" s="74"/>
      <c r="N493" s="74"/>
      <c r="O493" s="74"/>
      <c r="P493" s="74"/>
      <c r="Q493" s="74"/>
      <c r="R493" s="74"/>
      <c r="S493" s="74"/>
      <c r="T493" s="74"/>
      <c r="U493" s="74"/>
      <c r="V493" s="74"/>
      <c r="W493" s="74"/>
      <c r="X493" s="74"/>
      <c r="Y493" s="74"/>
      <c r="Z493" s="74"/>
    </row>
    <row r="494" spans="1:26" x14ac:dyDescent="0.3">
      <c r="A494" s="66">
        <f t="shared" si="50"/>
        <v>2038.6999999999557</v>
      </c>
      <c r="B494" s="67">
        <f>LOOKUP(A494+0.01,AmountsB!$A$4:$A$103,AmountsB!$B$4:$B$103)*0.1*$A$2</f>
        <v>0</v>
      </c>
      <c r="C494" s="68">
        <f t="shared" si="49"/>
        <v>83655.233518999943</v>
      </c>
      <c r="D494" s="67">
        <f t="array" ref="D494">SUM($B$7:$B489*$F$1009*EXP(-$F$1009*($A494-$A$7:$A489)))*$F$1010</f>
        <v>4962360.6800286276</v>
      </c>
      <c r="E494" s="67">
        <f t="shared" si="47"/>
        <v>9.460302558971625</v>
      </c>
      <c r="F494" s="70">
        <f t="shared" si="51"/>
        <v>0.57442957138075712</v>
      </c>
      <c r="G494" s="67">
        <f>E494/'Lookup Tables'!$C$48</f>
        <v>18.92060511794325</v>
      </c>
      <c r="H494" s="70">
        <f t="shared" si="48"/>
        <v>5.9438421433204887E-2</v>
      </c>
      <c r="I494" s="71">
        <f t="shared" si="52"/>
        <v>2.7245671369838281E-2</v>
      </c>
      <c r="L494" s="74"/>
      <c r="M494" s="74"/>
      <c r="N494" s="74"/>
      <c r="O494" s="74"/>
      <c r="P494" s="74"/>
      <c r="Q494" s="74"/>
      <c r="R494" s="74"/>
      <c r="S494" s="74"/>
      <c r="T494" s="74"/>
      <c r="U494" s="74"/>
      <c r="V494" s="74"/>
      <c r="W494" s="74"/>
      <c r="X494" s="74"/>
      <c r="Y494" s="74"/>
      <c r="Z494" s="74"/>
    </row>
    <row r="495" spans="1:26" x14ac:dyDescent="0.3">
      <c r="A495" s="66">
        <f t="shared" si="50"/>
        <v>2038.7999999999556</v>
      </c>
      <c r="B495" s="67">
        <f>LOOKUP(A495+0.01,AmountsB!$A$4:$A$103,AmountsB!$B$4:$B$103)*0.1*$A$2</f>
        <v>0</v>
      </c>
      <c r="C495" s="68">
        <f t="shared" si="49"/>
        <v>83655.233518999943</v>
      </c>
      <c r="D495" s="67">
        <f t="array" ref="D495">SUM($B$7:$B490*$F$1009*EXP(-$F$1009*($A495-$A$7:$A490)))*$F$1010</f>
        <v>4955418.2359214006</v>
      </c>
      <c r="E495" s="67">
        <f t="shared" si="47"/>
        <v>9.4470674021605845</v>
      </c>
      <c r="F495" s="70">
        <f t="shared" si="51"/>
        <v>0.5736259326591906</v>
      </c>
      <c r="G495" s="67">
        <f>E495/'Lookup Tables'!$C$48</f>
        <v>18.894134804321169</v>
      </c>
      <c r="H495" s="70">
        <f t="shared" si="48"/>
        <v>5.9355265865677805E-2</v>
      </c>
      <c r="I495" s="71">
        <f t="shared" si="52"/>
        <v>2.7207554118222482E-2</v>
      </c>
      <c r="L495" s="74"/>
      <c r="M495" s="74"/>
      <c r="N495" s="74"/>
      <c r="O495" s="74"/>
      <c r="P495" s="74"/>
      <c r="Q495" s="74"/>
      <c r="R495" s="74"/>
      <c r="S495" s="74"/>
      <c r="T495" s="74"/>
      <c r="U495" s="74"/>
      <c r="V495" s="74"/>
      <c r="W495" s="74"/>
      <c r="X495" s="74"/>
      <c r="Y495" s="74"/>
      <c r="Z495" s="74"/>
    </row>
    <row r="496" spans="1:26" x14ac:dyDescent="0.3">
      <c r="A496" s="66">
        <f t="shared" si="50"/>
        <v>2038.8999999999555</v>
      </c>
      <c r="B496" s="67">
        <f>LOOKUP(A496+0.01,AmountsB!$A$4:$A$103,AmountsB!$B$4:$B$103)*0.1*$A$2</f>
        <v>0</v>
      </c>
      <c r="C496" s="68">
        <f t="shared" si="49"/>
        <v>83655.233518999943</v>
      </c>
      <c r="D496" s="67">
        <f t="array" ref="D496">SUM($B$7:$B491*$F$1009*EXP(-$F$1009*($A496-$A$7:$A491)))*$F$1010</f>
        <v>4948485.5044355039</v>
      </c>
      <c r="E496" s="67">
        <f t="shared" si="47"/>
        <v>9.4338507616046794</v>
      </c>
      <c r="F496" s="70">
        <f t="shared" si="51"/>
        <v>0.57282341824463612</v>
      </c>
      <c r="G496" s="67">
        <f>E496/'Lookup Tables'!$C$48</f>
        <v>18.867701523209359</v>
      </c>
      <c r="H496" s="70">
        <f t="shared" si="48"/>
        <v>5.9272226634490846E-2</v>
      </c>
      <c r="I496" s="71">
        <f t="shared" si="52"/>
        <v>2.7169490193421481E-2</v>
      </c>
      <c r="L496" s="74"/>
      <c r="M496" s="74"/>
      <c r="N496" s="74"/>
      <c r="O496" s="74"/>
      <c r="P496" s="74"/>
      <c r="Q496" s="74"/>
      <c r="R496" s="74"/>
      <c r="S496" s="74"/>
      <c r="T496" s="74"/>
      <c r="U496" s="74"/>
      <c r="V496" s="74"/>
      <c r="W496" s="74"/>
      <c r="X496" s="74"/>
      <c r="Y496" s="74"/>
      <c r="Z496" s="74"/>
    </row>
    <row r="497" spans="1:26" x14ac:dyDescent="0.3">
      <c r="A497" s="66">
        <f t="shared" si="50"/>
        <v>2038.9999999999554</v>
      </c>
      <c r="B497" s="67">
        <f>LOOKUP(A497+0.01,AmountsB!$A$4:$A$103,AmountsB!$B$4:$B$103)*0.1*$A$2</f>
        <v>0</v>
      </c>
      <c r="C497" s="68">
        <f t="shared" si="49"/>
        <v>83655.233518999943</v>
      </c>
      <c r="D497" s="67">
        <f t="array" ref="D497">SUM($B$7:$B492*$F$1009*EXP(-$F$1009*($A497-$A$7:$A492)))*$F$1010</f>
        <v>4941562.4719827781</v>
      </c>
      <c r="E497" s="67">
        <f t="shared" si="47"/>
        <v>9.4206526113992837</v>
      </c>
      <c r="F497" s="70">
        <f t="shared" si="51"/>
        <v>0.57202202656416457</v>
      </c>
      <c r="G497" s="67">
        <f>E497/'Lookup Tables'!$C$48</f>
        <v>18.841305222798567</v>
      </c>
      <c r="H497" s="70">
        <f t="shared" si="48"/>
        <v>5.9189303576887037E-2</v>
      </c>
      <c r="I497" s="71">
        <f t="shared" si="52"/>
        <v>2.7131479520829942E-2</v>
      </c>
      <c r="L497" s="74"/>
      <c r="M497" s="74"/>
      <c r="N497" s="74"/>
      <c r="O497" s="74"/>
      <c r="P497" s="74"/>
      <c r="Q497" s="74"/>
      <c r="R497" s="74"/>
      <c r="S497" s="74"/>
      <c r="T497" s="74"/>
      <c r="U497" s="74"/>
      <c r="V497" s="74"/>
      <c r="W497" s="74"/>
      <c r="X497" s="74"/>
      <c r="Y497" s="74"/>
      <c r="Z497" s="74"/>
    </row>
    <row r="498" spans="1:26" x14ac:dyDescent="0.3">
      <c r="A498" s="66">
        <f t="shared" si="50"/>
        <v>2039.0999999999553</v>
      </c>
      <c r="B498" s="67">
        <f>LOOKUP(A498+0.01,AmountsB!$A$4:$A$103,AmountsB!$B$4:$B$103)*0.1*$A$2</f>
        <v>0</v>
      </c>
      <c r="C498" s="68">
        <f t="shared" si="49"/>
        <v>83655.233518999943</v>
      </c>
      <c r="D498" s="67">
        <f t="array" ref="D498">SUM($B$7:$B493*$F$1009*EXP(-$F$1009*($A498-$A$7:$A493)))*$F$1010</f>
        <v>4934649.1249940805</v>
      </c>
      <c r="E498" s="67">
        <f t="shared" si="47"/>
        <v>9.407472925676025</v>
      </c>
      <c r="F498" s="70">
        <f t="shared" si="51"/>
        <v>0.57122175604704828</v>
      </c>
      <c r="G498" s="67">
        <f>E498/'Lookup Tables'!$C$48</f>
        <v>18.81494585135205</v>
      </c>
      <c r="H498" s="70">
        <f t="shared" si="48"/>
        <v>5.9106496530337199E-2</v>
      </c>
      <c r="I498" s="71">
        <f t="shared" si="52"/>
        <v>2.7093522025946955E-2</v>
      </c>
      <c r="L498" s="74"/>
      <c r="M498" s="74"/>
      <c r="N498" s="74"/>
      <c r="O498" s="74"/>
      <c r="P498" s="74"/>
      <c r="Q498" s="74"/>
      <c r="R498" s="74"/>
      <c r="S498" s="74"/>
      <c r="T498" s="74"/>
      <c r="U498" s="74"/>
      <c r="V498" s="74"/>
      <c r="W498" s="74"/>
      <c r="X498" s="74"/>
      <c r="Y498" s="74"/>
      <c r="Z498" s="74"/>
    </row>
    <row r="499" spans="1:26" x14ac:dyDescent="0.3">
      <c r="A499" s="66">
        <f t="shared" si="50"/>
        <v>2039.1999999999553</v>
      </c>
      <c r="B499" s="67">
        <f>LOOKUP(A499+0.01,AmountsB!$A$4:$A$103,AmountsB!$B$4:$B$103)*0.1*$A$2</f>
        <v>0</v>
      </c>
      <c r="C499" s="68">
        <f t="shared" si="49"/>
        <v>83655.233518999943</v>
      </c>
      <c r="D499" s="67">
        <f t="array" ref="D499">SUM($B$7:$B494*$F$1009*EXP(-$F$1009*($A499-$A$7:$A494)))*$F$1010</f>
        <v>4927745.4499192461</v>
      </c>
      <c r="E499" s="67">
        <f t="shared" si="47"/>
        <v>9.3943116786027083</v>
      </c>
      <c r="F499" s="70">
        <f t="shared" si="51"/>
        <v>0.57042260512475651</v>
      </c>
      <c r="G499" s="67">
        <f>E499/'Lookup Tables'!$C$48</f>
        <v>18.788623357205417</v>
      </c>
      <c r="H499" s="70">
        <f t="shared" si="48"/>
        <v>5.902380533253946E-2</v>
      </c>
      <c r="I499" s="71">
        <f t="shared" si="52"/>
        <v>2.7055617634375799E-2</v>
      </c>
      <c r="L499" s="74"/>
      <c r="M499" s="74"/>
      <c r="N499" s="74"/>
      <c r="O499" s="74"/>
      <c r="P499" s="74"/>
      <c r="Q499" s="74"/>
      <c r="R499" s="74"/>
      <c r="S499" s="74"/>
      <c r="T499" s="74"/>
      <c r="U499" s="74"/>
      <c r="V499" s="74"/>
      <c r="W499" s="74"/>
      <c r="X499" s="74"/>
      <c r="Y499" s="74"/>
      <c r="Z499" s="74"/>
    </row>
    <row r="500" spans="1:26" x14ac:dyDescent="0.3">
      <c r="A500" s="66">
        <f t="shared" si="50"/>
        <v>2039.2999999999552</v>
      </c>
      <c r="B500" s="67">
        <f>LOOKUP(A500+0.01,AmountsB!$A$4:$A$103,AmountsB!$B$4:$B$103)*0.1*$A$2</f>
        <v>0</v>
      </c>
      <c r="C500" s="68">
        <f t="shared" si="49"/>
        <v>83655.233518999943</v>
      </c>
      <c r="D500" s="67">
        <f t="array" ref="D500">SUM($B$7:$B495*$F$1009*EXP(-$F$1009*($A500-$A$7:$A495)))*$F$1010</f>
        <v>4920851.4332270725</v>
      </c>
      <c r="E500" s="67">
        <f t="shared" si="47"/>
        <v>9.3811688443832946</v>
      </c>
      <c r="F500" s="70">
        <f t="shared" si="51"/>
        <v>0.56962457223095364</v>
      </c>
      <c r="G500" s="67">
        <f>E500/'Lookup Tables'!$C$48</f>
        <v>18.762337688766589</v>
      </c>
      <c r="H500" s="70">
        <f t="shared" si="48"/>
        <v>5.8941229821419104E-2</v>
      </c>
      <c r="I500" s="71">
        <f t="shared" si="52"/>
        <v>2.7017766271823885E-2</v>
      </c>
      <c r="L500" s="74"/>
      <c r="M500" s="74"/>
      <c r="N500" s="74"/>
      <c r="O500" s="74"/>
      <c r="P500" s="74"/>
      <c r="Q500" s="74"/>
      <c r="R500" s="74"/>
      <c r="S500" s="74"/>
      <c r="T500" s="74"/>
      <c r="U500" s="74"/>
      <c r="V500" s="74"/>
      <c r="W500" s="74"/>
      <c r="X500" s="74"/>
      <c r="Y500" s="74"/>
      <c r="Z500" s="74"/>
    </row>
    <row r="501" spans="1:26" x14ac:dyDescent="0.3">
      <c r="A501" s="66">
        <f t="shared" si="50"/>
        <v>2039.3999999999551</v>
      </c>
      <c r="B501" s="67">
        <f>LOOKUP(A501+0.01,AmountsB!$A$4:$A$103,AmountsB!$B$4:$B$103)*0.1*$A$2</f>
        <v>0</v>
      </c>
      <c r="C501" s="68">
        <f t="shared" si="49"/>
        <v>83655.233518999943</v>
      </c>
      <c r="D501" s="67">
        <f t="array" ref="D501">SUM($B$7:$B496*$F$1009*EXP(-$F$1009*($A501-$A$7:$A496)))*$F$1010</f>
        <v>4913967.0614052834</v>
      </c>
      <c r="E501" s="67">
        <f t="shared" si="47"/>
        <v>9.3680443972578171</v>
      </c>
      <c r="F501" s="70">
        <f t="shared" si="51"/>
        <v>0.56882765580149464</v>
      </c>
      <c r="G501" s="67">
        <f>E501/'Lookup Tables'!$C$48</f>
        <v>18.736088794515634</v>
      </c>
      <c r="H501" s="70">
        <f t="shared" si="48"/>
        <v>5.8858769835128069E-2</v>
      </c>
      <c r="I501" s="71">
        <f t="shared" si="52"/>
        <v>2.6979967864102512E-2</v>
      </c>
      <c r="L501" s="74"/>
      <c r="M501" s="74"/>
      <c r="N501" s="74"/>
      <c r="O501" s="74"/>
      <c r="P501" s="74"/>
      <c r="Q501" s="74"/>
      <c r="R501" s="74"/>
      <c r="S501" s="74"/>
      <c r="T501" s="74"/>
      <c r="U501" s="74"/>
      <c r="V501" s="74"/>
      <c r="W501" s="74"/>
      <c r="X501" s="74"/>
      <c r="Y501" s="74"/>
      <c r="Z501" s="74"/>
    </row>
    <row r="502" spans="1:26" x14ac:dyDescent="0.3">
      <c r="A502" s="66">
        <f t="shared" si="50"/>
        <v>2039.499999999955</v>
      </c>
      <c r="B502" s="67">
        <f>LOOKUP(A502+0.01,AmountsB!$A$4:$A$103,AmountsB!$B$4:$B$103)*0.1*$A$2</f>
        <v>0</v>
      </c>
      <c r="C502" s="68">
        <f t="shared" si="49"/>
        <v>83655.233518999943</v>
      </c>
      <c r="D502" s="67">
        <f t="array" ref="D502">SUM($B$7:$B497*$F$1009*EXP(-$F$1009*($A502-$A$7:$A497)))*$F$1010</f>
        <v>4907092.3209605087</v>
      </c>
      <c r="E502" s="67">
        <f t="shared" si="47"/>
        <v>9.3549383115023588</v>
      </c>
      <c r="F502" s="70">
        <f t="shared" si="51"/>
        <v>0.56803185427442326</v>
      </c>
      <c r="G502" s="67">
        <f>E502/'Lookup Tables'!$C$48</f>
        <v>18.709876623004718</v>
      </c>
      <c r="H502" s="70">
        <f t="shared" si="48"/>
        <v>5.8776425212044743E-2</v>
      </c>
      <c r="I502" s="71">
        <f t="shared" si="52"/>
        <v>2.694222233712679E-2</v>
      </c>
      <c r="L502" s="74"/>
      <c r="M502" s="74"/>
      <c r="N502" s="74"/>
      <c r="O502" s="74"/>
      <c r="P502" s="74"/>
      <c r="Q502" s="74"/>
      <c r="R502" s="74"/>
      <c r="S502" s="74"/>
      <c r="T502" s="74"/>
      <c r="U502" s="74"/>
      <c r="V502" s="74"/>
      <c r="W502" s="74"/>
      <c r="X502" s="74"/>
      <c r="Y502" s="74"/>
      <c r="Z502" s="74"/>
    </row>
    <row r="503" spans="1:26" x14ac:dyDescent="0.3">
      <c r="A503" s="66">
        <f t="shared" si="50"/>
        <v>2039.5999999999549</v>
      </c>
      <c r="B503" s="67">
        <f>LOOKUP(A503+0.01,AmountsB!$A$4:$A$103,AmountsB!$B$4:$B$103)*0.1*$A$2</f>
        <v>0</v>
      </c>
      <c r="C503" s="68">
        <f t="shared" si="49"/>
        <v>83655.233518999943</v>
      </c>
      <c r="D503" s="67">
        <f t="array" ref="D503">SUM($B$7:$B498*$F$1009*EXP(-$F$1009*($A503-$A$7:$A498)))*$F$1010</f>
        <v>4900227.1984182503</v>
      </c>
      <c r="E503" s="67">
        <f t="shared" si="47"/>
        <v>9.3418505614289788</v>
      </c>
      <c r="F503" s="70">
        <f t="shared" si="51"/>
        <v>0.56723716608996755</v>
      </c>
      <c r="G503" s="67">
        <f>E503/'Lookup Tables'!$C$48</f>
        <v>18.683701122857958</v>
      </c>
      <c r="H503" s="70">
        <f t="shared" si="48"/>
        <v>5.8694195790773625E-2</v>
      </c>
      <c r="I503" s="71">
        <f t="shared" si="52"/>
        <v>2.690452961691546E-2</v>
      </c>
      <c r="L503" s="74"/>
      <c r="M503" s="74"/>
      <c r="N503" s="74"/>
      <c r="O503" s="74"/>
      <c r="P503" s="74"/>
      <c r="Q503" s="74"/>
      <c r="R503" s="74"/>
      <c r="S503" s="74"/>
      <c r="T503" s="74"/>
      <c r="U503" s="74"/>
      <c r="V503" s="74"/>
      <c r="W503" s="74"/>
      <c r="X503" s="74"/>
      <c r="Y503" s="74"/>
      <c r="Z503" s="74"/>
    </row>
    <row r="504" spans="1:26" x14ac:dyDescent="0.3">
      <c r="A504" s="66">
        <f t="shared" si="50"/>
        <v>2039.6999999999548</v>
      </c>
      <c r="B504" s="67">
        <f>LOOKUP(A504+0.01,AmountsB!$A$4:$A$103,AmountsB!$B$4:$B$103)*0.1*$A$2</f>
        <v>0</v>
      </c>
      <c r="C504" s="68">
        <f t="shared" si="49"/>
        <v>83655.233518999943</v>
      </c>
      <c r="D504" s="67">
        <f t="array" ref="D504">SUM($B$7:$B499*$F$1009*EXP(-$F$1009*($A504-$A$7:$A499)))*$F$1010</f>
        <v>4893371.6803228743</v>
      </c>
      <c r="E504" s="67">
        <f t="shared" si="47"/>
        <v>9.328781121385699</v>
      </c>
      <c r="F504" s="70">
        <f t="shared" si="51"/>
        <v>0.56644358969053965</v>
      </c>
      <c r="G504" s="67">
        <f>E504/'Lookup Tables'!$C$48</f>
        <v>18.657562242771398</v>
      </c>
      <c r="H504" s="70">
        <f t="shared" si="48"/>
        <v>5.8612081410145088E-2</v>
      </c>
      <c r="I504" s="71">
        <f t="shared" si="52"/>
        <v>2.6866889629590811E-2</v>
      </c>
      <c r="L504" s="74"/>
      <c r="M504" s="74"/>
      <c r="N504" s="74"/>
      <c r="O504" s="74"/>
      <c r="P504" s="74"/>
      <c r="Q504" s="74"/>
      <c r="R504" s="74"/>
      <c r="S504" s="74"/>
      <c r="T504" s="74"/>
      <c r="U504" s="74"/>
      <c r="V504" s="74"/>
      <c r="W504" s="74"/>
      <c r="X504" s="74"/>
      <c r="Y504" s="74"/>
      <c r="Z504" s="74"/>
    </row>
    <row r="505" spans="1:26" x14ac:dyDescent="0.3">
      <c r="A505" s="66">
        <f t="shared" si="50"/>
        <v>2039.7999999999547</v>
      </c>
      <c r="B505" s="67">
        <f>LOOKUP(A505+0.01,AmountsB!$A$4:$A$103,AmountsB!$B$4:$B$103)*0.1*$A$2</f>
        <v>0</v>
      </c>
      <c r="C505" s="68">
        <f t="shared" si="49"/>
        <v>83655.233518999943</v>
      </c>
      <c r="D505" s="67">
        <f t="array" ref="D505">SUM($B$7:$B500*$F$1009*EXP(-$F$1009*($A505-$A$7:$A500)))*$F$1010</f>
        <v>4886525.7532375567</v>
      </c>
      <c r="E505" s="67">
        <f t="shared" si="47"/>
        <v>9.3157299657564003</v>
      </c>
      <c r="F505" s="70">
        <f t="shared" si="51"/>
        <v>0.56565112352072866</v>
      </c>
      <c r="G505" s="67">
        <f>E505/'Lookup Tables'!$C$48</f>
        <v>18.631459931512801</v>
      </c>
      <c r="H505" s="70">
        <f t="shared" si="48"/>
        <v>5.8530081909214861E-2</v>
      </c>
      <c r="I505" s="71">
        <f t="shared" si="52"/>
        <v>2.6829302301378432E-2</v>
      </c>
      <c r="L505" s="74"/>
      <c r="M505" s="74"/>
      <c r="N505" s="74"/>
      <c r="O505" s="74"/>
      <c r="P505" s="74"/>
      <c r="Q505" s="74"/>
      <c r="R505" s="74"/>
      <c r="S505" s="74"/>
      <c r="T505" s="74"/>
      <c r="U505" s="74"/>
      <c r="V505" s="74"/>
      <c r="W505" s="74"/>
      <c r="X505" s="74"/>
      <c r="Y505" s="74"/>
      <c r="Z505" s="74"/>
    </row>
    <row r="506" spans="1:26" x14ac:dyDescent="0.3">
      <c r="A506" s="66">
        <f t="shared" si="50"/>
        <v>2039.8999999999546</v>
      </c>
      <c r="B506" s="67">
        <f>LOOKUP(A506+0.01,AmountsB!$A$4:$A$103,AmountsB!$B$4:$B$103)*0.1*$A$2</f>
        <v>0</v>
      </c>
      <c r="C506" s="68">
        <f t="shared" si="49"/>
        <v>83655.233518999943</v>
      </c>
      <c r="D506" s="67">
        <f t="array" ref="D506">SUM($B$7:$B501*$F$1009*EXP(-$F$1009*($A506-$A$7:$A501)))*$F$1010</f>
        <v>4879689.4037442794</v>
      </c>
      <c r="E506" s="67">
        <f t="shared" si="47"/>
        <v>9.3026970689608177</v>
      </c>
      <c r="F506" s="70">
        <f t="shared" si="51"/>
        <v>0.56485976602730081</v>
      </c>
      <c r="G506" s="67">
        <f>E506/'Lookup Tables'!$C$48</f>
        <v>18.605394137921635</v>
      </c>
      <c r="H506" s="70">
        <f t="shared" si="48"/>
        <v>5.8448197127263936E-2</v>
      </c>
      <c r="I506" s="71">
        <f t="shared" si="52"/>
        <v>2.6791767558607158E-2</v>
      </c>
      <c r="L506" s="74"/>
      <c r="M506" s="74"/>
      <c r="N506" s="74"/>
      <c r="O506" s="74"/>
      <c r="P506" s="74"/>
      <c r="Q506" s="74"/>
      <c r="R506" s="74"/>
      <c r="S506" s="74"/>
      <c r="T506" s="74"/>
      <c r="U506" s="74"/>
      <c r="V506" s="74"/>
      <c r="W506" s="74"/>
      <c r="X506" s="74"/>
      <c r="Y506" s="74"/>
      <c r="Z506" s="74"/>
    </row>
    <row r="507" spans="1:26" x14ac:dyDescent="0.3">
      <c r="A507" s="66">
        <f t="shared" si="50"/>
        <v>2039.9999999999545</v>
      </c>
      <c r="B507" s="67">
        <f>LOOKUP(A507+0.01,AmountsB!$A$4:$A$103,AmountsB!$B$4:$B$103)*0.1*$A$2</f>
        <v>0</v>
      </c>
      <c r="C507" s="68">
        <f t="shared" si="49"/>
        <v>83655.233518999943</v>
      </c>
      <c r="D507" s="67">
        <f t="array" ref="D507">SUM($B$7:$B502*$F$1009*EXP(-$F$1009*($A507-$A$7:$A502)))*$F$1010</f>
        <v>4872862.6184437955</v>
      </c>
      <c r="E507" s="67">
        <f t="shared" si="47"/>
        <v>9.2896824054544673</v>
      </c>
      <c r="F507" s="70">
        <f t="shared" si="51"/>
        <v>0.56406951565919528</v>
      </c>
      <c r="G507" s="67">
        <f>E507/'Lookup Tables'!$C$48</f>
        <v>18.579364810908935</v>
      </c>
      <c r="H507" s="70">
        <f t="shared" si="48"/>
        <v>5.8366426903798056E-2</v>
      </c>
      <c r="I507" s="71">
        <f t="shared" si="52"/>
        <v>2.6754285327708866E-2</v>
      </c>
      <c r="L507" s="74"/>
      <c r="M507" s="74"/>
      <c r="N507" s="74"/>
      <c r="O507" s="74"/>
      <c r="P507" s="74"/>
      <c r="Q507" s="74"/>
      <c r="R507" s="74"/>
      <c r="S507" s="74"/>
      <c r="T507" s="74"/>
      <c r="U507" s="74"/>
      <c r="V507" s="74"/>
      <c r="W507" s="74"/>
      <c r="X507" s="74"/>
      <c r="Y507" s="74"/>
      <c r="Z507" s="74"/>
    </row>
    <row r="508" spans="1:26" x14ac:dyDescent="0.3">
      <c r="A508" s="66">
        <f t="shared" si="50"/>
        <v>2040.0999999999544</v>
      </c>
      <c r="B508" s="67">
        <f>LOOKUP(A508+0.01,AmountsB!$A$4:$A$103,AmountsB!$B$4:$B$103)*0.1*$A$2</f>
        <v>0</v>
      </c>
      <c r="C508" s="68">
        <f t="shared" si="49"/>
        <v>83655.233518999943</v>
      </c>
      <c r="D508" s="67">
        <f t="array" ref="D508">SUM($B$7:$B503*$F$1009*EXP(-$F$1009*($A508-$A$7:$A503)))*$F$1010</f>
        <v>4866045.3839556044</v>
      </c>
      <c r="E508" s="67">
        <f t="shared" si="47"/>
        <v>9.2766859497286056</v>
      </c>
      <c r="F508" s="70">
        <f t="shared" si="51"/>
        <v>0.56328037086752092</v>
      </c>
      <c r="G508" s="67">
        <f>E508/'Lookup Tables'!$C$48</f>
        <v>18.553371899457211</v>
      </c>
      <c r="H508" s="70">
        <f t="shared" si="48"/>
        <v>5.8284771078547612E-2</v>
      </c>
      <c r="I508" s="71">
        <f t="shared" si="52"/>
        <v>2.6716855535218385E-2</v>
      </c>
      <c r="L508" s="74"/>
      <c r="M508" s="74"/>
      <c r="N508" s="74"/>
      <c r="O508" s="74"/>
      <c r="P508" s="74"/>
      <c r="Q508" s="74"/>
      <c r="R508" s="74"/>
      <c r="S508" s="74"/>
      <c r="T508" s="74"/>
      <c r="U508" s="74"/>
      <c r="V508" s="74"/>
      <c r="W508" s="74"/>
      <c r="X508" s="74"/>
      <c r="Y508" s="74"/>
      <c r="Z508" s="74"/>
    </row>
    <row r="509" spans="1:26" x14ac:dyDescent="0.3">
      <c r="A509" s="66">
        <f t="shared" si="50"/>
        <v>2040.1999999999543</v>
      </c>
      <c r="B509" s="67">
        <f>LOOKUP(A509+0.01,AmountsB!$A$4:$A$103,AmountsB!$B$4:$B$103)*0.1*$A$2</f>
        <v>0</v>
      </c>
      <c r="C509" s="68">
        <f t="shared" si="49"/>
        <v>83655.233518999943</v>
      </c>
      <c r="D509" s="67">
        <f t="array" ref="D509">SUM($B$7:$B504*$F$1009*EXP(-$F$1009*($A509-$A$7:$A504)))*$F$1010</f>
        <v>4859237.6869179234</v>
      </c>
      <c r="E509" s="67">
        <f t="shared" si="47"/>
        <v>9.263707676310176</v>
      </c>
      <c r="F509" s="70">
        <f t="shared" si="51"/>
        <v>0.56249233010555399</v>
      </c>
      <c r="G509" s="67">
        <f>E509/'Lookup Tables'!$C$48</f>
        <v>18.527415352620352</v>
      </c>
      <c r="H509" s="70">
        <f t="shared" si="48"/>
        <v>5.8203229491467147E-2</v>
      </c>
      <c r="I509" s="71">
        <f t="shared" si="52"/>
        <v>2.6679478107773311E-2</v>
      </c>
      <c r="L509" s="74"/>
      <c r="M509" s="74"/>
      <c r="N509" s="74"/>
      <c r="O509" s="74"/>
      <c r="P509" s="74"/>
      <c r="Q509" s="74"/>
      <c r="R509" s="74"/>
      <c r="S509" s="74"/>
      <c r="T509" s="74"/>
      <c r="U509" s="74"/>
      <c r="V509" s="74"/>
      <c r="W509" s="74"/>
      <c r="X509" s="74"/>
      <c r="Y509" s="74"/>
      <c r="Z509" s="74"/>
    </row>
    <row r="510" spans="1:26" x14ac:dyDescent="0.3">
      <c r="A510" s="66">
        <f t="shared" si="50"/>
        <v>2040.2999999999543</v>
      </c>
      <c r="B510" s="67">
        <f>LOOKUP(A510+0.01,AmountsB!$A$4:$A$103,AmountsB!$B$4:$B$103)*0.1*$A$2</f>
        <v>0</v>
      </c>
      <c r="C510" s="68">
        <f t="shared" si="49"/>
        <v>83655.233518999943</v>
      </c>
      <c r="D510" s="67">
        <f t="array" ref="D510">SUM($B$7:$B505*$F$1009*EXP(-$F$1009*($A510-$A$7:$A505)))*$F$1010</f>
        <v>4852439.5139876641</v>
      </c>
      <c r="E510" s="67">
        <f t="shared" si="47"/>
        <v>9.2507475597617574</v>
      </c>
      <c r="F510" s="70">
        <f t="shared" si="51"/>
        <v>0.56170539182873391</v>
      </c>
      <c r="G510" s="67">
        <f>E510/'Lookup Tables'!$C$48</f>
        <v>18.501495119523515</v>
      </c>
      <c r="H510" s="70">
        <f t="shared" si="48"/>
        <v>5.8121801982735116E-2</v>
      </c>
      <c r="I510" s="71">
        <f t="shared" si="52"/>
        <v>2.6642152972113864E-2</v>
      </c>
      <c r="L510" s="74"/>
      <c r="M510" s="74"/>
      <c r="N510" s="74"/>
      <c r="O510" s="74"/>
      <c r="P510" s="74"/>
      <c r="Q510" s="74"/>
      <c r="R510" s="74"/>
      <c r="S510" s="74"/>
      <c r="T510" s="74"/>
      <c r="U510" s="74"/>
      <c r="V510" s="74"/>
      <c r="W510" s="74"/>
      <c r="X510" s="74"/>
      <c r="Y510" s="74"/>
      <c r="Z510" s="74"/>
    </row>
    <row r="511" spans="1:26" x14ac:dyDescent="0.3">
      <c r="A511" s="66">
        <f t="shared" si="50"/>
        <v>2040.3999999999542</v>
      </c>
      <c r="B511" s="67">
        <f>LOOKUP(A511+0.01,AmountsB!$A$4:$A$103,AmountsB!$B$4:$B$103)*0.1*$A$2</f>
        <v>0</v>
      </c>
      <c r="C511" s="68">
        <f t="shared" si="49"/>
        <v>83655.233518999943</v>
      </c>
      <c r="D511" s="67">
        <f t="array" ref="D511">SUM($B$7:$B506*$F$1009*EXP(-$F$1009*($A511-$A$7:$A506)))*$F$1010</f>
        <v>4845650.8518404029</v>
      </c>
      <c r="E511" s="67">
        <f t="shared" si="47"/>
        <v>9.2378055746815111</v>
      </c>
      <c r="F511" s="70">
        <f t="shared" si="51"/>
        <v>0.56091955449466124</v>
      </c>
      <c r="G511" s="67">
        <f>E511/'Lookup Tables'!$C$48</f>
        <v>18.475611149363022</v>
      </c>
      <c r="H511" s="70">
        <f t="shared" si="48"/>
        <v>5.8040488392753525E-2</v>
      </c>
      <c r="I511" s="71">
        <f t="shared" si="52"/>
        <v>2.6604880055082752E-2</v>
      </c>
      <c r="L511" s="74"/>
      <c r="M511" s="74"/>
      <c r="N511" s="74"/>
      <c r="O511" s="74"/>
      <c r="P511" s="74"/>
      <c r="Q511" s="74"/>
      <c r="R511" s="74"/>
      <c r="S511" s="74"/>
      <c r="T511" s="74"/>
      <c r="U511" s="74"/>
      <c r="V511" s="74"/>
      <c r="W511" s="74"/>
      <c r="X511" s="74"/>
      <c r="Y511" s="74"/>
      <c r="Z511" s="74"/>
    </row>
    <row r="512" spans="1:26" x14ac:dyDescent="0.3">
      <c r="A512" s="66">
        <f t="shared" si="50"/>
        <v>2040.4999999999541</v>
      </c>
      <c r="B512" s="67">
        <f>LOOKUP(A512+0.01,AmountsB!$A$4:$A$103,AmountsB!$B$4:$B$103)*0.1*$A$2</f>
        <v>0</v>
      </c>
      <c r="C512" s="68">
        <f t="shared" si="49"/>
        <v>83655.233518999943</v>
      </c>
      <c r="D512" s="67">
        <f t="array" ref="D512">SUM($B$7:$B507*$F$1009*EXP(-$F$1009*($A512-$A$7:$A507)))*$F$1010</f>
        <v>4838871.6871703649</v>
      </c>
      <c r="E512" s="67">
        <f t="shared" si="47"/>
        <v>9.2248816957031554</v>
      </c>
      <c r="F512" s="70">
        <f t="shared" si="51"/>
        <v>0.56013481656309572</v>
      </c>
      <c r="G512" s="67">
        <f>E512/'Lookup Tables'!$C$48</f>
        <v>18.449763391406311</v>
      </c>
      <c r="H512" s="70">
        <f t="shared" si="48"/>
        <v>5.7959288562147819E-2</v>
      </c>
      <c r="I512" s="71">
        <f t="shared" si="52"/>
        <v>2.6567659283625089E-2</v>
      </c>
      <c r="L512" s="74"/>
      <c r="M512" s="74"/>
      <c r="N512" s="74"/>
      <c r="O512" s="74"/>
      <c r="P512" s="74"/>
      <c r="Q512" s="74"/>
      <c r="R512" s="74"/>
      <c r="S512" s="74"/>
      <c r="T512" s="74"/>
      <c r="U512" s="74"/>
      <c r="V512" s="74"/>
      <c r="W512" s="74"/>
      <c r="X512" s="74"/>
      <c r="Y512" s="74"/>
      <c r="Z512" s="74"/>
    </row>
    <row r="513" spans="1:26" x14ac:dyDescent="0.3">
      <c r="A513" s="66">
        <f t="shared" si="50"/>
        <v>2040.599999999954</v>
      </c>
      <c r="B513" s="67">
        <f>LOOKUP(A513+0.01,AmountsB!$A$4:$A$103,AmountsB!$B$4:$B$103)*0.1*$A$2</f>
        <v>0</v>
      </c>
      <c r="C513" s="68">
        <f t="shared" si="49"/>
        <v>83655.233518999943</v>
      </c>
      <c r="D513" s="67">
        <f t="array" ref="D513">SUM($B$7:$B508*$F$1009*EXP(-$F$1009*($A513-$A$7:$A508)))*$F$1010</f>
        <v>4832102.006690382</v>
      </c>
      <c r="E513" s="67">
        <f t="shared" si="47"/>
        <v>9.2119758974958721</v>
      </c>
      <c r="F513" s="70">
        <f t="shared" si="51"/>
        <v>0.55935117649594934</v>
      </c>
      <c r="G513" s="67">
        <f>E513/'Lookup Tables'!$C$48</f>
        <v>18.423951794991744</v>
      </c>
      <c r="H513" s="70">
        <f t="shared" si="48"/>
        <v>5.7878202331766215E-2</v>
      </c>
      <c r="I513" s="71">
        <f t="shared" si="52"/>
        <v>2.6530490584788111E-2</v>
      </c>
      <c r="L513" s="74"/>
      <c r="M513" s="74"/>
      <c r="N513" s="74"/>
      <c r="O513" s="74"/>
      <c r="P513" s="74"/>
      <c r="Q513" s="74"/>
      <c r="R513" s="74"/>
      <c r="S513" s="74"/>
      <c r="T513" s="74"/>
      <c r="U513" s="74"/>
      <c r="V513" s="74"/>
      <c r="W513" s="74"/>
      <c r="X513" s="74"/>
      <c r="Y513" s="74"/>
      <c r="Z513" s="74"/>
    </row>
    <row r="514" spans="1:26" x14ac:dyDescent="0.3">
      <c r="A514" s="66">
        <f t="shared" si="50"/>
        <v>2040.6999999999539</v>
      </c>
      <c r="B514" s="67">
        <f>LOOKUP(A514+0.01,AmountsB!$A$4:$A$103,AmountsB!$B$4:$B$103)*0.1*$A$2</f>
        <v>0</v>
      </c>
      <c r="C514" s="68">
        <f t="shared" si="49"/>
        <v>83655.233518999943</v>
      </c>
      <c r="D514" s="67">
        <f t="array" ref="D514">SUM($B$7:$B509*$F$1009*EXP(-$F$1009*($A514-$A$7:$A509)))*$F$1010</f>
        <v>4825341.7971318802</v>
      </c>
      <c r="E514" s="67">
        <f t="shared" si="47"/>
        <v>9.1990881547642989</v>
      </c>
      <c r="F514" s="70">
        <f t="shared" si="51"/>
        <v>0.5585686327572883</v>
      </c>
      <c r="G514" s="67">
        <f>E514/'Lookup Tables'!$C$48</f>
        <v>18.398176309528598</v>
      </c>
      <c r="H514" s="70">
        <f t="shared" si="48"/>
        <v>5.7797229542679726E-2</v>
      </c>
      <c r="I514" s="71">
        <f t="shared" si="52"/>
        <v>2.6493373885721178E-2</v>
      </c>
      <c r="L514" s="74"/>
      <c r="M514" s="74"/>
      <c r="N514" s="74"/>
      <c r="O514" s="74"/>
      <c r="P514" s="74"/>
      <c r="Q514" s="74"/>
      <c r="R514" s="74"/>
      <c r="S514" s="74"/>
      <c r="T514" s="74"/>
      <c r="U514" s="74"/>
      <c r="V514" s="74"/>
      <c r="W514" s="74"/>
      <c r="X514" s="74"/>
      <c r="Y514" s="74"/>
      <c r="Z514" s="74"/>
    </row>
    <row r="515" spans="1:26" x14ac:dyDescent="0.3">
      <c r="A515" s="66">
        <f t="shared" si="50"/>
        <v>2040.7999999999538</v>
      </c>
      <c r="B515" s="67">
        <f>LOOKUP(A515+0.01,AmountsB!$A$4:$A$103,AmountsB!$B$4:$B$103)*0.1*$A$2</f>
        <v>0</v>
      </c>
      <c r="C515" s="68">
        <f t="shared" si="49"/>
        <v>83655.233518999943</v>
      </c>
      <c r="D515" s="67">
        <f t="array" ref="D515">SUM($B$7:$B510*$F$1009*EXP(-$F$1009*($A515-$A$7:$A510)))*$F$1010</f>
        <v>4818591.0452448456</v>
      </c>
      <c r="E515" s="67">
        <f t="shared" si="47"/>
        <v>9.186218442248455</v>
      </c>
      <c r="F515" s="70">
        <f t="shared" si="51"/>
        <v>0.55778718381332615</v>
      </c>
      <c r="G515" s="67">
        <f>E515/'Lookup Tables'!$C$48</f>
        <v>18.37243688449691</v>
      </c>
      <c r="H515" s="70">
        <f t="shared" si="48"/>
        <v>5.7716370036181665E-2</v>
      </c>
      <c r="I515" s="71">
        <f t="shared" si="52"/>
        <v>2.6456309113675552E-2</v>
      </c>
      <c r="L515" s="74"/>
      <c r="M515" s="74"/>
      <c r="N515" s="74"/>
      <c r="O515" s="74"/>
      <c r="P515" s="74"/>
      <c r="Q515" s="74"/>
      <c r="R515" s="74"/>
      <c r="S515" s="74"/>
      <c r="T515" s="74"/>
      <c r="U515" s="74"/>
      <c r="V515" s="74"/>
      <c r="W515" s="74"/>
      <c r="X515" s="74"/>
      <c r="Y515" s="74"/>
      <c r="Z515" s="74"/>
    </row>
    <row r="516" spans="1:26" x14ac:dyDescent="0.3">
      <c r="A516" s="66">
        <f t="shared" si="50"/>
        <v>2040.8999999999537</v>
      </c>
      <c r="B516" s="67">
        <f>LOOKUP(A516+0.01,AmountsB!$A$4:$A$103,AmountsB!$B$4:$B$103)*0.1*$A$2</f>
        <v>0</v>
      </c>
      <c r="C516" s="68">
        <f t="shared" si="49"/>
        <v>83655.233518999943</v>
      </c>
      <c r="D516" s="67">
        <f t="array" ref="D516">SUM($B$7:$B511*$F$1009*EXP(-$F$1009*($A516-$A$7:$A511)))*$F$1010</f>
        <v>4811849.7377978014</v>
      </c>
      <c r="E516" s="67">
        <f t="shared" si="47"/>
        <v>9.1733667347236967</v>
      </c>
      <c r="F516" s="70">
        <f t="shared" si="51"/>
        <v>0.55700682813242286</v>
      </c>
      <c r="G516" s="67">
        <f>E516/'Lookup Tables'!$C$48</f>
        <v>18.346733469447393</v>
      </c>
      <c r="H516" s="70">
        <f t="shared" si="48"/>
        <v>5.763562365378732E-2</v>
      </c>
      <c r="I516" s="71">
        <f t="shared" si="52"/>
        <v>2.6419296196004249E-2</v>
      </c>
      <c r="L516" s="74"/>
      <c r="M516" s="74"/>
      <c r="N516" s="74"/>
      <c r="O516" s="74"/>
      <c r="P516" s="74"/>
      <c r="Q516" s="74"/>
      <c r="R516" s="74"/>
      <c r="S516" s="74"/>
      <c r="T516" s="74"/>
      <c r="U516" s="74"/>
      <c r="V516" s="74"/>
      <c r="W516" s="74"/>
      <c r="X516" s="74"/>
      <c r="Y516" s="74"/>
      <c r="Z516" s="74"/>
    </row>
    <row r="517" spans="1:26" x14ac:dyDescent="0.3">
      <c r="A517" s="66">
        <f t="shared" si="50"/>
        <v>2040.9999999999536</v>
      </c>
      <c r="B517" s="67">
        <f>LOOKUP(A517+0.01,AmountsB!$A$4:$A$103,AmountsB!$B$4:$B$103)*0.1*$A$2</f>
        <v>0</v>
      </c>
      <c r="C517" s="68">
        <f t="shared" si="49"/>
        <v>83655.233518999943</v>
      </c>
      <c r="D517" s="67">
        <f t="array" ref="D517">SUM($B$7:$B512*$F$1009*EXP(-$F$1009*($A517-$A$7:$A512)))*$F$1010</f>
        <v>4805117.8615777846</v>
      </c>
      <c r="E517" s="67">
        <f t="shared" si="47"/>
        <v>9.1605330070006783</v>
      </c>
      <c r="F517" s="70">
        <f t="shared" si="51"/>
        <v>0.55622756418508112</v>
      </c>
      <c r="G517" s="67">
        <f>E517/'Lookup Tables'!$C$48</f>
        <v>18.321066014001357</v>
      </c>
      <c r="H517" s="70">
        <f t="shared" si="48"/>
        <v>5.7554990237233809E-2</v>
      </c>
      <c r="I517" s="71">
        <f t="shared" si="52"/>
        <v>2.6382335060161952E-2</v>
      </c>
      <c r="L517" s="74"/>
      <c r="M517" s="74"/>
      <c r="N517" s="74"/>
      <c r="O517" s="74"/>
      <c r="P517" s="74"/>
      <c r="Q517" s="74"/>
      <c r="R517" s="74"/>
      <c r="S517" s="74"/>
      <c r="T517" s="74"/>
      <c r="U517" s="74"/>
      <c r="V517" s="74"/>
      <c r="W517" s="74"/>
      <c r="X517" s="74"/>
      <c r="Y517" s="74"/>
      <c r="Z517" s="74"/>
    </row>
    <row r="518" spans="1:26" x14ac:dyDescent="0.3">
      <c r="A518" s="66">
        <f t="shared" si="50"/>
        <v>2041.0999999999535</v>
      </c>
      <c r="B518" s="67">
        <f>LOOKUP(A518+0.01,AmountsB!$A$4:$A$103,AmountsB!$B$4:$B$103)*0.1*$A$2</f>
        <v>0</v>
      </c>
      <c r="C518" s="68">
        <f t="shared" si="49"/>
        <v>83655.233518999943</v>
      </c>
      <c r="D518" s="67">
        <f t="array" ref="D518">SUM($B$7:$B513*$F$1009*EXP(-$F$1009*($A518-$A$7:$A513)))*$F$1010</f>
        <v>4798395.4033903144</v>
      </c>
      <c r="E518" s="67">
        <f t="shared" si="47"/>
        <v>9.1477172339252828</v>
      </c>
      <c r="F518" s="70">
        <f t="shared" si="51"/>
        <v>0.55544939044394326</v>
      </c>
      <c r="G518" s="67">
        <f>E518/'Lookup Tables'!$C$48</f>
        <v>18.295434467850566</v>
      </c>
      <c r="H518" s="70">
        <f t="shared" si="48"/>
        <v>5.7474469628479574E-2</v>
      </c>
      <c r="I518" s="71">
        <f t="shared" si="52"/>
        <v>2.6345425633704813E-2</v>
      </c>
      <c r="L518" s="74"/>
      <c r="M518" s="74"/>
      <c r="N518" s="74"/>
      <c r="O518" s="74"/>
      <c r="P518" s="74"/>
      <c r="Q518" s="74"/>
      <c r="R518" s="74"/>
      <c r="S518" s="74"/>
      <c r="T518" s="74"/>
      <c r="U518" s="74"/>
      <c r="V518" s="74"/>
      <c r="W518" s="74"/>
      <c r="X518" s="74"/>
      <c r="Y518" s="74"/>
      <c r="Z518" s="74"/>
    </row>
    <row r="519" spans="1:26" x14ac:dyDescent="0.3">
      <c r="A519" s="66">
        <f t="shared" si="50"/>
        <v>2041.1999999999534</v>
      </c>
      <c r="B519" s="67">
        <f>LOOKUP(A519+0.01,AmountsB!$A$4:$A$103,AmountsB!$B$4:$B$103)*0.1*$A$2</f>
        <v>0</v>
      </c>
      <c r="C519" s="68">
        <f t="shared" si="49"/>
        <v>83655.233518999943</v>
      </c>
      <c r="D519" s="67">
        <f t="array" ref="D519">SUM($B$7:$B514*$F$1009*EXP(-$F$1009*($A519-$A$7:$A514)))*$F$1010</f>
        <v>4791682.3500593705</v>
      </c>
      <c r="E519" s="67">
        <f t="shared" ref="E519:E582" si="53">D519/(365*24*60)*1.00201</f>
        <v>9.1349193903785952</v>
      </c>
      <c r="F519" s="70">
        <f t="shared" si="51"/>
        <v>0.55467230538378831</v>
      </c>
      <c r="G519" s="67">
        <f>E519/'Lookup Tables'!$C$48</f>
        <v>18.26983878075719</v>
      </c>
      <c r="H519" s="70">
        <f t="shared" ref="H519:H582" si="54">G519*60*24*365/(C519*2000)</f>
        <v>5.7394061669704205E-2</v>
      </c>
      <c r="I519" s="71">
        <f t="shared" si="52"/>
        <v>2.6308567844290351E-2</v>
      </c>
      <c r="L519" s="74"/>
      <c r="M519" s="74"/>
      <c r="N519" s="74"/>
      <c r="O519" s="74"/>
      <c r="P519" s="74"/>
      <c r="Q519" s="74"/>
      <c r="R519" s="74"/>
      <c r="S519" s="74"/>
      <c r="T519" s="74"/>
      <c r="U519" s="74"/>
      <c r="V519" s="74"/>
      <c r="W519" s="74"/>
      <c r="X519" s="74"/>
      <c r="Y519" s="74"/>
      <c r="Z519" s="74"/>
    </row>
    <row r="520" spans="1:26" x14ac:dyDescent="0.3">
      <c r="A520" s="66">
        <f t="shared" si="50"/>
        <v>2041.2999999999533</v>
      </c>
      <c r="B520" s="67">
        <f>LOOKUP(A520+0.01,AmountsB!$A$4:$A$103,AmountsB!$B$4:$B$103)*0.1*$A$2</f>
        <v>0</v>
      </c>
      <c r="C520" s="68">
        <f t="shared" si="49"/>
        <v>83655.233518999943</v>
      </c>
      <c r="D520" s="67">
        <f t="array" ref="D520">SUM($B$7:$B515*$F$1009*EXP(-$F$1009*($A520-$A$7:$A515)))*$F$1010</f>
        <v>4784978.6884273691</v>
      </c>
      <c r="E520" s="67">
        <f t="shared" si="53"/>
        <v>9.1221394512768423</v>
      </c>
      <c r="F520" s="70">
        <f t="shared" si="51"/>
        <v>0.55389630748152985</v>
      </c>
      <c r="G520" s="67">
        <f>E520/'Lookup Tables'!$C$48</f>
        <v>18.244278902553685</v>
      </c>
      <c r="H520" s="70">
        <f t="shared" si="54"/>
        <v>5.7313766203308129E-2</v>
      </c>
      <c r="I520" s="71">
        <f t="shared" si="52"/>
        <v>2.6271761619677307E-2</v>
      </c>
      <c r="L520" s="74"/>
      <c r="M520" s="74"/>
      <c r="N520" s="74"/>
      <c r="O520" s="74"/>
      <c r="P520" s="74"/>
      <c r="Q520" s="74"/>
      <c r="R520" s="74"/>
      <c r="S520" s="74"/>
      <c r="T520" s="74"/>
      <c r="U520" s="74"/>
      <c r="V520" s="74"/>
      <c r="W520" s="74"/>
      <c r="X520" s="74"/>
      <c r="Y520" s="74"/>
      <c r="Z520" s="74"/>
    </row>
    <row r="521" spans="1:26" x14ac:dyDescent="0.3">
      <c r="A521" s="66">
        <f t="shared" si="50"/>
        <v>2041.3999999999533</v>
      </c>
      <c r="B521" s="67">
        <f>LOOKUP(A521+0.01,AmountsB!$A$4:$A$103,AmountsB!$B$4:$B$103)*0.1*$A$2</f>
        <v>0</v>
      </c>
      <c r="C521" s="68">
        <f t="shared" ref="C521:C584" si="55">C520+B521</f>
        <v>83655.233518999943</v>
      </c>
      <c r="D521" s="67">
        <f t="array" ref="D521">SUM($B$7:$B516*$F$1009*EXP(-$F$1009*($A521-$A$7:$A516)))*$F$1010</f>
        <v>4778284.4053551266</v>
      </c>
      <c r="E521" s="67">
        <f t="shared" si="53"/>
        <v>9.1093773915713285</v>
      </c>
      <c r="F521" s="70">
        <f t="shared" si="51"/>
        <v>0.55312139521621095</v>
      </c>
      <c r="G521" s="67">
        <f>E521/'Lookup Tables'!$C$48</f>
        <v>18.218754783142657</v>
      </c>
      <c r="H521" s="70">
        <f t="shared" si="54"/>
        <v>5.7233583071912106E-2</v>
      </c>
      <c r="I521" s="71">
        <f t="shared" si="52"/>
        <v>2.6235006887725423E-2</v>
      </c>
      <c r="L521" s="74"/>
      <c r="M521" s="74"/>
      <c r="N521" s="74"/>
      <c r="O521" s="74"/>
      <c r="P521" s="74"/>
      <c r="Q521" s="74"/>
      <c r="R521" s="74"/>
      <c r="S521" s="74"/>
      <c r="T521" s="74"/>
      <c r="U521" s="74"/>
      <c r="V521" s="74"/>
      <c r="W521" s="74"/>
      <c r="X521" s="74"/>
      <c r="Y521" s="74"/>
      <c r="Z521" s="74"/>
    </row>
    <row r="522" spans="1:26" x14ac:dyDescent="0.3">
      <c r="A522" s="66">
        <f t="shared" si="50"/>
        <v>2041.4999999999532</v>
      </c>
      <c r="B522" s="67">
        <f>LOOKUP(A522+0.01,AmountsB!$A$4:$A$103,AmountsB!$B$4:$B$103)*0.1*$A$2</f>
        <v>0</v>
      </c>
      <c r="C522" s="68">
        <f t="shared" si="55"/>
        <v>83655.233518999943</v>
      </c>
      <c r="D522" s="67">
        <f t="array" ref="D522">SUM($B$7:$B517*$F$1009*EXP(-$F$1009*($A522-$A$7:$A517)))*$F$1010</f>
        <v>4771599.4877218483</v>
      </c>
      <c r="E522" s="67">
        <f t="shared" si="53"/>
        <v>9.09663318624842</v>
      </c>
      <c r="F522" s="70">
        <f t="shared" si="51"/>
        <v>0.55234756706900401</v>
      </c>
      <c r="G522" s="67">
        <f>E522/'Lookup Tables'!$C$48</f>
        <v>18.19326637249684</v>
      </c>
      <c r="H522" s="70">
        <f t="shared" si="54"/>
        <v>5.7153512118357244E-2</v>
      </c>
      <c r="I522" s="71">
        <f t="shared" si="52"/>
        <v>2.6198303576395448E-2</v>
      </c>
      <c r="L522" s="74"/>
      <c r="M522" s="74"/>
      <c r="N522" s="74"/>
      <c r="O522" s="74"/>
      <c r="P522" s="74"/>
      <c r="Q522" s="74"/>
      <c r="R522" s="74"/>
      <c r="S522" s="74"/>
      <c r="T522" s="74"/>
      <c r="U522" s="74"/>
      <c r="V522" s="74"/>
      <c r="W522" s="74"/>
      <c r="X522" s="74"/>
      <c r="Y522" s="74"/>
      <c r="Z522" s="74"/>
    </row>
    <row r="523" spans="1:26" x14ac:dyDescent="0.3">
      <c r="A523" s="66">
        <f t="shared" si="50"/>
        <v>2041.5999999999531</v>
      </c>
      <c r="B523" s="67">
        <f>LOOKUP(A523+0.01,AmountsB!$A$4:$A$103,AmountsB!$B$4:$B$103)*0.1*$A$2</f>
        <v>0</v>
      </c>
      <c r="C523" s="68">
        <f t="shared" si="55"/>
        <v>83655.233518999943</v>
      </c>
      <c r="D523" s="67">
        <f t="array" ref="D523">SUM($B$7:$B518*$F$1009*EXP(-$F$1009*($A523-$A$7:$A518)))*$F$1010</f>
        <v>4764923.9224250941</v>
      </c>
      <c r="E523" s="67">
        <f t="shared" si="53"/>
        <v>9.0839068103294682</v>
      </c>
      <c r="F523" s="70">
        <f t="shared" si="51"/>
        <v>0.55157482152320525</v>
      </c>
      <c r="G523" s="67">
        <f>E523/'Lookup Tables'!$C$48</f>
        <v>18.167813620658936</v>
      </c>
      <c r="H523" s="70">
        <f t="shared" si="54"/>
        <v>5.7073553185704444E-2</v>
      </c>
      <c r="I523" s="71">
        <f t="shared" si="52"/>
        <v>2.6161651613748869E-2</v>
      </c>
      <c r="L523" s="74"/>
      <c r="M523" s="74"/>
      <c r="N523" s="74"/>
      <c r="O523" s="74"/>
      <c r="P523" s="74"/>
      <c r="Q523" s="74"/>
      <c r="R523" s="74"/>
      <c r="S523" s="74"/>
      <c r="T523" s="74"/>
      <c r="U523" s="74"/>
      <c r="V523" s="74"/>
      <c r="W523" s="74"/>
      <c r="X523" s="74"/>
      <c r="Y523" s="74"/>
      <c r="Z523" s="74"/>
    </row>
    <row r="524" spans="1:26" x14ac:dyDescent="0.3">
      <c r="A524" s="66">
        <f t="shared" si="50"/>
        <v>2041.699999999953</v>
      </c>
      <c r="B524" s="67">
        <f>LOOKUP(A524+0.01,AmountsB!$A$4:$A$103,AmountsB!$B$4:$B$103)*0.1*$A$2</f>
        <v>0</v>
      </c>
      <c r="C524" s="68">
        <f t="shared" si="55"/>
        <v>83655.233518999943</v>
      </c>
      <c r="D524" s="67">
        <f t="array" ref="D524">SUM($B$7:$B519*$F$1009*EXP(-$F$1009*($A524-$A$7:$A519)))*$F$1010</f>
        <v>4758257.6963807531</v>
      </c>
      <c r="E524" s="67">
        <f t="shared" si="53"/>
        <v>9.0711982388707746</v>
      </c>
      <c r="F524" s="70">
        <f t="shared" si="51"/>
        <v>0.55080315706423344</v>
      </c>
      <c r="G524" s="67">
        <f>E524/'Lookup Tables'!$C$48</f>
        <v>18.142396477741549</v>
      </c>
      <c r="H524" s="70">
        <f t="shared" si="54"/>
        <v>5.6993706117234151E-2</v>
      </c>
      <c r="I524" s="71">
        <f t="shared" si="52"/>
        <v>2.612505092794783E-2</v>
      </c>
      <c r="L524" s="74"/>
      <c r="M524" s="74"/>
      <c r="N524" s="74"/>
      <c r="O524" s="74"/>
      <c r="P524" s="74"/>
      <c r="Q524" s="74"/>
      <c r="R524" s="74"/>
      <c r="S524" s="74"/>
      <c r="T524" s="74"/>
      <c r="U524" s="74"/>
      <c r="V524" s="74"/>
      <c r="W524" s="74"/>
      <c r="X524" s="74"/>
      <c r="Y524" s="74"/>
      <c r="Z524" s="74"/>
    </row>
    <row r="525" spans="1:26" x14ac:dyDescent="0.3">
      <c r="A525" s="66">
        <f t="shared" si="50"/>
        <v>2041.7999999999529</v>
      </c>
      <c r="B525" s="67">
        <f>LOOKUP(A525+0.01,AmountsB!$A$4:$A$103,AmountsB!$B$4:$B$103)*0.1*$A$2</f>
        <v>0</v>
      </c>
      <c r="C525" s="68">
        <f t="shared" si="55"/>
        <v>83655.233518999943</v>
      </c>
      <c r="D525" s="67">
        <f t="array" ref="D525">SUM($B$7:$B520*$F$1009*EXP(-$F$1009*($A525-$A$7:$A520)))*$F$1010</f>
        <v>4751600.7965230206</v>
      </c>
      <c r="E525" s="67">
        <f t="shared" si="53"/>
        <v>9.0585074469635316</v>
      </c>
      <c r="F525" s="70">
        <f t="shared" si="51"/>
        <v>0.55003257217962576</v>
      </c>
      <c r="G525" s="67">
        <f>E525/'Lookup Tables'!$C$48</f>
        <v>18.117014893927063</v>
      </c>
      <c r="H525" s="70">
        <f t="shared" si="54"/>
        <v>5.6913970756446101E-2</v>
      </c>
      <c r="I525" s="71">
        <f t="shared" si="52"/>
        <v>2.6088501447254973E-2</v>
      </c>
      <c r="L525" s="74"/>
      <c r="M525" s="74"/>
      <c r="N525" s="74"/>
      <c r="O525" s="74"/>
      <c r="P525" s="74"/>
      <c r="Q525" s="74"/>
      <c r="R525" s="74"/>
      <c r="S525" s="74"/>
      <c r="T525" s="74"/>
      <c r="U525" s="74"/>
      <c r="V525" s="74"/>
      <c r="W525" s="74"/>
      <c r="X525" s="74"/>
      <c r="Y525" s="74"/>
      <c r="Z525" s="74"/>
    </row>
    <row r="526" spans="1:26" x14ac:dyDescent="0.3">
      <c r="A526" s="66">
        <f t="shared" si="50"/>
        <v>2041.8999999999528</v>
      </c>
      <c r="B526" s="67">
        <f>LOOKUP(A526+0.01,AmountsB!$A$4:$A$103,AmountsB!$B$4:$B$103)*0.1*$A$2</f>
        <v>0</v>
      </c>
      <c r="C526" s="68">
        <f t="shared" si="55"/>
        <v>83655.233518999943</v>
      </c>
      <c r="D526" s="67">
        <f t="array" ref="D526">SUM($B$7:$B521*$F$1009*EXP(-$F$1009*($A526-$A$7:$A521)))*$F$1010</f>
        <v>4744953.209804371</v>
      </c>
      <c r="E526" s="67">
        <f t="shared" si="53"/>
        <v>9.0458344097337857</v>
      </c>
      <c r="F526" s="70">
        <f t="shared" si="51"/>
        <v>0.54926306535903535</v>
      </c>
      <c r="G526" s="67">
        <f>E526/'Lookup Tables'!$C$48</f>
        <v>18.091668819467571</v>
      </c>
      <c r="H526" s="70">
        <f t="shared" si="54"/>
        <v>5.6834346947058932E-2</v>
      </c>
      <c r="I526" s="71">
        <f t="shared" si="52"/>
        <v>2.6052003100033302E-2</v>
      </c>
      <c r="L526" s="74"/>
      <c r="M526" s="74"/>
      <c r="N526" s="74"/>
      <c r="O526" s="74"/>
      <c r="P526" s="74"/>
      <c r="Q526" s="74"/>
      <c r="R526" s="74"/>
      <c r="S526" s="74"/>
      <c r="T526" s="74"/>
      <c r="U526" s="74"/>
      <c r="V526" s="74"/>
      <c r="W526" s="74"/>
      <c r="X526" s="74"/>
      <c r="Y526" s="74"/>
      <c r="Z526" s="74"/>
    </row>
    <row r="527" spans="1:26" x14ac:dyDescent="0.3">
      <c r="A527" s="66">
        <f t="shared" si="50"/>
        <v>2041.9999999999527</v>
      </c>
      <c r="B527" s="67">
        <f>LOOKUP(A527+0.01,AmountsB!$A$4:$A$103,AmountsB!$B$4:$B$103)*0.1*$A$2</f>
        <v>0</v>
      </c>
      <c r="C527" s="68">
        <f t="shared" si="55"/>
        <v>83655.233518999943</v>
      </c>
      <c r="D527" s="67">
        <f t="array" ref="D527">SUM($B$7:$B522*$F$1009*EXP(-$F$1009*($A527-$A$7:$A522)))*$F$1010</f>
        <v>4738314.9231955307</v>
      </c>
      <c r="E527" s="67">
        <f t="shared" si="53"/>
        <v>9.0331791023423786</v>
      </c>
      <c r="F527" s="70">
        <f t="shared" si="51"/>
        <v>0.54849463509422924</v>
      </c>
      <c r="G527" s="67">
        <f>E527/'Lookup Tables'!$C$48</f>
        <v>18.066358204684757</v>
      </c>
      <c r="H527" s="70">
        <f t="shared" si="54"/>
        <v>5.6754834533009994E-2</v>
      </c>
      <c r="I527" s="71">
        <f t="shared" si="52"/>
        <v>2.6015555814746048E-2</v>
      </c>
      <c r="L527" s="74"/>
      <c r="M527" s="74"/>
      <c r="N527" s="74"/>
      <c r="O527" s="74"/>
      <c r="P527" s="74"/>
      <c r="Q527" s="74"/>
      <c r="R527" s="74"/>
      <c r="S527" s="74"/>
      <c r="T527" s="74"/>
      <c r="U527" s="74"/>
      <c r="V527" s="74"/>
      <c r="W527" s="74"/>
      <c r="X527" s="74"/>
      <c r="Y527" s="74"/>
      <c r="Z527" s="74"/>
    </row>
    <row r="528" spans="1:26" x14ac:dyDescent="0.3">
      <c r="A528" s="66">
        <f t="shared" si="50"/>
        <v>2042.0999999999526</v>
      </c>
      <c r="B528" s="67">
        <f>LOOKUP(A528+0.01,AmountsB!$A$4:$A$103,AmountsB!$B$4:$B$103)*0.1*$A$2</f>
        <v>0</v>
      </c>
      <c r="C528" s="68">
        <f t="shared" si="55"/>
        <v>83655.233518999943</v>
      </c>
      <c r="D528" s="67">
        <f t="array" ref="D528">SUM($B$7:$B523*$F$1009*EXP(-$F$1009*($A528-$A$7:$A523)))*$F$1010</f>
        <v>4731685.9236854557</v>
      </c>
      <c r="E528" s="67">
        <f t="shared" si="53"/>
        <v>9.0205414999849012</v>
      </c>
      <c r="F528" s="70">
        <f t="shared" si="51"/>
        <v>0.54772727987908321</v>
      </c>
      <c r="G528" s="67">
        <f>E528/'Lookup Tables'!$C$48</f>
        <v>18.041082999969802</v>
      </c>
      <c r="H528" s="70">
        <f t="shared" si="54"/>
        <v>5.6675433358454888E-2</v>
      </c>
      <c r="I528" s="71">
        <f t="shared" si="52"/>
        <v>2.5979159519956514E-2</v>
      </c>
      <c r="L528" s="74"/>
      <c r="M528" s="74"/>
      <c r="N528" s="74"/>
      <c r="O528" s="74"/>
      <c r="P528" s="74"/>
      <c r="Q528" s="74"/>
      <c r="R528" s="74"/>
      <c r="S528" s="74"/>
      <c r="T528" s="74"/>
      <c r="U528" s="74"/>
      <c r="V528" s="74"/>
      <c r="W528" s="74"/>
      <c r="X528" s="74"/>
      <c r="Y528" s="74"/>
      <c r="Z528" s="74"/>
    </row>
    <row r="529" spans="1:26" x14ac:dyDescent="0.3">
      <c r="A529" s="66">
        <f t="shared" si="50"/>
        <v>2042.1999999999525</v>
      </c>
      <c r="B529" s="67">
        <f>LOOKUP(A529+0.01,AmountsB!$A$4:$A$103,AmountsB!$B$4:$B$103)*0.1*$A$2</f>
        <v>0</v>
      </c>
      <c r="C529" s="68">
        <f t="shared" si="55"/>
        <v>83655.233518999943</v>
      </c>
      <c r="D529" s="67">
        <f t="array" ref="D529">SUM($B$7:$B524*$F$1009*EXP(-$F$1009*($A529-$A$7:$A524)))*$F$1010</f>
        <v>4725066.1982813077</v>
      </c>
      <c r="E529" s="67">
        <f t="shared" si="53"/>
        <v>9.0079215778916542</v>
      </c>
      <c r="F529" s="70">
        <f t="shared" si="51"/>
        <v>0.54696099820958122</v>
      </c>
      <c r="G529" s="67">
        <f>E529/'Lookup Tables'!$C$48</f>
        <v>18.015843155783308</v>
      </c>
      <c r="H529" s="70">
        <f t="shared" si="54"/>
        <v>5.6596143267767331E-2</v>
      </c>
      <c r="I529" s="71">
        <f t="shared" si="52"/>
        <v>2.5942814144327961E-2</v>
      </c>
      <c r="L529" s="74"/>
      <c r="M529" s="74"/>
      <c r="N529" s="74"/>
      <c r="O529" s="74"/>
      <c r="P529" s="74"/>
      <c r="Q529" s="74"/>
      <c r="R529" s="74"/>
      <c r="S529" s="74"/>
      <c r="T529" s="74"/>
      <c r="U529" s="74"/>
      <c r="V529" s="74"/>
      <c r="W529" s="74"/>
      <c r="X529" s="74"/>
      <c r="Y529" s="74"/>
      <c r="Z529" s="74"/>
    </row>
    <row r="530" spans="1:26" x14ac:dyDescent="0.3">
      <c r="A530" s="66">
        <f t="shared" si="50"/>
        <v>2042.2999999999524</v>
      </c>
      <c r="B530" s="67">
        <f>LOOKUP(A530+0.01,AmountsB!$A$4:$A$103,AmountsB!$B$4:$B$103)*0.1*$A$2</f>
        <v>0</v>
      </c>
      <c r="C530" s="68">
        <f t="shared" si="55"/>
        <v>83655.233518999943</v>
      </c>
      <c r="D530" s="67">
        <f t="array" ref="D530">SUM($B$7:$B525*$F$1009*EXP(-$F$1009*($A530-$A$7:$A525)))*$F$1010</f>
        <v>4718455.7340084193</v>
      </c>
      <c r="E530" s="67">
        <f t="shared" si="53"/>
        <v>8.9953193113275809</v>
      </c>
      <c r="F530" s="70">
        <f t="shared" si="51"/>
        <v>0.54619578858381068</v>
      </c>
      <c r="G530" s="67">
        <f>E530/'Lookup Tables'!$C$48</f>
        <v>17.990638622655162</v>
      </c>
      <c r="H530" s="70">
        <f t="shared" si="54"/>
        <v>5.6516964105538678E-2</v>
      </c>
      <c r="I530" s="71">
        <f t="shared" si="52"/>
        <v>2.5906519616623432E-2</v>
      </c>
      <c r="L530" s="74"/>
      <c r="M530" s="74"/>
      <c r="N530" s="74"/>
      <c r="O530" s="74"/>
      <c r="P530" s="74"/>
      <c r="Q530" s="74"/>
      <c r="R530" s="74"/>
      <c r="S530" s="74"/>
      <c r="T530" s="74"/>
      <c r="U530" s="74"/>
      <c r="V530" s="74"/>
      <c r="W530" s="74"/>
      <c r="X530" s="74"/>
      <c r="Y530" s="74"/>
      <c r="Z530" s="74"/>
    </row>
    <row r="531" spans="1:26" x14ac:dyDescent="0.3">
      <c r="A531" s="66">
        <f t="shared" ref="A531:A594" si="56">A530+0.1</f>
        <v>2042.3999999999523</v>
      </c>
      <c r="B531" s="67">
        <f>LOOKUP(A531+0.01,AmountsB!$A$4:$A$103,AmountsB!$B$4:$B$103)*0.1*$A$2</f>
        <v>0</v>
      </c>
      <c r="C531" s="68">
        <f t="shared" si="55"/>
        <v>83655.233518999943</v>
      </c>
      <c r="D531" s="67">
        <f t="array" ref="D531">SUM($B$7:$B526*$F$1009*EXP(-$F$1009*($A531-$A$7:$A526)))*$F$1010</f>
        <v>4711854.5179102793</v>
      </c>
      <c r="E531" s="67">
        <f t="shared" si="53"/>
        <v>8.982734675592237</v>
      </c>
      <c r="F531" s="70">
        <f t="shared" ref="F531:F594" si="57">E531*60*1012/1000000</f>
        <v>0.54543164950196066</v>
      </c>
      <c r="G531" s="67">
        <f>E531/'Lookup Tables'!$C$48</f>
        <v>17.965469351184474</v>
      </c>
      <c r="H531" s="70">
        <f t="shared" si="54"/>
        <v>5.643789571657775E-2</v>
      </c>
      <c r="I531" s="71">
        <f t="shared" ref="I531:I594" si="58">G531*60*24/1000000</f>
        <v>2.5870275865705641E-2</v>
      </c>
      <c r="L531" s="74"/>
      <c r="M531" s="74"/>
      <c r="N531" s="74"/>
      <c r="O531" s="74"/>
      <c r="P531" s="74"/>
      <c r="Q531" s="74"/>
      <c r="R531" s="74"/>
      <c r="S531" s="74"/>
      <c r="T531" s="74"/>
      <c r="U531" s="74"/>
      <c r="V531" s="74"/>
      <c r="W531" s="74"/>
      <c r="X531" s="74"/>
      <c r="Y531" s="74"/>
      <c r="Z531" s="74"/>
    </row>
    <row r="532" spans="1:26" x14ac:dyDescent="0.3">
      <c r="A532" s="66">
        <f t="shared" si="56"/>
        <v>2042.4999999999523</v>
      </c>
      <c r="B532" s="67">
        <f>LOOKUP(A532+0.01,AmountsB!$A$4:$A$103,AmountsB!$B$4:$B$103)*0.1*$A$2</f>
        <v>0</v>
      </c>
      <c r="C532" s="68">
        <f t="shared" si="55"/>
        <v>83655.233518999943</v>
      </c>
      <c r="D532" s="67">
        <f t="array" ref="D532">SUM($B$7:$B527*$F$1009*EXP(-$F$1009*($A532-$A$7:$A527)))*$F$1010</f>
        <v>4705262.5370485047</v>
      </c>
      <c r="E532" s="67">
        <f t="shared" si="53"/>
        <v>8.9701676460197337</v>
      </c>
      <c r="F532" s="70">
        <f t="shared" si="57"/>
        <v>0.54466857946631808</v>
      </c>
      <c r="G532" s="67">
        <f>E532/'Lookup Tables'!$C$48</f>
        <v>17.940335292039467</v>
      </c>
      <c r="H532" s="70">
        <f t="shared" si="54"/>
        <v>5.6358937945910514E-2</v>
      </c>
      <c r="I532" s="71">
        <f t="shared" si="58"/>
        <v>2.5834082820536831E-2</v>
      </c>
      <c r="L532" s="74"/>
      <c r="M532" s="74"/>
      <c r="N532" s="74"/>
      <c r="O532" s="74"/>
      <c r="P532" s="74"/>
      <c r="Q532" s="74"/>
      <c r="R532" s="74"/>
      <c r="S532" s="74"/>
      <c r="T532" s="74"/>
      <c r="U532" s="74"/>
      <c r="V532" s="74"/>
      <c r="W532" s="74"/>
      <c r="X532" s="74"/>
      <c r="Y532" s="74"/>
      <c r="Z532" s="74"/>
    </row>
    <row r="533" spans="1:26" x14ac:dyDescent="0.3">
      <c r="A533" s="66">
        <f t="shared" si="56"/>
        <v>2042.5999999999522</v>
      </c>
      <c r="B533" s="67">
        <f>LOOKUP(A533+0.01,AmountsB!$A$4:$A$103,AmountsB!$B$4:$B$103)*0.1*$A$2</f>
        <v>0</v>
      </c>
      <c r="C533" s="68">
        <f t="shared" si="55"/>
        <v>83655.233518999943</v>
      </c>
      <c r="D533" s="67">
        <f t="array" ref="D533">SUM($B$7:$B528*$F$1009*EXP(-$F$1009*($A533-$A$7:$A528)))*$F$1010</f>
        <v>4698679.7785028089</v>
      </c>
      <c r="E533" s="67">
        <f t="shared" si="53"/>
        <v>8.9576181979786913</v>
      </c>
      <c r="F533" s="70">
        <f t="shared" si="57"/>
        <v>0.5439065769812661</v>
      </c>
      <c r="G533" s="67">
        <f>E533/'Lookup Tables'!$C$48</f>
        <v>17.915236395957383</v>
      </c>
      <c r="H533" s="70">
        <f t="shared" si="54"/>
        <v>5.6280090638779715E-2</v>
      </c>
      <c r="I533" s="71">
        <f t="shared" si="58"/>
        <v>2.5797940410178632E-2</v>
      </c>
      <c r="L533" s="74"/>
      <c r="M533" s="74"/>
      <c r="N533" s="74"/>
      <c r="O533" s="74"/>
      <c r="P533" s="74"/>
      <c r="Q533" s="74"/>
      <c r="R533" s="74"/>
      <c r="S533" s="74"/>
      <c r="T533" s="74"/>
      <c r="U533" s="74"/>
      <c r="V533" s="74"/>
      <c r="W533" s="74"/>
      <c r="X533" s="74"/>
      <c r="Y533" s="74"/>
      <c r="Z533" s="74"/>
    </row>
    <row r="534" spans="1:26" x14ac:dyDescent="0.3">
      <c r="A534" s="66">
        <f t="shared" si="56"/>
        <v>2042.6999999999521</v>
      </c>
      <c r="B534" s="67">
        <f>LOOKUP(A534+0.01,AmountsB!$A$4:$A$103,AmountsB!$B$4:$B$103)*0.1*$A$2</f>
        <v>0</v>
      </c>
      <c r="C534" s="68">
        <f t="shared" si="55"/>
        <v>83655.233518999943</v>
      </c>
      <c r="D534" s="67">
        <f t="array" ref="D534">SUM($B$7:$B529*$F$1009*EXP(-$F$1009*($A534-$A$7:$A529)))*$F$1010</f>
        <v>4692106.2293709833</v>
      </c>
      <c r="E534" s="67">
        <f t="shared" si="53"/>
        <v>8.9450863068721826</v>
      </c>
      <c r="F534" s="70">
        <f t="shared" si="57"/>
        <v>0.54314564055327896</v>
      </c>
      <c r="G534" s="67">
        <f>E534/'Lookup Tables'!$C$48</f>
        <v>17.890172613744365</v>
      </c>
      <c r="H534" s="70">
        <f t="shared" si="54"/>
        <v>5.6201353640644575E-2</v>
      </c>
      <c r="I534" s="71">
        <f t="shared" si="58"/>
        <v>2.5761848563791885E-2</v>
      </c>
      <c r="L534" s="74"/>
      <c r="M534" s="74"/>
      <c r="N534" s="74"/>
      <c r="O534" s="74"/>
      <c r="P534" s="74"/>
      <c r="Q534" s="74"/>
      <c r="R534" s="74"/>
      <c r="S534" s="74"/>
      <c r="T534" s="74"/>
      <c r="U534" s="74"/>
      <c r="V534" s="74"/>
      <c r="W534" s="74"/>
      <c r="X534" s="74"/>
      <c r="Y534" s="74"/>
      <c r="Z534" s="74"/>
    </row>
    <row r="535" spans="1:26" x14ac:dyDescent="0.3">
      <c r="A535" s="66">
        <f t="shared" si="56"/>
        <v>2042.799999999952</v>
      </c>
      <c r="B535" s="67">
        <f>LOOKUP(A535+0.01,AmountsB!$A$4:$A$103,AmountsB!$B$4:$B$103)*0.1*$A$2</f>
        <v>0</v>
      </c>
      <c r="C535" s="68">
        <f t="shared" si="55"/>
        <v>83655.233518999943</v>
      </c>
      <c r="D535" s="67">
        <f t="array" ref="D535">SUM($B$7:$B530*$F$1009*EXP(-$F$1009*($A535-$A$7:$A530)))*$F$1010</f>
        <v>4685541.8767688684</v>
      </c>
      <c r="E535" s="67">
        <f t="shared" si="53"/>
        <v>8.9325719481376993</v>
      </c>
      <c r="F535" s="70">
        <f t="shared" si="57"/>
        <v>0.54238576869092103</v>
      </c>
      <c r="G535" s="67">
        <f>E535/'Lookup Tables'!$C$48</f>
        <v>17.865143896275399</v>
      </c>
      <c r="H535" s="70">
        <f t="shared" si="54"/>
        <v>5.6122726797180542E-2</v>
      </c>
      <c r="I535" s="71">
        <f t="shared" si="58"/>
        <v>2.5725807210636574E-2</v>
      </c>
      <c r="L535" s="74"/>
      <c r="M535" s="74"/>
      <c r="N535" s="74"/>
      <c r="O535" s="74"/>
      <c r="P535" s="74"/>
      <c r="Q535" s="74"/>
      <c r="R535" s="74"/>
      <c r="S535" s="74"/>
      <c r="T535" s="74"/>
      <c r="U535" s="74"/>
      <c r="V535" s="74"/>
      <c r="W535" s="74"/>
      <c r="X535" s="74"/>
      <c r="Y535" s="74"/>
      <c r="Z535" s="74"/>
    </row>
    <row r="536" spans="1:26" x14ac:dyDescent="0.3">
      <c r="A536" s="66">
        <f t="shared" si="56"/>
        <v>2042.8999999999519</v>
      </c>
      <c r="B536" s="67">
        <f>LOOKUP(A536+0.01,AmountsB!$A$4:$A$103,AmountsB!$B$4:$B$103)*0.1*$A$2</f>
        <v>0</v>
      </c>
      <c r="C536" s="68">
        <f t="shared" si="55"/>
        <v>83655.233518999943</v>
      </c>
      <c r="D536" s="67">
        <f t="array" ref="D536">SUM($B$7:$B531*$F$1009*EXP(-$F$1009*($A536-$A$7:$A531)))*$F$1010</f>
        <v>4678986.7078303313</v>
      </c>
      <c r="E536" s="67">
        <f t="shared" si="53"/>
        <v>8.9200750972470892</v>
      </c>
      <c r="F536" s="70">
        <f t="shared" si="57"/>
        <v>0.54162695990484322</v>
      </c>
      <c r="G536" s="67">
        <f>E536/'Lookup Tables'!$C$48</f>
        <v>17.840150194494178</v>
      </c>
      <c r="H536" s="70">
        <f t="shared" si="54"/>
        <v>5.6044209954278987E-2</v>
      </c>
      <c r="I536" s="71">
        <f t="shared" si="58"/>
        <v>2.5689816280071616E-2</v>
      </c>
      <c r="L536" s="74"/>
      <c r="M536" s="74"/>
      <c r="N536" s="74"/>
      <c r="O536" s="74"/>
      <c r="P536" s="74"/>
      <c r="Q536" s="74"/>
      <c r="R536" s="74"/>
      <c r="S536" s="74"/>
      <c r="T536" s="74"/>
      <c r="U536" s="74"/>
      <c r="V536" s="74"/>
      <c r="W536" s="74"/>
      <c r="X536" s="74"/>
      <c r="Y536" s="74"/>
      <c r="Z536" s="74"/>
    </row>
    <row r="537" spans="1:26" x14ac:dyDescent="0.3">
      <c r="A537" s="66">
        <f t="shared" si="56"/>
        <v>2042.9999999999518</v>
      </c>
      <c r="B537" s="67">
        <f>LOOKUP(A537+0.01,AmountsB!$A$4:$A$103,AmountsB!$B$4:$B$103)*0.1*$A$2</f>
        <v>0</v>
      </c>
      <c r="C537" s="68">
        <f t="shared" si="55"/>
        <v>83655.233518999943</v>
      </c>
      <c r="D537" s="67">
        <f t="array" ref="D537">SUM($B$7:$B532*$F$1009*EXP(-$F$1009*($A537-$A$7:$A532)))*$F$1010</f>
        <v>4672440.7097072434</v>
      </c>
      <c r="E537" s="67">
        <f t="shared" si="53"/>
        <v>8.9075957297065358</v>
      </c>
      <c r="F537" s="70">
        <f t="shared" si="57"/>
        <v>0.54086921270778077</v>
      </c>
      <c r="G537" s="67">
        <f>E537/'Lookup Tables'!$C$48</f>
        <v>17.815191459413072</v>
      </c>
      <c r="H537" s="70">
        <f t="shared" si="54"/>
        <v>5.5965802958046942E-2</v>
      </c>
      <c r="I537" s="71">
        <f t="shared" si="58"/>
        <v>2.5653875701554821E-2</v>
      </c>
      <c r="L537" s="74"/>
      <c r="M537" s="74"/>
      <c r="N537" s="74"/>
      <c r="O537" s="74"/>
      <c r="P537" s="74"/>
      <c r="Q537" s="74"/>
      <c r="R537" s="74"/>
      <c r="S537" s="74"/>
      <c r="T537" s="74"/>
      <c r="U537" s="74"/>
      <c r="V537" s="74"/>
      <c r="W537" s="74"/>
      <c r="X537" s="74"/>
      <c r="Y537" s="74"/>
      <c r="Z537" s="74"/>
    </row>
    <row r="538" spans="1:26" x14ac:dyDescent="0.3">
      <c r="A538" s="66">
        <f t="shared" si="56"/>
        <v>2043.0999999999517</v>
      </c>
      <c r="B538" s="67">
        <f>LOOKUP(A538+0.01,AmountsB!$A$4:$A$103,AmountsB!$B$4:$B$103)*0.1*$A$2</f>
        <v>0</v>
      </c>
      <c r="C538" s="68">
        <f t="shared" si="55"/>
        <v>83655.233518999943</v>
      </c>
      <c r="D538" s="67">
        <f t="array" ref="D538">SUM($B$7:$B533*$F$1009*EXP(-$F$1009*($A538-$A$7:$A533)))*$F$1010</f>
        <v>4665903.8695694385</v>
      </c>
      <c r="E538" s="67">
        <f t="shared" si="53"/>
        <v>8.8951338210564579</v>
      </c>
      <c r="F538" s="70">
        <f t="shared" si="57"/>
        <v>0.54011252561454814</v>
      </c>
      <c r="G538" s="67">
        <f>E538/'Lookup Tables'!$C$48</f>
        <v>17.790267642112916</v>
      </c>
      <c r="H538" s="70">
        <f t="shared" si="54"/>
        <v>5.5887505654806581E-2</v>
      </c>
      <c r="I538" s="71">
        <f t="shared" si="58"/>
        <v>2.56179854046426E-2</v>
      </c>
      <c r="L538" s="74"/>
      <c r="M538" s="74"/>
      <c r="N538" s="74"/>
      <c r="O538" s="74"/>
      <c r="P538" s="74"/>
      <c r="Q538" s="74"/>
      <c r="R538" s="74"/>
      <c r="S538" s="74"/>
      <c r="T538" s="74"/>
      <c r="U538" s="74"/>
      <c r="V538" s="74"/>
      <c r="W538" s="74"/>
      <c r="X538" s="74"/>
      <c r="Y538" s="74"/>
      <c r="Z538" s="74"/>
    </row>
    <row r="539" spans="1:26" x14ac:dyDescent="0.3">
      <c r="A539" s="66">
        <f t="shared" si="56"/>
        <v>2043.1999999999516</v>
      </c>
      <c r="B539" s="67">
        <f>LOOKUP(A539+0.01,AmountsB!$A$4:$A$103,AmountsB!$B$4:$B$103)*0.1*$A$2</f>
        <v>0</v>
      </c>
      <c r="C539" s="68">
        <f t="shared" si="55"/>
        <v>83655.233518999943</v>
      </c>
      <c r="D539" s="67">
        <f t="array" ref="D539">SUM($B$7:$B534*$F$1009*EXP(-$F$1009*($A539-$A$7:$A534)))*$F$1010</f>
        <v>4659376.1746047121</v>
      </c>
      <c r="E539" s="67">
        <f t="shared" si="53"/>
        <v>8.8826893468715156</v>
      </c>
      <c r="F539" s="70">
        <f t="shared" si="57"/>
        <v>0.53935689714203838</v>
      </c>
      <c r="G539" s="67">
        <f>E539/'Lookup Tables'!$C$48</f>
        <v>17.765378693743031</v>
      </c>
      <c r="H539" s="70">
        <f t="shared" si="54"/>
        <v>5.5809317891095167E-2</v>
      </c>
      <c r="I539" s="71">
        <f t="shared" si="58"/>
        <v>2.5582145318989963E-2</v>
      </c>
      <c r="L539" s="74"/>
      <c r="M539" s="74"/>
      <c r="N539" s="74"/>
      <c r="O539" s="74"/>
      <c r="P539" s="74"/>
      <c r="Q539" s="74"/>
      <c r="R539" s="74"/>
      <c r="S539" s="74"/>
      <c r="T539" s="74"/>
      <c r="U539" s="74"/>
      <c r="V539" s="74"/>
      <c r="W539" s="74"/>
      <c r="X539" s="74"/>
      <c r="Y539" s="74"/>
      <c r="Z539" s="74"/>
    </row>
    <row r="540" spans="1:26" x14ac:dyDescent="0.3">
      <c r="A540" s="66">
        <f t="shared" si="56"/>
        <v>2043.2999999999515</v>
      </c>
      <c r="B540" s="67">
        <f>LOOKUP(A540+0.01,AmountsB!$A$4:$A$103,AmountsB!$B$4:$B$103)*0.1*$A$2</f>
        <v>0</v>
      </c>
      <c r="C540" s="68">
        <f t="shared" si="55"/>
        <v>83655.233518999943</v>
      </c>
      <c r="D540" s="67">
        <f t="array" ref="D540">SUM($B$7:$B535*$F$1009*EXP(-$F$1009*($A540-$A$7:$A535)))*$F$1010</f>
        <v>4652857.6120187799</v>
      </c>
      <c r="E540" s="67">
        <f t="shared" si="53"/>
        <v>8.8702622827605371</v>
      </c>
      <c r="F540" s="70">
        <f t="shared" si="57"/>
        <v>0.53860232580921985</v>
      </c>
      <c r="G540" s="67">
        <f>E540/'Lookup Tables'!$C$48</f>
        <v>17.740524565521074</v>
      </c>
      <c r="H540" s="70">
        <f t="shared" si="54"/>
        <v>5.573123951366471E-2</v>
      </c>
      <c r="I540" s="71">
        <f t="shared" si="58"/>
        <v>2.5546355374350346E-2</v>
      </c>
      <c r="L540" s="74"/>
      <c r="M540" s="74"/>
      <c r="N540" s="74"/>
      <c r="O540" s="74"/>
      <c r="P540" s="74"/>
      <c r="Q540" s="74"/>
      <c r="R540" s="74"/>
      <c r="S540" s="74"/>
      <c r="T540" s="74"/>
      <c r="U540" s="74"/>
      <c r="V540" s="74"/>
      <c r="W540" s="74"/>
      <c r="X540" s="74"/>
      <c r="Y540" s="74"/>
      <c r="Z540" s="74"/>
    </row>
    <row r="541" spans="1:26" x14ac:dyDescent="0.3">
      <c r="A541" s="66">
        <f t="shared" si="56"/>
        <v>2043.3999999999514</v>
      </c>
      <c r="B541" s="67">
        <f>LOOKUP(A541+0.01,AmountsB!$A$4:$A$103,AmountsB!$B$4:$B$103)*0.1*$A$2</f>
        <v>0</v>
      </c>
      <c r="C541" s="68">
        <f t="shared" si="55"/>
        <v>83655.233518999943</v>
      </c>
      <c r="D541" s="67">
        <f t="array" ref="D541">SUM($B$7:$B536*$F$1009*EXP(-$F$1009*($A541-$A$7:$A536)))*$F$1010</f>
        <v>4646348.1690352568</v>
      </c>
      <c r="E541" s="67">
        <f t="shared" si="53"/>
        <v>8.8578526043664727</v>
      </c>
      <c r="F541" s="70">
        <f t="shared" si="57"/>
        <v>0.53784881013713215</v>
      </c>
      <c r="G541" s="67">
        <f>E541/'Lookup Tables'!$C$48</f>
        <v>17.715705208732945</v>
      </c>
      <c r="H541" s="70">
        <f t="shared" si="54"/>
        <v>5.5653270369481533E-2</v>
      </c>
      <c r="I541" s="71">
        <f t="shared" si="58"/>
        <v>2.5510615500575439E-2</v>
      </c>
      <c r="L541" s="74"/>
      <c r="M541" s="74"/>
      <c r="N541" s="74"/>
      <c r="O541" s="74"/>
      <c r="P541" s="74"/>
      <c r="Q541" s="74"/>
      <c r="R541" s="74"/>
      <c r="S541" s="74"/>
      <c r="T541" s="74"/>
      <c r="U541" s="74"/>
      <c r="V541" s="74"/>
      <c r="W541" s="74"/>
      <c r="X541" s="74"/>
      <c r="Y541" s="74"/>
      <c r="Z541" s="74"/>
    </row>
    <row r="542" spans="1:26" x14ac:dyDescent="0.3">
      <c r="A542" s="66">
        <f t="shared" si="56"/>
        <v>2043.4999999999513</v>
      </c>
      <c r="B542" s="67">
        <f>LOOKUP(A542+0.01,AmountsB!$A$4:$A$103,AmountsB!$B$4:$B$103)*0.1*$A$2</f>
        <v>0</v>
      </c>
      <c r="C542" s="68">
        <f t="shared" si="55"/>
        <v>83655.233518999943</v>
      </c>
      <c r="D542" s="67">
        <f t="array" ref="D542">SUM($B$7:$B537*$F$1009*EXP(-$F$1009*($A542-$A$7:$A537)))*$F$1010</f>
        <v>4639847.8328956338</v>
      </c>
      <c r="E542" s="67">
        <f t="shared" si="53"/>
        <v>8.8454602873663521</v>
      </c>
      <c r="F542" s="70">
        <f t="shared" si="57"/>
        <v>0.53709634864888478</v>
      </c>
      <c r="G542" s="67">
        <f>E542/'Lookup Tables'!$C$48</f>
        <v>17.690920574732704</v>
      </c>
      <c r="H542" s="70">
        <f t="shared" si="54"/>
        <v>5.5575410305726117E-2</v>
      </c>
      <c r="I542" s="71">
        <f t="shared" si="58"/>
        <v>2.5474925627615091E-2</v>
      </c>
      <c r="L542" s="74"/>
      <c r="M542" s="74"/>
      <c r="N542" s="74"/>
      <c r="O542" s="74"/>
      <c r="P542" s="74"/>
      <c r="Q542" s="74"/>
      <c r="R542" s="74"/>
      <c r="S542" s="74"/>
      <c r="T542" s="74"/>
      <c r="U542" s="74"/>
      <c r="V542" s="74"/>
      <c r="W542" s="74"/>
      <c r="X542" s="74"/>
      <c r="Y542" s="74"/>
      <c r="Z542" s="74"/>
    </row>
    <row r="543" spans="1:26" x14ac:dyDescent="0.3">
      <c r="A543" s="66">
        <f t="shared" si="56"/>
        <v>2043.5999999999513</v>
      </c>
      <c r="B543" s="67">
        <f>LOOKUP(A543+0.01,AmountsB!$A$4:$A$103,AmountsB!$B$4:$B$103)*0.1*$A$2</f>
        <v>0</v>
      </c>
      <c r="C543" s="68">
        <f t="shared" si="55"/>
        <v>83655.233518999943</v>
      </c>
      <c r="D543" s="67">
        <f t="array" ref="D543">SUM($B$7:$B538*$F$1009*EXP(-$F$1009*($A543-$A$7:$A538)))*$F$1010</f>
        <v>4633356.5908592483</v>
      </c>
      <c r="E543" s="67">
        <f t="shared" si="53"/>
        <v>8.8330853074712241</v>
      </c>
      <c r="F543" s="70">
        <f t="shared" si="57"/>
        <v>0.5363449398696527</v>
      </c>
      <c r="G543" s="67">
        <f>E543/'Lookup Tables'!$C$48</f>
        <v>17.666170614942448</v>
      </c>
      <c r="H543" s="70">
        <f t="shared" si="54"/>
        <v>5.5497659169792678E-2</v>
      </c>
      <c r="I543" s="71">
        <f t="shared" si="58"/>
        <v>2.5439285685517125E-2</v>
      </c>
      <c r="L543" s="74"/>
      <c r="M543" s="74"/>
      <c r="N543" s="74"/>
      <c r="O543" s="74"/>
      <c r="P543" s="74"/>
      <c r="Q543" s="74"/>
      <c r="R543" s="74"/>
      <c r="S543" s="74"/>
      <c r="T543" s="74"/>
      <c r="U543" s="74"/>
      <c r="V543" s="74"/>
      <c r="W543" s="74"/>
      <c r="X543" s="74"/>
      <c r="Y543" s="74"/>
      <c r="Z543" s="74"/>
    </row>
    <row r="544" spans="1:26" x14ac:dyDescent="0.3">
      <c r="A544" s="66">
        <f t="shared" si="56"/>
        <v>2043.6999999999512</v>
      </c>
      <c r="B544" s="67">
        <f>LOOKUP(A544+0.01,AmountsB!$A$4:$A$103,AmountsB!$B$4:$B$103)*0.1*$A$2</f>
        <v>0</v>
      </c>
      <c r="C544" s="68">
        <f t="shared" si="55"/>
        <v>83655.233518999943</v>
      </c>
      <c r="D544" s="67">
        <f t="array" ref="D544">SUM($B$7:$B539*$F$1009*EXP(-$F$1009*($A544-$A$7:$A539)))*$F$1010</f>
        <v>4626874.4302032636</v>
      </c>
      <c r="E544" s="67">
        <f t="shared" si="53"/>
        <v>8.8207276404261279</v>
      </c>
      <c r="F544" s="70">
        <f t="shared" si="57"/>
        <v>0.53559458232667445</v>
      </c>
      <c r="G544" s="67">
        <f>E544/'Lookup Tables'!$C$48</f>
        <v>17.641455280852256</v>
      </c>
      <c r="H544" s="70">
        <f t="shared" si="54"/>
        <v>5.5420016809288992E-2</v>
      </c>
      <c r="I544" s="71">
        <f t="shared" si="58"/>
        <v>2.5403695604427248E-2</v>
      </c>
      <c r="L544" s="74"/>
      <c r="M544" s="74"/>
      <c r="N544" s="74"/>
      <c r="O544" s="74"/>
      <c r="P544" s="74"/>
      <c r="Q544" s="74"/>
      <c r="R544" s="74"/>
      <c r="S544" s="74"/>
      <c r="T544" s="74"/>
      <c r="U544" s="74"/>
      <c r="V544" s="74"/>
      <c r="W544" s="74"/>
      <c r="X544" s="74"/>
      <c r="Y544" s="74"/>
      <c r="Z544" s="74"/>
    </row>
    <row r="545" spans="1:26" x14ac:dyDescent="0.3">
      <c r="A545" s="66">
        <f t="shared" si="56"/>
        <v>2043.7999999999511</v>
      </c>
      <c r="B545" s="67">
        <f>LOOKUP(A545+0.01,AmountsB!$A$4:$A$103,AmountsB!$B$4:$B$103)*0.1*$A$2</f>
        <v>0</v>
      </c>
      <c r="C545" s="68">
        <f t="shared" si="55"/>
        <v>83655.233518999943</v>
      </c>
      <c r="D545" s="67">
        <f t="array" ref="D545">SUM($B$7:$B540*$F$1009*EXP(-$F$1009*($A545-$A$7:$A540)))*$F$1010</f>
        <v>4620401.3382226434</v>
      </c>
      <c r="E545" s="67">
        <f t="shared" si="53"/>
        <v>8.8083872620100294</v>
      </c>
      <c r="F545" s="70">
        <f t="shared" si="57"/>
        <v>0.53484527454924902</v>
      </c>
      <c r="G545" s="67">
        <f>E545/'Lookup Tables'!$C$48</f>
        <v>17.616774524020059</v>
      </c>
      <c r="H545" s="70">
        <f t="shared" si="54"/>
        <v>5.5342483072035979E-2</v>
      </c>
      <c r="I545" s="71">
        <f t="shared" si="58"/>
        <v>2.5368155314588883E-2</v>
      </c>
      <c r="L545" s="74"/>
      <c r="M545" s="74"/>
      <c r="N545" s="74"/>
      <c r="O545" s="74"/>
      <c r="P545" s="74"/>
      <c r="Q545" s="74"/>
      <c r="R545" s="74"/>
      <c r="S545" s="74"/>
      <c r="T545" s="74"/>
      <c r="U545" s="74"/>
      <c r="V545" s="74"/>
      <c r="W545" s="74"/>
      <c r="X545" s="74"/>
      <c r="Y545" s="74"/>
      <c r="Z545" s="74"/>
    </row>
    <row r="546" spans="1:26" x14ac:dyDescent="0.3">
      <c r="A546" s="66">
        <f t="shared" si="56"/>
        <v>2043.899999999951</v>
      </c>
      <c r="B546" s="67">
        <f>LOOKUP(A546+0.01,AmountsB!$A$4:$A$103,AmountsB!$B$4:$B$103)*0.1*$A$2</f>
        <v>0</v>
      </c>
      <c r="C546" s="68">
        <f t="shared" si="55"/>
        <v>83655.233518999943</v>
      </c>
      <c r="D546" s="67">
        <f t="array" ref="D546">SUM($B$7:$B541*$F$1009*EXP(-$F$1009*($A546-$A$7:$A541)))*$F$1010</f>
        <v>4613937.3022301244</v>
      </c>
      <c r="E546" s="67">
        <f t="shared" si="53"/>
        <v>8.7960641480357822</v>
      </c>
      <c r="F546" s="70">
        <f t="shared" si="57"/>
        <v>0.53409701506873264</v>
      </c>
      <c r="G546" s="67">
        <f>E546/'Lookup Tables'!$C$48</f>
        <v>17.592128296071564</v>
      </c>
      <c r="H546" s="70">
        <f t="shared" si="54"/>
        <v>5.5265057806067497E-2</v>
      </c>
      <c r="I546" s="71">
        <f t="shared" si="58"/>
        <v>2.5332664746343051E-2</v>
      </c>
      <c r="L546" s="74"/>
      <c r="M546" s="74"/>
      <c r="N546" s="74"/>
      <c r="O546" s="74"/>
      <c r="P546" s="74"/>
      <c r="Q546" s="74"/>
      <c r="R546" s="74"/>
      <c r="S546" s="74"/>
      <c r="T546" s="74"/>
      <c r="U546" s="74"/>
      <c r="V546" s="74"/>
      <c r="W546" s="74"/>
      <c r="X546" s="74"/>
      <c r="Y546" s="74"/>
      <c r="Z546" s="74"/>
    </row>
    <row r="547" spans="1:26" x14ac:dyDescent="0.3">
      <c r="A547" s="66">
        <f t="shared" si="56"/>
        <v>2043.9999999999509</v>
      </c>
      <c r="B547" s="67">
        <f>LOOKUP(A547+0.01,AmountsB!$A$4:$A$103,AmountsB!$B$4:$B$103)*0.1*$A$2</f>
        <v>0</v>
      </c>
      <c r="C547" s="68">
        <f t="shared" si="55"/>
        <v>83655.233518999943</v>
      </c>
      <c r="D547" s="67">
        <f t="array" ref="D547">SUM($B$7:$B542*$F$1009*EXP(-$F$1009*($A547-$A$7:$A542)))*$F$1010</f>
        <v>4607482.3095561946</v>
      </c>
      <c r="E547" s="67">
        <f t="shared" si="53"/>
        <v>8.7837582743500811</v>
      </c>
      <c r="F547" s="70">
        <f t="shared" si="57"/>
        <v>0.53334980241853702</v>
      </c>
      <c r="G547" s="67">
        <f>E547/'Lookup Tables'!$C$48</f>
        <v>17.567516548700162</v>
      </c>
      <c r="H547" s="70">
        <f t="shared" si="54"/>
        <v>5.5187740859630005E-2</v>
      </c>
      <c r="I547" s="71">
        <f t="shared" si="58"/>
        <v>2.5297223830128234E-2</v>
      </c>
      <c r="L547" s="74"/>
      <c r="M547" s="74"/>
      <c r="N547" s="74"/>
      <c r="O547" s="74"/>
      <c r="P547" s="74"/>
      <c r="Q547" s="74"/>
      <c r="R547" s="74"/>
      <c r="S547" s="74"/>
      <c r="T547" s="74"/>
      <c r="U547" s="74"/>
      <c r="V547" s="74"/>
      <c r="W547" s="74"/>
      <c r="X547" s="74"/>
      <c r="Y547" s="74"/>
      <c r="Z547" s="74"/>
    </row>
    <row r="548" spans="1:26" x14ac:dyDescent="0.3">
      <c r="A548" s="66">
        <f t="shared" si="56"/>
        <v>2044.0999999999508</v>
      </c>
      <c r="B548" s="67">
        <f>LOOKUP(A548+0.01,AmountsB!$A$4:$A$103,AmountsB!$B$4:$B$103)*0.1*$A$2</f>
        <v>0</v>
      </c>
      <c r="C548" s="68">
        <f t="shared" si="55"/>
        <v>83655.233518999943</v>
      </c>
      <c r="D548" s="67">
        <f t="array" ref="D548">SUM($B$7:$B543*$F$1009*EXP(-$F$1009*($A548-$A$7:$A543)))*$F$1010</f>
        <v>4601036.3475490669</v>
      </c>
      <c r="E548" s="67">
        <f t="shared" si="53"/>
        <v>8.7714696168334108</v>
      </c>
      <c r="F548" s="70">
        <f t="shared" si="57"/>
        <v>0.53260363513412479</v>
      </c>
      <c r="G548" s="67">
        <f>E548/'Lookup Tables'!$C$48</f>
        <v>17.542939233666822</v>
      </c>
      <c r="H548" s="70">
        <f t="shared" si="54"/>
        <v>5.5110532081182273E-2</v>
      </c>
      <c r="I548" s="71">
        <f t="shared" si="58"/>
        <v>2.5261832496480223E-2</v>
      </c>
      <c r="L548" s="74"/>
      <c r="M548" s="74"/>
      <c r="N548" s="74"/>
      <c r="O548" s="74"/>
      <c r="P548" s="74"/>
      <c r="Q548" s="74"/>
      <c r="R548" s="74"/>
      <c r="S548" s="74"/>
      <c r="T548" s="74"/>
      <c r="U548" s="74"/>
      <c r="V548" s="74"/>
      <c r="W548" s="74"/>
      <c r="X548" s="74"/>
      <c r="Y548" s="74"/>
      <c r="Z548" s="74"/>
    </row>
    <row r="549" spans="1:26" x14ac:dyDescent="0.3">
      <c r="A549" s="66">
        <f t="shared" si="56"/>
        <v>2044.1999999999507</v>
      </c>
      <c r="B549" s="67">
        <f>LOOKUP(A549+0.01,AmountsB!$A$4:$A$103,AmountsB!$B$4:$B$103)*0.1*$A$2</f>
        <v>0</v>
      </c>
      <c r="C549" s="68">
        <f t="shared" si="55"/>
        <v>83655.233518999943</v>
      </c>
      <c r="D549" s="67">
        <f t="array" ref="D549">SUM($B$7:$B544*$F$1009*EXP(-$F$1009*($A549-$A$7:$A544)))*$F$1010</f>
        <v>4594599.403574653</v>
      </c>
      <c r="E549" s="67">
        <f t="shared" si="53"/>
        <v>8.7591981513999979</v>
      </c>
      <c r="F549" s="70">
        <f t="shared" si="57"/>
        <v>0.53185851175300791</v>
      </c>
      <c r="G549" s="67">
        <f>E549/'Lookup Tables'!$C$48</f>
        <v>17.518396302799996</v>
      </c>
      <c r="H549" s="70">
        <f t="shared" si="54"/>
        <v>5.5033431319395053E-2</v>
      </c>
      <c r="I549" s="71">
        <f t="shared" si="58"/>
        <v>2.5226490676031995E-2</v>
      </c>
      <c r="L549" s="74"/>
      <c r="M549" s="74"/>
      <c r="N549" s="74"/>
      <c r="O549" s="74"/>
      <c r="P549" s="74"/>
      <c r="Q549" s="74"/>
      <c r="R549" s="74"/>
      <c r="S549" s="74"/>
      <c r="T549" s="74"/>
      <c r="U549" s="74"/>
      <c r="V549" s="74"/>
      <c r="W549" s="74"/>
      <c r="X549" s="74"/>
      <c r="Y549" s="74"/>
      <c r="Z549" s="74"/>
    </row>
    <row r="550" spans="1:26" x14ac:dyDescent="0.3">
      <c r="A550" s="66">
        <f t="shared" si="56"/>
        <v>2044.2999999999506</v>
      </c>
      <c r="B550" s="67">
        <f>LOOKUP(A550+0.01,AmountsB!$A$4:$A$103,AmountsB!$B$4:$B$103)*0.1*$A$2</f>
        <v>0</v>
      </c>
      <c r="C550" s="68">
        <f t="shared" si="55"/>
        <v>83655.233518999943</v>
      </c>
      <c r="D550" s="67">
        <f t="array" ref="D550">SUM($B$7:$B545*$F$1009*EXP(-$F$1009*($A550-$A$7:$A545)))*$F$1010</f>
        <v>4588171.4650165429</v>
      </c>
      <c r="E550" s="67">
        <f t="shared" si="53"/>
        <v>8.7469438539977666</v>
      </c>
      <c r="F550" s="70">
        <f t="shared" si="57"/>
        <v>0.5311144308147443</v>
      </c>
      <c r="G550" s="67">
        <f>E550/'Lookup Tables'!$C$48</f>
        <v>17.493887707995533</v>
      </c>
      <c r="H550" s="70">
        <f t="shared" si="54"/>
        <v>5.4956438423150858E-2</v>
      </c>
      <c r="I550" s="71">
        <f t="shared" si="58"/>
        <v>2.5191198299513565E-2</v>
      </c>
      <c r="L550" s="74"/>
      <c r="M550" s="74"/>
      <c r="N550" s="74"/>
      <c r="O550" s="74"/>
      <c r="P550" s="74"/>
      <c r="Q550" s="74"/>
      <c r="R550" s="74"/>
      <c r="S550" s="74"/>
      <c r="T550" s="74"/>
      <c r="U550" s="74"/>
      <c r="V550" s="74"/>
      <c r="W550" s="74"/>
      <c r="X550" s="74"/>
      <c r="Y550" s="74"/>
      <c r="Z550" s="74"/>
    </row>
    <row r="551" spans="1:26" x14ac:dyDescent="0.3">
      <c r="A551" s="66">
        <f t="shared" si="56"/>
        <v>2044.3999999999505</v>
      </c>
      <c r="B551" s="67">
        <f>LOOKUP(A551+0.01,AmountsB!$A$4:$A$103,AmountsB!$B$4:$B$103)*0.1*$A$2</f>
        <v>0</v>
      </c>
      <c r="C551" s="68">
        <f t="shared" si="55"/>
        <v>83655.233518999943</v>
      </c>
      <c r="D551" s="67">
        <f t="array" ref="D551">SUM($B$7:$B546*$F$1009*EXP(-$F$1009*($A551-$A$7:$A546)))*$F$1010</f>
        <v>4581752.5192759698</v>
      </c>
      <c r="E551" s="67">
        <f t="shared" si="53"/>
        <v>8.7347067006082852</v>
      </c>
      <c r="F551" s="70">
        <f t="shared" si="57"/>
        <v>0.5303713908609351</v>
      </c>
      <c r="G551" s="67">
        <f>E551/'Lookup Tables'!$C$48</f>
        <v>17.46941340121657</v>
      </c>
      <c r="H551" s="70">
        <f t="shared" si="54"/>
        <v>5.4879553241543533E-2</v>
      </c>
      <c r="I551" s="71">
        <f t="shared" si="58"/>
        <v>2.5155955297751862E-2</v>
      </c>
      <c r="L551" s="74"/>
      <c r="M551" s="74"/>
      <c r="N551" s="74"/>
      <c r="O551" s="74"/>
      <c r="P551" s="74"/>
      <c r="Q551" s="74"/>
      <c r="R551" s="74"/>
      <c r="S551" s="74"/>
      <c r="T551" s="74"/>
      <c r="U551" s="74"/>
      <c r="V551" s="74"/>
      <c r="W551" s="74"/>
      <c r="X551" s="74"/>
      <c r="Y551" s="74"/>
      <c r="Z551" s="74"/>
    </row>
    <row r="552" spans="1:26" x14ac:dyDescent="0.3">
      <c r="A552" s="66">
        <f t="shared" si="56"/>
        <v>2044.4999999999504</v>
      </c>
      <c r="B552" s="67">
        <f>LOOKUP(A552+0.01,AmountsB!$A$4:$A$103,AmountsB!$B$4:$B$103)*0.1*$A$2</f>
        <v>0</v>
      </c>
      <c r="C552" s="68">
        <f t="shared" si="55"/>
        <v>83655.233518999943</v>
      </c>
      <c r="D552" s="67">
        <f t="array" ref="D552">SUM($B$7:$B547*$F$1009*EXP(-$F$1009*($A552-$A$7:$A547)))*$F$1010</f>
        <v>4575342.5537718032</v>
      </c>
      <c r="E552" s="67">
        <f t="shared" si="53"/>
        <v>8.722486667246736</v>
      </c>
      <c r="F552" s="70">
        <f t="shared" si="57"/>
        <v>0.52962939043522184</v>
      </c>
      <c r="G552" s="67">
        <f>E552/'Lookup Tables'!$C$48</f>
        <v>17.444973334493472</v>
      </c>
      <c r="H552" s="70">
        <f t="shared" si="54"/>
        <v>5.4802775623878149E-2</v>
      </c>
      <c r="I552" s="71">
        <f t="shared" si="58"/>
        <v>2.5120761601670601E-2</v>
      </c>
      <c r="L552" s="74"/>
      <c r="M552" s="74"/>
      <c r="N552" s="74"/>
      <c r="O552" s="74"/>
      <c r="P552" s="74"/>
      <c r="Q552" s="74"/>
      <c r="R552" s="74"/>
      <c r="S552" s="74"/>
      <c r="T552" s="74"/>
      <c r="U552" s="74"/>
      <c r="V552" s="74"/>
      <c r="W552" s="74"/>
      <c r="X552" s="74"/>
      <c r="Y552" s="74"/>
      <c r="Z552" s="74"/>
    </row>
    <row r="553" spans="1:26" x14ac:dyDescent="0.3">
      <c r="A553" s="66">
        <f t="shared" si="56"/>
        <v>2044.5999999999503</v>
      </c>
      <c r="B553" s="67">
        <f>LOOKUP(A553+0.01,AmountsB!$A$4:$A$103,AmountsB!$B$4:$B$103)*0.1*$A$2</f>
        <v>0</v>
      </c>
      <c r="C553" s="68">
        <f t="shared" si="55"/>
        <v>83655.233518999943</v>
      </c>
      <c r="D553" s="67">
        <f t="array" ref="D553">SUM($B$7:$B548*$F$1009*EXP(-$F$1009*($A553-$A$7:$A548)))*$F$1010</f>
        <v>4568941.555940506</v>
      </c>
      <c r="E553" s="67">
        <f t="shared" si="53"/>
        <v>8.7102837299618479</v>
      </c>
      <c r="F553" s="70">
        <f t="shared" si="57"/>
        <v>0.5288884280832834</v>
      </c>
      <c r="G553" s="67">
        <f>E553/'Lookup Tables'!$C$48</f>
        <v>17.420567459923696</v>
      </c>
      <c r="H553" s="70">
        <f t="shared" si="54"/>
        <v>5.4726105419670532E-2</v>
      </c>
      <c r="I553" s="71">
        <f t="shared" si="58"/>
        <v>2.5085617142290125E-2</v>
      </c>
      <c r="L553" s="74"/>
      <c r="M553" s="74"/>
      <c r="N553" s="74"/>
      <c r="O553" s="74"/>
      <c r="P553" s="74"/>
      <c r="Q553" s="74"/>
      <c r="R553" s="74"/>
      <c r="S553" s="74"/>
      <c r="T553" s="74"/>
      <c r="U553" s="74"/>
      <c r="V553" s="74"/>
      <c r="W553" s="74"/>
      <c r="X553" s="74"/>
      <c r="Y553" s="74"/>
      <c r="Z553" s="74"/>
    </row>
    <row r="554" spans="1:26" x14ac:dyDescent="0.3">
      <c r="A554" s="66">
        <f t="shared" si="56"/>
        <v>2044.6999999999503</v>
      </c>
      <c r="B554" s="67">
        <f>LOOKUP(A554+0.01,AmountsB!$A$4:$A$103,AmountsB!$B$4:$B$103)*0.1*$A$2</f>
        <v>0</v>
      </c>
      <c r="C554" s="68">
        <f t="shared" si="55"/>
        <v>83655.233518999943</v>
      </c>
      <c r="D554" s="67">
        <f t="array" ref="D554">SUM($B$7:$B549*$F$1009*EXP(-$F$1009*($A554-$A$7:$A549)))*$F$1010</f>
        <v>4562549.5132361222</v>
      </c>
      <c r="E554" s="67">
        <f t="shared" si="53"/>
        <v>8.6980978648358587</v>
      </c>
      <c r="F554" s="70">
        <f t="shared" si="57"/>
        <v>0.52814850235283328</v>
      </c>
      <c r="G554" s="67">
        <f>E554/'Lookup Tables'!$C$48</f>
        <v>17.396195729671717</v>
      </c>
      <c r="H554" s="70">
        <f t="shared" si="54"/>
        <v>5.4649542478647062E-2</v>
      </c>
      <c r="I554" s="71">
        <f t="shared" si="58"/>
        <v>2.5050521850727273E-2</v>
      </c>
      <c r="L554" s="74"/>
      <c r="M554" s="74"/>
      <c r="N554" s="74"/>
      <c r="O554" s="74"/>
      <c r="P554" s="74"/>
      <c r="Q554" s="74"/>
      <c r="R554" s="74"/>
      <c r="S554" s="74"/>
      <c r="T554" s="74"/>
      <c r="U554" s="74"/>
      <c r="V554" s="74"/>
      <c r="W554" s="74"/>
      <c r="X554" s="74"/>
      <c r="Y554" s="74"/>
      <c r="Z554" s="74"/>
    </row>
    <row r="555" spans="1:26" x14ac:dyDescent="0.3">
      <c r="A555" s="66">
        <f t="shared" si="56"/>
        <v>2044.7999999999502</v>
      </c>
      <c r="B555" s="67">
        <f>LOOKUP(A555+0.01,AmountsB!$A$4:$A$103,AmountsB!$B$4:$B$103)*0.1*$A$2</f>
        <v>0</v>
      </c>
      <c r="C555" s="68">
        <f t="shared" si="55"/>
        <v>83655.233518999943</v>
      </c>
      <c r="D555" s="67">
        <f t="array" ref="D555">SUM($B$7:$B550*$F$1009*EXP(-$F$1009*($A555-$A$7:$A550)))*$F$1010</f>
        <v>4556166.4131302461</v>
      </c>
      <c r="E555" s="67">
        <f t="shared" si="53"/>
        <v>8.6859290479844713</v>
      </c>
      <c r="F555" s="70">
        <f t="shared" si="57"/>
        <v>0.52740961179361712</v>
      </c>
      <c r="G555" s="67">
        <f>E555/'Lookup Tables'!$C$48</f>
        <v>17.371858095968943</v>
      </c>
      <c r="H555" s="70">
        <f t="shared" si="54"/>
        <v>5.4573086650744361E-2</v>
      </c>
      <c r="I555" s="71">
        <f t="shared" si="58"/>
        <v>2.5015475658195275E-2</v>
      </c>
      <c r="L555" s="74"/>
      <c r="M555" s="74"/>
      <c r="N555" s="74"/>
      <c r="O555" s="74"/>
      <c r="P555" s="74"/>
      <c r="Q555" s="74"/>
      <c r="R555" s="74"/>
      <c r="S555" s="74"/>
      <c r="T555" s="74"/>
      <c r="U555" s="74"/>
      <c r="V555" s="74"/>
      <c r="W555" s="74"/>
      <c r="X555" s="74"/>
      <c r="Y555" s="74"/>
      <c r="Z555" s="74"/>
    </row>
    <row r="556" spans="1:26" x14ac:dyDescent="0.3">
      <c r="A556" s="66">
        <f t="shared" si="56"/>
        <v>2044.8999999999501</v>
      </c>
      <c r="B556" s="67">
        <f>LOOKUP(A556+0.01,AmountsB!$A$4:$A$103,AmountsB!$B$4:$B$103)*0.1*$A$2</f>
        <v>0</v>
      </c>
      <c r="C556" s="68">
        <f t="shared" si="55"/>
        <v>83655.233518999943</v>
      </c>
      <c r="D556" s="67">
        <f t="array" ref="D556">SUM($B$7:$B551*$F$1009*EXP(-$F$1009*($A556-$A$7:$A551)))*$F$1010</f>
        <v>4549792.243111995</v>
      </c>
      <c r="E556" s="67">
        <f t="shared" si="53"/>
        <v>8.6737772555567929</v>
      </c>
      <c r="F556" s="70">
        <f t="shared" si="57"/>
        <v>0.52667175495740848</v>
      </c>
      <c r="G556" s="67">
        <f>E556/'Lookup Tables'!$C$48</f>
        <v>17.347554511113586</v>
      </c>
      <c r="H556" s="70">
        <f t="shared" si="54"/>
        <v>5.4496737786108924E-2</v>
      </c>
      <c r="I556" s="71">
        <f t="shared" si="58"/>
        <v>2.4980478496003565E-2</v>
      </c>
      <c r="L556" s="74"/>
      <c r="M556" s="74"/>
      <c r="N556" s="74"/>
      <c r="O556" s="74"/>
      <c r="P556" s="74"/>
      <c r="Q556" s="74"/>
      <c r="R556" s="74"/>
      <c r="S556" s="74"/>
      <c r="T556" s="74"/>
      <c r="U556" s="74"/>
      <c r="V556" s="74"/>
      <c r="W556" s="74"/>
      <c r="X556" s="74"/>
      <c r="Y556" s="74"/>
      <c r="Z556" s="74"/>
    </row>
    <row r="557" spans="1:26" x14ac:dyDescent="0.3">
      <c r="A557" s="66">
        <f t="shared" si="56"/>
        <v>2044.99999999995</v>
      </c>
      <c r="B557" s="67">
        <f>LOOKUP(A557+0.01,AmountsB!$A$4:$A$103,AmountsB!$B$4:$B$103)*0.1*$A$2</f>
        <v>0</v>
      </c>
      <c r="C557" s="68">
        <f t="shared" si="55"/>
        <v>83655.233518999943</v>
      </c>
      <c r="D557" s="67">
        <f t="array" ref="D557">SUM($B$7:$B552*$F$1009*EXP(-$F$1009*($A557-$A$7:$A552)))*$F$1010</f>
        <v>4543426.9906879989</v>
      </c>
      <c r="E557" s="67">
        <f t="shared" si="53"/>
        <v>8.6616424637353155</v>
      </c>
      <c r="F557" s="70">
        <f t="shared" si="57"/>
        <v>0.52593493039800832</v>
      </c>
      <c r="G557" s="67">
        <f>E557/'Lookup Tables'!$C$48</f>
        <v>17.323284927470631</v>
      </c>
      <c r="H557" s="70">
        <f t="shared" si="54"/>
        <v>5.4420495735097017E-2</v>
      </c>
      <c r="I557" s="71">
        <f t="shared" si="58"/>
        <v>2.4945530295557707E-2</v>
      </c>
      <c r="L557" s="74"/>
      <c r="M557" s="74"/>
      <c r="N557" s="74"/>
      <c r="O557" s="74"/>
      <c r="P557" s="74"/>
      <c r="Q557" s="74"/>
      <c r="R557" s="74"/>
      <c r="S557" s="74"/>
      <c r="T557" s="74"/>
      <c r="U557" s="74"/>
      <c r="V557" s="74"/>
      <c r="W557" s="74"/>
      <c r="X557" s="74"/>
      <c r="Y557" s="74"/>
      <c r="Z557" s="74"/>
    </row>
    <row r="558" spans="1:26" x14ac:dyDescent="0.3">
      <c r="A558" s="66">
        <f t="shared" si="56"/>
        <v>2045.0999999999499</v>
      </c>
      <c r="B558" s="67">
        <f>LOOKUP(A558+0.01,AmountsB!$A$4:$A$103,AmountsB!$B$4:$B$103)*0.1*$A$2</f>
        <v>0</v>
      </c>
      <c r="C558" s="68">
        <f t="shared" si="55"/>
        <v>83655.233518999943</v>
      </c>
      <c r="D558" s="67">
        <f t="array" ref="D558">SUM($B$7:$B553*$F$1009*EXP(-$F$1009*($A558-$A$7:$A553)))*$F$1010</f>
        <v>4537070.6433823593</v>
      </c>
      <c r="E558" s="67">
        <f t="shared" si="53"/>
        <v>8.6495246487358415</v>
      </c>
      <c r="F558" s="70">
        <f t="shared" si="57"/>
        <v>0.52519913667124019</v>
      </c>
      <c r="G558" s="67">
        <f>E558/'Lookup Tables'!$C$48</f>
        <v>17.299049297471683</v>
      </c>
      <c r="H558" s="70">
        <f t="shared" si="54"/>
        <v>5.4344360348274182E-2</v>
      </c>
      <c r="I558" s="71">
        <f t="shared" si="58"/>
        <v>2.491063098835922E-2</v>
      </c>
      <c r="L558" s="74"/>
      <c r="M558" s="74"/>
      <c r="N558" s="74"/>
      <c r="O558" s="74"/>
      <c r="P558" s="74"/>
      <c r="Q558" s="74"/>
      <c r="R558" s="74"/>
      <c r="S558" s="74"/>
      <c r="T558" s="74"/>
      <c r="U558" s="74"/>
      <c r="V558" s="74"/>
      <c r="W558" s="74"/>
      <c r="X558" s="74"/>
      <c r="Y558" s="74"/>
      <c r="Z558" s="74"/>
    </row>
    <row r="559" spans="1:26" x14ac:dyDescent="0.3">
      <c r="A559" s="66">
        <f t="shared" si="56"/>
        <v>2045.1999999999498</v>
      </c>
      <c r="B559" s="67">
        <f>LOOKUP(A559+0.01,AmountsB!$A$4:$A$103,AmountsB!$B$4:$B$103)*0.1*$A$2</f>
        <v>0</v>
      </c>
      <c r="C559" s="68">
        <f t="shared" si="55"/>
        <v>83655.233518999943</v>
      </c>
      <c r="D559" s="67">
        <f t="array" ref="D559">SUM($B$7:$B554*$F$1009*EXP(-$F$1009*($A559-$A$7:$A554)))*$F$1010</f>
        <v>4530723.1887366334</v>
      </c>
      <c r="E559" s="67">
        <f t="shared" si="53"/>
        <v>8.6374237868074477</v>
      </c>
      <c r="F559" s="70">
        <f t="shared" si="57"/>
        <v>0.52446437233494814</v>
      </c>
      <c r="G559" s="67">
        <f>E559/'Lookup Tables'!$C$48</f>
        <v>17.274847573614895</v>
      </c>
      <c r="H559" s="70">
        <f t="shared" si="54"/>
        <v>5.4268331476415015E-2</v>
      </c>
      <c r="I559" s="71">
        <f t="shared" si="58"/>
        <v>2.4875780506005446E-2</v>
      </c>
      <c r="L559" s="74"/>
      <c r="M559" s="74"/>
      <c r="N559" s="74"/>
      <c r="O559" s="74"/>
      <c r="P559" s="74"/>
      <c r="Q559" s="74"/>
      <c r="R559" s="74"/>
      <c r="S559" s="74"/>
      <c r="T559" s="74"/>
      <c r="U559" s="74"/>
      <c r="V559" s="74"/>
      <c r="W559" s="74"/>
      <c r="X559" s="74"/>
      <c r="Y559" s="74"/>
      <c r="Z559" s="74"/>
    </row>
    <row r="560" spans="1:26" x14ac:dyDescent="0.3">
      <c r="A560" s="66">
        <f t="shared" si="56"/>
        <v>2045.2999999999497</v>
      </c>
      <c r="B560" s="67">
        <f>LOOKUP(A560+0.01,AmountsB!$A$4:$A$103,AmountsB!$B$4:$B$103)*0.1*$A$2</f>
        <v>0</v>
      </c>
      <c r="C560" s="68">
        <f t="shared" si="55"/>
        <v>83655.233518999943</v>
      </c>
      <c r="D560" s="67">
        <f t="array" ref="D560">SUM($B$7:$B555*$F$1009*EXP(-$F$1009*($A560-$A$7:$A555)))*$F$1010</f>
        <v>4524384.6143098054</v>
      </c>
      <c r="E560" s="67">
        <f t="shared" si="53"/>
        <v>8.6253398542324362</v>
      </c>
      <c r="F560" s="70">
        <f t="shared" si="57"/>
        <v>0.52373063594899349</v>
      </c>
      <c r="G560" s="67">
        <f>E560/'Lookup Tables'!$C$48</f>
        <v>17.250679708464872</v>
      </c>
      <c r="H560" s="70">
        <f t="shared" si="54"/>
        <v>5.4192408970502912E-2</v>
      </c>
      <c r="I560" s="71">
        <f t="shared" si="58"/>
        <v>2.4840978780189416E-2</v>
      </c>
      <c r="L560" s="74"/>
      <c r="M560" s="74"/>
      <c r="N560" s="74"/>
      <c r="O560" s="74"/>
      <c r="P560" s="74"/>
      <c r="Q560" s="74"/>
      <c r="R560" s="74"/>
      <c r="S560" s="74"/>
      <c r="T560" s="74"/>
      <c r="U560" s="74"/>
      <c r="V560" s="74"/>
      <c r="W560" s="74"/>
      <c r="X560" s="74"/>
      <c r="Y560" s="74"/>
      <c r="Z560" s="74"/>
    </row>
    <row r="561" spans="1:26" x14ac:dyDescent="0.3">
      <c r="A561" s="66">
        <f t="shared" si="56"/>
        <v>2045.3999999999496</v>
      </c>
      <c r="B561" s="67">
        <f>LOOKUP(A561+0.01,AmountsB!$A$4:$A$103,AmountsB!$B$4:$B$103)*0.1*$A$2</f>
        <v>0</v>
      </c>
      <c r="C561" s="68">
        <f t="shared" si="55"/>
        <v>83655.233518999943</v>
      </c>
      <c r="D561" s="67">
        <f t="array" ref="D561">SUM($B$7:$B556*$F$1009*EXP(-$F$1009*($A561-$A$7:$A556)))*$F$1010</f>
        <v>4518054.9076782726</v>
      </c>
      <c r="E561" s="67">
        <f t="shared" si="53"/>
        <v>8.6132728273263055</v>
      </c>
      <c r="F561" s="70">
        <f t="shared" si="57"/>
        <v>0.52299792607525319</v>
      </c>
      <c r="G561" s="67">
        <f>E561/'Lookup Tables'!$C$48</f>
        <v>17.226545654652611</v>
      </c>
      <c r="H561" s="70">
        <f t="shared" si="54"/>
        <v>5.4116592681729761E-2</v>
      </c>
      <c r="I561" s="71">
        <f t="shared" si="58"/>
        <v>2.4806225742699761E-2</v>
      </c>
      <c r="L561" s="74"/>
      <c r="M561" s="74"/>
      <c r="N561" s="74"/>
      <c r="O561" s="74"/>
      <c r="P561" s="74"/>
      <c r="Q561" s="74"/>
      <c r="R561" s="74"/>
      <c r="S561" s="74"/>
      <c r="T561" s="74"/>
      <c r="U561" s="74"/>
      <c r="V561" s="74"/>
      <c r="W561" s="74"/>
      <c r="X561" s="74"/>
      <c r="Y561" s="74"/>
      <c r="Z561" s="74"/>
    </row>
    <row r="562" spans="1:26" x14ac:dyDescent="0.3">
      <c r="A562" s="66">
        <f t="shared" si="56"/>
        <v>2045.4999999999495</v>
      </c>
      <c r="B562" s="67">
        <f>LOOKUP(A562+0.01,AmountsB!$A$4:$A$103,AmountsB!$B$4:$B$103)*0.1*$A$2</f>
        <v>0</v>
      </c>
      <c r="C562" s="68">
        <f t="shared" si="55"/>
        <v>83655.233518999943</v>
      </c>
      <c r="D562" s="67">
        <f t="array" ref="D562">SUM($B$7:$B557*$F$1009*EXP(-$F$1009*($A562-$A$7:$A557)))*$F$1010</f>
        <v>4511734.0564358048</v>
      </c>
      <c r="E562" s="67">
        <f t="shared" si="53"/>
        <v>8.6012226824376743</v>
      </c>
      <c r="F562" s="70">
        <f t="shared" si="57"/>
        <v>0.52226624127761556</v>
      </c>
      <c r="G562" s="67">
        <f>E562/'Lookup Tables'!$C$48</f>
        <v>17.202445364875349</v>
      </c>
      <c r="H562" s="70">
        <f t="shared" si="54"/>
        <v>5.4040882461495583E-2</v>
      </c>
      <c r="I562" s="71">
        <f t="shared" si="58"/>
        <v>2.4771521325420501E-2</v>
      </c>
      <c r="L562" s="74"/>
      <c r="M562" s="74"/>
      <c r="N562" s="74"/>
      <c r="O562" s="74"/>
      <c r="P562" s="74"/>
      <c r="Q562" s="74"/>
      <c r="R562" s="74"/>
      <c r="S562" s="74"/>
      <c r="T562" s="74"/>
      <c r="U562" s="74"/>
      <c r="V562" s="74"/>
      <c r="W562" s="74"/>
      <c r="X562" s="74"/>
      <c r="Y562" s="74"/>
      <c r="Z562" s="74"/>
    </row>
    <row r="563" spans="1:26" x14ac:dyDescent="0.3">
      <c r="A563" s="66">
        <f t="shared" si="56"/>
        <v>2045.5999999999494</v>
      </c>
      <c r="B563" s="67">
        <f>LOOKUP(A563+0.01,AmountsB!$A$4:$A$103,AmountsB!$B$4:$B$103)*0.1*$A$2</f>
        <v>0</v>
      </c>
      <c r="C563" s="68">
        <f t="shared" si="55"/>
        <v>83655.233518999943</v>
      </c>
      <c r="D563" s="67">
        <f t="array" ref="D563">SUM($B$7:$B558*$F$1009*EXP(-$F$1009*($A563-$A$7:$A558)))*$F$1010</f>
        <v>4505422.0481935311</v>
      </c>
      <c r="E563" s="67">
        <f t="shared" si="53"/>
        <v>8.5891893959482495</v>
      </c>
      <c r="F563" s="70">
        <f t="shared" si="57"/>
        <v>0.52153558012197776</v>
      </c>
      <c r="G563" s="67">
        <f>E563/'Lookup Tables'!$C$48</f>
        <v>17.178378791896499</v>
      </c>
      <c r="H563" s="70">
        <f t="shared" si="54"/>
        <v>5.3965278161408316E-2</v>
      </c>
      <c r="I563" s="71">
        <f t="shared" si="58"/>
        <v>2.4736865460330961E-2</v>
      </c>
      <c r="L563" s="74"/>
      <c r="M563" s="74"/>
      <c r="N563" s="74"/>
      <c r="O563" s="74"/>
      <c r="P563" s="74"/>
      <c r="Q563" s="74"/>
      <c r="R563" s="74"/>
      <c r="S563" s="74"/>
      <c r="T563" s="74"/>
      <c r="U563" s="74"/>
      <c r="V563" s="74"/>
      <c r="W563" s="74"/>
      <c r="X563" s="74"/>
      <c r="Y563" s="74"/>
      <c r="Z563" s="74"/>
    </row>
    <row r="564" spans="1:26" x14ac:dyDescent="0.3">
      <c r="A564" s="66">
        <f t="shared" si="56"/>
        <v>2045.6999999999493</v>
      </c>
      <c r="B564" s="67">
        <f>LOOKUP(A564+0.01,AmountsB!$A$4:$A$103,AmountsB!$B$4:$B$103)*0.1*$A$2</f>
        <v>0</v>
      </c>
      <c r="C564" s="68">
        <f t="shared" si="55"/>
        <v>83655.233518999943</v>
      </c>
      <c r="D564" s="67">
        <f t="array" ref="D564">SUM($B$7:$B559*$F$1009*EXP(-$F$1009*($A564-$A$7:$A559)))*$F$1010</f>
        <v>4499118.8705799142</v>
      </c>
      <c r="E564" s="67">
        <f t="shared" si="53"/>
        <v>8.5771729442727942</v>
      </c>
      <c r="F564" s="70">
        <f t="shared" si="57"/>
        <v>0.52080594117624401</v>
      </c>
      <c r="G564" s="67">
        <f>E564/'Lookup Tables'!$C$48</f>
        <v>17.154345888545588</v>
      </c>
      <c r="H564" s="70">
        <f t="shared" si="54"/>
        <v>5.3889779633283522E-2</v>
      </c>
      <c r="I564" s="71">
        <f t="shared" si="58"/>
        <v>2.4702258079505646E-2</v>
      </c>
      <c r="L564" s="74"/>
      <c r="M564" s="74"/>
      <c r="N564" s="74"/>
      <c r="O564" s="74"/>
      <c r="P564" s="74"/>
      <c r="Q564" s="74"/>
      <c r="R564" s="74"/>
      <c r="S564" s="74"/>
      <c r="T564" s="74"/>
      <c r="U564" s="74"/>
      <c r="V564" s="74"/>
      <c r="W564" s="74"/>
      <c r="X564" s="74"/>
      <c r="Y564" s="74"/>
      <c r="Z564" s="74"/>
    </row>
    <row r="565" spans="1:26" x14ac:dyDescent="0.3">
      <c r="A565" s="66">
        <f t="shared" si="56"/>
        <v>2045.7999999999493</v>
      </c>
      <c r="B565" s="67">
        <f>LOOKUP(A565+0.01,AmountsB!$A$4:$A$103,AmountsB!$B$4:$B$103)*0.1*$A$2</f>
        <v>0</v>
      </c>
      <c r="C565" s="68">
        <f t="shared" si="55"/>
        <v>83655.233518999943</v>
      </c>
      <c r="D565" s="67">
        <f t="array" ref="D565">SUM($B$7:$B560*$F$1009*EXP(-$F$1009*($A565-$A$7:$A560)))*$F$1010</f>
        <v>4492824.5112407245</v>
      </c>
      <c r="E565" s="67">
        <f t="shared" si="53"/>
        <v>8.5651733038590532</v>
      </c>
      <c r="F565" s="70">
        <f t="shared" si="57"/>
        <v>0.52007732301032172</v>
      </c>
      <c r="G565" s="67">
        <f>E565/'Lookup Tables'!$C$48</f>
        <v>17.130346607718106</v>
      </c>
      <c r="H565" s="70">
        <f t="shared" si="54"/>
        <v>5.381438672914407E-2</v>
      </c>
      <c r="I565" s="71">
        <f t="shared" si="58"/>
        <v>2.4667699115114076E-2</v>
      </c>
      <c r="L565" s="74"/>
      <c r="M565" s="74"/>
      <c r="N565" s="74"/>
      <c r="O565" s="74"/>
      <c r="P565" s="74"/>
      <c r="Q565" s="74"/>
      <c r="R565" s="74"/>
      <c r="S565" s="74"/>
      <c r="T565" s="74"/>
      <c r="U565" s="74"/>
      <c r="V565" s="74"/>
      <c r="W565" s="74"/>
      <c r="X565" s="74"/>
      <c r="Y565" s="74"/>
      <c r="Z565" s="74"/>
    </row>
    <row r="566" spans="1:26" x14ac:dyDescent="0.3">
      <c r="A566" s="66">
        <f t="shared" si="56"/>
        <v>2045.8999999999492</v>
      </c>
      <c r="B566" s="67">
        <f>LOOKUP(A566+0.01,AmountsB!$A$4:$A$103,AmountsB!$B$4:$B$103)*0.1*$A$2</f>
        <v>0</v>
      </c>
      <c r="C566" s="68">
        <f t="shared" si="55"/>
        <v>83655.233518999943</v>
      </c>
      <c r="D566" s="67">
        <f t="array" ref="D566">SUM($B$7:$B561*$F$1009*EXP(-$F$1009*($A566-$A$7:$A561)))*$F$1010</f>
        <v>4486538.9578390149</v>
      </c>
      <c r="E566" s="67">
        <f t="shared" si="53"/>
        <v>8.5531904511877315</v>
      </c>
      <c r="F566" s="70">
        <f t="shared" si="57"/>
        <v>0.51934972419611902</v>
      </c>
      <c r="G566" s="67">
        <f>E566/'Lookup Tables'!$C$48</f>
        <v>17.106380902375463</v>
      </c>
      <c r="H566" s="70">
        <f t="shared" si="54"/>
        <v>5.3739099301219825E-2</v>
      </c>
      <c r="I566" s="71">
        <f t="shared" si="58"/>
        <v>2.4633188499420668E-2</v>
      </c>
      <c r="L566" s="74"/>
      <c r="M566" s="74"/>
      <c r="N566" s="74"/>
      <c r="O566" s="74"/>
      <c r="P566" s="74"/>
      <c r="Q566" s="74"/>
      <c r="R566" s="74"/>
      <c r="S566" s="74"/>
      <c r="T566" s="74"/>
      <c r="U566" s="74"/>
      <c r="V566" s="74"/>
      <c r="W566" s="74"/>
      <c r="X566" s="74"/>
      <c r="Y566" s="74"/>
      <c r="Z566" s="74"/>
    </row>
    <row r="567" spans="1:26" x14ac:dyDescent="0.3">
      <c r="A567" s="66">
        <f t="shared" si="56"/>
        <v>2045.9999999999491</v>
      </c>
      <c r="B567" s="67">
        <f>LOOKUP(A567+0.01,AmountsB!$A$4:$A$103,AmountsB!$B$4:$B$103)*0.1*$A$2</f>
        <v>0</v>
      </c>
      <c r="C567" s="68">
        <f t="shared" si="55"/>
        <v>83655.233518999943</v>
      </c>
      <c r="D567" s="67">
        <f t="array" ref="D567">SUM($B$7:$B562*$F$1009*EXP(-$F$1009*($A567-$A$7:$A562)))*$F$1010</f>
        <v>4480262.1980550997</v>
      </c>
      <c r="E567" s="67">
        <f t="shared" si="53"/>
        <v>8.541224362772434</v>
      </c>
      <c r="F567" s="70">
        <f t="shared" si="57"/>
        <v>0.51862314330754222</v>
      </c>
      <c r="G567" s="67">
        <f>E567/'Lookup Tables'!$C$48</f>
        <v>17.082448725544868</v>
      </c>
      <c r="H567" s="70">
        <f t="shared" si="54"/>
        <v>5.3663917201947436E-2</v>
      </c>
      <c r="I567" s="71">
        <f t="shared" si="58"/>
        <v>2.4598726164784611E-2</v>
      </c>
      <c r="L567" s="74"/>
      <c r="M567" s="74"/>
      <c r="N567" s="74"/>
      <c r="O567" s="74"/>
      <c r="P567" s="74"/>
      <c r="Q567" s="74"/>
      <c r="R567" s="74"/>
      <c r="S567" s="74"/>
      <c r="T567" s="74"/>
      <c r="U567" s="74"/>
      <c r="V567" s="74"/>
      <c r="W567" s="74"/>
      <c r="X567" s="74"/>
      <c r="Y567" s="74"/>
      <c r="Z567" s="74"/>
    </row>
    <row r="568" spans="1:26" x14ac:dyDescent="0.3">
      <c r="A568" s="66">
        <f t="shared" si="56"/>
        <v>2046.099999999949</v>
      </c>
      <c r="B568" s="67">
        <f>LOOKUP(A568+0.01,AmountsB!$A$4:$A$103,AmountsB!$B$4:$B$103)*0.1*$A$2</f>
        <v>0</v>
      </c>
      <c r="C568" s="68">
        <f t="shared" si="55"/>
        <v>83655.233518999943</v>
      </c>
      <c r="D568" s="67">
        <f t="array" ref="D568">SUM($B$7:$B563*$F$1009*EXP(-$F$1009*($A568-$A$7:$A563)))*$F$1010</f>
        <v>4473994.219586526</v>
      </c>
      <c r="E568" s="67">
        <f t="shared" si="53"/>
        <v>8.5292750151596195</v>
      </c>
      <c r="F568" s="70">
        <f t="shared" si="57"/>
        <v>0.51789757892049215</v>
      </c>
      <c r="G568" s="67">
        <f>E568/'Lookup Tables'!$C$48</f>
        <v>17.058550030319239</v>
      </c>
      <c r="H568" s="70">
        <f t="shared" si="54"/>
        <v>5.358884028396993E-2</v>
      </c>
      <c r="I568" s="71">
        <f t="shared" si="58"/>
        <v>2.4564312043659706E-2</v>
      </c>
      <c r="L568" s="74"/>
      <c r="M568" s="74"/>
      <c r="N568" s="74"/>
      <c r="O568" s="74"/>
      <c r="P568" s="74"/>
      <c r="Q568" s="74"/>
      <c r="R568" s="74"/>
      <c r="S568" s="74"/>
      <c r="T568" s="74"/>
      <c r="U568" s="74"/>
      <c r="V568" s="74"/>
      <c r="W568" s="74"/>
      <c r="X568" s="74"/>
      <c r="Y568" s="74"/>
      <c r="Z568" s="74"/>
    </row>
    <row r="569" spans="1:26" x14ac:dyDescent="0.3">
      <c r="A569" s="66">
        <f t="shared" si="56"/>
        <v>2046.1999999999489</v>
      </c>
      <c r="B569" s="67">
        <f>LOOKUP(A569+0.01,AmountsB!$A$4:$A$103,AmountsB!$B$4:$B$103)*0.1*$A$2</f>
        <v>0</v>
      </c>
      <c r="C569" s="68">
        <f t="shared" si="55"/>
        <v>83655.233518999943</v>
      </c>
      <c r="D569" s="67">
        <f t="array" ref="D569">SUM($B$7:$B564*$F$1009*EXP(-$F$1009*($A569-$A$7:$A564)))*$F$1010</f>
        <v>4467735.0101480559</v>
      </c>
      <c r="E569" s="67">
        <f t="shared" si="53"/>
        <v>8.5173423849285665</v>
      </c>
      <c r="F569" s="70">
        <f t="shared" si="57"/>
        <v>0.5171730296128626</v>
      </c>
      <c r="G569" s="67">
        <f>E569/'Lookup Tables'!$C$48</f>
        <v>17.034684769857133</v>
      </c>
      <c r="H569" s="70">
        <f t="shared" si="54"/>
        <v>5.3513868400136541E-2</v>
      </c>
      <c r="I569" s="71">
        <f t="shared" si="58"/>
        <v>2.4529946068594273E-2</v>
      </c>
      <c r="L569" s="74"/>
      <c r="M569" s="74"/>
      <c r="N569" s="74"/>
      <c r="O569" s="74"/>
      <c r="P569" s="74"/>
      <c r="Q569" s="74"/>
      <c r="R569" s="74"/>
      <c r="S569" s="74"/>
      <c r="T569" s="74"/>
      <c r="U569" s="74"/>
      <c r="V569" s="74"/>
      <c r="W569" s="74"/>
      <c r="X569" s="74"/>
      <c r="Y569" s="74"/>
      <c r="Z569" s="74"/>
    </row>
    <row r="570" spans="1:26" x14ac:dyDescent="0.3">
      <c r="A570" s="66">
        <f t="shared" si="56"/>
        <v>2046.2999999999488</v>
      </c>
      <c r="B570" s="67">
        <f>LOOKUP(A570+0.01,AmountsB!$A$4:$A$103,AmountsB!$B$4:$B$103)*0.1*$A$2</f>
        <v>0</v>
      </c>
      <c r="C570" s="68">
        <f t="shared" si="55"/>
        <v>83655.233518999943</v>
      </c>
      <c r="D570" s="67">
        <f t="array" ref="D570">SUM($B$7:$B565*$F$1009*EXP(-$F$1009*($A570-$A$7:$A565)))*$F$1010</f>
        <v>4461484.5574716339</v>
      </c>
      <c r="E570" s="67">
        <f t="shared" si="53"/>
        <v>8.5054264486913098</v>
      </c>
      <c r="F570" s="70">
        <f t="shared" si="57"/>
        <v>0.51644949396453632</v>
      </c>
      <c r="G570" s="67">
        <f>E570/'Lookup Tables'!$C$48</f>
        <v>17.01085289738262</v>
      </c>
      <c r="H570" s="70">
        <f t="shared" si="54"/>
        <v>5.3439001403502315E-2</v>
      </c>
      <c r="I570" s="71">
        <f t="shared" si="58"/>
        <v>2.4495628172230971E-2</v>
      </c>
      <c r="L570" s="74"/>
      <c r="M570" s="74"/>
      <c r="N570" s="74"/>
      <c r="O570" s="74"/>
      <c r="P570" s="74"/>
      <c r="Q570" s="74"/>
      <c r="R570" s="74"/>
      <c r="S570" s="74"/>
      <c r="T570" s="74"/>
      <c r="U570" s="74"/>
      <c r="V570" s="74"/>
      <c r="W570" s="74"/>
      <c r="X570" s="74"/>
      <c r="Y570" s="74"/>
      <c r="Z570" s="74"/>
    </row>
    <row r="571" spans="1:26" x14ac:dyDescent="0.3">
      <c r="A571" s="66">
        <f t="shared" si="56"/>
        <v>2046.3999999999487</v>
      </c>
      <c r="B571" s="67">
        <f>LOOKUP(A571+0.01,AmountsB!$A$4:$A$103,AmountsB!$B$4:$B$103)*0.1*$A$2</f>
        <v>0</v>
      </c>
      <c r="C571" s="68">
        <f t="shared" si="55"/>
        <v>83655.233518999943</v>
      </c>
      <c r="D571" s="67">
        <f t="array" ref="D571">SUM($B$7:$B566*$F$1009*EXP(-$F$1009*($A571-$A$7:$A566)))*$F$1010</f>
        <v>4455242.8493063729</v>
      </c>
      <c r="E571" s="67">
        <f t="shared" si="53"/>
        <v>8.4935271830926151</v>
      </c>
      <c r="F571" s="70">
        <f t="shared" si="57"/>
        <v>0.51572697055738359</v>
      </c>
      <c r="G571" s="67">
        <f>E571/'Lookup Tables'!$C$48</f>
        <v>16.98705436618523</v>
      </c>
      <c r="H571" s="70">
        <f t="shared" si="54"/>
        <v>5.3364239147327949E-2</v>
      </c>
      <c r="I571" s="71">
        <f t="shared" si="58"/>
        <v>2.4461358287306733E-2</v>
      </c>
      <c r="L571" s="74"/>
      <c r="M571" s="74"/>
      <c r="N571" s="74"/>
      <c r="O571" s="74"/>
      <c r="P571" s="74"/>
      <c r="Q571" s="74"/>
      <c r="R571" s="74"/>
      <c r="S571" s="74"/>
      <c r="T571" s="74"/>
      <c r="U571" s="74"/>
      <c r="V571" s="74"/>
      <c r="W571" s="74"/>
      <c r="X571" s="74"/>
      <c r="Y571" s="74"/>
      <c r="Z571" s="74"/>
    </row>
    <row r="572" spans="1:26" x14ac:dyDescent="0.3">
      <c r="A572" s="66">
        <f t="shared" si="56"/>
        <v>2046.4999999999486</v>
      </c>
      <c r="B572" s="67">
        <f>LOOKUP(A572+0.01,AmountsB!$A$4:$A$103,AmountsB!$B$4:$B$103)*0.1*$A$2</f>
        <v>0</v>
      </c>
      <c r="C572" s="68">
        <f t="shared" si="55"/>
        <v>83655.233518999943</v>
      </c>
      <c r="D572" s="67">
        <f t="array" ref="D572">SUM($B$7:$B567*$F$1009*EXP(-$F$1009*($A572-$A$7:$A567)))*$F$1010</f>
        <v>4449009.8734185239</v>
      </c>
      <c r="E572" s="67">
        <f t="shared" si="53"/>
        <v>8.4816445648099243</v>
      </c>
      <c r="F572" s="70">
        <f t="shared" si="57"/>
        <v>0.51500545797525854</v>
      </c>
      <c r="G572" s="67">
        <f>E572/'Lookup Tables'!$C$48</f>
        <v>16.963289129619849</v>
      </c>
      <c r="H572" s="70">
        <f t="shared" si="54"/>
        <v>5.3289581485079424E-2</v>
      </c>
      <c r="I572" s="71">
        <f t="shared" si="58"/>
        <v>2.442713634665258E-2</v>
      </c>
      <c r="L572" s="74"/>
      <c r="M572" s="74"/>
      <c r="N572" s="74"/>
      <c r="O572" s="74"/>
      <c r="P572" s="74"/>
      <c r="Q572" s="74"/>
      <c r="R572" s="74"/>
      <c r="S572" s="74"/>
      <c r="T572" s="74"/>
      <c r="U572" s="74"/>
      <c r="V572" s="74"/>
      <c r="W572" s="74"/>
      <c r="X572" s="74"/>
      <c r="Y572" s="74"/>
      <c r="Z572" s="74"/>
    </row>
    <row r="573" spans="1:26" x14ac:dyDescent="0.3">
      <c r="A573" s="66">
        <f t="shared" si="56"/>
        <v>2046.5999999999485</v>
      </c>
      <c r="B573" s="67">
        <f>LOOKUP(A573+0.01,AmountsB!$A$4:$A$103,AmountsB!$B$4:$B$103)*0.1*$A$2</f>
        <v>0</v>
      </c>
      <c r="C573" s="68">
        <f t="shared" si="55"/>
        <v>83655.233518999943</v>
      </c>
      <c r="D573" s="67">
        <f t="array" ref="D573">SUM($B$7:$B568*$F$1009*EXP(-$F$1009*($A573-$A$7:$A568)))*$F$1010</f>
        <v>4442785.6175914519</v>
      </c>
      <c r="E573" s="67">
        <f t="shared" si="53"/>
        <v>8.4697785705532933</v>
      </c>
      <c r="F573" s="70">
        <f t="shared" si="57"/>
        <v>0.51428495480399594</v>
      </c>
      <c r="G573" s="67">
        <f>E573/'Lookup Tables'!$C$48</f>
        <v>16.939557141106587</v>
      </c>
      <c r="H573" s="70">
        <f t="shared" si="54"/>
        <v>5.3215028270427678E-2</v>
      </c>
      <c r="I573" s="71">
        <f t="shared" si="58"/>
        <v>2.4392962283193487E-2</v>
      </c>
      <c r="L573" s="74"/>
      <c r="M573" s="74"/>
      <c r="N573" s="74"/>
      <c r="O573" s="74"/>
      <c r="P573" s="74"/>
      <c r="Q573" s="74"/>
      <c r="R573" s="74"/>
      <c r="S573" s="74"/>
      <c r="T573" s="74"/>
      <c r="U573" s="74"/>
      <c r="V573" s="74"/>
      <c r="W573" s="74"/>
      <c r="X573" s="74"/>
      <c r="Y573" s="74"/>
      <c r="Z573" s="74"/>
    </row>
    <row r="574" spans="1:26" x14ac:dyDescent="0.3">
      <c r="A574" s="66">
        <f t="shared" si="56"/>
        <v>2046.6999999999484</v>
      </c>
      <c r="B574" s="67">
        <f>LOOKUP(A574+0.01,AmountsB!$A$4:$A$103,AmountsB!$B$4:$B$103)*0.1*$A$2</f>
        <v>0</v>
      </c>
      <c r="C574" s="68">
        <f t="shared" si="55"/>
        <v>83655.233518999943</v>
      </c>
      <c r="D574" s="67">
        <f t="array" ref="D574">SUM($B$7:$B569*$F$1009*EXP(-$F$1009*($A574-$A$7:$A569)))*$F$1010</f>
        <v>4436570.0696256133</v>
      </c>
      <c r="E574" s="67">
        <f t="shared" si="53"/>
        <v>8.4579291770653757</v>
      </c>
      <c r="F574" s="70">
        <f t="shared" si="57"/>
        <v>0.51356545963140965</v>
      </c>
      <c r="G574" s="67">
        <f>E574/'Lookup Tables'!$C$48</f>
        <v>16.915858354130751</v>
      </c>
      <c r="H574" s="70">
        <f t="shared" si="54"/>
        <v>5.314057935724837E-2</v>
      </c>
      <c r="I574" s="71">
        <f t="shared" si="58"/>
        <v>2.4358836029948282E-2</v>
      </c>
      <c r="L574" s="74"/>
      <c r="M574" s="74"/>
      <c r="N574" s="74"/>
      <c r="O574" s="74"/>
      <c r="P574" s="74"/>
      <c r="Q574" s="74"/>
      <c r="R574" s="74"/>
      <c r="S574" s="74"/>
      <c r="T574" s="74"/>
      <c r="U574" s="74"/>
      <c r="V574" s="74"/>
      <c r="W574" s="74"/>
      <c r="X574" s="74"/>
      <c r="Y574" s="74"/>
      <c r="Z574" s="74"/>
    </row>
    <row r="575" spans="1:26" x14ac:dyDescent="0.3">
      <c r="A575" s="66">
        <f t="shared" si="56"/>
        <v>2046.7999999999483</v>
      </c>
      <c r="B575" s="67">
        <f>LOOKUP(A575+0.01,AmountsB!$A$4:$A$103,AmountsB!$B$4:$B$103)*0.1*$A$2</f>
        <v>0</v>
      </c>
      <c r="C575" s="68">
        <f t="shared" si="55"/>
        <v>83655.233518999943</v>
      </c>
      <c r="D575" s="67">
        <f t="array" ref="D575">SUM($B$7:$B570*$F$1009*EXP(-$F$1009*($A575-$A$7:$A570)))*$F$1010</f>
        <v>4430363.2173385294</v>
      </c>
      <c r="E575" s="67">
        <f t="shared" si="53"/>
        <v>8.4460963611213487</v>
      </c>
      <c r="F575" s="70">
        <f t="shared" si="57"/>
        <v>0.51284697104728827</v>
      </c>
      <c r="G575" s="67">
        <f>E575/'Lookup Tables'!$C$48</f>
        <v>16.892192722242697</v>
      </c>
      <c r="H575" s="70">
        <f t="shared" si="54"/>
        <v>5.3066234599621613E-2</v>
      </c>
      <c r="I575" s="71">
        <f t="shared" si="58"/>
        <v>2.4324757520029484E-2</v>
      </c>
      <c r="L575" s="74"/>
      <c r="M575" s="74"/>
      <c r="N575" s="74"/>
      <c r="O575" s="74"/>
      <c r="P575" s="74"/>
      <c r="Q575" s="74"/>
      <c r="R575" s="74"/>
      <c r="S575" s="74"/>
      <c r="T575" s="74"/>
      <c r="U575" s="74"/>
      <c r="V575" s="74"/>
      <c r="W575" s="74"/>
      <c r="X575" s="74"/>
      <c r="Y575" s="74"/>
      <c r="Z575" s="74"/>
    </row>
    <row r="576" spans="1:26" x14ac:dyDescent="0.3">
      <c r="A576" s="66">
        <f t="shared" si="56"/>
        <v>2046.8999999999482</v>
      </c>
      <c r="B576" s="67">
        <f>LOOKUP(A576+0.01,AmountsB!$A$4:$A$103,AmountsB!$B$4:$B$103)*0.1*$A$2</f>
        <v>0</v>
      </c>
      <c r="C576" s="68">
        <f t="shared" si="55"/>
        <v>83655.233518999943</v>
      </c>
      <c r="D576" s="67">
        <f t="array" ref="D576">SUM($B$7:$B571*$F$1009*EXP(-$F$1009*($A576-$A$7:$A571)))*$F$1010</f>
        <v>4424165.0485647712</v>
      </c>
      <c r="E576" s="67">
        <f t="shared" si="53"/>
        <v>8.4342800995288929</v>
      </c>
      <c r="F576" s="70">
        <f t="shared" si="57"/>
        <v>0.51212948764339439</v>
      </c>
      <c r="G576" s="67">
        <f>E576/'Lookup Tables'!$C$48</f>
        <v>16.868560199057786</v>
      </c>
      <c r="H576" s="70">
        <f t="shared" si="54"/>
        <v>5.2991993851831648E-2</v>
      </c>
      <c r="I576" s="71">
        <f t="shared" si="58"/>
        <v>2.429072668664321E-2</v>
      </c>
      <c r="L576" s="74"/>
      <c r="M576" s="74"/>
      <c r="N576" s="74"/>
      <c r="O576" s="74"/>
      <c r="P576" s="74"/>
      <c r="Q576" s="74"/>
      <c r="R576" s="74"/>
      <c r="S576" s="74"/>
      <c r="T576" s="74"/>
      <c r="U576" s="74"/>
      <c r="V576" s="74"/>
      <c r="W576" s="74"/>
      <c r="X576" s="74"/>
      <c r="Y576" s="74"/>
      <c r="Z576" s="74"/>
    </row>
    <row r="577" spans="1:26" x14ac:dyDescent="0.3">
      <c r="A577" s="66">
        <f t="shared" si="56"/>
        <v>2046.9999999999482</v>
      </c>
      <c r="B577" s="67">
        <f>LOOKUP(A577+0.01,AmountsB!$A$4:$A$103,AmountsB!$B$4:$B$103)*0.1*$A$2</f>
        <v>0</v>
      </c>
      <c r="C577" s="68">
        <f t="shared" si="55"/>
        <v>83655.233518999943</v>
      </c>
      <c r="D577" s="67">
        <f t="array" ref="D577">SUM($B$7:$B572*$F$1009*EXP(-$F$1009*($A577-$A$7:$A572)))*$F$1010</f>
        <v>4417975.5511559239</v>
      </c>
      <c r="E577" s="67">
        <f t="shared" si="53"/>
        <v>8.4224803691281362</v>
      </c>
      <c r="F577" s="70">
        <f t="shared" si="57"/>
        <v>0.51141300801346046</v>
      </c>
      <c r="G577" s="67">
        <f>E577/'Lookup Tables'!$C$48</f>
        <v>16.844960738256272</v>
      </c>
      <c r="H577" s="70">
        <f t="shared" si="54"/>
        <v>5.2917856968366622E-2</v>
      </c>
      <c r="I577" s="71">
        <f t="shared" si="58"/>
        <v>2.425674346308903E-2</v>
      </c>
      <c r="L577" s="74"/>
      <c r="M577" s="74"/>
      <c r="N577" s="74"/>
      <c r="O577" s="74"/>
      <c r="P577" s="74"/>
      <c r="Q577" s="74"/>
      <c r="R577" s="74"/>
      <c r="S577" s="74"/>
      <c r="T577" s="74"/>
      <c r="U577" s="74"/>
      <c r="V577" s="74"/>
      <c r="W577" s="74"/>
      <c r="X577" s="74"/>
      <c r="Y577" s="74"/>
      <c r="Z577" s="74"/>
    </row>
    <row r="578" spans="1:26" x14ac:dyDescent="0.3">
      <c r="A578" s="66">
        <f t="shared" si="56"/>
        <v>2047.0999999999481</v>
      </c>
      <c r="B578" s="67">
        <f>LOOKUP(A578+0.01,AmountsB!$A$4:$A$103,AmountsB!$B$4:$B$103)*0.1*$A$2</f>
        <v>0</v>
      </c>
      <c r="C578" s="68">
        <f t="shared" si="55"/>
        <v>83655.233518999943</v>
      </c>
      <c r="D578" s="67">
        <f t="array" ref="D578">SUM($B$7:$B573*$F$1009*EXP(-$F$1009*($A578-$A$7:$A573)))*$F$1010</f>
        <v>4411794.7129805712</v>
      </c>
      <c r="E578" s="67">
        <f t="shared" si="53"/>
        <v>8.4106971467915947</v>
      </c>
      <c r="F578" s="70">
        <f t="shared" si="57"/>
        <v>0.51069753075318558</v>
      </c>
      <c r="G578" s="67">
        <f>E578/'Lookup Tables'!$C$48</f>
        <v>16.821394293583189</v>
      </c>
      <c r="H578" s="70">
        <f t="shared" si="54"/>
        <v>5.2843823803918166E-2</v>
      </c>
      <c r="I578" s="71">
        <f t="shared" si="58"/>
        <v>2.4222807782759797E-2</v>
      </c>
      <c r="L578" s="74"/>
      <c r="M578" s="74"/>
      <c r="N578" s="74"/>
      <c r="O578" s="74"/>
      <c r="P578" s="74"/>
      <c r="Q578" s="74"/>
      <c r="R578" s="74"/>
      <c r="S578" s="74"/>
      <c r="T578" s="74"/>
      <c r="U578" s="74"/>
      <c r="V578" s="74"/>
      <c r="W578" s="74"/>
      <c r="X578" s="74"/>
      <c r="Y578" s="74"/>
      <c r="Z578" s="74"/>
    </row>
    <row r="579" spans="1:26" x14ac:dyDescent="0.3">
      <c r="A579" s="66">
        <f t="shared" si="56"/>
        <v>2047.199999999948</v>
      </c>
      <c r="B579" s="67">
        <f>LOOKUP(A579+0.01,AmountsB!$A$4:$A$103,AmountsB!$B$4:$B$103)*0.1*$A$2</f>
        <v>0</v>
      </c>
      <c r="C579" s="68">
        <f t="shared" si="55"/>
        <v>83655.233518999943</v>
      </c>
      <c r="D579" s="67">
        <f t="array" ref="D579">SUM($B$7:$B574*$F$1009*EXP(-$F$1009*($A579-$A$7:$A574)))*$F$1010</f>
        <v>4405622.5219242666</v>
      </c>
      <c r="E579" s="67">
        <f t="shared" si="53"/>
        <v>8.3989304094241533</v>
      </c>
      <c r="F579" s="70">
        <f t="shared" si="57"/>
        <v>0.50998305446023462</v>
      </c>
      <c r="G579" s="67">
        <f>E579/'Lookup Tables'!$C$48</f>
        <v>16.797860818848307</v>
      </c>
      <c r="H579" s="70">
        <f t="shared" si="54"/>
        <v>5.2769894213381276E-2</v>
      </c>
      <c r="I579" s="71">
        <f t="shared" si="58"/>
        <v>2.4188919579141561E-2</v>
      </c>
      <c r="L579" s="74"/>
      <c r="M579" s="74"/>
      <c r="N579" s="74"/>
      <c r="O579" s="74"/>
      <c r="P579" s="74"/>
      <c r="Q579" s="74"/>
      <c r="R579" s="74"/>
      <c r="S579" s="74"/>
      <c r="T579" s="74"/>
      <c r="U579" s="74"/>
      <c r="V579" s="74"/>
      <c r="W579" s="74"/>
      <c r="X579" s="74"/>
      <c r="Y579" s="74"/>
      <c r="Z579" s="74"/>
    </row>
    <row r="580" spans="1:26" x14ac:dyDescent="0.3">
      <c r="A580" s="66">
        <f t="shared" si="56"/>
        <v>2047.2999999999479</v>
      </c>
      <c r="B580" s="67">
        <f>LOOKUP(A580+0.01,AmountsB!$A$4:$A$103,AmountsB!$B$4:$B$103)*0.1*$A$2</f>
        <v>0</v>
      </c>
      <c r="C580" s="68">
        <f t="shared" si="55"/>
        <v>83655.233518999943</v>
      </c>
      <c r="D580" s="67">
        <f t="array" ref="D580">SUM($B$7:$B575*$F$1009*EXP(-$F$1009*($A580-$A$7:$A575)))*$F$1010</f>
        <v>4399458.9658895172</v>
      </c>
      <c r="E580" s="67">
        <f t="shared" si="53"/>
        <v>8.387180133963005</v>
      </c>
      <c r="F580" s="70">
        <f t="shared" si="57"/>
        <v>0.50926957773423365</v>
      </c>
      <c r="G580" s="67">
        <f>E580/'Lookup Tables'!$C$48</f>
        <v>16.77436026792601</v>
      </c>
      <c r="H580" s="70">
        <f t="shared" si="54"/>
        <v>5.2696068051853964E-2</v>
      </c>
      <c r="I580" s="71">
        <f t="shared" si="58"/>
        <v>2.4155078785813456E-2</v>
      </c>
      <c r="L580" s="74"/>
      <c r="M580" s="74"/>
      <c r="N580" s="74"/>
      <c r="O580" s="74"/>
      <c r="P580" s="74"/>
      <c r="Q580" s="74"/>
      <c r="R580" s="74"/>
      <c r="S580" s="74"/>
      <c r="T580" s="74"/>
      <c r="U580" s="74"/>
      <c r="V580" s="74"/>
      <c r="W580" s="74"/>
      <c r="X580" s="74"/>
      <c r="Y580" s="74"/>
      <c r="Z580" s="74"/>
    </row>
    <row r="581" spans="1:26" x14ac:dyDescent="0.3">
      <c r="A581" s="66">
        <f t="shared" si="56"/>
        <v>2047.3999999999478</v>
      </c>
      <c r="B581" s="67">
        <f>LOOKUP(A581+0.01,AmountsB!$A$4:$A$103,AmountsB!$B$4:$B$103)*0.1*$A$2</f>
        <v>0</v>
      </c>
      <c r="C581" s="68">
        <f t="shared" si="55"/>
        <v>83655.233518999943</v>
      </c>
      <c r="D581" s="67">
        <f t="array" ref="D581">SUM($B$7:$B576*$F$1009*EXP(-$F$1009*($A581-$A$7:$A576)))*$F$1010</f>
        <v>4393304.0327957505</v>
      </c>
      <c r="E581" s="67">
        <f t="shared" si="53"/>
        <v>8.3754462973776072</v>
      </c>
      <c r="F581" s="70">
        <f t="shared" si="57"/>
        <v>0.50855709917676828</v>
      </c>
      <c r="G581" s="67">
        <f>E581/'Lookup Tables'!$C$48</f>
        <v>16.750892594755214</v>
      </c>
      <c r="H581" s="70">
        <f t="shared" si="54"/>
        <v>5.2622345174636903E-2</v>
      </c>
      <c r="I581" s="71">
        <f t="shared" si="58"/>
        <v>2.4121285336447508E-2</v>
      </c>
      <c r="L581" s="74"/>
      <c r="M581" s="74"/>
      <c r="N581" s="74"/>
      <c r="O581" s="74"/>
      <c r="P581" s="74"/>
      <c r="Q581" s="74"/>
      <c r="R581" s="74"/>
      <c r="S581" s="74"/>
      <c r="T581" s="74"/>
      <c r="U581" s="74"/>
      <c r="V581" s="74"/>
      <c r="W581" s="74"/>
      <c r="X581" s="74"/>
      <c r="Y581" s="74"/>
      <c r="Z581" s="74"/>
    </row>
    <row r="582" spans="1:26" x14ac:dyDescent="0.3">
      <c r="A582" s="66">
        <f t="shared" si="56"/>
        <v>2047.4999999999477</v>
      </c>
      <c r="B582" s="67">
        <f>LOOKUP(A582+0.01,AmountsB!$A$4:$A$103,AmountsB!$B$4:$B$103)*0.1*$A$2</f>
        <v>0</v>
      </c>
      <c r="C582" s="68">
        <f t="shared" si="55"/>
        <v>83655.233518999943</v>
      </c>
      <c r="D582" s="67">
        <f t="array" ref="D582">SUM($B$7:$B577*$F$1009*EXP(-$F$1009*($A582-$A$7:$A577)))*$F$1010</f>
        <v>4387157.7105792928</v>
      </c>
      <c r="E582" s="67">
        <f t="shared" si="53"/>
        <v>8.3637288766696294</v>
      </c>
      <c r="F582" s="70">
        <f t="shared" si="57"/>
        <v>0.5078456173913799</v>
      </c>
      <c r="G582" s="67">
        <f>E582/'Lookup Tables'!$C$48</f>
        <v>16.727457753339259</v>
      </c>
      <c r="H582" s="70">
        <f t="shared" si="54"/>
        <v>5.2548725437233219E-2</v>
      </c>
      <c r="I582" s="71">
        <f t="shared" si="58"/>
        <v>2.4087539164808536E-2</v>
      </c>
      <c r="L582" s="74"/>
      <c r="M582" s="74"/>
      <c r="N582" s="74"/>
      <c r="O582" s="74"/>
      <c r="P582" s="74"/>
      <c r="Q582" s="74"/>
      <c r="R582" s="74"/>
      <c r="S582" s="74"/>
      <c r="T582" s="74"/>
      <c r="U582" s="74"/>
      <c r="V582" s="74"/>
      <c r="W582" s="74"/>
      <c r="X582" s="74"/>
      <c r="Y582" s="74"/>
      <c r="Z582" s="74"/>
    </row>
    <row r="583" spans="1:26" x14ac:dyDescent="0.3">
      <c r="A583" s="66">
        <f t="shared" si="56"/>
        <v>2047.5999999999476</v>
      </c>
      <c r="B583" s="67">
        <f>LOOKUP(A583+0.01,AmountsB!$A$4:$A$103,AmountsB!$B$4:$B$103)*0.1*$A$2</f>
        <v>0</v>
      </c>
      <c r="C583" s="68">
        <f t="shared" si="55"/>
        <v>83655.233518999943</v>
      </c>
      <c r="D583" s="67">
        <f t="array" ref="D583">SUM($B$7:$B578*$F$1009*EXP(-$F$1009*($A583-$A$7:$A578)))*$F$1010</f>
        <v>4381019.9871933525</v>
      </c>
      <c r="E583" s="67">
        <f t="shared" ref="E583:E646" si="59">D583/(365*24*60)*1.00201</f>
        <v>8.3520278488729289</v>
      </c>
      <c r="F583" s="70">
        <f t="shared" si="57"/>
        <v>0.50713513098356422</v>
      </c>
      <c r="G583" s="67">
        <f>E583/'Lookup Tables'!$C$48</f>
        <v>16.704055697745858</v>
      </c>
      <c r="H583" s="70">
        <f t="shared" ref="H583:H646" si="60">G583*60*24*365/(C583*2000)</f>
        <v>5.2475208695348219E-2</v>
      </c>
      <c r="I583" s="71">
        <f t="shared" si="58"/>
        <v>2.4053840204754037E-2</v>
      </c>
      <c r="L583" s="74"/>
      <c r="M583" s="74"/>
      <c r="N583" s="74"/>
      <c r="O583" s="74"/>
      <c r="P583" s="74"/>
      <c r="Q583" s="74"/>
      <c r="R583" s="74"/>
      <c r="S583" s="74"/>
      <c r="T583" s="74"/>
      <c r="U583" s="74"/>
      <c r="V583" s="74"/>
      <c r="W583" s="74"/>
      <c r="X583" s="74"/>
      <c r="Y583" s="74"/>
      <c r="Z583" s="74"/>
    </row>
    <row r="584" spans="1:26" x14ac:dyDescent="0.3">
      <c r="A584" s="66">
        <f t="shared" si="56"/>
        <v>2047.6999999999475</v>
      </c>
      <c r="B584" s="67">
        <f>LOOKUP(A584+0.01,AmountsB!$A$4:$A$103,AmountsB!$B$4:$B$103)*0.1*$A$2</f>
        <v>0</v>
      </c>
      <c r="C584" s="68">
        <f t="shared" si="55"/>
        <v>83655.233518999943</v>
      </c>
      <c r="D584" s="67">
        <f t="array" ref="D584">SUM($B$7:$B579*$F$1009*EXP(-$F$1009*($A584-$A$7:$A579)))*$F$1010</f>
        <v>4374890.8506079903</v>
      </c>
      <c r="E584" s="67">
        <f t="shared" si="59"/>
        <v>8.3403431910534866</v>
      </c>
      <c r="F584" s="70">
        <f t="shared" si="57"/>
        <v>0.50642563856076772</v>
      </c>
      <c r="G584" s="67">
        <f>E584/'Lookup Tables'!$C$48</f>
        <v>16.680686382106973</v>
      </c>
      <c r="H584" s="70">
        <f t="shared" si="60"/>
        <v>5.240179480488906E-2</v>
      </c>
      <c r="I584" s="71">
        <f t="shared" si="58"/>
        <v>2.4020188390234041E-2</v>
      </c>
      <c r="L584" s="74"/>
      <c r="M584" s="74"/>
      <c r="N584" s="74"/>
      <c r="O584" s="74"/>
      <c r="P584" s="74"/>
      <c r="Q584" s="74"/>
      <c r="R584" s="74"/>
      <c r="S584" s="74"/>
      <c r="T584" s="74"/>
      <c r="U584" s="74"/>
      <c r="V584" s="74"/>
      <c r="W584" s="74"/>
      <c r="X584" s="74"/>
      <c r="Y584" s="74"/>
      <c r="Z584" s="74"/>
    </row>
    <row r="585" spans="1:26" x14ac:dyDescent="0.3">
      <c r="A585" s="66">
        <f t="shared" si="56"/>
        <v>2047.7999999999474</v>
      </c>
      <c r="B585" s="67">
        <f>LOOKUP(A585+0.01,AmountsB!$A$4:$A$103,AmountsB!$B$4:$B$103)*0.1*$A$2</f>
        <v>0</v>
      </c>
      <c r="C585" s="68">
        <f t="shared" ref="C585:C648" si="61">C584+B585</f>
        <v>83655.233518999943</v>
      </c>
      <c r="D585" s="67">
        <f t="array" ref="D585">SUM($B$7:$B580*$F$1009*EXP(-$F$1009*($A585-$A$7:$A580)))*$F$1010</f>
        <v>4368770.2888100948</v>
      </c>
      <c r="E585" s="67">
        <f t="shared" si="59"/>
        <v>8.328674880309368</v>
      </c>
      <c r="F585" s="70">
        <f t="shared" si="57"/>
        <v>0.50571713873238489</v>
      </c>
      <c r="G585" s="67">
        <f>E585/'Lookup Tables'!$C$48</f>
        <v>16.657349760618736</v>
      </c>
      <c r="H585" s="70">
        <f t="shared" si="60"/>
        <v>5.2328483621964503E-2</v>
      </c>
      <c r="I585" s="71">
        <f t="shared" si="58"/>
        <v>2.3986583655290983E-2</v>
      </c>
      <c r="L585" s="74"/>
      <c r="M585" s="74"/>
      <c r="N585" s="74"/>
      <c r="O585" s="74"/>
      <c r="P585" s="74"/>
      <c r="Q585" s="74"/>
      <c r="R585" s="74"/>
      <c r="S585" s="74"/>
      <c r="T585" s="74"/>
      <c r="U585" s="74"/>
      <c r="V585" s="74"/>
      <c r="W585" s="74"/>
      <c r="X585" s="74"/>
      <c r="Y585" s="74"/>
      <c r="Z585" s="74"/>
    </row>
    <row r="586" spans="1:26" x14ac:dyDescent="0.3">
      <c r="A586" s="66">
        <f t="shared" si="56"/>
        <v>2047.8999999999473</v>
      </c>
      <c r="B586" s="67">
        <f>LOOKUP(A586+0.01,AmountsB!$A$4:$A$103,AmountsB!$B$4:$B$103)*0.1*$A$2</f>
        <v>0</v>
      </c>
      <c r="C586" s="68">
        <f t="shared" si="61"/>
        <v>83655.233518999943</v>
      </c>
      <c r="D586" s="67">
        <f t="array" ref="D586">SUM($B$7:$B581*$F$1009*EXP(-$F$1009*($A586-$A$7:$A581)))*$F$1010</f>
        <v>4362658.2898033643</v>
      </c>
      <c r="E586" s="67">
        <f t="shared" si="59"/>
        <v>8.3170228937706803</v>
      </c>
      <c r="F586" s="70">
        <f t="shared" si="57"/>
        <v>0.50500963010975564</v>
      </c>
      <c r="G586" s="67">
        <f>E586/'Lookup Tables'!$C$48</f>
        <v>16.634045787541361</v>
      </c>
      <c r="H586" s="70">
        <f t="shared" si="60"/>
        <v>5.2255275002884571E-2</v>
      </c>
      <c r="I586" s="71">
        <f t="shared" si="58"/>
        <v>2.3953025934059558E-2</v>
      </c>
      <c r="L586" s="74"/>
      <c r="M586" s="74"/>
      <c r="N586" s="74"/>
      <c r="O586" s="74"/>
      <c r="P586" s="74"/>
      <c r="Q586" s="74"/>
      <c r="R586" s="74"/>
      <c r="S586" s="74"/>
      <c r="T586" s="74"/>
      <c r="U586" s="74"/>
      <c r="V586" s="74"/>
      <c r="W586" s="74"/>
      <c r="X586" s="74"/>
      <c r="Y586" s="74"/>
      <c r="Z586" s="74"/>
    </row>
    <row r="587" spans="1:26" x14ac:dyDescent="0.3">
      <c r="A587" s="66">
        <f t="shared" si="56"/>
        <v>2047.9999999999472</v>
      </c>
      <c r="B587" s="67">
        <f>LOOKUP(A587+0.01,AmountsB!$A$4:$A$103,AmountsB!$B$4:$B$103)*0.1*$A$2</f>
        <v>0</v>
      </c>
      <c r="C587" s="68">
        <f t="shared" si="61"/>
        <v>83655.233518999943</v>
      </c>
      <c r="D587" s="67">
        <f t="array" ref="D587">SUM($B$7:$B582*$F$1009*EXP(-$F$1009*($A587-$A$7:$A582)))*$F$1010</f>
        <v>4356554.8416082775</v>
      </c>
      <c r="E587" s="67">
        <f t="shared" si="59"/>
        <v>8.3053872085995266</v>
      </c>
      <c r="F587" s="70">
        <f t="shared" si="57"/>
        <v>0.50430311130616323</v>
      </c>
      <c r="G587" s="67">
        <f>E587/'Lookup Tables'!$C$48</f>
        <v>16.610774417199053</v>
      </c>
      <c r="H587" s="70">
        <f t="shared" si="60"/>
        <v>5.2182168804160385E-2</v>
      </c>
      <c r="I587" s="71">
        <f t="shared" si="58"/>
        <v>2.3919515160766638E-2</v>
      </c>
      <c r="L587" s="74"/>
      <c r="M587" s="74"/>
      <c r="N587" s="74"/>
      <c r="O587" s="74"/>
      <c r="P587" s="74"/>
      <c r="Q587" s="74"/>
      <c r="R587" s="74"/>
      <c r="S587" s="74"/>
      <c r="T587" s="74"/>
      <c r="U587" s="74"/>
      <c r="V587" s="74"/>
      <c r="W587" s="74"/>
      <c r="X587" s="74"/>
      <c r="Y587" s="74"/>
      <c r="Z587" s="74"/>
    </row>
    <row r="588" spans="1:26" x14ac:dyDescent="0.3">
      <c r="A588" s="66">
        <f t="shared" si="56"/>
        <v>2048.0999999999472</v>
      </c>
      <c r="B588" s="67">
        <f>LOOKUP(A588+0.01,AmountsB!$A$4:$A$103,AmountsB!$B$4:$B$103)*0.1*$A$2</f>
        <v>0</v>
      </c>
      <c r="C588" s="68">
        <f t="shared" si="61"/>
        <v>83655.233518999943</v>
      </c>
      <c r="D588" s="67">
        <f t="array" ref="D588">SUM($B$7:$B583*$F$1009*EXP(-$F$1009*($A588-$A$7:$A583)))*$F$1010</f>
        <v>4350459.9322620742</v>
      </c>
      <c r="E588" s="67">
        <f t="shared" si="59"/>
        <v>8.2937678019899561</v>
      </c>
      <c r="F588" s="70">
        <f t="shared" si="57"/>
        <v>0.50359758093683016</v>
      </c>
      <c r="G588" s="67">
        <f>E588/'Lookup Tables'!$C$48</f>
        <v>16.587535603979912</v>
      </c>
      <c r="H588" s="70">
        <f t="shared" si="60"/>
        <v>5.2109164882503729E-2</v>
      </c>
      <c r="I588" s="71">
        <f t="shared" si="58"/>
        <v>2.3886051269731073E-2</v>
      </c>
      <c r="L588" s="74"/>
      <c r="M588" s="74"/>
      <c r="N588" s="74"/>
      <c r="O588" s="74"/>
      <c r="P588" s="74"/>
      <c r="Q588" s="74"/>
      <c r="R588" s="74"/>
      <c r="S588" s="74"/>
      <c r="T588" s="74"/>
      <c r="U588" s="74"/>
      <c r="V588" s="74"/>
      <c r="W588" s="74"/>
      <c r="X588" s="74"/>
      <c r="Y588" s="74"/>
      <c r="Z588" s="74"/>
    </row>
    <row r="589" spans="1:26" x14ac:dyDescent="0.3">
      <c r="A589" s="66">
        <f t="shared" si="56"/>
        <v>2048.1999999999471</v>
      </c>
      <c r="B589" s="67">
        <f>LOOKUP(A589+0.01,AmountsB!$A$4:$A$103,AmountsB!$B$4:$B$103)*0.1*$A$2</f>
        <v>0</v>
      </c>
      <c r="C589" s="68">
        <f t="shared" si="61"/>
        <v>83655.233518999943</v>
      </c>
      <c r="D589" s="67">
        <f t="array" ref="D589">SUM($B$7:$B584*$F$1009*EXP(-$F$1009*($A589-$A$7:$A584)))*$F$1010</f>
        <v>4344373.5498187337</v>
      </c>
      <c r="E589" s="67">
        <f t="shared" si="59"/>
        <v>8.2821646511679408</v>
      </c>
      <c r="F589" s="70">
        <f t="shared" si="57"/>
        <v>0.50289303761891735</v>
      </c>
      <c r="G589" s="67">
        <f>E589/'Lookup Tables'!$C$48</f>
        <v>16.564329302335882</v>
      </c>
      <c r="H589" s="70">
        <f t="shared" si="60"/>
        <v>5.2036263094826979E-2</v>
      </c>
      <c r="I589" s="71">
        <f t="shared" si="58"/>
        <v>2.3852634195363671E-2</v>
      </c>
      <c r="L589" s="74"/>
      <c r="M589" s="74"/>
      <c r="N589" s="74"/>
      <c r="O589" s="74"/>
      <c r="P589" s="74"/>
      <c r="Q589" s="74"/>
      <c r="R589" s="74"/>
      <c r="S589" s="74"/>
      <c r="T589" s="74"/>
      <c r="U589" s="74"/>
      <c r="V589" s="74"/>
      <c r="W589" s="74"/>
      <c r="X589" s="74"/>
      <c r="Y589" s="74"/>
      <c r="Z589" s="74"/>
    </row>
    <row r="590" spans="1:26" x14ac:dyDescent="0.3">
      <c r="A590" s="66">
        <f t="shared" si="56"/>
        <v>2048.299999999947</v>
      </c>
      <c r="B590" s="67">
        <f>LOOKUP(A590+0.01,AmountsB!$A$4:$A$103,AmountsB!$B$4:$B$103)*0.1*$A$2</f>
        <v>0</v>
      </c>
      <c r="C590" s="68">
        <f t="shared" si="61"/>
        <v>83655.233518999943</v>
      </c>
      <c r="D590" s="67">
        <f t="array" ref="D590">SUM($B$7:$B585*$F$1009*EXP(-$F$1009*($A590-$A$7:$A585)))*$F$1010</f>
        <v>4338295.6823489405</v>
      </c>
      <c r="E590" s="67">
        <f t="shared" si="59"/>
        <v>8.2705777333912902</v>
      </c>
      <c r="F590" s="70">
        <f t="shared" si="57"/>
        <v>0.50218947997151919</v>
      </c>
      <c r="G590" s="67">
        <f>E590/'Lookup Tables'!$C$48</f>
        <v>16.54115546678258</v>
      </c>
      <c r="H590" s="70">
        <f t="shared" si="60"/>
        <v>5.1963463298242522E-2</v>
      </c>
      <c r="I590" s="71">
        <f t="shared" si="58"/>
        <v>2.3819263872166915E-2</v>
      </c>
      <c r="L590" s="74"/>
      <c r="M590" s="74"/>
      <c r="N590" s="74"/>
      <c r="O590" s="74"/>
      <c r="P590" s="74"/>
      <c r="Q590" s="74"/>
      <c r="R590" s="74"/>
      <c r="S590" s="74"/>
      <c r="T590" s="74"/>
      <c r="U590" s="74"/>
      <c r="V590" s="74"/>
      <c r="W590" s="74"/>
      <c r="X590" s="74"/>
      <c r="Y590" s="74"/>
      <c r="Z590" s="74"/>
    </row>
    <row r="591" spans="1:26" x14ac:dyDescent="0.3">
      <c r="A591" s="66">
        <f t="shared" si="56"/>
        <v>2048.3999999999469</v>
      </c>
      <c r="B591" s="67">
        <f>LOOKUP(A591+0.01,AmountsB!$A$4:$A$103,AmountsB!$B$4:$B$103)*0.1*$A$2</f>
        <v>0</v>
      </c>
      <c r="C591" s="68">
        <f t="shared" si="61"/>
        <v>83655.233518999943</v>
      </c>
      <c r="D591" s="67">
        <f t="array" ref="D591">SUM($B$7:$B586*$F$1009*EXP(-$F$1009*($A591-$A$7:$A586)))*$F$1010</f>
        <v>4332226.3179400712</v>
      </c>
      <c r="E591" s="67">
        <f t="shared" si="59"/>
        <v>8.2590070259496393</v>
      </c>
      <c r="F591" s="70">
        <f t="shared" si="57"/>
        <v>0.50148690661566209</v>
      </c>
      <c r="G591" s="67">
        <f>E591/'Lookup Tables'!$C$48</f>
        <v>16.518014051899279</v>
      </c>
      <c r="H591" s="70">
        <f t="shared" si="60"/>
        <v>5.1890765350062748E-2</v>
      </c>
      <c r="I591" s="71">
        <f t="shared" si="58"/>
        <v>2.3785940234734959E-2</v>
      </c>
      <c r="L591" s="74"/>
      <c r="M591" s="74"/>
      <c r="N591" s="74"/>
      <c r="O591" s="74"/>
      <c r="P591" s="74"/>
      <c r="Q591" s="74"/>
      <c r="R591" s="74"/>
      <c r="S591" s="74"/>
      <c r="T591" s="74"/>
      <c r="U591" s="74"/>
      <c r="V591" s="74"/>
      <c r="W591" s="74"/>
      <c r="X591" s="74"/>
      <c r="Y591" s="74"/>
      <c r="Z591" s="74"/>
    </row>
    <row r="592" spans="1:26" x14ac:dyDescent="0.3">
      <c r="A592" s="66">
        <f t="shared" si="56"/>
        <v>2048.4999999999468</v>
      </c>
      <c r="B592" s="67">
        <f>LOOKUP(A592+0.01,AmountsB!$A$4:$A$103,AmountsB!$B$4:$B$103)*0.1*$A$2</f>
        <v>0</v>
      </c>
      <c r="C592" s="68">
        <f t="shared" si="61"/>
        <v>83655.233518999943</v>
      </c>
      <c r="D592" s="67">
        <f t="array" ref="D592">SUM($B$7:$B587*$F$1009*EXP(-$F$1009*($A592-$A$7:$A587)))*$F$1010</f>
        <v>4326165.444696174</v>
      </c>
      <c r="E592" s="67">
        <f t="shared" si="59"/>
        <v>8.2474525061644091</v>
      </c>
      <c r="F592" s="70">
        <f t="shared" si="57"/>
        <v>0.500785316174303</v>
      </c>
      <c r="G592" s="67">
        <f>E592/'Lookup Tables'!$C$48</f>
        <v>16.494905012328818</v>
      </c>
      <c r="H592" s="70">
        <f t="shared" si="60"/>
        <v>5.1818169107799704E-2</v>
      </c>
      <c r="I592" s="71">
        <f t="shared" si="58"/>
        <v>2.37526632177535E-2</v>
      </c>
      <c r="L592" s="74"/>
      <c r="M592" s="74"/>
      <c r="N592" s="74"/>
      <c r="O592" s="74"/>
      <c r="P592" s="74"/>
      <c r="Q592" s="74"/>
      <c r="R592" s="74"/>
      <c r="S592" s="74"/>
      <c r="T592" s="74"/>
      <c r="U592" s="74"/>
      <c r="V592" s="74"/>
      <c r="W592" s="74"/>
      <c r="X592" s="74"/>
      <c r="Y592" s="74"/>
      <c r="Z592" s="74"/>
    </row>
    <row r="593" spans="1:26" x14ac:dyDescent="0.3">
      <c r="A593" s="66">
        <f t="shared" si="56"/>
        <v>2048.5999999999467</v>
      </c>
      <c r="B593" s="67">
        <f>LOOKUP(A593+0.01,AmountsB!$A$4:$A$103,AmountsB!$B$4:$B$103)*0.1*$A$2</f>
        <v>0</v>
      </c>
      <c r="C593" s="68">
        <f t="shared" si="61"/>
        <v>83655.233518999943</v>
      </c>
      <c r="D593" s="67">
        <f t="array" ref="D593">SUM($B$7:$B588*$F$1009*EXP(-$F$1009*($A593-$A$7:$A588)))*$F$1010</f>
        <v>4320113.0507379333</v>
      </c>
      <c r="E593" s="67">
        <f t="shared" si="59"/>
        <v>8.235914151388732</v>
      </c>
      <c r="F593" s="70">
        <f t="shared" si="57"/>
        <v>0.50008470727232379</v>
      </c>
      <c r="G593" s="67">
        <f>E593/'Lookup Tables'!$C$48</f>
        <v>16.471828302777464</v>
      </c>
      <c r="H593" s="70">
        <f t="shared" si="60"/>
        <v>5.1745674429164709E-2</v>
      </c>
      <c r="I593" s="71">
        <f t="shared" si="58"/>
        <v>2.371943275599955E-2</v>
      </c>
      <c r="L593" s="74"/>
      <c r="M593" s="74"/>
      <c r="N593" s="74"/>
      <c r="O593" s="74"/>
      <c r="P593" s="74"/>
      <c r="Q593" s="74"/>
      <c r="R593" s="74"/>
      <c r="S593" s="74"/>
      <c r="T593" s="74"/>
      <c r="U593" s="74"/>
      <c r="V593" s="74"/>
      <c r="W593" s="74"/>
      <c r="X593" s="74"/>
      <c r="Y593" s="74"/>
      <c r="Z593" s="74"/>
    </row>
    <row r="594" spans="1:26" x14ac:dyDescent="0.3">
      <c r="A594" s="66">
        <f t="shared" si="56"/>
        <v>2048.6999999999466</v>
      </c>
      <c r="B594" s="67">
        <f>LOOKUP(A594+0.01,AmountsB!$A$4:$A$103,AmountsB!$B$4:$B$103)*0.1*$A$2</f>
        <v>0</v>
      </c>
      <c r="C594" s="68">
        <f t="shared" si="61"/>
        <v>83655.233518999943</v>
      </c>
      <c r="D594" s="67">
        <f t="array" ref="D594">SUM($B$7:$B589*$F$1009*EXP(-$F$1009*($A594-$A$7:$A589)))*$F$1010</f>
        <v>4314069.1242026519</v>
      </c>
      <c r="E594" s="67">
        <f t="shared" si="59"/>
        <v>8.2243919390074183</v>
      </c>
      <c r="F594" s="70">
        <f t="shared" si="57"/>
        <v>0.49938507853653041</v>
      </c>
      <c r="G594" s="67">
        <f>E594/'Lookup Tables'!$C$48</f>
        <v>16.448783878014837</v>
      </c>
      <c r="H594" s="70">
        <f t="shared" si="60"/>
        <v>5.167328117206809E-2</v>
      </c>
      <c r="I594" s="71">
        <f t="shared" si="58"/>
        <v>2.3686248784341366E-2</v>
      </c>
      <c r="L594" s="74"/>
      <c r="M594" s="74"/>
      <c r="N594" s="74"/>
      <c r="O594" s="74"/>
      <c r="P594" s="74"/>
      <c r="Q594" s="74"/>
      <c r="R594" s="74"/>
      <c r="S594" s="74"/>
      <c r="T594" s="74"/>
      <c r="U594" s="74"/>
      <c r="V594" s="74"/>
      <c r="W594" s="74"/>
      <c r="X594" s="74"/>
      <c r="Y594" s="74"/>
      <c r="Z594" s="74"/>
    </row>
    <row r="595" spans="1:26" x14ac:dyDescent="0.3">
      <c r="A595" s="66">
        <f t="shared" ref="A595:A658" si="62">A594+0.1</f>
        <v>2048.7999999999465</v>
      </c>
      <c r="B595" s="67">
        <f>LOOKUP(A595+0.01,AmountsB!$A$4:$A$103,AmountsB!$B$4:$B$103)*0.1*$A$2</f>
        <v>0</v>
      </c>
      <c r="C595" s="68">
        <f t="shared" si="61"/>
        <v>83655.233518999943</v>
      </c>
      <c r="D595" s="67">
        <f t="array" ref="D595">SUM($B$7:$B590*$F$1009*EXP(-$F$1009*($A595-$A$7:$A590)))*$F$1010</f>
        <v>4308033.6532442393</v>
      </c>
      <c r="E595" s="67">
        <f t="shared" si="59"/>
        <v>8.212885846436949</v>
      </c>
      <c r="F595" s="70">
        <f t="shared" ref="F595:F658" si="63">E595*60*1012/1000000</f>
        <v>0.49868642859565154</v>
      </c>
      <c r="G595" s="67">
        <f>E595/'Lookup Tables'!$C$48</f>
        <v>16.425771692873898</v>
      </c>
      <c r="H595" s="70">
        <f t="shared" si="60"/>
        <v>5.1600989194619182E-2</v>
      </c>
      <c r="I595" s="71">
        <f t="shared" ref="I595:I658" si="64">G595*60*24/1000000</f>
        <v>2.3653111237738413E-2</v>
      </c>
      <c r="L595" s="74"/>
      <c r="M595" s="74"/>
      <c r="N595" s="74"/>
      <c r="O595" s="74"/>
      <c r="P595" s="74"/>
      <c r="Q595" s="74"/>
      <c r="R595" s="74"/>
      <c r="S595" s="74"/>
      <c r="T595" s="74"/>
      <c r="U595" s="74"/>
      <c r="V595" s="74"/>
      <c r="W595" s="74"/>
      <c r="X595" s="74"/>
      <c r="Y595" s="74"/>
      <c r="Z595" s="74"/>
    </row>
    <row r="596" spans="1:26" x14ac:dyDescent="0.3">
      <c r="A596" s="66">
        <f t="shared" si="62"/>
        <v>2048.8999999999464</v>
      </c>
      <c r="B596" s="67">
        <f>LOOKUP(A596+0.01,AmountsB!$A$4:$A$103,AmountsB!$B$4:$B$103)*0.1*$A$2</f>
        <v>0</v>
      </c>
      <c r="C596" s="68">
        <f t="shared" si="61"/>
        <v>83655.233518999943</v>
      </c>
      <c r="D596" s="67">
        <f t="array" ref="D596">SUM($B$7:$B591*$F$1009*EXP(-$F$1009*($A596-$A$7:$A591)))*$F$1010</f>
        <v>4302006.6260331655</v>
      </c>
      <c r="E596" s="67">
        <f t="shared" si="59"/>
        <v>8.2013958511253655</v>
      </c>
      <c r="F596" s="70">
        <f t="shared" si="63"/>
        <v>0.49798875608033216</v>
      </c>
      <c r="G596" s="67">
        <f>E596/'Lookup Tables'!$C$48</f>
        <v>16.402791702250731</v>
      </c>
      <c r="H596" s="70">
        <f t="shared" si="60"/>
        <v>5.1528798355125596E-2</v>
      </c>
      <c r="I596" s="71">
        <f t="shared" si="64"/>
        <v>2.3620020051241052E-2</v>
      </c>
      <c r="L596" s="74"/>
      <c r="M596" s="74"/>
      <c r="N596" s="74"/>
      <c r="O596" s="74"/>
      <c r="P596" s="74"/>
      <c r="Q596" s="74"/>
      <c r="R596" s="74"/>
      <c r="S596" s="74"/>
      <c r="T596" s="74"/>
      <c r="U596" s="74"/>
      <c r="V596" s="74"/>
      <c r="W596" s="74"/>
      <c r="X596" s="74"/>
      <c r="Y596" s="74"/>
      <c r="Z596" s="74"/>
    </row>
    <row r="597" spans="1:26" x14ac:dyDescent="0.3">
      <c r="A597" s="66">
        <f t="shared" si="62"/>
        <v>2048.9999999999463</v>
      </c>
      <c r="B597" s="67">
        <f>LOOKUP(A597+0.01,AmountsB!$A$4:$A$103,AmountsB!$B$4:$B$103)*0.1*$A$2</f>
        <v>0</v>
      </c>
      <c r="C597" s="68">
        <f t="shared" si="61"/>
        <v>83655.233518999943</v>
      </c>
      <c r="D597" s="67">
        <f t="array" ref="D597">SUM($B$7:$B592*$F$1009*EXP(-$F$1009*($A597-$A$7:$A592)))*$F$1010</f>
        <v>4295988.0307564531</v>
      </c>
      <c r="E597" s="67">
        <f t="shared" si="59"/>
        <v>8.1899219305522717</v>
      </c>
      <c r="F597" s="70">
        <f t="shared" si="63"/>
        <v>0.49729205962313394</v>
      </c>
      <c r="G597" s="67">
        <f>E597/'Lookup Tables'!$C$48</f>
        <v>16.379843861104543</v>
      </c>
      <c r="H597" s="70">
        <f t="shared" si="60"/>
        <v>5.145670851209326E-2</v>
      </c>
      <c r="I597" s="71">
        <f t="shared" si="64"/>
        <v>2.3586975159990545E-2</v>
      </c>
      <c r="L597" s="74"/>
      <c r="M597" s="74"/>
      <c r="N597" s="74"/>
      <c r="O597" s="74"/>
      <c r="P597" s="74"/>
      <c r="Q597" s="74"/>
      <c r="R597" s="74"/>
      <c r="S597" s="74"/>
      <c r="T597" s="74"/>
      <c r="U597" s="74"/>
      <c r="V597" s="74"/>
      <c r="W597" s="74"/>
      <c r="X597" s="74"/>
      <c r="Y597" s="74"/>
      <c r="Z597" s="74"/>
    </row>
    <row r="598" spans="1:26" x14ac:dyDescent="0.3">
      <c r="A598" s="66">
        <f t="shared" si="62"/>
        <v>2049.0999999999462</v>
      </c>
      <c r="B598" s="67">
        <f>LOOKUP(A598+0.01,AmountsB!$A$4:$A$103,AmountsB!$B$4:$B$103)*0.1*$A$2</f>
        <v>0</v>
      </c>
      <c r="C598" s="68">
        <f t="shared" si="61"/>
        <v>83655.233518999943</v>
      </c>
      <c r="D598" s="67">
        <f t="array" ref="D598">SUM($B$7:$B593*$F$1009*EXP(-$F$1009*($A598-$A$7:$A593)))*$F$1010</f>
        <v>4289977.8556176592</v>
      </c>
      <c r="E598" s="67">
        <f t="shared" si="59"/>
        <v>8.1784640622287892</v>
      </c>
      <c r="F598" s="70">
        <f t="shared" si="63"/>
        <v>0.49659633785853208</v>
      </c>
      <c r="G598" s="67">
        <f>E598/'Lookup Tables'!$C$48</f>
        <v>16.356928124457578</v>
      </c>
      <c r="H598" s="70">
        <f t="shared" si="60"/>
        <v>5.1384719524226123E-2</v>
      </c>
      <c r="I598" s="71">
        <f t="shared" si="64"/>
        <v>2.3553976499218917E-2</v>
      </c>
      <c r="L598" s="74"/>
      <c r="M598" s="74"/>
      <c r="N598" s="74"/>
      <c r="O598" s="74"/>
      <c r="P598" s="74"/>
      <c r="Q598" s="74"/>
      <c r="R598" s="74"/>
      <c r="S598" s="74"/>
      <c r="T598" s="74"/>
      <c r="U598" s="74"/>
      <c r="V598" s="74"/>
      <c r="W598" s="74"/>
      <c r="X598" s="74"/>
      <c r="Y598" s="74"/>
      <c r="Z598" s="74"/>
    </row>
    <row r="599" spans="1:26" x14ac:dyDescent="0.3">
      <c r="A599" s="66">
        <f t="shared" si="62"/>
        <v>2049.1999999999462</v>
      </c>
      <c r="B599" s="67">
        <f>LOOKUP(A599+0.01,AmountsB!$A$4:$A$103,AmountsB!$B$4:$B$103)*0.1*$A$2</f>
        <v>0</v>
      </c>
      <c r="C599" s="68">
        <f t="shared" si="61"/>
        <v>83655.233518999943</v>
      </c>
      <c r="D599" s="67">
        <f t="array" ref="D599">SUM($B$7:$B594*$F$1009*EXP(-$F$1009*($A599-$A$7:$A594)))*$F$1010</f>
        <v>4283976.0888368357</v>
      </c>
      <c r="E599" s="67">
        <f t="shared" si="59"/>
        <v>8.1670222236974848</v>
      </c>
      <c r="F599" s="70">
        <f t="shared" si="63"/>
        <v>0.49590158942291129</v>
      </c>
      <c r="G599" s="67">
        <f>E599/'Lookup Tables'!$C$48</f>
        <v>16.33404444739497</v>
      </c>
      <c r="H599" s="70">
        <f t="shared" si="60"/>
        <v>5.131283125042567E-2</v>
      </c>
      <c r="I599" s="71">
        <f t="shared" si="64"/>
        <v>2.3521024004248756E-2</v>
      </c>
      <c r="L599" s="74"/>
      <c r="M599" s="74"/>
      <c r="N599" s="74"/>
      <c r="O599" s="74"/>
      <c r="P599" s="74"/>
      <c r="Q599" s="74"/>
      <c r="R599" s="74"/>
      <c r="S599" s="74"/>
      <c r="T599" s="74"/>
      <c r="U599" s="74"/>
      <c r="V599" s="74"/>
      <c r="W599" s="74"/>
      <c r="X599" s="74"/>
      <c r="Y599" s="74"/>
      <c r="Z599" s="74"/>
    </row>
    <row r="600" spans="1:26" x14ac:dyDescent="0.3">
      <c r="A600" s="66">
        <f t="shared" si="62"/>
        <v>2049.2999999999461</v>
      </c>
      <c r="B600" s="67">
        <f>LOOKUP(A600+0.01,AmountsB!$A$4:$A$103,AmountsB!$B$4:$B$103)*0.1*$A$2</f>
        <v>0</v>
      </c>
      <c r="C600" s="68">
        <f t="shared" si="61"/>
        <v>83655.233518999943</v>
      </c>
      <c r="D600" s="67">
        <f t="array" ref="D600">SUM($B$7:$B595*$F$1009*EXP(-$F$1009*($A600-$A$7:$A595)))*$F$1010</f>
        <v>4277982.718650518</v>
      </c>
      <c r="E600" s="67">
        <f t="shared" si="59"/>
        <v>8.1555963925323542</v>
      </c>
      <c r="F600" s="70">
        <f t="shared" si="63"/>
        <v>0.49520781295456451</v>
      </c>
      <c r="G600" s="67">
        <f>E600/'Lookup Tables'!$C$48</f>
        <v>16.311192785064708</v>
      </c>
      <c r="H600" s="70">
        <f t="shared" si="60"/>
        <v>5.1241043549790921E-2</v>
      </c>
      <c r="I600" s="71">
        <f t="shared" si="64"/>
        <v>2.348811761049318E-2</v>
      </c>
      <c r="L600" s="74"/>
      <c r="M600" s="74"/>
      <c r="N600" s="74"/>
      <c r="O600" s="74"/>
      <c r="P600" s="74"/>
      <c r="Q600" s="74"/>
      <c r="R600" s="74"/>
      <c r="S600" s="74"/>
      <c r="T600" s="74"/>
      <c r="U600" s="74"/>
      <c r="V600" s="74"/>
      <c r="W600" s="74"/>
      <c r="X600" s="74"/>
      <c r="Y600" s="74"/>
      <c r="Z600" s="74"/>
    </row>
    <row r="601" spans="1:26" x14ac:dyDescent="0.3">
      <c r="A601" s="66">
        <f t="shared" si="62"/>
        <v>2049.399999999946</v>
      </c>
      <c r="B601" s="67">
        <f>LOOKUP(A601+0.01,AmountsB!$A$4:$A$103,AmountsB!$B$4:$B$103)*0.1*$A$2</f>
        <v>0</v>
      </c>
      <c r="C601" s="68">
        <f t="shared" si="61"/>
        <v>83655.233518999943</v>
      </c>
      <c r="D601" s="67">
        <f t="array" ref="D601">SUM($B$7:$B596*$F$1009*EXP(-$F$1009*($A601-$A$7:$A596)))*$F$1010</f>
        <v>4271997.7333116978</v>
      </c>
      <c r="E601" s="67">
        <f t="shared" si="59"/>
        <v>8.1441865463387639</v>
      </c>
      <c r="F601" s="70">
        <f t="shared" si="63"/>
        <v>0.49451500709368973</v>
      </c>
      <c r="G601" s="67">
        <f>E601/'Lookup Tables'!$C$48</f>
        <v>16.288373092677528</v>
      </c>
      <c r="H601" s="70">
        <f t="shared" si="60"/>
        <v>5.1169356281617923E-2</v>
      </c>
      <c r="I601" s="71">
        <f t="shared" si="64"/>
        <v>2.3455257253455642E-2</v>
      </c>
      <c r="L601" s="74"/>
      <c r="M601" s="74"/>
      <c r="N601" s="74"/>
      <c r="O601" s="74"/>
      <c r="P601" s="74"/>
      <c r="Q601" s="74"/>
      <c r="R601" s="74"/>
      <c r="S601" s="74"/>
      <c r="T601" s="74"/>
      <c r="U601" s="74"/>
      <c r="V601" s="74"/>
      <c r="W601" s="74"/>
      <c r="X601" s="74"/>
      <c r="Y601" s="74"/>
      <c r="Z601" s="74"/>
    </row>
    <row r="602" spans="1:26" x14ac:dyDescent="0.3">
      <c r="A602" s="66">
        <f t="shared" si="62"/>
        <v>2049.4999999999459</v>
      </c>
      <c r="B602" s="67">
        <f>LOOKUP(A602+0.01,AmountsB!$A$4:$A$103,AmountsB!$B$4:$B$103)*0.1*$A$2</f>
        <v>0</v>
      </c>
      <c r="C602" s="68">
        <f t="shared" si="61"/>
        <v>83655.233518999943</v>
      </c>
      <c r="D602" s="67">
        <f t="array" ref="D602">SUM($B$7:$B597*$F$1009*EXP(-$F$1009*($A602-$A$7:$A597)))*$F$1010</f>
        <v>4266021.1210898012</v>
      </c>
      <c r="E602" s="67">
        <f t="shared" si="59"/>
        <v>8.1327926627534097</v>
      </c>
      <c r="F602" s="70">
        <f t="shared" si="63"/>
        <v>0.493823170482387</v>
      </c>
      <c r="G602" s="67">
        <f>E602/'Lookup Tables'!$C$48</f>
        <v>16.265585325506819</v>
      </c>
      <c r="H602" s="70">
        <f t="shared" si="60"/>
        <v>5.109776930539961E-2</v>
      </c>
      <c r="I602" s="71">
        <f t="shared" si="64"/>
        <v>2.3422442868729819E-2</v>
      </c>
      <c r="L602" s="74"/>
      <c r="M602" s="74"/>
      <c r="N602" s="74"/>
      <c r="O602" s="74"/>
      <c r="P602" s="74"/>
      <c r="Q602" s="74"/>
      <c r="R602" s="74"/>
      <c r="S602" s="74"/>
      <c r="T602" s="74"/>
      <c r="U602" s="74"/>
      <c r="V602" s="74"/>
      <c r="W602" s="74"/>
      <c r="X602" s="74"/>
      <c r="Y602" s="74"/>
      <c r="Z602" s="74"/>
    </row>
    <row r="603" spans="1:26" x14ac:dyDescent="0.3">
      <c r="A603" s="66">
        <f t="shared" si="62"/>
        <v>2049.5999999999458</v>
      </c>
      <c r="B603" s="67">
        <f>LOOKUP(A603+0.01,AmountsB!$A$4:$A$103,AmountsB!$B$4:$B$103)*0.1*$A$2</f>
        <v>0</v>
      </c>
      <c r="C603" s="68">
        <f t="shared" si="61"/>
        <v>83655.233518999943</v>
      </c>
      <c r="D603" s="67">
        <f t="array" ref="D603">SUM($B$7:$B598*$F$1009*EXP(-$F$1009*($A603-$A$7:$A598)))*$F$1010</f>
        <v>4260052.8702706704</v>
      </c>
      <c r="E603" s="67">
        <f t="shared" si="59"/>
        <v>8.1214147194442816</v>
      </c>
      <c r="F603" s="70">
        <f t="shared" si="63"/>
        <v>0.49313230176465672</v>
      </c>
      <c r="G603" s="67">
        <f>E603/'Lookup Tables'!$C$48</f>
        <v>16.242829438888563</v>
      </c>
      <c r="H603" s="70">
        <f t="shared" si="60"/>
        <v>5.1026282480825511E-2</v>
      </c>
      <c r="I603" s="71">
        <f t="shared" si="64"/>
        <v>2.3389674391999529E-2</v>
      </c>
      <c r="L603" s="74"/>
      <c r="M603" s="74"/>
      <c r="N603" s="74"/>
      <c r="O603" s="74"/>
      <c r="P603" s="74"/>
      <c r="Q603" s="74"/>
      <c r="R603" s="74"/>
      <c r="S603" s="74"/>
      <c r="T603" s="74"/>
      <c r="U603" s="74"/>
      <c r="V603" s="74"/>
      <c r="W603" s="74"/>
      <c r="X603" s="74"/>
      <c r="Y603" s="74"/>
      <c r="Z603" s="74"/>
    </row>
    <row r="604" spans="1:26" x14ac:dyDescent="0.3">
      <c r="A604" s="66">
        <f t="shared" si="62"/>
        <v>2049.6999999999457</v>
      </c>
      <c r="B604" s="67">
        <f>LOOKUP(A604+0.01,AmountsB!$A$4:$A$103,AmountsB!$B$4:$B$103)*0.1*$A$2</f>
        <v>0</v>
      </c>
      <c r="C604" s="68">
        <f t="shared" si="61"/>
        <v>83655.233518999943</v>
      </c>
      <c r="D604" s="67">
        <f t="array" ref="D604">SUM($B$7:$B599*$F$1009*EXP(-$F$1009*($A604-$A$7:$A599)))*$F$1010</f>
        <v>4254092.9691565279</v>
      </c>
      <c r="E604" s="67">
        <f t="shared" si="59"/>
        <v>8.1100526941106033</v>
      </c>
      <c r="F604" s="70">
        <f t="shared" si="63"/>
        <v>0.49244239958639585</v>
      </c>
      <c r="G604" s="67">
        <f>E604/'Lookup Tables'!$C$48</f>
        <v>16.220105388221207</v>
      </c>
      <c r="H604" s="70">
        <f t="shared" si="60"/>
        <v>5.095489566778142E-2</v>
      </c>
      <c r="I604" s="71">
        <f t="shared" si="64"/>
        <v>2.3356951759038538E-2</v>
      </c>
      <c r="L604" s="74"/>
      <c r="M604" s="74"/>
      <c r="N604" s="74"/>
      <c r="O604" s="74"/>
      <c r="P604" s="74"/>
      <c r="Q604" s="74"/>
      <c r="R604" s="74"/>
      <c r="S604" s="74"/>
      <c r="T604" s="74"/>
      <c r="U604" s="74"/>
      <c r="V604" s="74"/>
      <c r="W604" s="74"/>
      <c r="X604" s="74"/>
      <c r="Y604" s="74"/>
      <c r="Z604" s="74"/>
    </row>
    <row r="605" spans="1:26" x14ac:dyDescent="0.3">
      <c r="A605" s="66">
        <f t="shared" si="62"/>
        <v>2049.7999999999456</v>
      </c>
      <c r="B605" s="67">
        <f>LOOKUP(A605+0.01,AmountsB!$A$4:$A$103,AmountsB!$B$4:$B$103)*0.1*$A$2</f>
        <v>0</v>
      </c>
      <c r="C605" s="68">
        <f t="shared" si="61"/>
        <v>83655.233518999943</v>
      </c>
      <c r="D605" s="67">
        <f t="array" ref="D605">SUM($B$7:$B600*$F$1009*EXP(-$F$1009*($A605-$A$7:$A600)))*$F$1010</f>
        <v>4248141.4060659651</v>
      </c>
      <c r="E605" s="67">
        <f t="shared" si="59"/>
        <v>8.0987065644827965</v>
      </c>
      <c r="F605" s="70">
        <f t="shared" si="63"/>
        <v>0.49175346259539537</v>
      </c>
      <c r="G605" s="67">
        <f>E605/'Lookup Tables'!$C$48</f>
        <v>16.197413128965593</v>
      </c>
      <c r="H605" s="70">
        <f t="shared" si="60"/>
        <v>5.0883608726349103E-2</v>
      </c>
      <c r="I605" s="71">
        <f t="shared" si="64"/>
        <v>2.3324274905710454E-2</v>
      </c>
      <c r="L605" s="74"/>
      <c r="M605" s="74"/>
      <c r="N605" s="74"/>
      <c r="O605" s="74"/>
      <c r="P605" s="74"/>
      <c r="Q605" s="74"/>
      <c r="R605" s="74"/>
      <c r="S605" s="74"/>
      <c r="T605" s="74"/>
      <c r="U605" s="74"/>
      <c r="V605" s="74"/>
      <c r="W605" s="74"/>
      <c r="X605" s="74"/>
      <c r="Y605" s="74"/>
      <c r="Z605" s="74"/>
    </row>
    <row r="606" spans="1:26" x14ac:dyDescent="0.3">
      <c r="A606" s="66">
        <f t="shared" si="62"/>
        <v>2049.8999999999455</v>
      </c>
      <c r="B606" s="67">
        <f>LOOKUP(A606+0.01,AmountsB!$A$4:$A$103,AmountsB!$B$4:$B$103)*0.1*$A$2</f>
        <v>0</v>
      </c>
      <c r="C606" s="68">
        <f t="shared" si="61"/>
        <v>83655.233518999943</v>
      </c>
      <c r="D606" s="67">
        <f t="array" ref="D606">SUM($B$7:$B601*$F$1009*EXP(-$F$1009*($A606-$A$7:$A601)))*$F$1010</f>
        <v>4242198.1693339199</v>
      </c>
      <c r="E606" s="67">
        <f t="shared" si="59"/>
        <v>8.0873763083224528</v>
      </c>
      <c r="F606" s="70">
        <f t="shared" si="63"/>
        <v>0.49106548944133932</v>
      </c>
      <c r="G606" s="67">
        <f>E606/'Lookup Tables'!$C$48</f>
        <v>16.174752616644906</v>
      </c>
      <c r="H606" s="70">
        <f t="shared" si="60"/>
        <v>5.0812421516806205E-2</v>
      </c>
      <c r="I606" s="71">
        <f t="shared" si="64"/>
        <v>2.3291643767968665E-2</v>
      </c>
      <c r="L606" s="74"/>
      <c r="M606" s="74"/>
      <c r="N606" s="74"/>
      <c r="O606" s="74"/>
      <c r="P606" s="74"/>
      <c r="Q606" s="74"/>
      <c r="R606" s="74"/>
      <c r="S606" s="74"/>
      <c r="T606" s="74"/>
      <c r="U606" s="74"/>
      <c r="V606" s="74"/>
      <c r="W606" s="74"/>
      <c r="X606" s="74"/>
      <c r="Y606" s="74"/>
      <c r="Z606" s="74"/>
    </row>
    <row r="607" spans="1:26" x14ac:dyDescent="0.3">
      <c r="A607" s="66">
        <f t="shared" si="62"/>
        <v>2049.9999999999454</v>
      </c>
      <c r="B607" s="67">
        <f>LOOKUP(A607+0.01,AmountsB!$A$4:$A$103,AmountsB!$B$4:$B$103)*0.1*$A$2</f>
        <v>0</v>
      </c>
      <c r="C607" s="68">
        <f t="shared" si="61"/>
        <v>83655.233518999943</v>
      </c>
      <c r="D607" s="67">
        <f t="array" ref="D607">SUM($B$7:$B602*$F$1009*EXP(-$F$1009*($A607-$A$7:$A602)))*$F$1010</f>
        <v>4236263.2473116433</v>
      </c>
      <c r="E607" s="67">
        <f t="shared" si="59"/>
        <v>8.0760619034222589</v>
      </c>
      <c r="F607" s="70">
        <f t="shared" si="63"/>
        <v>0.49037847877579954</v>
      </c>
      <c r="G607" s="67">
        <f>E607/'Lookup Tables'!$C$48</f>
        <v>16.152123806844518</v>
      </c>
      <c r="H607" s="70">
        <f t="shared" si="60"/>
        <v>5.0741333899625742E-2</v>
      </c>
      <c r="I607" s="71">
        <f t="shared" si="64"/>
        <v>2.3259058281856104E-2</v>
      </c>
      <c r="L607" s="74"/>
      <c r="M607" s="74"/>
      <c r="N607" s="74"/>
      <c r="O607" s="74"/>
      <c r="P607" s="74"/>
      <c r="Q607" s="74"/>
      <c r="R607" s="74"/>
      <c r="S607" s="74"/>
      <c r="T607" s="74"/>
      <c r="U607" s="74"/>
      <c r="V607" s="74"/>
      <c r="W607" s="74"/>
      <c r="X607" s="74"/>
      <c r="Y607" s="74"/>
      <c r="Z607" s="74"/>
    </row>
    <row r="608" spans="1:26" x14ac:dyDescent="0.3">
      <c r="A608" s="66">
        <f t="shared" si="62"/>
        <v>2050.0999999999453</v>
      </c>
      <c r="B608" s="67">
        <f>LOOKUP(A608+0.01,AmountsB!$A$4:$A$103,AmountsB!$B$4:$B$103)*0.1*$A$2</f>
        <v>0</v>
      </c>
      <c r="C608" s="68">
        <f t="shared" si="61"/>
        <v>83655.233518999943</v>
      </c>
      <c r="D608" s="67">
        <f t="array" ref="D608">SUM($B$7:$B603*$F$1009*EXP(-$F$1009*($A608-$A$7:$A603)))*$F$1010</f>
        <v>4230336.6283666883</v>
      </c>
      <c r="E608" s="67">
        <f t="shared" si="59"/>
        <v>8.064763327605986</v>
      </c>
      <c r="F608" s="70">
        <f t="shared" si="63"/>
        <v>0.48969242925223544</v>
      </c>
      <c r="G608" s="67">
        <f>E608/'Lookup Tables'!$C$48</f>
        <v>16.129526655211972</v>
      </c>
      <c r="H608" s="70">
        <f t="shared" si="60"/>
        <v>5.067034573547597E-2</v>
      </c>
      <c r="I608" s="71">
        <f t="shared" si="64"/>
        <v>2.3226518383505236E-2</v>
      </c>
      <c r="L608" s="74"/>
      <c r="M608" s="74"/>
      <c r="N608" s="74"/>
      <c r="O608" s="74"/>
      <c r="P608" s="74"/>
      <c r="Q608" s="74"/>
      <c r="R608" s="74"/>
      <c r="S608" s="74"/>
      <c r="T608" s="74"/>
      <c r="U608" s="74"/>
      <c r="V608" s="74"/>
      <c r="W608" s="74"/>
      <c r="X608" s="74"/>
      <c r="Y608" s="74"/>
      <c r="Z608" s="74"/>
    </row>
    <row r="609" spans="1:26" x14ac:dyDescent="0.3">
      <c r="A609" s="66">
        <f t="shared" si="62"/>
        <v>2050.1999999999452</v>
      </c>
      <c r="B609" s="67">
        <f>LOOKUP(A609+0.01,AmountsB!$A$4:$A$103,AmountsB!$B$4:$B$103)*0.1*$A$2</f>
        <v>0</v>
      </c>
      <c r="C609" s="68">
        <f t="shared" si="61"/>
        <v>83655.233518999943</v>
      </c>
      <c r="D609" s="67">
        <f t="array" ref="D609">SUM($B$7:$B604*$F$1009*EXP(-$F$1009*($A609-$A$7:$A604)))*$F$1010</f>
        <v>4224418.3008828787</v>
      </c>
      <c r="E609" s="67">
        <f t="shared" si="59"/>
        <v>8.0534805587284115</v>
      </c>
      <c r="F609" s="70">
        <f t="shared" si="63"/>
        <v>0.48900733952598913</v>
      </c>
      <c r="G609" s="67">
        <f>E609/'Lookup Tables'!$C$48</f>
        <v>16.106961117456823</v>
      </c>
      <c r="H609" s="70">
        <f t="shared" si="60"/>
        <v>5.0599456885220051E-2</v>
      </c>
      <c r="I609" s="71">
        <f t="shared" si="64"/>
        <v>2.3194024009137826E-2</v>
      </c>
      <c r="L609" s="74"/>
      <c r="M609" s="74"/>
      <c r="N609" s="74"/>
      <c r="O609" s="74"/>
      <c r="P609" s="74"/>
      <c r="Q609" s="74"/>
      <c r="R609" s="74"/>
      <c r="S609" s="74"/>
      <c r="T609" s="74"/>
      <c r="U609" s="74"/>
      <c r="V609" s="74"/>
      <c r="W609" s="74"/>
      <c r="X609" s="74"/>
      <c r="Y609" s="74"/>
      <c r="Z609" s="74"/>
    </row>
    <row r="610" spans="1:26" x14ac:dyDescent="0.3">
      <c r="A610" s="66">
        <f t="shared" si="62"/>
        <v>2050.2999999999452</v>
      </c>
      <c r="B610" s="67">
        <f>LOOKUP(A610+0.01,AmountsB!$A$4:$A$103,AmountsB!$B$4:$B$103)*0.1*$A$2</f>
        <v>0</v>
      </c>
      <c r="C610" s="68">
        <f t="shared" si="61"/>
        <v>83655.233518999943</v>
      </c>
      <c r="D610" s="67">
        <f t="array" ref="D610">SUM($B$7:$B605*$F$1009*EXP(-$F$1009*($A610-$A$7:$A605)))*$F$1010</f>
        <v>4218508.2532602903</v>
      </c>
      <c r="E610" s="67">
        <f t="shared" si="59"/>
        <v>8.0422135746753121</v>
      </c>
      <c r="F610" s="70">
        <f t="shared" si="63"/>
        <v>0.48832320825428494</v>
      </c>
      <c r="G610" s="67">
        <f>E610/'Lookup Tables'!$C$48</f>
        <v>16.084427149350624</v>
      </c>
      <c r="H610" s="70">
        <f t="shared" si="60"/>
        <v>5.052866720991582E-2</v>
      </c>
      <c r="I610" s="71">
        <f t="shared" si="64"/>
        <v>2.3161575095064897E-2</v>
      </c>
      <c r="L610" s="74"/>
      <c r="M610" s="74"/>
      <c r="N610" s="74"/>
      <c r="O610" s="74"/>
      <c r="P610" s="74"/>
      <c r="Q610" s="74"/>
      <c r="R610" s="74"/>
      <c r="S610" s="74"/>
      <c r="T610" s="74"/>
      <c r="U610" s="74"/>
      <c r="V610" s="74"/>
      <c r="W610" s="74"/>
      <c r="X610" s="74"/>
      <c r="Y610" s="74"/>
      <c r="Z610" s="74"/>
    </row>
    <row r="611" spans="1:26" x14ac:dyDescent="0.3">
      <c r="A611" s="66">
        <f t="shared" si="62"/>
        <v>2050.3999999999451</v>
      </c>
      <c r="B611" s="67">
        <f>LOOKUP(A611+0.01,AmountsB!$A$4:$A$103,AmountsB!$B$4:$B$103)*0.1*$A$2</f>
        <v>0</v>
      </c>
      <c r="C611" s="68">
        <f t="shared" si="61"/>
        <v>83655.233518999943</v>
      </c>
      <c r="D611" s="67">
        <f t="array" ref="D611">SUM($B$7:$B606*$F$1009*EXP(-$F$1009*($A611-$A$7:$A606)))*$F$1010</f>
        <v>4212606.4739152305</v>
      </c>
      <c r="E611" s="67">
        <f t="shared" si="59"/>
        <v>8.030962353363396</v>
      </c>
      <c r="F611" s="70">
        <f t="shared" si="63"/>
        <v>0.48764003409622542</v>
      </c>
      <c r="G611" s="67">
        <f>E611/'Lookup Tables'!$C$48</f>
        <v>16.061924706726792</v>
      </c>
      <c r="H611" s="70">
        <f t="shared" si="60"/>
        <v>5.0457976570815528E-2</v>
      </c>
      <c r="I611" s="71">
        <f t="shared" si="64"/>
        <v>2.3129171577686583E-2</v>
      </c>
      <c r="L611" s="74"/>
      <c r="M611" s="74"/>
      <c r="N611" s="74"/>
      <c r="O611" s="74"/>
      <c r="P611" s="74"/>
      <c r="Q611" s="74"/>
      <c r="R611" s="74"/>
      <c r="S611" s="74"/>
      <c r="T611" s="74"/>
      <c r="U611" s="74"/>
      <c r="V611" s="74"/>
      <c r="W611" s="74"/>
      <c r="X611" s="74"/>
      <c r="Y611" s="74"/>
      <c r="Z611" s="74"/>
    </row>
    <row r="612" spans="1:26" x14ac:dyDescent="0.3">
      <c r="A612" s="66">
        <f t="shared" si="62"/>
        <v>2050.499999999945</v>
      </c>
      <c r="B612" s="67">
        <f>LOOKUP(A612+0.01,AmountsB!$A$4:$A$103,AmountsB!$B$4:$B$103)*0.1*$A$2</f>
        <v>0</v>
      </c>
      <c r="C612" s="68">
        <f t="shared" si="61"/>
        <v>83655.233518999943</v>
      </c>
      <c r="D612" s="67">
        <f t="array" ref="D612">SUM($B$7:$B607*$F$1009*EXP(-$F$1009*($A612-$A$7:$A607)))*$F$1010</f>
        <v>4206712.9512802074</v>
      </c>
      <c r="E612" s="67">
        <f t="shared" si="59"/>
        <v>8.0197268727402609</v>
      </c>
      <c r="F612" s="70">
        <f t="shared" si="63"/>
        <v>0.48695781571278862</v>
      </c>
      <c r="G612" s="67">
        <f>E612/'Lookup Tables'!$C$48</f>
        <v>16.039453745480522</v>
      </c>
      <c r="H612" s="70">
        <f t="shared" si="60"/>
        <v>5.0387384829365438E-2</v>
      </c>
      <c r="I612" s="71">
        <f t="shared" si="64"/>
        <v>2.3096813393491948E-2</v>
      </c>
      <c r="L612" s="74"/>
      <c r="M612" s="74"/>
      <c r="N612" s="74"/>
      <c r="O612" s="74"/>
      <c r="P612" s="74"/>
      <c r="Q612" s="74"/>
      <c r="R612" s="74"/>
      <c r="S612" s="74"/>
      <c r="T612" s="74"/>
      <c r="U612" s="74"/>
      <c r="V612" s="74"/>
      <c r="W612" s="74"/>
      <c r="X612" s="74"/>
      <c r="Y612" s="74"/>
      <c r="Z612" s="74"/>
    </row>
    <row r="613" spans="1:26" x14ac:dyDescent="0.3">
      <c r="A613" s="66">
        <f t="shared" si="62"/>
        <v>2050.5999999999449</v>
      </c>
      <c r="B613" s="67">
        <f>LOOKUP(A613+0.01,AmountsB!$A$4:$A$103,AmountsB!$B$4:$B$103)*0.1*$A$2</f>
        <v>0</v>
      </c>
      <c r="C613" s="68">
        <f t="shared" si="61"/>
        <v>83655.233518999943</v>
      </c>
      <c r="D613" s="67">
        <f t="array" ref="D613">SUM($B$7:$B608*$F$1009*EXP(-$F$1009*($A613-$A$7:$A608)))*$F$1010</f>
        <v>4200827.6738039153</v>
      </c>
      <c r="E613" s="67">
        <f t="shared" si="59"/>
        <v>8.0085071107843628</v>
      </c>
      <c r="F613" s="70">
        <f t="shared" si="63"/>
        <v>0.48627655176682649</v>
      </c>
      <c r="G613" s="67">
        <f>E613/'Lookup Tables'!$C$48</f>
        <v>16.017014221568726</v>
      </c>
      <c r="H613" s="70">
        <f t="shared" si="60"/>
        <v>5.0316891847205746E-2</v>
      </c>
      <c r="I613" s="71">
        <f t="shared" si="64"/>
        <v>2.3064500479058968E-2</v>
      </c>
      <c r="L613" s="74"/>
      <c r="M613" s="74"/>
      <c r="N613" s="74"/>
      <c r="O613" s="74"/>
      <c r="P613" s="74"/>
      <c r="Q613" s="74"/>
      <c r="R613" s="74"/>
      <c r="S613" s="74"/>
      <c r="T613" s="74"/>
      <c r="U613" s="74"/>
      <c r="V613" s="74"/>
      <c r="W613" s="74"/>
      <c r="X613" s="74"/>
      <c r="Y613" s="74"/>
      <c r="Z613" s="74"/>
    </row>
    <row r="614" spans="1:26" x14ac:dyDescent="0.3">
      <c r="A614" s="66">
        <f t="shared" si="62"/>
        <v>2050.6999999999448</v>
      </c>
      <c r="B614" s="67">
        <f>LOOKUP(A614+0.01,AmountsB!$A$4:$A$103,AmountsB!$B$4:$B$103)*0.1*$A$2</f>
        <v>0</v>
      </c>
      <c r="C614" s="68">
        <f t="shared" si="61"/>
        <v>83655.233518999943</v>
      </c>
      <c r="D614" s="67">
        <f t="array" ref="D614">SUM($B$7:$B609*$F$1009*EXP(-$F$1009*($A614-$A$7:$A609)))*$F$1010</f>
        <v>4194950.6299512107</v>
      </c>
      <c r="E614" s="67">
        <f t="shared" si="59"/>
        <v>7.9973030455049718</v>
      </c>
      <c r="F614" s="70">
        <f t="shared" si="63"/>
        <v>0.48559624092306186</v>
      </c>
      <c r="G614" s="67">
        <f>E614/'Lookup Tables'!$C$48</f>
        <v>15.994606091009944</v>
      </c>
      <c r="H614" s="70">
        <f t="shared" si="60"/>
        <v>5.0246497486170216E-2</v>
      </c>
      <c r="I614" s="71">
        <f t="shared" si="64"/>
        <v>2.3032232771054317E-2</v>
      </c>
      <c r="L614" s="74"/>
      <c r="M614" s="74"/>
      <c r="N614" s="74"/>
      <c r="O614" s="74"/>
      <c r="P614" s="74"/>
      <c r="Q614" s="74"/>
      <c r="R614" s="74"/>
      <c r="S614" s="74"/>
      <c r="T614" s="74"/>
      <c r="U614" s="74"/>
      <c r="V614" s="74"/>
      <c r="W614" s="74"/>
      <c r="X614" s="74"/>
      <c r="Y614" s="74"/>
      <c r="Z614" s="74"/>
    </row>
    <row r="615" spans="1:26" x14ac:dyDescent="0.3">
      <c r="A615" s="66">
        <f t="shared" si="62"/>
        <v>2050.7999999999447</v>
      </c>
      <c r="B615" s="67">
        <f>LOOKUP(A615+0.01,AmountsB!$A$4:$A$103,AmountsB!$B$4:$B$103)*0.1*$A$2</f>
        <v>0</v>
      </c>
      <c r="C615" s="68">
        <f t="shared" si="61"/>
        <v>83655.233518999943</v>
      </c>
      <c r="D615" s="67">
        <f t="array" ref="D615">SUM($B$7:$B610*$F$1009*EXP(-$F$1009*($A615-$A$7:$A610)))*$F$1010</f>
        <v>4189081.8082030802</v>
      </c>
      <c r="E615" s="67">
        <f t="shared" si="59"/>
        <v>7.9861146549421012</v>
      </c>
      <c r="F615" s="70">
        <f t="shared" si="63"/>
        <v>0.4849168818480844</v>
      </c>
      <c r="G615" s="67">
        <f>E615/'Lookup Tables'!$C$48</f>
        <v>15.972229309884202</v>
      </c>
      <c r="H615" s="70">
        <f t="shared" si="60"/>
        <v>5.0176201608285786E-2</v>
      </c>
      <c r="I615" s="71">
        <f t="shared" si="64"/>
        <v>2.3000010206233251E-2</v>
      </c>
      <c r="L615" s="74"/>
      <c r="M615" s="74"/>
      <c r="N615" s="74"/>
      <c r="O615" s="74"/>
      <c r="P615" s="74"/>
      <c r="Q615" s="74"/>
      <c r="R615" s="74"/>
      <c r="S615" s="74"/>
      <c r="T615" s="74"/>
      <c r="U615" s="74"/>
      <c r="V615" s="74"/>
      <c r="W615" s="74"/>
      <c r="X615" s="74"/>
      <c r="Y615" s="74"/>
      <c r="Z615" s="74"/>
    </row>
    <row r="616" spans="1:26" x14ac:dyDescent="0.3">
      <c r="A616" s="66">
        <f t="shared" si="62"/>
        <v>2050.8999999999446</v>
      </c>
      <c r="B616" s="67">
        <f>LOOKUP(A616+0.01,AmountsB!$A$4:$A$103,AmountsB!$B$4:$B$103)*0.1*$A$2</f>
        <v>0</v>
      </c>
      <c r="C616" s="68">
        <f t="shared" si="61"/>
        <v>83655.233518999943</v>
      </c>
      <c r="D616" s="67">
        <f t="array" ref="D616">SUM($B$7:$B611*$F$1009*EXP(-$F$1009*($A616-$A$7:$A611)))*$F$1010</f>
        <v>4183221.1970566381</v>
      </c>
      <c r="E616" s="67">
        <f t="shared" si="59"/>
        <v>7.9749419171665181</v>
      </c>
      <c r="F616" s="70">
        <f t="shared" si="63"/>
        <v>0.48423847321035096</v>
      </c>
      <c r="G616" s="67">
        <f>E616/'Lookup Tables'!$C$48</f>
        <v>15.949883834333036</v>
      </c>
      <c r="H616" s="70">
        <f t="shared" si="60"/>
        <v>5.0106004075772627E-2</v>
      </c>
      <c r="I616" s="71">
        <f t="shared" si="64"/>
        <v>2.2967832721439572E-2</v>
      </c>
      <c r="L616" s="74"/>
      <c r="M616" s="74"/>
      <c r="N616" s="74"/>
      <c r="O616" s="74"/>
      <c r="P616" s="74"/>
      <c r="Q616" s="74"/>
      <c r="R616" s="74"/>
      <c r="S616" s="74"/>
      <c r="T616" s="74"/>
      <c r="U616" s="74"/>
      <c r="V616" s="74"/>
      <c r="W616" s="74"/>
      <c r="X616" s="74"/>
      <c r="Y616" s="74"/>
      <c r="Z616" s="74"/>
    </row>
    <row r="617" spans="1:26" x14ac:dyDescent="0.3">
      <c r="A617" s="66">
        <f t="shared" si="62"/>
        <v>2050.9999999999445</v>
      </c>
      <c r="B617" s="67">
        <f>LOOKUP(A617+0.01,AmountsB!$A$4:$A$103,AmountsB!$B$4:$B$103)*0.1*$A$2</f>
        <v>0</v>
      </c>
      <c r="C617" s="68">
        <f t="shared" si="61"/>
        <v>83655.233518999943</v>
      </c>
      <c r="D617" s="67">
        <f t="array" ref="D617">SUM($B$7:$B612*$F$1009*EXP(-$F$1009*($A617-$A$7:$A612)))*$F$1010</f>
        <v>4177368.7850250797</v>
      </c>
      <c r="E617" s="67">
        <f t="shared" si="59"/>
        <v>7.9637848102796438</v>
      </c>
      <c r="F617" s="70">
        <f t="shared" si="63"/>
        <v>0.48356101368017995</v>
      </c>
      <c r="G617" s="67">
        <f>E617/'Lookup Tables'!$C$48</f>
        <v>15.927569620559288</v>
      </c>
      <c r="H617" s="70">
        <f t="shared" si="60"/>
        <v>5.003590475104347E-2</v>
      </c>
      <c r="I617" s="71">
        <f t="shared" si="64"/>
        <v>2.2935700253605373E-2</v>
      </c>
      <c r="L617" s="74"/>
      <c r="M617" s="74"/>
      <c r="N617" s="74"/>
      <c r="O617" s="74"/>
      <c r="P617" s="74"/>
      <c r="Q617" s="74"/>
      <c r="R617" s="74"/>
      <c r="S617" s="74"/>
      <c r="T617" s="74"/>
      <c r="U617" s="74"/>
      <c r="V617" s="74"/>
      <c r="W617" s="74"/>
      <c r="X617" s="74"/>
      <c r="Y617" s="74"/>
      <c r="Z617" s="74"/>
    </row>
    <row r="618" spans="1:26" x14ac:dyDescent="0.3">
      <c r="A618" s="66">
        <f t="shared" si="62"/>
        <v>2051.0999999999444</v>
      </c>
      <c r="B618" s="67">
        <f>LOOKUP(A618+0.01,AmountsB!$A$4:$A$103,AmountsB!$B$4:$B$103)*0.1*$A$2</f>
        <v>0</v>
      </c>
      <c r="C618" s="68">
        <f t="shared" si="61"/>
        <v>83655.233518999943</v>
      </c>
      <c r="D618" s="67">
        <f t="array" ref="D618">SUM($B$7:$B613*$F$1009*EXP(-$F$1009*($A618-$A$7:$A613)))*$F$1010</f>
        <v>4171524.5606376766</v>
      </c>
      <c r="E618" s="67">
        <f t="shared" si="59"/>
        <v>7.9526433124135441</v>
      </c>
      <c r="F618" s="70">
        <f t="shared" si="63"/>
        <v>0.48288450192975035</v>
      </c>
      <c r="G618" s="67">
        <f>E618/'Lookup Tables'!$C$48</f>
        <v>15.905286624827088</v>
      </c>
      <c r="H618" s="70">
        <f t="shared" si="60"/>
        <v>4.9965903496703636E-2</v>
      </c>
      <c r="I618" s="71">
        <f t="shared" si="64"/>
        <v>2.2903612739751007E-2</v>
      </c>
      <c r="L618" s="74"/>
      <c r="M618" s="74"/>
      <c r="N618" s="74"/>
      <c r="O618" s="74"/>
      <c r="P618" s="74"/>
      <c r="Q618" s="74"/>
      <c r="R618" s="74"/>
      <c r="S618" s="74"/>
      <c r="T618" s="74"/>
      <c r="U618" s="74"/>
      <c r="V618" s="74"/>
      <c r="W618" s="74"/>
      <c r="X618" s="74"/>
      <c r="Y618" s="74"/>
      <c r="Z618" s="74"/>
    </row>
    <row r="619" spans="1:26" x14ac:dyDescent="0.3">
      <c r="A619" s="66">
        <f t="shared" si="62"/>
        <v>2051.1999999999443</v>
      </c>
      <c r="B619" s="67">
        <f>LOOKUP(A619+0.01,AmountsB!$A$4:$A$103,AmountsB!$B$4:$B$103)*0.1*$A$2</f>
        <v>0</v>
      </c>
      <c r="C619" s="68">
        <f t="shared" si="61"/>
        <v>83655.233518999943</v>
      </c>
      <c r="D619" s="67">
        <f t="array" ref="D619">SUM($B$7:$B614*$F$1009*EXP(-$F$1009*($A619-$A$7:$A614)))*$F$1010</f>
        <v>4165688.5124397506</v>
      </c>
      <c r="E619" s="67">
        <f t="shared" si="59"/>
        <v>7.9415174017308878</v>
      </c>
      <c r="F619" s="70">
        <f t="shared" si="63"/>
        <v>0.48220893663309949</v>
      </c>
      <c r="G619" s="67">
        <f>E619/'Lookup Tables'!$C$48</f>
        <v>15.883034803461776</v>
      </c>
      <c r="H619" s="70">
        <f t="shared" si="60"/>
        <v>4.9896000175550681E-2</v>
      </c>
      <c r="I619" s="71">
        <f t="shared" si="64"/>
        <v>2.2871570116984957E-2</v>
      </c>
      <c r="L619" s="74"/>
      <c r="M619" s="74"/>
      <c r="N619" s="74"/>
      <c r="O619" s="74"/>
      <c r="P619" s="74"/>
      <c r="Q619" s="74"/>
      <c r="R619" s="74"/>
      <c r="S619" s="74"/>
      <c r="T619" s="74"/>
      <c r="U619" s="74"/>
      <c r="V619" s="74"/>
      <c r="W619" s="74"/>
      <c r="X619" s="74"/>
      <c r="Y619" s="74"/>
      <c r="Z619" s="74"/>
    </row>
    <row r="620" spans="1:26" x14ac:dyDescent="0.3">
      <c r="A620" s="66">
        <f t="shared" si="62"/>
        <v>2051.2999999999442</v>
      </c>
      <c r="B620" s="67">
        <f>LOOKUP(A620+0.01,AmountsB!$A$4:$A$103,AmountsB!$B$4:$B$103)*0.1*$A$2</f>
        <v>0</v>
      </c>
      <c r="C620" s="68">
        <f t="shared" si="61"/>
        <v>83655.233518999943</v>
      </c>
      <c r="D620" s="67">
        <f t="array" ref="D620">SUM($B$7:$B615*$F$1009*EXP(-$F$1009*($A620-$A$7:$A615)))*$F$1010</f>
        <v>4159860.6289926404</v>
      </c>
      <c r="E620" s="67">
        <f t="shared" si="59"/>
        <v>7.9304070564248779</v>
      </c>
      <c r="F620" s="70">
        <f t="shared" si="63"/>
        <v>0.48153431646611855</v>
      </c>
      <c r="G620" s="67">
        <f>E620/'Lookup Tables'!$C$48</f>
        <v>15.860814112849756</v>
      </c>
      <c r="H620" s="70">
        <f t="shared" si="60"/>
        <v>4.9826194650574022E-2</v>
      </c>
      <c r="I620" s="71">
        <f t="shared" si="64"/>
        <v>2.2839572322503648E-2</v>
      </c>
      <c r="L620" s="74"/>
      <c r="M620" s="74"/>
      <c r="N620" s="74"/>
      <c r="O620" s="74"/>
      <c r="P620" s="74"/>
      <c r="Q620" s="74"/>
      <c r="R620" s="74"/>
      <c r="S620" s="74"/>
      <c r="T620" s="74"/>
      <c r="U620" s="74"/>
      <c r="V620" s="74"/>
      <c r="W620" s="74"/>
      <c r="X620" s="74"/>
      <c r="Y620" s="74"/>
      <c r="Z620" s="74"/>
    </row>
    <row r="621" spans="1:26" x14ac:dyDescent="0.3">
      <c r="A621" s="66">
        <f t="shared" si="62"/>
        <v>2051.3999999999442</v>
      </c>
      <c r="B621" s="67">
        <f>LOOKUP(A621+0.01,AmountsB!$A$4:$A$103,AmountsB!$B$4:$B$103)*0.1*$A$2</f>
        <v>0</v>
      </c>
      <c r="C621" s="68">
        <f t="shared" si="61"/>
        <v>83655.233518999943</v>
      </c>
      <c r="D621" s="67">
        <f t="array" ref="D621">SUM($B$7:$B616*$F$1009*EXP(-$F$1009*($A621-$A$7:$A616)))*$F$1010</f>
        <v>4154040.8988736961</v>
      </c>
      <c r="E621" s="67">
        <f t="shared" si="59"/>
        <v>7.9193122547192392</v>
      </c>
      <c r="F621" s="70">
        <f t="shared" si="63"/>
        <v>0.48086064010655216</v>
      </c>
      <c r="G621" s="67">
        <f>E621/'Lookup Tables'!$C$48</f>
        <v>15.838624509438478</v>
      </c>
      <c r="H621" s="70">
        <f t="shared" si="60"/>
        <v>4.975648678495484E-2</v>
      </c>
      <c r="I621" s="71">
        <f t="shared" si="64"/>
        <v>2.2807619293591409E-2</v>
      </c>
      <c r="L621" s="74"/>
      <c r="M621" s="74"/>
      <c r="N621" s="74"/>
      <c r="O621" s="74"/>
      <c r="P621" s="74"/>
      <c r="Q621" s="74"/>
      <c r="R621" s="74"/>
      <c r="S621" s="74"/>
      <c r="T621" s="74"/>
      <c r="U621" s="74"/>
      <c r="V621" s="74"/>
      <c r="W621" s="74"/>
      <c r="X621" s="74"/>
      <c r="Y621" s="74"/>
      <c r="Z621" s="74"/>
    </row>
    <row r="622" spans="1:26" x14ac:dyDescent="0.3">
      <c r="A622" s="66">
        <f t="shared" si="62"/>
        <v>2051.4999999999441</v>
      </c>
      <c r="B622" s="67">
        <f>LOOKUP(A622+0.01,AmountsB!$A$4:$A$103,AmountsB!$B$4:$B$103)*0.1*$A$2</f>
        <v>0</v>
      </c>
      <c r="C622" s="68">
        <f t="shared" si="61"/>
        <v>83655.233518999943</v>
      </c>
      <c r="D622" s="67">
        <f t="array" ref="D622">SUM($B$7:$B617*$F$1009*EXP(-$F$1009*($A622-$A$7:$A617)))*$F$1010</f>
        <v>4148229.3106762418</v>
      </c>
      <c r="E622" s="67">
        <f t="shared" si="59"/>
        <v>7.9082329748681532</v>
      </c>
      <c r="F622" s="70">
        <f t="shared" si="63"/>
        <v>0.48018790623399421</v>
      </c>
      <c r="G622" s="67">
        <f>E622/'Lookup Tables'!$C$48</f>
        <v>15.816465949736306</v>
      </c>
      <c r="H622" s="70">
        <f t="shared" si="60"/>
        <v>4.9686876442065674E-2</v>
      </c>
      <c r="I622" s="71">
        <f t="shared" si="64"/>
        <v>2.277571096762028E-2</v>
      </c>
      <c r="L622" s="74"/>
      <c r="M622" s="74"/>
      <c r="N622" s="74"/>
      <c r="O622" s="74"/>
      <c r="P622" s="74"/>
      <c r="Q622" s="74"/>
      <c r="R622" s="74"/>
      <c r="S622" s="74"/>
      <c r="T622" s="74"/>
      <c r="U622" s="74"/>
      <c r="V622" s="74"/>
      <c r="W622" s="74"/>
      <c r="X622" s="74"/>
      <c r="Y622" s="74"/>
      <c r="Z622" s="74"/>
    </row>
    <row r="623" spans="1:26" x14ac:dyDescent="0.3">
      <c r="A623" s="66">
        <f t="shared" si="62"/>
        <v>2051.599999999944</v>
      </c>
      <c r="B623" s="67">
        <f>LOOKUP(A623+0.01,AmountsB!$A$4:$A$103,AmountsB!$B$4:$B$103)*0.1*$A$2</f>
        <v>0</v>
      </c>
      <c r="C623" s="68">
        <f t="shared" si="61"/>
        <v>83655.233518999943</v>
      </c>
      <c r="D623" s="67">
        <f t="array" ref="D623">SUM($B$7:$B618*$F$1009*EXP(-$F$1009*($A623-$A$7:$A618)))*$F$1010</f>
        <v>4142425.8530095648</v>
      </c>
      <c r="E623" s="67">
        <f t="shared" si="59"/>
        <v>7.8971691951562297</v>
      </c>
      <c r="F623" s="70">
        <f t="shared" si="63"/>
        <v>0.47951611352988627</v>
      </c>
      <c r="G623" s="67">
        <f>E623/'Lookup Tables'!$C$48</f>
        <v>15.794338390312459</v>
      </c>
      <c r="H623" s="70">
        <f t="shared" si="60"/>
        <v>4.9617363485470252E-2</v>
      </c>
      <c r="I623" s="71">
        <f t="shared" si="64"/>
        <v>2.2743847282049943E-2</v>
      </c>
      <c r="L623" s="74"/>
      <c r="M623" s="74"/>
      <c r="N623" s="74"/>
      <c r="O623" s="74"/>
      <c r="P623" s="74"/>
      <c r="Q623" s="74"/>
      <c r="R623" s="74"/>
      <c r="S623" s="74"/>
      <c r="T623" s="74"/>
      <c r="U623" s="74"/>
      <c r="V623" s="74"/>
      <c r="W623" s="74"/>
      <c r="X623" s="74"/>
      <c r="Y623" s="74"/>
      <c r="Z623" s="74"/>
    </row>
    <row r="624" spans="1:26" x14ac:dyDescent="0.3">
      <c r="A624" s="66">
        <f t="shared" si="62"/>
        <v>2051.6999999999439</v>
      </c>
      <c r="B624" s="67">
        <f>LOOKUP(A624+0.01,AmountsB!$A$4:$A$103,AmountsB!$B$4:$B$103)*0.1*$A$2</f>
        <v>0</v>
      </c>
      <c r="C624" s="68">
        <f t="shared" si="61"/>
        <v>83655.233518999943</v>
      </c>
      <c r="D624" s="67">
        <f t="array" ref="D624">SUM($B$7:$B619*$F$1009*EXP(-$F$1009*($A624-$A$7:$A619)))*$F$1010</f>
        <v>4136630.5144988867</v>
      </c>
      <c r="E624" s="67">
        <f t="shared" si="59"/>
        <v>7.8861208938984584</v>
      </c>
      <c r="F624" s="70">
        <f t="shared" si="63"/>
        <v>0.47884526067751437</v>
      </c>
      <c r="G624" s="67">
        <f>E624/'Lookup Tables'!$C$48</f>
        <v>15.772241787796917</v>
      </c>
      <c r="H624" s="70">
        <f t="shared" si="60"/>
        <v>4.9547947778923136E-2</v>
      </c>
      <c r="I624" s="71">
        <f t="shared" si="64"/>
        <v>2.2712028174427561E-2</v>
      </c>
      <c r="L624" s="74"/>
      <c r="M624" s="74"/>
      <c r="N624" s="74"/>
      <c r="O624" s="74"/>
      <c r="P624" s="74"/>
      <c r="Q624" s="74"/>
      <c r="R624" s="74"/>
      <c r="S624" s="74"/>
      <c r="T624" s="74"/>
      <c r="U624" s="74"/>
      <c r="V624" s="74"/>
      <c r="W624" s="74"/>
      <c r="X624" s="74"/>
      <c r="Y624" s="74"/>
      <c r="Z624" s="74"/>
    </row>
    <row r="625" spans="1:26" x14ac:dyDescent="0.3">
      <c r="A625" s="66">
        <f t="shared" si="62"/>
        <v>2051.7999999999438</v>
      </c>
      <c r="B625" s="67">
        <f>LOOKUP(A625+0.01,AmountsB!$A$4:$A$103,AmountsB!$B$4:$B$103)*0.1*$A$2</f>
        <v>0</v>
      </c>
      <c r="C625" s="68">
        <f t="shared" si="61"/>
        <v>83655.233518999943</v>
      </c>
      <c r="D625" s="67">
        <f t="array" ref="D625">SUM($B$7:$B620*$F$1009*EXP(-$F$1009*($A625-$A$7:$A620)))*$F$1010</f>
        <v>4130843.2837853422</v>
      </c>
      <c r="E625" s="67">
        <f t="shared" si="59"/>
        <v>7.8750880494401656</v>
      </c>
      <c r="F625" s="70">
        <f t="shared" si="63"/>
        <v>0.47817534636200687</v>
      </c>
      <c r="G625" s="67">
        <f>E625/'Lookup Tables'!$C$48</f>
        <v>15.750176098880331</v>
      </c>
      <c r="H625" s="70">
        <f t="shared" si="60"/>
        <v>4.9478629186369548E-2</v>
      </c>
      <c r="I625" s="71">
        <f t="shared" si="64"/>
        <v>2.2680253582387674E-2</v>
      </c>
      <c r="L625" s="74"/>
      <c r="M625" s="74"/>
      <c r="N625" s="74"/>
      <c r="O625" s="74"/>
      <c r="P625" s="74"/>
      <c r="Q625" s="74"/>
      <c r="R625" s="74"/>
      <c r="S625" s="74"/>
      <c r="T625" s="74"/>
      <c r="U625" s="74"/>
      <c r="V625" s="74"/>
      <c r="W625" s="74"/>
      <c r="X625" s="74"/>
      <c r="Y625" s="74"/>
      <c r="Z625" s="74"/>
    </row>
    <row r="626" spans="1:26" x14ac:dyDescent="0.3">
      <c r="A626" s="66">
        <f t="shared" si="62"/>
        <v>2051.8999999999437</v>
      </c>
      <c r="B626" s="67">
        <f>LOOKUP(A626+0.01,AmountsB!$A$4:$A$103,AmountsB!$B$4:$B$103)*0.1*$A$2</f>
        <v>0</v>
      </c>
      <c r="C626" s="68">
        <f t="shared" si="61"/>
        <v>83655.233518999943</v>
      </c>
      <c r="D626" s="67">
        <f t="array" ref="D626">SUM($B$7:$B621*$F$1009*EXP(-$F$1009*($A626-$A$7:$A621)))*$F$1010</f>
        <v>4125064.1495259544</v>
      </c>
      <c r="E626" s="67">
        <f t="shared" si="59"/>
        <v>7.8640706401569673</v>
      </c>
      <c r="F626" s="70">
        <f t="shared" si="63"/>
        <v>0.47750636927033108</v>
      </c>
      <c r="G626" s="67">
        <f>E626/'Lookup Tables'!$C$48</f>
        <v>15.728141280313935</v>
      </c>
      <c r="H626" s="70">
        <f t="shared" si="60"/>
        <v>4.9409407571944987E-2</v>
      </c>
      <c r="I626" s="71">
        <f t="shared" si="64"/>
        <v>2.2648523443652067E-2</v>
      </c>
      <c r="L626" s="74"/>
      <c r="M626" s="74"/>
      <c r="N626" s="74"/>
      <c r="O626" s="74"/>
      <c r="P626" s="74"/>
      <c r="Q626" s="74"/>
      <c r="R626" s="74"/>
      <c r="S626" s="74"/>
      <c r="T626" s="74"/>
      <c r="U626" s="74"/>
      <c r="V626" s="74"/>
      <c r="W626" s="74"/>
      <c r="X626" s="74"/>
      <c r="Y626" s="74"/>
      <c r="Z626" s="74"/>
    </row>
    <row r="627" spans="1:26" x14ac:dyDescent="0.3">
      <c r="A627" s="66">
        <f t="shared" si="62"/>
        <v>2051.9999999999436</v>
      </c>
      <c r="B627" s="67">
        <f>LOOKUP(A627+0.01,AmountsB!$A$4:$A$103,AmountsB!$B$4:$B$103)*0.1*$A$2</f>
        <v>0</v>
      </c>
      <c r="C627" s="68">
        <f t="shared" si="61"/>
        <v>83655.233518999943</v>
      </c>
      <c r="D627" s="67">
        <f t="array" ref="D627">SUM($B$7:$B622*$F$1009*EXP(-$F$1009*($A627-$A$7:$A622)))*$F$1010</f>
        <v>4119293.1003936203</v>
      </c>
      <c r="E627" s="67">
        <f t="shared" si="59"/>
        <v>7.8530686444547406</v>
      </c>
      <c r="F627" s="70">
        <f t="shared" si="63"/>
        <v>0.4768383280912919</v>
      </c>
      <c r="G627" s="67">
        <f>E627/'Lookup Tables'!$C$48</f>
        <v>15.706137288909481</v>
      </c>
      <c r="H627" s="70">
        <f t="shared" si="60"/>
        <v>4.9340282799975071E-2</v>
      </c>
      <c r="I627" s="71">
        <f t="shared" si="64"/>
        <v>2.2616837696029651E-2</v>
      </c>
      <c r="L627" s="74"/>
      <c r="M627" s="74"/>
      <c r="N627" s="74"/>
      <c r="O627" s="74"/>
      <c r="P627" s="74"/>
      <c r="Q627" s="74"/>
      <c r="R627" s="74"/>
      <c r="S627" s="74"/>
      <c r="T627" s="74"/>
      <c r="U627" s="74"/>
      <c r="V627" s="74"/>
      <c r="W627" s="74"/>
      <c r="X627" s="74"/>
      <c r="Y627" s="74"/>
      <c r="Z627" s="74"/>
    </row>
    <row r="628" spans="1:26" x14ac:dyDescent="0.3">
      <c r="A628" s="66">
        <f t="shared" si="62"/>
        <v>2052.0999999999435</v>
      </c>
      <c r="B628" s="67">
        <f>LOOKUP(A628+0.01,AmountsB!$A$4:$A$103,AmountsB!$B$4:$B$103)*0.1*$A$2</f>
        <v>0</v>
      </c>
      <c r="C628" s="68">
        <f t="shared" si="61"/>
        <v>83655.233518999943</v>
      </c>
      <c r="D628" s="67">
        <f t="array" ref="D628">SUM($B$7:$B623*$F$1009*EXP(-$F$1009*($A628-$A$7:$A623)))*$F$1010</f>
        <v>4113530.1250770809</v>
      </c>
      <c r="E628" s="67">
        <f t="shared" si="59"/>
        <v>7.8420820407695704</v>
      </c>
      <c r="F628" s="70">
        <f t="shared" si="63"/>
        <v>0.47617122151552832</v>
      </c>
      <c r="G628" s="67">
        <f>E628/'Lookup Tables'!$C$48</f>
        <v>15.684164081539141</v>
      </c>
      <c r="H628" s="70">
        <f t="shared" si="60"/>
        <v>4.9271254734975248E-2</v>
      </c>
      <c r="I628" s="71">
        <f t="shared" si="64"/>
        <v>2.2585196277416363E-2</v>
      </c>
      <c r="L628" s="74"/>
      <c r="M628" s="74"/>
      <c r="N628" s="74"/>
      <c r="O628" s="74"/>
      <c r="P628" s="74"/>
      <c r="Q628" s="74"/>
      <c r="R628" s="74"/>
      <c r="S628" s="74"/>
      <c r="T628" s="74"/>
      <c r="U628" s="74"/>
      <c r="V628" s="74"/>
      <c r="W628" s="74"/>
      <c r="X628" s="74"/>
      <c r="Y628" s="74"/>
      <c r="Z628" s="74"/>
    </row>
    <row r="629" spans="1:26" x14ac:dyDescent="0.3">
      <c r="A629" s="66">
        <f t="shared" si="62"/>
        <v>2052.1999999999434</v>
      </c>
      <c r="B629" s="67">
        <f>LOOKUP(A629+0.01,AmountsB!$A$4:$A$103,AmountsB!$B$4:$B$103)*0.1*$A$2</f>
        <v>0</v>
      </c>
      <c r="C629" s="68">
        <f t="shared" si="61"/>
        <v>83655.233518999943</v>
      </c>
      <c r="D629" s="67">
        <f t="array" ref="D629">SUM($B$7:$B624*$F$1009*EXP(-$F$1009*($A629-$A$7:$A624)))*$F$1010</f>
        <v>4107775.2122809035</v>
      </c>
      <c r="E629" s="67">
        <f t="shared" si="59"/>
        <v>7.8311108075677103</v>
      </c>
      <c r="F629" s="70">
        <f t="shared" si="63"/>
        <v>0.47550504823551137</v>
      </c>
      <c r="G629" s="67">
        <f>E629/'Lookup Tables'!$C$48</f>
        <v>15.662221615135421</v>
      </c>
      <c r="H629" s="70">
        <f t="shared" si="60"/>
        <v>4.920232324165047E-2</v>
      </c>
      <c r="I629" s="71">
        <f t="shared" si="64"/>
        <v>2.2553599125795003E-2</v>
      </c>
      <c r="L629" s="74"/>
      <c r="M629" s="74"/>
      <c r="N629" s="74"/>
      <c r="O629" s="74"/>
      <c r="P629" s="74"/>
      <c r="Q629" s="74"/>
      <c r="R629" s="74"/>
      <c r="S629" s="74"/>
      <c r="T629" s="74"/>
      <c r="U629" s="74"/>
      <c r="V629" s="74"/>
      <c r="W629" s="74"/>
      <c r="X629" s="74"/>
      <c r="Y629" s="74"/>
      <c r="Z629" s="74"/>
    </row>
    <row r="630" spans="1:26" x14ac:dyDescent="0.3">
      <c r="A630" s="66">
        <f t="shared" si="62"/>
        <v>2052.2999999999433</v>
      </c>
      <c r="B630" s="67">
        <f>LOOKUP(A630+0.01,AmountsB!$A$4:$A$103,AmountsB!$B$4:$B$103)*0.1*$A$2</f>
        <v>0</v>
      </c>
      <c r="C630" s="68">
        <f t="shared" si="61"/>
        <v>83655.233518999943</v>
      </c>
      <c r="D630" s="67">
        <f t="array" ref="D630">SUM($B$7:$B625*$F$1009*EXP(-$F$1009*($A630-$A$7:$A625)))*$F$1010</f>
        <v>4102028.3507254589</v>
      </c>
      <c r="E630" s="67">
        <f t="shared" si="59"/>
        <v>7.8201549233455436</v>
      </c>
      <c r="F630" s="70">
        <f t="shared" si="63"/>
        <v>0.4748398069455414</v>
      </c>
      <c r="G630" s="67">
        <f>E630/'Lookup Tables'!$C$48</f>
        <v>15.640309846691087</v>
      </c>
      <c r="H630" s="70">
        <f t="shared" si="60"/>
        <v>4.9133488184895026E-2</v>
      </c>
      <c r="I630" s="71">
        <f t="shared" si="64"/>
        <v>2.2522046179235169E-2</v>
      </c>
      <c r="L630" s="74"/>
      <c r="M630" s="74"/>
      <c r="N630" s="74"/>
      <c r="O630" s="74"/>
      <c r="P630" s="74"/>
      <c r="Q630" s="74"/>
      <c r="R630" s="74"/>
      <c r="S630" s="74"/>
      <c r="T630" s="74"/>
      <c r="U630" s="74"/>
      <c r="V630" s="74"/>
      <c r="W630" s="74"/>
      <c r="X630" s="74"/>
      <c r="Y630" s="74"/>
      <c r="Z630" s="74"/>
    </row>
    <row r="631" spans="1:26" x14ac:dyDescent="0.3">
      <c r="A631" s="66">
        <f t="shared" si="62"/>
        <v>2052.3999999999432</v>
      </c>
      <c r="B631" s="67">
        <f>LOOKUP(A631+0.01,AmountsB!$A$4:$A$103,AmountsB!$B$4:$B$103)*0.1*$A$2</f>
        <v>0</v>
      </c>
      <c r="C631" s="68">
        <f t="shared" si="61"/>
        <v>83655.233518999943</v>
      </c>
      <c r="D631" s="67">
        <f t="array" ref="D631">SUM($B$7:$B626*$F$1009*EXP(-$F$1009*($A631-$A$7:$A626)))*$F$1010</f>
        <v>4096289.5291468948</v>
      </c>
      <c r="E631" s="67">
        <f t="shared" si="59"/>
        <v>7.8092143666295284</v>
      </c>
      <c r="F631" s="70">
        <f t="shared" si="63"/>
        <v>0.47417549634174494</v>
      </c>
      <c r="G631" s="67">
        <f>E631/'Lookup Tables'!$C$48</f>
        <v>15.618428733259057</v>
      </c>
      <c r="H631" s="70">
        <f t="shared" si="60"/>
        <v>4.9064749429792123E-2</v>
      </c>
      <c r="I631" s="71">
        <f t="shared" si="64"/>
        <v>2.249053737589304E-2</v>
      </c>
      <c r="L631" s="74"/>
      <c r="M631" s="74"/>
      <c r="N631" s="74"/>
      <c r="O631" s="74"/>
      <c r="P631" s="74"/>
      <c r="Q631" s="74"/>
      <c r="R631" s="74"/>
      <c r="S631" s="74"/>
      <c r="T631" s="74"/>
      <c r="U631" s="74"/>
      <c r="V631" s="74"/>
      <c r="W631" s="74"/>
      <c r="X631" s="74"/>
      <c r="Y631" s="74"/>
      <c r="Z631" s="74"/>
    </row>
    <row r="632" spans="1:26" x14ac:dyDescent="0.3">
      <c r="A632" s="66">
        <f t="shared" si="62"/>
        <v>2052.4999999999432</v>
      </c>
      <c r="B632" s="67">
        <f>LOOKUP(A632+0.01,AmountsB!$A$4:$A$103,AmountsB!$B$4:$B$103)*0.1*$A$2</f>
        <v>0</v>
      </c>
      <c r="C632" s="68">
        <f t="shared" si="61"/>
        <v>83655.233518999943</v>
      </c>
      <c r="D632" s="67">
        <f t="array" ref="D632">SUM($B$7:$B627*$F$1009*EXP(-$F$1009*($A632-$A$7:$A627)))*$F$1010</f>
        <v>4090558.7362971185</v>
      </c>
      <c r="E632" s="67">
        <f t="shared" si="59"/>
        <v>7.7982891159761722</v>
      </c>
      <c r="F632" s="70">
        <f t="shared" si="63"/>
        <v>0.47351211512207314</v>
      </c>
      <c r="G632" s="67">
        <f>E632/'Lookup Tables'!$C$48</f>
        <v>15.596578231952344</v>
      </c>
      <c r="H632" s="70">
        <f t="shared" si="60"/>
        <v>4.8996106841613832E-2</v>
      </c>
      <c r="I632" s="71">
        <f t="shared" si="64"/>
        <v>2.2459072654011376E-2</v>
      </c>
      <c r="L632" s="74"/>
      <c r="M632" s="74"/>
      <c r="N632" s="74"/>
      <c r="O632" s="74"/>
      <c r="P632" s="74"/>
      <c r="Q632" s="74"/>
      <c r="R632" s="74"/>
      <c r="S632" s="74"/>
      <c r="T632" s="74"/>
      <c r="U632" s="74"/>
      <c r="V632" s="74"/>
      <c r="W632" s="74"/>
      <c r="X632" s="74"/>
      <c r="Y632" s="74"/>
      <c r="Z632" s="74"/>
    </row>
    <row r="633" spans="1:26" x14ac:dyDescent="0.3">
      <c r="A633" s="66">
        <f t="shared" si="62"/>
        <v>2052.5999999999431</v>
      </c>
      <c r="B633" s="67">
        <f>LOOKUP(A633+0.01,AmountsB!$A$4:$A$103,AmountsB!$B$4:$B$103)*0.1*$A$2</f>
        <v>0</v>
      </c>
      <c r="C633" s="68">
        <f t="shared" si="61"/>
        <v>83655.233518999943</v>
      </c>
      <c r="D633" s="67">
        <f t="array" ref="D633">SUM($B$7:$B628*$F$1009*EXP(-$F$1009*($A633-$A$7:$A628)))*$F$1010</f>
        <v>4084835.9609437762</v>
      </c>
      <c r="E633" s="67">
        <f t="shared" si="59"/>
        <v>7.7873791499719811</v>
      </c>
      <c r="F633" s="70">
        <f t="shared" si="63"/>
        <v>0.47284966198629869</v>
      </c>
      <c r="G633" s="67">
        <f>E633/'Lookup Tables'!$C$48</f>
        <v>15.574758299943962</v>
      </c>
      <c r="H633" s="70">
        <f t="shared" si="60"/>
        <v>4.892756028582064E-2</v>
      </c>
      <c r="I633" s="71">
        <f t="shared" si="64"/>
        <v>2.2427651951919307E-2</v>
      </c>
      <c r="L633" s="74"/>
      <c r="M633" s="74"/>
      <c r="N633" s="74"/>
      <c r="O633" s="74"/>
      <c r="P633" s="74"/>
      <c r="Q633" s="74"/>
      <c r="R633" s="74"/>
      <c r="S633" s="74"/>
      <c r="T633" s="74"/>
      <c r="U633" s="74"/>
      <c r="V633" s="74"/>
      <c r="W633" s="74"/>
      <c r="X633" s="74"/>
      <c r="Y633" s="74"/>
      <c r="Z633" s="74"/>
    </row>
    <row r="634" spans="1:26" x14ac:dyDescent="0.3">
      <c r="A634" s="66">
        <f t="shared" si="62"/>
        <v>2052.699999999943</v>
      </c>
      <c r="B634" s="67">
        <f>LOOKUP(A634+0.01,AmountsB!$A$4:$A$103,AmountsB!$B$4:$B$103)*0.1*$A$2</f>
        <v>0</v>
      </c>
      <c r="C634" s="68">
        <f t="shared" si="61"/>
        <v>83655.233518999943</v>
      </c>
      <c r="D634" s="67">
        <f t="array" ref="D634">SUM($B$7:$B629*$F$1009*EXP(-$F$1009*($A634-$A$7:$A629)))*$F$1010</f>
        <v>4079121.1918702237</v>
      </c>
      <c r="E634" s="67">
        <f t="shared" si="59"/>
        <v>7.7764844472334156</v>
      </c>
      <c r="F634" s="70">
        <f t="shared" si="63"/>
        <v>0.47218813563601303</v>
      </c>
      <c r="G634" s="67">
        <f>E634/'Lookup Tables'!$C$48</f>
        <v>15.552968894466831</v>
      </c>
      <c r="H634" s="70">
        <f t="shared" si="60"/>
        <v>4.8859109628061261E-2</v>
      </c>
      <c r="I634" s="71">
        <f t="shared" si="64"/>
        <v>2.2396275208032237E-2</v>
      </c>
      <c r="L634" s="74"/>
      <c r="M634" s="74"/>
      <c r="N634" s="74"/>
      <c r="O634" s="74"/>
      <c r="P634" s="74"/>
      <c r="Q634" s="74"/>
      <c r="R634" s="74"/>
      <c r="S634" s="74"/>
      <c r="T634" s="74"/>
      <c r="U634" s="74"/>
      <c r="V634" s="74"/>
      <c r="W634" s="74"/>
      <c r="X634" s="74"/>
      <c r="Y634" s="74"/>
      <c r="Z634" s="74"/>
    </row>
    <row r="635" spans="1:26" x14ac:dyDescent="0.3">
      <c r="A635" s="66">
        <f t="shared" si="62"/>
        <v>2052.7999999999429</v>
      </c>
      <c r="B635" s="67">
        <f>LOOKUP(A635+0.01,AmountsB!$A$4:$A$103,AmountsB!$B$4:$B$103)*0.1*$A$2</f>
        <v>0</v>
      </c>
      <c r="C635" s="68">
        <f t="shared" si="61"/>
        <v>83655.233518999943</v>
      </c>
      <c r="D635" s="67">
        <f t="array" ref="D635">SUM($B$7:$B630*$F$1009*EXP(-$F$1009*($A635-$A$7:$A630)))*$F$1010</f>
        <v>4073414.4178755134</v>
      </c>
      <c r="E635" s="67">
        <f t="shared" si="59"/>
        <v>7.7656049864068564</v>
      </c>
      <c r="F635" s="70">
        <f t="shared" si="63"/>
        <v>0.47152753477462434</v>
      </c>
      <c r="G635" s="67">
        <f>E635/'Lookup Tables'!$C$48</f>
        <v>15.531209972813713</v>
      </c>
      <c r="H635" s="70">
        <f t="shared" si="60"/>
        <v>4.8790754734172388E-2</v>
      </c>
      <c r="I635" s="71">
        <f t="shared" si="64"/>
        <v>2.2364942360851747E-2</v>
      </c>
      <c r="L635" s="74"/>
      <c r="M635" s="74"/>
      <c r="N635" s="74"/>
      <c r="O635" s="74"/>
      <c r="P635" s="74"/>
      <c r="Q635" s="74"/>
      <c r="R635" s="74"/>
      <c r="S635" s="74"/>
      <c r="T635" s="74"/>
      <c r="U635" s="74"/>
      <c r="V635" s="74"/>
      <c r="W635" s="74"/>
      <c r="X635" s="74"/>
      <c r="Y635" s="74"/>
      <c r="Z635" s="74"/>
    </row>
    <row r="636" spans="1:26" x14ac:dyDescent="0.3">
      <c r="A636" s="66">
        <f t="shared" si="62"/>
        <v>2052.8999999999428</v>
      </c>
      <c r="B636" s="67">
        <f>LOOKUP(A636+0.01,AmountsB!$A$4:$A$103,AmountsB!$B$4:$B$103)*0.1*$A$2</f>
        <v>0</v>
      </c>
      <c r="C636" s="68">
        <f t="shared" si="61"/>
        <v>83655.233518999943</v>
      </c>
      <c r="D636" s="67">
        <f t="array" ref="D636">SUM($B$7:$B631*$F$1009*EXP(-$F$1009*($A636-$A$7:$A631)))*$F$1010</f>
        <v>4067715.6277743662</v>
      </c>
      <c r="E636" s="67">
        <f t="shared" si="59"/>
        <v>7.7547407461685562</v>
      </c>
      <c r="F636" s="70">
        <f t="shared" si="63"/>
        <v>0.47086785810735476</v>
      </c>
      <c r="G636" s="67">
        <f>E636/'Lookup Tables'!$C$48</f>
        <v>15.509481492337112</v>
      </c>
      <c r="H636" s="70">
        <f t="shared" si="60"/>
        <v>4.8722495470178422E-2</v>
      </c>
      <c r="I636" s="71">
        <f t="shared" si="64"/>
        <v>2.2333653348965442E-2</v>
      </c>
      <c r="L636" s="74"/>
      <c r="M636" s="74"/>
      <c r="N636" s="74"/>
      <c r="O636" s="74"/>
      <c r="P636" s="74"/>
      <c r="Q636" s="74"/>
      <c r="R636" s="74"/>
      <c r="S636" s="74"/>
      <c r="T636" s="74"/>
      <c r="U636" s="74"/>
      <c r="V636" s="74"/>
      <c r="W636" s="74"/>
      <c r="X636" s="74"/>
      <c r="Y636" s="74"/>
      <c r="Z636" s="74"/>
    </row>
    <row r="637" spans="1:26" x14ac:dyDescent="0.3">
      <c r="A637" s="66">
        <f t="shared" si="62"/>
        <v>2052.9999999999427</v>
      </c>
      <c r="B637" s="67">
        <f>LOOKUP(A637+0.01,AmountsB!$A$4:$A$103,AmountsB!$B$4:$B$103)*0.1*$A$2</f>
        <v>0</v>
      </c>
      <c r="C637" s="68">
        <f t="shared" si="61"/>
        <v>83655.233518999943</v>
      </c>
      <c r="D637" s="67">
        <f t="array" ref="D637">SUM($B$7:$B632*$F$1009*EXP(-$F$1009*($A637-$A$7:$A632)))*$F$1010</f>
        <v>4062024.8103971523</v>
      </c>
      <c r="E637" s="67">
        <f t="shared" si="59"/>
        <v>7.7438917052246028</v>
      </c>
      <c r="F637" s="70">
        <f t="shared" si="63"/>
        <v>0.47020910434123792</v>
      </c>
      <c r="G637" s="67">
        <f>E637/'Lookup Tables'!$C$48</f>
        <v>15.487783410449206</v>
      </c>
      <c r="H637" s="70">
        <f t="shared" si="60"/>
        <v>4.8654331702291186E-2</v>
      </c>
      <c r="I637" s="71">
        <f t="shared" si="64"/>
        <v>2.2302408111046858E-2</v>
      </c>
      <c r="L637" s="74"/>
      <c r="M637" s="74"/>
      <c r="N637" s="74"/>
      <c r="O637" s="74"/>
      <c r="P637" s="74"/>
      <c r="Q637" s="74"/>
      <c r="R637" s="74"/>
      <c r="S637" s="74"/>
      <c r="T637" s="74"/>
      <c r="U637" s="74"/>
      <c r="V637" s="74"/>
      <c r="W637" s="74"/>
      <c r="X637" s="74"/>
      <c r="Y637" s="74"/>
      <c r="Z637" s="74"/>
    </row>
    <row r="638" spans="1:26" x14ac:dyDescent="0.3">
      <c r="A638" s="66">
        <f t="shared" si="62"/>
        <v>2053.0999999999426</v>
      </c>
      <c r="B638" s="67">
        <f>LOOKUP(A638+0.01,AmountsB!$A$4:$A$103,AmountsB!$B$4:$B$103)*0.1*$A$2</f>
        <v>0</v>
      </c>
      <c r="C638" s="68">
        <f t="shared" si="61"/>
        <v>83655.233518999943</v>
      </c>
      <c r="D638" s="67">
        <f t="array" ref="D638">SUM($B$7:$B633*$F$1009*EXP(-$F$1009*($A638-$A$7:$A633)))*$F$1010</f>
        <v>4056341.9545898661</v>
      </c>
      <c r="E638" s="67">
        <f t="shared" si="59"/>
        <v>7.7330578423108678</v>
      </c>
      <c r="F638" s="70">
        <f t="shared" si="63"/>
        <v>0.46955127218511589</v>
      </c>
      <c r="G638" s="67">
        <f>E638/'Lookup Tables'!$C$48</f>
        <v>15.466115684621736</v>
      </c>
      <c r="H638" s="70">
        <f t="shared" si="60"/>
        <v>4.858626329690964E-2</v>
      </c>
      <c r="I638" s="71">
        <f t="shared" si="64"/>
        <v>2.22712065858553E-2</v>
      </c>
      <c r="L638" s="74"/>
      <c r="M638" s="74"/>
      <c r="N638" s="74"/>
      <c r="O638" s="74"/>
      <c r="P638" s="74"/>
      <c r="Q638" s="74"/>
      <c r="R638" s="74"/>
      <c r="S638" s="74"/>
      <c r="T638" s="74"/>
      <c r="U638" s="74"/>
      <c r="V638" s="74"/>
      <c r="W638" s="74"/>
      <c r="X638" s="74"/>
      <c r="Y638" s="74"/>
      <c r="Z638" s="74"/>
    </row>
    <row r="639" spans="1:26" x14ac:dyDescent="0.3">
      <c r="A639" s="66">
        <f t="shared" si="62"/>
        <v>2053.1999999999425</v>
      </c>
      <c r="B639" s="67">
        <f>LOOKUP(A639+0.01,AmountsB!$A$4:$A$103,AmountsB!$B$4:$B$103)*0.1*$A$2</f>
        <v>0</v>
      </c>
      <c r="C639" s="68">
        <f t="shared" si="61"/>
        <v>83655.233518999943</v>
      </c>
      <c r="D639" s="67">
        <f t="array" ref="D639">SUM($B$7:$B634*$F$1009*EXP(-$F$1009*($A639-$A$7:$A634)))*$F$1010</f>
        <v>4050667.0492141088</v>
      </c>
      <c r="E639" s="67">
        <f t="shared" si="59"/>
        <v>7.7222391361929787</v>
      </c>
      <c r="F639" s="70">
        <f t="shared" si="63"/>
        <v>0.46889436034963761</v>
      </c>
      <c r="G639" s="67">
        <f>E639/'Lookup Tables'!$C$48</f>
        <v>15.444478272385957</v>
      </c>
      <c r="H639" s="70">
        <f t="shared" si="60"/>
        <v>4.8518290120619707E-2</v>
      </c>
      <c r="I639" s="71">
        <f t="shared" si="64"/>
        <v>2.2240048712235776E-2</v>
      </c>
      <c r="L639" s="74"/>
      <c r="M639" s="74"/>
      <c r="N639" s="74"/>
      <c r="O639" s="74"/>
      <c r="P639" s="74"/>
      <c r="Q639" s="74"/>
      <c r="R639" s="74"/>
      <c r="S639" s="74"/>
      <c r="T639" s="74"/>
      <c r="U639" s="74"/>
      <c r="V639" s="74"/>
      <c r="W639" s="74"/>
      <c r="X639" s="74"/>
      <c r="Y639" s="74"/>
      <c r="Z639" s="74"/>
    </row>
    <row r="640" spans="1:26" x14ac:dyDescent="0.3">
      <c r="A640" s="66">
        <f t="shared" si="62"/>
        <v>2053.2999999999424</v>
      </c>
      <c r="B640" s="67">
        <f>LOOKUP(A640+0.01,AmountsB!$A$4:$A$103,AmountsB!$B$4:$B$103)*0.1*$A$2</f>
        <v>0</v>
      </c>
      <c r="C640" s="68">
        <f t="shared" si="61"/>
        <v>83655.233518999943</v>
      </c>
      <c r="D640" s="67">
        <f t="array" ref="D640">SUM($B$7:$B635*$F$1009*EXP(-$F$1009*($A640-$A$7:$A635)))*$F$1010</f>
        <v>4045000.0831470657</v>
      </c>
      <c r="E640" s="67">
        <f t="shared" si="59"/>
        <v>7.7114355656662701</v>
      </c>
      <c r="F640" s="70">
        <f t="shared" si="63"/>
        <v>0.46823836754725595</v>
      </c>
      <c r="G640" s="67">
        <f>E640/'Lookup Tables'!$C$48</f>
        <v>15.42287113133254</v>
      </c>
      <c r="H640" s="70">
        <f t="shared" si="60"/>
        <v>4.8450412040193958E-2</v>
      </c>
      <c r="I640" s="71">
        <f t="shared" si="64"/>
        <v>2.2208934429118862E-2</v>
      </c>
      <c r="L640" s="74"/>
      <c r="M640" s="74"/>
      <c r="N640" s="74"/>
      <c r="O640" s="74"/>
      <c r="P640" s="74"/>
      <c r="Q640" s="74"/>
      <c r="R640" s="74"/>
      <c r="S640" s="74"/>
      <c r="T640" s="74"/>
      <c r="U640" s="74"/>
      <c r="V640" s="74"/>
      <c r="W640" s="74"/>
      <c r="X640" s="74"/>
      <c r="Y640" s="74"/>
      <c r="Z640" s="74"/>
    </row>
    <row r="641" spans="1:26" x14ac:dyDescent="0.3">
      <c r="A641" s="66">
        <f t="shared" si="62"/>
        <v>2053.3999999999423</v>
      </c>
      <c r="B641" s="67">
        <f>LOOKUP(A641+0.01,AmountsB!$A$4:$A$103,AmountsB!$B$4:$B$103)*0.1*$A$2</f>
        <v>0</v>
      </c>
      <c r="C641" s="68">
        <f t="shared" si="61"/>
        <v>83655.233518999943</v>
      </c>
      <c r="D641" s="67">
        <f t="array" ref="D641">SUM($B$7:$B636*$F$1009*EXP(-$F$1009*($A641-$A$7:$A636)))*$F$1010</f>
        <v>4039341.0452814801</v>
      </c>
      <c r="E641" s="67">
        <f t="shared" si="59"/>
        <v>7.7006471095557387</v>
      </c>
      <c r="F641" s="70">
        <f t="shared" si="63"/>
        <v>0.46758329249222441</v>
      </c>
      <c r="G641" s="67">
        <f>E641/'Lookup Tables'!$C$48</f>
        <v>15.401294219111477</v>
      </c>
      <c r="H641" s="70">
        <f t="shared" si="60"/>
        <v>4.8382628922591299E-2</v>
      </c>
      <c r="I641" s="71">
        <f t="shared" si="64"/>
        <v>2.2177863675520527E-2</v>
      </c>
      <c r="L641" s="74"/>
      <c r="M641" s="74"/>
      <c r="N641" s="74"/>
      <c r="O641" s="74"/>
      <c r="P641" s="74"/>
      <c r="Q641" s="74"/>
      <c r="R641" s="74"/>
      <c r="S641" s="74"/>
      <c r="T641" s="74"/>
      <c r="U641" s="74"/>
      <c r="V641" s="74"/>
      <c r="W641" s="74"/>
      <c r="X641" s="74"/>
      <c r="Y641" s="74"/>
      <c r="Z641" s="74"/>
    </row>
    <row r="642" spans="1:26" x14ac:dyDescent="0.3">
      <c r="A642" s="66">
        <f t="shared" si="62"/>
        <v>2053.4999999999422</v>
      </c>
      <c r="B642" s="67">
        <f>LOOKUP(A642+0.01,AmountsB!$A$4:$A$103,AmountsB!$B$4:$B$103)*0.1*$A$2</f>
        <v>0</v>
      </c>
      <c r="C642" s="68">
        <f t="shared" si="61"/>
        <v>83655.233518999943</v>
      </c>
      <c r="D642" s="67">
        <f t="array" ref="D642">SUM($B$7:$B637*$F$1009*EXP(-$F$1009*($A642-$A$7:$A637)))*$F$1010</f>
        <v>4033689.9245256358</v>
      </c>
      <c r="E642" s="67">
        <f t="shared" si="59"/>
        <v>7.689873746716005</v>
      </c>
      <c r="F642" s="70">
        <f t="shared" si="63"/>
        <v>0.46692913390059582</v>
      </c>
      <c r="G642" s="67">
        <f>E642/'Lookup Tables'!$C$48</f>
        <v>15.37974749343201</v>
      </c>
      <c r="H642" s="70">
        <f t="shared" si="60"/>
        <v>4.8314940634956824E-2</v>
      </c>
      <c r="I642" s="71">
        <f t="shared" si="64"/>
        <v>2.2146836390542095E-2</v>
      </c>
      <c r="L642" s="74"/>
      <c r="M642" s="74"/>
      <c r="N642" s="74"/>
      <c r="O642" s="74"/>
      <c r="P642" s="74"/>
      <c r="Q642" s="74"/>
      <c r="R642" s="74"/>
      <c r="S642" s="74"/>
      <c r="T642" s="74"/>
      <c r="U642" s="74"/>
      <c r="V642" s="74"/>
      <c r="W642" s="74"/>
      <c r="X642" s="74"/>
      <c r="Y642" s="74"/>
      <c r="Z642" s="74"/>
    </row>
    <row r="643" spans="1:26" x14ac:dyDescent="0.3">
      <c r="A643" s="66">
        <f t="shared" si="62"/>
        <v>2053.5999999999422</v>
      </c>
      <c r="B643" s="67">
        <f>LOOKUP(A643+0.01,AmountsB!$A$4:$A$103,AmountsB!$B$4:$B$103)*0.1*$A$2</f>
        <v>0</v>
      </c>
      <c r="C643" s="68">
        <f t="shared" si="61"/>
        <v>83655.233518999943</v>
      </c>
      <c r="D643" s="67">
        <f t="array" ref="D643">SUM($B$7:$B638*$F$1009*EXP(-$F$1009*($A643-$A$7:$A638)))*$F$1010</f>
        <v>4028046.7098033344</v>
      </c>
      <c r="E643" s="67">
        <f t="shared" si="59"/>
        <v>7.6791154560312771</v>
      </c>
      <c r="F643" s="70">
        <f t="shared" si="63"/>
        <v>0.46627589049021911</v>
      </c>
      <c r="G643" s="67">
        <f>E643/'Lookup Tables'!$C$48</f>
        <v>15.358230912062554</v>
      </c>
      <c r="H643" s="70">
        <f t="shared" si="60"/>
        <v>4.8247347044621441E-2</v>
      </c>
      <c r="I643" s="71">
        <f t="shared" si="64"/>
        <v>2.2115852513370074E-2</v>
      </c>
      <c r="L643" s="74"/>
      <c r="M643" s="74"/>
      <c r="N643" s="74"/>
      <c r="O643" s="74"/>
      <c r="P643" s="74"/>
      <c r="Q643" s="74"/>
      <c r="R643" s="74"/>
      <c r="S643" s="74"/>
      <c r="T643" s="74"/>
      <c r="U643" s="74"/>
      <c r="V643" s="74"/>
      <c r="W643" s="74"/>
      <c r="X643" s="74"/>
      <c r="Y643" s="74"/>
      <c r="Z643" s="74"/>
    </row>
    <row r="644" spans="1:26" x14ac:dyDescent="0.3">
      <c r="A644" s="66">
        <f t="shared" si="62"/>
        <v>2053.6999999999421</v>
      </c>
      <c r="B644" s="67">
        <f>LOOKUP(A644+0.01,AmountsB!$A$4:$A$103,AmountsB!$B$4:$B$103)*0.1*$A$2</f>
        <v>0</v>
      </c>
      <c r="C644" s="68">
        <f t="shared" si="61"/>
        <v>83655.233518999943</v>
      </c>
      <c r="D644" s="67">
        <f t="array" ref="D644">SUM($B$7:$B639*$F$1009*EXP(-$F$1009*($A644-$A$7:$A639)))*$F$1010</f>
        <v>4022411.3900538748</v>
      </c>
      <c r="E644" s="67">
        <f t="shared" si="59"/>
        <v>7.6683722164153041</v>
      </c>
      <c r="F644" s="70">
        <f t="shared" si="63"/>
        <v>0.46562356098073726</v>
      </c>
      <c r="G644" s="67">
        <f>E644/'Lookup Tables'!$C$48</f>
        <v>15.336744432830608</v>
      </c>
      <c r="H644" s="70">
        <f t="shared" si="60"/>
        <v>4.8179848019101752E-2</v>
      </c>
      <c r="I644" s="71">
        <f t="shared" si="64"/>
        <v>2.2084911983276077E-2</v>
      </c>
      <c r="L644" s="74"/>
      <c r="M644" s="74"/>
      <c r="N644" s="74"/>
      <c r="O644" s="74"/>
      <c r="P644" s="74"/>
      <c r="Q644" s="74"/>
      <c r="R644" s="74"/>
      <c r="S644" s="74"/>
      <c r="T644" s="74"/>
      <c r="U644" s="74"/>
      <c r="V644" s="74"/>
      <c r="W644" s="74"/>
      <c r="X644" s="74"/>
      <c r="Y644" s="74"/>
      <c r="Z644" s="74"/>
    </row>
    <row r="645" spans="1:26" x14ac:dyDescent="0.3">
      <c r="A645" s="66">
        <f t="shared" si="62"/>
        <v>2053.799999999942</v>
      </c>
      <c r="B645" s="67">
        <f>LOOKUP(A645+0.01,AmountsB!$A$4:$A$103,AmountsB!$B$4:$B$103)*0.1*$A$2</f>
        <v>0</v>
      </c>
      <c r="C645" s="68">
        <f t="shared" si="61"/>
        <v>83655.233518999943</v>
      </c>
      <c r="D645" s="67">
        <f t="array" ref="D645">SUM($B$7:$B640*$F$1009*EXP(-$F$1009*($A645-$A$7:$A640)))*$F$1010</f>
        <v>4016783.9542320292</v>
      </c>
      <c r="E645" s="67">
        <f t="shared" si="59"/>
        <v>7.6576440068113314</v>
      </c>
      <c r="F645" s="70">
        <f t="shared" si="63"/>
        <v>0.46497214409358412</v>
      </c>
      <c r="G645" s="67">
        <f>E645/'Lookup Tables'!$C$48</f>
        <v>15.315288013622663</v>
      </c>
      <c r="H645" s="70">
        <f t="shared" si="60"/>
        <v>4.8112443426099598E-2</v>
      </c>
      <c r="I645" s="71">
        <f t="shared" si="64"/>
        <v>2.2054014739616636E-2</v>
      </c>
      <c r="L645" s="74"/>
      <c r="M645" s="74"/>
      <c r="N645" s="74"/>
      <c r="O645" s="74"/>
      <c r="P645" s="74"/>
      <c r="Q645" s="74"/>
      <c r="R645" s="74"/>
      <c r="S645" s="74"/>
      <c r="T645" s="74"/>
      <c r="U645" s="74"/>
      <c r="V645" s="74"/>
      <c r="W645" s="74"/>
      <c r="X645" s="74"/>
      <c r="Y645" s="74"/>
      <c r="Z645" s="74"/>
    </row>
    <row r="646" spans="1:26" x14ac:dyDescent="0.3">
      <c r="A646" s="66">
        <f t="shared" si="62"/>
        <v>2053.8999999999419</v>
      </c>
      <c r="B646" s="67">
        <f>LOOKUP(A646+0.01,AmountsB!$A$4:$A$103,AmountsB!$B$4:$B$103)*0.1*$A$2</f>
        <v>0</v>
      </c>
      <c r="C646" s="68">
        <f t="shared" si="61"/>
        <v>83655.233518999943</v>
      </c>
      <c r="D646" s="67">
        <f t="array" ref="D646">SUM($B$7:$B641*$F$1009*EXP(-$F$1009*($A646-$A$7:$A641)))*$F$1010</f>
        <v>4011164.391308018</v>
      </c>
      <c r="E646" s="67">
        <f t="shared" si="59"/>
        <v>7.6469308061920609</v>
      </c>
      <c r="F646" s="70">
        <f t="shared" si="63"/>
        <v>0.46432163855198194</v>
      </c>
      <c r="G646" s="67">
        <f>E646/'Lookup Tables'!$C$48</f>
        <v>15.293861612384122</v>
      </c>
      <c r="H646" s="70">
        <f t="shared" si="60"/>
        <v>4.8045133133501942E-2</v>
      </c>
      <c r="I646" s="71">
        <f t="shared" si="64"/>
        <v>2.2023160721833135E-2</v>
      </c>
      <c r="L646" s="74"/>
      <c r="M646" s="74"/>
      <c r="N646" s="74"/>
      <c r="O646" s="74"/>
      <c r="P646" s="74"/>
      <c r="Q646" s="74"/>
      <c r="R646" s="74"/>
      <c r="S646" s="74"/>
      <c r="T646" s="74"/>
      <c r="U646" s="74"/>
      <c r="V646" s="74"/>
      <c r="W646" s="74"/>
      <c r="X646" s="74"/>
      <c r="Y646" s="74"/>
      <c r="Z646" s="74"/>
    </row>
    <row r="647" spans="1:26" x14ac:dyDescent="0.3">
      <c r="A647" s="66">
        <f t="shared" si="62"/>
        <v>2053.9999999999418</v>
      </c>
      <c r="B647" s="67">
        <f>LOOKUP(A647+0.01,AmountsB!$A$4:$A$103,AmountsB!$B$4:$B$103)*0.1*$A$2</f>
        <v>0</v>
      </c>
      <c r="C647" s="68">
        <f t="shared" si="61"/>
        <v>83655.233518999943</v>
      </c>
      <c r="D647" s="67">
        <f t="array" ref="D647">SUM($B$7:$B642*$F$1009*EXP(-$F$1009*($A647-$A$7:$A642)))*$F$1010</f>
        <v>4005552.6902674981</v>
      </c>
      <c r="E647" s="67">
        <f t="shared" ref="E647:E710" si="65">D647/(365*24*60)*1.00201</f>
        <v>7.6362325935596198</v>
      </c>
      <c r="F647" s="70">
        <f t="shared" si="63"/>
        <v>0.46367204308094007</v>
      </c>
      <c r="G647" s="67">
        <f>E647/'Lookup Tables'!$C$48</f>
        <v>15.27246518711924</v>
      </c>
      <c r="H647" s="70">
        <f t="shared" ref="H647:H710" si="66">G647*60*24*365/(C647*2000)</f>
        <v>4.797791700938063E-2</v>
      </c>
      <c r="I647" s="71">
        <f t="shared" si="64"/>
        <v>2.1992349869451703E-2</v>
      </c>
      <c r="L647" s="74"/>
      <c r="M647" s="74"/>
      <c r="N647" s="74"/>
      <c r="O647" s="74"/>
      <c r="P647" s="74"/>
      <c r="Q647" s="74"/>
      <c r="R647" s="74"/>
      <c r="S647" s="74"/>
      <c r="T647" s="74"/>
      <c r="U647" s="74"/>
      <c r="V647" s="74"/>
      <c r="W647" s="74"/>
      <c r="X647" s="74"/>
      <c r="Y647" s="74"/>
      <c r="Z647" s="74"/>
    </row>
    <row r="648" spans="1:26" x14ac:dyDescent="0.3">
      <c r="A648" s="66">
        <f t="shared" si="62"/>
        <v>2054.0999999999417</v>
      </c>
      <c r="B648" s="67">
        <f>LOOKUP(A648+0.01,AmountsB!$A$4:$A$103,AmountsB!$B$4:$B$103)*0.1*$A$2</f>
        <v>0</v>
      </c>
      <c r="C648" s="68">
        <f t="shared" si="61"/>
        <v>83655.233518999943</v>
      </c>
      <c r="D648" s="67">
        <f t="array" ref="D648">SUM($B$7:$B643*$F$1009*EXP(-$F$1009*($A648-$A$7:$A643)))*$F$1010</f>
        <v>3999948.8401115322</v>
      </c>
      <c r="E648" s="67">
        <f t="shared" si="65"/>
        <v>7.6255493479455039</v>
      </c>
      <c r="F648" s="70">
        <f t="shared" si="63"/>
        <v>0.46302335640725095</v>
      </c>
      <c r="G648" s="67">
        <f>E648/'Lookup Tables'!$C$48</f>
        <v>15.251098695891008</v>
      </c>
      <c r="H648" s="70">
        <f t="shared" si="66"/>
        <v>4.7910794921991989E-2</v>
      </c>
      <c r="I648" s="71">
        <f t="shared" si="64"/>
        <v>2.1961582122083052E-2</v>
      </c>
      <c r="L648" s="74"/>
      <c r="M648" s="74"/>
      <c r="N648" s="74"/>
      <c r="O648" s="74"/>
      <c r="P648" s="74"/>
      <c r="Q648" s="74"/>
      <c r="R648" s="74"/>
      <c r="S648" s="74"/>
      <c r="T648" s="74"/>
      <c r="U648" s="74"/>
      <c r="V648" s="74"/>
      <c r="W648" s="74"/>
      <c r="X648" s="74"/>
      <c r="Y648" s="74"/>
      <c r="Z648" s="74"/>
    </row>
    <row r="649" spans="1:26" x14ac:dyDescent="0.3">
      <c r="A649" s="66">
        <f t="shared" si="62"/>
        <v>2054.1999999999416</v>
      </c>
      <c r="B649" s="67">
        <f>LOOKUP(A649+0.01,AmountsB!$A$4:$A$103,AmountsB!$B$4:$B$103)*0.1*$A$2</f>
        <v>0</v>
      </c>
      <c r="C649" s="68">
        <f t="shared" ref="C649:C712" si="67">C648+B649</f>
        <v>83655.233518999943</v>
      </c>
      <c r="D649" s="67">
        <f t="array" ref="D649">SUM($B$7:$B644*$F$1009*EXP(-$F$1009*($A649-$A$7:$A644)))*$F$1010</f>
        <v>3994352.8298565755</v>
      </c>
      <c r="E649" s="67">
        <f t="shared" si="65"/>
        <v>7.6148810484105542</v>
      </c>
      <c r="F649" s="70">
        <f t="shared" si="63"/>
        <v>0.46237557725948886</v>
      </c>
      <c r="G649" s="67">
        <f>E649/'Lookup Tables'!$C$48</f>
        <v>15.229762096821108</v>
      </c>
      <c r="H649" s="70">
        <f t="shared" si="66"/>
        <v>4.7843766739776764E-2</v>
      </c>
      <c r="I649" s="71">
        <f t="shared" si="64"/>
        <v>2.1930857419422398E-2</v>
      </c>
      <c r="L649" s="74"/>
      <c r="M649" s="74"/>
      <c r="N649" s="74"/>
      <c r="O649" s="74"/>
      <c r="P649" s="74"/>
      <c r="Q649" s="74"/>
      <c r="R649" s="74"/>
      <c r="S649" s="74"/>
      <c r="T649" s="74"/>
      <c r="U649" s="74"/>
      <c r="V649" s="74"/>
      <c r="W649" s="74"/>
      <c r="X649" s="74"/>
      <c r="Y649" s="74"/>
      <c r="Z649" s="74"/>
    </row>
    <row r="650" spans="1:26" x14ac:dyDescent="0.3">
      <c r="A650" s="66">
        <f t="shared" si="62"/>
        <v>2054.2999999999415</v>
      </c>
      <c r="B650" s="67">
        <f>LOOKUP(A650+0.01,AmountsB!$A$4:$A$103,AmountsB!$B$4:$B$103)*0.1*$A$2</f>
        <v>0</v>
      </c>
      <c r="C650" s="68">
        <f t="shared" si="67"/>
        <v>83655.233518999943</v>
      </c>
      <c r="D650" s="67">
        <f t="array" ref="D650">SUM($B$7:$B645*$F$1009*EXP(-$F$1009*($A650-$A$7:$A645)))*$F$1010</f>
        <v>3988764.6485344432</v>
      </c>
      <c r="E650" s="67">
        <f t="shared" si="65"/>
        <v>7.6042276740448971</v>
      </c>
      <c r="F650" s="70">
        <f t="shared" si="63"/>
        <v>0.46172870436800617</v>
      </c>
      <c r="G650" s="67">
        <f>E650/'Lookup Tables'!$C$48</f>
        <v>15.208455348089794</v>
      </c>
      <c r="H650" s="70">
        <f t="shared" si="66"/>
        <v>4.7776832331359646E-2</v>
      </c>
      <c r="I650" s="71">
        <f t="shared" si="64"/>
        <v>2.1900175701249303E-2</v>
      </c>
      <c r="L650" s="74"/>
      <c r="M650" s="74"/>
      <c r="N650" s="74"/>
      <c r="O650" s="74"/>
      <c r="P650" s="74"/>
      <c r="Q650" s="74"/>
      <c r="R650" s="74"/>
      <c r="S650" s="74"/>
      <c r="T650" s="74"/>
      <c r="U650" s="74"/>
      <c r="V650" s="74"/>
      <c r="W650" s="74"/>
      <c r="X650" s="74"/>
      <c r="Y650" s="74"/>
      <c r="Z650" s="74"/>
    </row>
    <row r="651" spans="1:26" x14ac:dyDescent="0.3">
      <c r="A651" s="66">
        <f t="shared" si="62"/>
        <v>2054.3999999999414</v>
      </c>
      <c r="B651" s="67">
        <f>LOOKUP(A651+0.01,AmountsB!$A$4:$A$103,AmountsB!$B$4:$B$103)*0.1*$A$2</f>
        <v>0</v>
      </c>
      <c r="C651" s="68">
        <f t="shared" si="67"/>
        <v>83655.233518999943</v>
      </c>
      <c r="D651" s="67">
        <f t="array" ref="D651">SUM($B$7:$B646*$F$1009*EXP(-$F$1009*($A651-$A$7:$A646)))*$F$1010</f>
        <v>3983184.2851922982</v>
      </c>
      <c r="E651" s="67">
        <f t="shared" si="65"/>
        <v>7.5935892039679125</v>
      </c>
      <c r="F651" s="70">
        <f t="shared" si="63"/>
        <v>0.4610827364649317</v>
      </c>
      <c r="G651" s="67">
        <f>E651/'Lookup Tables'!$C$48</f>
        <v>15.187178407935825</v>
      </c>
      <c r="H651" s="70">
        <f t="shared" si="66"/>
        <v>4.7709991565549177E-2</v>
      </c>
      <c r="I651" s="71">
        <f t="shared" si="64"/>
        <v>2.1869536907427586E-2</v>
      </c>
      <c r="L651" s="74"/>
      <c r="M651" s="74"/>
      <c r="N651" s="74"/>
      <c r="O651" s="74"/>
      <c r="P651" s="74"/>
      <c r="Q651" s="74"/>
      <c r="R651" s="74"/>
      <c r="S651" s="74"/>
      <c r="T651" s="74"/>
      <c r="U651" s="74"/>
      <c r="V651" s="74"/>
      <c r="W651" s="74"/>
      <c r="X651" s="74"/>
      <c r="Y651" s="74"/>
      <c r="Z651" s="74"/>
    </row>
    <row r="652" spans="1:26" x14ac:dyDescent="0.3">
      <c r="A652" s="66">
        <f t="shared" si="62"/>
        <v>2054.4999999999413</v>
      </c>
      <c r="B652" s="67">
        <f>LOOKUP(A652+0.01,AmountsB!$A$4:$A$103,AmountsB!$B$4:$B$103)*0.1*$A$2</f>
        <v>0</v>
      </c>
      <c r="C652" s="68">
        <f t="shared" si="67"/>
        <v>83655.233518999943</v>
      </c>
      <c r="D652" s="67">
        <f t="array" ref="D652">SUM($B$7:$B647*$F$1009*EXP(-$F$1009*($A652-$A$7:$A647)))*$F$1010</f>
        <v>3977611.7288926286</v>
      </c>
      <c r="E652" s="67">
        <f t="shared" si="65"/>
        <v>7.5829656173282016</v>
      </c>
      <c r="F652" s="70">
        <f t="shared" si="63"/>
        <v>0.46043767228416843</v>
      </c>
      <c r="G652" s="67">
        <f>E652/'Lookup Tables'!$C$48</f>
        <v>15.165931234656403</v>
      </c>
      <c r="H652" s="70">
        <f t="shared" si="66"/>
        <v>4.7643244311337478E-2</v>
      </c>
      <c r="I652" s="71">
        <f t="shared" si="64"/>
        <v>2.1838940977905223E-2</v>
      </c>
      <c r="L652" s="74"/>
      <c r="M652" s="74"/>
      <c r="N652" s="74"/>
      <c r="O652" s="74"/>
      <c r="P652" s="74"/>
      <c r="Q652" s="74"/>
      <c r="R652" s="74"/>
      <c r="S652" s="74"/>
      <c r="T652" s="74"/>
      <c r="U652" s="74"/>
      <c r="V652" s="74"/>
      <c r="W652" s="74"/>
      <c r="X652" s="74"/>
      <c r="Y652" s="74"/>
      <c r="Z652" s="74"/>
    </row>
    <row r="653" spans="1:26" x14ac:dyDescent="0.3">
      <c r="A653" s="66">
        <f t="shared" si="62"/>
        <v>2054.5999999999412</v>
      </c>
      <c r="B653" s="67">
        <f>LOOKUP(A653+0.01,AmountsB!$A$4:$A$103,AmountsB!$B$4:$B$103)*0.1*$A$2</f>
        <v>0</v>
      </c>
      <c r="C653" s="68">
        <f t="shared" si="67"/>
        <v>83655.233518999943</v>
      </c>
      <c r="D653" s="67">
        <f t="array" ref="D653">SUM($B$7:$B648*$F$1009*EXP(-$F$1009*($A653-$A$7:$A648)))*$F$1010</f>
        <v>3972046.9687132197</v>
      </c>
      <c r="E653" s="67">
        <f t="shared" si="65"/>
        <v>7.5723568933035263</v>
      </c>
      <c r="F653" s="70">
        <f t="shared" si="63"/>
        <v>0.45979351056139012</v>
      </c>
      <c r="G653" s="67">
        <f>E653/'Lookup Tables'!$C$48</f>
        <v>15.144713786607053</v>
      </c>
      <c r="H653" s="70">
        <f t="shared" si="66"/>
        <v>4.7576590437899871E-2</v>
      </c>
      <c r="I653" s="71">
        <f t="shared" si="64"/>
        <v>2.1808387852714158E-2</v>
      </c>
      <c r="L653" s="74"/>
      <c r="M653" s="74"/>
      <c r="N653" s="74"/>
      <c r="O653" s="74"/>
      <c r="P653" s="74"/>
      <c r="Q653" s="74"/>
      <c r="R653" s="74"/>
      <c r="S653" s="74"/>
      <c r="T653" s="74"/>
      <c r="U653" s="74"/>
      <c r="V653" s="74"/>
      <c r="W653" s="74"/>
      <c r="X653" s="74"/>
      <c r="Y653" s="74"/>
      <c r="Z653" s="74"/>
    </row>
    <row r="654" spans="1:26" x14ac:dyDescent="0.3">
      <c r="A654" s="66">
        <f t="shared" si="62"/>
        <v>2054.6999999999412</v>
      </c>
      <c r="B654" s="67">
        <f>LOOKUP(A654+0.01,AmountsB!$A$4:$A$103,AmountsB!$B$4:$B$103)*0.1*$A$2</f>
        <v>0</v>
      </c>
      <c r="C654" s="68">
        <f t="shared" si="67"/>
        <v>83655.233518999943</v>
      </c>
      <c r="D654" s="67">
        <f t="array" ref="D654">SUM($B$7:$B649*$F$1009*EXP(-$F$1009*($A654-$A$7:$A649)))*$F$1010</f>
        <v>3966489.9937471417</v>
      </c>
      <c r="E654" s="67">
        <f t="shared" si="65"/>
        <v>7.561763011100787</v>
      </c>
      <c r="F654" s="70">
        <f t="shared" si="63"/>
        <v>0.45915025003403981</v>
      </c>
      <c r="G654" s="67">
        <f>E654/'Lookup Tables'!$C$48</f>
        <v>15.123526022201574</v>
      </c>
      <c r="H654" s="70">
        <f t="shared" si="66"/>
        <v>4.7510029814594741E-2</v>
      </c>
      <c r="I654" s="71">
        <f t="shared" si="64"/>
        <v>2.1777877471970263E-2</v>
      </c>
      <c r="L654" s="74"/>
      <c r="M654" s="74"/>
      <c r="N654" s="74"/>
      <c r="O654" s="74"/>
      <c r="P654" s="74"/>
      <c r="Q654" s="74"/>
      <c r="R654" s="74"/>
      <c r="S654" s="74"/>
      <c r="T654" s="74"/>
      <c r="U654" s="74"/>
      <c r="V654" s="74"/>
      <c r="W654" s="74"/>
      <c r="X654" s="74"/>
      <c r="Y654" s="74"/>
      <c r="Z654" s="74"/>
    </row>
    <row r="655" spans="1:26" x14ac:dyDescent="0.3">
      <c r="A655" s="66">
        <f t="shared" si="62"/>
        <v>2054.7999999999411</v>
      </c>
      <c r="B655" s="67">
        <f>LOOKUP(A655+0.01,AmountsB!$A$4:$A$103,AmountsB!$B$4:$B$103)*0.1*$A$2</f>
        <v>0</v>
      </c>
      <c r="C655" s="68">
        <f t="shared" si="67"/>
        <v>83655.233518999943</v>
      </c>
      <c r="D655" s="67">
        <f t="array" ref="D655">SUM($B$7:$B650*$F$1009*EXP(-$F$1009*($A655-$A$7:$A650)))*$F$1010</f>
        <v>3960940.7931027221</v>
      </c>
      <c r="E655" s="67">
        <f t="shared" si="65"/>
        <v>7.5511839499559716</v>
      </c>
      <c r="F655" s="70">
        <f t="shared" si="63"/>
        <v>0.45850788944132659</v>
      </c>
      <c r="G655" s="67">
        <f>E655/'Lookup Tables'!$C$48</f>
        <v>15.102367899911943</v>
      </c>
      <c r="H655" s="70">
        <f t="shared" si="66"/>
        <v>4.7443562310963291E-2</v>
      </c>
      <c r="I655" s="71">
        <f t="shared" si="64"/>
        <v>2.1747409775873198E-2</v>
      </c>
      <c r="L655" s="74"/>
      <c r="M655" s="74"/>
      <c r="N655" s="74"/>
      <c r="O655" s="74"/>
      <c r="P655" s="74"/>
      <c r="Q655" s="74"/>
      <c r="R655" s="74"/>
      <c r="S655" s="74"/>
      <c r="T655" s="74"/>
      <c r="U655" s="74"/>
      <c r="V655" s="74"/>
      <c r="W655" s="74"/>
      <c r="X655" s="74"/>
      <c r="Y655" s="74"/>
      <c r="Z655" s="74"/>
    </row>
    <row r="656" spans="1:26" x14ac:dyDescent="0.3">
      <c r="A656" s="66">
        <f t="shared" si="62"/>
        <v>2054.899999999941</v>
      </c>
      <c r="B656" s="67">
        <f>LOOKUP(A656+0.01,AmountsB!$A$4:$A$103,AmountsB!$B$4:$B$103)*0.1*$A$2</f>
        <v>0</v>
      </c>
      <c r="C656" s="68">
        <f t="shared" si="67"/>
        <v>83655.233518999943</v>
      </c>
      <c r="D656" s="67">
        <f t="array" ref="D656">SUM($B$7:$B651*$F$1009*EXP(-$F$1009*($A656-$A$7:$A651)))*$F$1010</f>
        <v>3955399.3559035226</v>
      </c>
      <c r="E656" s="67">
        <f t="shared" si="65"/>
        <v>7.5406196891341111</v>
      </c>
      <c r="F656" s="70">
        <f t="shared" si="63"/>
        <v>0.45786642752422324</v>
      </c>
      <c r="G656" s="67">
        <f>E656/'Lookup Tables'!$C$48</f>
        <v>15.081239378268222</v>
      </c>
      <c r="H656" s="70">
        <f t="shared" si="66"/>
        <v>4.7377187796729121E-2</v>
      </c>
      <c r="I656" s="71">
        <f t="shared" si="64"/>
        <v>2.1716984704706243E-2</v>
      </c>
      <c r="L656" s="74"/>
      <c r="M656" s="74"/>
      <c r="N656" s="74"/>
      <c r="O656" s="74"/>
      <c r="P656" s="74"/>
      <c r="Q656" s="74"/>
      <c r="R656" s="74"/>
      <c r="S656" s="74"/>
      <c r="T656" s="74"/>
      <c r="U656" s="74"/>
      <c r="V656" s="74"/>
      <c r="W656" s="74"/>
      <c r="X656" s="74"/>
      <c r="Y656" s="74"/>
      <c r="Z656" s="74"/>
    </row>
    <row r="657" spans="1:26" x14ac:dyDescent="0.3">
      <c r="A657" s="66">
        <f t="shared" si="62"/>
        <v>2054.9999999999409</v>
      </c>
      <c r="B657" s="67">
        <f>LOOKUP(A657+0.01,AmountsB!$A$4:$A$103,AmountsB!$B$4:$B$103)*0.1*$A$2</f>
        <v>0</v>
      </c>
      <c r="C657" s="68">
        <f t="shared" si="67"/>
        <v>83655.233518999943</v>
      </c>
      <c r="D657" s="67">
        <f t="array" ref="D657">SUM($B$7:$B652*$F$1009*EXP(-$F$1009*($A657-$A$7:$A652)))*$F$1010</f>
        <v>3949865.6712883287</v>
      </c>
      <c r="E657" s="67">
        <f t="shared" si="65"/>
        <v>7.530070207929259</v>
      </c>
      <c r="F657" s="70">
        <f t="shared" si="63"/>
        <v>0.45722586302546464</v>
      </c>
      <c r="G657" s="67">
        <f>E657/'Lookup Tables'!$C$48</f>
        <v>15.060140415858518</v>
      </c>
      <c r="H657" s="70">
        <f t="shared" si="66"/>
        <v>4.7310906141798212E-2</v>
      </c>
      <c r="I657" s="71">
        <f t="shared" si="64"/>
        <v>2.1686602198836266E-2</v>
      </c>
      <c r="L657" s="74"/>
      <c r="M657" s="74"/>
      <c r="N657" s="74"/>
      <c r="O657" s="74"/>
      <c r="P657" s="74"/>
      <c r="Q657" s="74"/>
      <c r="R657" s="74"/>
      <c r="S657" s="74"/>
      <c r="T657" s="74"/>
      <c r="U657" s="74"/>
      <c r="V657" s="74"/>
      <c r="W657" s="74"/>
      <c r="X657" s="74"/>
      <c r="Y657" s="74"/>
      <c r="Z657" s="74"/>
    </row>
    <row r="658" spans="1:26" x14ac:dyDescent="0.3">
      <c r="A658" s="66">
        <f t="shared" si="62"/>
        <v>2055.0999999999408</v>
      </c>
      <c r="B658" s="67">
        <f>LOOKUP(A658+0.01,AmountsB!$A$4:$A$103,AmountsB!$B$4:$B$103)*0.1*$A$2</f>
        <v>0</v>
      </c>
      <c r="C658" s="68">
        <f t="shared" si="67"/>
        <v>83655.233518999943</v>
      </c>
      <c r="D658" s="67">
        <f t="array" ref="D658">SUM($B$7:$B653*$F$1009*EXP(-$F$1009*($A658-$A$7:$A653)))*$F$1010</f>
        <v>3944339.7284111152</v>
      </c>
      <c r="E658" s="67">
        <f t="shared" si="65"/>
        <v>7.5195354856644245</v>
      </c>
      <c r="F658" s="70">
        <f t="shared" si="63"/>
        <v>0.45658619468954387</v>
      </c>
      <c r="G658" s="67">
        <f>E658/'Lookup Tables'!$C$48</f>
        <v>15.039070971328849</v>
      </c>
      <c r="H658" s="70">
        <f t="shared" si="66"/>
        <v>4.7244717216258489E-2</v>
      </c>
      <c r="I658" s="71">
        <f t="shared" si="64"/>
        <v>2.1656262198713541E-2</v>
      </c>
      <c r="L658" s="74"/>
      <c r="M658" s="74"/>
      <c r="N658" s="74"/>
      <c r="O658" s="74"/>
      <c r="P658" s="74"/>
      <c r="Q658" s="74"/>
      <c r="R658" s="74"/>
      <c r="S658" s="74"/>
      <c r="T658" s="74"/>
      <c r="U658" s="74"/>
      <c r="V658" s="74"/>
      <c r="W658" s="74"/>
      <c r="X658" s="74"/>
      <c r="Y658" s="74"/>
      <c r="Z658" s="74"/>
    </row>
    <row r="659" spans="1:26" x14ac:dyDescent="0.3">
      <c r="A659" s="66">
        <f t="shared" ref="A659:A722" si="68">A658+0.1</f>
        <v>2055.1999999999407</v>
      </c>
      <c r="B659" s="67">
        <f>LOOKUP(A659+0.01,AmountsB!$A$4:$A$103,AmountsB!$B$4:$B$103)*0.1*$A$2</f>
        <v>0</v>
      </c>
      <c r="C659" s="68">
        <f t="shared" si="67"/>
        <v>83655.233518999943</v>
      </c>
      <c r="D659" s="67">
        <f t="array" ref="D659">SUM($B$7:$B654*$F$1009*EXP(-$F$1009*($A659-$A$7:$A654)))*$F$1010</f>
        <v>3938821.5164410323</v>
      </c>
      <c r="E659" s="67">
        <f t="shared" si="65"/>
        <v>7.5090155016915512</v>
      </c>
      <c r="F659" s="70">
        <f t="shared" ref="F659:F722" si="69">E659*60*1012/1000000</f>
        <v>0.45594742126271098</v>
      </c>
      <c r="G659" s="67">
        <f>E659/'Lookup Tables'!$C$48</f>
        <v>15.018031003383102</v>
      </c>
      <c r="H659" s="70">
        <f t="shared" si="66"/>
        <v>4.7178620890379656E-2</v>
      </c>
      <c r="I659" s="71">
        <f t="shared" ref="I659:I722" si="70">G659*60*24/1000000</f>
        <v>2.1625964644871667E-2</v>
      </c>
      <c r="L659" s="74"/>
      <c r="M659" s="74"/>
      <c r="N659" s="74"/>
      <c r="O659" s="74"/>
      <c r="P659" s="74"/>
      <c r="Q659" s="74"/>
      <c r="R659" s="74"/>
      <c r="S659" s="74"/>
      <c r="T659" s="74"/>
      <c r="U659" s="74"/>
      <c r="V659" s="74"/>
      <c r="W659" s="74"/>
      <c r="X659" s="74"/>
      <c r="Y659" s="74"/>
      <c r="Z659" s="74"/>
    </row>
    <row r="660" spans="1:26" x14ac:dyDescent="0.3">
      <c r="A660" s="66">
        <f t="shared" si="68"/>
        <v>2055.2999999999406</v>
      </c>
      <c r="B660" s="67">
        <f>LOOKUP(A660+0.01,AmountsB!$A$4:$A$103,AmountsB!$B$4:$B$103)*0.1*$A$2</f>
        <v>0</v>
      </c>
      <c r="C660" s="68">
        <f t="shared" si="67"/>
        <v>83655.233518999943</v>
      </c>
      <c r="D660" s="67">
        <f t="array" ref="D660">SUM($B$7:$B655*$F$1009*EXP(-$F$1009*($A660-$A$7:$A655)))*$F$1010</f>
        <v>3933311.0245623821</v>
      </c>
      <c r="E660" s="67">
        <f t="shared" si="65"/>
        <v>7.4985102353914623</v>
      </c>
      <c r="F660" s="70">
        <f t="shared" si="69"/>
        <v>0.45530954149296959</v>
      </c>
      <c r="G660" s="67">
        <f>E660/'Lookup Tables'!$C$48</f>
        <v>14.997020470782925</v>
      </c>
      <c r="H660" s="70">
        <f t="shared" si="66"/>
        <v>4.711261703461285E-2</v>
      </c>
      <c r="I660" s="71">
        <f t="shared" si="70"/>
        <v>2.1595709477927411E-2</v>
      </c>
      <c r="L660" s="74"/>
      <c r="M660" s="74"/>
      <c r="N660" s="74"/>
      <c r="O660" s="74"/>
      <c r="P660" s="74"/>
      <c r="Q660" s="74"/>
      <c r="R660" s="74"/>
      <c r="S660" s="74"/>
      <c r="T660" s="74"/>
      <c r="U660" s="74"/>
      <c r="V660" s="74"/>
      <c r="W660" s="74"/>
      <c r="X660" s="74"/>
      <c r="Y660" s="74"/>
      <c r="Z660" s="74"/>
    </row>
    <row r="661" spans="1:26" x14ac:dyDescent="0.3">
      <c r="A661" s="66">
        <f t="shared" si="68"/>
        <v>2055.3999999999405</v>
      </c>
      <c r="B661" s="67">
        <f>LOOKUP(A661+0.01,AmountsB!$A$4:$A$103,AmountsB!$B$4:$B$103)*0.1*$A$2</f>
        <v>0</v>
      </c>
      <c r="C661" s="68">
        <f t="shared" si="67"/>
        <v>83655.233518999943</v>
      </c>
      <c r="D661" s="67">
        <f t="array" ref="D661">SUM($B$7:$B656*$F$1009*EXP(-$F$1009*($A661-$A$7:$A656)))*$F$1010</f>
        <v>3927808.2419745992</v>
      </c>
      <c r="E661" s="67">
        <f t="shared" si="65"/>
        <v>7.4880196661738365</v>
      </c>
      <c r="F661" s="70">
        <f t="shared" si="69"/>
        <v>0.45467255413007535</v>
      </c>
      <c r="G661" s="67">
        <f>E661/'Lookup Tables'!$C$48</f>
        <v>14.976039332347673</v>
      </c>
      <c r="H661" s="70">
        <f t="shared" si="66"/>
        <v>4.7046705519590511E-2</v>
      </c>
      <c r="I661" s="71">
        <f t="shared" si="70"/>
        <v>2.1565496638580647E-2</v>
      </c>
      <c r="L661" s="74"/>
      <c r="M661" s="74"/>
      <c r="N661" s="74"/>
      <c r="O661" s="74"/>
      <c r="P661" s="74"/>
      <c r="Q661" s="74"/>
      <c r="R661" s="74"/>
      <c r="S661" s="74"/>
      <c r="T661" s="74"/>
      <c r="U661" s="74"/>
      <c r="V661" s="74"/>
      <c r="W661" s="74"/>
      <c r="X661" s="74"/>
      <c r="Y661" s="74"/>
      <c r="Z661" s="74"/>
    </row>
    <row r="662" spans="1:26" x14ac:dyDescent="0.3">
      <c r="A662" s="66">
        <f t="shared" si="68"/>
        <v>2055.4999999999404</v>
      </c>
      <c r="B662" s="67">
        <f>LOOKUP(A662+0.01,AmountsB!$A$4:$A$103,AmountsB!$B$4:$B$103)*0.1*$A$2</f>
        <v>0</v>
      </c>
      <c r="C662" s="68">
        <f t="shared" si="67"/>
        <v>83655.233518999943</v>
      </c>
      <c r="D662" s="67">
        <f t="array" ref="D662">SUM($B$7:$B657*$F$1009*EXP(-$F$1009*($A662-$A$7:$A657)))*$F$1010</f>
        <v>3922313.1578922258</v>
      </c>
      <c r="E662" s="67">
        <f t="shared" si="65"/>
        <v>7.4775437734771488</v>
      </c>
      <c r="F662" s="70">
        <f t="shared" si="69"/>
        <v>0.45403645792553249</v>
      </c>
      <c r="G662" s="67">
        <f>E662/'Lookup Tables'!$C$48</f>
        <v>14.955087546954298</v>
      </c>
      <c r="H662" s="70">
        <f t="shared" si="66"/>
        <v>4.6980886216126033E-2</v>
      </c>
      <c r="I662" s="71">
        <f t="shared" si="70"/>
        <v>2.1535326067614186E-2</v>
      </c>
      <c r="L662" s="74"/>
      <c r="M662" s="74"/>
      <c r="N662" s="74"/>
      <c r="O662" s="74"/>
      <c r="P662" s="74"/>
      <c r="Q662" s="74"/>
      <c r="R662" s="74"/>
      <c r="S662" s="74"/>
      <c r="T662" s="74"/>
      <c r="U662" s="74"/>
      <c r="V662" s="74"/>
      <c r="W662" s="74"/>
      <c r="X662" s="74"/>
      <c r="Y662" s="74"/>
      <c r="Z662" s="74"/>
    </row>
    <row r="663" spans="1:26" x14ac:dyDescent="0.3">
      <c r="A663" s="66">
        <f t="shared" si="68"/>
        <v>2055.5999999999403</v>
      </c>
      <c r="B663" s="67">
        <f>LOOKUP(A663+0.01,AmountsB!$A$4:$A$103,AmountsB!$B$4:$B$103)*0.1*$A$2</f>
        <v>0</v>
      </c>
      <c r="C663" s="68">
        <f t="shared" si="67"/>
        <v>83655.233518999943</v>
      </c>
      <c r="D663" s="67">
        <f t="array" ref="D663">SUM($B$7:$B658*$F$1009*EXP(-$F$1009*($A663-$A$7:$A658)))*$F$1010</f>
        <v>3916825.7615449014</v>
      </c>
      <c r="E663" s="67">
        <f t="shared" si="65"/>
        <v>7.4670825367686584</v>
      </c>
      <c r="F663" s="70">
        <f t="shared" si="69"/>
        <v>0.45340125163259293</v>
      </c>
      <c r="G663" s="67">
        <f>E663/'Lookup Tables'!$C$48</f>
        <v>14.934165073537317</v>
      </c>
      <c r="H663" s="70">
        <f t="shared" si="66"/>
        <v>4.6915158995213625E-2</v>
      </c>
      <c r="I663" s="71">
        <f t="shared" si="70"/>
        <v>2.1505197705893736E-2</v>
      </c>
      <c r="L663" s="74"/>
      <c r="M663" s="74"/>
      <c r="N663" s="74"/>
      <c r="O663" s="74"/>
      <c r="P663" s="74"/>
      <c r="Q663" s="74"/>
      <c r="R663" s="74"/>
      <c r="S663" s="74"/>
      <c r="T663" s="74"/>
      <c r="U663" s="74"/>
      <c r="V663" s="74"/>
      <c r="W663" s="74"/>
      <c r="X663" s="74"/>
      <c r="Y663" s="74"/>
      <c r="Z663" s="74"/>
    </row>
    <row r="664" spans="1:26" x14ac:dyDescent="0.3">
      <c r="A664" s="66">
        <f t="shared" si="68"/>
        <v>2055.6999999999402</v>
      </c>
      <c r="B664" s="67">
        <f>LOOKUP(A664+0.01,AmountsB!$A$4:$A$103,AmountsB!$B$4:$B$103)*0.1*$A$2</f>
        <v>0</v>
      </c>
      <c r="C664" s="68">
        <f t="shared" si="67"/>
        <v>83655.233518999943</v>
      </c>
      <c r="D664" s="67">
        <f t="array" ref="D664">SUM($B$7:$B659*$F$1009*EXP(-$F$1009*($A664-$A$7:$A659)))*$F$1010</f>
        <v>3911346.0421773228</v>
      </c>
      <c r="E664" s="67">
        <f t="shared" si="65"/>
        <v>7.4566359355443295</v>
      </c>
      <c r="F664" s="70">
        <f t="shared" si="69"/>
        <v>0.45276693400625168</v>
      </c>
      <c r="G664" s="67">
        <f>E664/'Lookup Tables'!$C$48</f>
        <v>14.913271871088659</v>
      </c>
      <c r="H664" s="70">
        <f t="shared" si="66"/>
        <v>4.6849523728027857E-2</v>
      </c>
      <c r="I664" s="71">
        <f t="shared" si="70"/>
        <v>2.147511149436767E-2</v>
      </c>
      <c r="L664" s="74"/>
      <c r="M664" s="74"/>
      <c r="N664" s="74"/>
      <c r="O664" s="74"/>
      <c r="P664" s="74"/>
      <c r="Q664" s="74"/>
      <c r="R664" s="74"/>
      <c r="S664" s="74"/>
      <c r="T664" s="74"/>
      <c r="U664" s="74"/>
      <c r="V664" s="74"/>
      <c r="W664" s="74"/>
      <c r="X664" s="74"/>
      <c r="Y664" s="74"/>
      <c r="Z664" s="74"/>
    </row>
    <row r="665" spans="1:26" x14ac:dyDescent="0.3">
      <c r="A665" s="66">
        <f t="shared" si="68"/>
        <v>2055.7999999999402</v>
      </c>
      <c r="B665" s="67">
        <f>LOOKUP(A665+0.01,AmountsB!$A$4:$A$103,AmountsB!$B$4:$B$103)*0.1*$A$2</f>
        <v>0</v>
      </c>
      <c r="C665" s="68">
        <f t="shared" si="67"/>
        <v>83655.233518999943</v>
      </c>
      <c r="D665" s="67">
        <f t="array" ref="D665">SUM($B$7:$B660*$F$1009*EXP(-$F$1009*($A665-$A$7:$A660)))*$F$1010</f>
        <v>3905873.9890492372</v>
      </c>
      <c r="E665" s="67">
        <f t="shared" si="65"/>
        <v>7.446203949328817</v>
      </c>
      <c r="F665" s="70">
        <f t="shared" si="69"/>
        <v>0.4521335038032458</v>
      </c>
      <c r="G665" s="67">
        <f>E665/'Lookup Tables'!$C$48</f>
        <v>14.892407898657634</v>
      </c>
      <c r="H665" s="70">
        <f t="shared" si="66"/>
        <v>4.6783980285923565E-2</v>
      </c>
      <c r="I665" s="71">
        <f t="shared" si="70"/>
        <v>2.1445067374066991E-2</v>
      </c>
      <c r="L665" s="74"/>
      <c r="M665" s="74"/>
      <c r="N665" s="74"/>
      <c r="O665" s="74"/>
      <c r="P665" s="74"/>
      <c r="Q665" s="74"/>
      <c r="R665" s="74"/>
      <c r="S665" s="74"/>
      <c r="T665" s="74"/>
      <c r="U665" s="74"/>
      <c r="V665" s="74"/>
      <c r="W665" s="74"/>
      <c r="X665" s="74"/>
      <c r="Y665" s="74"/>
      <c r="Z665" s="74"/>
    </row>
    <row r="666" spans="1:26" x14ac:dyDescent="0.3">
      <c r="A666" s="66">
        <f t="shared" si="68"/>
        <v>2055.8999999999401</v>
      </c>
      <c r="B666" s="67">
        <f>LOOKUP(A666+0.01,AmountsB!$A$4:$A$103,AmountsB!$B$4:$B$103)*0.1*$A$2</f>
        <v>0</v>
      </c>
      <c r="C666" s="68">
        <f t="shared" si="67"/>
        <v>83655.233518999943</v>
      </c>
      <c r="D666" s="67">
        <f t="array" ref="D666">SUM($B$7:$B661*$F$1009*EXP(-$F$1009*($A666-$A$7:$A661)))*$F$1010</f>
        <v>3900409.5914354213</v>
      </c>
      <c r="E666" s="67">
        <f t="shared" si="65"/>
        <v>7.4357865576754314</v>
      </c>
      <c r="F666" s="70">
        <f t="shared" si="69"/>
        <v>0.45150095978205218</v>
      </c>
      <c r="G666" s="67">
        <f>E666/'Lookup Tables'!$C$48</f>
        <v>14.871573115350863</v>
      </c>
      <c r="H666" s="70">
        <f t="shared" si="66"/>
        <v>4.6718528540435636E-2</v>
      </c>
      <c r="I666" s="71">
        <f t="shared" si="70"/>
        <v>2.1415065286105244E-2</v>
      </c>
      <c r="L666" s="74"/>
      <c r="M666" s="74"/>
      <c r="N666" s="74"/>
      <c r="O666" s="74"/>
      <c r="P666" s="74"/>
      <c r="Q666" s="74"/>
      <c r="R666" s="74"/>
      <c r="S666" s="74"/>
      <c r="T666" s="74"/>
      <c r="U666" s="74"/>
      <c r="V666" s="74"/>
      <c r="W666" s="74"/>
      <c r="X666" s="74"/>
      <c r="Y666" s="74"/>
      <c r="Z666" s="74"/>
    </row>
    <row r="667" spans="1:26" x14ac:dyDescent="0.3">
      <c r="A667" s="66">
        <f t="shared" si="68"/>
        <v>2055.99999999994</v>
      </c>
      <c r="B667" s="67">
        <f>LOOKUP(A667+0.01,AmountsB!$A$4:$A$103,AmountsB!$B$4:$B$103)*0.1*$A$2</f>
        <v>0</v>
      </c>
      <c r="C667" s="68">
        <f t="shared" si="67"/>
        <v>83655.233518999943</v>
      </c>
      <c r="D667" s="67">
        <f t="array" ref="D667">SUM($B$7:$B662*$F$1009*EXP(-$F$1009*($A667-$A$7:$A662)))*$F$1010</f>
        <v>3894952.8386256532</v>
      </c>
      <c r="E667" s="67">
        <f t="shared" si="65"/>
        <v>7.4253837401660787</v>
      </c>
      <c r="F667" s="70">
        <f t="shared" si="69"/>
        <v>0.45086930070288428</v>
      </c>
      <c r="G667" s="67">
        <f>E667/'Lookup Tables'!$C$48</f>
        <v>14.850767480332157</v>
      </c>
      <c r="H667" s="70">
        <f t="shared" si="66"/>
        <v>4.6653168363278583E-2</v>
      </c>
      <c r="I667" s="71">
        <f t="shared" si="70"/>
        <v>2.1385105171678305E-2</v>
      </c>
      <c r="L667" s="74"/>
      <c r="M667" s="74"/>
      <c r="N667" s="74"/>
      <c r="O667" s="74"/>
      <c r="P667" s="74"/>
      <c r="Q667" s="74"/>
      <c r="R667" s="74"/>
      <c r="S667" s="74"/>
      <c r="T667" s="74"/>
      <c r="U667" s="74"/>
      <c r="V667" s="74"/>
      <c r="W667" s="74"/>
      <c r="X667" s="74"/>
      <c r="Y667" s="74"/>
      <c r="Z667" s="74"/>
    </row>
    <row r="668" spans="1:26" x14ac:dyDescent="0.3">
      <c r="A668" s="66">
        <f t="shared" si="68"/>
        <v>2056.0999999999399</v>
      </c>
      <c r="B668" s="67">
        <f>LOOKUP(A668+0.01,AmountsB!$A$4:$A$103,AmountsB!$B$4:$B$103)*0.1*$A$2</f>
        <v>0</v>
      </c>
      <c r="C668" s="68">
        <f t="shared" si="67"/>
        <v>83655.233518999943</v>
      </c>
      <c r="D668" s="67">
        <f t="array" ref="D668">SUM($B$7:$B663*$F$1009*EXP(-$F$1009*($A668-$A$7:$A663)))*$F$1010</f>
        <v>3889503.7199246953</v>
      </c>
      <c r="E668" s="67">
        <f t="shared" si="65"/>
        <v>7.4149954764112334</v>
      </c>
      <c r="F668" s="70">
        <f t="shared" si="69"/>
        <v>0.45023852532769004</v>
      </c>
      <c r="G668" s="67">
        <f>E668/'Lookup Tables'!$C$48</f>
        <v>14.829990952822467</v>
      </c>
      <c r="H668" s="70">
        <f t="shared" si="66"/>
        <v>4.658789962634647E-2</v>
      </c>
      <c r="I668" s="71">
        <f t="shared" si="70"/>
        <v>2.1355186972064351E-2</v>
      </c>
      <c r="L668" s="74"/>
      <c r="M668" s="74"/>
      <c r="N668" s="74"/>
      <c r="O668" s="74"/>
      <c r="P668" s="74"/>
      <c r="Q668" s="74"/>
      <c r="R668" s="74"/>
      <c r="S668" s="74"/>
      <c r="T668" s="74"/>
      <c r="U668" s="74"/>
      <c r="V668" s="74"/>
      <c r="W668" s="74"/>
      <c r="X668" s="74"/>
      <c r="Y668" s="74"/>
      <c r="Z668" s="74"/>
    </row>
    <row r="669" spans="1:26" x14ac:dyDescent="0.3">
      <c r="A669" s="66">
        <f t="shared" si="68"/>
        <v>2056.1999999999398</v>
      </c>
      <c r="B669" s="67">
        <f>LOOKUP(A669+0.01,AmountsB!$A$4:$A$103,AmountsB!$B$4:$B$103)*0.1*$A$2</f>
        <v>0</v>
      </c>
      <c r="C669" s="68">
        <f t="shared" si="67"/>
        <v>83655.233518999943</v>
      </c>
      <c r="D669" s="67">
        <f t="array" ref="D669">SUM($B$7:$B664*$F$1009*EXP(-$F$1009*($A669-$A$7:$A664)))*$F$1010</f>
        <v>3884062.2246522731</v>
      </c>
      <c r="E669" s="67">
        <f t="shared" si="65"/>
        <v>7.4046217460498944</v>
      </c>
      <c r="F669" s="70">
        <f t="shared" si="69"/>
        <v>0.44960863242014959</v>
      </c>
      <c r="G669" s="67">
        <f>E669/'Lookup Tables'!$C$48</f>
        <v>14.809243492099789</v>
      </c>
      <c r="H669" s="70">
        <f t="shared" si="66"/>
        <v>4.6522722201712517E-2</v>
      </c>
      <c r="I669" s="71">
        <f t="shared" si="70"/>
        <v>2.1325310628623695E-2</v>
      </c>
      <c r="L669" s="74"/>
      <c r="M669" s="74"/>
      <c r="N669" s="74"/>
      <c r="O669" s="74"/>
      <c r="P669" s="74"/>
      <c r="Q669" s="74"/>
      <c r="R669" s="74"/>
      <c r="S669" s="74"/>
      <c r="T669" s="74"/>
      <c r="U669" s="74"/>
      <c r="V669" s="74"/>
      <c r="W669" s="74"/>
      <c r="X669" s="74"/>
      <c r="Y669" s="74"/>
      <c r="Z669" s="74"/>
    </row>
    <row r="670" spans="1:26" x14ac:dyDescent="0.3">
      <c r="A670" s="66">
        <f t="shared" si="68"/>
        <v>2056.2999999999397</v>
      </c>
      <c r="B670" s="67">
        <f>LOOKUP(A670+0.01,AmountsB!$A$4:$A$103,AmountsB!$B$4:$B$103)*0.1*$A$2</f>
        <v>0</v>
      </c>
      <c r="C670" s="68">
        <f t="shared" si="67"/>
        <v>83655.233518999943</v>
      </c>
      <c r="D670" s="67">
        <f t="array" ref="D670">SUM($B$7:$B665*$F$1009*EXP(-$F$1009*($A670-$A$7:$A665)))*$F$1010</f>
        <v>3878628.342143056</v>
      </c>
      <c r="E670" s="67">
        <f t="shared" si="65"/>
        <v>7.3942625287495503</v>
      </c>
      <c r="F670" s="70">
        <f t="shared" si="69"/>
        <v>0.44897962074567266</v>
      </c>
      <c r="G670" s="67">
        <f>E670/'Lookup Tables'!$C$48</f>
        <v>14.788525057499101</v>
      </c>
      <c r="H670" s="70">
        <f t="shared" si="66"/>
        <v>4.6457635961629003E-2</v>
      </c>
      <c r="I670" s="71">
        <f t="shared" si="70"/>
        <v>2.1295476082798706E-2</v>
      </c>
      <c r="L670" s="74"/>
      <c r="M670" s="74"/>
      <c r="N670" s="74"/>
      <c r="O670" s="74"/>
      <c r="P670" s="74"/>
      <c r="Q670" s="74"/>
      <c r="R670" s="74"/>
      <c r="S670" s="74"/>
      <c r="T670" s="74"/>
      <c r="U670" s="74"/>
      <c r="V670" s="74"/>
      <c r="W670" s="74"/>
      <c r="X670" s="74"/>
      <c r="Y670" s="74"/>
      <c r="Z670" s="74"/>
    </row>
    <row r="671" spans="1:26" x14ac:dyDescent="0.3">
      <c r="A671" s="66">
        <f t="shared" si="68"/>
        <v>2056.3999999999396</v>
      </c>
      <c r="B671" s="67">
        <f>LOOKUP(A671+0.01,AmountsB!$A$4:$A$103,AmountsB!$B$4:$B$103)*0.1*$A$2</f>
        <v>0</v>
      </c>
      <c r="C671" s="68">
        <f t="shared" si="67"/>
        <v>83655.233518999943</v>
      </c>
      <c r="D671" s="67">
        <f t="array" ref="D671">SUM($B$7:$B666*$F$1009*EXP(-$F$1009*($A671-$A$7:$A666)))*$F$1010</f>
        <v>3873202.0617466313</v>
      </c>
      <c r="E671" s="67">
        <f t="shared" si="65"/>
        <v>7.3839178042061304</v>
      </c>
      <c r="F671" s="70">
        <f t="shared" si="69"/>
        <v>0.44835148907139621</v>
      </c>
      <c r="G671" s="67">
        <f>E671/'Lookup Tables'!$C$48</f>
        <v>14.767835608412261</v>
      </c>
      <c r="H671" s="70">
        <f t="shared" si="66"/>
        <v>4.6392640778526832E-2</v>
      </c>
      <c r="I671" s="71">
        <f t="shared" si="70"/>
        <v>2.1265683276113653E-2</v>
      </c>
      <c r="L671" s="74"/>
      <c r="M671" s="74"/>
      <c r="N671" s="74"/>
      <c r="O671" s="74"/>
      <c r="P671" s="74"/>
      <c r="Q671" s="74"/>
      <c r="R671" s="74"/>
      <c r="S671" s="74"/>
      <c r="T671" s="74"/>
      <c r="U671" s="74"/>
      <c r="V671" s="74"/>
      <c r="W671" s="74"/>
      <c r="X671" s="74"/>
      <c r="Y671" s="74"/>
      <c r="Z671" s="74"/>
    </row>
    <row r="672" spans="1:26" x14ac:dyDescent="0.3">
      <c r="A672" s="66">
        <f t="shared" si="68"/>
        <v>2056.4999999999395</v>
      </c>
      <c r="B672" s="67">
        <f>LOOKUP(A672+0.01,AmountsB!$A$4:$A$103,AmountsB!$B$4:$B$103)*0.1*$A$2</f>
        <v>0</v>
      </c>
      <c r="C672" s="68">
        <f t="shared" si="67"/>
        <v>83655.233518999943</v>
      </c>
      <c r="D672" s="67">
        <f t="array" ref="D672">SUM($B$7:$B667*$F$1009*EXP(-$F$1009*($A672-$A$7:$A667)))*$F$1010</f>
        <v>3867783.3728274875</v>
      </c>
      <c r="E672" s="67">
        <f t="shared" si="65"/>
        <v>7.3735875521439711</v>
      </c>
      <c r="F672" s="70">
        <f t="shared" si="69"/>
        <v>0.4477242361661819</v>
      </c>
      <c r="G672" s="67">
        <f>E672/'Lookup Tables'!$C$48</f>
        <v>14.747175104287942</v>
      </c>
      <c r="H672" s="70">
        <f t="shared" si="66"/>
        <v>4.6327736525015463E-2</v>
      </c>
      <c r="I672" s="71">
        <f t="shared" si="70"/>
        <v>2.1235932150174639E-2</v>
      </c>
      <c r="L672" s="74"/>
      <c r="M672" s="74"/>
      <c r="N672" s="74"/>
      <c r="O672" s="74"/>
      <c r="P672" s="74"/>
      <c r="Q672" s="74"/>
      <c r="R672" s="74"/>
      <c r="S672" s="74"/>
      <c r="T672" s="74"/>
      <c r="U672" s="74"/>
      <c r="V672" s="74"/>
      <c r="W672" s="74"/>
      <c r="X672" s="74"/>
      <c r="Y672" s="74"/>
      <c r="Z672" s="74"/>
    </row>
    <row r="673" spans="1:26" x14ac:dyDescent="0.3">
      <c r="A673" s="66">
        <f t="shared" si="68"/>
        <v>2056.5999999999394</v>
      </c>
      <c r="B673" s="67">
        <f>LOOKUP(A673+0.01,AmountsB!$A$4:$A$103,AmountsB!$B$4:$B$103)*0.1*$A$2</f>
        <v>0</v>
      </c>
      <c r="C673" s="68">
        <f t="shared" si="67"/>
        <v>83655.233518999943</v>
      </c>
      <c r="D673" s="67">
        <f t="array" ref="D673">SUM($B$7:$B668*$F$1009*EXP(-$F$1009*($A673-$A$7:$A668)))*$F$1010</f>
        <v>3862372.2647649911</v>
      </c>
      <c r="E673" s="67">
        <f t="shared" si="65"/>
        <v>7.3632717523157707</v>
      </c>
      <c r="F673" s="70">
        <f t="shared" si="69"/>
        <v>0.44709786080061359</v>
      </c>
      <c r="G673" s="67">
        <f>E673/'Lookup Tables'!$C$48</f>
        <v>14.726543504631541</v>
      </c>
      <c r="H673" s="70">
        <f t="shared" si="66"/>
        <v>4.6262923073882467E-2</v>
      </c>
      <c r="I673" s="71">
        <f t="shared" si="70"/>
        <v>2.120622264666942E-2</v>
      </c>
      <c r="L673" s="74"/>
      <c r="M673" s="74"/>
      <c r="N673" s="74"/>
      <c r="O673" s="74"/>
      <c r="P673" s="74"/>
      <c r="Q673" s="74"/>
      <c r="R673" s="74"/>
      <c r="S673" s="74"/>
      <c r="T673" s="74"/>
      <c r="U673" s="74"/>
      <c r="V673" s="74"/>
      <c r="W673" s="74"/>
      <c r="X673" s="74"/>
      <c r="Y673" s="74"/>
      <c r="Z673" s="74"/>
    </row>
    <row r="674" spans="1:26" x14ac:dyDescent="0.3">
      <c r="A674" s="66">
        <f t="shared" si="68"/>
        <v>2056.6999999999393</v>
      </c>
      <c r="B674" s="67">
        <f>LOOKUP(A674+0.01,AmountsB!$A$4:$A$103,AmountsB!$B$4:$B$103)*0.1*$A$2</f>
        <v>0</v>
      </c>
      <c r="C674" s="68">
        <f t="shared" si="67"/>
        <v>83655.233518999943</v>
      </c>
      <c r="D674" s="67">
        <f t="array" ref="D674">SUM($B$7:$B669*$F$1009*EXP(-$F$1009*($A674-$A$7:$A669)))*$F$1010</f>
        <v>3856968.7269533705</v>
      </c>
      <c r="E674" s="67">
        <f t="shared" si="65"/>
        <v>7.3529703845025631</v>
      </c>
      <c r="F674" s="70">
        <f t="shared" si="69"/>
        <v>0.44647236174699562</v>
      </c>
      <c r="G674" s="67">
        <f>E674/'Lookup Tables'!$C$48</f>
        <v>14.705940769005126</v>
      </c>
      <c r="H674" s="70">
        <f t="shared" si="66"/>
        <v>4.6198200298093531E-2</v>
      </c>
      <c r="I674" s="71">
        <f t="shared" si="70"/>
        <v>2.117655470736738E-2</v>
      </c>
      <c r="L674" s="74"/>
      <c r="M674" s="74"/>
      <c r="N674" s="74"/>
      <c r="O674" s="74"/>
      <c r="P674" s="74"/>
      <c r="Q674" s="74"/>
      <c r="R674" s="74"/>
      <c r="S674" s="74"/>
      <c r="T674" s="74"/>
      <c r="U674" s="74"/>
      <c r="V674" s="74"/>
      <c r="W674" s="74"/>
      <c r="X674" s="74"/>
      <c r="Y674" s="74"/>
      <c r="Z674" s="74"/>
    </row>
    <row r="675" spans="1:26" x14ac:dyDescent="0.3">
      <c r="A675" s="66">
        <f t="shared" si="68"/>
        <v>2056.7999999999392</v>
      </c>
      <c r="B675" s="67">
        <f>LOOKUP(A675+0.01,AmountsB!$A$4:$A$103,AmountsB!$B$4:$B$103)*0.1*$A$2</f>
        <v>0</v>
      </c>
      <c r="C675" s="68">
        <f t="shared" si="67"/>
        <v>83655.233518999943</v>
      </c>
      <c r="D675" s="67">
        <f t="array" ref="D675">SUM($B$7:$B670*$F$1009*EXP(-$F$1009*($A675-$A$7:$A670)))*$F$1010</f>
        <v>3851572.7488016901</v>
      </c>
      <c r="E675" s="67">
        <f t="shared" si="65"/>
        <v>7.3426834285136637</v>
      </c>
      <c r="F675" s="70">
        <f t="shared" si="69"/>
        <v>0.44584773777934966</v>
      </c>
      <c r="G675" s="67">
        <f>E675/'Lookup Tables'!$C$48</f>
        <v>14.685366857027327</v>
      </c>
      <c r="H675" s="70">
        <f t="shared" si="66"/>
        <v>4.6133568070791962E-2</v>
      </c>
      <c r="I675" s="71">
        <f t="shared" si="70"/>
        <v>2.1146928274119355E-2</v>
      </c>
      <c r="L675" s="74"/>
      <c r="M675" s="74"/>
      <c r="N675" s="74"/>
      <c r="O675" s="74"/>
      <c r="P675" s="74"/>
      <c r="Q675" s="74"/>
      <c r="R675" s="74"/>
      <c r="S675" s="74"/>
      <c r="T675" s="74"/>
      <c r="U675" s="74"/>
      <c r="V675" s="74"/>
      <c r="W675" s="74"/>
      <c r="X675" s="74"/>
      <c r="Y675" s="74"/>
      <c r="Z675" s="74"/>
    </row>
    <row r="676" spans="1:26" x14ac:dyDescent="0.3">
      <c r="A676" s="66">
        <f t="shared" si="68"/>
        <v>2056.8999999999392</v>
      </c>
      <c r="B676" s="67">
        <f>LOOKUP(A676+0.01,AmountsB!$A$4:$A$103,AmountsB!$B$4:$B$103)*0.1*$A$2</f>
        <v>0</v>
      </c>
      <c r="C676" s="68">
        <f t="shared" si="67"/>
        <v>83655.233518999943</v>
      </c>
      <c r="D676" s="67">
        <f t="array" ref="D676">SUM($B$7:$B671*$F$1009*EXP(-$F$1009*($A676-$A$7:$A671)))*$F$1010</f>
        <v>3846184.3197338302</v>
      </c>
      <c r="E676" s="67">
        <f t="shared" si="65"/>
        <v>7.3324108641866355</v>
      </c>
      <c r="F676" s="70">
        <f t="shared" si="69"/>
        <v>0.44522398767341248</v>
      </c>
      <c r="G676" s="67">
        <f>E676/'Lookup Tables'!$C$48</f>
        <v>14.664821728373271</v>
      </c>
      <c r="H676" s="70">
        <f t="shared" si="66"/>
        <v>4.6069026265298581E-2</v>
      </c>
      <c r="I676" s="71">
        <f t="shared" si="70"/>
        <v>2.1117343288857508E-2</v>
      </c>
      <c r="L676" s="74"/>
      <c r="M676" s="74"/>
      <c r="N676" s="74"/>
      <c r="O676" s="74"/>
      <c r="P676" s="74"/>
      <c r="Q676" s="74"/>
      <c r="R676" s="74"/>
      <c r="S676" s="74"/>
      <c r="T676" s="74"/>
      <c r="U676" s="74"/>
      <c r="V676" s="74"/>
      <c r="W676" s="74"/>
      <c r="X676" s="74"/>
      <c r="Y676" s="74"/>
      <c r="Z676" s="74"/>
    </row>
    <row r="677" spans="1:26" x14ac:dyDescent="0.3">
      <c r="A677" s="66">
        <f t="shared" si="68"/>
        <v>2056.9999999999391</v>
      </c>
      <c r="B677" s="67">
        <f>LOOKUP(A677+0.01,AmountsB!$A$4:$A$103,AmountsB!$B$4:$B$103)*0.1*$A$2</f>
        <v>0</v>
      </c>
      <c r="C677" s="68">
        <f t="shared" si="67"/>
        <v>83655.233518999943</v>
      </c>
      <c r="D677" s="67">
        <f t="array" ref="D677">SUM($B$7:$B672*$F$1009*EXP(-$F$1009*($A677-$A$7:$A672)))*$F$1010</f>
        <v>3840803.4291884685</v>
      </c>
      <c r="E677" s="67">
        <f t="shared" si="65"/>
        <v>7.322152671387248</v>
      </c>
      <c r="F677" s="70">
        <f t="shared" si="69"/>
        <v>0.44460111020663368</v>
      </c>
      <c r="G677" s="67">
        <f>E677/'Lookup Tables'!$C$48</f>
        <v>14.644305342774496</v>
      </c>
      <c r="H677" s="70">
        <f t="shared" si="66"/>
        <v>4.6004574755111445E-2</v>
      </c>
      <c r="I677" s="71">
        <f t="shared" si="70"/>
        <v>2.1087799693595276E-2</v>
      </c>
      <c r="L677" s="74"/>
      <c r="M677" s="74"/>
      <c r="N677" s="74"/>
      <c r="O677" s="74"/>
      <c r="P677" s="74"/>
      <c r="Q677" s="74"/>
      <c r="R677" s="74"/>
      <c r="S677" s="74"/>
      <c r="T677" s="74"/>
      <c r="U677" s="74"/>
      <c r="V677" s="74"/>
      <c r="W677" s="74"/>
      <c r="X677" s="74"/>
      <c r="Y677" s="74"/>
      <c r="Z677" s="74"/>
    </row>
    <row r="678" spans="1:26" x14ac:dyDescent="0.3">
      <c r="A678" s="66">
        <f t="shared" si="68"/>
        <v>2057.099999999939</v>
      </c>
      <c r="B678" s="67">
        <f>LOOKUP(A678+0.01,AmountsB!$A$4:$A$103,AmountsB!$B$4:$B$103)*0.1*$A$2</f>
        <v>0</v>
      </c>
      <c r="C678" s="68">
        <f t="shared" si="67"/>
        <v>83655.233518999943</v>
      </c>
      <c r="D678" s="67">
        <f t="array" ref="D678">SUM($B$7:$B673*$F$1009*EXP(-$F$1009*($A678-$A$7:$A673)))*$F$1010</f>
        <v>3835430.0666190577</v>
      </c>
      <c r="E678" s="67">
        <f t="shared" si="65"/>
        <v>7.3119088300094415</v>
      </c>
      <c r="F678" s="70">
        <f t="shared" si="69"/>
        <v>0.44397910415817327</v>
      </c>
      <c r="G678" s="67">
        <f>E678/'Lookup Tables'!$C$48</f>
        <v>14.623817660018883</v>
      </c>
      <c r="H678" s="70">
        <f t="shared" si="66"/>
        <v>4.5940213413905549E-2</v>
      </c>
      <c r="I678" s="71">
        <f t="shared" si="70"/>
        <v>2.1058297430427191E-2</v>
      </c>
      <c r="L678" s="74"/>
      <c r="M678" s="74"/>
      <c r="N678" s="74"/>
      <c r="O678" s="74"/>
      <c r="P678" s="74"/>
      <c r="Q678" s="74"/>
      <c r="R678" s="74"/>
      <c r="S678" s="74"/>
      <c r="T678" s="74"/>
      <c r="U678" s="74"/>
      <c r="V678" s="74"/>
      <c r="W678" s="74"/>
      <c r="X678" s="74"/>
      <c r="Y678" s="74"/>
      <c r="Z678" s="74"/>
    </row>
    <row r="679" spans="1:26" x14ac:dyDescent="0.3">
      <c r="A679" s="66">
        <f t="shared" si="68"/>
        <v>2057.1999999999389</v>
      </c>
      <c r="B679" s="67">
        <f>LOOKUP(A679+0.01,AmountsB!$A$4:$A$103,AmountsB!$B$4:$B$103)*0.1*$A$2</f>
        <v>0</v>
      </c>
      <c r="C679" s="68">
        <f t="shared" si="67"/>
        <v>83655.233518999943</v>
      </c>
      <c r="D679" s="67">
        <f t="array" ref="D679">SUM($B$7:$B674*$F$1009*EXP(-$F$1009*($A679-$A$7:$A674)))*$F$1010</f>
        <v>3830064.2214938053</v>
      </c>
      <c r="E679" s="67">
        <f t="shared" si="65"/>
        <v>7.301679319975281</v>
      </c>
      <c r="F679" s="70">
        <f t="shared" si="69"/>
        <v>0.44335796830889906</v>
      </c>
      <c r="G679" s="67">
        <f>E679/'Lookup Tables'!$C$48</f>
        <v>14.603358639950562</v>
      </c>
      <c r="H679" s="70">
        <f t="shared" si="66"/>
        <v>4.5875942115532642E-2</v>
      </c>
      <c r="I679" s="71">
        <f t="shared" si="70"/>
        <v>2.1028836441528809E-2</v>
      </c>
      <c r="L679" s="74"/>
      <c r="M679" s="74"/>
      <c r="N679" s="74"/>
      <c r="O679" s="74"/>
      <c r="P679" s="74"/>
      <c r="Q679" s="74"/>
      <c r="R679" s="74"/>
      <c r="S679" s="74"/>
      <c r="T679" s="74"/>
      <c r="U679" s="74"/>
      <c r="V679" s="74"/>
      <c r="W679" s="74"/>
      <c r="X679" s="74"/>
      <c r="Y679" s="74"/>
      <c r="Z679" s="74"/>
    </row>
    <row r="680" spans="1:26" x14ac:dyDescent="0.3">
      <c r="A680" s="66">
        <f t="shared" si="68"/>
        <v>2057.2999999999388</v>
      </c>
      <c r="B680" s="67">
        <f>LOOKUP(A680+0.01,AmountsB!$A$4:$A$103,AmountsB!$B$4:$B$103)*0.1*$A$2</f>
        <v>0</v>
      </c>
      <c r="C680" s="68">
        <f t="shared" si="67"/>
        <v>83655.233518999943</v>
      </c>
      <c r="D680" s="67">
        <f t="array" ref="D680">SUM($B$7:$B675*$F$1009*EXP(-$F$1009*($A680-$A$7:$A675)))*$F$1010</f>
        <v>3824705.883295652</v>
      </c>
      <c r="E680" s="67">
        <f t="shared" si="65"/>
        <v>7.2914641212349247</v>
      </c>
      <c r="F680" s="70">
        <f t="shared" si="69"/>
        <v>0.44273770144138463</v>
      </c>
      <c r="G680" s="67">
        <f>E680/'Lookup Tables'!$C$48</f>
        <v>14.582928242469849</v>
      </c>
      <c r="H680" s="70">
        <f t="shared" si="66"/>
        <v>4.5811760734020969E-2</v>
      </c>
      <c r="I680" s="71">
        <f t="shared" si="70"/>
        <v>2.0999416669156584E-2</v>
      </c>
      <c r="L680" s="74"/>
      <c r="M680" s="74"/>
      <c r="N680" s="74"/>
      <c r="O680" s="74"/>
      <c r="P680" s="74"/>
      <c r="Q680" s="74"/>
      <c r="R680" s="74"/>
      <c r="S680" s="74"/>
      <c r="T680" s="74"/>
      <c r="U680" s="74"/>
      <c r="V680" s="74"/>
      <c r="W680" s="74"/>
      <c r="X680" s="74"/>
      <c r="Y680" s="74"/>
      <c r="Z680" s="74"/>
    </row>
    <row r="681" spans="1:26" x14ac:dyDescent="0.3">
      <c r="A681" s="66">
        <f t="shared" si="68"/>
        <v>2057.3999999999387</v>
      </c>
      <c r="B681" s="67">
        <f>LOOKUP(A681+0.01,AmountsB!$A$4:$A$103,AmountsB!$B$4:$B$103)*0.1*$A$2</f>
        <v>0</v>
      </c>
      <c r="C681" s="68">
        <f t="shared" si="67"/>
        <v>83655.233518999943</v>
      </c>
      <c r="D681" s="67">
        <f t="array" ref="D681">SUM($B$7:$B676*$F$1009*EXP(-$F$1009*($A681-$A$7:$A676)))*$F$1010</f>
        <v>3819355.0415222547</v>
      </c>
      <c r="E681" s="67">
        <f t="shared" si="65"/>
        <v>7.2812632137665805</v>
      </c>
      <c r="F681" s="70">
        <f t="shared" si="69"/>
        <v>0.44211830233990673</v>
      </c>
      <c r="G681" s="67">
        <f>E681/'Lookup Tables'!$C$48</f>
        <v>14.562526427533161</v>
      </c>
      <c r="H681" s="70">
        <f t="shared" si="66"/>
        <v>4.5747669143575004E-2</v>
      </c>
      <c r="I681" s="71">
        <f t="shared" si="70"/>
        <v>2.0970038055647754E-2</v>
      </c>
      <c r="L681" s="74"/>
      <c r="M681" s="74"/>
      <c r="N681" s="74"/>
      <c r="O681" s="74"/>
      <c r="P681" s="74"/>
      <c r="Q681" s="74"/>
      <c r="R681" s="74"/>
      <c r="S681" s="74"/>
      <c r="T681" s="74"/>
      <c r="U681" s="74"/>
      <c r="V681" s="74"/>
      <c r="W681" s="74"/>
      <c r="X681" s="74"/>
      <c r="Y681" s="74"/>
      <c r="Z681" s="74"/>
    </row>
    <row r="682" spans="1:26" x14ac:dyDescent="0.3">
      <c r="A682" s="66">
        <f t="shared" si="68"/>
        <v>2057.4999999999386</v>
      </c>
      <c r="B682" s="67">
        <f>LOOKUP(A682+0.01,AmountsB!$A$4:$A$103,AmountsB!$B$4:$B$103)*0.1*$A$2</f>
        <v>0</v>
      </c>
      <c r="C682" s="68">
        <f t="shared" si="67"/>
        <v>83655.233518999943</v>
      </c>
      <c r="D682" s="67">
        <f t="array" ref="D682">SUM($B$7:$B677*$F$1009*EXP(-$F$1009*($A682-$A$7:$A677)))*$F$1010</f>
        <v>3814011.685685961</v>
      </c>
      <c r="E682" s="67">
        <f t="shared" si="65"/>
        <v>7.2710765775764648</v>
      </c>
      <c r="F682" s="70">
        <f t="shared" si="69"/>
        <v>0.44149976979044298</v>
      </c>
      <c r="G682" s="67">
        <f>E682/'Lookup Tables'!$C$48</f>
        <v>14.54215315515293</v>
      </c>
      <c r="H682" s="70">
        <f t="shared" si="66"/>
        <v>4.5683667218575183E-2</v>
      </c>
      <c r="I682" s="71">
        <f t="shared" si="70"/>
        <v>2.0940700543420218E-2</v>
      </c>
      <c r="L682" s="74"/>
      <c r="M682" s="74"/>
      <c r="N682" s="74"/>
      <c r="O682" s="74"/>
      <c r="P682" s="74"/>
      <c r="Q682" s="74"/>
      <c r="R682" s="74"/>
      <c r="S682" s="74"/>
      <c r="T682" s="74"/>
      <c r="U682" s="74"/>
      <c r="V682" s="74"/>
      <c r="W682" s="74"/>
      <c r="X682" s="74"/>
      <c r="Y682" s="74"/>
      <c r="Z682" s="74"/>
    </row>
    <row r="683" spans="1:26" x14ac:dyDescent="0.3">
      <c r="A683" s="66">
        <f t="shared" si="68"/>
        <v>2057.5999999999385</v>
      </c>
      <c r="B683" s="67">
        <f>LOOKUP(A683+0.01,AmountsB!$A$4:$A$103,AmountsB!$B$4:$B$103)*0.1*$A$2</f>
        <v>0</v>
      </c>
      <c r="C683" s="68">
        <f t="shared" si="67"/>
        <v>83655.233518999943</v>
      </c>
      <c r="D683" s="67">
        <f t="array" ref="D683">SUM($B$7:$B678*$F$1009*EXP(-$F$1009*($A683-$A$7:$A678)))*$F$1010</f>
        <v>3808675.8053137935</v>
      </c>
      <c r="E683" s="67">
        <f t="shared" si="65"/>
        <v>7.2609041926987716</v>
      </c>
      <c r="F683" s="70">
        <f t="shared" si="69"/>
        <v>0.4408821025806694</v>
      </c>
      <c r="G683" s="67">
        <f>E683/'Lookup Tables'!$C$48</f>
        <v>14.521808385397543</v>
      </c>
      <c r="H683" s="70">
        <f t="shared" si="66"/>
        <v>4.5619754833577761E-2</v>
      </c>
      <c r="I683" s="71">
        <f t="shared" si="70"/>
        <v>2.0911404074972464E-2</v>
      </c>
      <c r="L683" s="74"/>
      <c r="M683" s="74"/>
      <c r="N683" s="74"/>
      <c r="O683" s="74"/>
      <c r="P683" s="74"/>
      <c r="Q683" s="74"/>
      <c r="R683" s="74"/>
      <c r="S683" s="74"/>
      <c r="T683" s="74"/>
      <c r="U683" s="74"/>
      <c r="V683" s="74"/>
      <c r="W683" s="74"/>
      <c r="X683" s="74"/>
      <c r="Y683" s="74"/>
      <c r="Z683" s="74"/>
    </row>
    <row r="684" spans="1:26" x14ac:dyDescent="0.3">
      <c r="A684" s="66">
        <f t="shared" si="68"/>
        <v>2057.6999999999384</v>
      </c>
      <c r="B684" s="67">
        <f>LOOKUP(A684+0.01,AmountsB!$A$4:$A$103,AmountsB!$B$4:$B$103)*0.1*$A$2</f>
        <v>0</v>
      </c>
      <c r="C684" s="68">
        <f t="shared" si="67"/>
        <v>83655.233518999943</v>
      </c>
      <c r="D684" s="67">
        <f t="array" ref="D684">SUM($B$7:$B679*$F$1009*EXP(-$F$1009*($A684-$A$7:$A679)))*$F$1010</f>
        <v>3803347.3899474228</v>
      </c>
      <c r="E684" s="67">
        <f t="shared" si="65"/>
        <v>7.2507460391956187</v>
      </c>
      <c r="F684" s="70">
        <f t="shared" si="69"/>
        <v>0.44026529949995796</v>
      </c>
      <c r="G684" s="67">
        <f>E684/'Lookup Tables'!$C$48</f>
        <v>14.501492078391237</v>
      </c>
      <c r="H684" s="70">
        <f t="shared" si="66"/>
        <v>4.5555931863314407E-2</v>
      </c>
      <c r="I684" s="71">
        <f t="shared" si="70"/>
        <v>2.0882148592883381E-2</v>
      </c>
      <c r="L684" s="74"/>
      <c r="M684" s="74"/>
      <c r="N684" s="74"/>
      <c r="O684" s="74"/>
      <c r="P684" s="74"/>
      <c r="Q684" s="74"/>
      <c r="R684" s="74"/>
      <c r="S684" s="74"/>
      <c r="T684" s="74"/>
      <c r="U684" s="74"/>
      <c r="V684" s="74"/>
      <c r="W684" s="74"/>
      <c r="X684" s="74"/>
      <c r="Y684" s="74"/>
      <c r="Z684" s="74"/>
    </row>
    <row r="685" spans="1:26" x14ac:dyDescent="0.3">
      <c r="A685" s="66">
        <f t="shared" si="68"/>
        <v>2057.7999999999383</v>
      </c>
      <c r="B685" s="67">
        <f>LOOKUP(A685+0.01,AmountsB!$A$4:$A$103,AmountsB!$B$4:$B$103)*0.1*$A$2</f>
        <v>0</v>
      </c>
      <c r="C685" s="68">
        <f t="shared" si="67"/>
        <v>83655.233518999943</v>
      </c>
      <c r="D685" s="67">
        <f t="array" ref="D685">SUM($B$7:$B680*$F$1009*EXP(-$F$1009*($A685-$A$7:$A680)))*$F$1010</f>
        <v>3798026.4291431541</v>
      </c>
      <c r="E685" s="67">
        <f t="shared" si="65"/>
        <v>7.2406020971570237</v>
      </c>
      <c r="F685" s="70">
        <f t="shared" si="69"/>
        <v>0.43964935933937449</v>
      </c>
      <c r="G685" s="67">
        <f>E685/'Lookup Tables'!$C$48</f>
        <v>14.481204194314047</v>
      </c>
      <c r="H685" s="70">
        <f t="shared" si="66"/>
        <v>4.5492198182692088E-2</v>
      </c>
      <c r="I685" s="71">
        <f t="shared" si="70"/>
        <v>2.085293403981223E-2</v>
      </c>
      <c r="L685" s="74"/>
      <c r="M685" s="74"/>
      <c r="N685" s="74"/>
      <c r="O685" s="74"/>
      <c r="P685" s="74"/>
      <c r="Q685" s="74"/>
      <c r="R685" s="74"/>
      <c r="S685" s="74"/>
      <c r="T685" s="74"/>
      <c r="U685" s="74"/>
      <c r="V685" s="74"/>
      <c r="W685" s="74"/>
      <c r="X685" s="74"/>
      <c r="Y685" s="74"/>
      <c r="Z685" s="74"/>
    </row>
    <row r="686" spans="1:26" x14ac:dyDescent="0.3">
      <c r="A686" s="66">
        <f t="shared" si="68"/>
        <v>2057.8999999999382</v>
      </c>
      <c r="B686" s="67">
        <f>LOOKUP(A686+0.01,AmountsB!$A$4:$A$103,AmountsB!$B$4:$B$103)*0.1*$A$2</f>
        <v>0</v>
      </c>
      <c r="C686" s="68">
        <f t="shared" si="67"/>
        <v>83655.233518999943</v>
      </c>
      <c r="D686" s="67">
        <f t="array" ref="D686">SUM($B$7:$B681*$F$1009*EXP(-$F$1009*($A686-$A$7:$A681)))*$F$1010</f>
        <v>3792712.912471904</v>
      </c>
      <c r="E686" s="67">
        <f t="shared" si="65"/>
        <v>7.2304723467008607</v>
      </c>
      <c r="F686" s="70">
        <f t="shared" si="69"/>
        <v>0.43903428089167623</v>
      </c>
      <c r="G686" s="67">
        <f>E686/'Lookup Tables'!$C$48</f>
        <v>14.460944693401721</v>
      </c>
      <c r="H686" s="70">
        <f t="shared" si="66"/>
        <v>4.5428553666792798E-2</v>
      </c>
      <c r="I686" s="71">
        <f t="shared" si="70"/>
        <v>2.0823760358498478E-2</v>
      </c>
      <c r="L686" s="74"/>
      <c r="M686" s="74"/>
      <c r="N686" s="74"/>
      <c r="O686" s="74"/>
      <c r="P686" s="74"/>
      <c r="Q686" s="74"/>
      <c r="R686" s="74"/>
      <c r="S686" s="74"/>
      <c r="T686" s="74"/>
      <c r="U686" s="74"/>
      <c r="V686" s="74"/>
      <c r="W686" s="74"/>
      <c r="X686" s="74"/>
      <c r="Y686" s="74"/>
      <c r="Z686" s="74"/>
    </row>
    <row r="687" spans="1:26" x14ac:dyDescent="0.3">
      <c r="A687" s="66">
        <f t="shared" si="68"/>
        <v>2057.9999999999382</v>
      </c>
      <c r="B687" s="67">
        <f>LOOKUP(A687+0.01,AmountsB!$A$4:$A$103,AmountsB!$B$4:$B$103)*0.1*$A$2</f>
        <v>0</v>
      </c>
      <c r="C687" s="68">
        <f t="shared" si="67"/>
        <v>83655.233518999943</v>
      </c>
      <c r="D687" s="67">
        <f t="array" ref="D687">SUM($B$7:$B682*$F$1009*EXP(-$F$1009*($A687-$A$7:$A682)))*$F$1010</f>
        <v>3787406.8295191745</v>
      </c>
      <c r="E687" s="67">
        <f t="shared" si="65"/>
        <v>7.2203567679728087</v>
      </c>
      <c r="F687" s="70">
        <f t="shared" si="69"/>
        <v>0.43842006295130898</v>
      </c>
      <c r="G687" s="67">
        <f>E687/'Lookup Tables'!$C$48</f>
        <v>14.440713535945617</v>
      </c>
      <c r="H687" s="70">
        <f t="shared" si="66"/>
        <v>4.536499819087321E-2</v>
      </c>
      <c r="I687" s="71">
        <f t="shared" si="70"/>
        <v>2.079462749176169E-2</v>
      </c>
      <c r="L687" s="74"/>
      <c r="M687" s="74"/>
      <c r="N687" s="74"/>
      <c r="O687" s="74"/>
      <c r="P687" s="74"/>
      <c r="Q687" s="74"/>
      <c r="R687" s="74"/>
      <c r="S687" s="74"/>
      <c r="T687" s="74"/>
      <c r="U687" s="74"/>
      <c r="V687" s="74"/>
      <c r="W687" s="74"/>
      <c r="X687" s="74"/>
      <c r="Y687" s="74"/>
      <c r="Z687" s="74"/>
    </row>
    <row r="688" spans="1:26" x14ac:dyDescent="0.3">
      <c r="A688" s="66">
        <f t="shared" si="68"/>
        <v>2058.0999999999381</v>
      </c>
      <c r="B688" s="67">
        <f>LOOKUP(A688+0.01,AmountsB!$A$4:$A$103,AmountsB!$B$4:$B$103)*0.1*$A$2</f>
        <v>0</v>
      </c>
      <c r="C688" s="68">
        <f t="shared" si="67"/>
        <v>83655.233518999943</v>
      </c>
      <c r="D688" s="67">
        <f t="array" ref="D688">SUM($B$7:$B683*$F$1009*EXP(-$F$1009*($A688-$A$7:$A683)))*$F$1010</f>
        <v>3782108.1698850445</v>
      </c>
      <c r="E688" s="67">
        <f t="shared" si="65"/>
        <v>7.2102553411463353</v>
      </c>
      <c r="F688" s="70">
        <f t="shared" si="69"/>
        <v>0.43780670431440544</v>
      </c>
      <c r="G688" s="67">
        <f>E688/'Lookup Tables'!$C$48</f>
        <v>14.420510682292671</v>
      </c>
      <c r="H688" s="70">
        <f t="shared" si="66"/>
        <v>4.5301531630364614E-2</v>
      </c>
      <c r="I688" s="71">
        <f t="shared" si="70"/>
        <v>2.0765535382501445E-2</v>
      </c>
      <c r="L688" s="74"/>
      <c r="M688" s="74"/>
      <c r="N688" s="74"/>
      <c r="O688" s="74"/>
      <c r="P688" s="74"/>
      <c r="Q688" s="74"/>
      <c r="R688" s="74"/>
      <c r="S688" s="74"/>
      <c r="T688" s="74"/>
      <c r="U688" s="74"/>
      <c r="V688" s="74"/>
      <c r="W688" s="74"/>
      <c r="X688" s="74"/>
      <c r="Y688" s="74"/>
      <c r="Z688" s="74"/>
    </row>
    <row r="689" spans="1:26" x14ac:dyDescent="0.3">
      <c r="A689" s="66">
        <f t="shared" si="68"/>
        <v>2058.199999999938</v>
      </c>
      <c r="B689" s="67">
        <f>LOOKUP(A689+0.01,AmountsB!$A$4:$A$103,AmountsB!$B$4:$B$103)*0.1*$A$2</f>
        <v>0</v>
      </c>
      <c r="C689" s="68">
        <f t="shared" si="67"/>
        <v>83655.233518999943</v>
      </c>
      <c r="D689" s="67">
        <f t="array" ref="D689">SUM($B$7:$B684*$F$1009*EXP(-$F$1009*($A689-$A$7:$A684)))*$F$1010</f>
        <v>3776816.9231841378</v>
      </c>
      <c r="E689" s="67">
        <f t="shared" si="65"/>
        <v>7.200168046422637</v>
      </c>
      <c r="F689" s="70">
        <f t="shared" si="69"/>
        <v>0.43719420377878249</v>
      </c>
      <c r="G689" s="67">
        <f>E689/'Lookup Tables'!$C$48</f>
        <v>14.400336092845274</v>
      </c>
      <c r="H689" s="70">
        <f t="shared" si="66"/>
        <v>4.5238153860872501E-2</v>
      </c>
      <c r="I689" s="71">
        <f t="shared" si="70"/>
        <v>2.0736483973697196E-2</v>
      </c>
      <c r="L689" s="74"/>
      <c r="M689" s="74"/>
      <c r="N689" s="74"/>
      <c r="O689" s="74"/>
      <c r="P689" s="74"/>
      <c r="Q689" s="74"/>
      <c r="R689" s="74"/>
      <c r="S689" s="74"/>
      <c r="T689" s="74"/>
      <c r="U689" s="74"/>
      <c r="V689" s="74"/>
      <c r="W689" s="74"/>
      <c r="X689" s="74"/>
      <c r="Y689" s="74"/>
      <c r="Z689" s="74"/>
    </row>
    <row r="690" spans="1:26" x14ac:dyDescent="0.3">
      <c r="A690" s="66">
        <f t="shared" si="68"/>
        <v>2058.2999999999379</v>
      </c>
      <c r="B690" s="67">
        <f>LOOKUP(A690+0.01,AmountsB!$A$4:$A$103,AmountsB!$B$4:$B$103)*0.1*$A$2</f>
        <v>0</v>
      </c>
      <c r="C690" s="68">
        <f t="shared" si="67"/>
        <v>83655.233518999943</v>
      </c>
      <c r="D690" s="67">
        <f t="array" ref="D690">SUM($B$7:$B685*$F$1009*EXP(-$F$1009*($A690-$A$7:$A685)))*$F$1010</f>
        <v>3771533.07904561</v>
      </c>
      <c r="E690" s="67">
        <f t="shared" si="65"/>
        <v>7.1900948640306162</v>
      </c>
      <c r="F690" s="70">
        <f t="shared" si="69"/>
        <v>0.43658256014393904</v>
      </c>
      <c r="G690" s="67">
        <f>E690/'Lookup Tables'!$C$48</f>
        <v>14.380189728061232</v>
      </c>
      <c r="H690" s="70">
        <f t="shared" si="66"/>
        <v>4.5174864758176454E-2</v>
      </c>
      <c r="I690" s="71">
        <f t="shared" si="70"/>
        <v>2.0707473208408177E-2</v>
      </c>
      <c r="L690" s="74"/>
      <c r="M690" s="74"/>
      <c r="N690" s="74"/>
      <c r="O690" s="74"/>
      <c r="P690" s="74"/>
      <c r="Q690" s="74"/>
      <c r="R690" s="74"/>
      <c r="S690" s="74"/>
      <c r="T690" s="74"/>
      <c r="U690" s="74"/>
      <c r="V690" s="74"/>
      <c r="W690" s="74"/>
      <c r="X690" s="74"/>
      <c r="Y690" s="74"/>
      <c r="Z690" s="74"/>
    </row>
    <row r="691" spans="1:26" x14ac:dyDescent="0.3">
      <c r="A691" s="66">
        <f t="shared" si="68"/>
        <v>2058.3999999999378</v>
      </c>
      <c r="B691" s="67">
        <f>LOOKUP(A691+0.01,AmountsB!$A$4:$A$103,AmountsB!$B$4:$B$103)*0.1*$A$2</f>
        <v>0</v>
      </c>
      <c r="C691" s="68">
        <f t="shared" si="67"/>
        <v>83655.233518999943</v>
      </c>
      <c r="D691" s="67">
        <f t="array" ref="D691">SUM($B$7:$B686*$F$1009*EXP(-$F$1009*($A691-$A$7:$A686)))*$F$1010</f>
        <v>3766256.6271131244</v>
      </c>
      <c r="E691" s="67">
        <f t="shared" si="65"/>
        <v>7.1800357742268304</v>
      </c>
      <c r="F691" s="70">
        <f t="shared" si="69"/>
        <v>0.4359717722110531</v>
      </c>
      <c r="G691" s="67">
        <f>E691/'Lookup Tables'!$C$48</f>
        <v>14.360071548453661</v>
      </c>
      <c r="H691" s="70">
        <f t="shared" si="66"/>
        <v>4.5111664198229776E-2</v>
      </c>
      <c r="I691" s="71">
        <f t="shared" si="70"/>
        <v>2.0678503029773272E-2</v>
      </c>
      <c r="L691" s="74"/>
      <c r="M691" s="74"/>
      <c r="N691" s="74"/>
      <c r="O691" s="74"/>
      <c r="P691" s="74"/>
      <c r="Q691" s="74"/>
      <c r="R691" s="74"/>
      <c r="S691" s="74"/>
      <c r="T691" s="74"/>
      <c r="U691" s="74"/>
      <c r="V691" s="74"/>
      <c r="W691" s="74"/>
      <c r="X691" s="74"/>
      <c r="Y691" s="74"/>
      <c r="Z691" s="74"/>
    </row>
    <row r="692" spans="1:26" x14ac:dyDescent="0.3">
      <c r="A692" s="66">
        <f t="shared" si="68"/>
        <v>2058.4999999999377</v>
      </c>
      <c r="B692" s="67">
        <f>LOOKUP(A692+0.01,AmountsB!$A$4:$A$103,AmountsB!$B$4:$B$103)*0.1*$A$2</f>
        <v>0</v>
      </c>
      <c r="C692" s="68">
        <f t="shared" si="67"/>
        <v>83655.233518999943</v>
      </c>
      <c r="D692" s="67">
        <f t="array" ref="D692">SUM($B$7:$B687*$F$1009*EXP(-$F$1009*($A692-$A$7:$A687)))*$F$1010</f>
        <v>3760987.5570448334</v>
      </c>
      <c r="E692" s="67">
        <f t="shared" si="65"/>
        <v>7.1699907572954604</v>
      </c>
      <c r="F692" s="70">
        <f t="shared" si="69"/>
        <v>0.43536183878298035</v>
      </c>
      <c r="G692" s="67">
        <f>E692/'Lookup Tables'!$C$48</f>
        <v>14.339981514590921</v>
      </c>
      <c r="H692" s="70">
        <f t="shared" si="66"/>
        <v>4.504855205715938E-2</v>
      </c>
      <c r="I692" s="71">
        <f t="shared" si="70"/>
        <v>2.0649573381010922E-2</v>
      </c>
      <c r="L692" s="74"/>
      <c r="M692" s="74"/>
      <c r="N692" s="74"/>
      <c r="O692" s="74"/>
      <c r="P692" s="74"/>
      <c r="Q692" s="74"/>
      <c r="R692" s="74"/>
      <c r="S692" s="74"/>
      <c r="T692" s="74"/>
      <c r="U692" s="74"/>
      <c r="V692" s="74"/>
      <c r="W692" s="74"/>
      <c r="X692" s="74"/>
      <c r="Y692" s="74"/>
      <c r="Z692" s="74"/>
    </row>
    <row r="693" spans="1:26" x14ac:dyDescent="0.3">
      <c r="A693" s="66">
        <f t="shared" si="68"/>
        <v>2058.5999999999376</v>
      </c>
      <c r="B693" s="67">
        <f>LOOKUP(A693+0.01,AmountsB!$A$4:$A$103,AmountsB!$B$4:$B$103)*0.1*$A$2</f>
        <v>0</v>
      </c>
      <c r="C693" s="68">
        <f t="shared" si="67"/>
        <v>83655.233518999943</v>
      </c>
      <c r="D693" s="67">
        <f t="array" ref="D693">SUM($B$7:$B688*$F$1009*EXP(-$F$1009*($A693-$A$7:$A688)))*$F$1010</f>
        <v>3755725.858513358</v>
      </c>
      <c r="E693" s="67">
        <f t="shared" si="65"/>
        <v>7.1599597935482686</v>
      </c>
      <c r="F693" s="70">
        <f t="shared" si="69"/>
        <v>0.43475275866425089</v>
      </c>
      <c r="G693" s="67">
        <f>E693/'Lookup Tables'!$C$48</f>
        <v>14.319919587096537</v>
      </c>
      <c r="H693" s="70">
        <f t="shared" si="66"/>
        <v>4.4985528211265433E-2</v>
      </c>
      <c r="I693" s="71">
        <f t="shared" si="70"/>
        <v>2.0620684205419012E-2</v>
      </c>
      <c r="L693" s="74"/>
      <c r="M693" s="74"/>
      <c r="N693" s="74"/>
      <c r="O693" s="74"/>
      <c r="P693" s="74"/>
      <c r="Q693" s="74"/>
      <c r="R693" s="74"/>
      <c r="S693" s="74"/>
      <c r="T693" s="74"/>
      <c r="U693" s="74"/>
      <c r="V693" s="74"/>
      <c r="W693" s="74"/>
      <c r="X693" s="74"/>
      <c r="Y693" s="74"/>
      <c r="Z693" s="74"/>
    </row>
    <row r="694" spans="1:26" x14ac:dyDescent="0.3">
      <c r="A694" s="66">
        <f t="shared" si="68"/>
        <v>2058.6999999999375</v>
      </c>
      <c r="B694" s="67">
        <f>LOOKUP(A694+0.01,AmountsB!$A$4:$A$103,AmountsB!$B$4:$B$103)*0.1*$A$2</f>
        <v>0</v>
      </c>
      <c r="C694" s="68">
        <f t="shared" si="67"/>
        <v>83655.233518999943</v>
      </c>
      <c r="D694" s="67">
        <f t="array" ref="D694">SUM($B$7:$B689*$F$1009*EXP(-$F$1009*($A694-$A$7:$A689)))*$F$1010</f>
        <v>3750471.5212057666</v>
      </c>
      <c r="E694" s="67">
        <f t="shared" si="65"/>
        <v>7.1499428633245632</v>
      </c>
      <c r="F694" s="70">
        <f t="shared" si="69"/>
        <v>0.43414453066106745</v>
      </c>
      <c r="G694" s="67">
        <f>E694/'Lookup Tables'!$C$48</f>
        <v>14.299885726649126</v>
      </c>
      <c r="H694" s="70">
        <f t="shared" si="66"/>
        <v>4.4922592537021168E-2</v>
      </c>
      <c r="I694" s="71">
        <f t="shared" si="70"/>
        <v>2.0591835446374742E-2</v>
      </c>
      <c r="L694" s="74"/>
      <c r="M694" s="74"/>
      <c r="N694" s="74"/>
      <c r="O694" s="74"/>
      <c r="P694" s="74"/>
      <c r="Q694" s="74"/>
      <c r="R694" s="74"/>
      <c r="S694" s="74"/>
      <c r="T694" s="74"/>
      <c r="U694" s="74"/>
      <c r="V694" s="74"/>
      <c r="W694" s="74"/>
      <c r="X694" s="74"/>
      <c r="Y694" s="74"/>
      <c r="Z694" s="74"/>
    </row>
    <row r="695" spans="1:26" x14ac:dyDescent="0.3">
      <c r="A695" s="66">
        <f t="shared" si="68"/>
        <v>2058.7999999999374</v>
      </c>
      <c r="B695" s="67">
        <f>LOOKUP(A695+0.01,AmountsB!$A$4:$A$103,AmountsB!$B$4:$B$103)*0.1*$A$2</f>
        <v>0</v>
      </c>
      <c r="C695" s="68">
        <f t="shared" si="67"/>
        <v>83655.233518999943</v>
      </c>
      <c r="D695" s="67">
        <f t="array" ref="D695">SUM($B$7:$B690*$F$1009*EXP(-$F$1009*($A695-$A$7:$A690)))*$F$1010</f>
        <v>3745224.5348235592</v>
      </c>
      <c r="E695" s="67">
        <f t="shared" si="65"/>
        <v>7.139939946991162</v>
      </c>
      <c r="F695" s="70">
        <f t="shared" si="69"/>
        <v>0.43353715358130335</v>
      </c>
      <c r="G695" s="67">
        <f>E695/'Lookup Tables'!$C$48</f>
        <v>14.279879893982324</v>
      </c>
      <c r="H695" s="70">
        <f t="shared" si="66"/>
        <v>4.4859744911072676E-2</v>
      </c>
      <c r="I695" s="71">
        <f t="shared" si="70"/>
        <v>2.0563027047334544E-2</v>
      </c>
      <c r="L695" s="74"/>
      <c r="M695" s="74"/>
      <c r="N695" s="74"/>
      <c r="O695" s="74"/>
      <c r="P695" s="74"/>
      <c r="Q695" s="74"/>
      <c r="R695" s="74"/>
      <c r="S695" s="74"/>
      <c r="T695" s="74"/>
      <c r="U695" s="74"/>
      <c r="V695" s="74"/>
      <c r="W695" s="74"/>
      <c r="X695" s="74"/>
      <c r="Y695" s="74"/>
      <c r="Z695" s="74"/>
    </row>
    <row r="696" spans="1:26" x14ac:dyDescent="0.3">
      <c r="A696" s="66">
        <f t="shared" si="68"/>
        <v>2058.8999999999373</v>
      </c>
      <c r="B696" s="67">
        <f>LOOKUP(A696+0.01,AmountsB!$A$4:$A$103,AmountsB!$B$4:$B$103)*0.1*$A$2</f>
        <v>0</v>
      </c>
      <c r="C696" s="68">
        <f t="shared" si="67"/>
        <v>83655.233518999943</v>
      </c>
      <c r="D696" s="67">
        <f t="array" ref="D696">SUM($B$7:$B691*$F$1009*EXP(-$F$1009*($A696-$A$7:$A691)))*$F$1010</f>
        <v>3739984.8890826381</v>
      </c>
      <c r="E696" s="67">
        <f t="shared" si="65"/>
        <v>7.1299510249423408</v>
      </c>
      <c r="F696" s="70">
        <f t="shared" si="69"/>
        <v>0.43293062623449891</v>
      </c>
      <c r="G696" s="67">
        <f>E696/'Lookup Tables'!$C$48</f>
        <v>14.259902049884682</v>
      </c>
      <c r="H696" s="70">
        <f t="shared" si="66"/>
        <v>4.4796985210238567E-2</v>
      </c>
      <c r="I696" s="71">
        <f t="shared" si="70"/>
        <v>2.0534258951833941E-2</v>
      </c>
      <c r="L696" s="74"/>
      <c r="M696" s="74"/>
      <c r="N696" s="74"/>
      <c r="O696" s="74"/>
      <c r="P696" s="74"/>
      <c r="Q696" s="74"/>
      <c r="R696" s="74"/>
      <c r="S696" s="74"/>
      <c r="T696" s="74"/>
      <c r="U696" s="74"/>
      <c r="V696" s="74"/>
      <c r="W696" s="74"/>
      <c r="X696" s="74"/>
      <c r="Y696" s="74"/>
      <c r="Z696" s="74"/>
    </row>
    <row r="697" spans="1:26" x14ac:dyDescent="0.3">
      <c r="A697" s="66">
        <f t="shared" si="68"/>
        <v>2058.9999999999372</v>
      </c>
      <c r="B697" s="67">
        <f>LOOKUP(A697+0.01,AmountsB!$A$4:$A$103,AmountsB!$B$4:$B$103)*0.1*$A$2</f>
        <v>0</v>
      </c>
      <c r="C697" s="68">
        <f t="shared" si="67"/>
        <v>83655.233518999943</v>
      </c>
      <c r="D697" s="67">
        <f t="array" ref="D697">SUM($B$7:$B692*$F$1009*EXP(-$F$1009*($A697-$A$7:$A692)))*$F$1010</f>
        <v>3734752.573713297</v>
      </c>
      <c r="E697" s="67">
        <f t="shared" si="65"/>
        <v>7.1199760775998122</v>
      </c>
      <c r="F697" s="70">
        <f t="shared" si="69"/>
        <v>0.43232494743186062</v>
      </c>
      <c r="G697" s="67">
        <f>E697/'Lookup Tables'!$C$48</f>
        <v>14.239952155199624</v>
      </c>
      <c r="H697" s="70">
        <f t="shared" si="66"/>
        <v>4.4734313311509809E-2</v>
      </c>
      <c r="I697" s="71">
        <f t="shared" si="70"/>
        <v>2.0505531103487459E-2</v>
      </c>
      <c r="L697" s="74"/>
      <c r="M697" s="74"/>
      <c r="N697" s="74"/>
      <c r="O697" s="74"/>
      <c r="P697" s="74"/>
      <c r="Q697" s="74"/>
      <c r="R697" s="74"/>
      <c r="S697" s="74"/>
      <c r="T697" s="74"/>
      <c r="U697" s="74"/>
      <c r="V697" s="74"/>
      <c r="W697" s="74"/>
      <c r="X697" s="74"/>
      <c r="Y697" s="74"/>
      <c r="Z697" s="74"/>
    </row>
    <row r="698" spans="1:26" x14ac:dyDescent="0.3">
      <c r="A698" s="66">
        <f t="shared" si="68"/>
        <v>2059.0999999999372</v>
      </c>
      <c r="B698" s="67">
        <f>LOOKUP(A698+0.01,AmountsB!$A$4:$A$103,AmountsB!$B$4:$B$103)*0.1*$A$2</f>
        <v>0</v>
      </c>
      <c r="C698" s="68">
        <f t="shared" si="67"/>
        <v>83655.233518999943</v>
      </c>
      <c r="D698" s="67">
        <f t="array" ref="D698">SUM($B$7:$B693*$F$1009*EXP(-$F$1009*($A698-$A$7:$A693)))*$F$1010</f>
        <v>3729527.5784601951</v>
      </c>
      <c r="E698" s="67">
        <f t="shared" si="65"/>
        <v>7.1100150854126722</v>
      </c>
      <c r="F698" s="70">
        <f t="shared" si="69"/>
        <v>0.43172011598625742</v>
      </c>
      <c r="G698" s="67">
        <f>E698/'Lookup Tables'!$C$48</f>
        <v>14.220030170825344</v>
      </c>
      <c r="H698" s="70">
        <f t="shared" si="66"/>
        <v>4.4671729092049452E-2</v>
      </c>
      <c r="I698" s="71">
        <f t="shared" si="70"/>
        <v>2.0476843445988494E-2</v>
      </c>
      <c r="L698" s="74"/>
      <c r="M698" s="74"/>
      <c r="N698" s="74"/>
      <c r="O698" s="74"/>
      <c r="P698" s="74"/>
      <c r="Q698" s="74"/>
      <c r="R698" s="74"/>
      <c r="S698" s="74"/>
      <c r="T698" s="74"/>
      <c r="U698" s="74"/>
      <c r="V698" s="74"/>
      <c r="W698" s="74"/>
      <c r="X698" s="74"/>
      <c r="Y698" s="74"/>
      <c r="Z698" s="74"/>
    </row>
    <row r="699" spans="1:26" x14ac:dyDescent="0.3">
      <c r="A699" s="66">
        <f t="shared" si="68"/>
        <v>2059.1999999999371</v>
      </c>
      <c r="B699" s="67">
        <f>LOOKUP(A699+0.01,AmountsB!$A$4:$A$103,AmountsB!$B$4:$B$103)*0.1*$A$2</f>
        <v>0</v>
      </c>
      <c r="C699" s="68">
        <f t="shared" si="67"/>
        <v>83655.233518999943</v>
      </c>
      <c r="D699" s="67">
        <f t="array" ref="D699">SUM($B$7:$B694*$F$1009*EXP(-$F$1009*($A699-$A$7:$A694)))*$F$1010</f>
        <v>3724309.8930823421</v>
      </c>
      <c r="E699" s="67">
        <f t="shared" si="65"/>
        <v>7.1000680288573781</v>
      </c>
      <c r="F699" s="70">
        <f t="shared" si="69"/>
        <v>0.43111613071221999</v>
      </c>
      <c r="G699" s="67">
        <f>E699/'Lookup Tables'!$C$48</f>
        <v>14.200136057714756</v>
      </c>
      <c r="H699" s="70">
        <f t="shared" si="66"/>
        <v>4.4609232429192423E-2</v>
      </c>
      <c r="I699" s="71">
        <f t="shared" si="70"/>
        <v>2.0448195923109248E-2</v>
      </c>
      <c r="L699" s="74"/>
      <c r="M699" s="74"/>
      <c r="N699" s="74"/>
      <c r="O699" s="74"/>
      <c r="P699" s="74"/>
      <c r="Q699" s="74"/>
      <c r="R699" s="74"/>
      <c r="S699" s="74"/>
      <c r="T699" s="74"/>
      <c r="U699" s="74"/>
      <c r="V699" s="74"/>
      <c r="W699" s="74"/>
      <c r="X699" s="74"/>
      <c r="Y699" s="74"/>
      <c r="Z699" s="74"/>
    </row>
    <row r="700" spans="1:26" x14ac:dyDescent="0.3">
      <c r="A700" s="66">
        <f t="shared" si="68"/>
        <v>2059.299999999937</v>
      </c>
      <c r="B700" s="67">
        <f>LOOKUP(A700+0.01,AmountsB!$A$4:$A$103,AmountsB!$B$4:$B$103)*0.1*$A$2</f>
        <v>0</v>
      </c>
      <c r="C700" s="68">
        <f t="shared" si="67"/>
        <v>83655.233518999943</v>
      </c>
      <c r="D700" s="67">
        <f t="array" ref="D700">SUM($B$7:$B695*$F$1009*EXP(-$F$1009*($A700-$A$7:$A695)))*$F$1010</f>
        <v>3719099.5073530711</v>
      </c>
      <c r="E700" s="67">
        <f t="shared" si="65"/>
        <v>7.0901348884376922</v>
      </c>
      <c r="F700" s="70">
        <f t="shared" si="69"/>
        <v>0.43051299042593671</v>
      </c>
      <c r="G700" s="67">
        <f>E700/'Lookup Tables'!$C$48</f>
        <v>14.180269776875384</v>
      </c>
      <c r="H700" s="70">
        <f t="shared" si="66"/>
        <v>4.4546823200445243E-2</v>
      </c>
      <c r="I700" s="71">
        <f t="shared" si="70"/>
        <v>2.0419588478700557E-2</v>
      </c>
      <c r="L700" s="74"/>
      <c r="M700" s="74"/>
      <c r="N700" s="74"/>
      <c r="O700" s="74"/>
      <c r="P700" s="74"/>
      <c r="Q700" s="74"/>
      <c r="R700" s="74"/>
      <c r="S700" s="74"/>
      <c r="T700" s="74"/>
      <c r="U700" s="74"/>
      <c r="V700" s="74"/>
      <c r="W700" s="74"/>
      <c r="X700" s="74"/>
      <c r="Y700" s="74"/>
      <c r="Z700" s="74"/>
    </row>
    <row r="701" spans="1:26" x14ac:dyDescent="0.3">
      <c r="A701" s="66">
        <f t="shared" si="68"/>
        <v>2059.3999999999369</v>
      </c>
      <c r="B701" s="67">
        <f>LOOKUP(A701+0.01,AmountsB!$A$4:$A$103,AmountsB!$B$4:$B$103)*0.1*$A$2</f>
        <v>0</v>
      </c>
      <c r="C701" s="68">
        <f t="shared" si="67"/>
        <v>83655.233518999943</v>
      </c>
      <c r="D701" s="67">
        <f t="array" ref="D701">SUM($B$7:$B696*$F$1009*EXP(-$F$1009*($A701-$A$7:$A696)))*$F$1010</f>
        <v>3713896.4110600268</v>
      </c>
      <c r="E701" s="67">
        <f t="shared" si="65"/>
        <v>7.0802156446846602</v>
      </c>
      <c r="F701" s="70">
        <f t="shared" si="69"/>
        <v>0.42991069394525255</v>
      </c>
      <c r="G701" s="67">
        <f>E701/'Lookup Tables'!$C$48</f>
        <v>14.16043128936932</v>
      </c>
      <c r="H701" s="70">
        <f t="shared" si="66"/>
        <v>4.44845012834858E-2</v>
      </c>
      <c r="I701" s="71">
        <f t="shared" si="70"/>
        <v>2.039102105669182E-2</v>
      </c>
      <c r="L701" s="74"/>
      <c r="M701" s="74"/>
      <c r="N701" s="74"/>
      <c r="O701" s="74"/>
      <c r="P701" s="74"/>
      <c r="Q701" s="74"/>
      <c r="R701" s="74"/>
      <c r="S701" s="74"/>
      <c r="T701" s="74"/>
      <c r="U701" s="74"/>
      <c r="V701" s="74"/>
      <c r="W701" s="74"/>
      <c r="X701" s="74"/>
      <c r="Y701" s="74"/>
      <c r="Z701" s="74"/>
    </row>
    <row r="702" spans="1:26" x14ac:dyDescent="0.3">
      <c r="A702" s="66">
        <f t="shared" si="68"/>
        <v>2059.4999999999368</v>
      </c>
      <c r="B702" s="67">
        <f>LOOKUP(A702+0.01,AmountsB!$A$4:$A$103,AmountsB!$B$4:$B$103)*0.1*$A$2</f>
        <v>0</v>
      </c>
      <c r="C702" s="68">
        <f t="shared" si="67"/>
        <v>83655.233518999943</v>
      </c>
      <c r="D702" s="67">
        <f t="array" ref="D702">SUM($B$7:$B697*$F$1009*EXP(-$F$1009*($A702-$A$7:$A697)))*$F$1010</f>
        <v>3708700.5940051358</v>
      </c>
      <c r="E702" s="67">
        <f t="shared" si="65"/>
        <v>7.0703102781565574</v>
      </c>
      <c r="F702" s="70">
        <f t="shared" si="69"/>
        <v>0.42930924008966614</v>
      </c>
      <c r="G702" s="67">
        <f>E702/'Lookup Tables'!$C$48</f>
        <v>14.140620556313115</v>
      </c>
      <c r="H702" s="70">
        <f t="shared" si="66"/>
        <v>4.4422266556163111E-2</v>
      </c>
      <c r="I702" s="71">
        <f t="shared" si="70"/>
        <v>2.0362493601090884E-2</v>
      </c>
      <c r="L702" s="74"/>
      <c r="M702" s="74"/>
      <c r="N702" s="74"/>
      <c r="O702" s="74"/>
      <c r="P702" s="74"/>
      <c r="Q702" s="74"/>
      <c r="R702" s="74"/>
      <c r="S702" s="74"/>
      <c r="T702" s="74"/>
      <c r="U702" s="74"/>
      <c r="V702" s="74"/>
      <c r="W702" s="74"/>
      <c r="X702" s="74"/>
      <c r="Y702" s="74"/>
      <c r="Z702" s="74"/>
    </row>
    <row r="703" spans="1:26" x14ac:dyDescent="0.3">
      <c r="A703" s="66">
        <f t="shared" si="68"/>
        <v>2059.5999999999367</v>
      </c>
      <c r="B703" s="67">
        <f>LOOKUP(A703+0.01,AmountsB!$A$4:$A$103,AmountsB!$B$4:$B$103)*0.1*$A$2</f>
        <v>0</v>
      </c>
      <c r="C703" s="68">
        <f t="shared" si="67"/>
        <v>83655.233518999943</v>
      </c>
      <c r="D703" s="67">
        <f t="array" ref="D703">SUM($B$7:$B698*$F$1009*EXP(-$F$1009*($A703-$A$7:$A698)))*$F$1010</f>
        <v>3703512.0460045971</v>
      </c>
      <c r="E703" s="67">
        <f t="shared" si="65"/>
        <v>7.0604187694388632</v>
      </c>
      <c r="F703" s="70">
        <f t="shared" si="69"/>
        <v>0.42870862768032775</v>
      </c>
      <c r="G703" s="67">
        <f>E703/'Lookup Tables'!$C$48</f>
        <v>14.120837538877726</v>
      </c>
      <c r="H703" s="70">
        <f t="shared" si="66"/>
        <v>4.4360118896497096E-2</v>
      </c>
      <c r="I703" s="71">
        <f t="shared" si="70"/>
        <v>2.0334006055983924E-2</v>
      </c>
      <c r="L703" s="74"/>
      <c r="M703" s="74"/>
      <c r="N703" s="74"/>
      <c r="O703" s="74"/>
      <c r="P703" s="74"/>
      <c r="Q703" s="74"/>
      <c r="R703" s="74"/>
      <c r="S703" s="74"/>
      <c r="T703" s="74"/>
      <c r="U703" s="74"/>
      <c r="V703" s="74"/>
      <c r="W703" s="74"/>
      <c r="X703" s="74"/>
      <c r="Y703" s="74"/>
      <c r="Z703" s="74"/>
    </row>
    <row r="704" spans="1:26" x14ac:dyDescent="0.3">
      <c r="A704" s="66">
        <f t="shared" si="68"/>
        <v>2059.6999999999366</v>
      </c>
      <c r="B704" s="67">
        <f>LOOKUP(A704+0.01,AmountsB!$A$4:$A$103,AmountsB!$B$4:$B$103)*0.1*$A$2</f>
        <v>0</v>
      </c>
      <c r="C704" s="68">
        <f t="shared" si="67"/>
        <v>83655.233518999943</v>
      </c>
      <c r="D704" s="67">
        <f t="array" ref="D704">SUM($B$7:$B699*$F$1009*EXP(-$F$1009*($A704-$A$7:$A699)))*$F$1010</f>
        <v>3698330.7568888539</v>
      </c>
      <c r="E704" s="67">
        <f t="shared" si="65"/>
        <v>7.0505410991442172</v>
      </c>
      <c r="F704" s="70">
        <f t="shared" si="69"/>
        <v>0.42810885554003686</v>
      </c>
      <c r="G704" s="67">
        <f>E704/'Lookup Tables'!$C$48</f>
        <v>14.101082198288434</v>
      </c>
      <c r="H704" s="70">
        <f t="shared" si="66"/>
        <v>4.4298058182678318E-2</v>
      </c>
      <c r="I704" s="71">
        <f t="shared" si="70"/>
        <v>2.0305558365535346E-2</v>
      </c>
      <c r="L704" s="74"/>
      <c r="M704" s="74"/>
      <c r="N704" s="74"/>
      <c r="O704" s="74"/>
      <c r="P704" s="74"/>
      <c r="Q704" s="74"/>
      <c r="R704" s="74"/>
      <c r="S704" s="74"/>
      <c r="T704" s="74"/>
      <c r="U704" s="74"/>
      <c r="V704" s="74"/>
      <c r="W704" s="74"/>
      <c r="X704" s="74"/>
      <c r="Y704" s="74"/>
      <c r="Z704" s="74"/>
    </row>
    <row r="705" spans="1:26" x14ac:dyDescent="0.3">
      <c r="A705" s="66">
        <f t="shared" si="68"/>
        <v>2059.7999999999365</v>
      </c>
      <c r="B705" s="67">
        <f>LOOKUP(A705+0.01,AmountsB!$A$4:$A$103,AmountsB!$B$4:$B$103)*0.1*$A$2</f>
        <v>0</v>
      </c>
      <c r="C705" s="68">
        <f t="shared" si="67"/>
        <v>83655.233518999943</v>
      </c>
      <c r="D705" s="67">
        <f t="array" ref="D705">SUM($B$7:$B700*$F$1009*EXP(-$F$1009*($A705-$A$7:$A700)))*$F$1010</f>
        <v>3693156.7165025775</v>
      </c>
      <c r="E705" s="67">
        <f t="shared" si="65"/>
        <v>7.0406772479123818</v>
      </c>
      <c r="F705" s="70">
        <f t="shared" si="69"/>
        <v>0.42750992249323982</v>
      </c>
      <c r="G705" s="67">
        <f>E705/'Lookup Tables'!$C$48</f>
        <v>14.081354495824764</v>
      </c>
      <c r="H705" s="70">
        <f t="shared" si="66"/>
        <v>4.4236084293067739E-2</v>
      </c>
      <c r="I705" s="71">
        <f t="shared" si="70"/>
        <v>2.0277150473987659E-2</v>
      </c>
      <c r="L705" s="74"/>
      <c r="M705" s="74"/>
      <c r="N705" s="74"/>
      <c r="O705" s="74"/>
      <c r="P705" s="74"/>
      <c r="Q705" s="74"/>
      <c r="R705" s="74"/>
      <c r="S705" s="74"/>
      <c r="T705" s="74"/>
      <c r="U705" s="74"/>
      <c r="V705" s="74"/>
      <c r="W705" s="74"/>
      <c r="X705" s="74"/>
      <c r="Y705" s="74"/>
      <c r="Z705" s="74"/>
    </row>
    <row r="706" spans="1:26" x14ac:dyDescent="0.3">
      <c r="A706" s="66">
        <f t="shared" si="68"/>
        <v>2059.8999999999364</v>
      </c>
      <c r="B706" s="67">
        <f>LOOKUP(A706+0.01,AmountsB!$A$4:$A$103,AmountsB!$B$4:$B$103)*0.1*$A$2</f>
        <v>0</v>
      </c>
      <c r="C706" s="68">
        <f t="shared" si="67"/>
        <v>83655.233518999943</v>
      </c>
      <c r="D706" s="67">
        <f t="array" ref="D706">SUM($B$7:$B701*$F$1009*EXP(-$F$1009*($A706-$A$7:$A701)))*$F$1010</f>
        <v>3687989.9147046474</v>
      </c>
      <c r="E706" s="67">
        <f t="shared" si="65"/>
        <v>7.0308271964102058</v>
      </c>
      <c r="F706" s="70">
        <f t="shared" si="69"/>
        <v>0.42691182736602767</v>
      </c>
      <c r="G706" s="67">
        <f>E706/'Lookup Tables'!$C$48</f>
        <v>14.061654392820412</v>
      </c>
      <c r="H706" s="70">
        <f t="shared" si="66"/>
        <v>4.417419710619655E-2</v>
      </c>
      <c r="I706" s="71">
        <f t="shared" si="70"/>
        <v>2.0248782325661394E-2</v>
      </c>
      <c r="L706" s="74"/>
      <c r="M706" s="74"/>
      <c r="N706" s="74"/>
      <c r="O706" s="74"/>
      <c r="P706" s="74"/>
      <c r="Q706" s="74"/>
      <c r="R706" s="74"/>
      <c r="S706" s="74"/>
      <c r="T706" s="74"/>
      <c r="U706" s="74"/>
      <c r="V706" s="74"/>
      <c r="W706" s="74"/>
      <c r="X706" s="74"/>
      <c r="Y706" s="74"/>
      <c r="Z706" s="74"/>
    </row>
    <row r="707" spans="1:26" x14ac:dyDescent="0.3">
      <c r="A707" s="66">
        <f t="shared" si="68"/>
        <v>2059.9999999999363</v>
      </c>
      <c r="B707" s="67">
        <f>LOOKUP(A707+0.01,AmountsB!$A$4:$A$103,AmountsB!$B$4:$B$103)*0.1*$A$2</f>
        <v>0</v>
      </c>
      <c r="C707" s="68">
        <f t="shared" si="67"/>
        <v>83655.233518999943</v>
      </c>
      <c r="D707" s="67">
        <f t="array" ref="D707">SUM($B$7:$B702*$F$1009*EXP(-$F$1009*($A707-$A$7:$A702)))*$F$1010</f>
        <v>3682830.3413681323</v>
      </c>
      <c r="E707" s="67">
        <f t="shared" si="65"/>
        <v>7.0209909253315876</v>
      </c>
      <c r="F707" s="70">
        <f t="shared" si="69"/>
        <v>0.42631456898613401</v>
      </c>
      <c r="G707" s="67">
        <f>E707/'Lookup Tables'!$C$48</f>
        <v>14.041981850663175</v>
      </c>
      <c r="H707" s="70">
        <f t="shared" si="66"/>
        <v>4.4112396500765844E-2</v>
      </c>
      <c r="I707" s="71">
        <f t="shared" si="70"/>
        <v>2.0220453864954972E-2</v>
      </c>
      <c r="L707" s="74"/>
      <c r="M707" s="74"/>
      <c r="N707" s="74"/>
      <c r="O707" s="74"/>
      <c r="P707" s="74"/>
      <c r="Q707" s="74"/>
      <c r="R707" s="74"/>
      <c r="S707" s="74"/>
      <c r="T707" s="74"/>
      <c r="U707" s="74"/>
      <c r="V707" s="74"/>
      <c r="W707" s="74"/>
      <c r="X707" s="74"/>
      <c r="Y707" s="74"/>
      <c r="Z707" s="74"/>
    </row>
    <row r="708" spans="1:26" x14ac:dyDescent="0.3">
      <c r="A708" s="66">
        <f t="shared" si="68"/>
        <v>2060.0999999999362</v>
      </c>
      <c r="B708" s="67">
        <f>LOOKUP(A708+0.01,AmountsB!$A$4:$A$103,AmountsB!$B$4:$B$103)*0.1*$A$2</f>
        <v>0</v>
      </c>
      <c r="C708" s="68">
        <f t="shared" si="67"/>
        <v>83655.233518999943</v>
      </c>
      <c r="D708" s="67">
        <f t="array" ref="D708">SUM($B$7:$B703*$F$1009*EXP(-$F$1009*($A708-$A$7:$A703)))*$F$1010</f>
        <v>3677677.9863802642</v>
      </c>
      <c r="E708" s="67">
        <f t="shared" si="65"/>
        <v>7.011168415397429</v>
      </c>
      <c r="F708" s="70">
        <f t="shared" si="69"/>
        <v>0.42571814618293186</v>
      </c>
      <c r="G708" s="67">
        <f>E708/'Lookup Tables'!$C$48</f>
        <v>14.022336830794858</v>
      </c>
      <c r="H708" s="70">
        <f t="shared" si="66"/>
        <v>4.4050682355646381E-2</v>
      </c>
      <c r="I708" s="71">
        <f t="shared" si="70"/>
        <v>2.0192165036344596E-2</v>
      </c>
      <c r="L708" s="74"/>
      <c r="M708" s="74"/>
      <c r="N708" s="74"/>
      <c r="O708" s="74"/>
      <c r="P708" s="74"/>
      <c r="Q708" s="74"/>
      <c r="R708" s="74"/>
      <c r="S708" s="74"/>
      <c r="T708" s="74"/>
      <c r="U708" s="74"/>
      <c r="V708" s="74"/>
      <c r="W708" s="74"/>
      <c r="X708" s="74"/>
      <c r="Y708" s="74"/>
      <c r="Z708" s="74"/>
    </row>
    <row r="709" spans="1:26" x14ac:dyDescent="0.3">
      <c r="A709" s="66">
        <f t="shared" si="68"/>
        <v>2060.1999999999362</v>
      </c>
      <c r="B709" s="67">
        <f>LOOKUP(A709+0.01,AmountsB!$A$4:$A$103,AmountsB!$B$4:$B$103)*0.1*$A$2</f>
        <v>0</v>
      </c>
      <c r="C709" s="68">
        <f t="shared" si="67"/>
        <v>83655.233518999943</v>
      </c>
      <c r="D709" s="67">
        <f t="array" ref="D709">SUM($B$7:$B704*$F$1009*EXP(-$F$1009*($A709-$A$7:$A704)))*$F$1010</f>
        <v>3672532.839642426</v>
      </c>
      <c r="E709" s="67">
        <f t="shared" si="65"/>
        <v>7.0013596473556081</v>
      </c>
      <c r="F709" s="70">
        <f t="shared" si="69"/>
        <v>0.42512255778743252</v>
      </c>
      <c r="G709" s="67">
        <f>E709/'Lookup Tables'!$C$48</f>
        <v>14.002719294711216</v>
      </c>
      <c r="H709" s="70">
        <f t="shared" si="66"/>
        <v>4.3989054549878427E-2</v>
      </c>
      <c r="I709" s="71">
        <f t="shared" si="70"/>
        <v>2.0163915784384149E-2</v>
      </c>
      <c r="L709" s="74"/>
      <c r="M709" s="74"/>
      <c r="N709" s="74"/>
      <c r="O709" s="74"/>
      <c r="P709" s="74"/>
      <c r="Q709" s="74"/>
      <c r="R709" s="74"/>
      <c r="S709" s="74"/>
      <c r="T709" s="74"/>
      <c r="U709" s="74"/>
      <c r="V709" s="74"/>
      <c r="W709" s="74"/>
      <c r="X709" s="74"/>
      <c r="Y709" s="74"/>
      <c r="Z709" s="74"/>
    </row>
    <row r="710" spans="1:26" x14ac:dyDescent="0.3">
      <c r="A710" s="66">
        <f t="shared" si="68"/>
        <v>2060.2999999999361</v>
      </c>
      <c r="B710" s="67">
        <f>LOOKUP(A710+0.01,AmountsB!$A$4:$A$103,AmountsB!$B$4:$B$103)*0.1*$A$2</f>
        <v>0</v>
      </c>
      <c r="C710" s="68">
        <f t="shared" si="67"/>
        <v>83655.233518999943</v>
      </c>
      <c r="D710" s="67">
        <f t="array" ref="D710">SUM($B$7:$B705*$F$1009*EXP(-$F$1009*($A710-$A$7:$A705)))*$F$1010</f>
        <v>3667394.8910701312</v>
      </c>
      <c r="E710" s="67">
        <f t="shared" si="65"/>
        <v>6.991564601980941</v>
      </c>
      <c r="F710" s="70">
        <f t="shared" si="69"/>
        <v>0.42452780263228274</v>
      </c>
      <c r="G710" s="67">
        <f>E710/'Lookup Tables'!$C$48</f>
        <v>13.983129203961882</v>
      </c>
      <c r="H710" s="70">
        <f t="shared" si="66"/>
        <v>4.3927512962671514E-2</v>
      </c>
      <c r="I710" s="71">
        <f t="shared" si="70"/>
        <v>2.013570605370511E-2</v>
      </c>
      <c r="L710" s="74"/>
      <c r="M710" s="74"/>
      <c r="N710" s="74"/>
      <c r="O710" s="74"/>
      <c r="P710" s="74"/>
      <c r="Q710" s="74"/>
      <c r="R710" s="74"/>
      <c r="S710" s="74"/>
      <c r="T710" s="74"/>
      <c r="U710" s="74"/>
      <c r="V710" s="74"/>
      <c r="W710" s="74"/>
      <c r="X710" s="74"/>
      <c r="Y710" s="74"/>
      <c r="Z710" s="74"/>
    </row>
    <row r="711" spans="1:26" x14ac:dyDescent="0.3">
      <c r="A711" s="66">
        <f t="shared" si="68"/>
        <v>2060.399999999936</v>
      </c>
      <c r="B711" s="67">
        <f>LOOKUP(A711+0.01,AmountsB!$A$4:$A$103,AmountsB!$B$4:$B$103)*0.1*$A$2</f>
        <v>0</v>
      </c>
      <c r="C711" s="68">
        <f t="shared" si="67"/>
        <v>83655.233518999943</v>
      </c>
      <c r="D711" s="67">
        <f t="array" ref="D711">SUM($B$7:$B706*$F$1009*EXP(-$F$1009*($A711-$A$7:$A706)))*$F$1010</f>
        <v>3662264.1305929953</v>
      </c>
      <c r="E711" s="67">
        <f t="shared" ref="E711:E774" si="71">D711/(365*24*60)*1.00201</f>
        <v>6.9817832600751286</v>
      </c>
      <c r="F711" s="70">
        <f t="shared" si="69"/>
        <v>0.42393387955176176</v>
      </c>
      <c r="G711" s="67">
        <f>E711/'Lookup Tables'!$C$48</f>
        <v>13.963566520150257</v>
      </c>
      <c r="H711" s="70">
        <f t="shared" ref="H711:H774" si="72">G711*60*24*365/(C711*2000)</f>
        <v>4.3866057473404031E-2</v>
      </c>
      <c r="I711" s="71">
        <f t="shared" si="70"/>
        <v>2.0107535789016369E-2</v>
      </c>
      <c r="L711" s="74"/>
      <c r="M711" s="74"/>
      <c r="N711" s="74"/>
      <c r="O711" s="74"/>
      <c r="P711" s="74"/>
      <c r="Q711" s="74"/>
      <c r="R711" s="74"/>
      <c r="S711" s="74"/>
      <c r="T711" s="74"/>
      <c r="U711" s="74"/>
      <c r="V711" s="74"/>
      <c r="W711" s="74"/>
      <c r="X711" s="74"/>
      <c r="Y711" s="74"/>
      <c r="Z711" s="74"/>
    </row>
    <row r="712" spans="1:26" x14ac:dyDescent="0.3">
      <c r="A712" s="66">
        <f t="shared" si="68"/>
        <v>2060.4999999999359</v>
      </c>
      <c r="B712" s="67">
        <f>LOOKUP(A712+0.01,AmountsB!$A$4:$A$103,AmountsB!$B$4:$B$103)*0.1*$A$2</f>
        <v>0</v>
      </c>
      <c r="C712" s="68">
        <f t="shared" si="67"/>
        <v>83655.233518999943</v>
      </c>
      <c r="D712" s="67">
        <f t="array" ref="D712">SUM($B$7:$B707*$F$1009*EXP(-$F$1009*($A712-$A$7:$A707)))*$F$1010</f>
        <v>3657140.548154729</v>
      </c>
      <c r="E712" s="67">
        <f t="shared" si="71"/>
        <v>6.972015602466743</v>
      </c>
      <c r="F712" s="70">
        <f t="shared" si="69"/>
        <v>0.4233407873817806</v>
      </c>
      <c r="G712" s="67">
        <f>E712/'Lookup Tables'!$C$48</f>
        <v>13.944031204933486</v>
      </c>
      <c r="H712" s="70">
        <f t="shared" si="72"/>
        <v>4.3804687961623262E-2</v>
      </c>
      <c r="I712" s="71">
        <f t="shared" si="70"/>
        <v>2.0079404935104218E-2</v>
      </c>
      <c r="L712" s="74"/>
      <c r="M712" s="74"/>
      <c r="N712" s="74"/>
      <c r="O712" s="74"/>
      <c r="P712" s="74"/>
      <c r="Q712" s="74"/>
      <c r="R712" s="74"/>
      <c r="S712" s="74"/>
      <c r="T712" s="74"/>
      <c r="U712" s="74"/>
      <c r="V712" s="74"/>
      <c r="W712" s="74"/>
      <c r="X712" s="74"/>
      <c r="Y712" s="74"/>
      <c r="Z712" s="74"/>
    </row>
    <row r="713" spans="1:26" x14ac:dyDescent="0.3">
      <c r="A713" s="66">
        <f t="shared" si="68"/>
        <v>2060.5999999999358</v>
      </c>
      <c r="B713" s="67">
        <f>LOOKUP(A713+0.01,AmountsB!$A$4:$A$103,AmountsB!$B$4:$B$103)*0.1*$A$2</f>
        <v>0</v>
      </c>
      <c r="C713" s="68">
        <f t="shared" ref="C713:C776" si="73">C712+B713</f>
        <v>83655.233518999943</v>
      </c>
      <c r="D713" s="67">
        <f t="array" ref="D713">SUM($B$7:$B708*$F$1009*EXP(-$F$1009*($A713-$A$7:$A708)))*$F$1010</f>
        <v>3652024.1337131066</v>
      </c>
      <c r="E713" s="67">
        <f t="shared" si="71"/>
        <v>6.9622616100111685</v>
      </c>
      <c r="F713" s="70">
        <f t="shared" si="69"/>
        <v>0.42274852495987814</v>
      </c>
      <c r="G713" s="67">
        <f>E713/'Lookup Tables'!$C$48</f>
        <v>13.924523220022337</v>
      </c>
      <c r="H713" s="70">
        <f t="shared" si="72"/>
        <v>4.3743404307044917E-2</v>
      </c>
      <c r="I713" s="71">
        <f t="shared" si="70"/>
        <v>2.0051313436832165E-2</v>
      </c>
      <c r="L713" s="74"/>
      <c r="M713" s="74"/>
      <c r="N713" s="74"/>
      <c r="O713" s="74"/>
      <c r="P713" s="74"/>
      <c r="Q713" s="74"/>
      <c r="R713" s="74"/>
      <c r="S713" s="74"/>
      <c r="T713" s="74"/>
      <c r="U713" s="74"/>
      <c r="V713" s="74"/>
      <c r="W713" s="74"/>
      <c r="X713" s="74"/>
      <c r="Y713" s="74"/>
      <c r="Z713" s="74"/>
    </row>
    <row r="714" spans="1:26" x14ac:dyDescent="0.3">
      <c r="A714" s="66">
        <f t="shared" si="68"/>
        <v>2060.6999999999357</v>
      </c>
      <c r="B714" s="67">
        <f>LOOKUP(A714+0.01,AmountsB!$A$4:$A$103,AmountsB!$B$4:$B$103)*0.1*$A$2</f>
        <v>0</v>
      </c>
      <c r="C714" s="68">
        <f t="shared" si="73"/>
        <v>83655.233518999943</v>
      </c>
      <c r="D714" s="67">
        <f t="array" ref="D714">SUM($B$7:$B709*$F$1009*EXP(-$F$1009*($A714-$A$7:$A709)))*$F$1010</f>
        <v>3646914.8772399561</v>
      </c>
      <c r="E714" s="67">
        <f t="shared" si="71"/>
        <v>6.9525212635905795</v>
      </c>
      <c r="F714" s="70">
        <f t="shared" si="69"/>
        <v>0.42215709112521999</v>
      </c>
      <c r="G714" s="67">
        <f>E714/'Lookup Tables'!$C$48</f>
        <v>13.905042527181159</v>
      </c>
      <c r="H714" s="70">
        <f t="shared" si="72"/>
        <v>4.3682206389553009E-2</v>
      </c>
      <c r="I714" s="71">
        <f t="shared" si="70"/>
        <v>2.0023261239140871E-2</v>
      </c>
      <c r="L714" s="74"/>
      <c r="M714" s="74"/>
      <c r="N714" s="74"/>
      <c r="O714" s="74"/>
      <c r="P714" s="74"/>
      <c r="Q714" s="74"/>
      <c r="R714" s="74"/>
      <c r="S714" s="74"/>
      <c r="T714" s="74"/>
      <c r="U714" s="74"/>
      <c r="V714" s="74"/>
      <c r="W714" s="74"/>
      <c r="X714" s="74"/>
      <c r="Y714" s="74"/>
      <c r="Z714" s="74"/>
    </row>
    <row r="715" spans="1:26" x14ac:dyDescent="0.3">
      <c r="A715" s="66">
        <f t="shared" si="68"/>
        <v>2060.7999999999356</v>
      </c>
      <c r="B715" s="67">
        <f>LOOKUP(A715+0.01,AmountsB!$A$4:$A$103,AmountsB!$B$4:$B$103)*0.1*$A$2</f>
        <v>0</v>
      </c>
      <c r="C715" s="68">
        <f t="shared" si="73"/>
        <v>83655.233518999943</v>
      </c>
      <c r="D715" s="67">
        <f t="array" ref="D715">SUM($B$7:$B710*$F$1009*EXP(-$F$1009*($A715-$A$7:$A710)))*$F$1010</f>
        <v>3641812.7687211311</v>
      </c>
      <c r="E715" s="67">
        <f t="shared" si="71"/>
        <v>6.942794544113891</v>
      </c>
      <c r="F715" s="70">
        <f t="shared" si="69"/>
        <v>0.42156648471859548</v>
      </c>
      <c r="G715" s="67">
        <f>E715/'Lookup Tables'!$C$48</f>
        <v>13.885589088227782</v>
      </c>
      <c r="H715" s="70">
        <f t="shared" si="72"/>
        <v>4.3621094089199598E-2</v>
      </c>
      <c r="I715" s="71">
        <f t="shared" si="70"/>
        <v>1.9995248287048004E-2</v>
      </c>
      <c r="L715" s="74"/>
      <c r="M715" s="74"/>
      <c r="N715" s="74"/>
      <c r="O715" s="74"/>
      <c r="P715" s="74"/>
      <c r="Q715" s="74"/>
      <c r="R715" s="74"/>
      <c r="S715" s="74"/>
      <c r="T715" s="74"/>
      <c r="U715" s="74"/>
      <c r="V715" s="74"/>
      <c r="W715" s="74"/>
      <c r="X715" s="74"/>
      <c r="Y715" s="74"/>
      <c r="Z715" s="74"/>
    </row>
    <row r="716" spans="1:26" x14ac:dyDescent="0.3">
      <c r="A716" s="66">
        <f t="shared" si="68"/>
        <v>2060.8999999999355</v>
      </c>
      <c r="B716" s="67">
        <f>LOOKUP(A716+0.01,AmountsB!$A$4:$A$103,AmountsB!$B$4:$B$103)*0.1*$A$2</f>
        <v>0</v>
      </c>
      <c r="C716" s="68">
        <f t="shared" si="73"/>
        <v>83655.233518999943</v>
      </c>
      <c r="D716" s="67">
        <f t="array" ref="D716">SUM($B$7:$B711*$F$1009*EXP(-$F$1009*($A716-$A$7:$A711)))*$F$1010</f>
        <v>3636717.7981565013</v>
      </c>
      <c r="E716" s="67">
        <f t="shared" si="71"/>
        <v>6.9330814325167358</v>
      </c>
      <c r="F716" s="70">
        <f t="shared" si="69"/>
        <v>0.42097670458241621</v>
      </c>
      <c r="G716" s="67">
        <f>E716/'Lookup Tables'!$C$48</f>
        <v>13.866162865033472</v>
      </c>
      <c r="H716" s="70">
        <f t="shared" si="72"/>
        <v>4.356006728620461E-2</v>
      </c>
      <c r="I716" s="71">
        <f t="shared" si="70"/>
        <v>1.9967274525648202E-2</v>
      </c>
      <c r="L716" s="74"/>
      <c r="M716" s="74"/>
      <c r="N716" s="74"/>
      <c r="O716" s="74"/>
      <c r="P716" s="74"/>
      <c r="Q716" s="74"/>
      <c r="R716" s="74"/>
      <c r="S716" s="74"/>
      <c r="T716" s="74"/>
      <c r="U716" s="74"/>
      <c r="V716" s="74"/>
      <c r="W716" s="74"/>
      <c r="X716" s="74"/>
      <c r="Y716" s="74"/>
      <c r="Z716" s="74"/>
    </row>
    <row r="717" spans="1:26" x14ac:dyDescent="0.3">
      <c r="A717" s="66">
        <f t="shared" si="68"/>
        <v>2060.9999999999354</v>
      </c>
      <c r="B717" s="67">
        <f>LOOKUP(A717+0.01,AmountsB!$A$4:$A$103,AmountsB!$B$4:$B$103)*0.1*$A$2</f>
        <v>0</v>
      </c>
      <c r="C717" s="68">
        <f t="shared" si="73"/>
        <v>83655.233518999943</v>
      </c>
      <c r="D717" s="67">
        <f t="array" ref="D717">SUM($B$7:$B712*$F$1009*EXP(-$F$1009*($A717-$A$7:$A712)))*$F$1010</f>
        <v>3631629.9555599187</v>
      </c>
      <c r="E717" s="67">
        <f t="shared" si="71"/>
        <v>6.9233819097614049</v>
      </c>
      <c r="F717" s="70">
        <f t="shared" si="69"/>
        <v>0.42038774956071251</v>
      </c>
      <c r="G717" s="67">
        <f>E717/'Lookup Tables'!$C$48</f>
        <v>13.84676381952281</v>
      </c>
      <c r="H717" s="70">
        <f t="shared" si="72"/>
        <v>4.3499125860955411E-2</v>
      </c>
      <c r="I717" s="71">
        <f t="shared" si="70"/>
        <v>1.9939339900112846E-2</v>
      </c>
      <c r="L717" s="74"/>
      <c r="M717" s="74"/>
      <c r="N717" s="74"/>
      <c r="O717" s="74"/>
      <c r="P717" s="74"/>
      <c r="Q717" s="74"/>
      <c r="R717" s="74"/>
      <c r="S717" s="74"/>
      <c r="T717" s="74"/>
      <c r="U717" s="74"/>
      <c r="V717" s="74"/>
      <c r="W717" s="74"/>
      <c r="X717" s="74"/>
      <c r="Y717" s="74"/>
      <c r="Z717" s="74"/>
    </row>
    <row r="718" spans="1:26" x14ac:dyDescent="0.3">
      <c r="A718" s="66">
        <f t="shared" si="68"/>
        <v>2061.0999999999353</v>
      </c>
      <c r="B718" s="67">
        <f>LOOKUP(A718+0.01,AmountsB!$A$4:$A$103,AmountsB!$B$4:$B$103)*0.1*$A$2</f>
        <v>0</v>
      </c>
      <c r="C718" s="68">
        <f t="shared" si="73"/>
        <v>83655.233518999943</v>
      </c>
      <c r="D718" s="67">
        <f t="array" ref="D718">SUM($B$7:$B713*$F$1009*EXP(-$F$1009*($A718-$A$7:$A713)))*$F$1010</f>
        <v>3626549.2309592129</v>
      </c>
      <c r="E718" s="67">
        <f t="shared" si="71"/>
        <v>6.9136959568368361</v>
      </c>
      <c r="F718" s="70">
        <f t="shared" si="69"/>
        <v>0.41979961849913267</v>
      </c>
      <c r="G718" s="67">
        <f>E718/'Lookup Tables'!$C$48</f>
        <v>13.827391913673672</v>
      </c>
      <c r="H718" s="70">
        <f t="shared" si="72"/>
        <v>4.3438269694006847E-2</v>
      </c>
      <c r="I718" s="71">
        <f t="shared" si="70"/>
        <v>1.9911444355690089E-2</v>
      </c>
      <c r="L718" s="74"/>
      <c r="M718" s="74"/>
      <c r="N718" s="74"/>
      <c r="O718" s="74"/>
      <c r="P718" s="74"/>
      <c r="Q718" s="74"/>
      <c r="R718" s="74"/>
      <c r="S718" s="74"/>
      <c r="T718" s="74"/>
      <c r="U718" s="74"/>
      <c r="V718" s="74"/>
      <c r="W718" s="74"/>
      <c r="X718" s="74"/>
      <c r="Y718" s="74"/>
      <c r="Z718" s="74"/>
    </row>
    <row r="719" spans="1:26" x14ac:dyDescent="0.3">
      <c r="A719" s="66">
        <f t="shared" si="68"/>
        <v>2061.1999999999352</v>
      </c>
      <c r="B719" s="67">
        <f>LOOKUP(A719+0.01,AmountsB!$A$4:$A$103,AmountsB!$B$4:$B$103)*0.1*$A$2</f>
        <v>0</v>
      </c>
      <c r="C719" s="68">
        <f t="shared" si="73"/>
        <v>83655.233518999943</v>
      </c>
      <c r="D719" s="67">
        <f t="array" ref="D719">SUM($B$7:$B714*$F$1009*EXP(-$F$1009*($A719-$A$7:$A714)))*$F$1010</f>
        <v>3621475.6143961595</v>
      </c>
      <c r="E719" s="67">
        <f t="shared" si="71"/>
        <v>6.9040235547585542</v>
      </c>
      <c r="F719" s="70">
        <f t="shared" si="69"/>
        <v>0.41921231024493938</v>
      </c>
      <c r="G719" s="67">
        <f>E719/'Lookup Tables'!$C$48</f>
        <v>13.808047109517108</v>
      </c>
      <c r="H719" s="70">
        <f t="shared" si="72"/>
        <v>4.3377498666080774E-2</v>
      </c>
      <c r="I719" s="71">
        <f t="shared" si="70"/>
        <v>1.9883587837704636E-2</v>
      </c>
      <c r="L719" s="74"/>
      <c r="M719" s="74"/>
      <c r="N719" s="74"/>
      <c r="O719" s="74"/>
      <c r="P719" s="74"/>
      <c r="Q719" s="74"/>
      <c r="R719" s="74"/>
      <c r="S719" s="74"/>
      <c r="T719" s="74"/>
      <c r="U719" s="74"/>
      <c r="V719" s="74"/>
      <c r="W719" s="74"/>
      <c r="X719" s="74"/>
      <c r="Y719" s="74"/>
      <c r="Z719" s="74"/>
    </row>
    <row r="720" spans="1:26" x14ac:dyDescent="0.3">
      <c r="A720" s="66">
        <f t="shared" si="68"/>
        <v>2061.2999999999352</v>
      </c>
      <c r="B720" s="67">
        <f>LOOKUP(A720+0.01,AmountsB!$A$4:$A$103,AmountsB!$B$4:$B$103)*0.1*$A$2</f>
        <v>0</v>
      </c>
      <c r="C720" s="68">
        <f t="shared" si="73"/>
        <v>83655.233518999943</v>
      </c>
      <c r="D720" s="67">
        <f t="array" ref="D720">SUM($B$7:$B715*$F$1009*EXP(-$F$1009*($A720-$A$7:$A715)))*$F$1010</f>
        <v>3616409.0959264706</v>
      </c>
      <c r="E720" s="67">
        <f t="shared" si="71"/>
        <v>6.894364684568651</v>
      </c>
      <c r="F720" s="70">
        <f t="shared" si="69"/>
        <v>0.41862582364700845</v>
      </c>
      <c r="G720" s="67">
        <f>E720/'Lookup Tables'!$C$48</f>
        <v>13.788729369137302</v>
      </c>
      <c r="H720" s="70">
        <f t="shared" si="72"/>
        <v>4.3316812658065987E-2</v>
      </c>
      <c r="I720" s="71">
        <f t="shared" si="70"/>
        <v>1.9855770291557714E-2</v>
      </c>
      <c r="L720" s="74"/>
      <c r="M720" s="74"/>
      <c r="N720" s="74"/>
      <c r="O720" s="74"/>
      <c r="P720" s="74"/>
      <c r="Q720" s="74"/>
      <c r="R720" s="74"/>
      <c r="S720" s="74"/>
      <c r="T720" s="74"/>
      <c r="U720" s="74"/>
      <c r="V720" s="74"/>
      <c r="W720" s="74"/>
      <c r="X720" s="74"/>
      <c r="Y720" s="74"/>
      <c r="Z720" s="74"/>
    </row>
    <row r="721" spans="1:26" x14ac:dyDescent="0.3">
      <c r="A721" s="66">
        <f t="shared" si="68"/>
        <v>2061.3999999999351</v>
      </c>
      <c r="B721" s="67">
        <f>LOOKUP(A721+0.01,AmountsB!$A$4:$A$103,AmountsB!$B$4:$B$103)*0.1*$A$2</f>
        <v>0</v>
      </c>
      <c r="C721" s="68">
        <f t="shared" si="73"/>
        <v>83655.233518999943</v>
      </c>
      <c r="D721" s="67">
        <f t="array" ref="D721">SUM($B$7:$B716*$F$1009*EXP(-$F$1009*($A721-$A$7:$A716)))*$F$1010</f>
        <v>3611349.6656197649</v>
      </c>
      <c r="E721" s="67">
        <f t="shared" si="71"/>
        <v>6.8847193273357323</v>
      </c>
      <c r="F721" s="70">
        <f t="shared" si="69"/>
        <v>0.41804015755582569</v>
      </c>
      <c r="G721" s="67">
        <f>E721/'Lookup Tables'!$C$48</f>
        <v>13.769438654671465</v>
      </c>
      <c r="H721" s="70">
        <f t="shared" si="72"/>
        <v>4.3256211551017845E-2</v>
      </c>
      <c r="I721" s="71">
        <f t="shared" si="70"/>
        <v>1.9827991662726908E-2</v>
      </c>
      <c r="L721" s="74"/>
      <c r="M721" s="74"/>
      <c r="N721" s="74"/>
      <c r="O721" s="74"/>
      <c r="P721" s="74"/>
      <c r="Q721" s="74"/>
      <c r="R721" s="74"/>
      <c r="S721" s="74"/>
      <c r="T721" s="74"/>
      <c r="U721" s="74"/>
      <c r="V721" s="74"/>
      <c r="W721" s="74"/>
      <c r="X721" s="74"/>
      <c r="Y721" s="74"/>
      <c r="Z721" s="74"/>
    </row>
    <row r="722" spans="1:26" x14ac:dyDescent="0.3">
      <c r="A722" s="66">
        <f t="shared" si="68"/>
        <v>2061.499999999935</v>
      </c>
      <c r="B722" s="67">
        <f>LOOKUP(A722+0.01,AmountsB!$A$4:$A$103,AmountsB!$B$4:$B$103)*0.1*$A$2</f>
        <v>0</v>
      </c>
      <c r="C722" s="68">
        <f t="shared" si="73"/>
        <v>83655.233518999943</v>
      </c>
      <c r="D722" s="67">
        <f t="array" ref="D722">SUM($B$7:$B717*$F$1009*EXP(-$F$1009*($A722-$A$7:$A717)))*$F$1010</f>
        <v>3606297.313559561</v>
      </c>
      <c r="E722" s="67">
        <f t="shared" si="71"/>
        <v>6.8750874641549009</v>
      </c>
      <c r="F722" s="70">
        <f t="shared" si="69"/>
        <v>0.41745531082348558</v>
      </c>
      <c r="G722" s="67">
        <f>E722/'Lookup Tables'!$C$48</f>
        <v>13.750174928309802</v>
      </c>
      <c r="H722" s="70">
        <f t="shared" si="72"/>
        <v>4.3195695226158209E-2</v>
      </c>
      <c r="I722" s="71">
        <f t="shared" si="70"/>
        <v>1.9800251896766118E-2</v>
      </c>
      <c r="L722" s="74"/>
      <c r="M722" s="74"/>
      <c r="N722" s="74"/>
      <c r="O722" s="74"/>
      <c r="P722" s="74"/>
      <c r="Q722" s="74"/>
      <c r="R722" s="74"/>
      <c r="S722" s="74"/>
      <c r="T722" s="74"/>
      <c r="U722" s="74"/>
      <c r="V722" s="74"/>
      <c r="W722" s="74"/>
      <c r="X722" s="74"/>
      <c r="Y722" s="74"/>
      <c r="Z722" s="74"/>
    </row>
    <row r="723" spans="1:26" x14ac:dyDescent="0.3">
      <c r="A723" s="66">
        <f t="shared" ref="A723:A786" si="74">A722+0.1</f>
        <v>2061.5999999999349</v>
      </c>
      <c r="B723" s="67">
        <f>LOOKUP(A723+0.01,AmountsB!$A$4:$A$103,AmountsB!$B$4:$B$103)*0.1*$A$2</f>
        <v>0</v>
      </c>
      <c r="C723" s="68">
        <f t="shared" si="73"/>
        <v>83655.233518999943</v>
      </c>
      <c r="D723" s="67">
        <f t="array" ref="D723">SUM($B$7:$B718*$F$1009*EXP(-$F$1009*($A723-$A$7:$A718)))*$F$1010</f>
        <v>3601252.0298432466</v>
      </c>
      <c r="E723" s="67">
        <f t="shared" si="71"/>
        <v>6.8654690761477006</v>
      </c>
      <c r="F723" s="70">
        <f t="shared" ref="F723:F786" si="75">E723*60*1012/1000000</f>
        <v>0.41687128230368836</v>
      </c>
      <c r="G723" s="67">
        <f>E723/'Lookup Tables'!$C$48</f>
        <v>13.730938152295401</v>
      </c>
      <c r="H723" s="70">
        <f t="shared" si="72"/>
        <v>4.3135263564875036E-2</v>
      </c>
      <c r="I723" s="71">
        <f t="shared" ref="I723:I786" si="76">G723*60*24/1000000</f>
        <v>1.9772550939305376E-2</v>
      </c>
      <c r="L723" s="74"/>
      <c r="M723" s="74"/>
      <c r="N723" s="74"/>
      <c r="O723" s="74"/>
      <c r="P723" s="74"/>
      <c r="Q723" s="74"/>
      <c r="R723" s="74"/>
      <c r="S723" s="74"/>
      <c r="T723" s="74"/>
      <c r="U723" s="74"/>
      <c r="V723" s="74"/>
      <c r="W723" s="74"/>
      <c r="X723" s="74"/>
      <c r="Y723" s="74"/>
      <c r="Z723" s="74"/>
    </row>
    <row r="724" spans="1:26" x14ac:dyDescent="0.3">
      <c r="A724" s="66">
        <f t="shared" si="74"/>
        <v>2061.6999999999348</v>
      </c>
      <c r="B724" s="67">
        <f>LOOKUP(A724+0.01,AmountsB!$A$4:$A$103,AmountsB!$B$4:$B$103)*0.1*$A$2</f>
        <v>0</v>
      </c>
      <c r="C724" s="68">
        <f t="shared" si="73"/>
        <v>83655.233518999943</v>
      </c>
      <c r="D724" s="67">
        <f t="array" ref="D724">SUM($B$7:$B719*$F$1009*EXP(-$F$1009*($A724-$A$7:$A719)))*$F$1010</f>
        <v>3596213.804582064</v>
      </c>
      <c r="E724" s="67">
        <f t="shared" si="71"/>
        <v>6.8558641444620898</v>
      </c>
      <c r="F724" s="70">
        <f t="shared" si="75"/>
        <v>0.41628807085173808</v>
      </c>
      <c r="G724" s="67">
        <f>E724/'Lookup Tables'!$C$48</f>
        <v>13.71172828892418</v>
      </c>
      <c r="H724" s="70">
        <f t="shared" si="72"/>
        <v>4.3074916448722286E-2</v>
      </c>
      <c r="I724" s="71">
        <f t="shared" si="76"/>
        <v>1.974488873605082E-2</v>
      </c>
      <c r="L724" s="74"/>
      <c r="M724" s="74"/>
      <c r="N724" s="74"/>
      <c r="O724" s="74"/>
      <c r="P724" s="74"/>
      <c r="Q724" s="74"/>
      <c r="R724" s="74"/>
      <c r="S724" s="74"/>
      <c r="T724" s="74"/>
      <c r="U724" s="74"/>
      <c r="V724" s="74"/>
      <c r="W724" s="74"/>
      <c r="X724" s="74"/>
      <c r="Y724" s="74"/>
      <c r="Z724" s="74"/>
    </row>
    <row r="725" spans="1:26" x14ac:dyDescent="0.3">
      <c r="A725" s="66">
        <f t="shared" si="74"/>
        <v>2061.7999999999347</v>
      </c>
      <c r="B725" s="67">
        <f>LOOKUP(A725+0.01,AmountsB!$A$4:$A$103,AmountsB!$B$4:$B$103)*0.1*$A$2</f>
        <v>0</v>
      </c>
      <c r="C725" s="68">
        <f t="shared" si="73"/>
        <v>83655.233518999943</v>
      </c>
      <c r="D725" s="67">
        <f t="array" ref="D725">SUM($B$7:$B720*$F$1009*EXP(-$F$1009*($A725-$A$7:$A720)))*$F$1010</f>
        <v>3591182.6279010898</v>
      </c>
      <c r="E725" s="67">
        <f t="shared" si="71"/>
        <v>6.8462726502723958</v>
      </c>
      <c r="F725" s="70">
        <f t="shared" si="75"/>
        <v>0.41570567532453989</v>
      </c>
      <c r="G725" s="67">
        <f>E725/'Lookup Tables'!$C$48</f>
        <v>13.692545300544792</v>
      </c>
      <c r="H725" s="70">
        <f t="shared" si="72"/>
        <v>4.3014653759419548E-2</v>
      </c>
      <c r="I725" s="71">
        <f t="shared" si="76"/>
        <v>1.9717265232784498E-2</v>
      </c>
      <c r="L725" s="74"/>
      <c r="M725" s="74"/>
      <c r="N725" s="74"/>
      <c r="O725" s="74"/>
      <c r="P725" s="74"/>
      <c r="Q725" s="74"/>
      <c r="R725" s="74"/>
      <c r="S725" s="74"/>
      <c r="T725" s="74"/>
      <c r="U725" s="74"/>
      <c r="V725" s="74"/>
      <c r="W725" s="74"/>
      <c r="X725" s="74"/>
      <c r="Y725" s="74"/>
      <c r="Z725" s="74"/>
    </row>
    <row r="726" spans="1:26" x14ac:dyDescent="0.3">
      <c r="A726" s="66">
        <f t="shared" si="74"/>
        <v>2061.8999999999346</v>
      </c>
      <c r="B726" s="67">
        <f>LOOKUP(A726+0.01,AmountsB!$A$4:$A$103,AmountsB!$B$4:$B$103)*0.1*$A$2</f>
        <v>0</v>
      </c>
      <c r="C726" s="68">
        <f t="shared" si="73"/>
        <v>83655.233518999943</v>
      </c>
      <c r="D726" s="67">
        <f t="array" ref="D726">SUM($B$7:$B721*$F$1009*EXP(-$F$1009*($A726-$A$7:$A721)))*$F$1010</f>
        <v>3586158.4899392151</v>
      </c>
      <c r="E726" s="67">
        <f t="shared" si="71"/>
        <v>6.8366945747792869</v>
      </c>
      <c r="F726" s="70">
        <f t="shared" si="75"/>
        <v>0.41512409458059829</v>
      </c>
      <c r="G726" s="67">
        <f>E726/'Lookup Tables'!$C$48</f>
        <v>13.673389149558574</v>
      </c>
      <c r="H726" s="70">
        <f t="shared" si="72"/>
        <v>4.2954475378851942E-2</v>
      </c>
      <c r="I726" s="71">
        <f t="shared" si="76"/>
        <v>1.9689680375364348E-2</v>
      </c>
      <c r="L726" s="74"/>
      <c r="M726" s="74"/>
      <c r="N726" s="74"/>
      <c r="O726" s="74"/>
      <c r="P726" s="74"/>
      <c r="Q726" s="74"/>
      <c r="R726" s="74"/>
      <c r="S726" s="74"/>
      <c r="T726" s="74"/>
      <c r="U726" s="74"/>
      <c r="V726" s="74"/>
      <c r="W726" s="74"/>
      <c r="X726" s="74"/>
      <c r="Y726" s="74"/>
      <c r="Z726" s="74"/>
    </row>
    <row r="727" spans="1:26" x14ac:dyDescent="0.3">
      <c r="A727" s="66">
        <f t="shared" si="74"/>
        <v>2061.9999999999345</v>
      </c>
      <c r="B727" s="67">
        <f>LOOKUP(A727+0.01,AmountsB!$A$4:$A$103,AmountsB!$B$4:$B$103)*0.1*$A$2</f>
        <v>0</v>
      </c>
      <c r="C727" s="68">
        <f t="shared" si="73"/>
        <v>83655.233518999943</v>
      </c>
      <c r="D727" s="67">
        <f t="array" ref="D727">SUM($B$7:$B722*$F$1009*EXP(-$F$1009*($A727-$A$7:$A722)))*$F$1010</f>
        <v>3581141.3808491291</v>
      </c>
      <c r="E727" s="67">
        <f t="shared" si="71"/>
        <v>6.8271298992097345</v>
      </c>
      <c r="F727" s="70">
        <f t="shared" si="75"/>
        <v>0.41454332748001504</v>
      </c>
      <c r="G727" s="67">
        <f>E727/'Lookup Tables'!$C$48</f>
        <v>13.654259798419469</v>
      </c>
      <c r="H727" s="70">
        <f t="shared" si="72"/>
        <v>4.2894381189069845E-2</v>
      </c>
      <c r="I727" s="71">
        <f t="shared" si="76"/>
        <v>1.9662134109724037E-2</v>
      </c>
      <c r="L727" s="74"/>
      <c r="M727" s="74"/>
      <c r="N727" s="74"/>
      <c r="O727" s="74"/>
      <c r="P727" s="74"/>
      <c r="Q727" s="74"/>
      <c r="R727" s="74"/>
      <c r="S727" s="74"/>
      <c r="T727" s="74"/>
      <c r="U727" s="74"/>
      <c r="V727" s="74"/>
      <c r="W727" s="74"/>
      <c r="X727" s="74"/>
      <c r="Y727" s="74"/>
      <c r="Z727" s="74"/>
    </row>
    <row r="728" spans="1:26" x14ac:dyDescent="0.3">
      <c r="A728" s="66">
        <f t="shared" si="74"/>
        <v>2062.0999999999344</v>
      </c>
      <c r="B728" s="67">
        <f>LOOKUP(A728+0.01,AmountsB!$A$4:$A$103,AmountsB!$B$4:$B$103)*0.1*$A$2</f>
        <v>0</v>
      </c>
      <c r="C728" s="68">
        <f t="shared" si="73"/>
        <v>83655.233518999943</v>
      </c>
      <c r="D728" s="67">
        <f t="array" ref="D728">SUM($B$7:$B723*$F$1009*EXP(-$F$1009*($A728-$A$7:$A723)))*$F$1010</f>
        <v>3576131.2907972955</v>
      </c>
      <c r="E728" s="67">
        <f t="shared" si="71"/>
        <v>6.8175786048169682</v>
      </c>
      <c r="F728" s="70">
        <f t="shared" si="75"/>
        <v>0.41396337288448626</v>
      </c>
      <c r="G728" s="67">
        <f>E728/'Lookup Tables'!$C$48</f>
        <v>13.635157209633936</v>
      </c>
      <c r="H728" s="70">
        <f t="shared" si="72"/>
        <v>4.2834371072288595E-2</v>
      </c>
      <c r="I728" s="71">
        <f t="shared" si="76"/>
        <v>1.9634626381872869E-2</v>
      </c>
      <c r="L728" s="74"/>
      <c r="M728" s="74"/>
      <c r="N728" s="74"/>
      <c r="O728" s="74"/>
      <c r="P728" s="74"/>
      <c r="Q728" s="74"/>
      <c r="R728" s="74"/>
      <c r="S728" s="74"/>
      <c r="T728" s="74"/>
      <c r="U728" s="74"/>
      <c r="V728" s="74"/>
      <c r="W728" s="74"/>
      <c r="X728" s="74"/>
      <c r="Y728" s="74"/>
      <c r="Z728" s="74"/>
    </row>
    <row r="729" spans="1:26" x14ac:dyDescent="0.3">
      <c r="A729" s="66">
        <f t="shared" si="74"/>
        <v>2062.1999999999343</v>
      </c>
      <c r="B729" s="67">
        <f>LOOKUP(A729+0.01,AmountsB!$A$4:$A$103,AmountsB!$B$4:$B$103)*0.1*$A$2</f>
        <v>0</v>
      </c>
      <c r="C729" s="68">
        <f t="shared" si="73"/>
        <v>83655.233518999943</v>
      </c>
      <c r="D729" s="67">
        <f t="array" ref="D729">SUM($B$7:$B724*$F$1009*EXP(-$F$1009*($A729-$A$7:$A724)))*$F$1010</f>
        <v>3571128.2099639354</v>
      </c>
      <c r="E729" s="67">
        <f t="shared" si="71"/>
        <v>6.8080406728804475</v>
      </c>
      <c r="F729" s="70">
        <f t="shared" si="75"/>
        <v>0.41338422965730076</v>
      </c>
      <c r="G729" s="67">
        <f>E729/'Lookup Tables'!$C$48</f>
        <v>13.616081345760895</v>
      </c>
      <c r="H729" s="70">
        <f t="shared" si="72"/>
        <v>4.2774444910888339E-2</v>
      </c>
      <c r="I729" s="71">
        <f t="shared" si="76"/>
        <v>1.9607157137895688E-2</v>
      </c>
      <c r="L729" s="74"/>
      <c r="M729" s="74"/>
      <c r="N729" s="74"/>
      <c r="O729" s="74"/>
      <c r="P729" s="74"/>
      <c r="Q729" s="74"/>
      <c r="R729" s="74"/>
      <c r="S729" s="74"/>
      <c r="T729" s="74"/>
      <c r="U729" s="74"/>
      <c r="V729" s="74"/>
      <c r="W729" s="74"/>
      <c r="X729" s="74"/>
      <c r="Y729" s="74"/>
      <c r="Z729" s="74"/>
    </row>
    <row r="730" spans="1:26" x14ac:dyDescent="0.3">
      <c r="A730" s="66">
        <f t="shared" si="74"/>
        <v>2062.2999999999342</v>
      </c>
      <c r="B730" s="67">
        <f>LOOKUP(A730+0.01,AmountsB!$A$4:$A$103,AmountsB!$B$4:$B$103)*0.1*$A$2</f>
        <v>0</v>
      </c>
      <c r="C730" s="68">
        <f t="shared" si="73"/>
        <v>83655.233518999943</v>
      </c>
      <c r="D730" s="67">
        <f t="array" ref="D730">SUM($B$7:$B725*$F$1009*EXP(-$F$1009*($A730-$A$7:$A725)))*$F$1010</f>
        <v>3566132.1285430114</v>
      </c>
      <c r="E730" s="67">
        <f t="shared" si="71"/>
        <v>6.7985160847058284</v>
      </c>
      <c r="F730" s="70">
        <f t="shared" si="75"/>
        <v>0.41280589666333789</v>
      </c>
      <c r="G730" s="67">
        <f>E730/'Lookup Tables'!$C$48</f>
        <v>13.597032169411657</v>
      </c>
      <c r="H730" s="70">
        <f t="shared" si="72"/>
        <v>4.271460258741383E-2</v>
      </c>
      <c r="I730" s="71">
        <f t="shared" si="76"/>
        <v>1.9579726323952787E-2</v>
      </c>
      <c r="L730" s="74"/>
      <c r="M730" s="74"/>
      <c r="N730" s="74"/>
      <c r="O730" s="74"/>
      <c r="P730" s="74"/>
      <c r="Q730" s="74"/>
      <c r="R730" s="74"/>
      <c r="S730" s="74"/>
      <c r="T730" s="74"/>
      <c r="U730" s="74"/>
      <c r="V730" s="74"/>
      <c r="W730" s="74"/>
      <c r="X730" s="74"/>
      <c r="Y730" s="74"/>
      <c r="Z730" s="74"/>
    </row>
    <row r="731" spans="1:26" x14ac:dyDescent="0.3">
      <c r="A731" s="66">
        <f t="shared" si="74"/>
        <v>2062.3999999999342</v>
      </c>
      <c r="B731" s="67">
        <f>LOOKUP(A731+0.01,AmountsB!$A$4:$A$103,AmountsB!$B$4:$B$103)*0.1*$A$2</f>
        <v>0</v>
      </c>
      <c r="C731" s="68">
        <f t="shared" si="73"/>
        <v>83655.233518999943</v>
      </c>
      <c r="D731" s="67">
        <f t="array" ref="D731">SUM($B$7:$B726*$F$1009*EXP(-$F$1009*($A731-$A$7:$A726)))*$F$1010</f>
        <v>3561143.0367422011</v>
      </c>
      <c r="E731" s="67">
        <f t="shared" si="71"/>
        <v>6.7890048216249106</v>
      </c>
      <c r="F731" s="70">
        <f t="shared" si="75"/>
        <v>0.41222837276906454</v>
      </c>
      <c r="G731" s="67">
        <f>E731/'Lookup Tables'!$C$48</f>
        <v>13.578009643249821</v>
      </c>
      <c r="H731" s="70">
        <f t="shared" si="72"/>
        <v>4.2654843984574059E-2</v>
      </c>
      <c r="I731" s="71">
        <f t="shared" si="76"/>
        <v>1.9552333886279742E-2</v>
      </c>
      <c r="L731" s="74"/>
      <c r="M731" s="74"/>
      <c r="N731" s="74"/>
      <c r="O731" s="74"/>
      <c r="P731" s="74"/>
      <c r="Q731" s="74"/>
      <c r="R731" s="74"/>
      <c r="S731" s="74"/>
      <c r="T731" s="74"/>
      <c r="U731" s="74"/>
      <c r="V731" s="74"/>
      <c r="W731" s="74"/>
      <c r="X731" s="74"/>
      <c r="Y731" s="74"/>
      <c r="Z731" s="74"/>
    </row>
    <row r="732" spans="1:26" x14ac:dyDescent="0.3">
      <c r="A732" s="66">
        <f t="shared" si="74"/>
        <v>2062.4999999999341</v>
      </c>
      <c r="B732" s="67">
        <f>LOOKUP(A732+0.01,AmountsB!$A$4:$A$103,AmountsB!$B$4:$B$103)*0.1*$A$2</f>
        <v>0</v>
      </c>
      <c r="C732" s="68">
        <f t="shared" si="73"/>
        <v>83655.233518999943</v>
      </c>
      <c r="D732" s="67">
        <f t="array" ref="D732">SUM($B$7:$B727*$F$1009*EXP(-$F$1009*($A732-$A$7:$A727)))*$F$1010</f>
        <v>3556160.9247828838</v>
      </c>
      <c r="E732" s="67">
        <f t="shared" si="71"/>
        <v>6.7795068649956196</v>
      </c>
      <c r="F732" s="70">
        <f t="shared" si="75"/>
        <v>0.41165165684253402</v>
      </c>
      <c r="G732" s="67">
        <f>E732/'Lookup Tables'!$C$48</f>
        <v>13.559013729991239</v>
      </c>
      <c r="H732" s="70">
        <f t="shared" si="72"/>
        <v>4.2595168985242168E-2</v>
      </c>
      <c r="I732" s="71">
        <f t="shared" si="76"/>
        <v>1.9524979771187383E-2</v>
      </c>
      <c r="L732" s="74"/>
      <c r="M732" s="74"/>
      <c r="N732" s="74"/>
      <c r="O732" s="74"/>
      <c r="P732" s="74"/>
      <c r="Q732" s="74"/>
      <c r="R732" s="74"/>
      <c r="S732" s="74"/>
      <c r="T732" s="74"/>
      <c r="U732" s="74"/>
      <c r="V732" s="74"/>
      <c r="W732" s="74"/>
      <c r="X732" s="74"/>
      <c r="Y732" s="74"/>
      <c r="Z732" s="74"/>
    </row>
    <row r="733" spans="1:26" x14ac:dyDescent="0.3">
      <c r="A733" s="66">
        <f t="shared" si="74"/>
        <v>2062.599999999934</v>
      </c>
      <c r="B733" s="67">
        <f>LOOKUP(A733+0.01,AmountsB!$A$4:$A$103,AmountsB!$B$4:$B$103)*0.1*$A$2</f>
        <v>0</v>
      </c>
      <c r="C733" s="68">
        <f t="shared" si="73"/>
        <v>83655.233518999943</v>
      </c>
      <c r="D733" s="67">
        <f t="array" ref="D733">SUM($B$7:$B728*$F$1009*EXP(-$F$1009*($A733-$A$7:$A728)))*$F$1010</f>
        <v>3551185.7829001173</v>
      </c>
      <c r="E733" s="67">
        <f t="shared" si="71"/>
        <v>6.7700221962019533</v>
      </c>
      <c r="F733" s="70">
        <f t="shared" si="75"/>
        <v>0.41107574775338263</v>
      </c>
      <c r="G733" s="67">
        <f>E733/'Lookup Tables'!$C$48</f>
        <v>13.540044392403907</v>
      </c>
      <c r="H733" s="70">
        <f t="shared" si="72"/>
        <v>4.2535577472455122E-2</v>
      </c>
      <c r="I733" s="71">
        <f t="shared" si="76"/>
        <v>1.9497663925061626E-2</v>
      </c>
      <c r="L733" s="74"/>
      <c r="M733" s="74"/>
      <c r="N733" s="74"/>
      <c r="O733" s="74"/>
      <c r="P733" s="74"/>
      <c r="Q733" s="74"/>
      <c r="R733" s="74"/>
      <c r="S733" s="74"/>
      <c r="T733" s="74"/>
      <c r="U733" s="74"/>
      <c r="V733" s="74"/>
      <c r="W733" s="74"/>
      <c r="X733" s="74"/>
      <c r="Y733" s="74"/>
      <c r="Z733" s="74"/>
    </row>
    <row r="734" spans="1:26" x14ac:dyDescent="0.3">
      <c r="A734" s="66">
        <f t="shared" si="74"/>
        <v>2062.6999999999339</v>
      </c>
      <c r="B734" s="67">
        <f>LOOKUP(A734+0.01,AmountsB!$A$4:$A$103,AmountsB!$B$4:$B$103)*0.1*$A$2</f>
        <v>0</v>
      </c>
      <c r="C734" s="68">
        <f t="shared" si="73"/>
        <v>83655.233518999943</v>
      </c>
      <c r="D734" s="67">
        <f t="array" ref="D734">SUM($B$7:$B729*$F$1009*EXP(-$F$1009*($A734-$A$7:$A729)))*$F$1010</f>
        <v>3546217.6013426213</v>
      </c>
      <c r="E734" s="67">
        <f t="shared" si="71"/>
        <v>6.7605507966539582</v>
      </c>
      <c r="F734" s="70">
        <f t="shared" si="75"/>
        <v>0.41050064437282835</v>
      </c>
      <c r="G734" s="67">
        <f>E734/'Lookup Tables'!$C$48</f>
        <v>13.521101593307916</v>
      </c>
      <c r="H734" s="70">
        <f t="shared" si="72"/>
        <v>4.2476069329413529E-2</v>
      </c>
      <c r="I734" s="71">
        <f t="shared" si="76"/>
        <v>1.9470386294363401E-2</v>
      </c>
      <c r="L734" s="74"/>
      <c r="M734" s="74"/>
      <c r="N734" s="74"/>
      <c r="O734" s="74"/>
      <c r="P734" s="74"/>
      <c r="Q734" s="74"/>
      <c r="R734" s="74"/>
      <c r="S734" s="74"/>
      <c r="T734" s="74"/>
      <c r="U734" s="74"/>
      <c r="V734" s="74"/>
      <c r="W734" s="74"/>
      <c r="X734" s="74"/>
      <c r="Y734" s="74"/>
      <c r="Z734" s="74"/>
    </row>
    <row r="735" spans="1:26" x14ac:dyDescent="0.3">
      <c r="A735" s="66">
        <f t="shared" si="74"/>
        <v>2062.7999999999338</v>
      </c>
      <c r="B735" s="67">
        <f>LOOKUP(A735+0.01,AmountsB!$A$4:$A$103,AmountsB!$B$4:$B$103)*0.1*$A$2</f>
        <v>0</v>
      </c>
      <c r="C735" s="68">
        <f t="shared" si="73"/>
        <v>83655.233518999943</v>
      </c>
      <c r="D735" s="67">
        <f t="array" ref="D735">SUM($B$7:$B730*$F$1009*EXP(-$F$1009*($A735-$A$7:$A730)))*$F$1010</f>
        <v>3541256.3703727596</v>
      </c>
      <c r="E735" s="67">
        <f t="shared" si="71"/>
        <v>6.7510926477876883</v>
      </c>
      <c r="F735" s="70">
        <f t="shared" si="75"/>
        <v>0.40992634557366842</v>
      </c>
      <c r="G735" s="67">
        <f>E735/'Lookup Tables'!$C$48</f>
        <v>13.502185295575377</v>
      </c>
      <c r="H735" s="70">
        <f t="shared" si="72"/>
        <v>4.2416644439481427E-2</v>
      </c>
      <c r="I735" s="71">
        <f t="shared" si="76"/>
        <v>1.9443146825628543E-2</v>
      </c>
      <c r="L735" s="74"/>
      <c r="M735" s="74"/>
      <c r="N735" s="74"/>
      <c r="O735" s="74"/>
      <c r="P735" s="74"/>
      <c r="Q735" s="74"/>
      <c r="R735" s="74"/>
      <c r="S735" s="74"/>
      <c r="T735" s="74"/>
      <c r="U735" s="74"/>
      <c r="V735" s="74"/>
      <c r="W735" s="74"/>
      <c r="X735" s="74"/>
      <c r="Y735" s="74"/>
      <c r="Z735" s="74"/>
    </row>
    <row r="736" spans="1:26" x14ac:dyDescent="0.3">
      <c r="A736" s="66">
        <f t="shared" si="74"/>
        <v>2062.8999999999337</v>
      </c>
      <c r="B736" s="67">
        <f>LOOKUP(A736+0.01,AmountsB!$A$4:$A$103,AmountsB!$B$4:$B$103)*0.1*$A$2</f>
        <v>0</v>
      </c>
      <c r="C736" s="68">
        <f t="shared" si="73"/>
        <v>83655.233518999943</v>
      </c>
      <c r="D736" s="67">
        <f t="array" ref="D736">SUM($B$7:$B731*$F$1009*EXP(-$F$1009*($A736-$A$7:$A731)))*$F$1010</f>
        <v>3536302.0802665167</v>
      </c>
      <c r="E736" s="67">
        <f t="shared" si="71"/>
        <v>6.7416477310651688</v>
      </c>
      <c r="F736" s="70">
        <f t="shared" si="75"/>
        <v>0.40935285023027707</v>
      </c>
      <c r="G736" s="67">
        <f>E736/'Lookup Tables'!$C$48</f>
        <v>13.483295462130338</v>
      </c>
      <c r="H736" s="70">
        <f t="shared" si="72"/>
        <v>4.2357302686185982E-2</v>
      </c>
      <c r="I736" s="71">
        <f t="shared" si="76"/>
        <v>1.9415945465467686E-2</v>
      </c>
      <c r="L736" s="74"/>
      <c r="M736" s="74"/>
      <c r="N736" s="74"/>
      <c r="O736" s="74"/>
      <c r="P736" s="74"/>
      <c r="Q736" s="74"/>
      <c r="R736" s="74"/>
      <c r="S736" s="74"/>
      <c r="T736" s="74"/>
      <c r="U736" s="74"/>
      <c r="V736" s="74"/>
      <c r="W736" s="74"/>
      <c r="X736" s="74"/>
      <c r="Y736" s="74"/>
      <c r="Z736" s="74"/>
    </row>
    <row r="737" spans="1:26" x14ac:dyDescent="0.3">
      <c r="A737" s="66">
        <f t="shared" si="74"/>
        <v>2062.9999999999336</v>
      </c>
      <c r="B737" s="67">
        <f>LOOKUP(A737+0.01,AmountsB!$A$4:$A$103,AmountsB!$B$4:$B$103)*0.1*$A$2</f>
        <v>0</v>
      </c>
      <c r="C737" s="68">
        <f t="shared" si="73"/>
        <v>83655.233518999943</v>
      </c>
      <c r="D737" s="67">
        <f t="array" ref="D737">SUM($B$7:$B732*$F$1009*EXP(-$F$1009*($A737-$A$7:$A732)))*$F$1010</f>
        <v>3531354.7213134849</v>
      </c>
      <c r="E737" s="67">
        <f t="shared" si="71"/>
        <v>6.7322160279743635</v>
      </c>
      <c r="F737" s="70">
        <f t="shared" si="75"/>
        <v>0.40878015721860333</v>
      </c>
      <c r="G737" s="67">
        <f>E737/'Lookup Tables'!$C$48</f>
        <v>13.464432055948727</v>
      </c>
      <c r="H737" s="70">
        <f t="shared" si="72"/>
        <v>4.2298043953217401E-2</v>
      </c>
      <c r="I737" s="71">
        <f t="shared" si="76"/>
        <v>1.9388782160566168E-2</v>
      </c>
      <c r="L737" s="74"/>
      <c r="M737" s="74"/>
      <c r="N737" s="74"/>
      <c r="O737" s="74"/>
      <c r="P737" s="74"/>
      <c r="Q737" s="74"/>
      <c r="R737" s="74"/>
      <c r="S737" s="74"/>
      <c r="T737" s="74"/>
      <c r="U737" s="74"/>
      <c r="V737" s="74"/>
      <c r="W737" s="74"/>
      <c r="X737" s="74"/>
      <c r="Y737" s="74"/>
      <c r="Z737" s="74"/>
    </row>
    <row r="738" spans="1:26" x14ac:dyDescent="0.3">
      <c r="A738" s="66">
        <f t="shared" si="74"/>
        <v>2063.0999999999335</v>
      </c>
      <c r="B738" s="67">
        <f>LOOKUP(A738+0.01,AmountsB!$A$4:$A$103,AmountsB!$B$4:$B$103)*0.1*$A$2</f>
        <v>0</v>
      </c>
      <c r="C738" s="68">
        <f t="shared" si="73"/>
        <v>83655.233518999943</v>
      </c>
      <c r="D738" s="67">
        <f t="array" ref="D738">SUM($B$7:$B733*$F$1009*EXP(-$F$1009*($A738-$A$7:$A733)))*$F$1010</f>
        <v>3526414.2838168358</v>
      </c>
      <c r="E738" s="67">
        <f t="shared" si="71"/>
        <v>6.7227975200291246</v>
      </c>
      <c r="F738" s="70">
        <f t="shared" si="75"/>
        <v>0.4082082654161685</v>
      </c>
      <c r="G738" s="67">
        <f>E738/'Lookup Tables'!$C$48</f>
        <v>13.445595040058249</v>
      </c>
      <c r="H738" s="70">
        <f t="shared" si="72"/>
        <v>4.223886812442848E-2</v>
      </c>
      <c r="I738" s="71">
        <f t="shared" si="76"/>
        <v>1.936165685768388E-2</v>
      </c>
      <c r="L738" s="74"/>
      <c r="M738" s="74"/>
      <c r="N738" s="74"/>
      <c r="O738" s="74"/>
      <c r="P738" s="74"/>
      <c r="Q738" s="74"/>
      <c r="R738" s="74"/>
      <c r="S738" s="74"/>
      <c r="T738" s="74"/>
      <c r="U738" s="74"/>
      <c r="V738" s="74"/>
      <c r="W738" s="74"/>
      <c r="X738" s="74"/>
      <c r="Y738" s="74"/>
      <c r="Z738" s="74"/>
    </row>
    <row r="739" spans="1:26" x14ac:dyDescent="0.3">
      <c r="A739" s="66">
        <f t="shared" si="74"/>
        <v>2063.1999999999334</v>
      </c>
      <c r="B739" s="67">
        <f>LOOKUP(A739+0.01,AmountsB!$A$4:$A$103,AmountsB!$B$4:$B$103)*0.1*$A$2</f>
        <v>0</v>
      </c>
      <c r="C739" s="68">
        <f t="shared" si="73"/>
        <v>83655.233518999943</v>
      </c>
      <c r="D739" s="67">
        <f t="array" ref="D739">SUM($B$7:$B734*$F$1009*EXP(-$F$1009*($A739-$A$7:$A734)))*$F$1010</f>
        <v>3521480.7580933133</v>
      </c>
      <c r="E739" s="67">
        <f t="shared" si="71"/>
        <v>6.7133921887691805</v>
      </c>
      <c r="F739" s="70">
        <f t="shared" si="75"/>
        <v>0.40763717370206465</v>
      </c>
      <c r="G739" s="67">
        <f>E739/'Lookup Tables'!$C$48</f>
        <v>13.426784377538361</v>
      </c>
      <c r="H739" s="70">
        <f t="shared" si="72"/>
        <v>4.2179775083834629E-2</v>
      </c>
      <c r="I739" s="71">
        <f t="shared" si="76"/>
        <v>1.9334569503655242E-2</v>
      </c>
      <c r="L739" s="74"/>
      <c r="M739" s="74"/>
      <c r="N739" s="74"/>
      <c r="O739" s="74"/>
      <c r="P739" s="74"/>
      <c r="Q739" s="74"/>
      <c r="R739" s="74"/>
      <c r="S739" s="74"/>
      <c r="T739" s="74"/>
      <c r="U739" s="74"/>
      <c r="V739" s="74"/>
      <c r="W739" s="74"/>
      <c r="X739" s="74"/>
      <c r="Y739" s="74"/>
      <c r="Z739" s="74"/>
    </row>
    <row r="740" spans="1:26" x14ac:dyDescent="0.3">
      <c r="A740" s="66">
        <f t="shared" si="74"/>
        <v>2063.2999999999333</v>
      </c>
      <c r="B740" s="67">
        <f>LOOKUP(A740+0.01,AmountsB!$A$4:$A$103,AmountsB!$B$4:$B$103)*0.1*$A$2</f>
        <v>0</v>
      </c>
      <c r="C740" s="68">
        <f t="shared" si="73"/>
        <v>83655.233518999943</v>
      </c>
      <c r="D740" s="67">
        <f t="array" ref="D740">SUM($B$7:$B735*$F$1009*EXP(-$F$1009*($A740-$A$7:$A735)))*$F$1010</f>
        <v>3516554.1344732037</v>
      </c>
      <c r="E740" s="67">
        <f t="shared" si="71"/>
        <v>6.7040000157600748</v>
      </c>
      <c r="F740" s="70">
        <f t="shared" si="75"/>
        <v>0.40706688095695176</v>
      </c>
      <c r="G740" s="67">
        <f>E740/'Lookup Tables'!$C$48</f>
        <v>13.40800003152015</v>
      </c>
      <c r="H740" s="70">
        <f t="shared" si="72"/>
        <v>4.2120764715613428E-2</v>
      </c>
      <c r="I740" s="71">
        <f t="shared" si="76"/>
        <v>1.9307520045389014E-2</v>
      </c>
      <c r="L740" s="74"/>
      <c r="M740" s="74"/>
      <c r="N740" s="74"/>
      <c r="O740" s="74"/>
      <c r="P740" s="74"/>
      <c r="Q740" s="74"/>
      <c r="R740" s="74"/>
      <c r="S740" s="74"/>
      <c r="T740" s="74"/>
      <c r="U740" s="74"/>
      <c r="V740" s="74"/>
      <c r="W740" s="74"/>
      <c r="X740" s="74"/>
      <c r="Y740" s="74"/>
      <c r="Z740" s="74"/>
    </row>
    <row r="741" spans="1:26" x14ac:dyDescent="0.3">
      <c r="A741" s="66">
        <f t="shared" si="74"/>
        <v>2063.3999999999332</v>
      </c>
      <c r="B741" s="67">
        <f>LOOKUP(A741+0.01,AmountsB!$A$4:$A$103,AmountsB!$B$4:$B$103)*0.1*$A$2</f>
        <v>0</v>
      </c>
      <c r="C741" s="68">
        <f t="shared" si="73"/>
        <v>83655.233518999943</v>
      </c>
      <c r="D741" s="67">
        <f t="array" ref="D741">SUM($B$7:$B736*$F$1009*EXP(-$F$1009*($A741-$A$7:$A736)))*$F$1010</f>
        <v>3511634.4033003226</v>
      </c>
      <c r="E741" s="67">
        <f t="shared" si="71"/>
        <v>6.6946209825931442</v>
      </c>
      <c r="F741" s="70">
        <f t="shared" si="75"/>
        <v>0.40649738606305574</v>
      </c>
      <c r="G741" s="67">
        <f>E741/'Lookup Tables'!$C$48</f>
        <v>13.389241965186288</v>
      </c>
      <c r="H741" s="70">
        <f t="shared" si="72"/>
        <v>4.206183690410456E-2</v>
      </c>
      <c r="I741" s="71">
        <f t="shared" si="76"/>
        <v>1.9280508429868257E-2</v>
      </c>
      <c r="L741" s="74"/>
      <c r="M741" s="74"/>
      <c r="N741" s="74"/>
      <c r="O741" s="74"/>
      <c r="P741" s="74"/>
      <c r="Q741" s="74"/>
      <c r="R741" s="74"/>
      <c r="S741" s="74"/>
      <c r="T741" s="74"/>
      <c r="U741" s="74"/>
      <c r="V741" s="74"/>
      <c r="W741" s="74"/>
      <c r="X741" s="74"/>
      <c r="Y741" s="74"/>
      <c r="Z741" s="74"/>
    </row>
    <row r="742" spans="1:26" x14ac:dyDescent="0.3">
      <c r="A742" s="66">
        <f t="shared" si="74"/>
        <v>2063.4999999999332</v>
      </c>
      <c r="B742" s="67">
        <f>LOOKUP(A742+0.01,AmountsB!$A$4:$A$103,AmountsB!$B$4:$B$103)*0.1*$A$2</f>
        <v>0</v>
      </c>
      <c r="C742" s="68">
        <f t="shared" si="73"/>
        <v>83655.233518999943</v>
      </c>
      <c r="D742" s="67">
        <f t="array" ref="D742">SUM($B$7:$B737*$F$1009*EXP(-$F$1009*($A742-$A$7:$A737)))*$F$1010</f>
        <v>3506721.5549319969</v>
      </c>
      <c r="E742" s="67">
        <f t="shared" si="71"/>
        <v>6.6852550708854839</v>
      </c>
      <c r="F742" s="70">
        <f t="shared" si="75"/>
        <v>0.40592868790416659</v>
      </c>
      <c r="G742" s="67">
        <f>E742/'Lookup Tables'!$C$48</f>
        <v>13.370510141770968</v>
      </c>
      <c r="H742" s="70">
        <f t="shared" si="72"/>
        <v>4.2002991533809479E-2</v>
      </c>
      <c r="I742" s="71">
        <f t="shared" si="76"/>
        <v>1.9253534604150191E-2</v>
      </c>
      <c r="L742" s="74"/>
      <c r="M742" s="74"/>
      <c r="N742" s="74"/>
      <c r="O742" s="74"/>
      <c r="P742" s="74"/>
      <c r="Q742" s="74"/>
      <c r="R742" s="74"/>
      <c r="S742" s="74"/>
      <c r="T742" s="74"/>
      <c r="U742" s="74"/>
      <c r="V742" s="74"/>
      <c r="W742" s="74"/>
      <c r="X742" s="74"/>
      <c r="Y742" s="74"/>
      <c r="Z742" s="74"/>
    </row>
    <row r="743" spans="1:26" x14ac:dyDescent="0.3">
      <c r="A743" s="66">
        <f t="shared" si="74"/>
        <v>2063.5999999999331</v>
      </c>
      <c r="B743" s="67">
        <f>LOOKUP(A743+0.01,AmountsB!$A$4:$A$103,AmountsB!$B$4:$B$103)*0.1*$A$2</f>
        <v>0</v>
      </c>
      <c r="C743" s="68">
        <f t="shared" si="73"/>
        <v>83655.233518999943</v>
      </c>
      <c r="D743" s="67">
        <f t="array" ref="D743">SUM($B$7:$B738*$F$1009*EXP(-$F$1009*($A743-$A$7:$A738)))*$F$1010</f>
        <v>3501815.5797390402</v>
      </c>
      <c r="E743" s="67">
        <f t="shared" si="71"/>
        <v>6.6759022622799016</v>
      </c>
      <c r="F743" s="70">
        <f t="shared" si="75"/>
        <v>0.40536078536563558</v>
      </c>
      <c r="G743" s="67">
        <f>E743/'Lookup Tables'!$C$48</f>
        <v>13.351804524559803</v>
      </c>
      <c r="H743" s="70">
        <f t="shared" si="72"/>
        <v>4.1944228489391264E-2</v>
      </c>
      <c r="I743" s="71">
        <f t="shared" si="76"/>
        <v>1.9226598515366115E-2</v>
      </c>
      <c r="L743" s="74"/>
      <c r="M743" s="74"/>
      <c r="N743" s="74"/>
      <c r="O743" s="74"/>
      <c r="P743" s="74"/>
      <c r="Q743" s="74"/>
      <c r="R743" s="74"/>
      <c r="S743" s="74"/>
      <c r="T743" s="74"/>
      <c r="U743" s="74"/>
      <c r="V743" s="74"/>
      <c r="W743" s="74"/>
      <c r="X743" s="74"/>
      <c r="Y743" s="74"/>
      <c r="Z743" s="74"/>
    </row>
    <row r="744" spans="1:26" x14ac:dyDescent="0.3">
      <c r="A744" s="66">
        <f t="shared" si="74"/>
        <v>2063.699999999933</v>
      </c>
      <c r="B744" s="67">
        <f>LOOKUP(A744+0.01,AmountsB!$A$4:$A$103,AmountsB!$B$4:$B$103)*0.1*$A$2</f>
        <v>0</v>
      </c>
      <c r="C744" s="68">
        <f t="shared" si="73"/>
        <v>83655.233518999943</v>
      </c>
      <c r="D744" s="67">
        <f t="array" ref="D744">SUM($B$7:$B739*$F$1009*EXP(-$F$1009*($A744-$A$7:$A739)))*$F$1010</f>
        <v>3496916.4681057436</v>
      </c>
      <c r="E744" s="67">
        <f t="shared" si="71"/>
        <v>6.6665625384448948</v>
      </c>
      <c r="F744" s="70">
        <f t="shared" si="75"/>
        <v>0.40479367733437399</v>
      </c>
      <c r="G744" s="67">
        <f>E744/'Lookup Tables'!$C$48</f>
        <v>13.33312507688979</v>
      </c>
      <c r="H744" s="70">
        <f t="shared" si="72"/>
        <v>4.1885547655674329E-2</v>
      </c>
      <c r="I744" s="71">
        <f t="shared" si="76"/>
        <v>1.9199700110721297E-2</v>
      </c>
      <c r="L744" s="74"/>
      <c r="M744" s="74"/>
      <c r="N744" s="74"/>
      <c r="O744" s="74"/>
      <c r="P744" s="74"/>
      <c r="Q744" s="74"/>
      <c r="R744" s="74"/>
      <c r="S744" s="74"/>
      <c r="T744" s="74"/>
      <c r="U744" s="74"/>
      <c r="V744" s="74"/>
      <c r="W744" s="74"/>
      <c r="X744" s="74"/>
      <c r="Y744" s="74"/>
      <c r="Z744" s="74"/>
    </row>
    <row r="745" spans="1:26" x14ac:dyDescent="0.3">
      <c r="A745" s="66">
        <f t="shared" si="74"/>
        <v>2063.7999999999329</v>
      </c>
      <c r="B745" s="67">
        <f>LOOKUP(A745+0.01,AmountsB!$A$4:$A$103,AmountsB!$B$4:$B$103)*0.1*$A$2</f>
        <v>0</v>
      </c>
      <c r="C745" s="68">
        <f t="shared" si="73"/>
        <v>83655.233518999943</v>
      </c>
      <c r="D745" s="67">
        <f t="array" ref="D745">SUM($B$7:$B740*$F$1009*EXP(-$F$1009*($A745-$A$7:$A740)))*$F$1010</f>
        <v>3492024.2104298407</v>
      </c>
      <c r="E745" s="67">
        <f t="shared" si="71"/>
        <v>6.6572358810745911</v>
      </c>
      <c r="F745" s="70">
        <f t="shared" si="75"/>
        <v>0.40422736269884912</v>
      </c>
      <c r="G745" s="67">
        <f>E745/'Lookup Tables'!$C$48</f>
        <v>13.314471762149182</v>
      </c>
      <c r="H745" s="70">
        <f t="shared" si="72"/>
        <v>4.1826948917644165E-2</v>
      </c>
      <c r="I745" s="71">
        <f t="shared" si="76"/>
        <v>1.9172839337494821E-2</v>
      </c>
      <c r="L745" s="74"/>
      <c r="M745" s="74"/>
      <c r="N745" s="74"/>
      <c r="O745" s="74"/>
      <c r="P745" s="74"/>
      <c r="Q745" s="74"/>
      <c r="R745" s="74"/>
      <c r="S745" s="74"/>
      <c r="T745" s="74"/>
      <c r="U745" s="74"/>
      <c r="V745" s="74"/>
      <c r="W745" s="74"/>
      <c r="X745" s="74"/>
      <c r="Y745" s="74"/>
      <c r="Z745" s="74"/>
    </row>
    <row r="746" spans="1:26" x14ac:dyDescent="0.3">
      <c r="A746" s="66">
        <f t="shared" si="74"/>
        <v>2063.8999999999328</v>
      </c>
      <c r="B746" s="67">
        <f>LOOKUP(A746+0.01,AmountsB!$A$4:$A$103,AmountsB!$B$4:$B$103)*0.1*$A$2</f>
        <v>0</v>
      </c>
      <c r="C746" s="68">
        <f t="shared" si="73"/>
        <v>83655.233518999943</v>
      </c>
      <c r="D746" s="67">
        <f t="array" ref="D746">SUM($B$7:$B741*$F$1009*EXP(-$F$1009*($A746-$A$7:$A741)))*$F$1010</f>
        <v>3487138.7971225092</v>
      </c>
      <c r="E746" s="67">
        <f t="shared" si="71"/>
        <v>6.6479222718887474</v>
      </c>
      <c r="F746" s="70">
        <f t="shared" si="75"/>
        <v>0.40366184034908476</v>
      </c>
      <c r="G746" s="67">
        <f>E746/'Lookup Tables'!$C$48</f>
        <v>13.295844543777495</v>
      </c>
      <c r="H746" s="70">
        <f t="shared" si="72"/>
        <v>4.1768432160447296E-2</v>
      </c>
      <c r="I746" s="71">
        <f t="shared" si="76"/>
        <v>1.9146016143039592E-2</v>
      </c>
      <c r="L746" s="74"/>
      <c r="M746" s="74"/>
      <c r="N746" s="74"/>
      <c r="O746" s="74"/>
      <c r="P746" s="74"/>
      <c r="Q746" s="74"/>
      <c r="R746" s="74"/>
      <c r="S746" s="74"/>
      <c r="T746" s="74"/>
      <c r="U746" s="74"/>
      <c r="V746" s="74"/>
      <c r="W746" s="74"/>
      <c r="X746" s="74"/>
      <c r="Y746" s="74"/>
      <c r="Z746" s="74"/>
    </row>
    <row r="747" spans="1:26" x14ac:dyDescent="0.3">
      <c r="A747" s="66">
        <f t="shared" si="74"/>
        <v>2063.9999999999327</v>
      </c>
      <c r="B747" s="67">
        <f>LOOKUP(A747+0.01,AmountsB!$A$4:$A$103,AmountsB!$B$4:$B$103)*0.1*$A$2</f>
        <v>0</v>
      </c>
      <c r="C747" s="68">
        <f t="shared" si="73"/>
        <v>83655.233518999943</v>
      </c>
      <c r="D747" s="67">
        <f t="array" ref="D747">SUM($B$7:$B742*$F$1009*EXP(-$F$1009*($A747-$A$7:$A742)))*$F$1010</f>
        <v>3482260.2186083356</v>
      </c>
      <c r="E747" s="67">
        <f t="shared" si="71"/>
        <v>6.6386216926326842</v>
      </c>
      <c r="F747" s="70">
        <f t="shared" si="75"/>
        <v>0.40309710917665659</v>
      </c>
      <c r="G747" s="67">
        <f>E747/'Lookup Tables'!$C$48</f>
        <v>13.277243385265368</v>
      </c>
      <c r="H747" s="70">
        <f t="shared" si="72"/>
        <v>4.1709997269390821E-2</v>
      </c>
      <c r="I747" s="71">
        <f t="shared" si="76"/>
        <v>1.9119230474782131E-2</v>
      </c>
      <c r="L747" s="74"/>
      <c r="M747" s="74"/>
      <c r="N747" s="74"/>
      <c r="O747" s="74"/>
      <c r="P747" s="74"/>
      <c r="Q747" s="74"/>
      <c r="R747" s="74"/>
      <c r="S747" s="74"/>
      <c r="T747" s="74"/>
      <c r="U747" s="74"/>
      <c r="V747" s="74"/>
      <c r="W747" s="74"/>
      <c r="X747" s="74"/>
      <c r="Y747" s="74"/>
      <c r="Z747" s="74"/>
    </row>
    <row r="748" spans="1:26" x14ac:dyDescent="0.3">
      <c r="A748" s="66">
        <f t="shared" si="74"/>
        <v>2064.0999999999326</v>
      </c>
      <c r="B748" s="67">
        <f>LOOKUP(A748+0.01,AmountsB!$A$4:$A$103,AmountsB!$B$4:$B$103)*0.1*$A$2</f>
        <v>0</v>
      </c>
      <c r="C748" s="68">
        <f t="shared" si="73"/>
        <v>83655.233518999943</v>
      </c>
      <c r="D748" s="67">
        <f t="array" ref="D748">SUM($B$7:$B743*$F$1009*EXP(-$F$1009*($A748-$A$7:$A743)))*$F$1010</f>
        <v>3477388.4653253062</v>
      </c>
      <c r="E748" s="67">
        <f t="shared" si="71"/>
        <v>6.629334125077265</v>
      </c>
      <c r="F748" s="70">
        <f t="shared" si="75"/>
        <v>0.40253316807469153</v>
      </c>
      <c r="G748" s="67">
        <f>E748/'Lookup Tables'!$C$48</f>
        <v>13.25866825015453</v>
      </c>
      <c r="H748" s="70">
        <f t="shared" si="72"/>
        <v>4.165164412994235E-2</v>
      </c>
      <c r="I748" s="71">
        <f t="shared" si="76"/>
        <v>1.9092482280222523E-2</v>
      </c>
      <c r="L748" s="74"/>
      <c r="M748" s="74"/>
      <c r="N748" s="74"/>
      <c r="O748" s="74"/>
      <c r="P748" s="74"/>
      <c r="Q748" s="74"/>
      <c r="R748" s="74"/>
      <c r="S748" s="74"/>
      <c r="T748" s="74"/>
      <c r="U748" s="74"/>
      <c r="V748" s="74"/>
      <c r="W748" s="74"/>
      <c r="X748" s="74"/>
      <c r="Y748" s="74"/>
      <c r="Z748" s="74"/>
    </row>
    <row r="749" spans="1:26" x14ac:dyDescent="0.3">
      <c r="A749" s="66">
        <f t="shared" si="74"/>
        <v>2064.1999999999325</v>
      </c>
      <c r="B749" s="67">
        <f>LOOKUP(A749+0.01,AmountsB!$A$4:$A$103,AmountsB!$B$4:$B$103)*0.1*$A$2</f>
        <v>0</v>
      </c>
      <c r="C749" s="68">
        <f t="shared" si="73"/>
        <v>83655.233518999943</v>
      </c>
      <c r="D749" s="67">
        <f t="array" ref="D749">SUM($B$7:$B744*$F$1009*EXP(-$F$1009*($A749-$A$7:$A744)))*$F$1010</f>
        <v>3472523.527724782</v>
      </c>
      <c r="E749" s="67">
        <f t="shared" si="71"/>
        <v>6.6200595510188531</v>
      </c>
      <c r="F749" s="70">
        <f t="shared" si="75"/>
        <v>0.4019700159378648</v>
      </c>
      <c r="G749" s="67">
        <f>E749/'Lookup Tables'!$C$48</f>
        <v>13.240119102037706</v>
      </c>
      <c r="H749" s="70">
        <f t="shared" si="72"/>
        <v>4.1593372627729705E-2</v>
      </c>
      <c r="I749" s="71">
        <f t="shared" si="76"/>
        <v>1.9065771506934295E-2</v>
      </c>
      <c r="L749" s="74"/>
      <c r="M749" s="74"/>
      <c r="N749" s="74"/>
      <c r="O749" s="74"/>
      <c r="P749" s="74"/>
      <c r="Q749" s="74"/>
      <c r="R749" s="74"/>
      <c r="S749" s="74"/>
      <c r="T749" s="74"/>
      <c r="U749" s="74"/>
      <c r="V749" s="74"/>
      <c r="W749" s="74"/>
      <c r="X749" s="74"/>
      <c r="Y749" s="74"/>
      <c r="Z749" s="74"/>
    </row>
    <row r="750" spans="1:26" x14ac:dyDescent="0.3">
      <c r="A750" s="66">
        <f t="shared" si="74"/>
        <v>2064.2999999999324</v>
      </c>
      <c r="B750" s="67">
        <f>LOOKUP(A750+0.01,AmountsB!$A$4:$A$103,AmountsB!$B$4:$B$103)*0.1*$A$2</f>
        <v>0</v>
      </c>
      <c r="C750" s="68">
        <f t="shared" si="73"/>
        <v>83655.233518999943</v>
      </c>
      <c r="D750" s="67">
        <f t="array" ref="D750">SUM($B$7:$B745*$F$1009*EXP(-$F$1009*($A750-$A$7:$A745)))*$F$1010</f>
        <v>3467665.396271483</v>
      </c>
      <c r="E750" s="67">
        <f t="shared" si="71"/>
        <v>6.6107979522792792</v>
      </c>
      <c r="F750" s="70">
        <f t="shared" si="75"/>
        <v>0.40140765166239784</v>
      </c>
      <c r="G750" s="67">
        <f>E750/'Lookup Tables'!$C$48</f>
        <v>13.221595904558558</v>
      </c>
      <c r="H750" s="70">
        <f t="shared" si="72"/>
        <v>4.1535182648540725E-2</v>
      </c>
      <c r="I750" s="71">
        <f t="shared" si="76"/>
        <v>1.9039098102564322E-2</v>
      </c>
      <c r="L750" s="74"/>
      <c r="M750" s="74"/>
      <c r="N750" s="74"/>
      <c r="O750" s="74"/>
      <c r="P750" s="74"/>
      <c r="Q750" s="74"/>
      <c r="R750" s="74"/>
      <c r="S750" s="74"/>
      <c r="T750" s="74"/>
      <c r="U750" s="74"/>
      <c r="V750" s="74"/>
      <c r="W750" s="74"/>
      <c r="X750" s="74"/>
      <c r="Y750" s="74"/>
      <c r="Z750" s="74"/>
    </row>
    <row r="751" spans="1:26" x14ac:dyDescent="0.3">
      <c r="A751" s="66">
        <f t="shared" si="74"/>
        <v>2064.3999999999323</v>
      </c>
      <c r="B751" s="67">
        <f>LOOKUP(A751+0.01,AmountsB!$A$4:$A$103,AmountsB!$B$4:$B$103)*0.1*$A$2</f>
        <v>0</v>
      </c>
      <c r="C751" s="68">
        <f t="shared" si="73"/>
        <v>83655.233518999943</v>
      </c>
      <c r="D751" s="67">
        <f t="array" ref="D751">SUM($B$7:$B746*$F$1009*EXP(-$F$1009*($A751-$A$7:$A746)))*$F$1010</f>
        <v>3462814.0614434709</v>
      </c>
      <c r="E751" s="67">
        <f t="shared" si="71"/>
        <v>6.6015493107058072</v>
      </c>
      <c r="F751" s="70">
        <f t="shared" si="75"/>
        <v>0.40084607414605661</v>
      </c>
      <c r="G751" s="67">
        <f>E751/'Lookup Tables'!$C$48</f>
        <v>13.203098621411614</v>
      </c>
      <c r="H751" s="70">
        <f t="shared" si="72"/>
        <v>4.1477074078323017E-2</v>
      </c>
      <c r="I751" s="71">
        <f t="shared" si="76"/>
        <v>1.9012462014832723E-2</v>
      </c>
      <c r="L751" s="74"/>
      <c r="M751" s="74"/>
      <c r="N751" s="74"/>
      <c r="O751" s="74"/>
      <c r="P751" s="74"/>
      <c r="Q751" s="74"/>
      <c r="R751" s="74"/>
      <c r="S751" s="74"/>
      <c r="T751" s="74"/>
      <c r="U751" s="74"/>
      <c r="V751" s="74"/>
      <c r="W751" s="74"/>
      <c r="X751" s="74"/>
      <c r="Y751" s="74"/>
      <c r="Z751" s="74"/>
    </row>
    <row r="752" spans="1:26" x14ac:dyDescent="0.3">
      <c r="A752" s="66">
        <f t="shared" si="74"/>
        <v>2064.4999999999322</v>
      </c>
      <c r="B752" s="67">
        <f>LOOKUP(A752+0.01,AmountsB!$A$4:$A$103,AmountsB!$B$4:$B$103)*0.1*$A$2</f>
        <v>0</v>
      </c>
      <c r="C752" s="68">
        <f t="shared" si="73"/>
        <v>83655.233518999943</v>
      </c>
      <c r="D752" s="67">
        <f t="array" ref="D752">SUM($B$7:$B747*$F$1009*EXP(-$F$1009*($A752-$A$7:$A747)))*$F$1010</f>
        <v>3457969.5137321278</v>
      </c>
      <c r="E752" s="67">
        <f t="shared" si="71"/>
        <v>6.5923136081710991</v>
      </c>
      <c r="F752" s="70">
        <f t="shared" si="75"/>
        <v>0.40028528228814919</v>
      </c>
      <c r="G752" s="67">
        <f>E752/'Lookup Tables'!$C$48</f>
        <v>13.184627216342198</v>
      </c>
      <c r="H752" s="70">
        <f t="shared" si="72"/>
        <v>4.1419046803183805E-2</v>
      </c>
      <c r="I752" s="71">
        <f t="shared" si="76"/>
        <v>1.8985863191532764E-2</v>
      </c>
      <c r="L752" s="74"/>
      <c r="M752" s="74"/>
      <c r="N752" s="74"/>
      <c r="O752" s="74"/>
      <c r="P752" s="74"/>
      <c r="Q752" s="74"/>
      <c r="R752" s="74"/>
      <c r="S752" s="74"/>
      <c r="T752" s="74"/>
      <c r="U752" s="74"/>
      <c r="V752" s="74"/>
      <c r="W752" s="74"/>
      <c r="X752" s="74"/>
      <c r="Y752" s="74"/>
      <c r="Z752" s="74"/>
    </row>
    <row r="753" spans="1:26" x14ac:dyDescent="0.3">
      <c r="A753" s="66">
        <f t="shared" si="74"/>
        <v>2064.5999999999322</v>
      </c>
      <c r="B753" s="67">
        <f>LOOKUP(A753+0.01,AmountsB!$A$4:$A$103,AmountsB!$B$4:$B$103)*0.1*$A$2</f>
        <v>0</v>
      </c>
      <c r="C753" s="68">
        <f t="shared" si="73"/>
        <v>83655.233518999943</v>
      </c>
      <c r="D753" s="67">
        <f t="array" ref="D753">SUM($B$7:$B748*$F$1009*EXP(-$F$1009*($A753-$A$7:$A748)))*$F$1010</f>
        <v>3453131.7436421388</v>
      </c>
      <c r="E753" s="67">
        <f t="shared" si="71"/>
        <v>6.5830908265731729</v>
      </c>
      <c r="F753" s="70">
        <f t="shared" si="75"/>
        <v>0.39972527498952304</v>
      </c>
      <c r="G753" s="67">
        <f>E753/'Lookup Tables'!$C$48</f>
        <v>13.166181653146346</v>
      </c>
      <c r="H753" s="70">
        <f t="shared" si="72"/>
        <v>4.136110070938958E-2</v>
      </c>
      <c r="I753" s="71">
        <f t="shared" si="76"/>
        <v>1.8959301580530736E-2</v>
      </c>
      <c r="L753" s="74"/>
      <c r="M753" s="74"/>
      <c r="N753" s="74"/>
      <c r="O753" s="74"/>
      <c r="P753" s="74"/>
      <c r="Q753" s="74"/>
      <c r="R753" s="74"/>
      <c r="S753" s="74"/>
      <c r="T753" s="74"/>
      <c r="U753" s="74"/>
      <c r="V753" s="74"/>
      <c r="W753" s="74"/>
      <c r="X753" s="74"/>
      <c r="Y753" s="74"/>
      <c r="Z753" s="74"/>
    </row>
    <row r="754" spans="1:26" x14ac:dyDescent="0.3">
      <c r="A754" s="66">
        <f t="shared" si="74"/>
        <v>2064.6999999999321</v>
      </c>
      <c r="B754" s="67">
        <f>LOOKUP(A754+0.01,AmountsB!$A$4:$A$103,AmountsB!$B$4:$B$103)*0.1*$A$2</f>
        <v>0</v>
      </c>
      <c r="C754" s="68">
        <f t="shared" si="73"/>
        <v>83655.233518999943</v>
      </c>
      <c r="D754" s="67">
        <f t="array" ref="D754">SUM($B$7:$B749*$F$1009*EXP(-$F$1009*($A754-$A$7:$A749)))*$F$1010</f>
        <v>3448300.7416914739</v>
      </c>
      <c r="E754" s="67">
        <f t="shared" si="71"/>
        <v>6.5738809478353764</v>
      </c>
      <c r="F754" s="70">
        <f t="shared" si="75"/>
        <v>0.39916605115256404</v>
      </c>
      <c r="G754" s="67">
        <f>E754/'Lookup Tables'!$C$48</f>
        <v>13.147761895670753</v>
      </c>
      <c r="H754" s="70">
        <f t="shared" si="72"/>
        <v>4.1303235683365996E-2</v>
      </c>
      <c r="I754" s="71">
        <f t="shared" si="76"/>
        <v>1.8932777129765883E-2</v>
      </c>
      <c r="L754" s="74"/>
      <c r="M754" s="74"/>
      <c r="N754" s="74"/>
      <c r="O754" s="74"/>
      <c r="P754" s="74"/>
      <c r="Q754" s="74"/>
      <c r="R754" s="74"/>
      <c r="S754" s="74"/>
      <c r="T754" s="74"/>
      <c r="U754" s="74"/>
      <c r="V754" s="74"/>
      <c r="W754" s="74"/>
      <c r="X754" s="74"/>
      <c r="Y754" s="74"/>
      <c r="Z754" s="74"/>
    </row>
    <row r="755" spans="1:26" x14ac:dyDescent="0.3">
      <c r="A755" s="66">
        <f t="shared" si="74"/>
        <v>2064.799999999932</v>
      </c>
      <c r="B755" s="67">
        <f>LOOKUP(A755+0.01,AmountsB!$A$4:$A$103,AmountsB!$B$4:$B$103)*0.1*$A$2</f>
        <v>0</v>
      </c>
      <c r="C755" s="68">
        <f t="shared" si="73"/>
        <v>83655.233518999943</v>
      </c>
      <c r="D755" s="67">
        <f t="array" ref="D755">SUM($B$7:$B750*$F$1009*EXP(-$F$1009*($A755-$A$7:$A750)))*$F$1010</f>
        <v>3443476.4984113667</v>
      </c>
      <c r="E755" s="67">
        <f t="shared" si="71"/>
        <v>6.5646839539063429</v>
      </c>
      <c r="F755" s="70">
        <f t="shared" si="75"/>
        <v>0.39860760968119313</v>
      </c>
      <c r="G755" s="67">
        <f>E755/'Lookup Tables'!$C$48</f>
        <v>13.129367907812686</v>
      </c>
      <c r="H755" s="70">
        <f t="shared" si="72"/>
        <v>4.1245451611697584E-2</v>
      </c>
      <c r="I755" s="71">
        <f t="shared" si="76"/>
        <v>1.8906289787250268E-2</v>
      </c>
      <c r="L755" s="74"/>
      <c r="M755" s="74"/>
      <c r="N755" s="74"/>
      <c r="O755" s="74"/>
      <c r="P755" s="74"/>
      <c r="Q755" s="74"/>
      <c r="R755" s="74"/>
      <c r="S755" s="74"/>
      <c r="T755" s="74"/>
      <c r="U755" s="74"/>
      <c r="V755" s="74"/>
      <c r="W755" s="74"/>
      <c r="X755" s="74"/>
      <c r="Y755" s="74"/>
      <c r="Z755" s="74"/>
    </row>
    <row r="756" spans="1:26" x14ac:dyDescent="0.3">
      <c r="A756" s="66">
        <f t="shared" si="74"/>
        <v>2064.8999999999319</v>
      </c>
      <c r="B756" s="67">
        <f>LOOKUP(A756+0.01,AmountsB!$A$4:$A$103,AmountsB!$B$4:$B$103)*0.1*$A$2</f>
        <v>0</v>
      </c>
      <c r="C756" s="68">
        <f t="shared" si="73"/>
        <v>83655.233518999943</v>
      </c>
      <c r="D756" s="67">
        <f t="array" ref="D756">SUM($B$7:$B751*$F$1009*EXP(-$F$1009*($A756-$A$7:$A751)))*$F$1010</f>
        <v>3438659.0043462985</v>
      </c>
      <c r="E756" s="67">
        <f t="shared" si="71"/>
        <v>6.5554998267599593</v>
      </c>
      <c r="F756" s="70">
        <f t="shared" si="75"/>
        <v>0.39804994948086475</v>
      </c>
      <c r="G756" s="67">
        <f>E756/'Lookup Tables'!$C$48</f>
        <v>13.110999653519919</v>
      </c>
      <c r="H756" s="70">
        <f t="shared" si="72"/>
        <v>4.1187748381127515E-2</v>
      </c>
      <c r="I756" s="71">
        <f t="shared" si="76"/>
        <v>1.8879839501068682E-2</v>
      </c>
      <c r="L756" s="74"/>
      <c r="M756" s="74"/>
      <c r="N756" s="74"/>
      <c r="O756" s="74"/>
      <c r="P756" s="74"/>
      <c r="Q756" s="74"/>
      <c r="R756" s="74"/>
      <c r="S756" s="74"/>
      <c r="T756" s="74"/>
      <c r="U756" s="74"/>
      <c r="V756" s="74"/>
      <c r="W756" s="74"/>
      <c r="X756" s="74"/>
      <c r="Y756" s="74"/>
      <c r="Z756" s="74"/>
    </row>
    <row r="757" spans="1:26" x14ac:dyDescent="0.3">
      <c r="A757" s="66">
        <f t="shared" si="74"/>
        <v>2064.9999999999318</v>
      </c>
      <c r="B757" s="67">
        <f>LOOKUP(A757+0.01,AmountsB!$A$4:$A$103,AmountsB!$B$4:$B$103)*0.1*$A$2</f>
        <v>0</v>
      </c>
      <c r="C757" s="68">
        <f t="shared" si="73"/>
        <v>83655.233518999943</v>
      </c>
      <c r="D757" s="67">
        <f t="array" ref="D757">SUM($B$7:$B752*$F$1009*EXP(-$F$1009*($A757-$A$7:$A752)))*$F$1010</f>
        <v>3433848.2500539781</v>
      </c>
      <c r="E757" s="67">
        <f t="shared" si="71"/>
        <v>6.5463285483953326</v>
      </c>
      <c r="F757" s="70">
        <f t="shared" si="75"/>
        <v>0.39749306945856455</v>
      </c>
      <c r="G757" s="67">
        <f>E757/'Lookup Tables'!$C$48</f>
        <v>13.092657096790665</v>
      </c>
      <c r="H757" s="70">
        <f t="shared" si="72"/>
        <v>4.1130125878557453E-2</v>
      </c>
      <c r="I757" s="71">
        <f t="shared" si="76"/>
        <v>1.8853426219378557E-2</v>
      </c>
      <c r="L757" s="74"/>
      <c r="M757" s="74"/>
      <c r="N757" s="74"/>
      <c r="O757" s="74"/>
      <c r="P757" s="74"/>
      <c r="Q757" s="74"/>
      <c r="R757" s="74"/>
      <c r="S757" s="74"/>
      <c r="T757" s="74"/>
      <c r="U757" s="74"/>
      <c r="V757" s="74"/>
      <c r="W757" s="74"/>
      <c r="X757" s="74"/>
      <c r="Y757" s="74"/>
      <c r="Z757" s="74"/>
    </row>
    <row r="758" spans="1:26" x14ac:dyDescent="0.3">
      <c r="A758" s="66">
        <f t="shared" si="74"/>
        <v>2065.0999999999317</v>
      </c>
      <c r="B758" s="67">
        <f>LOOKUP(A758+0.01,AmountsB!$A$4:$A$103,AmountsB!$B$4:$B$103)*0.1*$A$2</f>
        <v>0</v>
      </c>
      <c r="C758" s="68">
        <f t="shared" si="73"/>
        <v>83655.233518999943</v>
      </c>
      <c r="D758" s="67">
        <f t="array" ref="D758">SUM($B$7:$B753*$F$1009*EXP(-$F$1009*($A758-$A$7:$A753)))*$F$1010</f>
        <v>3429044.2261053282</v>
      </c>
      <c r="E758" s="67">
        <f t="shared" si="71"/>
        <v>6.5371701008367582</v>
      </c>
      <c r="F758" s="70">
        <f t="shared" si="75"/>
        <v>0.39693696852280791</v>
      </c>
      <c r="G758" s="67">
        <f>E758/'Lookup Tables'!$C$48</f>
        <v>13.074340201673516</v>
      </c>
      <c r="H758" s="70">
        <f t="shared" si="72"/>
        <v>4.1072583991047296E-2</v>
      </c>
      <c r="I758" s="71">
        <f t="shared" si="76"/>
        <v>1.8827049890409862E-2</v>
      </c>
      <c r="L758" s="74"/>
      <c r="M758" s="74"/>
      <c r="N758" s="74"/>
      <c r="O758" s="74"/>
      <c r="P758" s="74"/>
      <c r="Q758" s="74"/>
      <c r="R758" s="74"/>
      <c r="S758" s="74"/>
      <c r="T758" s="74"/>
      <c r="U758" s="74"/>
      <c r="V758" s="74"/>
      <c r="W758" s="74"/>
      <c r="X758" s="74"/>
      <c r="Y758" s="74"/>
      <c r="Z758" s="74"/>
    </row>
    <row r="759" spans="1:26" x14ac:dyDescent="0.3">
      <c r="A759" s="66">
        <f t="shared" si="74"/>
        <v>2065.1999999999316</v>
      </c>
      <c r="B759" s="67">
        <f>LOOKUP(A759+0.01,AmountsB!$A$4:$A$103,AmountsB!$B$4:$B$103)*0.1*$A$2</f>
        <v>0</v>
      </c>
      <c r="C759" s="68">
        <f t="shared" si="73"/>
        <v>83655.233518999943</v>
      </c>
      <c r="D759" s="67">
        <f t="array" ref="D759">SUM($B$7:$B754*$F$1009*EXP(-$F$1009*($A759-$A$7:$A754)))*$F$1010</f>
        <v>3424246.9230844602</v>
      </c>
      <c r="E759" s="67">
        <f t="shared" si="71"/>
        <v>6.5280244661336759</v>
      </c>
      <c r="F759" s="70">
        <f t="shared" si="75"/>
        <v>0.39638164558363681</v>
      </c>
      <c r="G759" s="67">
        <f>E759/'Lookup Tables'!$C$48</f>
        <v>13.056048932267352</v>
      </c>
      <c r="H759" s="70">
        <f t="shared" si="72"/>
        <v>4.1015122605814913E-2</v>
      </c>
      <c r="I759" s="71">
        <f t="shared" si="76"/>
        <v>1.8800710462464988E-2</v>
      </c>
      <c r="L759" s="74"/>
      <c r="M759" s="74"/>
      <c r="N759" s="74"/>
      <c r="O759" s="74"/>
      <c r="P759" s="74"/>
      <c r="Q759" s="74"/>
      <c r="R759" s="74"/>
      <c r="S759" s="74"/>
      <c r="T759" s="74"/>
      <c r="U759" s="74"/>
      <c r="V759" s="74"/>
      <c r="W759" s="74"/>
      <c r="X759" s="74"/>
      <c r="Y759" s="74"/>
      <c r="Z759" s="74"/>
    </row>
    <row r="760" spans="1:26" x14ac:dyDescent="0.3">
      <c r="A760" s="66">
        <f t="shared" si="74"/>
        <v>2065.2999999999315</v>
      </c>
      <c r="B760" s="67">
        <f>LOOKUP(A760+0.01,AmountsB!$A$4:$A$103,AmountsB!$B$4:$B$103)*0.1*$A$2</f>
        <v>0</v>
      </c>
      <c r="C760" s="68">
        <f t="shared" si="73"/>
        <v>83655.233518999943</v>
      </c>
      <c r="D760" s="67">
        <f t="array" ref="D760">SUM($B$7:$B755*$F$1009*EXP(-$F$1009*($A760-$A$7:$A755)))*$F$1010</f>
        <v>3419456.3315886566</v>
      </c>
      <c r="E760" s="67">
        <f t="shared" si="71"/>
        <v>6.5188916263606353</v>
      </c>
      <c r="F760" s="70">
        <f t="shared" si="75"/>
        <v>0.39582709955261774</v>
      </c>
      <c r="G760" s="67">
        <f>E760/'Lookup Tables'!$C$48</f>
        <v>13.037783252721271</v>
      </c>
      <c r="H760" s="70">
        <f t="shared" si="72"/>
        <v>4.0957741610235958E-2</v>
      </c>
      <c r="I760" s="71">
        <f t="shared" si="76"/>
        <v>1.8774407883918629E-2</v>
      </c>
      <c r="L760" s="74"/>
      <c r="M760" s="74"/>
      <c r="N760" s="74"/>
      <c r="O760" s="74"/>
      <c r="P760" s="74"/>
      <c r="Q760" s="74"/>
      <c r="R760" s="74"/>
      <c r="S760" s="74"/>
      <c r="T760" s="74"/>
      <c r="U760" s="74"/>
      <c r="V760" s="74"/>
      <c r="W760" s="74"/>
      <c r="X760" s="74"/>
      <c r="Y760" s="74"/>
      <c r="Z760" s="74"/>
    </row>
    <row r="761" spans="1:26" x14ac:dyDescent="0.3">
      <c r="A761" s="66">
        <f t="shared" si="74"/>
        <v>2065.3999999999314</v>
      </c>
      <c r="B761" s="67">
        <f>LOOKUP(A761+0.01,AmountsB!$A$4:$A$103,AmountsB!$B$4:$B$103)*0.1*$A$2</f>
        <v>0</v>
      </c>
      <c r="C761" s="68">
        <f t="shared" si="73"/>
        <v>83655.233518999943</v>
      </c>
      <c r="D761" s="67">
        <f t="array" ref="D761">SUM($B$7:$B756*$F$1009*EXP(-$F$1009*($A761-$A$7:$A756)))*$F$1010</f>
        <v>3414672.4422283578</v>
      </c>
      <c r="E761" s="67">
        <f t="shared" si="71"/>
        <v>6.5097715636172699</v>
      </c>
      <c r="F761" s="70">
        <f t="shared" si="75"/>
        <v>0.39527332934284065</v>
      </c>
      <c r="G761" s="67">
        <f>E761/'Lookup Tables'!$C$48</f>
        <v>13.01954312723454</v>
      </c>
      <c r="H761" s="70">
        <f t="shared" si="72"/>
        <v>4.0900440891843678E-2</v>
      </c>
      <c r="I761" s="71">
        <f t="shared" si="76"/>
        <v>1.8748142103217739E-2</v>
      </c>
      <c r="L761" s="74"/>
      <c r="M761" s="74"/>
      <c r="N761" s="74"/>
      <c r="O761" s="74"/>
      <c r="P761" s="74"/>
      <c r="Q761" s="74"/>
      <c r="R761" s="74"/>
      <c r="S761" s="74"/>
      <c r="T761" s="74"/>
      <c r="U761" s="74"/>
      <c r="V761" s="74"/>
      <c r="W761" s="74"/>
      <c r="X761" s="74"/>
      <c r="Y761" s="74"/>
      <c r="Z761" s="74"/>
    </row>
    <row r="762" spans="1:26" x14ac:dyDescent="0.3">
      <c r="A762" s="66">
        <f t="shared" si="74"/>
        <v>2065.4999999999313</v>
      </c>
      <c r="B762" s="67">
        <f>LOOKUP(A762+0.01,AmountsB!$A$4:$A$103,AmountsB!$B$4:$B$103)*0.1*$A$2</f>
        <v>0</v>
      </c>
      <c r="C762" s="68">
        <f t="shared" si="73"/>
        <v>83655.233518999943</v>
      </c>
      <c r="D762" s="67">
        <f t="array" ref="D762">SUM($B$7:$B757*$F$1009*EXP(-$F$1009*($A762-$A$7:$A757)))*$F$1010</f>
        <v>3409895.2456271383</v>
      </c>
      <c r="E762" s="67">
        <f t="shared" si="71"/>
        <v>6.5006642600282518</v>
      </c>
      <c r="F762" s="70">
        <f t="shared" si="75"/>
        <v>0.39472033386891547</v>
      </c>
      <c r="G762" s="67">
        <f>E762/'Lookup Tables'!$C$48</f>
        <v>13.001328520056504</v>
      </c>
      <c r="H762" s="70">
        <f t="shared" si="72"/>
        <v>4.0843220338328622E-2</v>
      </c>
      <c r="I762" s="71">
        <f t="shared" si="76"/>
        <v>1.8721913068881362E-2</v>
      </c>
      <c r="L762" s="74"/>
      <c r="M762" s="74"/>
      <c r="N762" s="74"/>
      <c r="O762" s="74"/>
      <c r="P762" s="74"/>
      <c r="Q762" s="74"/>
      <c r="R762" s="74"/>
      <c r="S762" s="74"/>
      <c r="T762" s="74"/>
      <c r="U762" s="74"/>
      <c r="V762" s="74"/>
      <c r="W762" s="74"/>
      <c r="X762" s="74"/>
      <c r="Y762" s="74"/>
      <c r="Z762" s="74"/>
    </row>
    <row r="763" spans="1:26" x14ac:dyDescent="0.3">
      <c r="A763" s="66">
        <f t="shared" si="74"/>
        <v>2065.5999999999312</v>
      </c>
      <c r="B763" s="67">
        <f>LOOKUP(A763+0.01,AmountsB!$A$4:$A$103,AmountsB!$B$4:$B$103)*0.1*$A$2</f>
        <v>0</v>
      </c>
      <c r="C763" s="68">
        <f t="shared" si="73"/>
        <v>83655.233518999943</v>
      </c>
      <c r="D763" s="67">
        <f t="array" ref="D763">SUM($B$7:$B758*$F$1009*EXP(-$F$1009*($A763-$A$7:$A758)))*$F$1010</f>
        <v>3405124.7324216929</v>
      </c>
      <c r="E763" s="67">
        <f t="shared" si="71"/>
        <v>6.491569697743266</v>
      </c>
      <c r="F763" s="70">
        <f t="shared" si="75"/>
        <v>0.39416811204697111</v>
      </c>
      <c r="G763" s="67">
        <f>E763/'Lookup Tables'!$C$48</f>
        <v>12.983139395486532</v>
      </c>
      <c r="H763" s="70">
        <f t="shared" si="72"/>
        <v>4.0786079837538521E-2</v>
      </c>
      <c r="I763" s="71">
        <f t="shared" si="76"/>
        <v>1.8695720729500605E-2</v>
      </c>
      <c r="L763" s="74"/>
      <c r="M763" s="74"/>
      <c r="N763" s="74"/>
      <c r="O763" s="74"/>
      <c r="P763" s="74"/>
      <c r="Q763" s="74"/>
      <c r="R763" s="74"/>
      <c r="S763" s="74"/>
      <c r="T763" s="74"/>
      <c r="U763" s="74"/>
      <c r="V763" s="74"/>
      <c r="W763" s="74"/>
      <c r="X763" s="74"/>
      <c r="Y763" s="74"/>
      <c r="Z763" s="74"/>
    </row>
    <row r="764" spans="1:26" x14ac:dyDescent="0.3">
      <c r="A764" s="66">
        <f t="shared" si="74"/>
        <v>2065.6999999999312</v>
      </c>
      <c r="B764" s="67">
        <f>LOOKUP(A764+0.01,AmountsB!$A$4:$A$103,AmountsB!$B$4:$B$103)*0.1*$A$2</f>
        <v>0</v>
      </c>
      <c r="C764" s="68">
        <f t="shared" si="73"/>
        <v>83655.233518999943</v>
      </c>
      <c r="D764" s="67">
        <f t="array" ref="D764">SUM($B$7:$B759*$F$1009*EXP(-$F$1009*($A764-$A$7:$A759)))*$F$1010</f>
        <v>3400360.8932618117</v>
      </c>
      <c r="E764" s="67">
        <f t="shared" si="71"/>
        <v>6.4824878589369641</v>
      </c>
      <c r="F764" s="70">
        <f t="shared" si="75"/>
        <v>0.39361666279465246</v>
      </c>
      <c r="G764" s="67">
        <f>E764/'Lookup Tables'!$C$48</f>
        <v>12.964975717873928</v>
      </c>
      <c r="H764" s="70">
        <f t="shared" si="72"/>
        <v>4.0729019277477949E-2</v>
      </c>
      <c r="I764" s="71">
        <f t="shared" si="76"/>
        <v>1.8669565033738459E-2</v>
      </c>
      <c r="L764" s="74"/>
      <c r="M764" s="74"/>
      <c r="N764" s="74"/>
      <c r="O764" s="74"/>
      <c r="P764" s="74"/>
      <c r="Q764" s="74"/>
      <c r="R764" s="74"/>
      <c r="S764" s="74"/>
      <c r="T764" s="74"/>
      <c r="U764" s="74"/>
      <c r="V764" s="74"/>
      <c r="W764" s="74"/>
      <c r="X764" s="74"/>
      <c r="Y764" s="74"/>
      <c r="Z764" s="74"/>
    </row>
    <row r="765" spans="1:26" x14ac:dyDescent="0.3">
      <c r="A765" s="66">
        <f t="shared" si="74"/>
        <v>2065.7999999999311</v>
      </c>
      <c r="B765" s="67">
        <f>LOOKUP(A765+0.01,AmountsB!$A$4:$A$103,AmountsB!$B$4:$B$103)*0.1*$A$2</f>
        <v>0</v>
      </c>
      <c r="C765" s="68">
        <f t="shared" si="73"/>
        <v>83655.233518999943</v>
      </c>
      <c r="D765" s="67">
        <f t="array" ref="D765">SUM($B$7:$B760*$F$1009*EXP(-$F$1009*($A765-$A$7:$A760)))*$F$1010</f>
        <v>3395603.7188103711</v>
      </c>
      <c r="E765" s="67">
        <f t="shared" si="71"/>
        <v>6.4734187258089424</v>
      </c>
      <c r="F765" s="70">
        <f t="shared" si="75"/>
        <v>0.39306598503111895</v>
      </c>
      <c r="G765" s="67">
        <f>E765/'Lookup Tables'!$C$48</f>
        <v>12.946837451617885</v>
      </c>
      <c r="H765" s="70">
        <f t="shared" si="72"/>
        <v>4.0672038546308208E-2</v>
      </c>
      <c r="I765" s="71">
        <f t="shared" si="76"/>
        <v>1.8643445930329756E-2</v>
      </c>
      <c r="L765" s="74"/>
      <c r="M765" s="74"/>
      <c r="N765" s="74"/>
      <c r="O765" s="74"/>
      <c r="P765" s="74"/>
      <c r="Q765" s="74"/>
      <c r="R765" s="74"/>
      <c r="S765" s="74"/>
      <c r="T765" s="74"/>
      <c r="U765" s="74"/>
      <c r="V765" s="74"/>
      <c r="W765" s="74"/>
      <c r="X765" s="74"/>
      <c r="Y765" s="74"/>
      <c r="Z765" s="74"/>
    </row>
    <row r="766" spans="1:26" x14ac:dyDescent="0.3">
      <c r="A766" s="66">
        <f t="shared" si="74"/>
        <v>2065.899999999931</v>
      </c>
      <c r="B766" s="67">
        <f>LOOKUP(A766+0.01,AmountsB!$A$4:$A$103,AmountsB!$B$4:$B$103)*0.1*$A$2</f>
        <v>0</v>
      </c>
      <c r="C766" s="68">
        <f t="shared" si="73"/>
        <v>83655.233518999943</v>
      </c>
      <c r="D766" s="67">
        <f t="array" ref="D766">SUM($B$7:$B761*$F$1009*EXP(-$F$1009*($A766-$A$7:$A761)))*$F$1010</f>
        <v>3390853.1997433053</v>
      </c>
      <c r="E766" s="67">
        <f t="shared" si="71"/>
        <v>6.4643622805836936</v>
      </c>
      <c r="F766" s="70">
        <f t="shared" si="75"/>
        <v>0.39251607767704189</v>
      </c>
      <c r="G766" s="67">
        <f>E766/'Lookup Tables'!$C$48</f>
        <v>12.928724561167387</v>
      </c>
      <c r="H766" s="70">
        <f t="shared" si="72"/>
        <v>4.0615137532347023E-2</v>
      </c>
      <c r="I766" s="71">
        <f t="shared" si="76"/>
        <v>1.8617363368081039E-2</v>
      </c>
      <c r="L766" s="74"/>
      <c r="M766" s="74"/>
      <c r="N766" s="74"/>
      <c r="O766" s="74"/>
      <c r="P766" s="74"/>
      <c r="Q766" s="74"/>
      <c r="R766" s="74"/>
      <c r="S766" s="74"/>
      <c r="T766" s="74"/>
      <c r="U766" s="74"/>
      <c r="V766" s="74"/>
      <c r="W766" s="74"/>
      <c r="X766" s="74"/>
      <c r="Y766" s="74"/>
      <c r="Z766" s="74"/>
    </row>
    <row r="767" spans="1:26" x14ac:dyDescent="0.3">
      <c r="A767" s="66">
        <f t="shared" si="74"/>
        <v>2065.9999999999309</v>
      </c>
      <c r="B767" s="67">
        <f>LOOKUP(A767+0.01,AmountsB!$A$4:$A$103,AmountsB!$B$4:$B$103)*0.1*$A$2</f>
        <v>0</v>
      </c>
      <c r="C767" s="68">
        <f t="shared" si="73"/>
        <v>83655.233518999943</v>
      </c>
      <c r="D767" s="67">
        <f t="array" ref="D767">SUM($B$7:$B762*$F$1009*EXP(-$F$1009*($A767-$A$7:$A762)))*$F$1010</f>
        <v>3386109.3267495972</v>
      </c>
      <c r="E767" s="67">
        <f t="shared" si="71"/>
        <v>6.4553185055105864</v>
      </c>
      <c r="F767" s="70">
        <f t="shared" si="75"/>
        <v>0.39196693965460278</v>
      </c>
      <c r="G767" s="67">
        <f>E767/'Lookup Tables'!$C$48</f>
        <v>12.910637011021173</v>
      </c>
      <c r="H767" s="70">
        <f t="shared" si="72"/>
        <v>4.0558316124068412E-2</v>
      </c>
      <c r="I767" s="71">
        <f t="shared" si="76"/>
        <v>1.8591317295870487E-2</v>
      </c>
      <c r="L767" s="74"/>
      <c r="M767" s="74"/>
      <c r="N767" s="74"/>
      <c r="O767" s="74"/>
      <c r="P767" s="74"/>
      <c r="Q767" s="74"/>
      <c r="R767" s="74"/>
      <c r="S767" s="74"/>
      <c r="T767" s="74"/>
      <c r="U767" s="74"/>
      <c r="V767" s="74"/>
      <c r="W767" s="74"/>
      <c r="X767" s="74"/>
      <c r="Y767" s="74"/>
      <c r="Z767" s="74"/>
    </row>
    <row r="768" spans="1:26" x14ac:dyDescent="0.3">
      <c r="A768" s="66">
        <f t="shared" si="74"/>
        <v>2066.0999999999308</v>
      </c>
      <c r="B768" s="67">
        <f>LOOKUP(A768+0.01,AmountsB!$A$4:$A$103,AmountsB!$B$4:$B$103)*0.1*$A$2</f>
        <v>0</v>
      </c>
      <c r="C768" s="68">
        <f t="shared" si="73"/>
        <v>83655.233518999943</v>
      </c>
      <c r="D768" s="67">
        <f t="array" ref="D768">SUM($B$7:$B763*$F$1009*EXP(-$F$1009*($A768-$A$7:$A763)))*$F$1010</f>
        <v>3381372.0905312542</v>
      </c>
      <c r="E768" s="67">
        <f t="shared" si="71"/>
        <v>6.446287382863817</v>
      </c>
      <c r="F768" s="70">
        <f t="shared" si="75"/>
        <v>0.39141856988749102</v>
      </c>
      <c r="G768" s="67">
        <f>E768/'Lookup Tables'!$C$48</f>
        <v>12.892574765727634</v>
      </c>
      <c r="H768" s="70">
        <f t="shared" si="72"/>
        <v>4.0501574210102399E-2</v>
      </c>
      <c r="I768" s="71">
        <f t="shared" si="76"/>
        <v>1.8565307662647794E-2</v>
      </c>
      <c r="L768" s="74"/>
      <c r="M768" s="74"/>
      <c r="N768" s="74"/>
      <c r="O768" s="74"/>
      <c r="P768" s="74"/>
      <c r="Q768" s="74"/>
      <c r="R768" s="74"/>
      <c r="S768" s="74"/>
      <c r="T768" s="74"/>
      <c r="U768" s="74"/>
      <c r="V768" s="74"/>
      <c r="W768" s="74"/>
      <c r="X768" s="74"/>
      <c r="Y768" s="74"/>
      <c r="Z768" s="74"/>
    </row>
    <row r="769" spans="1:26" x14ac:dyDescent="0.3">
      <c r="A769" s="66">
        <f t="shared" si="74"/>
        <v>2066.1999999999307</v>
      </c>
      <c r="B769" s="67">
        <f>LOOKUP(A769+0.01,AmountsB!$A$4:$A$103,AmountsB!$B$4:$B$103)*0.1*$A$2</f>
        <v>0</v>
      </c>
      <c r="C769" s="68">
        <f t="shared" si="73"/>
        <v>83655.233518999943</v>
      </c>
      <c r="D769" s="67">
        <f t="array" ref="D769">SUM($B$7:$B764*$F$1009*EXP(-$F$1009*($A769-$A$7:$A764)))*$F$1010</f>
        <v>3376641.4818032901</v>
      </c>
      <c r="E769" s="67">
        <f t="shared" si="71"/>
        <v>6.4372688949423793</v>
      </c>
      <c r="F769" s="70">
        <f t="shared" si="75"/>
        <v>0.39087096730090132</v>
      </c>
      <c r="G769" s="67">
        <f>E769/'Lookup Tables'!$C$48</f>
        <v>12.874537789884759</v>
      </c>
      <c r="H769" s="70">
        <f t="shared" si="72"/>
        <v>4.0444911679234787E-2</v>
      </c>
      <c r="I769" s="71">
        <f t="shared" si="76"/>
        <v>1.8539334417434054E-2</v>
      </c>
      <c r="L769" s="74"/>
      <c r="M769" s="74"/>
      <c r="N769" s="74"/>
      <c r="O769" s="74"/>
      <c r="P769" s="74"/>
      <c r="Q769" s="74"/>
      <c r="R769" s="74"/>
      <c r="S769" s="74"/>
      <c r="T769" s="74"/>
      <c r="U769" s="74"/>
      <c r="V769" s="74"/>
      <c r="W769" s="74"/>
      <c r="X769" s="74"/>
      <c r="Y769" s="74"/>
      <c r="Z769" s="74"/>
    </row>
    <row r="770" spans="1:26" x14ac:dyDescent="0.3">
      <c r="A770" s="66">
        <f t="shared" si="74"/>
        <v>2066.2999999999306</v>
      </c>
      <c r="B770" s="67">
        <f>LOOKUP(A770+0.01,AmountsB!$A$4:$A$103,AmountsB!$B$4:$B$103)*0.1*$A$2</f>
        <v>0</v>
      </c>
      <c r="C770" s="68">
        <f t="shared" si="73"/>
        <v>83655.233518999943</v>
      </c>
      <c r="D770" s="67">
        <f t="array" ref="D770">SUM($B$7:$B765*$F$1009*EXP(-$F$1009*($A770-$A$7:$A765)))*$F$1010</f>
        <v>3371917.4912937111</v>
      </c>
      <c r="E770" s="67">
        <f t="shared" si="71"/>
        <v>6.4282630240700378</v>
      </c>
      <c r="F770" s="70">
        <f t="shared" si="75"/>
        <v>0.39032413082153267</v>
      </c>
      <c r="G770" s="67">
        <f>E770/'Lookup Tables'!$C$48</f>
        <v>12.856526048140076</v>
      </c>
      <c r="H770" s="70">
        <f t="shared" si="72"/>
        <v>4.0388328420407023E-2</v>
      </c>
      <c r="I770" s="71">
        <f t="shared" si="76"/>
        <v>1.8513397509321707E-2</v>
      </c>
      <c r="L770" s="74"/>
      <c r="M770" s="74"/>
      <c r="N770" s="74"/>
      <c r="O770" s="74"/>
      <c r="P770" s="74"/>
      <c r="Q770" s="74"/>
      <c r="R770" s="74"/>
      <c r="S770" s="74"/>
      <c r="T770" s="74"/>
      <c r="U770" s="74"/>
      <c r="V770" s="74"/>
      <c r="W770" s="74"/>
      <c r="X770" s="74"/>
      <c r="Y770" s="74"/>
      <c r="Z770" s="74"/>
    </row>
    <row r="771" spans="1:26" x14ac:dyDescent="0.3">
      <c r="A771" s="66">
        <f t="shared" si="74"/>
        <v>2066.3999999999305</v>
      </c>
      <c r="B771" s="67">
        <f>LOOKUP(A771+0.01,AmountsB!$A$4:$A$103,AmountsB!$B$4:$B$103)*0.1*$A$2</f>
        <v>0</v>
      </c>
      <c r="C771" s="68">
        <f t="shared" si="73"/>
        <v>83655.233518999943</v>
      </c>
      <c r="D771" s="67">
        <f t="array" ref="D771">SUM($B$7:$B766*$F$1009*EXP(-$F$1009*($A771-$A$7:$A766)))*$F$1010</f>
        <v>3367200.1097434955</v>
      </c>
      <c r="E771" s="67">
        <f t="shared" si="71"/>
        <v>6.419269752595282</v>
      </c>
      <c r="F771" s="70">
        <f t="shared" si="75"/>
        <v>0.38977805937758553</v>
      </c>
      <c r="G771" s="67">
        <f>E771/'Lookup Tables'!$C$48</f>
        <v>12.838539505190564</v>
      </c>
      <c r="H771" s="70">
        <f t="shared" si="72"/>
        <v>4.0331824322715898E-2</v>
      </c>
      <c r="I771" s="71">
        <f t="shared" si="76"/>
        <v>1.8487496887474412E-2</v>
      </c>
      <c r="L771" s="74"/>
      <c r="M771" s="74"/>
      <c r="N771" s="74"/>
      <c r="O771" s="74"/>
      <c r="P771" s="74"/>
      <c r="Q771" s="74"/>
      <c r="R771" s="74"/>
      <c r="S771" s="74"/>
      <c r="T771" s="74"/>
      <c r="U771" s="74"/>
      <c r="V771" s="74"/>
      <c r="W771" s="74"/>
      <c r="X771" s="74"/>
      <c r="Y771" s="74"/>
      <c r="Z771" s="74"/>
    </row>
    <row r="772" spans="1:26" x14ac:dyDescent="0.3">
      <c r="A772" s="66">
        <f t="shared" si="74"/>
        <v>2066.4999999999304</v>
      </c>
      <c r="B772" s="67">
        <f>LOOKUP(A772+0.01,AmountsB!$A$4:$A$103,AmountsB!$B$4:$B$103)*0.1*$A$2</f>
        <v>0</v>
      </c>
      <c r="C772" s="68">
        <f t="shared" si="73"/>
        <v>83655.233518999943</v>
      </c>
      <c r="D772" s="67">
        <f t="array" ref="D772">SUM($B$7:$B767*$F$1009*EXP(-$F$1009*($A772-$A$7:$A767)))*$F$1010</f>
        <v>3362489.3279065732</v>
      </c>
      <c r="E772" s="67">
        <f t="shared" si="71"/>
        <v>6.4102890628912972</v>
      </c>
      <c r="F772" s="70">
        <f t="shared" si="75"/>
        <v>0.38923275189875955</v>
      </c>
      <c r="G772" s="67">
        <f>E772/'Lookup Tables'!$C$48</f>
        <v>12.820578125782594</v>
      </c>
      <c r="H772" s="70">
        <f t="shared" si="72"/>
        <v>4.0275399275413355E-2</v>
      </c>
      <c r="I772" s="71">
        <f t="shared" si="76"/>
        <v>1.8461632501126937E-2</v>
      </c>
      <c r="L772" s="74"/>
      <c r="M772" s="74"/>
      <c r="N772" s="74"/>
      <c r="O772" s="74"/>
      <c r="P772" s="74"/>
      <c r="Q772" s="74"/>
      <c r="R772" s="74"/>
      <c r="S772" s="74"/>
      <c r="T772" s="74"/>
      <c r="U772" s="74"/>
      <c r="V772" s="74"/>
      <c r="W772" s="74"/>
      <c r="X772" s="74"/>
      <c r="Y772" s="74"/>
      <c r="Z772" s="74"/>
    </row>
    <row r="773" spans="1:26" x14ac:dyDescent="0.3">
      <c r="A773" s="66">
        <f t="shared" si="74"/>
        <v>2066.5999999999303</v>
      </c>
      <c r="B773" s="67">
        <f>LOOKUP(A773+0.01,AmountsB!$A$4:$A$103,AmountsB!$B$4:$B$103)*0.1*$A$2</f>
        <v>0</v>
      </c>
      <c r="C773" s="68">
        <f t="shared" si="73"/>
        <v>83655.233518999943</v>
      </c>
      <c r="D773" s="67">
        <f t="array" ref="D773">SUM($B$7:$B768*$F$1009*EXP(-$F$1009*($A773-$A$7:$A768)))*$F$1010</f>
        <v>3357785.1365498095</v>
      </c>
      <c r="E773" s="67">
        <f t="shared" si="71"/>
        <v>6.4013209373559254</v>
      </c>
      <c r="F773" s="70">
        <f t="shared" si="75"/>
        <v>0.38868820731625181</v>
      </c>
      <c r="G773" s="67">
        <f>E773/'Lookup Tables'!$C$48</f>
        <v>12.802641874711851</v>
      </c>
      <c r="H773" s="70">
        <f t="shared" si="72"/>
        <v>4.0219053167906284E-2</v>
      </c>
      <c r="I773" s="71">
        <f t="shared" si="76"/>
        <v>1.8435804299585065E-2</v>
      </c>
      <c r="L773" s="74"/>
      <c r="M773" s="74"/>
      <c r="N773" s="74"/>
      <c r="O773" s="74"/>
      <c r="P773" s="74"/>
      <c r="Q773" s="74"/>
      <c r="R773" s="74"/>
      <c r="S773" s="74"/>
      <c r="T773" s="74"/>
      <c r="U773" s="74"/>
      <c r="V773" s="74"/>
      <c r="W773" s="74"/>
      <c r="X773" s="74"/>
      <c r="Y773" s="74"/>
      <c r="Z773" s="74"/>
    </row>
    <row r="774" spans="1:26" x14ac:dyDescent="0.3">
      <c r="A774" s="66">
        <f t="shared" si="74"/>
        <v>2066.6999999999302</v>
      </c>
      <c r="B774" s="67">
        <f>LOOKUP(A774+0.01,AmountsB!$A$4:$A$103,AmountsB!$B$4:$B$103)*0.1*$A$2</f>
        <v>0</v>
      </c>
      <c r="C774" s="68">
        <f t="shared" si="73"/>
        <v>83655.233518999943</v>
      </c>
      <c r="D774" s="67">
        <f t="array" ref="D774">SUM($B$7:$B769*$F$1009*EXP(-$F$1009*($A774-$A$7:$A769)))*$F$1010</f>
        <v>3353087.5264529884</v>
      </c>
      <c r="E774" s="67">
        <f t="shared" si="71"/>
        <v>6.3923653584116416</v>
      </c>
      <c r="F774" s="70">
        <f t="shared" si="75"/>
        <v>0.38814442456275489</v>
      </c>
      <c r="G774" s="67">
        <f>E774/'Lookup Tables'!$C$48</f>
        <v>12.784730716823283</v>
      </c>
      <c r="H774" s="70">
        <f t="shared" si="72"/>
        <v>4.0162785889756289E-2</v>
      </c>
      <c r="I774" s="71">
        <f t="shared" si="76"/>
        <v>1.8410012232225527E-2</v>
      </c>
      <c r="L774" s="74"/>
      <c r="M774" s="74"/>
      <c r="N774" s="74"/>
      <c r="O774" s="74"/>
      <c r="P774" s="74"/>
      <c r="Q774" s="74"/>
      <c r="R774" s="74"/>
      <c r="S774" s="74"/>
      <c r="T774" s="74"/>
      <c r="U774" s="74"/>
      <c r="V774" s="74"/>
      <c r="W774" s="74"/>
      <c r="X774" s="74"/>
      <c r="Y774" s="74"/>
      <c r="Z774" s="74"/>
    </row>
    <row r="775" spans="1:26" x14ac:dyDescent="0.3">
      <c r="A775" s="66">
        <f t="shared" si="74"/>
        <v>2066.7999999999302</v>
      </c>
      <c r="B775" s="67">
        <f>LOOKUP(A775+0.01,AmountsB!$A$4:$A$103,AmountsB!$B$4:$B$103)*0.1*$A$2</f>
        <v>0</v>
      </c>
      <c r="C775" s="68">
        <f t="shared" si="73"/>
        <v>83655.233518999943</v>
      </c>
      <c r="D775" s="67">
        <f t="array" ref="D775">SUM($B$7:$B770*$F$1009*EXP(-$F$1009*($A775-$A$7:$A770)))*$F$1010</f>
        <v>3348396.4884087923</v>
      </c>
      <c r="E775" s="67">
        <f t="shared" ref="E775:E838" si="77">D775/(365*24*60)*1.00201</f>
        <v>6.3834223085055068</v>
      </c>
      <c r="F775" s="70">
        <f t="shared" si="75"/>
        <v>0.3876014025724544</v>
      </c>
      <c r="G775" s="67">
        <f>E775/'Lookup Tables'!$C$48</f>
        <v>12.766844617011014</v>
      </c>
      <c r="H775" s="70">
        <f t="shared" ref="H775:H838" si="78">G775*60*24*365/(C775*2000)</f>
        <v>4.0106597330679512E-2</v>
      </c>
      <c r="I775" s="71">
        <f t="shared" si="76"/>
        <v>1.8384256248495861E-2</v>
      </c>
      <c r="L775" s="74"/>
      <c r="M775" s="74"/>
      <c r="N775" s="74"/>
      <c r="O775" s="74"/>
      <c r="P775" s="74"/>
      <c r="Q775" s="74"/>
      <c r="R775" s="74"/>
      <c r="S775" s="74"/>
      <c r="T775" s="74"/>
      <c r="U775" s="74"/>
      <c r="V775" s="74"/>
      <c r="W775" s="74"/>
      <c r="X775" s="74"/>
      <c r="Y775" s="74"/>
      <c r="Z775" s="74"/>
    </row>
    <row r="776" spans="1:26" x14ac:dyDescent="0.3">
      <c r="A776" s="66">
        <f t="shared" si="74"/>
        <v>2066.8999999999301</v>
      </c>
      <c r="B776" s="67">
        <f>LOOKUP(A776+0.01,AmountsB!$A$4:$A$103,AmountsB!$B$4:$B$103)*0.1*$A$2</f>
        <v>0</v>
      </c>
      <c r="C776" s="68">
        <f t="shared" si="73"/>
        <v>83655.233518999943</v>
      </c>
      <c r="D776" s="67">
        <f t="array" ref="D776">SUM($B$7:$B771*$F$1009*EXP(-$F$1009*($A776-$A$7:$A771)))*$F$1010</f>
        <v>3343712.0132227843</v>
      </c>
      <c r="E776" s="67">
        <f t="shared" si="77"/>
        <v>6.3744917701091373</v>
      </c>
      <c r="F776" s="70">
        <f t="shared" si="75"/>
        <v>0.38705914028102684</v>
      </c>
      <c r="G776" s="67">
        <f>E776/'Lookup Tables'!$C$48</f>
        <v>12.748983540218275</v>
      </c>
      <c r="H776" s="70">
        <f t="shared" si="78"/>
        <v>4.0050487380546319E-2</v>
      </c>
      <c r="I776" s="71">
        <f t="shared" si="76"/>
        <v>1.8358536297914316E-2</v>
      </c>
      <c r="L776" s="74"/>
      <c r="M776" s="74"/>
      <c r="N776" s="74"/>
      <c r="O776" s="74"/>
      <c r="P776" s="74"/>
      <c r="Q776" s="74"/>
      <c r="R776" s="74"/>
      <c r="S776" s="74"/>
      <c r="T776" s="74"/>
      <c r="U776" s="74"/>
      <c r="V776" s="74"/>
      <c r="W776" s="74"/>
      <c r="X776" s="74"/>
      <c r="Y776" s="74"/>
      <c r="Z776" s="74"/>
    </row>
    <row r="777" spans="1:26" x14ac:dyDescent="0.3">
      <c r="A777" s="66">
        <f t="shared" si="74"/>
        <v>2066.99999999993</v>
      </c>
      <c r="B777" s="67">
        <f>LOOKUP(A777+0.01,AmountsB!$A$4:$A$103,AmountsB!$B$4:$B$103)*0.1*$A$2</f>
        <v>0</v>
      </c>
      <c r="C777" s="68">
        <f t="shared" ref="C777:C840" si="79">C776+B777</f>
        <v>83655.233518999943</v>
      </c>
      <c r="D777" s="67">
        <f t="array" ref="D777">SUM($B$7:$B772*$F$1009*EXP(-$F$1009*($A777-$A$7:$A772)))*$F$1010</f>
        <v>3339034.0917133936</v>
      </c>
      <c r="E777" s="67">
        <f t="shared" si="77"/>
        <v>6.3655737257186793</v>
      </c>
      <c r="F777" s="70">
        <f t="shared" si="75"/>
        <v>0.38651763662563821</v>
      </c>
      <c r="G777" s="67">
        <f>E777/'Lookup Tables'!$C$48</f>
        <v>12.731147451437359</v>
      </c>
      <c r="H777" s="70">
        <f t="shared" si="78"/>
        <v>3.9994455929381216E-2</v>
      </c>
      <c r="I777" s="71">
        <f t="shared" si="76"/>
        <v>1.8332852330069795E-2</v>
      </c>
      <c r="L777" s="74"/>
      <c r="M777" s="74"/>
      <c r="N777" s="74"/>
      <c r="O777" s="74"/>
      <c r="P777" s="74"/>
      <c r="Q777" s="74"/>
      <c r="R777" s="74"/>
      <c r="S777" s="74"/>
      <c r="T777" s="74"/>
      <c r="U777" s="74"/>
      <c r="V777" s="74"/>
      <c r="W777" s="74"/>
      <c r="X777" s="74"/>
      <c r="Y777" s="74"/>
      <c r="Z777" s="74"/>
    </row>
    <row r="778" spans="1:26" x14ac:dyDescent="0.3">
      <c r="A778" s="66">
        <f t="shared" si="74"/>
        <v>2067.0999999999299</v>
      </c>
      <c r="B778" s="67">
        <f>LOOKUP(A778+0.01,AmountsB!$A$4:$A$103,AmountsB!$B$4:$B$103)*0.1*$A$2</f>
        <v>0</v>
      </c>
      <c r="C778" s="68">
        <f t="shared" si="79"/>
        <v>83655.233518999943</v>
      </c>
      <c r="D778" s="67">
        <f t="array" ref="D778">SUM($B$7:$B773*$F$1009*EXP(-$F$1009*($A778-$A$7:$A773)))*$F$1010</f>
        <v>3334362.7147118915</v>
      </c>
      <c r="E778" s="67">
        <f t="shared" si="77"/>
        <v>6.3566681578547621</v>
      </c>
      <c r="F778" s="70">
        <f t="shared" si="75"/>
        <v>0.38597689054494116</v>
      </c>
      <c r="G778" s="67">
        <f>E778/'Lookup Tables'!$C$48</f>
        <v>12.713336315709524</v>
      </c>
      <c r="H778" s="70">
        <f t="shared" si="78"/>
        <v>3.9938502867362551E-2</v>
      </c>
      <c r="I778" s="71">
        <f t="shared" si="76"/>
        <v>1.8307204294621716E-2</v>
      </c>
      <c r="L778" s="74"/>
      <c r="M778" s="74"/>
      <c r="N778" s="74"/>
      <c r="O778" s="74"/>
      <c r="P778" s="74"/>
      <c r="Q778" s="74"/>
      <c r="R778" s="74"/>
      <c r="S778" s="74"/>
      <c r="T778" s="74"/>
      <c r="U778" s="74"/>
      <c r="V778" s="74"/>
      <c r="W778" s="74"/>
      <c r="X778" s="74"/>
      <c r="Y778" s="74"/>
      <c r="Z778" s="74"/>
    </row>
    <row r="779" spans="1:26" x14ac:dyDescent="0.3">
      <c r="A779" s="66">
        <f t="shared" si="74"/>
        <v>2067.1999999999298</v>
      </c>
      <c r="B779" s="67">
        <f>LOOKUP(A779+0.01,AmountsB!$A$4:$A$103,AmountsB!$B$4:$B$103)*0.1*$A$2</f>
        <v>0</v>
      </c>
      <c r="C779" s="68">
        <f t="shared" si="79"/>
        <v>83655.233518999943</v>
      </c>
      <c r="D779" s="67">
        <f t="array" ref="D779">SUM($B$7:$B774*$F$1009*EXP(-$F$1009*($A779-$A$7:$A774)))*$F$1010</f>
        <v>3329697.8730623769</v>
      </c>
      <c r="E779" s="67">
        <f t="shared" si="77"/>
        <v>6.3477750490624665</v>
      </c>
      <c r="F779" s="70">
        <f t="shared" si="75"/>
        <v>0.38543690097907296</v>
      </c>
      <c r="G779" s="67">
        <f>E779/'Lookup Tables'!$C$48</f>
        <v>12.695550098124933</v>
      </c>
      <c r="H779" s="70">
        <f t="shared" si="78"/>
        <v>3.9882628084822271E-2</v>
      </c>
      <c r="I779" s="71">
        <f t="shared" si="76"/>
        <v>1.8281592141299905E-2</v>
      </c>
      <c r="L779" s="74"/>
      <c r="M779" s="74"/>
      <c r="N779" s="74"/>
      <c r="O779" s="74"/>
      <c r="P779" s="74"/>
      <c r="Q779" s="74"/>
      <c r="R779" s="74"/>
      <c r="S779" s="74"/>
      <c r="T779" s="74"/>
      <c r="U779" s="74"/>
      <c r="V779" s="74"/>
      <c r="W779" s="74"/>
      <c r="X779" s="74"/>
      <c r="Y779" s="74"/>
      <c r="Z779" s="74"/>
    </row>
    <row r="780" spans="1:26" x14ac:dyDescent="0.3">
      <c r="A780" s="66">
        <f t="shared" si="74"/>
        <v>2067.2999999999297</v>
      </c>
      <c r="B780" s="67">
        <f>LOOKUP(A780+0.01,AmountsB!$A$4:$A$103,AmountsB!$B$4:$B$103)*0.1*$A$2</f>
        <v>0</v>
      </c>
      <c r="C780" s="68">
        <f t="shared" si="79"/>
        <v>83655.233518999943</v>
      </c>
      <c r="D780" s="67">
        <f t="array" ref="D780">SUM($B$7:$B775*$F$1009*EXP(-$F$1009*($A780-$A$7:$A775)))*$F$1010</f>
        <v>3325039.5576217622</v>
      </c>
      <c r="E780" s="67">
        <f t="shared" si="77"/>
        <v>6.3388943819113051</v>
      </c>
      <c r="F780" s="70">
        <f t="shared" si="75"/>
        <v>0.38489766686965443</v>
      </c>
      <c r="G780" s="67">
        <f>E780/'Lookup Tables'!$C$48</f>
        <v>12.67778876382261</v>
      </c>
      <c r="H780" s="70">
        <f t="shared" si="78"/>
        <v>3.9826831472245833E-2</v>
      </c>
      <c r="I780" s="71">
        <f t="shared" si="76"/>
        <v>1.8256015819904558E-2</v>
      </c>
      <c r="L780" s="74"/>
      <c r="M780" s="74"/>
      <c r="N780" s="74"/>
      <c r="O780" s="74"/>
      <c r="P780" s="74"/>
      <c r="Q780" s="74"/>
      <c r="R780" s="74"/>
      <c r="S780" s="74"/>
      <c r="T780" s="74"/>
      <c r="U780" s="74"/>
      <c r="V780" s="74"/>
      <c r="W780" s="74"/>
      <c r="X780" s="74"/>
      <c r="Y780" s="74"/>
      <c r="Z780" s="74"/>
    </row>
    <row r="781" spans="1:26" x14ac:dyDescent="0.3">
      <c r="A781" s="66">
        <f t="shared" si="74"/>
        <v>2067.3999999999296</v>
      </c>
      <c r="B781" s="67">
        <f>LOOKUP(A781+0.01,AmountsB!$A$4:$A$103,AmountsB!$B$4:$B$103)*0.1*$A$2</f>
        <v>0</v>
      </c>
      <c r="C781" s="68">
        <f t="shared" si="79"/>
        <v>83655.233518999943</v>
      </c>
      <c r="D781" s="67">
        <f t="array" ref="D781">SUM($B$7:$B776*$F$1009*EXP(-$F$1009*($A781-$A$7:$A776)))*$F$1010</f>
        <v>3320387.7592597432</v>
      </c>
      <c r="E781" s="67">
        <f t="shared" si="77"/>
        <v>6.3300261389951595</v>
      </c>
      <c r="F781" s="70">
        <f t="shared" si="75"/>
        <v>0.38435918715978606</v>
      </c>
      <c r="G781" s="67">
        <f>E781/'Lookup Tables'!$C$48</f>
        <v>12.660052277990319</v>
      </c>
      <c r="H781" s="70">
        <f t="shared" si="78"/>
        <v>3.9771112920271821E-2</v>
      </c>
      <c r="I781" s="71">
        <f t="shared" si="76"/>
        <v>1.8230475280306059E-2</v>
      </c>
      <c r="L781" s="74"/>
      <c r="M781" s="74"/>
      <c r="N781" s="74"/>
      <c r="O781" s="74"/>
      <c r="P781" s="74"/>
      <c r="Q781" s="74"/>
      <c r="R781" s="74"/>
      <c r="S781" s="74"/>
      <c r="T781" s="74"/>
      <c r="U781" s="74"/>
      <c r="V781" s="74"/>
      <c r="W781" s="74"/>
      <c r="X781" s="74"/>
      <c r="Y781" s="74"/>
      <c r="Z781" s="74"/>
    </row>
    <row r="782" spans="1:26" x14ac:dyDescent="0.3">
      <c r="A782" s="66">
        <f t="shared" si="74"/>
        <v>2067.4999999999295</v>
      </c>
      <c r="B782" s="67">
        <f>LOOKUP(A782+0.01,AmountsB!$A$4:$A$103,AmountsB!$B$4:$B$103)*0.1*$A$2</f>
        <v>0</v>
      </c>
      <c r="C782" s="68">
        <f t="shared" si="79"/>
        <v>83655.233518999943</v>
      </c>
      <c r="D782" s="67">
        <f t="array" ref="D782">SUM($B$7:$B777*$F$1009*EXP(-$F$1009*($A782-$A$7:$A777)))*$F$1010</f>
        <v>3315742.4688587943</v>
      </c>
      <c r="E782" s="67">
        <f t="shared" si="77"/>
        <v>6.321170302932269</v>
      </c>
      <c r="F782" s="70">
        <f t="shared" si="75"/>
        <v>0.38382146079404733</v>
      </c>
      <c r="G782" s="67">
        <f>E782/'Lookup Tables'!$C$48</f>
        <v>12.642340605864538</v>
      </c>
      <c r="H782" s="70">
        <f t="shared" si="78"/>
        <v>3.9715472319691851E-2</v>
      </c>
      <c r="I782" s="71">
        <f t="shared" si="76"/>
        <v>1.8204970472444931E-2</v>
      </c>
      <c r="L782" s="74"/>
      <c r="M782" s="74"/>
      <c r="N782" s="74"/>
      <c r="O782" s="74"/>
      <c r="P782" s="74"/>
      <c r="Q782" s="74"/>
      <c r="R782" s="74"/>
      <c r="S782" s="74"/>
      <c r="T782" s="74"/>
      <c r="U782" s="74"/>
      <c r="V782" s="74"/>
      <c r="W782" s="74"/>
      <c r="X782" s="74"/>
      <c r="Y782" s="74"/>
      <c r="Z782" s="74"/>
    </row>
    <row r="783" spans="1:26" x14ac:dyDescent="0.3">
      <c r="A783" s="66">
        <f t="shared" si="74"/>
        <v>2067.5999999999294</v>
      </c>
      <c r="B783" s="67">
        <f>LOOKUP(A783+0.01,AmountsB!$A$4:$A$103,AmountsB!$B$4:$B$103)*0.1*$A$2</f>
        <v>0</v>
      </c>
      <c r="C783" s="68">
        <f t="shared" si="79"/>
        <v>83655.233518999943</v>
      </c>
      <c r="D783" s="67">
        <f t="array" ref="D783">SUM($B$7:$B778*$F$1009*EXP(-$F$1009*($A783-$A$7:$A778)))*$F$1010</f>
        <v>3311103.6773141469</v>
      </c>
      <c r="E783" s="67">
        <f t="shared" si="77"/>
        <v>6.3123268563651989</v>
      </c>
      <c r="F783" s="70">
        <f t="shared" si="75"/>
        <v>0.38328448671849485</v>
      </c>
      <c r="G783" s="67">
        <f>E783/'Lookup Tables'!$C$48</f>
        <v>12.624653712730398</v>
      </c>
      <c r="H783" s="70">
        <f t="shared" si="78"/>
        <v>3.9659909561450359E-2</v>
      </c>
      <c r="I783" s="71">
        <f t="shared" si="76"/>
        <v>1.8179501346331773E-2</v>
      </c>
      <c r="L783" s="74"/>
      <c r="M783" s="74"/>
      <c r="N783" s="74"/>
      <c r="O783" s="74"/>
      <c r="P783" s="74"/>
      <c r="Q783" s="74"/>
      <c r="R783" s="74"/>
      <c r="S783" s="74"/>
      <c r="T783" s="74"/>
      <c r="U783" s="74"/>
      <c r="V783" s="74"/>
      <c r="W783" s="74"/>
      <c r="X783" s="74"/>
      <c r="Y783" s="74"/>
      <c r="Z783" s="74"/>
    </row>
    <row r="784" spans="1:26" x14ac:dyDescent="0.3">
      <c r="A784" s="66">
        <f t="shared" si="74"/>
        <v>2067.6999999999293</v>
      </c>
      <c r="B784" s="67">
        <f>LOOKUP(A784+0.01,AmountsB!$A$4:$A$103,AmountsB!$B$4:$B$103)*0.1*$A$2</f>
        <v>0</v>
      </c>
      <c r="C784" s="68">
        <f t="shared" si="79"/>
        <v>83655.233518999943</v>
      </c>
      <c r="D784" s="67">
        <f t="array" ref="D784">SUM($B$7:$B779*$F$1009*EXP(-$F$1009*($A784-$A$7:$A779)))*$F$1010</f>
        <v>3306471.375533768</v>
      </c>
      <c r="E784" s="67">
        <f t="shared" si="77"/>
        <v>6.3034957819607902</v>
      </c>
      <c r="F784" s="70">
        <f t="shared" si="75"/>
        <v>0.38274826388065919</v>
      </c>
      <c r="G784" s="67">
        <f>E784/'Lookup Tables'!$C$48</f>
        <v>12.60699156392158</v>
      </c>
      <c r="H784" s="70">
        <f t="shared" si="78"/>
        <v>3.9604424536644312E-2</v>
      </c>
      <c r="I784" s="71">
        <f t="shared" si="76"/>
        <v>1.8154067852047075E-2</v>
      </c>
      <c r="L784" s="74"/>
      <c r="M784" s="74"/>
      <c r="N784" s="74"/>
      <c r="O784" s="74"/>
      <c r="P784" s="74"/>
      <c r="Q784" s="74"/>
      <c r="R784" s="74"/>
      <c r="S784" s="74"/>
      <c r="T784" s="74"/>
      <c r="U784" s="74"/>
      <c r="V784" s="74"/>
      <c r="W784" s="74"/>
      <c r="X784" s="74"/>
      <c r="Y784" s="74"/>
      <c r="Z784" s="74"/>
    </row>
    <row r="785" spans="1:26" x14ac:dyDescent="0.3">
      <c r="A785" s="66">
        <f t="shared" si="74"/>
        <v>2067.7999999999292</v>
      </c>
      <c r="B785" s="67">
        <f>LOOKUP(A785+0.01,AmountsB!$A$4:$A$103,AmountsB!$B$4:$B$103)*0.1*$A$2</f>
        <v>0</v>
      </c>
      <c r="C785" s="68">
        <f t="shared" si="79"/>
        <v>83655.233518999943</v>
      </c>
      <c r="D785" s="67">
        <f t="array" ref="D785">SUM($B$7:$B780*$F$1009*EXP(-$F$1009*($A785-$A$7:$A780)))*$F$1010</f>
        <v>3301845.5544383428</v>
      </c>
      <c r="E785" s="67">
        <f t="shared" si="77"/>
        <v>6.2946770624101296</v>
      </c>
      <c r="F785" s="70">
        <f t="shared" si="75"/>
        <v>0.38221279122954305</v>
      </c>
      <c r="G785" s="67">
        <f>E785/'Lookup Tables'!$C$48</f>
        <v>12.589354124820259</v>
      </c>
      <c r="H785" s="70">
        <f t="shared" si="78"/>
        <v>3.9549017136523021E-2</v>
      </c>
      <c r="I785" s="71">
        <f t="shared" si="76"/>
        <v>1.8128669939741174E-2</v>
      </c>
      <c r="L785" s="74"/>
      <c r="M785" s="74"/>
      <c r="N785" s="74"/>
      <c r="O785" s="74"/>
      <c r="P785" s="74"/>
      <c r="Q785" s="74"/>
      <c r="R785" s="74"/>
      <c r="S785" s="74"/>
      <c r="T785" s="74"/>
      <c r="U785" s="74"/>
      <c r="V785" s="74"/>
      <c r="W785" s="74"/>
      <c r="X785" s="74"/>
      <c r="Y785" s="74"/>
      <c r="Z785" s="74"/>
    </row>
    <row r="786" spans="1:26" x14ac:dyDescent="0.3">
      <c r="A786" s="66">
        <f t="shared" si="74"/>
        <v>2067.8999999999292</v>
      </c>
      <c r="B786" s="67">
        <f>LOOKUP(A786+0.01,AmountsB!$A$4:$A$103,AmountsB!$B$4:$B$103)*0.1*$A$2</f>
        <v>0</v>
      </c>
      <c r="C786" s="68">
        <f t="shared" si="79"/>
        <v>83655.233518999943</v>
      </c>
      <c r="D786" s="67">
        <f t="array" ref="D786">SUM($B$7:$B781*$F$1009*EXP(-$F$1009*($A786-$A$7:$A781)))*$F$1010</f>
        <v>3297226.2049612603</v>
      </c>
      <c r="E786" s="67">
        <f t="shared" si="77"/>
        <v>6.2858706804285251</v>
      </c>
      <c r="F786" s="70">
        <f t="shared" si="75"/>
        <v>0.38167806771562002</v>
      </c>
      <c r="G786" s="67">
        <f>E786/'Lookup Tables'!$C$48</f>
        <v>12.57174136085705</v>
      </c>
      <c r="H786" s="70">
        <f t="shared" si="78"/>
        <v>3.9493687252487968E-2</v>
      </c>
      <c r="I786" s="71">
        <f t="shared" si="76"/>
        <v>1.8103307559634151E-2</v>
      </c>
      <c r="L786" s="74"/>
      <c r="M786" s="74"/>
      <c r="N786" s="74"/>
      <c r="O786" s="74"/>
      <c r="P786" s="74"/>
      <c r="Q786" s="74"/>
      <c r="R786" s="74"/>
      <c r="S786" s="74"/>
      <c r="T786" s="74"/>
      <c r="U786" s="74"/>
      <c r="V786" s="74"/>
      <c r="W786" s="74"/>
      <c r="X786" s="74"/>
      <c r="Y786" s="74"/>
      <c r="Z786" s="74"/>
    </row>
    <row r="787" spans="1:26" x14ac:dyDescent="0.3">
      <c r="A787" s="66">
        <f t="shared" ref="A787:A850" si="80">A786+0.1</f>
        <v>2067.9999999999291</v>
      </c>
      <c r="B787" s="67">
        <f>LOOKUP(A787+0.01,AmountsB!$A$4:$A$103,AmountsB!$B$4:$B$103)*0.1*$A$2</f>
        <v>0</v>
      </c>
      <c r="C787" s="68">
        <f t="shared" si="79"/>
        <v>83655.233518999943</v>
      </c>
      <c r="D787" s="67">
        <f t="array" ref="D787">SUM($B$7:$B782*$F$1009*EXP(-$F$1009*($A787-$A$7:$A782)))*$F$1010</f>
        <v>3292613.3180485973</v>
      </c>
      <c r="E787" s="67">
        <f t="shared" si="77"/>
        <v>6.2770766187554701</v>
      </c>
      <c r="F787" s="70">
        <f t="shared" ref="F787:F850" si="81">E787*60*1012/1000000</f>
        <v>0.38114409229083213</v>
      </c>
      <c r="G787" s="67">
        <f>E787/'Lookup Tables'!$C$48</f>
        <v>12.55415323751094</v>
      </c>
      <c r="H787" s="70">
        <f t="shared" si="78"/>
        <v>3.9438434776092601E-2</v>
      </c>
      <c r="I787" s="71">
        <f t="shared" ref="I787:I850" si="82">G787*60*24/1000000</f>
        <v>1.8077980662015755E-2</v>
      </c>
      <c r="L787" s="74"/>
      <c r="M787" s="74"/>
      <c r="N787" s="74"/>
      <c r="O787" s="74"/>
      <c r="P787" s="74"/>
      <c r="Q787" s="74"/>
      <c r="R787" s="74"/>
      <c r="S787" s="74"/>
      <c r="T787" s="74"/>
      <c r="U787" s="74"/>
      <c r="V787" s="74"/>
      <c r="W787" s="74"/>
      <c r="X787" s="74"/>
      <c r="Y787" s="74"/>
      <c r="Z787" s="74"/>
    </row>
    <row r="788" spans="1:26" x14ac:dyDescent="0.3">
      <c r="A788" s="66">
        <f t="shared" si="80"/>
        <v>2068.099999999929</v>
      </c>
      <c r="B788" s="67">
        <f>LOOKUP(A788+0.01,AmountsB!$A$4:$A$103,AmountsB!$B$4:$B$103)*0.1*$A$2</f>
        <v>0</v>
      </c>
      <c r="C788" s="68">
        <f t="shared" si="79"/>
        <v>83655.233518999943</v>
      </c>
      <c r="D788" s="67">
        <f t="array" ref="D788">SUM($B$7:$B783*$F$1009*EXP(-$F$1009*($A788-$A$7:$A783)))*$F$1010</f>
        <v>3288006.8846590896</v>
      </c>
      <c r="E788" s="67">
        <f t="shared" si="77"/>
        <v>6.2682948601545938</v>
      </c>
      <c r="F788" s="70">
        <f t="shared" si="81"/>
        <v>0.38061086390858689</v>
      </c>
      <c r="G788" s="67">
        <f>E788/'Lookup Tables'!$C$48</f>
        <v>12.536589720309188</v>
      </c>
      <c r="H788" s="70">
        <f t="shared" si="78"/>
        <v>3.9383259599041993E-2</v>
      </c>
      <c r="I788" s="71">
        <f t="shared" si="82"/>
        <v>1.8052689197245227E-2</v>
      </c>
      <c r="L788" s="74"/>
      <c r="M788" s="74"/>
      <c r="N788" s="74"/>
      <c r="O788" s="74"/>
      <c r="P788" s="74"/>
      <c r="Q788" s="74"/>
      <c r="R788" s="74"/>
      <c r="S788" s="74"/>
      <c r="T788" s="74"/>
      <c r="U788" s="74"/>
      <c r="V788" s="74"/>
      <c r="W788" s="74"/>
      <c r="X788" s="74"/>
      <c r="Y788" s="74"/>
      <c r="Z788" s="74"/>
    </row>
    <row r="789" spans="1:26" x14ac:dyDescent="0.3">
      <c r="A789" s="66">
        <f t="shared" si="80"/>
        <v>2068.1999999999289</v>
      </c>
      <c r="B789" s="67">
        <f>LOOKUP(A789+0.01,AmountsB!$A$4:$A$103,AmountsB!$B$4:$B$103)*0.1*$A$2</f>
        <v>0</v>
      </c>
      <c r="C789" s="68">
        <f t="shared" si="79"/>
        <v>83655.233518999943</v>
      </c>
      <c r="D789" s="67">
        <f t="array" ref="D789">SUM($B$7:$B784*$F$1009*EXP(-$F$1009*($A789-$A$7:$A784)))*$F$1010</f>
        <v>3283406.8957641288</v>
      </c>
      <c r="E789" s="67">
        <f t="shared" si="77"/>
        <v>6.2595253874136505</v>
      </c>
      <c r="F789" s="70">
        <f t="shared" si="81"/>
        <v>0.38007838152375689</v>
      </c>
      <c r="G789" s="67">
        <f>E789/'Lookup Tables'!$C$48</f>
        <v>12.519050774827301</v>
      </c>
      <c r="H789" s="70">
        <f t="shared" si="78"/>
        <v>3.9328161613192816E-2</v>
      </c>
      <c r="I789" s="71">
        <f t="shared" si="82"/>
        <v>1.8027433115751314E-2</v>
      </c>
      <c r="L789" s="74"/>
      <c r="M789" s="74"/>
      <c r="N789" s="74"/>
      <c r="O789" s="74"/>
      <c r="P789" s="74"/>
      <c r="Q789" s="74"/>
      <c r="R789" s="74"/>
      <c r="S789" s="74"/>
      <c r="T789" s="74"/>
      <c r="U789" s="74"/>
      <c r="V789" s="74"/>
      <c r="W789" s="74"/>
      <c r="X789" s="74"/>
      <c r="Y789" s="74"/>
      <c r="Z789" s="74"/>
    </row>
    <row r="790" spans="1:26" x14ac:dyDescent="0.3">
      <c r="A790" s="66">
        <f t="shared" si="80"/>
        <v>2068.2999999999288</v>
      </c>
      <c r="B790" s="67">
        <f>LOOKUP(A790+0.01,AmountsB!$A$4:$A$103,AmountsB!$B$4:$B$103)*0.1*$A$2</f>
        <v>0</v>
      </c>
      <c r="C790" s="68">
        <f t="shared" si="79"/>
        <v>83655.233518999943</v>
      </c>
      <c r="D790" s="67">
        <f t="array" ref="D790">SUM($B$7:$B785*$F$1009*EXP(-$F$1009*($A790-$A$7:$A785)))*$F$1010</f>
        <v>3278813.342347736</v>
      </c>
      <c r="E790" s="67">
        <f t="shared" si="77"/>
        <v>6.2507681833444728</v>
      </c>
      <c r="F790" s="70">
        <f t="shared" si="81"/>
        <v>0.37954664409267636</v>
      </c>
      <c r="G790" s="67">
        <f>E790/'Lookup Tables'!$C$48</f>
        <v>12.501536366688946</v>
      </c>
      <c r="H790" s="70">
        <f t="shared" si="78"/>
        <v>3.9273140710553003E-2</v>
      </c>
      <c r="I790" s="71">
        <f t="shared" si="82"/>
        <v>1.8002212368032081E-2</v>
      </c>
      <c r="L790" s="74"/>
      <c r="M790" s="74"/>
      <c r="N790" s="74"/>
      <c r="O790" s="74"/>
      <c r="P790" s="74"/>
      <c r="Q790" s="74"/>
      <c r="R790" s="74"/>
      <c r="S790" s="74"/>
      <c r="T790" s="74"/>
      <c r="U790" s="74"/>
      <c r="V790" s="74"/>
      <c r="W790" s="74"/>
      <c r="X790" s="74"/>
      <c r="Y790" s="74"/>
      <c r="Z790" s="74"/>
    </row>
    <row r="791" spans="1:26" x14ac:dyDescent="0.3">
      <c r="A791" s="66">
        <f t="shared" si="80"/>
        <v>2068.3999999999287</v>
      </c>
      <c r="B791" s="67">
        <f>LOOKUP(A791+0.01,AmountsB!$A$4:$A$103,AmountsB!$B$4:$B$103)*0.1*$A$2</f>
        <v>0</v>
      </c>
      <c r="C791" s="68">
        <f t="shared" si="79"/>
        <v>83655.233518999943</v>
      </c>
      <c r="D791" s="67">
        <f t="array" ref="D791">SUM($B$7:$B786*$F$1009*EXP(-$F$1009*($A791-$A$7:$A786)))*$F$1010</f>
        <v>3274226.2154065422</v>
      </c>
      <c r="E791" s="67">
        <f t="shared" si="77"/>
        <v>6.2420232307829329</v>
      </c>
      <c r="F791" s="70">
        <f t="shared" si="81"/>
        <v>0.37901565057313968</v>
      </c>
      <c r="G791" s="67">
        <f>E791/'Lookup Tables'!$C$48</f>
        <v>12.484046461565866</v>
      </c>
      <c r="H791" s="70">
        <f t="shared" si="78"/>
        <v>3.9218196783281534E-2</v>
      </c>
      <c r="I791" s="71">
        <f t="shared" si="82"/>
        <v>1.7977026904654844E-2</v>
      </c>
      <c r="L791" s="74"/>
      <c r="M791" s="74"/>
      <c r="N791" s="74"/>
      <c r="O791" s="74"/>
      <c r="P791" s="74"/>
      <c r="Q791" s="74"/>
      <c r="R791" s="74"/>
      <c r="S791" s="74"/>
      <c r="T791" s="74"/>
      <c r="U791" s="74"/>
      <c r="V791" s="74"/>
      <c r="W791" s="74"/>
      <c r="X791" s="74"/>
      <c r="Y791" s="74"/>
      <c r="Z791" s="74"/>
    </row>
    <row r="792" spans="1:26" x14ac:dyDescent="0.3">
      <c r="A792" s="66">
        <f t="shared" si="80"/>
        <v>2068.4999999999286</v>
      </c>
      <c r="B792" s="67">
        <f>LOOKUP(A792+0.01,AmountsB!$A$4:$A$103,AmountsB!$B$4:$B$103)*0.1*$A$2</f>
        <v>0</v>
      </c>
      <c r="C792" s="68">
        <f t="shared" si="79"/>
        <v>83655.233518999943</v>
      </c>
      <c r="D792" s="67">
        <f t="array" ref="D792">SUM($B$7:$B787*$F$1009*EXP(-$F$1009*($A792-$A$7:$A787)))*$F$1010</f>
        <v>3269645.5059497799</v>
      </c>
      <c r="E792" s="67">
        <f t="shared" si="77"/>
        <v>6.2332905125889253</v>
      </c>
      <c r="F792" s="70">
        <f t="shared" si="81"/>
        <v>0.37848539992439956</v>
      </c>
      <c r="G792" s="67">
        <f>E792/'Lookup Tables'!$C$48</f>
        <v>12.466581025177851</v>
      </c>
      <c r="H792" s="70">
        <f t="shared" si="78"/>
        <v>3.9163329723688335E-2</v>
      </c>
      <c r="I792" s="71">
        <f t="shared" si="82"/>
        <v>1.7951876676256105E-2</v>
      </c>
      <c r="L792" s="74"/>
      <c r="M792" s="74"/>
      <c r="N792" s="74"/>
      <c r="O792" s="74"/>
      <c r="P792" s="74"/>
      <c r="Q792" s="74"/>
      <c r="R792" s="74"/>
      <c r="S792" s="74"/>
      <c r="T792" s="74"/>
      <c r="U792" s="74"/>
      <c r="V792" s="74"/>
      <c r="W792" s="74"/>
      <c r="X792" s="74"/>
      <c r="Y792" s="74"/>
      <c r="Z792" s="74"/>
    </row>
    <row r="793" spans="1:26" x14ac:dyDescent="0.3">
      <c r="A793" s="66">
        <f t="shared" si="80"/>
        <v>2068.5999999999285</v>
      </c>
      <c r="B793" s="67">
        <f>LOOKUP(A793+0.01,AmountsB!$A$4:$A$103,AmountsB!$B$4:$B$103)*0.1*$A$2</f>
        <v>0</v>
      </c>
      <c r="C793" s="68">
        <f t="shared" si="79"/>
        <v>83655.233518999943</v>
      </c>
      <c r="D793" s="67">
        <f t="array" ref="D793">SUM($B$7:$B788*$F$1009*EXP(-$F$1009*($A793-$A$7:$A788)))*$F$1010</f>
        <v>3265071.2049992546</v>
      </c>
      <c r="E793" s="67">
        <f t="shared" si="77"/>
        <v>6.224570011646315</v>
      </c>
      <c r="F793" s="70">
        <f t="shared" si="81"/>
        <v>0.37795589110716421</v>
      </c>
      <c r="G793" s="67">
        <f>E793/'Lookup Tables'!$C$48</f>
        <v>12.44914002329263</v>
      </c>
      <c r="H793" s="70">
        <f t="shared" si="78"/>
        <v>3.9108539424233896E-2</v>
      </c>
      <c r="I793" s="71">
        <f t="shared" si="82"/>
        <v>1.7926761633541385E-2</v>
      </c>
      <c r="L793" s="74"/>
      <c r="M793" s="74"/>
      <c r="N793" s="74"/>
      <c r="O793" s="74"/>
      <c r="P793" s="74"/>
      <c r="Q793" s="74"/>
      <c r="R793" s="74"/>
      <c r="S793" s="74"/>
      <c r="T793" s="74"/>
      <c r="U793" s="74"/>
      <c r="V793" s="74"/>
      <c r="W793" s="74"/>
      <c r="X793" s="74"/>
      <c r="Y793" s="74"/>
      <c r="Z793" s="74"/>
    </row>
    <row r="794" spans="1:26" x14ac:dyDescent="0.3">
      <c r="A794" s="66">
        <f t="shared" si="80"/>
        <v>2068.6999999999284</v>
      </c>
      <c r="B794" s="67">
        <f>LOOKUP(A794+0.01,AmountsB!$A$4:$A$103,AmountsB!$B$4:$B$103)*0.1*$A$2</f>
        <v>0</v>
      </c>
      <c r="C794" s="68">
        <f t="shared" si="79"/>
        <v>83655.233518999943</v>
      </c>
      <c r="D794" s="67">
        <f t="array" ref="D794">SUM($B$7:$B789*$F$1009*EXP(-$F$1009*($A794-$A$7:$A789)))*$F$1010</f>
        <v>3260503.3035893375</v>
      </c>
      <c r="E794" s="67">
        <f t="shared" si="77"/>
        <v>6.2158617108629235</v>
      </c>
      <c r="F794" s="70">
        <f t="shared" si="81"/>
        <v>0.37742712308359672</v>
      </c>
      <c r="G794" s="67">
        <f>E794/'Lookup Tables'!$C$48</f>
        <v>12.431723421725847</v>
      </c>
      <c r="H794" s="70">
        <f t="shared" si="78"/>
        <v>3.9053825777529291E-2</v>
      </c>
      <c r="I794" s="71">
        <f t="shared" si="82"/>
        <v>1.7901681727285221E-2</v>
      </c>
      <c r="L794" s="74"/>
      <c r="M794" s="74"/>
      <c r="N794" s="74"/>
      <c r="O794" s="74"/>
      <c r="P794" s="74"/>
      <c r="Q794" s="74"/>
      <c r="R794" s="74"/>
      <c r="S794" s="74"/>
      <c r="T794" s="74"/>
      <c r="U794" s="74"/>
      <c r="V794" s="74"/>
      <c r="W794" s="74"/>
      <c r="X794" s="74"/>
      <c r="Y794" s="74"/>
      <c r="Z794" s="74"/>
    </row>
    <row r="795" spans="1:26" x14ac:dyDescent="0.3">
      <c r="A795" s="66">
        <f t="shared" si="80"/>
        <v>2068.7999999999283</v>
      </c>
      <c r="B795" s="67">
        <f>LOOKUP(A795+0.01,AmountsB!$A$4:$A$103,AmountsB!$B$4:$B$103)*0.1*$A$2</f>
        <v>0</v>
      </c>
      <c r="C795" s="68">
        <f t="shared" si="79"/>
        <v>83655.233518999943</v>
      </c>
      <c r="D795" s="67">
        <f t="array" ref="D795">SUM($B$7:$B790*$F$1009*EXP(-$F$1009*($A795-$A$7:$A790)))*$F$1010</f>
        <v>3255941.7927669398</v>
      </c>
      <c r="E795" s="67">
        <f t="shared" si="77"/>
        <v>6.2071655931704752</v>
      </c>
      <c r="F795" s="70">
        <f t="shared" si="81"/>
        <v>0.37689909481731126</v>
      </c>
      <c r="G795" s="67">
        <f>E795/'Lookup Tables'!$C$48</f>
        <v>12.41433118634095</v>
      </c>
      <c r="H795" s="70">
        <f t="shared" si="78"/>
        <v>3.8999188676335707E-2</v>
      </c>
      <c r="I795" s="71">
        <f t="shared" si="82"/>
        <v>1.7876636908330971E-2</v>
      </c>
      <c r="L795" s="74"/>
      <c r="M795" s="74"/>
      <c r="N795" s="74"/>
      <c r="O795" s="74"/>
      <c r="P795" s="74"/>
      <c r="Q795" s="74"/>
      <c r="R795" s="74"/>
      <c r="S795" s="74"/>
      <c r="T795" s="74"/>
      <c r="U795" s="74"/>
      <c r="V795" s="74"/>
      <c r="W795" s="74"/>
      <c r="X795" s="74"/>
      <c r="Y795" s="74"/>
      <c r="Z795" s="74"/>
    </row>
    <row r="796" spans="1:26" x14ac:dyDescent="0.3">
      <c r="A796" s="66">
        <f t="shared" si="80"/>
        <v>2068.8999999999282</v>
      </c>
      <c r="B796" s="67">
        <f>LOOKUP(A796+0.01,AmountsB!$A$4:$A$103,AmountsB!$B$4:$B$103)*0.1*$A$2</f>
        <v>0</v>
      </c>
      <c r="C796" s="68">
        <f t="shared" si="79"/>
        <v>83655.233518999943</v>
      </c>
      <c r="D796" s="67">
        <f t="array" ref="D796">SUM($B$7:$B791*$F$1009*EXP(-$F$1009*($A796-$A$7:$A791)))*$F$1010</f>
        <v>3251386.6635914971</v>
      </c>
      <c r="E796" s="67">
        <f t="shared" si="77"/>
        <v>6.198481641524574</v>
      </c>
      <c r="F796" s="70">
        <f t="shared" si="81"/>
        <v>0.37637180527337211</v>
      </c>
      <c r="G796" s="67">
        <f>E796/'Lookup Tables'!$C$48</f>
        <v>12.396963283049148</v>
      </c>
      <c r="H796" s="70">
        <f t="shared" si="78"/>
        <v>3.8944628013564381E-2</v>
      </c>
      <c r="I796" s="71">
        <f t="shared" si="82"/>
        <v>1.785162712759077E-2</v>
      </c>
      <c r="L796" s="74"/>
      <c r="M796" s="74"/>
      <c r="N796" s="74"/>
      <c r="O796" s="74"/>
      <c r="P796" s="74"/>
      <c r="Q796" s="74"/>
      <c r="R796" s="74"/>
      <c r="S796" s="74"/>
      <c r="T796" s="74"/>
      <c r="U796" s="74"/>
      <c r="V796" s="74"/>
      <c r="W796" s="74"/>
      <c r="X796" s="74"/>
      <c r="Y796" s="74"/>
      <c r="Z796" s="74"/>
    </row>
    <row r="797" spans="1:26" x14ac:dyDescent="0.3">
      <c r="A797" s="66">
        <f t="shared" si="80"/>
        <v>2068.9999999999281</v>
      </c>
      <c r="B797" s="67">
        <f>LOOKUP(A797+0.01,AmountsB!$A$4:$A$103,AmountsB!$B$4:$B$103)*0.1*$A$2</f>
        <v>0</v>
      </c>
      <c r="C797" s="68">
        <f t="shared" si="79"/>
        <v>83655.233518999943</v>
      </c>
      <c r="D797" s="67">
        <f t="array" ref="D797">SUM($B$7:$B792*$F$1009*EXP(-$F$1009*($A797-$A$7:$A792)))*$F$1010</f>
        <v>3246837.9071349553</v>
      </c>
      <c r="E797" s="67">
        <f t="shared" si="77"/>
        <v>6.1898098389046741</v>
      </c>
      <c r="F797" s="70">
        <f t="shared" si="81"/>
        <v>0.37584525341829178</v>
      </c>
      <c r="G797" s="67">
        <f>E797/'Lookup Tables'!$C$48</f>
        <v>12.379619677809348</v>
      </c>
      <c r="H797" s="70">
        <f t="shared" si="78"/>
        <v>3.8890143682276439E-2</v>
      </c>
      <c r="I797" s="71">
        <f t="shared" si="82"/>
        <v>1.7826652336045461E-2</v>
      </c>
      <c r="L797" s="74"/>
      <c r="M797" s="74"/>
      <c r="N797" s="74"/>
      <c r="O797" s="74"/>
      <c r="P797" s="74"/>
      <c r="Q797" s="74"/>
      <c r="R797" s="74"/>
      <c r="S797" s="74"/>
      <c r="T797" s="74"/>
      <c r="U797" s="74"/>
      <c r="V797" s="74"/>
      <c r="W797" s="74"/>
      <c r="X797" s="74"/>
      <c r="Y797" s="74"/>
      <c r="Z797" s="74"/>
    </row>
    <row r="798" spans="1:26" x14ac:dyDescent="0.3">
      <c r="A798" s="66">
        <f t="shared" si="80"/>
        <v>2069.0999999999281</v>
      </c>
      <c r="B798" s="67">
        <f>LOOKUP(A798+0.01,AmountsB!$A$4:$A$103,AmountsB!$B$4:$B$103)*0.1*$A$2</f>
        <v>0</v>
      </c>
      <c r="C798" s="68">
        <f t="shared" si="79"/>
        <v>83655.233518999943</v>
      </c>
      <c r="D798" s="67">
        <f t="array" ref="D798">SUM($B$7:$B793*$F$1009*EXP(-$F$1009*($A798-$A$7:$A793)))*$F$1010</f>
        <v>3242295.5144817522</v>
      </c>
      <c r="E798" s="67">
        <f t="shared" si="77"/>
        <v>6.1811501683140424</v>
      </c>
      <c r="F798" s="70">
        <f t="shared" si="81"/>
        <v>0.37531943822002867</v>
      </c>
      <c r="G798" s="67">
        <f>E798/'Lookup Tables'!$C$48</f>
        <v>12.362300336628085</v>
      </c>
      <c r="H798" s="70">
        <f t="shared" si="78"/>
        <v>3.8835735575682588E-2</v>
      </c>
      <c r="I798" s="71">
        <f t="shared" si="82"/>
        <v>1.7801712484744443E-2</v>
      </c>
      <c r="L798" s="74"/>
      <c r="M798" s="74"/>
      <c r="N798" s="74"/>
      <c r="O798" s="74"/>
      <c r="P798" s="74"/>
      <c r="Q798" s="74"/>
      <c r="R798" s="74"/>
      <c r="S798" s="74"/>
      <c r="T798" s="74"/>
      <c r="U798" s="74"/>
      <c r="V798" s="74"/>
      <c r="W798" s="74"/>
      <c r="X798" s="74"/>
      <c r="Y798" s="74"/>
      <c r="Z798" s="74"/>
    </row>
    <row r="799" spans="1:26" x14ac:dyDescent="0.3">
      <c r="A799" s="66">
        <f t="shared" si="80"/>
        <v>2069.199999999928</v>
      </c>
      <c r="B799" s="67">
        <f>LOOKUP(A799+0.01,AmountsB!$A$4:$A$103,AmountsB!$B$4:$B$103)*0.1*$A$2</f>
        <v>0</v>
      </c>
      <c r="C799" s="68">
        <f t="shared" si="79"/>
        <v>83655.233518999943</v>
      </c>
      <c r="D799" s="67">
        <f t="array" ref="D799">SUM($B$7:$B794*$F$1009*EXP(-$F$1009*($A799-$A$7:$A794)))*$F$1010</f>
        <v>3237759.476728796</v>
      </c>
      <c r="E799" s="67">
        <f t="shared" si="77"/>
        <v>6.17250261277972</v>
      </c>
      <c r="F799" s="70">
        <f t="shared" si="81"/>
        <v>0.37479435864798455</v>
      </c>
      <c r="G799" s="67">
        <f>E799/'Lookup Tables'!$C$48</f>
        <v>12.34500522555944</v>
      </c>
      <c r="H799" s="70">
        <f t="shared" si="78"/>
        <v>3.8781403587142896E-2</v>
      </c>
      <c r="I799" s="71">
        <f t="shared" si="82"/>
        <v>1.7776807524805593E-2</v>
      </c>
      <c r="L799" s="74"/>
      <c r="M799" s="74"/>
      <c r="N799" s="74"/>
      <c r="O799" s="74"/>
      <c r="P799" s="74"/>
      <c r="Q799" s="74"/>
      <c r="R799" s="74"/>
      <c r="S799" s="74"/>
      <c r="T799" s="74"/>
      <c r="U799" s="74"/>
      <c r="V799" s="74"/>
      <c r="W799" s="74"/>
      <c r="X799" s="74"/>
      <c r="Y799" s="74"/>
      <c r="Z799" s="74"/>
    </row>
    <row r="800" spans="1:26" x14ac:dyDescent="0.3">
      <c r="A800" s="66">
        <f t="shared" si="80"/>
        <v>2069.2999999999279</v>
      </c>
      <c r="B800" s="67">
        <f>LOOKUP(A800+0.01,AmountsB!$A$4:$A$103,AmountsB!$B$4:$B$103)*0.1*$A$2</f>
        <v>0</v>
      </c>
      <c r="C800" s="68">
        <f t="shared" si="79"/>
        <v>83655.233518999943</v>
      </c>
      <c r="D800" s="67">
        <f t="array" ref="D800">SUM($B$7:$B795*$F$1009*EXP(-$F$1009*($A800-$A$7:$A795)))*$F$1010</f>
        <v>3233229.7849854492</v>
      </c>
      <c r="E800" s="67">
        <f t="shared" si="77"/>
        <v>6.1638671553524924</v>
      </c>
      <c r="F800" s="70">
        <f t="shared" si="81"/>
        <v>0.37427001367300333</v>
      </c>
      <c r="G800" s="67">
        <f>E800/'Lookup Tables'!$C$48</f>
        <v>12.327734310704985</v>
      </c>
      <c r="H800" s="70">
        <f t="shared" si="78"/>
        <v>3.8727147610166629E-2</v>
      </c>
      <c r="I800" s="71">
        <f t="shared" si="82"/>
        <v>1.7751937407415177E-2</v>
      </c>
      <c r="L800" s="74"/>
      <c r="M800" s="74"/>
      <c r="N800" s="74"/>
      <c r="O800" s="74"/>
      <c r="P800" s="74"/>
      <c r="Q800" s="74"/>
      <c r="R800" s="74"/>
      <c r="S800" s="74"/>
      <c r="T800" s="74"/>
      <c r="U800" s="74"/>
      <c r="V800" s="74"/>
      <c r="W800" s="74"/>
      <c r="X800" s="74"/>
      <c r="Y800" s="74"/>
      <c r="Z800" s="74"/>
    </row>
    <row r="801" spans="1:26" x14ac:dyDescent="0.3">
      <c r="A801" s="66">
        <f t="shared" si="80"/>
        <v>2069.3999999999278</v>
      </c>
      <c r="B801" s="67">
        <f>LOOKUP(A801+0.01,AmountsB!$A$4:$A$103,AmountsB!$B$4:$B$103)*0.1*$A$2</f>
        <v>0</v>
      </c>
      <c r="C801" s="68">
        <f t="shared" si="79"/>
        <v>83655.233518999943</v>
      </c>
      <c r="D801" s="67">
        <f t="array" ref="D801">SUM($B$7:$B796*$F$1009*EXP(-$F$1009*($A801-$A$7:$A796)))*$F$1010</f>
        <v>3228706.4303735169</v>
      </c>
      <c r="E801" s="67">
        <f t="shared" si="77"/>
        <v>6.1552437791068639</v>
      </c>
      <c r="F801" s="70">
        <f t="shared" si="81"/>
        <v>0.37374640226736872</v>
      </c>
      <c r="G801" s="67">
        <f>E801/'Lookup Tables'!$C$48</f>
        <v>12.310487558213728</v>
      </c>
      <c r="H801" s="70">
        <f t="shared" si="78"/>
        <v>3.8672967538412088E-2</v>
      </c>
      <c r="I801" s="71">
        <f t="shared" si="82"/>
        <v>1.7727102083827769E-2</v>
      </c>
      <c r="L801" s="74"/>
      <c r="M801" s="74"/>
      <c r="N801" s="74"/>
      <c r="O801" s="74"/>
      <c r="P801" s="74"/>
      <c r="Q801" s="74"/>
      <c r="R801" s="74"/>
      <c r="S801" s="74"/>
      <c r="T801" s="74"/>
      <c r="U801" s="74"/>
      <c r="V801" s="74"/>
      <c r="W801" s="74"/>
      <c r="X801" s="74"/>
      <c r="Y801" s="74"/>
      <c r="Z801" s="74"/>
    </row>
    <row r="802" spans="1:26" x14ac:dyDescent="0.3">
      <c r="A802" s="66">
        <f t="shared" si="80"/>
        <v>2069.4999999999277</v>
      </c>
      <c r="B802" s="67">
        <f>LOOKUP(A802+0.01,AmountsB!$A$4:$A$103,AmountsB!$B$4:$B$103)*0.1*$A$2</f>
        <v>0</v>
      </c>
      <c r="C802" s="68">
        <f t="shared" si="79"/>
        <v>83655.233518999943</v>
      </c>
      <c r="D802" s="67">
        <f t="array" ref="D802">SUM($B$7:$B797*$F$1009*EXP(-$F$1009*($A802-$A$7:$A797)))*$F$1010</f>
        <v>3224189.4040272208</v>
      </c>
      <c r="E802" s="67">
        <f t="shared" si="77"/>
        <v>6.1466324671410115</v>
      </c>
      <c r="F802" s="70">
        <f t="shared" si="81"/>
        <v>0.37322352340480219</v>
      </c>
      <c r="G802" s="67">
        <f>E802/'Lookup Tables'!$C$48</f>
        <v>12.293264934282023</v>
      </c>
      <c r="H802" s="70">
        <f t="shared" si="78"/>
        <v>3.8618863265686289E-2</v>
      </c>
      <c r="I802" s="71">
        <f t="shared" si="82"/>
        <v>1.770230150536611E-2</v>
      </c>
      <c r="L802" s="74"/>
      <c r="M802" s="74"/>
      <c r="N802" s="74"/>
      <c r="O802" s="74"/>
      <c r="P802" s="74"/>
      <c r="Q802" s="74"/>
      <c r="R802" s="74"/>
      <c r="S802" s="74"/>
      <c r="T802" s="74"/>
      <c r="U802" s="74"/>
      <c r="V802" s="74"/>
      <c r="W802" s="74"/>
      <c r="X802" s="74"/>
      <c r="Y802" s="74"/>
      <c r="Z802" s="74"/>
    </row>
    <row r="803" spans="1:26" x14ac:dyDescent="0.3">
      <c r="A803" s="66">
        <f t="shared" si="80"/>
        <v>2069.5999999999276</v>
      </c>
      <c r="B803" s="67">
        <f>LOOKUP(A803+0.01,AmountsB!$A$4:$A$103,AmountsB!$B$4:$B$103)*0.1*$A$2</f>
        <v>0</v>
      </c>
      <c r="C803" s="68">
        <f t="shared" si="79"/>
        <v>83655.233518999943</v>
      </c>
      <c r="D803" s="67">
        <f t="array" ref="D803">SUM($B$7:$B798*$F$1009*EXP(-$F$1009*($A803-$A$7:$A798)))*$F$1010</f>
        <v>3219678.6970931902</v>
      </c>
      <c r="E803" s="67">
        <f t="shared" si="77"/>
        <v>6.1380332025767652</v>
      </c>
      <c r="F803" s="70">
        <f t="shared" si="81"/>
        <v>0.37270137606046116</v>
      </c>
      <c r="G803" s="67">
        <f>E803/'Lookup Tables'!$C$48</f>
        <v>12.27606640515353</v>
      </c>
      <c r="H803" s="70">
        <f t="shared" si="78"/>
        <v>3.8564834685944877E-2</v>
      </c>
      <c r="I803" s="71">
        <f t="shared" si="82"/>
        <v>1.7677535623421083E-2</v>
      </c>
      <c r="L803" s="74"/>
      <c r="M803" s="74"/>
      <c r="N803" s="74"/>
      <c r="O803" s="74"/>
      <c r="P803" s="74"/>
      <c r="Q803" s="74"/>
      <c r="R803" s="74"/>
      <c r="S803" s="74"/>
      <c r="T803" s="74"/>
      <c r="U803" s="74"/>
      <c r="V803" s="74"/>
      <c r="W803" s="74"/>
      <c r="X803" s="74"/>
      <c r="Y803" s="74"/>
      <c r="Z803" s="74"/>
    </row>
    <row r="804" spans="1:26" x14ac:dyDescent="0.3">
      <c r="A804" s="66">
        <f t="shared" si="80"/>
        <v>2069.6999999999275</v>
      </c>
      <c r="B804" s="67">
        <f>LOOKUP(A804+0.01,AmountsB!$A$4:$A$103,AmountsB!$B$4:$B$103)*0.1*$A$2</f>
        <v>0</v>
      </c>
      <c r="C804" s="68">
        <f t="shared" si="79"/>
        <v>83655.233518999943</v>
      </c>
      <c r="D804" s="67">
        <f t="array" ref="D804">SUM($B$7:$B799*$F$1009*EXP(-$F$1009*($A804-$A$7:$A799)))*$F$1010</f>
        <v>3215174.3007304356</v>
      </c>
      <c r="E804" s="67">
        <f t="shared" si="77"/>
        <v>6.1294459685595584</v>
      </c>
      <c r="F804" s="70">
        <f t="shared" si="81"/>
        <v>0.37217995921093633</v>
      </c>
      <c r="G804" s="67">
        <f>E804/'Lookup Tables'!$C$48</f>
        <v>12.258891937119117</v>
      </c>
      <c r="H804" s="70">
        <f t="shared" si="78"/>
        <v>3.8510881693291782E-2</v>
      </c>
      <c r="I804" s="71">
        <f t="shared" si="82"/>
        <v>1.7652804389451528E-2</v>
      </c>
      <c r="L804" s="74"/>
      <c r="M804" s="74"/>
      <c r="N804" s="74"/>
      <c r="O804" s="74"/>
      <c r="P804" s="74"/>
      <c r="Q804" s="74"/>
      <c r="R804" s="74"/>
      <c r="S804" s="74"/>
      <c r="T804" s="74"/>
      <c r="U804" s="74"/>
      <c r="V804" s="74"/>
      <c r="W804" s="74"/>
      <c r="X804" s="74"/>
      <c r="Y804" s="74"/>
      <c r="Z804" s="74"/>
    </row>
    <row r="805" spans="1:26" x14ac:dyDescent="0.3">
      <c r="A805" s="66">
        <f t="shared" si="80"/>
        <v>2069.7999999999274</v>
      </c>
      <c r="B805" s="67">
        <f>LOOKUP(A805+0.01,AmountsB!$A$4:$A$103,AmountsB!$B$4:$B$103)*0.1*$A$2</f>
        <v>0</v>
      </c>
      <c r="C805" s="68">
        <f t="shared" si="79"/>
        <v>83655.233518999943</v>
      </c>
      <c r="D805" s="67">
        <f t="array" ref="D805">SUM($B$7:$B800*$F$1009*EXP(-$F$1009*($A805-$A$7:$A800)))*$F$1010</f>
        <v>3210676.2061103391</v>
      </c>
      <c r="E805" s="67">
        <f t="shared" si="77"/>
        <v>6.1208707482584117</v>
      </c>
      <c r="F805" s="70">
        <f t="shared" si="81"/>
        <v>0.37165927183425079</v>
      </c>
      <c r="G805" s="67">
        <f>E805/'Lookup Tables'!$C$48</f>
        <v>12.241741496516823</v>
      </c>
      <c r="H805" s="70">
        <f t="shared" si="78"/>
        <v>3.8457004181979129E-2</v>
      </c>
      <c r="I805" s="71">
        <f t="shared" si="82"/>
        <v>1.7628107754984225E-2</v>
      </c>
      <c r="L805" s="74"/>
      <c r="M805" s="74"/>
      <c r="N805" s="74"/>
      <c r="O805" s="74"/>
      <c r="P805" s="74"/>
      <c r="Q805" s="74"/>
      <c r="R805" s="74"/>
      <c r="S805" s="74"/>
      <c r="T805" s="74"/>
      <c r="U805" s="74"/>
      <c r="V805" s="74"/>
      <c r="W805" s="74"/>
      <c r="X805" s="74"/>
      <c r="Y805" s="74"/>
      <c r="Z805" s="74"/>
    </row>
    <row r="806" spans="1:26" x14ac:dyDescent="0.3">
      <c r="A806" s="66">
        <f t="shared" si="80"/>
        <v>2069.8999999999273</v>
      </c>
      <c r="B806" s="67">
        <f>LOOKUP(A806+0.01,AmountsB!$A$4:$A$103,AmountsB!$B$4:$B$103)*0.1*$A$2</f>
        <v>0</v>
      </c>
      <c r="C806" s="68">
        <f t="shared" si="79"/>
        <v>83655.233518999943</v>
      </c>
      <c r="D806" s="67">
        <f t="array" ref="D806">SUM($B$7:$B801*$F$1009*EXP(-$F$1009*($A806-$A$7:$A801)))*$F$1010</f>
        <v>3206184.4044166352</v>
      </c>
      <c r="E806" s="67">
        <f t="shared" si="77"/>
        <v>6.1123075248658916</v>
      </c>
      <c r="F806" s="70">
        <f t="shared" si="81"/>
        <v>0.37113931290985691</v>
      </c>
      <c r="G806" s="67">
        <f>E806/'Lookup Tables'!$C$48</f>
        <v>12.224615049731783</v>
      </c>
      <c r="H806" s="70">
        <f t="shared" si="78"/>
        <v>3.8403202046406973E-2</v>
      </c>
      <c r="I806" s="71">
        <f t="shared" si="82"/>
        <v>1.7603445671613763E-2</v>
      </c>
      <c r="L806" s="74"/>
      <c r="M806" s="74"/>
      <c r="N806" s="74"/>
      <c r="O806" s="74"/>
      <c r="P806" s="74"/>
      <c r="Q806" s="74"/>
      <c r="R806" s="74"/>
      <c r="S806" s="74"/>
      <c r="T806" s="74"/>
      <c r="U806" s="74"/>
      <c r="V806" s="74"/>
      <c r="W806" s="74"/>
      <c r="X806" s="74"/>
      <c r="Y806" s="74"/>
      <c r="Z806" s="74"/>
    </row>
    <row r="807" spans="1:26" x14ac:dyDescent="0.3">
      <c r="A807" s="66">
        <f t="shared" si="80"/>
        <v>2069.9999999999272</v>
      </c>
      <c r="B807" s="67">
        <f>LOOKUP(A807+0.01,AmountsB!$A$4:$A$103,AmountsB!$B$4:$B$103)*0.1*$A$2</f>
        <v>0</v>
      </c>
      <c r="C807" s="68">
        <f t="shared" si="79"/>
        <v>83655.233518999943</v>
      </c>
      <c r="D807" s="67">
        <f t="array" ref="D807">SUM($B$7:$B802*$F$1009*EXP(-$F$1009*($A807-$A$7:$A802)))*$F$1010</f>
        <v>3201698.8868453908</v>
      </c>
      <c r="E807" s="67">
        <f t="shared" si="77"/>
        <v>6.1037562815980788</v>
      </c>
      <c r="F807" s="70">
        <f t="shared" si="81"/>
        <v>0.37062008141863534</v>
      </c>
      <c r="G807" s="67">
        <f>E807/'Lookup Tables'!$C$48</f>
        <v>12.207512563196158</v>
      </c>
      <c r="H807" s="70">
        <f t="shared" si="78"/>
        <v>3.8349475181123152E-2</v>
      </c>
      <c r="I807" s="71">
        <f t="shared" si="82"/>
        <v>1.7578818091002469E-2</v>
      </c>
      <c r="L807" s="74"/>
      <c r="M807" s="74"/>
      <c r="N807" s="74"/>
      <c r="O807" s="74"/>
      <c r="P807" s="74"/>
      <c r="Q807" s="74"/>
      <c r="R807" s="74"/>
      <c r="S807" s="74"/>
      <c r="T807" s="74"/>
      <c r="U807" s="74"/>
      <c r="V807" s="74"/>
      <c r="W807" s="74"/>
      <c r="X807" s="74"/>
      <c r="Y807" s="74"/>
      <c r="Z807" s="74"/>
    </row>
    <row r="808" spans="1:26" x14ac:dyDescent="0.3">
      <c r="A808" s="66">
        <f t="shared" si="80"/>
        <v>2070.0999999999271</v>
      </c>
      <c r="B808" s="67">
        <f>LOOKUP(A808+0.01,AmountsB!$A$4:$A$103,AmountsB!$B$4:$B$103)*0.1*$A$2</f>
        <v>0</v>
      </c>
      <c r="C808" s="68">
        <f t="shared" si="79"/>
        <v>83655.233518999943</v>
      </c>
      <c r="D808" s="67">
        <f t="array" ref="D808">SUM($B$7:$B803*$F$1009*EXP(-$F$1009*($A808-$A$7:$A803)))*$F$1010</f>
        <v>3197219.6446049884</v>
      </c>
      <c r="E808" s="67">
        <f t="shared" si="77"/>
        <v>6.0952170016945297</v>
      </c>
      <c r="F808" s="70">
        <f t="shared" si="81"/>
        <v>0.37010157634289187</v>
      </c>
      <c r="G808" s="67">
        <f>E808/'Lookup Tables'!$C$48</f>
        <v>12.190434003389059</v>
      </c>
      <c r="H808" s="70">
        <f t="shared" si="78"/>
        <v>3.8295823480822944E-2</v>
      </c>
      <c r="I808" s="71">
        <f t="shared" si="82"/>
        <v>1.7554224964880245E-2</v>
      </c>
      <c r="L808" s="74"/>
      <c r="M808" s="74"/>
      <c r="N808" s="74"/>
      <c r="O808" s="74"/>
      <c r="P808" s="74"/>
      <c r="Q808" s="74"/>
      <c r="R808" s="74"/>
      <c r="S808" s="74"/>
      <c r="T808" s="74"/>
      <c r="U808" s="74"/>
      <c r="V808" s="74"/>
      <c r="W808" s="74"/>
      <c r="X808" s="74"/>
      <c r="Y808" s="74"/>
      <c r="Z808" s="74"/>
    </row>
    <row r="809" spans="1:26" x14ac:dyDescent="0.3">
      <c r="A809" s="66">
        <f t="shared" si="80"/>
        <v>2070.1999999999271</v>
      </c>
      <c r="B809" s="67">
        <f>LOOKUP(A809+0.01,AmountsB!$A$4:$A$103,AmountsB!$B$4:$B$103)*0.1*$A$2</f>
        <v>0</v>
      </c>
      <c r="C809" s="68">
        <f t="shared" si="79"/>
        <v>83655.233518999943</v>
      </c>
      <c r="D809" s="67">
        <f t="array" ref="D809">SUM($B$7:$B804*$F$1009*EXP(-$F$1009*($A809-$A$7:$A804)))*$F$1010</f>
        <v>3192746.6689161141</v>
      </c>
      <c r="E809" s="67">
        <f t="shared" si="77"/>
        <v>6.0866896684182574</v>
      </c>
      <c r="F809" s="70">
        <f t="shared" si="81"/>
        <v>0.36958379666635655</v>
      </c>
      <c r="G809" s="67">
        <f>E809/'Lookup Tables'!$C$48</f>
        <v>12.173379336836515</v>
      </c>
      <c r="H809" s="70">
        <f t="shared" si="78"/>
        <v>3.8242246840349027E-2</v>
      </c>
      <c r="I809" s="71">
        <f t="shared" si="82"/>
        <v>1.7529666245044581E-2</v>
      </c>
      <c r="L809" s="74"/>
      <c r="M809" s="74"/>
      <c r="N809" s="74"/>
      <c r="O809" s="74"/>
      <c r="P809" s="74"/>
      <c r="Q809" s="74"/>
      <c r="R809" s="74"/>
      <c r="S809" s="74"/>
      <c r="T809" s="74"/>
      <c r="U809" s="74"/>
      <c r="V809" s="74"/>
      <c r="W809" s="74"/>
      <c r="X809" s="74"/>
      <c r="Y809" s="74"/>
      <c r="Z809" s="74"/>
    </row>
    <row r="810" spans="1:26" x14ac:dyDescent="0.3">
      <c r="A810" s="66">
        <f t="shared" si="80"/>
        <v>2070.299999999927</v>
      </c>
      <c r="B810" s="67">
        <f>LOOKUP(A810+0.01,AmountsB!$A$4:$A$103,AmountsB!$B$4:$B$103)*0.1*$A$2</f>
        <v>0</v>
      </c>
      <c r="C810" s="68">
        <f t="shared" si="79"/>
        <v>83655.233518999943</v>
      </c>
      <c r="D810" s="67">
        <f t="array" ref="D810">SUM($B$7:$B805*$F$1009*EXP(-$F$1009*($A810-$A$7:$A805)))*$F$1010</f>
        <v>3188279.9510117327</v>
      </c>
      <c r="E810" s="67">
        <f t="shared" si="77"/>
        <v>6.078174265055682</v>
      </c>
      <c r="F810" s="70">
        <f t="shared" si="81"/>
        <v>0.369066741374181</v>
      </c>
      <c r="G810" s="67">
        <f>E810/'Lookup Tables'!$C$48</f>
        <v>12.156348530111364</v>
      </c>
      <c r="H810" s="70">
        <f t="shared" si="78"/>
        <v>3.8188745154691159E-2</v>
      </c>
      <c r="I810" s="71">
        <f t="shared" si="82"/>
        <v>1.7505141883360362E-2</v>
      </c>
      <c r="L810" s="74"/>
      <c r="M810" s="74"/>
      <c r="N810" s="74"/>
      <c r="O810" s="74"/>
      <c r="P810" s="74"/>
      <c r="Q810" s="74"/>
      <c r="R810" s="74"/>
      <c r="S810" s="74"/>
      <c r="T810" s="74"/>
      <c r="U810" s="74"/>
      <c r="V810" s="74"/>
      <c r="W810" s="74"/>
      <c r="X810" s="74"/>
      <c r="Y810" s="74"/>
      <c r="Z810" s="74"/>
    </row>
    <row r="811" spans="1:26" x14ac:dyDescent="0.3">
      <c r="A811" s="66">
        <f t="shared" si="80"/>
        <v>2070.3999999999269</v>
      </c>
      <c r="B811" s="67">
        <f>LOOKUP(A811+0.01,AmountsB!$A$4:$A$103,AmountsB!$B$4:$B$103)*0.1*$A$2</f>
        <v>0</v>
      </c>
      <c r="C811" s="68">
        <f t="shared" si="79"/>
        <v>83655.233518999943</v>
      </c>
      <c r="D811" s="67">
        <f t="array" ref="D811">SUM($B$7:$B806*$F$1009*EXP(-$F$1009*($A811-$A$7:$A806)))*$F$1010</f>
        <v>3183819.4821370756</v>
      </c>
      <c r="E811" s="67">
        <f t="shared" si="77"/>
        <v>6.0696707749166121</v>
      </c>
      <c r="F811" s="70">
        <f t="shared" si="81"/>
        <v>0.36855040945293666</v>
      </c>
      <c r="G811" s="67">
        <f>E811/'Lookup Tables'!$C$48</f>
        <v>12.139341549833224</v>
      </c>
      <c r="H811" s="70">
        <f t="shared" si="78"/>
        <v>3.8135318318986006E-2</v>
      </c>
      <c r="I811" s="71">
        <f t="shared" si="82"/>
        <v>1.7480651831759841E-2</v>
      </c>
      <c r="L811" s="74"/>
      <c r="M811" s="74"/>
      <c r="N811" s="74"/>
      <c r="O811" s="74"/>
      <c r="P811" s="74"/>
      <c r="Q811" s="74"/>
      <c r="R811" s="74"/>
      <c r="S811" s="74"/>
      <c r="T811" s="74"/>
      <c r="U811" s="74"/>
      <c r="V811" s="74"/>
      <c r="W811" s="74"/>
      <c r="X811" s="74"/>
      <c r="Y811" s="74"/>
      <c r="Z811" s="74"/>
    </row>
    <row r="812" spans="1:26" x14ac:dyDescent="0.3">
      <c r="A812" s="66">
        <f t="shared" si="80"/>
        <v>2070.4999999999268</v>
      </c>
      <c r="B812" s="67">
        <f>LOOKUP(A812+0.01,AmountsB!$A$4:$A$103,AmountsB!$B$4:$B$103)*0.1*$A$2</f>
        <v>0</v>
      </c>
      <c r="C812" s="68">
        <f t="shared" si="79"/>
        <v>83655.233518999943</v>
      </c>
      <c r="D812" s="67">
        <f t="array" ref="D812">SUM($B$7:$B807*$F$1009*EXP(-$F$1009*($A812-$A$7:$A807)))*$F$1010</f>
        <v>3179365.2535496224</v>
      </c>
      <c r="E812" s="67">
        <f t="shared" si="77"/>
        <v>6.0611791813342037</v>
      </c>
      <c r="F812" s="70">
        <f t="shared" si="81"/>
        <v>0.36803479989061283</v>
      </c>
      <c r="G812" s="67">
        <f>E812/'Lookup Tables'!$C$48</f>
        <v>12.122358362668407</v>
      </c>
      <c r="H812" s="70">
        <f t="shared" si="78"/>
        <v>3.8081966228516971E-2</v>
      </c>
      <c r="I812" s="71">
        <f t="shared" si="82"/>
        <v>1.7456196042242505E-2</v>
      </c>
      <c r="L812" s="74"/>
      <c r="M812" s="74"/>
      <c r="N812" s="74"/>
      <c r="O812" s="74"/>
      <c r="P812" s="74"/>
      <c r="Q812" s="74"/>
      <c r="R812" s="74"/>
      <c r="S812" s="74"/>
      <c r="T812" s="74"/>
      <c r="U812" s="74"/>
      <c r="V812" s="74"/>
      <c r="W812" s="74"/>
      <c r="X812" s="74"/>
      <c r="Y812" s="74"/>
      <c r="Z812" s="74"/>
    </row>
    <row r="813" spans="1:26" x14ac:dyDescent="0.3">
      <c r="A813" s="66">
        <f t="shared" si="80"/>
        <v>2070.5999999999267</v>
      </c>
      <c r="B813" s="67">
        <f>LOOKUP(A813+0.01,AmountsB!$A$4:$A$103,AmountsB!$B$4:$B$103)*0.1*$A$2</f>
        <v>0</v>
      </c>
      <c r="C813" s="68">
        <f t="shared" si="79"/>
        <v>83655.233518999943</v>
      </c>
      <c r="D813" s="67">
        <f t="array" ref="D813">SUM($B$7:$B808*$F$1009*EXP(-$F$1009*($A813-$A$7:$A808)))*$F$1010</f>
        <v>3174917.2565190848</v>
      </c>
      <c r="E813" s="67">
        <f t="shared" si="77"/>
        <v>6.0526994676649322</v>
      </c>
      <c r="F813" s="70">
        <f t="shared" si="81"/>
        <v>0.36751991167661469</v>
      </c>
      <c r="G813" s="67">
        <f>E813/'Lookup Tables'!$C$48</f>
        <v>12.105398935329864</v>
      </c>
      <c r="H813" s="70">
        <f t="shared" si="78"/>
        <v>3.8028688778713939E-2</v>
      </c>
      <c r="I813" s="71">
        <f t="shared" si="82"/>
        <v>1.7431774466875001E-2</v>
      </c>
      <c r="L813" s="74"/>
      <c r="M813" s="74"/>
      <c r="N813" s="74"/>
      <c r="O813" s="74"/>
      <c r="P813" s="74"/>
      <c r="Q813" s="74"/>
      <c r="R813" s="74"/>
      <c r="S813" s="74"/>
      <c r="T813" s="74"/>
      <c r="U813" s="74"/>
      <c r="V813" s="74"/>
      <c r="W813" s="74"/>
      <c r="X813" s="74"/>
      <c r="Y813" s="74"/>
      <c r="Z813" s="74"/>
    </row>
    <row r="814" spans="1:26" x14ac:dyDescent="0.3">
      <c r="A814" s="66">
        <f t="shared" si="80"/>
        <v>2070.6999999999266</v>
      </c>
      <c r="B814" s="67">
        <f>LOOKUP(A814+0.01,AmountsB!$A$4:$A$103,AmountsB!$B$4:$B$103)*0.1*$A$2</f>
        <v>0</v>
      </c>
      <c r="C814" s="68">
        <f t="shared" si="79"/>
        <v>83655.233518999943</v>
      </c>
      <c r="D814" s="67">
        <f t="array" ref="D814">SUM($B$7:$B809*$F$1009*EXP(-$F$1009*($A814-$A$7:$A809)))*$F$1010</f>
        <v>3170475.4823273863</v>
      </c>
      <c r="E814" s="67">
        <f t="shared" si="77"/>
        <v>6.0442316172885553</v>
      </c>
      <c r="F814" s="70">
        <f t="shared" si="81"/>
        <v>0.36700574380176104</v>
      </c>
      <c r="G814" s="67">
        <f>E814/'Lookup Tables'!$C$48</f>
        <v>12.088463234577111</v>
      </c>
      <c r="H814" s="70">
        <f t="shared" si="78"/>
        <v>3.7975485865153098E-2</v>
      </c>
      <c r="I814" s="71">
        <f t="shared" si="82"/>
        <v>1.7407387057791039E-2</v>
      </c>
      <c r="L814" s="74"/>
      <c r="M814" s="74"/>
      <c r="N814" s="74"/>
      <c r="O814" s="74"/>
      <c r="P814" s="74"/>
      <c r="Q814" s="74"/>
      <c r="R814" s="74"/>
      <c r="S814" s="74"/>
      <c r="T814" s="74"/>
      <c r="U814" s="74"/>
      <c r="V814" s="74"/>
      <c r="W814" s="74"/>
      <c r="X814" s="74"/>
      <c r="Y814" s="74"/>
      <c r="Z814" s="74"/>
    </row>
    <row r="815" spans="1:26" x14ac:dyDescent="0.3">
      <c r="A815" s="66">
        <f t="shared" si="80"/>
        <v>2070.7999999999265</v>
      </c>
      <c r="B815" s="67">
        <f>LOOKUP(A815+0.01,AmountsB!$A$4:$A$103,AmountsB!$B$4:$B$103)*0.1*$A$2</f>
        <v>0</v>
      </c>
      <c r="C815" s="68">
        <f t="shared" si="79"/>
        <v>83655.233518999943</v>
      </c>
      <c r="D815" s="67">
        <f t="array" ref="D815">SUM($B$7:$B810*$F$1009*EXP(-$F$1009*($A815-$A$7:$A810)))*$F$1010</f>
        <v>3166039.9222686472</v>
      </c>
      <c r="E815" s="67">
        <f t="shared" si="77"/>
        <v>6.0357756136080818</v>
      </c>
      <c r="F815" s="70">
        <f t="shared" si="81"/>
        <v>0.36649229525828275</v>
      </c>
      <c r="G815" s="67">
        <f>E815/'Lookup Tables'!$C$48</f>
        <v>12.071551227216164</v>
      </c>
      <c r="H815" s="70">
        <f t="shared" si="78"/>
        <v>3.7922357383556697E-2</v>
      </c>
      <c r="I815" s="71">
        <f t="shared" si="82"/>
        <v>1.7383033767191275E-2</v>
      </c>
      <c r="L815" s="74"/>
      <c r="M815" s="74"/>
      <c r="N815" s="74"/>
      <c r="O815" s="74"/>
      <c r="P815" s="74"/>
      <c r="Q815" s="74"/>
      <c r="R815" s="74"/>
      <c r="S815" s="74"/>
      <c r="T815" s="74"/>
      <c r="U815" s="74"/>
      <c r="V815" s="74"/>
      <c r="W815" s="74"/>
      <c r="X815" s="74"/>
      <c r="Y815" s="74"/>
      <c r="Z815" s="74"/>
    </row>
    <row r="816" spans="1:26" x14ac:dyDescent="0.3">
      <c r="A816" s="66">
        <f t="shared" si="80"/>
        <v>2070.8999999999264</v>
      </c>
      <c r="B816" s="67">
        <f>LOOKUP(A816+0.01,AmountsB!$A$4:$A$103,AmountsB!$B$4:$B$103)*0.1*$A$2</f>
        <v>0</v>
      </c>
      <c r="C816" s="68">
        <f t="shared" si="79"/>
        <v>83655.233518999943</v>
      </c>
      <c r="D816" s="67">
        <f t="array" ref="D816">SUM($B$7:$B811*$F$1009*EXP(-$F$1009*($A816-$A$7:$A811)))*$F$1010</f>
        <v>3161610.5676491712</v>
      </c>
      <c r="E816" s="67">
        <f t="shared" si="77"/>
        <v>6.0273314400497453</v>
      </c>
      <c r="F816" s="70">
        <f t="shared" si="81"/>
        <v>0.36597956503982049</v>
      </c>
      <c r="G816" s="67">
        <f>E816/'Lookup Tables'!$C$48</f>
        <v>12.054662880099491</v>
      </c>
      <c r="H816" s="70">
        <f t="shared" si="78"/>
        <v>3.7869303229792921E-2</v>
      </c>
      <c r="I816" s="71">
        <f t="shared" si="82"/>
        <v>1.7358714547343265E-2</v>
      </c>
      <c r="L816" s="74"/>
      <c r="M816" s="74"/>
      <c r="N816" s="74"/>
      <c r="O816" s="74"/>
      <c r="P816" s="74"/>
      <c r="Q816" s="74"/>
      <c r="R816" s="74"/>
      <c r="S816" s="74"/>
      <c r="T816" s="74"/>
      <c r="U816" s="74"/>
      <c r="V816" s="74"/>
      <c r="W816" s="74"/>
      <c r="X816" s="74"/>
      <c r="Y816" s="74"/>
      <c r="Z816" s="74"/>
    </row>
    <row r="817" spans="1:26" x14ac:dyDescent="0.3">
      <c r="A817" s="66">
        <f t="shared" si="80"/>
        <v>2070.9999999999263</v>
      </c>
      <c r="B817" s="67">
        <f>LOOKUP(A817+0.01,AmountsB!$A$4:$A$103,AmountsB!$B$4:$B$103)*0.1*$A$2</f>
        <v>0</v>
      </c>
      <c r="C817" s="68">
        <f t="shared" si="79"/>
        <v>83655.233518999943</v>
      </c>
      <c r="D817" s="67">
        <f t="array" ref="D817">SUM($B$7:$B812*$F$1009*EXP(-$F$1009*($A817-$A$7:$A812)))*$F$1010</f>
        <v>3157187.4097874183</v>
      </c>
      <c r="E817" s="67">
        <f t="shared" si="77"/>
        <v>6.0188990800629592</v>
      </c>
      <c r="F817" s="70">
        <f t="shared" si="81"/>
        <v>0.36546755214142285</v>
      </c>
      <c r="G817" s="67">
        <f>E817/'Lookup Tables'!$C$48</f>
        <v>12.037798160125918</v>
      </c>
      <c r="H817" s="70">
        <f t="shared" si="78"/>
        <v>3.7816323299875589E-2</v>
      </c>
      <c r="I817" s="71">
        <f t="shared" si="82"/>
        <v>1.7334429350581323E-2</v>
      </c>
      <c r="L817" s="74"/>
      <c r="M817" s="74"/>
      <c r="N817" s="74"/>
      <c r="O817" s="74"/>
      <c r="P817" s="74"/>
      <c r="Q817" s="74"/>
      <c r="R817" s="74"/>
      <c r="S817" s="74"/>
      <c r="T817" s="74"/>
      <c r="U817" s="74"/>
      <c r="V817" s="74"/>
      <c r="W817" s="74"/>
      <c r="X817" s="74"/>
      <c r="Y817" s="74"/>
      <c r="Z817" s="74"/>
    </row>
    <row r="818" spans="1:26" x14ac:dyDescent="0.3">
      <c r="A818" s="66">
        <f t="shared" si="80"/>
        <v>2071.0999999999262</v>
      </c>
      <c r="B818" s="67">
        <f>LOOKUP(A818+0.01,AmountsB!$A$4:$A$103,AmountsB!$B$4:$B$103)*0.1*$A$2</f>
        <v>0</v>
      </c>
      <c r="C818" s="68">
        <f t="shared" si="79"/>
        <v>83655.233518999943</v>
      </c>
      <c r="D818" s="67">
        <f t="array" ref="D818">SUM($B$7:$B813*$F$1009*EXP(-$F$1009*($A818-$A$7:$A813)))*$F$1010</f>
        <v>3152770.4400140005</v>
      </c>
      <c r="E818" s="67">
        <f t="shared" si="77"/>
        <v>6.0104785171202986</v>
      </c>
      <c r="F818" s="70">
        <f t="shared" si="81"/>
        <v>0.36495625555954447</v>
      </c>
      <c r="G818" s="67">
        <f>E818/'Lookup Tables'!$C$48</f>
        <v>12.020957034240597</v>
      </c>
      <c r="H818" s="70">
        <f t="shared" si="78"/>
        <v>3.7763417489964042E-2</v>
      </c>
      <c r="I818" s="71">
        <f t="shared" si="82"/>
        <v>1.731017812930646E-2</v>
      </c>
      <c r="L818" s="74"/>
      <c r="M818" s="74"/>
      <c r="N818" s="74"/>
      <c r="O818" s="74"/>
      <c r="P818" s="74"/>
      <c r="Q818" s="74"/>
      <c r="R818" s="74"/>
      <c r="S818" s="74"/>
      <c r="T818" s="74"/>
      <c r="U818" s="74"/>
      <c r="V818" s="74"/>
      <c r="W818" s="74"/>
      <c r="X818" s="74"/>
      <c r="Y818" s="74"/>
      <c r="Z818" s="74"/>
    </row>
    <row r="819" spans="1:26" x14ac:dyDescent="0.3">
      <c r="A819" s="66">
        <f t="shared" si="80"/>
        <v>2071.1999999999261</v>
      </c>
      <c r="B819" s="67">
        <f>LOOKUP(A819+0.01,AmountsB!$A$4:$A$103,AmountsB!$B$4:$B$103)*0.1*$A$2</f>
        <v>0</v>
      </c>
      <c r="C819" s="68">
        <f t="shared" si="79"/>
        <v>83655.233518999943</v>
      </c>
      <c r="D819" s="67">
        <f t="array" ref="D819">SUM($B$7:$B814*$F$1009*EXP(-$F$1009*($A819-$A$7:$A814)))*$F$1010</f>
        <v>3148359.6496716528</v>
      </c>
      <c r="E819" s="67">
        <f t="shared" si="77"/>
        <v>6.0020697347174528</v>
      </c>
      <c r="F819" s="70">
        <f t="shared" si="81"/>
        <v>0.36444567429204372</v>
      </c>
      <c r="G819" s="67">
        <f>E819/'Lookup Tables'!$C$48</f>
        <v>12.004139469434906</v>
      </c>
      <c r="H819" s="70">
        <f t="shared" si="78"/>
        <v>3.7710585696362847E-2</v>
      </c>
      <c r="I819" s="71">
        <f t="shared" si="82"/>
        <v>1.7285960835986266E-2</v>
      </c>
      <c r="L819" s="74"/>
      <c r="M819" s="74"/>
      <c r="N819" s="74"/>
      <c r="O819" s="74"/>
      <c r="P819" s="74"/>
      <c r="Q819" s="74"/>
      <c r="R819" s="74"/>
      <c r="S819" s="74"/>
      <c r="T819" s="74"/>
      <c r="U819" s="74"/>
      <c r="V819" s="74"/>
      <c r="W819" s="74"/>
      <c r="X819" s="74"/>
      <c r="Y819" s="74"/>
      <c r="Z819" s="74"/>
    </row>
    <row r="820" spans="1:26" x14ac:dyDescent="0.3">
      <c r="A820" s="66">
        <f t="shared" si="80"/>
        <v>2071.2999999999261</v>
      </c>
      <c r="B820" s="67">
        <f>LOOKUP(A820+0.01,AmountsB!$A$4:$A$103,AmountsB!$B$4:$B$103)*0.1*$A$2</f>
        <v>0</v>
      </c>
      <c r="C820" s="68">
        <f t="shared" si="79"/>
        <v>83655.233518999943</v>
      </c>
      <c r="D820" s="67">
        <f t="array" ref="D820">SUM($B$7:$B815*$F$1009*EXP(-$F$1009*($A820-$A$7:$A815)))*$F$1010</f>
        <v>3143955.0301152258</v>
      </c>
      <c r="E820" s="67">
        <f t="shared" si="77"/>
        <v>5.9936727163732071</v>
      </c>
      <c r="F820" s="70">
        <f t="shared" si="81"/>
        <v>0.36393580733818115</v>
      </c>
      <c r="G820" s="67">
        <f>E820/'Lookup Tables'!$C$48</f>
        <v>11.987345432746414</v>
      </c>
      <c r="H820" s="70">
        <f t="shared" si="78"/>
        <v>3.7657827815521676E-2</v>
      </c>
      <c r="I820" s="71">
        <f t="shared" si="82"/>
        <v>1.7261777423154837E-2</v>
      </c>
      <c r="L820" s="74"/>
      <c r="M820" s="74"/>
      <c r="N820" s="74"/>
      <c r="O820" s="74"/>
      <c r="P820" s="74"/>
      <c r="Q820" s="74"/>
      <c r="R820" s="74"/>
      <c r="S820" s="74"/>
      <c r="T820" s="74"/>
      <c r="U820" s="74"/>
      <c r="V820" s="74"/>
      <c r="W820" s="74"/>
      <c r="X820" s="74"/>
      <c r="Y820" s="74"/>
      <c r="Z820" s="74"/>
    </row>
    <row r="821" spans="1:26" x14ac:dyDescent="0.3">
      <c r="A821" s="66">
        <f t="shared" si="80"/>
        <v>2071.399999999926</v>
      </c>
      <c r="B821" s="67">
        <f>LOOKUP(A821+0.01,AmountsB!$A$4:$A$103,AmountsB!$B$4:$B$103)*0.1*$A$2</f>
        <v>0</v>
      </c>
      <c r="C821" s="68">
        <f t="shared" si="79"/>
        <v>83655.233518999943</v>
      </c>
      <c r="D821" s="67">
        <f t="array" ref="D821">SUM($B$7:$B816*$F$1009*EXP(-$F$1009*($A821-$A$7:$A816)))*$F$1010</f>
        <v>3139556.5727116656</v>
      </c>
      <c r="E821" s="67">
        <f t="shared" si="77"/>
        <v>5.9852874456294067</v>
      </c>
      <c r="F821" s="70">
        <f t="shared" si="81"/>
        <v>0.36342665369861754</v>
      </c>
      <c r="G821" s="67">
        <f>E821/'Lookup Tables'!$C$48</f>
        <v>11.970574891258813</v>
      </c>
      <c r="H821" s="70">
        <f t="shared" si="78"/>
        <v>3.7605143744035098E-2</v>
      </c>
      <c r="I821" s="71">
        <f t="shared" si="82"/>
        <v>1.7237627843412692E-2</v>
      </c>
      <c r="L821" s="74"/>
      <c r="M821" s="74"/>
      <c r="N821" s="74"/>
      <c r="O821" s="74"/>
      <c r="P821" s="74"/>
      <c r="Q821" s="74"/>
      <c r="R821" s="74"/>
      <c r="S821" s="74"/>
      <c r="T821" s="74"/>
      <c r="U821" s="74"/>
      <c r="V821" s="74"/>
      <c r="W821" s="74"/>
      <c r="X821" s="74"/>
      <c r="Y821" s="74"/>
      <c r="Z821" s="74"/>
    </row>
    <row r="822" spans="1:26" x14ac:dyDescent="0.3">
      <c r="A822" s="66">
        <f t="shared" si="80"/>
        <v>2071.4999999999259</v>
      </c>
      <c r="B822" s="67">
        <f>LOOKUP(A822+0.01,AmountsB!$A$4:$A$103,AmountsB!$B$4:$B$103)*0.1*$A$2</f>
        <v>0</v>
      </c>
      <c r="C822" s="68">
        <f t="shared" si="79"/>
        <v>83655.233518999943</v>
      </c>
      <c r="D822" s="67">
        <f t="array" ref="D822">SUM($B$7:$B817*$F$1009*EXP(-$F$1009*($A822-$A$7:$A817)))*$F$1010</f>
        <v>3135164.268839994</v>
      </c>
      <c r="E822" s="67">
        <f t="shared" si="77"/>
        <v>5.9769139060509184</v>
      </c>
      <c r="F822" s="70">
        <f t="shared" si="81"/>
        <v>0.36291821237541178</v>
      </c>
      <c r="G822" s="67">
        <f>E822/'Lookup Tables'!$C$48</f>
        <v>11.953827812101837</v>
      </c>
      <c r="H822" s="70">
        <f t="shared" si="78"/>
        <v>3.7552533378642311E-2</v>
      </c>
      <c r="I822" s="71">
        <f t="shared" si="82"/>
        <v>1.7213512049426644E-2</v>
      </c>
      <c r="L822" s="74"/>
      <c r="M822" s="74"/>
      <c r="N822" s="74"/>
      <c r="O822" s="74"/>
      <c r="P822" s="74"/>
      <c r="Q822" s="74"/>
      <c r="R822" s="74"/>
      <c r="S822" s="74"/>
      <c r="T822" s="74"/>
      <c r="U822" s="74"/>
      <c r="V822" s="74"/>
      <c r="W822" s="74"/>
      <c r="X822" s="74"/>
      <c r="Y822" s="74"/>
      <c r="Z822" s="74"/>
    </row>
    <row r="823" spans="1:26" x14ac:dyDescent="0.3">
      <c r="A823" s="66">
        <f t="shared" si="80"/>
        <v>2071.5999999999258</v>
      </c>
      <c r="B823" s="67">
        <f>LOOKUP(A823+0.01,AmountsB!$A$4:$A$103,AmountsB!$B$4:$B$103)*0.1*$A$2</f>
        <v>0</v>
      </c>
      <c r="C823" s="68">
        <f t="shared" si="79"/>
        <v>83655.233518999943</v>
      </c>
      <c r="D823" s="67">
        <f t="array" ref="D823">SUM($B$7:$B818*$F$1009*EXP(-$F$1009*($A823-$A$7:$A818)))*$F$1010</f>
        <v>3130778.1098912912</v>
      </c>
      <c r="E823" s="67">
        <f t="shared" si="77"/>
        <v>5.968552081225595</v>
      </c>
      <c r="F823" s="70">
        <f t="shared" si="81"/>
        <v>0.36241048237201812</v>
      </c>
      <c r="G823" s="67">
        <f>E823/'Lookup Tables'!$C$48</f>
        <v>11.93710416245119</v>
      </c>
      <c r="H823" s="70">
        <f t="shared" si="78"/>
        <v>3.7499996616226938E-2</v>
      </c>
      <c r="I823" s="71">
        <f t="shared" si="82"/>
        <v>1.7189429993929712E-2</v>
      </c>
      <c r="L823" s="74"/>
      <c r="M823" s="74"/>
      <c r="N823" s="74"/>
      <c r="O823" s="74"/>
      <c r="P823" s="74"/>
      <c r="Q823" s="74"/>
      <c r="R823" s="74"/>
      <c r="S823" s="74"/>
      <c r="T823" s="74"/>
      <c r="U823" s="74"/>
      <c r="V823" s="74"/>
      <c r="W823" s="74"/>
      <c r="X823" s="74"/>
      <c r="Y823" s="74"/>
      <c r="Z823" s="74"/>
    </row>
    <row r="824" spans="1:26" x14ac:dyDescent="0.3">
      <c r="A824" s="66">
        <f t="shared" si="80"/>
        <v>2071.6999999999257</v>
      </c>
      <c r="B824" s="67">
        <f>LOOKUP(A824+0.01,AmountsB!$A$4:$A$103,AmountsB!$B$4:$B$103)*0.1*$A$2</f>
        <v>0</v>
      </c>
      <c r="C824" s="68">
        <f t="shared" si="79"/>
        <v>83655.233518999943</v>
      </c>
      <c r="D824" s="67">
        <f t="array" ref="D824">SUM($B$7:$B819*$F$1009*EXP(-$F$1009*($A824-$A$7:$A819)))*$F$1010</f>
        <v>3126398.0872686878</v>
      </c>
      <c r="E824" s="67">
        <f t="shared" si="77"/>
        <v>5.9602019547642655</v>
      </c>
      <c r="F824" s="70">
        <f t="shared" si="81"/>
        <v>0.36190346269328616</v>
      </c>
      <c r="G824" s="67">
        <f>E824/'Lookup Tables'!$C$48</f>
        <v>11.920403909528531</v>
      </c>
      <c r="H824" s="70">
        <f t="shared" si="78"/>
        <v>3.7447533353816967E-2</v>
      </c>
      <c r="I824" s="71">
        <f t="shared" si="82"/>
        <v>1.7165381629721085E-2</v>
      </c>
      <c r="L824" s="74"/>
      <c r="M824" s="74"/>
      <c r="N824" s="74"/>
      <c r="O824" s="74"/>
      <c r="P824" s="74"/>
      <c r="Q824" s="74"/>
      <c r="R824" s="74"/>
      <c r="S824" s="74"/>
      <c r="T824" s="74"/>
      <c r="U824" s="74"/>
      <c r="V824" s="74"/>
      <c r="W824" s="74"/>
      <c r="X824" s="74"/>
      <c r="Y824" s="74"/>
      <c r="Z824" s="74"/>
    </row>
    <row r="825" spans="1:26" x14ac:dyDescent="0.3">
      <c r="A825" s="66">
        <f t="shared" si="80"/>
        <v>2071.7999999999256</v>
      </c>
      <c r="B825" s="67">
        <f>LOOKUP(A825+0.01,AmountsB!$A$4:$A$103,AmountsB!$B$4:$B$103)*0.1*$A$2</f>
        <v>0</v>
      </c>
      <c r="C825" s="68">
        <f t="shared" si="79"/>
        <v>83655.233518999943</v>
      </c>
      <c r="D825" s="67">
        <f t="array" ref="D825">SUM($B$7:$B820*$F$1009*EXP(-$F$1009*($A825-$A$7:$A820)))*$F$1010</f>
        <v>3122024.192387335</v>
      </c>
      <c r="E825" s="67">
        <f t="shared" si="77"/>
        <v>5.9518635103006732</v>
      </c>
      <c r="F825" s="70">
        <f t="shared" si="81"/>
        <v>0.36139715234545688</v>
      </c>
      <c r="G825" s="67">
        <f>E825/'Lookup Tables'!$C$48</f>
        <v>11.903727020601346</v>
      </c>
      <c r="H825" s="70">
        <f t="shared" si="78"/>
        <v>3.7395143488584345E-2</v>
      </c>
      <c r="I825" s="71">
        <f t="shared" si="82"/>
        <v>1.7141366909665938E-2</v>
      </c>
      <c r="L825" s="74"/>
      <c r="M825" s="74"/>
      <c r="N825" s="74"/>
      <c r="O825" s="74"/>
      <c r="P825" s="74"/>
      <c r="Q825" s="74"/>
      <c r="R825" s="74"/>
      <c r="S825" s="74"/>
      <c r="T825" s="74"/>
      <c r="U825" s="74"/>
      <c r="V825" s="74"/>
      <c r="W825" s="74"/>
      <c r="X825" s="74"/>
      <c r="Y825" s="74"/>
      <c r="Z825" s="74"/>
    </row>
    <row r="826" spans="1:26" x14ac:dyDescent="0.3">
      <c r="A826" s="66">
        <f t="shared" si="80"/>
        <v>2071.8999999999255</v>
      </c>
      <c r="B826" s="67">
        <f>LOOKUP(A826+0.01,AmountsB!$A$4:$A$103,AmountsB!$B$4:$B$103)*0.1*$A$2</f>
        <v>0</v>
      </c>
      <c r="C826" s="68">
        <f t="shared" si="79"/>
        <v>83655.233518999943</v>
      </c>
      <c r="D826" s="67">
        <f t="array" ref="D826">SUM($B$7:$B821*$F$1009*EXP(-$F$1009*($A826-$A$7:$A821)))*$F$1010</f>
        <v>3117656.4166743984</v>
      </c>
      <c r="E826" s="67">
        <f t="shared" si="77"/>
        <v>5.9435367314914647</v>
      </c>
      <c r="F826" s="70">
        <f t="shared" si="81"/>
        <v>0.36089155033616177</v>
      </c>
      <c r="G826" s="67">
        <f>E826/'Lookup Tables'!$C$48</f>
        <v>11.887073462982929</v>
      </c>
      <c r="H826" s="70">
        <f t="shared" si="78"/>
        <v>3.7342826917844928E-2</v>
      </c>
      <c r="I826" s="71">
        <f t="shared" si="82"/>
        <v>1.7117385786695419E-2</v>
      </c>
      <c r="L826" s="74"/>
      <c r="M826" s="74"/>
      <c r="N826" s="74"/>
      <c r="O826" s="74"/>
      <c r="P826" s="74"/>
      <c r="Q826" s="74"/>
      <c r="R826" s="74"/>
      <c r="S826" s="74"/>
      <c r="T826" s="74"/>
      <c r="U826" s="74"/>
      <c r="V826" s="74"/>
      <c r="W826" s="74"/>
      <c r="X826" s="74"/>
      <c r="Y826" s="74"/>
      <c r="Z826" s="74"/>
    </row>
    <row r="827" spans="1:26" x14ac:dyDescent="0.3">
      <c r="A827" s="66">
        <f t="shared" si="80"/>
        <v>2071.9999999999254</v>
      </c>
      <c r="B827" s="67">
        <f>LOOKUP(A827+0.01,AmountsB!$A$4:$A$103,AmountsB!$B$4:$B$103)*0.1*$A$2</f>
        <v>0</v>
      </c>
      <c r="C827" s="68">
        <f t="shared" si="79"/>
        <v>83655.233518999943</v>
      </c>
      <c r="D827" s="67">
        <f t="array" ref="D827">SUM($B$7:$B822*$F$1009*EXP(-$F$1009*($A827-$A$7:$A822)))*$F$1010</f>
        <v>3113294.7515690369</v>
      </c>
      <c r="E827" s="67">
        <f t="shared" si="77"/>
        <v>5.9352216020161546</v>
      </c>
      <c r="F827" s="70">
        <f t="shared" si="81"/>
        <v>0.36038665567442085</v>
      </c>
      <c r="G827" s="67">
        <f>E827/'Lookup Tables'!$C$48</f>
        <v>11.870443204032309</v>
      </c>
      <c r="H827" s="70">
        <f t="shared" si="78"/>
        <v>3.7290583539058217E-2</v>
      </c>
      <c r="I827" s="71">
        <f t="shared" si="82"/>
        <v>1.7093438213806527E-2</v>
      </c>
      <c r="L827" s="74"/>
      <c r="M827" s="74"/>
      <c r="N827" s="74"/>
      <c r="O827" s="74"/>
      <c r="P827" s="74"/>
      <c r="Q827" s="74"/>
      <c r="R827" s="74"/>
      <c r="S827" s="74"/>
      <c r="T827" s="74"/>
      <c r="U827" s="74"/>
      <c r="V827" s="74"/>
      <c r="W827" s="74"/>
      <c r="X827" s="74"/>
      <c r="Y827" s="74"/>
      <c r="Z827" s="74"/>
    </row>
    <row r="828" spans="1:26" x14ac:dyDescent="0.3">
      <c r="A828" s="66">
        <f t="shared" si="80"/>
        <v>2072.0999999999253</v>
      </c>
      <c r="B828" s="67">
        <f>LOOKUP(A828+0.01,AmountsB!$A$4:$A$103,AmountsB!$B$4:$B$103)*0.1*$A$2</f>
        <v>0</v>
      </c>
      <c r="C828" s="68">
        <f t="shared" si="79"/>
        <v>83655.233518999943</v>
      </c>
      <c r="D828" s="67">
        <f t="array" ref="D828">SUM($B$7:$B823*$F$1009*EXP(-$F$1009*($A828-$A$7:$A823)))*$F$1010</f>
        <v>3108939.188522385</v>
      </c>
      <c r="E828" s="67">
        <f t="shared" si="77"/>
        <v>5.9269181055770837</v>
      </c>
      <c r="F828" s="70">
        <f t="shared" si="81"/>
        <v>0.3598824673706405</v>
      </c>
      <c r="G828" s="67">
        <f>E828/'Lookup Tables'!$C$48</f>
        <v>11.853836211154167</v>
      </c>
      <c r="H828" s="70">
        <f t="shared" si="78"/>
        <v>3.7238413249827192E-2</v>
      </c>
      <c r="I828" s="71">
        <f t="shared" si="82"/>
        <v>1.7069524144062001E-2</v>
      </c>
      <c r="L828" s="74"/>
      <c r="M828" s="74"/>
      <c r="N828" s="74"/>
      <c r="O828" s="74"/>
      <c r="P828" s="74"/>
      <c r="Q828" s="74"/>
      <c r="R828" s="74"/>
      <c r="S828" s="74"/>
      <c r="T828" s="74"/>
      <c r="U828" s="74"/>
      <c r="V828" s="74"/>
      <c r="W828" s="74"/>
      <c r="X828" s="74"/>
      <c r="Y828" s="74"/>
      <c r="Z828" s="74"/>
    </row>
    <row r="829" spans="1:26" x14ac:dyDescent="0.3">
      <c r="A829" s="66">
        <f t="shared" si="80"/>
        <v>2072.1999999999252</v>
      </c>
      <c r="B829" s="67">
        <f>LOOKUP(A829+0.01,AmountsB!$A$4:$A$103,AmountsB!$B$4:$B$103)*0.1*$A$2</f>
        <v>0</v>
      </c>
      <c r="C829" s="68">
        <f t="shared" si="79"/>
        <v>83655.233518999943</v>
      </c>
      <c r="D829" s="67">
        <f t="array" ref="D829">SUM($B$7:$B824*$F$1009*EXP(-$F$1009*($A829-$A$7:$A824)))*$F$1010</f>
        <v>3104589.718997539</v>
      </c>
      <c r="E829" s="67">
        <f t="shared" si="77"/>
        <v>5.9186262258993994</v>
      </c>
      <c r="F829" s="70">
        <f t="shared" si="81"/>
        <v>0.35937898443661154</v>
      </c>
      <c r="G829" s="67">
        <f>E829/'Lookup Tables'!$C$48</f>
        <v>11.837252451798799</v>
      </c>
      <c r="H829" s="70">
        <f t="shared" si="78"/>
        <v>3.7186315947898063E-2</v>
      </c>
      <c r="I829" s="71">
        <f t="shared" si="82"/>
        <v>1.7045643530590269E-2</v>
      </c>
      <c r="L829" s="74"/>
      <c r="M829" s="74"/>
      <c r="N829" s="74"/>
      <c r="O829" s="74"/>
      <c r="P829" s="74"/>
      <c r="Q829" s="74"/>
      <c r="R829" s="74"/>
      <c r="S829" s="74"/>
      <c r="T829" s="74"/>
      <c r="U829" s="74"/>
      <c r="V829" s="74"/>
      <c r="W829" s="74"/>
      <c r="X829" s="74"/>
      <c r="Y829" s="74"/>
      <c r="Z829" s="74"/>
    </row>
    <row r="830" spans="1:26" x14ac:dyDescent="0.3">
      <c r="A830" s="66">
        <f t="shared" si="80"/>
        <v>2072.2999999999251</v>
      </c>
      <c r="B830" s="67">
        <f>LOOKUP(A830+0.01,AmountsB!$A$4:$A$103,AmountsB!$B$4:$B$103)*0.1*$A$2</f>
        <v>0</v>
      </c>
      <c r="C830" s="68">
        <f t="shared" si="79"/>
        <v>83655.233518999943</v>
      </c>
      <c r="D830" s="67">
        <f t="array" ref="D830">SUM($B$7:$B825*$F$1009*EXP(-$F$1009*($A830-$A$7:$A825)))*$F$1010</f>
        <v>3100246.3344695373</v>
      </c>
      <c r="E830" s="67">
        <f t="shared" si="77"/>
        <v>5.9103459467310149</v>
      </c>
      <c r="F830" s="70">
        <f t="shared" si="81"/>
        <v>0.35887620588550723</v>
      </c>
      <c r="G830" s="67">
        <f>E830/'Lookup Tables'!$C$48</f>
        <v>11.82069189346203</v>
      </c>
      <c r="H830" s="70">
        <f t="shared" si="78"/>
        <v>3.7134291531160123E-2</v>
      </c>
      <c r="I830" s="71">
        <f t="shared" si="82"/>
        <v>1.7021796326585324E-2</v>
      </c>
      <c r="L830" s="74"/>
      <c r="M830" s="74"/>
      <c r="N830" s="74"/>
      <c r="O830" s="74"/>
      <c r="P830" s="74"/>
      <c r="Q830" s="74"/>
      <c r="R830" s="74"/>
      <c r="S830" s="74"/>
      <c r="T830" s="74"/>
      <c r="U830" s="74"/>
      <c r="V830" s="74"/>
      <c r="W830" s="74"/>
      <c r="X830" s="74"/>
      <c r="Y830" s="74"/>
      <c r="Z830" s="74"/>
    </row>
    <row r="831" spans="1:26" x14ac:dyDescent="0.3">
      <c r="A831" s="66">
        <f t="shared" si="80"/>
        <v>2072.3999999999251</v>
      </c>
      <c r="B831" s="67">
        <f>LOOKUP(A831+0.01,AmountsB!$A$4:$A$103,AmountsB!$B$4:$B$103)*0.1*$A$2</f>
        <v>0</v>
      </c>
      <c r="C831" s="68">
        <f t="shared" si="79"/>
        <v>83655.233518999943</v>
      </c>
      <c r="D831" s="67">
        <f t="array" ref="D831">SUM($B$7:$B826*$F$1009*EXP(-$F$1009*($A831-$A$7:$A826)))*$F$1010</f>
        <v>3095909.0264253416</v>
      </c>
      <c r="E831" s="67">
        <f t="shared" si="77"/>
        <v>5.9020772518425737</v>
      </c>
      <c r="F831" s="70">
        <f t="shared" si="81"/>
        <v>0.35837413073188107</v>
      </c>
      <c r="G831" s="67">
        <f>E831/'Lookup Tables'!$C$48</f>
        <v>11.804154503685147</v>
      </c>
      <c r="H831" s="70">
        <f t="shared" si="78"/>
        <v>3.7082339897645429E-2</v>
      </c>
      <c r="I831" s="71">
        <f t="shared" si="82"/>
        <v>1.6997982485306613E-2</v>
      </c>
      <c r="L831" s="74"/>
      <c r="M831" s="74"/>
      <c r="N831" s="74"/>
      <c r="O831" s="74"/>
      <c r="P831" s="74"/>
      <c r="Q831" s="74"/>
      <c r="R831" s="74"/>
      <c r="S831" s="74"/>
      <c r="T831" s="74"/>
      <c r="U831" s="74"/>
      <c r="V831" s="74"/>
      <c r="W831" s="74"/>
      <c r="X831" s="74"/>
      <c r="Y831" s="74"/>
      <c r="Z831" s="74"/>
    </row>
    <row r="832" spans="1:26" x14ac:dyDescent="0.3">
      <c r="A832" s="66">
        <f t="shared" si="80"/>
        <v>2072.499999999925</v>
      </c>
      <c r="B832" s="67">
        <f>LOOKUP(A832+0.01,AmountsB!$A$4:$A$103,AmountsB!$B$4:$B$103)*0.1*$A$2</f>
        <v>0</v>
      </c>
      <c r="C832" s="68">
        <f t="shared" si="79"/>
        <v>83655.233518999943</v>
      </c>
      <c r="D832" s="67">
        <f t="array" ref="D832">SUM($B$7:$B827*$F$1009*EXP(-$F$1009*($A832-$A$7:$A827)))*$F$1010</f>
        <v>3091577.7863638289</v>
      </c>
      <c r="E832" s="67">
        <f t="shared" si="77"/>
        <v>5.8938201250274362</v>
      </c>
      <c r="F832" s="70">
        <f t="shared" si="81"/>
        <v>0.35787275799166596</v>
      </c>
      <c r="G832" s="67">
        <f>E832/'Lookup Tables'!$C$48</f>
        <v>11.787640250054872</v>
      </c>
      <c r="H832" s="70">
        <f t="shared" si="78"/>
        <v>3.7030460945528809E-2</v>
      </c>
      <c r="I832" s="71">
        <f t="shared" si="82"/>
        <v>1.6974201960079014E-2</v>
      </c>
      <c r="L832" s="74"/>
      <c r="M832" s="74"/>
      <c r="N832" s="74"/>
      <c r="O832" s="74"/>
      <c r="P832" s="74"/>
      <c r="Q832" s="74"/>
      <c r="R832" s="74"/>
      <c r="S832" s="74"/>
      <c r="T832" s="74"/>
      <c r="U832" s="74"/>
      <c r="V832" s="74"/>
      <c r="W832" s="74"/>
      <c r="X832" s="74"/>
      <c r="Y832" s="74"/>
      <c r="Z832" s="74"/>
    </row>
    <row r="833" spans="1:26" x14ac:dyDescent="0.3">
      <c r="A833" s="66">
        <f t="shared" si="80"/>
        <v>2072.5999999999249</v>
      </c>
      <c r="B833" s="67">
        <f>LOOKUP(A833+0.01,AmountsB!$A$4:$A$103,AmountsB!$B$4:$B$103)*0.1*$A$2</f>
        <v>0</v>
      </c>
      <c r="C833" s="68">
        <f t="shared" si="79"/>
        <v>83655.233518999943</v>
      </c>
      <c r="D833" s="67">
        <f t="array" ref="D833">SUM($B$7:$B828*$F$1009*EXP(-$F$1009*($A833-$A$7:$A828)))*$F$1010</f>
        <v>3087252.6057957676</v>
      </c>
      <c r="E833" s="67">
        <f t="shared" si="77"/>
        <v>5.8855745501016319</v>
      </c>
      <c r="F833" s="70">
        <f t="shared" si="81"/>
        <v>0.35737208668217108</v>
      </c>
      <c r="G833" s="67">
        <f>E833/'Lookup Tables'!$C$48</f>
        <v>11.771149100203264</v>
      </c>
      <c r="H833" s="70">
        <f t="shared" si="78"/>
        <v>3.6978654573127517E-2</v>
      </c>
      <c r="I833" s="71">
        <f t="shared" si="82"/>
        <v>1.6950454704292701E-2</v>
      </c>
      <c r="L833" s="74"/>
      <c r="M833" s="74"/>
      <c r="N833" s="74"/>
      <c r="O833" s="74"/>
      <c r="P833" s="74"/>
      <c r="Q833" s="74"/>
      <c r="R833" s="74"/>
      <c r="S833" s="74"/>
      <c r="T833" s="74"/>
      <c r="U833" s="74"/>
      <c r="V833" s="74"/>
      <c r="W833" s="74"/>
      <c r="X833" s="74"/>
      <c r="Y833" s="74"/>
      <c r="Z833" s="74"/>
    </row>
    <row r="834" spans="1:26" x14ac:dyDescent="0.3">
      <c r="A834" s="66">
        <f t="shared" si="80"/>
        <v>2072.6999999999248</v>
      </c>
      <c r="B834" s="67">
        <f>LOOKUP(A834+0.01,AmountsB!$A$4:$A$103,AmountsB!$B$4:$B$103)*0.1*$A$2</f>
        <v>0</v>
      </c>
      <c r="C834" s="68">
        <f t="shared" si="79"/>
        <v>83655.233518999943</v>
      </c>
      <c r="D834" s="67">
        <f t="array" ref="D834">SUM($B$7:$B829*$F$1009*EXP(-$F$1009*($A834-$A$7:$A829)))*$F$1010</f>
        <v>3082933.4762438019</v>
      </c>
      <c r="E834" s="67">
        <f t="shared" si="77"/>
        <v>5.8773405109038288</v>
      </c>
      <c r="F834" s="70">
        <f t="shared" si="81"/>
        <v>0.35687211582208045</v>
      </c>
      <c r="G834" s="67">
        <f>E834/'Lookup Tables'!$C$48</f>
        <v>11.754681021807658</v>
      </c>
      <c r="H834" s="70">
        <f t="shared" si="78"/>
        <v>3.6926920678901007E-2</v>
      </c>
      <c r="I834" s="71">
        <f t="shared" si="82"/>
        <v>1.6926740671403026E-2</v>
      </c>
      <c r="L834" s="74"/>
      <c r="M834" s="74"/>
      <c r="N834" s="74"/>
      <c r="O834" s="74"/>
      <c r="P834" s="74"/>
      <c r="Q834" s="74"/>
      <c r="R834" s="74"/>
      <c r="S834" s="74"/>
      <c r="T834" s="74"/>
      <c r="U834" s="74"/>
      <c r="V834" s="74"/>
      <c r="W834" s="74"/>
      <c r="X834" s="74"/>
      <c r="Y834" s="74"/>
      <c r="Z834" s="74"/>
    </row>
    <row r="835" spans="1:26" x14ac:dyDescent="0.3">
      <c r="A835" s="66">
        <f t="shared" si="80"/>
        <v>2072.7999999999247</v>
      </c>
      <c r="B835" s="67">
        <f>LOOKUP(A835+0.01,AmountsB!$A$4:$A$103,AmountsB!$B$4:$B$103)*0.1*$A$2</f>
        <v>0</v>
      </c>
      <c r="C835" s="68">
        <f t="shared" si="79"/>
        <v>83655.233518999943</v>
      </c>
      <c r="D835" s="67">
        <f t="array" ref="D835">SUM($B$7:$B830*$F$1009*EXP(-$F$1009*($A835-$A$7:$A830)))*$F$1010</f>
        <v>3078620.3892424363</v>
      </c>
      <c r="E835" s="67">
        <f t="shared" si="77"/>
        <v>5.8691179912953082</v>
      </c>
      <c r="F835" s="70">
        <f t="shared" si="81"/>
        <v>0.35637284443145112</v>
      </c>
      <c r="G835" s="67">
        <f>E835/'Lookup Tables'!$C$48</f>
        <v>11.738235982590616</v>
      </c>
      <c r="H835" s="70">
        <f t="shared" si="78"/>
        <v>3.6875259161450853E-2</v>
      </c>
      <c r="I835" s="71">
        <f t="shared" si="82"/>
        <v>1.6903059814930486E-2</v>
      </c>
      <c r="L835" s="74"/>
      <c r="M835" s="74"/>
      <c r="N835" s="74"/>
      <c r="O835" s="74"/>
      <c r="P835" s="74"/>
      <c r="Q835" s="74"/>
      <c r="R835" s="74"/>
      <c r="S835" s="74"/>
      <c r="T835" s="74"/>
      <c r="U835" s="74"/>
      <c r="V835" s="74"/>
      <c r="W835" s="74"/>
      <c r="X835" s="74"/>
      <c r="Y835" s="74"/>
      <c r="Z835" s="74"/>
    </row>
    <row r="836" spans="1:26" x14ac:dyDescent="0.3">
      <c r="A836" s="66">
        <f t="shared" si="80"/>
        <v>2072.8999999999246</v>
      </c>
      <c r="B836" s="67">
        <f>LOOKUP(A836+0.01,AmountsB!$A$4:$A$103,AmountsB!$B$4:$B$103)*0.1*$A$2</f>
        <v>0</v>
      </c>
      <c r="C836" s="68">
        <f t="shared" si="79"/>
        <v>83655.233518999943</v>
      </c>
      <c r="D836" s="67">
        <f t="array" ref="D836">SUM($B$7:$B831*$F$1009*EXP(-$F$1009*($A836-$A$7:$A831)))*$F$1010</f>
        <v>3074313.3363380195</v>
      </c>
      <c r="E836" s="67">
        <f t="shared" si="77"/>
        <v>5.8609069751599296</v>
      </c>
      <c r="F836" s="70">
        <f t="shared" si="81"/>
        <v>0.35587427153171092</v>
      </c>
      <c r="G836" s="67">
        <f>E836/'Lookup Tables'!$C$48</f>
        <v>11.721813950319859</v>
      </c>
      <c r="H836" s="70">
        <f t="shared" si="78"/>
        <v>3.6823669919520463E-2</v>
      </c>
      <c r="I836" s="71">
        <f t="shared" si="82"/>
        <v>1.6879412088460593E-2</v>
      </c>
      <c r="L836" s="74"/>
      <c r="M836" s="74"/>
      <c r="N836" s="74"/>
      <c r="O836" s="74"/>
      <c r="P836" s="74"/>
      <c r="Q836" s="74"/>
      <c r="R836" s="74"/>
      <c r="S836" s="74"/>
      <c r="T836" s="74"/>
      <c r="U836" s="74"/>
      <c r="V836" s="74"/>
      <c r="W836" s="74"/>
      <c r="X836" s="74"/>
      <c r="Y836" s="74"/>
      <c r="Z836" s="74"/>
    </row>
    <row r="837" spans="1:26" x14ac:dyDescent="0.3">
      <c r="A837" s="66">
        <f t="shared" si="80"/>
        <v>2072.9999999999245</v>
      </c>
      <c r="B837" s="67">
        <f>LOOKUP(A837+0.01,AmountsB!$A$4:$A$103,AmountsB!$B$4:$B$103)*0.1*$A$2</f>
        <v>0</v>
      </c>
      <c r="C837" s="68">
        <f t="shared" si="79"/>
        <v>83655.233518999943</v>
      </c>
      <c r="D837" s="67">
        <f t="array" ref="D837">SUM($B$7:$B832*$F$1009*EXP(-$F$1009*($A837-$A$7:$A832)))*$F$1010</f>
        <v>3070012.3090887256</v>
      </c>
      <c r="E837" s="67">
        <f t="shared" si="77"/>
        <v>5.8527074464040982</v>
      </c>
      <c r="F837" s="70">
        <f t="shared" si="81"/>
        <v>0.35537639614565686</v>
      </c>
      <c r="G837" s="67">
        <f>E837/'Lookup Tables'!$C$48</f>
        <v>11.705414892808196</v>
      </c>
      <c r="H837" s="70">
        <f t="shared" si="78"/>
        <v>3.6772152851994908E-2</v>
      </c>
      <c r="I837" s="71">
        <f t="shared" si="82"/>
        <v>1.6855797445643802E-2</v>
      </c>
      <c r="L837" s="74"/>
      <c r="M837" s="74"/>
      <c r="N837" s="74"/>
      <c r="O837" s="74"/>
      <c r="P837" s="74"/>
      <c r="Q837" s="74"/>
      <c r="R837" s="74"/>
      <c r="S837" s="74"/>
      <c r="T837" s="74"/>
      <c r="U837" s="74"/>
      <c r="V837" s="74"/>
      <c r="W837" s="74"/>
      <c r="X837" s="74"/>
      <c r="Y837" s="74"/>
      <c r="Z837" s="74"/>
    </row>
    <row r="838" spans="1:26" x14ac:dyDescent="0.3">
      <c r="A838" s="66">
        <f t="shared" si="80"/>
        <v>2073.0999999999244</v>
      </c>
      <c r="B838" s="67">
        <f>LOOKUP(A838+0.01,AmountsB!$A$4:$A$103,AmountsB!$B$4:$B$103)*0.1*$A$2</f>
        <v>0</v>
      </c>
      <c r="C838" s="68">
        <f t="shared" si="79"/>
        <v>83655.233518999943</v>
      </c>
      <c r="D838" s="67">
        <f t="array" ref="D838">SUM($B$7:$B833*$F$1009*EXP(-$F$1009*($A838-$A$7:$A833)))*$F$1010</f>
        <v>3065717.2990645412</v>
      </c>
      <c r="E838" s="67">
        <f t="shared" si="77"/>
        <v>5.8445193889567379</v>
      </c>
      <c r="F838" s="70">
        <f t="shared" si="81"/>
        <v>0.35487921729745314</v>
      </c>
      <c r="G838" s="67">
        <f>E838/'Lookup Tables'!$C$48</f>
        <v>11.689038777913476</v>
      </c>
      <c r="H838" s="70">
        <f t="shared" si="78"/>
        <v>3.6720707857900721E-2</v>
      </c>
      <c r="I838" s="71">
        <f t="shared" si="82"/>
        <v>1.6832215840195404E-2</v>
      </c>
      <c r="L838" s="74"/>
      <c r="M838" s="74"/>
      <c r="N838" s="74"/>
      <c r="O838" s="74"/>
      <c r="P838" s="74"/>
      <c r="Q838" s="74"/>
      <c r="R838" s="74"/>
      <c r="S838" s="74"/>
      <c r="T838" s="74"/>
      <c r="U838" s="74"/>
      <c r="V838" s="74"/>
      <c r="W838" s="74"/>
      <c r="X838" s="74"/>
      <c r="Y838" s="74"/>
      <c r="Z838" s="74"/>
    </row>
    <row r="839" spans="1:26" x14ac:dyDescent="0.3">
      <c r="A839" s="66">
        <f t="shared" si="80"/>
        <v>2073.1999999999243</v>
      </c>
      <c r="B839" s="67">
        <f>LOOKUP(A839+0.01,AmountsB!$A$4:$A$103,AmountsB!$B$4:$B$103)*0.1*$A$2</f>
        <v>0</v>
      </c>
      <c r="C839" s="68">
        <f t="shared" si="79"/>
        <v>83655.233518999943</v>
      </c>
      <c r="D839" s="67">
        <f t="array" ref="D839">SUM($B$7:$B834*$F$1009*EXP(-$F$1009*($A839-$A$7:$A834)))*$F$1010</f>
        <v>3061428.297847243</v>
      </c>
      <c r="E839" s="67">
        <f t="shared" ref="E839:E902" si="83">D839/(365*24*60)*1.00201</f>
        <v>5.8363427867692472</v>
      </c>
      <c r="F839" s="70">
        <f t="shared" si="81"/>
        <v>0.35438273401262865</v>
      </c>
      <c r="G839" s="67">
        <f>E839/'Lookup Tables'!$C$48</f>
        <v>11.672685573538494</v>
      </c>
      <c r="H839" s="70">
        <f t="shared" ref="H839:H902" si="84">G839*60*24*365/(C839*2000)</f>
        <v>3.6669334836405672E-2</v>
      </c>
      <c r="I839" s="71">
        <f t="shared" si="82"/>
        <v>1.680866722589543E-2</v>
      </c>
      <c r="L839" s="74"/>
      <c r="M839" s="74"/>
      <c r="N839" s="74"/>
      <c r="O839" s="74"/>
      <c r="P839" s="74"/>
      <c r="Q839" s="74"/>
      <c r="R839" s="74"/>
      <c r="S839" s="74"/>
      <c r="T839" s="74"/>
      <c r="U839" s="74"/>
      <c r="V839" s="74"/>
      <c r="W839" s="74"/>
      <c r="X839" s="74"/>
      <c r="Y839" s="74"/>
      <c r="Z839" s="74"/>
    </row>
    <row r="840" spans="1:26" x14ac:dyDescent="0.3">
      <c r="A840" s="66">
        <f t="shared" si="80"/>
        <v>2073.2999999999242</v>
      </c>
      <c r="B840" s="67">
        <f>LOOKUP(A840+0.01,AmountsB!$A$4:$A$103,AmountsB!$B$4:$B$103)*0.1*$A$2</f>
        <v>0</v>
      </c>
      <c r="C840" s="68">
        <f t="shared" si="79"/>
        <v>83655.233518999943</v>
      </c>
      <c r="D840" s="67">
        <f t="array" ref="D840">SUM($B$7:$B835*$F$1009*EXP(-$F$1009*($A840-$A$7:$A835)))*$F$1010</f>
        <v>3057145.2970303884</v>
      </c>
      <c r="E840" s="67">
        <f t="shared" si="83"/>
        <v>5.8281776238154865</v>
      </c>
      <c r="F840" s="70">
        <f t="shared" si="81"/>
        <v>0.3538869453180763</v>
      </c>
      <c r="G840" s="67">
        <f>E840/'Lookup Tables'!$C$48</f>
        <v>11.656355247630973</v>
      </c>
      <c r="H840" s="70">
        <f t="shared" si="84"/>
        <v>3.6618033686818631E-2</v>
      </c>
      <c r="I840" s="71">
        <f t="shared" si="82"/>
        <v>1.67851515565886E-2</v>
      </c>
      <c r="L840" s="74"/>
      <c r="M840" s="74"/>
      <c r="N840" s="74"/>
      <c r="O840" s="74"/>
      <c r="P840" s="74"/>
      <c r="Q840" s="74"/>
      <c r="R840" s="74"/>
      <c r="S840" s="74"/>
      <c r="T840" s="74"/>
      <c r="U840" s="74"/>
      <c r="V840" s="74"/>
      <c r="W840" s="74"/>
      <c r="X840" s="74"/>
      <c r="Y840" s="74"/>
      <c r="Z840" s="74"/>
    </row>
    <row r="841" spans="1:26" x14ac:dyDescent="0.3">
      <c r="A841" s="66">
        <f t="shared" si="80"/>
        <v>2073.3999999999241</v>
      </c>
      <c r="B841" s="67">
        <f>LOOKUP(A841+0.01,AmountsB!$A$4:$A$103,AmountsB!$B$4:$B$103)*0.1*$A$2</f>
        <v>0</v>
      </c>
      <c r="C841" s="68">
        <f t="shared" ref="C841:C904" si="85">C840+B841</f>
        <v>83655.233518999943</v>
      </c>
      <c r="D841" s="67">
        <f t="array" ref="D841">SUM($B$7:$B836*$F$1009*EXP(-$F$1009*($A841-$A$7:$A836)))*$F$1010</f>
        <v>3052868.2882192959</v>
      </c>
      <c r="E841" s="67">
        <f t="shared" si="83"/>
        <v>5.8200238840917367</v>
      </c>
      <c r="F841" s="70">
        <f t="shared" si="81"/>
        <v>0.35339185024205022</v>
      </c>
      <c r="G841" s="67">
        <f>E841/'Lookup Tables'!$C$48</f>
        <v>11.640047768183473</v>
      </c>
      <c r="H841" s="70">
        <f t="shared" si="84"/>
        <v>3.6566804308589364E-2</v>
      </c>
      <c r="I841" s="71">
        <f t="shared" si="82"/>
        <v>1.6761668786184201E-2</v>
      </c>
      <c r="L841" s="74"/>
      <c r="M841" s="74"/>
      <c r="N841" s="74"/>
      <c r="O841" s="74"/>
      <c r="P841" s="74"/>
      <c r="Q841" s="74"/>
      <c r="R841" s="74"/>
      <c r="S841" s="74"/>
      <c r="T841" s="74"/>
      <c r="U841" s="74"/>
      <c r="V841" s="74"/>
      <c r="W841" s="74"/>
      <c r="X841" s="74"/>
      <c r="Y841" s="74"/>
      <c r="Z841" s="74"/>
    </row>
    <row r="842" spans="1:26" x14ac:dyDescent="0.3">
      <c r="A842" s="66">
        <f t="shared" si="80"/>
        <v>2073.4999999999241</v>
      </c>
      <c r="B842" s="67">
        <f>LOOKUP(A842+0.01,AmountsB!$A$4:$A$103,AmountsB!$B$4:$B$103)*0.1*$A$2</f>
        <v>0</v>
      </c>
      <c r="C842" s="68">
        <f t="shared" si="85"/>
        <v>83655.233518999943</v>
      </c>
      <c r="D842" s="67">
        <f t="array" ref="D842">SUM($B$7:$B837*$F$1009*EXP(-$F$1009*($A842-$A$7:$A837)))*$F$1010</f>
        <v>3048597.2630310259</v>
      </c>
      <c r="E842" s="67">
        <f t="shared" si="83"/>
        <v>5.811881551616664</v>
      </c>
      <c r="F842" s="70">
        <f t="shared" si="81"/>
        <v>0.35289744781416382</v>
      </c>
      <c r="G842" s="67">
        <f>E842/'Lookup Tables'!$C$48</f>
        <v>11.623763103233328</v>
      </c>
      <c r="H842" s="70">
        <f t="shared" si="84"/>
        <v>3.6515646601308252E-2</v>
      </c>
      <c r="I842" s="71">
        <f t="shared" si="82"/>
        <v>1.6738218868655994E-2</v>
      </c>
      <c r="L842" s="74"/>
      <c r="M842" s="74"/>
      <c r="N842" s="74"/>
      <c r="O842" s="74"/>
      <c r="P842" s="74"/>
      <c r="Q842" s="74"/>
      <c r="R842" s="74"/>
      <c r="S842" s="74"/>
      <c r="T842" s="74"/>
      <c r="U842" s="74"/>
      <c r="V842" s="74"/>
      <c r="W842" s="74"/>
      <c r="X842" s="74"/>
      <c r="Y842" s="74"/>
      <c r="Z842" s="74"/>
    </row>
    <row r="843" spans="1:26" x14ac:dyDescent="0.3">
      <c r="A843" s="66">
        <f t="shared" si="80"/>
        <v>2073.599999999924</v>
      </c>
      <c r="B843" s="67">
        <f>LOOKUP(A843+0.01,AmountsB!$A$4:$A$103,AmountsB!$B$4:$B$103)*0.1*$A$2</f>
        <v>0</v>
      </c>
      <c r="C843" s="68">
        <f t="shared" si="85"/>
        <v>83655.233518999943</v>
      </c>
      <c r="D843" s="67">
        <f t="array" ref="D843">SUM($B$7:$B838*$F$1009*EXP(-$F$1009*($A843-$A$7:$A838)))*$F$1010</f>
        <v>3044332.2130943658</v>
      </c>
      <c r="E843" s="67">
        <f t="shared" si="83"/>
        <v>5.8037506104312886</v>
      </c>
      <c r="F843" s="70">
        <f t="shared" si="81"/>
        <v>0.35240373706538786</v>
      </c>
      <c r="G843" s="67">
        <f>E843/'Lookup Tables'!$C$48</f>
        <v>11.607501220862577</v>
      </c>
      <c r="H843" s="70">
        <f t="shared" si="84"/>
        <v>3.6464560464706135E-2</v>
      </c>
      <c r="I843" s="71">
        <f t="shared" si="82"/>
        <v>1.671480175804211E-2</v>
      </c>
      <c r="L843" s="74"/>
      <c r="M843" s="74"/>
      <c r="N843" s="74"/>
      <c r="O843" s="74"/>
      <c r="P843" s="74"/>
      <c r="Q843" s="74"/>
      <c r="R843" s="74"/>
      <c r="S843" s="74"/>
      <c r="T843" s="74"/>
      <c r="U843" s="74"/>
      <c r="V843" s="74"/>
      <c r="W843" s="74"/>
      <c r="X843" s="74"/>
      <c r="Y843" s="74"/>
      <c r="Z843" s="74"/>
    </row>
    <row r="844" spans="1:26" x14ac:dyDescent="0.3">
      <c r="A844" s="66">
        <f t="shared" si="80"/>
        <v>2073.6999999999239</v>
      </c>
      <c r="B844" s="67">
        <f>LOOKUP(A844+0.01,AmountsB!$A$4:$A$103,AmountsB!$B$4:$B$103)*0.1*$A$2</f>
        <v>0</v>
      </c>
      <c r="C844" s="68">
        <f t="shared" si="85"/>
        <v>83655.233518999943</v>
      </c>
      <c r="D844" s="67">
        <f t="array" ref="D844">SUM($B$7:$B839*$F$1009*EXP(-$F$1009*($A844-$A$7:$A839)))*$F$1010</f>
        <v>3040073.1300498191</v>
      </c>
      <c r="E844" s="67">
        <f t="shared" si="83"/>
        <v>5.7956310445989709</v>
      </c>
      <c r="F844" s="70">
        <f t="shared" si="81"/>
        <v>0.35191071702804955</v>
      </c>
      <c r="G844" s="67">
        <f>E844/'Lookup Tables'!$C$48</f>
        <v>11.591262089197942</v>
      </c>
      <c r="H844" s="70">
        <f t="shared" si="84"/>
        <v>3.6413545798654232E-2</v>
      </c>
      <c r="I844" s="71">
        <f t="shared" si="82"/>
        <v>1.6691417408445035E-2</v>
      </c>
      <c r="L844" s="74"/>
      <c r="M844" s="74"/>
      <c r="N844" s="74"/>
      <c r="O844" s="74"/>
      <c r="P844" s="74"/>
      <c r="Q844" s="74"/>
      <c r="R844" s="74"/>
      <c r="S844" s="74"/>
      <c r="T844" s="74"/>
      <c r="U844" s="74"/>
      <c r="V844" s="74"/>
      <c r="W844" s="74"/>
      <c r="X844" s="74"/>
      <c r="Y844" s="74"/>
      <c r="Z844" s="74"/>
    </row>
    <row r="845" spans="1:26" x14ac:dyDescent="0.3">
      <c r="A845" s="66">
        <f t="shared" si="80"/>
        <v>2073.7999999999238</v>
      </c>
      <c r="B845" s="67">
        <f>LOOKUP(A845+0.01,AmountsB!$A$4:$A$103,AmountsB!$B$4:$B$103)*0.1*$A$2</f>
        <v>0</v>
      </c>
      <c r="C845" s="68">
        <f t="shared" si="85"/>
        <v>83655.233518999943</v>
      </c>
      <c r="D845" s="67">
        <f t="array" ref="D845">SUM($B$7:$B840*$F$1009*EXP(-$F$1009*($A845-$A$7:$A840)))*$F$1010</f>
        <v>3035820.0055495799</v>
      </c>
      <c r="E845" s="67">
        <f t="shared" si="83"/>
        <v>5.787522838205355</v>
      </c>
      <c r="F845" s="70">
        <f t="shared" si="81"/>
        <v>0.3514183867358292</v>
      </c>
      <c r="G845" s="67">
        <f>E845/'Lookup Tables'!$C$48</f>
        <v>11.57504567641071</v>
      </c>
      <c r="H845" s="70">
        <f t="shared" si="84"/>
        <v>3.6362602503163741E-2</v>
      </c>
      <c r="I845" s="71">
        <f t="shared" si="82"/>
        <v>1.6668065774031425E-2</v>
      </c>
      <c r="L845" s="74"/>
      <c r="M845" s="74"/>
      <c r="N845" s="74"/>
      <c r="O845" s="74"/>
      <c r="P845" s="74"/>
      <c r="Q845" s="74"/>
      <c r="R845" s="74"/>
      <c r="S845" s="74"/>
      <c r="T845" s="74"/>
      <c r="U845" s="74"/>
      <c r="V845" s="74"/>
      <c r="W845" s="74"/>
      <c r="X845" s="74"/>
      <c r="Y845" s="74"/>
      <c r="Z845" s="74"/>
    </row>
    <row r="846" spans="1:26" x14ac:dyDescent="0.3">
      <c r="A846" s="66">
        <f t="shared" si="80"/>
        <v>2073.8999999999237</v>
      </c>
      <c r="B846" s="67">
        <f>LOOKUP(A846+0.01,AmountsB!$A$4:$A$103,AmountsB!$B$4:$B$103)*0.1*$A$2</f>
        <v>0</v>
      </c>
      <c r="C846" s="68">
        <f t="shared" si="85"/>
        <v>83655.233518999943</v>
      </c>
      <c r="D846" s="67">
        <f t="array" ref="D846">SUM($B$7:$B841*$F$1009*EXP(-$F$1009*($A846-$A$7:$A841)))*$F$1010</f>
        <v>3031572.831257524</v>
      </c>
      <c r="E846" s="67">
        <f t="shared" si="83"/>
        <v>5.7794259753583557</v>
      </c>
      <c r="F846" s="70">
        <f t="shared" si="81"/>
        <v>0.35092674522375938</v>
      </c>
      <c r="G846" s="67">
        <f>E846/'Lookup Tables'!$C$48</f>
        <v>11.558851950716711</v>
      </c>
      <c r="H846" s="70">
        <f t="shared" si="84"/>
        <v>3.6311730478385797E-2</v>
      </c>
      <c r="I846" s="71">
        <f t="shared" si="82"/>
        <v>1.6644746809032065E-2</v>
      </c>
      <c r="L846" s="74"/>
      <c r="M846" s="74"/>
      <c r="N846" s="74"/>
      <c r="O846" s="74"/>
      <c r="P846" s="74"/>
      <c r="Q846" s="74"/>
      <c r="R846" s="74"/>
      <c r="S846" s="74"/>
      <c r="T846" s="74"/>
      <c r="U846" s="74"/>
      <c r="V846" s="74"/>
      <c r="W846" s="74"/>
      <c r="X846" s="74"/>
      <c r="Y846" s="74"/>
      <c r="Z846" s="74"/>
    </row>
    <row r="847" spans="1:26" x14ac:dyDescent="0.3">
      <c r="A847" s="66">
        <f t="shared" si="80"/>
        <v>2073.9999999999236</v>
      </c>
      <c r="B847" s="67">
        <f>LOOKUP(A847+0.01,AmountsB!$A$4:$A$103,AmountsB!$B$4:$B$103)*0.1*$A$2</f>
        <v>0</v>
      </c>
      <c r="C847" s="68">
        <f t="shared" si="85"/>
        <v>83655.233518999943</v>
      </c>
      <c r="D847" s="67">
        <f t="array" ref="D847">SUM($B$7:$B842*$F$1009*EXP(-$F$1009*($A847-$A$7:$A842)))*$F$1010</f>
        <v>3027331.5988491885</v>
      </c>
      <c r="E847" s="67">
        <f t="shared" si="83"/>
        <v>5.7713404401881201</v>
      </c>
      <c r="F847" s="70">
        <f t="shared" si="81"/>
        <v>0.35043579152822263</v>
      </c>
      <c r="G847" s="67">
        <f>E847/'Lookup Tables'!$C$48</f>
        <v>11.54268088037624</v>
      </c>
      <c r="H847" s="70">
        <f t="shared" si="84"/>
        <v>3.6260929624611228E-2</v>
      </c>
      <c r="I847" s="71">
        <f t="shared" si="82"/>
        <v>1.6621460467741784E-2</v>
      </c>
      <c r="L847" s="74"/>
      <c r="M847" s="74"/>
      <c r="N847" s="74"/>
      <c r="O847" s="74"/>
      <c r="P847" s="74"/>
      <c r="Q847" s="74"/>
      <c r="R847" s="74"/>
      <c r="S847" s="74"/>
      <c r="T847" s="74"/>
      <c r="U847" s="74"/>
      <c r="V847" s="74"/>
      <c r="W847" s="74"/>
      <c r="X847" s="74"/>
      <c r="Y847" s="74"/>
      <c r="Z847" s="74"/>
    </row>
    <row r="848" spans="1:26" x14ac:dyDescent="0.3">
      <c r="A848" s="66">
        <f t="shared" si="80"/>
        <v>2074.0999999999235</v>
      </c>
      <c r="B848" s="67">
        <f>LOOKUP(A848+0.01,AmountsB!$A$4:$A$103,AmountsB!$B$4:$B$103)*0.1*$A$2</f>
        <v>0</v>
      </c>
      <c r="C848" s="68">
        <f t="shared" si="85"/>
        <v>83655.233518999943</v>
      </c>
      <c r="D848" s="67">
        <f t="array" ref="D848">SUM($B$7:$B843*$F$1009*EXP(-$F$1009*($A848-$A$7:$A843)))*$F$1010</f>
        <v>3023096.3000117545</v>
      </c>
      <c r="E848" s="67">
        <f t="shared" si="83"/>
        <v>5.7632662168469908</v>
      </c>
      <c r="F848" s="70">
        <f t="shared" si="81"/>
        <v>0.34994552468694934</v>
      </c>
      <c r="G848" s="67">
        <f>E848/'Lookup Tables'!$C$48</f>
        <v>11.526532433693982</v>
      </c>
      <c r="H848" s="70">
        <f t="shared" si="84"/>
        <v>3.6210199842270314E-2</v>
      </c>
      <c r="I848" s="71">
        <f t="shared" si="82"/>
        <v>1.6598206704519333E-2</v>
      </c>
      <c r="L848" s="74"/>
      <c r="M848" s="74"/>
      <c r="N848" s="74"/>
      <c r="O848" s="74"/>
      <c r="P848" s="74"/>
      <c r="Q848" s="74"/>
      <c r="R848" s="74"/>
      <c r="S848" s="74"/>
      <c r="T848" s="74"/>
      <c r="U848" s="74"/>
      <c r="V848" s="74"/>
      <c r="W848" s="74"/>
      <c r="X848" s="74"/>
      <c r="Y848" s="74"/>
      <c r="Z848" s="74"/>
    </row>
    <row r="849" spans="1:26" x14ac:dyDescent="0.3">
      <c r="A849" s="66">
        <f t="shared" si="80"/>
        <v>2074.1999999999234</v>
      </c>
      <c r="B849" s="67">
        <f>LOOKUP(A849+0.01,AmountsB!$A$4:$A$103,AmountsB!$B$4:$B$103)*0.1*$A$2</f>
        <v>0</v>
      </c>
      <c r="C849" s="68">
        <f t="shared" si="85"/>
        <v>83655.233518999943</v>
      </c>
      <c r="D849" s="67">
        <f t="array" ref="D849">SUM($B$7:$B844*$F$1009*EXP(-$F$1009*($A849-$A$7:$A844)))*$F$1010</f>
        <v>3018866.9264440374</v>
      </c>
      <c r="E849" s="67">
        <f t="shared" si="83"/>
        <v>5.7552032895094936</v>
      </c>
      <c r="F849" s="70">
        <f t="shared" si="81"/>
        <v>0.34945594373901645</v>
      </c>
      <c r="G849" s="67">
        <f>E849/'Lookup Tables'!$C$48</f>
        <v>11.510406579018987</v>
      </c>
      <c r="H849" s="70">
        <f t="shared" si="84"/>
        <v>3.6159541031932682E-2</v>
      </c>
      <c r="I849" s="71">
        <f t="shared" si="82"/>
        <v>1.657498547378734E-2</v>
      </c>
      <c r="L849" s="74"/>
      <c r="M849" s="74"/>
      <c r="N849" s="74"/>
      <c r="O849" s="74"/>
      <c r="P849" s="74"/>
      <c r="Q849" s="74"/>
      <c r="R849" s="74"/>
      <c r="S849" s="74"/>
      <c r="T849" s="74"/>
      <c r="U849" s="74"/>
      <c r="V849" s="74"/>
      <c r="W849" s="74"/>
      <c r="X849" s="74"/>
      <c r="Y849" s="74"/>
      <c r="Z849" s="74"/>
    </row>
    <row r="850" spans="1:26" x14ac:dyDescent="0.3">
      <c r="A850" s="66">
        <f t="shared" si="80"/>
        <v>2074.2999999999233</v>
      </c>
      <c r="B850" s="67">
        <f>LOOKUP(A850+0.01,AmountsB!$A$4:$A$103,AmountsB!$B$4:$B$103)*0.1*$A$2</f>
        <v>0</v>
      </c>
      <c r="C850" s="68">
        <f t="shared" si="85"/>
        <v>83655.233518999943</v>
      </c>
      <c r="D850" s="67">
        <f t="array" ref="D850">SUM($B$7:$B845*$F$1009*EXP(-$F$1009*($A850-$A$7:$A845)))*$F$1010</f>
        <v>3014643.4698564624</v>
      </c>
      <c r="E850" s="67">
        <f t="shared" si="83"/>
        <v>5.7471516423722866</v>
      </c>
      <c r="F850" s="70">
        <f t="shared" si="81"/>
        <v>0.34896704772484521</v>
      </c>
      <c r="G850" s="67">
        <f>E850/'Lookup Tables'!$C$48</f>
        <v>11.494303284744573</v>
      </c>
      <c r="H850" s="70">
        <f t="shared" si="84"/>
        <v>3.6108953094307068E-2</v>
      </c>
      <c r="I850" s="71">
        <f t="shared" si="82"/>
        <v>1.6551796730032185E-2</v>
      </c>
      <c r="L850" s="74"/>
      <c r="M850" s="74"/>
      <c r="N850" s="74"/>
      <c r="O850" s="74"/>
      <c r="P850" s="74"/>
      <c r="Q850" s="74"/>
      <c r="R850" s="74"/>
      <c r="S850" s="74"/>
      <c r="T850" s="74"/>
      <c r="U850" s="74"/>
      <c r="V850" s="74"/>
      <c r="W850" s="74"/>
      <c r="X850" s="74"/>
      <c r="Y850" s="74"/>
      <c r="Z850" s="74"/>
    </row>
    <row r="851" spans="1:26" x14ac:dyDescent="0.3">
      <c r="A851" s="66">
        <f t="shared" ref="A851:A914" si="86">A850+0.1</f>
        <v>2074.3999999999232</v>
      </c>
      <c r="B851" s="67">
        <f>LOOKUP(A851+0.01,AmountsB!$A$4:$A$103,AmountsB!$B$4:$B$103)*0.1*$A$2</f>
        <v>0</v>
      </c>
      <c r="C851" s="68">
        <f t="shared" si="85"/>
        <v>83655.233518999943</v>
      </c>
      <c r="D851" s="67">
        <f t="array" ref="D851">SUM($B$7:$B846*$F$1009*EXP(-$F$1009*($A851-$A$7:$A846)))*$F$1010</f>
        <v>3010425.9219710534</v>
      </c>
      <c r="E851" s="67">
        <f t="shared" si="83"/>
        <v>5.7391112596541385</v>
      </c>
      <c r="F851" s="70">
        <f t="shared" ref="F851:F914" si="87">E851*60*1012/1000000</f>
        <v>0.34847883568619931</v>
      </c>
      <c r="G851" s="67">
        <f>E851/'Lookup Tables'!$C$48</f>
        <v>11.478222519308277</v>
      </c>
      <c r="H851" s="70">
        <f t="shared" si="84"/>
        <v>3.6058435930241071E-2</v>
      </c>
      <c r="I851" s="71">
        <f t="shared" ref="I851:I914" si="88">G851*60*24/1000000</f>
        <v>1.6528640427803918E-2</v>
      </c>
      <c r="L851" s="74"/>
      <c r="M851" s="74"/>
      <c r="N851" s="74"/>
      <c r="O851" s="74"/>
      <c r="P851" s="74"/>
      <c r="Q851" s="74"/>
      <c r="R851" s="74"/>
      <c r="S851" s="74"/>
      <c r="T851" s="74"/>
      <c r="U851" s="74"/>
      <c r="V851" s="74"/>
      <c r="W851" s="74"/>
      <c r="X851" s="74"/>
      <c r="Y851" s="74"/>
      <c r="Z851" s="74"/>
    </row>
    <row r="852" spans="1:26" x14ac:dyDescent="0.3">
      <c r="A852" s="66">
        <f t="shared" si="86"/>
        <v>2074.4999999999231</v>
      </c>
      <c r="B852" s="67">
        <f>LOOKUP(A852+0.01,AmountsB!$A$4:$A$103,AmountsB!$B$4:$B$103)*0.1*$A$2</f>
        <v>0</v>
      </c>
      <c r="C852" s="68">
        <f t="shared" si="85"/>
        <v>83655.233518999943</v>
      </c>
      <c r="D852" s="67">
        <f t="array" ref="D852">SUM($B$7:$B847*$F$1009*EXP(-$F$1009*($A852-$A$7:$A847)))*$F$1010</f>
        <v>3006214.2745214147</v>
      </c>
      <c r="E852" s="67">
        <f t="shared" si="83"/>
        <v>5.7310821255958961</v>
      </c>
      <c r="F852" s="70">
        <f t="shared" si="87"/>
        <v>0.34799130666618283</v>
      </c>
      <c r="G852" s="67">
        <f>E852/'Lookup Tables'!$C$48</f>
        <v>11.462164251191792</v>
      </c>
      <c r="H852" s="70">
        <f t="shared" si="84"/>
        <v>3.600798944072104E-2</v>
      </c>
      <c r="I852" s="71">
        <f t="shared" si="88"/>
        <v>1.6505516521716182E-2</v>
      </c>
      <c r="L852" s="74"/>
      <c r="M852" s="74"/>
      <c r="N852" s="74"/>
      <c r="O852" s="74"/>
      <c r="P852" s="74"/>
      <c r="Q852" s="74"/>
      <c r="R852" s="74"/>
      <c r="S852" s="74"/>
      <c r="T852" s="74"/>
      <c r="U852" s="74"/>
      <c r="V852" s="74"/>
      <c r="W852" s="74"/>
      <c r="X852" s="74"/>
      <c r="Y852" s="74"/>
      <c r="Z852" s="74"/>
    </row>
    <row r="853" spans="1:26" x14ac:dyDescent="0.3">
      <c r="A853" s="66">
        <f t="shared" si="86"/>
        <v>2074.5999999999231</v>
      </c>
      <c r="B853" s="67">
        <f>LOOKUP(A853+0.01,AmountsB!$A$4:$A$103,AmountsB!$B$4:$B$103)*0.1*$A$2</f>
        <v>0</v>
      </c>
      <c r="C853" s="68">
        <f t="shared" si="85"/>
        <v>83655.233518999943</v>
      </c>
      <c r="D853" s="67">
        <f t="array" ref="D853">SUM($B$7:$B848*$F$1009*EXP(-$F$1009*($A853-$A$7:$A848)))*$F$1010</f>
        <v>3002008.5192527161</v>
      </c>
      <c r="E853" s="67">
        <f t="shared" si="83"/>
        <v>5.7230642244604528</v>
      </c>
      <c r="F853" s="70">
        <f t="shared" si="87"/>
        <v>0.34750445970923866</v>
      </c>
      <c r="G853" s="67">
        <f>E853/'Lookup Tables'!$C$48</f>
        <v>11.446128448920906</v>
      </c>
      <c r="H853" s="70">
        <f t="shared" si="84"/>
        <v>3.5957613526871823E-2</v>
      </c>
      <c r="I853" s="71">
        <f t="shared" si="88"/>
        <v>1.6482424966446103E-2</v>
      </c>
      <c r="L853" s="74"/>
      <c r="M853" s="74"/>
      <c r="N853" s="74"/>
      <c r="O853" s="74"/>
      <c r="P853" s="74"/>
      <c r="Q853" s="74"/>
      <c r="R853" s="74"/>
      <c r="S853" s="74"/>
      <c r="T853" s="74"/>
      <c r="U853" s="74"/>
      <c r="V853" s="74"/>
      <c r="W853" s="74"/>
      <c r="X853" s="74"/>
      <c r="Y853" s="74"/>
      <c r="Z853" s="74"/>
    </row>
    <row r="854" spans="1:26" x14ac:dyDescent="0.3">
      <c r="A854" s="66">
        <f t="shared" si="86"/>
        <v>2074.699999999923</v>
      </c>
      <c r="B854" s="67">
        <f>LOOKUP(A854+0.01,AmountsB!$A$4:$A$103,AmountsB!$B$4:$B$103)*0.1*$A$2</f>
        <v>0</v>
      </c>
      <c r="C854" s="68">
        <f t="shared" si="85"/>
        <v>83655.233518999943</v>
      </c>
      <c r="D854" s="67">
        <f t="array" ref="D854">SUM($B$7:$B849*$F$1009*EXP(-$F$1009*($A854-$A$7:$A849)))*$F$1010</f>
        <v>2997808.6479216763</v>
      </c>
      <c r="E854" s="67">
        <f t="shared" si="83"/>
        <v>5.7150575405327224</v>
      </c>
      <c r="F854" s="70">
        <f t="shared" si="87"/>
        <v>0.34701829386114691</v>
      </c>
      <c r="G854" s="67">
        <f>E854/'Lookup Tables'!$C$48</f>
        <v>11.430115081065445</v>
      </c>
      <c r="H854" s="70">
        <f t="shared" si="84"/>
        <v>3.5907308089956638E-2</v>
      </c>
      <c r="I854" s="71">
        <f t="shared" si="88"/>
        <v>1.6459365716734238E-2</v>
      </c>
      <c r="L854" s="74"/>
      <c r="M854" s="74"/>
      <c r="N854" s="74"/>
      <c r="O854" s="74"/>
      <c r="P854" s="74"/>
      <c r="Q854" s="74"/>
      <c r="R854" s="74"/>
      <c r="S854" s="74"/>
      <c r="T854" s="74"/>
      <c r="U854" s="74"/>
      <c r="V854" s="74"/>
      <c r="W854" s="74"/>
      <c r="X854" s="74"/>
      <c r="Y854" s="74"/>
      <c r="Z854" s="74"/>
    </row>
    <row r="855" spans="1:26" x14ac:dyDescent="0.3">
      <c r="A855" s="66">
        <f t="shared" si="86"/>
        <v>2074.7999999999229</v>
      </c>
      <c r="B855" s="67">
        <f>LOOKUP(A855+0.01,AmountsB!$A$4:$A$103,AmountsB!$B$4:$B$103)*0.1*$A$2</f>
        <v>0</v>
      </c>
      <c r="C855" s="68">
        <f t="shared" si="85"/>
        <v>83655.233518999943</v>
      </c>
      <c r="D855" s="67">
        <f t="array" ref="D855">SUM($B$7:$B850*$F$1009*EXP(-$F$1009*($A855-$A$7:$A850)))*$F$1010</f>
        <v>2993614.6522965464</v>
      </c>
      <c r="E855" s="67">
        <f t="shared" si="83"/>
        <v>5.7070620581196012</v>
      </c>
      <c r="F855" s="70">
        <f t="shared" si="87"/>
        <v>0.34653280816902221</v>
      </c>
      <c r="G855" s="67">
        <f>E855/'Lookup Tables'!$C$48</f>
        <v>11.414124116239202</v>
      </c>
      <c r="H855" s="70">
        <f t="shared" si="84"/>
        <v>3.58570730313768E-2</v>
      </c>
      <c r="I855" s="71">
        <f t="shared" si="88"/>
        <v>1.643633872738445E-2</v>
      </c>
      <c r="L855" s="74"/>
      <c r="M855" s="74"/>
      <c r="N855" s="74"/>
      <c r="O855" s="74"/>
      <c r="P855" s="74"/>
      <c r="Q855" s="74"/>
      <c r="R855" s="74"/>
      <c r="S855" s="74"/>
      <c r="T855" s="74"/>
      <c r="U855" s="74"/>
      <c r="V855" s="74"/>
      <c r="W855" s="74"/>
      <c r="X855" s="74"/>
      <c r="Y855" s="74"/>
      <c r="Z855" s="74"/>
    </row>
    <row r="856" spans="1:26" x14ac:dyDescent="0.3">
      <c r="A856" s="66">
        <f t="shared" si="86"/>
        <v>2074.8999999999228</v>
      </c>
      <c r="B856" s="67">
        <f>LOOKUP(A856+0.01,AmountsB!$A$4:$A$103,AmountsB!$B$4:$B$103)*0.1*$A$2</f>
        <v>0</v>
      </c>
      <c r="C856" s="68">
        <f t="shared" si="85"/>
        <v>83655.233518999943</v>
      </c>
      <c r="D856" s="67">
        <f t="array" ref="D856">SUM($B$7:$B851*$F$1009*EXP(-$F$1009*($A856-$A$7:$A851)))*$F$1010</f>
        <v>2989426.5241570934</v>
      </c>
      <c r="E856" s="67">
        <f t="shared" si="83"/>
        <v>5.6990777615499413</v>
      </c>
      <c r="F856" s="70">
        <f t="shared" si="87"/>
        <v>0.34604800168131239</v>
      </c>
      <c r="G856" s="67">
        <f>E856/'Lookup Tables'!$C$48</f>
        <v>11.398155523099883</v>
      </c>
      <c r="H856" s="70">
        <f t="shared" si="84"/>
        <v>3.5806908252671597E-2</v>
      </c>
      <c r="I856" s="71">
        <f t="shared" si="88"/>
        <v>1.6413343953263829E-2</v>
      </c>
      <c r="L856" s="74"/>
      <c r="M856" s="74"/>
      <c r="N856" s="74"/>
      <c r="O856" s="74"/>
      <c r="P856" s="74"/>
      <c r="Q856" s="74"/>
      <c r="R856" s="74"/>
      <c r="S856" s="74"/>
      <c r="T856" s="74"/>
      <c r="U856" s="74"/>
      <c r="V856" s="74"/>
      <c r="W856" s="74"/>
      <c r="X856" s="74"/>
      <c r="Y856" s="74"/>
      <c r="Z856" s="74"/>
    </row>
    <row r="857" spans="1:26" x14ac:dyDescent="0.3">
      <c r="A857" s="66">
        <f t="shared" si="86"/>
        <v>2074.9999999999227</v>
      </c>
      <c r="B857" s="67">
        <f>LOOKUP(A857+0.01,AmountsB!$A$4:$A$103,AmountsB!$B$4:$B$103)*0.1*$A$2</f>
        <v>0</v>
      </c>
      <c r="C857" s="68">
        <f t="shared" si="85"/>
        <v>83655.233518999943</v>
      </c>
      <c r="D857" s="67">
        <f t="array" ref="D857">SUM($B$7:$B852*$F$1009*EXP(-$F$1009*($A857-$A$7:$A852)))*$F$1010</f>
        <v>2985244.2552945847</v>
      </c>
      <c r="E857" s="67">
        <f t="shared" si="83"/>
        <v>5.6911046351745185</v>
      </c>
      <c r="F857" s="70">
        <f t="shared" si="87"/>
        <v>0.34556387344779671</v>
      </c>
      <c r="G857" s="67">
        <f>E857/'Lookup Tables'!$C$48</f>
        <v>11.382209270349037</v>
      </c>
      <c r="H857" s="70">
        <f t="shared" si="84"/>
        <v>3.575681365551802E-2</v>
      </c>
      <c r="I857" s="71">
        <f t="shared" si="88"/>
        <v>1.639038134930261E-2</v>
      </c>
      <c r="L857" s="74"/>
      <c r="M857" s="74"/>
      <c r="N857" s="74"/>
      <c r="O857" s="74"/>
      <c r="P857" s="74"/>
      <c r="Q857" s="74"/>
      <c r="R857" s="74"/>
      <c r="S857" s="74"/>
      <c r="T857" s="74"/>
      <c r="U857" s="74"/>
      <c r="V857" s="74"/>
      <c r="W857" s="74"/>
      <c r="X857" s="74"/>
      <c r="Y857" s="74"/>
      <c r="Z857" s="74"/>
    </row>
    <row r="858" spans="1:26" x14ac:dyDescent="0.3">
      <c r="A858" s="66">
        <f t="shared" si="86"/>
        <v>2075.0999999999226</v>
      </c>
      <c r="B858" s="67">
        <f>LOOKUP(A858+0.01,AmountsB!$A$4:$A$103,AmountsB!$B$4:$B$103)*0.1*$A$2</f>
        <v>0</v>
      </c>
      <c r="C858" s="68">
        <f t="shared" si="85"/>
        <v>83655.233518999943</v>
      </c>
      <c r="D858" s="67">
        <f t="array" ref="D858">SUM($B$7:$B853*$F$1009*EXP(-$F$1009*($A858-$A$7:$A853)))*$F$1010</f>
        <v>2981067.8375117728</v>
      </c>
      <c r="E858" s="67">
        <f t="shared" si="83"/>
        <v>5.6831426633660032</v>
      </c>
      <c r="F858" s="70">
        <f t="shared" si="87"/>
        <v>0.34508042251958371</v>
      </c>
      <c r="G858" s="67">
        <f>E858/'Lookup Tables'!$C$48</f>
        <v>11.366285326732006</v>
      </c>
      <c r="H858" s="70">
        <f t="shared" si="84"/>
        <v>3.5706789141730672E-2</v>
      </c>
      <c r="I858" s="71">
        <f t="shared" si="88"/>
        <v>1.6367450870494089E-2</v>
      </c>
      <c r="L858" s="74"/>
      <c r="M858" s="74"/>
      <c r="N858" s="74"/>
      <c r="O858" s="74"/>
      <c r="P858" s="74"/>
      <c r="Q858" s="74"/>
      <c r="R858" s="74"/>
      <c r="S858" s="74"/>
      <c r="T858" s="74"/>
      <c r="U858" s="74"/>
      <c r="V858" s="74"/>
      <c r="W858" s="74"/>
      <c r="X858" s="74"/>
      <c r="Y858" s="74"/>
      <c r="Z858" s="74"/>
    </row>
    <row r="859" spans="1:26" x14ac:dyDescent="0.3">
      <c r="A859" s="66">
        <f t="shared" si="86"/>
        <v>2075.1999999999225</v>
      </c>
      <c r="B859" s="67">
        <f>LOOKUP(A859+0.01,AmountsB!$A$4:$A$103,AmountsB!$B$4:$B$103)*0.1*$A$2</f>
        <v>0</v>
      </c>
      <c r="C859" s="68">
        <f t="shared" si="85"/>
        <v>83655.233518999943</v>
      </c>
      <c r="D859" s="67">
        <f t="array" ref="D859">SUM($B$7:$B854*$F$1009*EXP(-$F$1009*($A859-$A$7:$A854)))*$F$1010</f>
        <v>2976897.2626228761</v>
      </c>
      <c r="E859" s="67">
        <f t="shared" si="83"/>
        <v>5.6751918305189273</v>
      </c>
      <c r="F859" s="70">
        <f t="shared" si="87"/>
        <v>0.34459764794910924</v>
      </c>
      <c r="G859" s="67">
        <f>E859/'Lookup Tables'!$C$48</f>
        <v>11.350383661037855</v>
      </c>
      <c r="H859" s="70">
        <f t="shared" si="84"/>
        <v>3.5656834613261468E-2</v>
      </c>
      <c r="I859" s="71">
        <f t="shared" si="88"/>
        <v>1.6344552471894511E-2</v>
      </c>
      <c r="L859" s="74"/>
      <c r="M859" s="74"/>
      <c r="N859" s="74"/>
      <c r="O859" s="74"/>
      <c r="P859" s="74"/>
      <c r="Q859" s="74"/>
      <c r="R859" s="74"/>
      <c r="S859" s="74"/>
      <c r="T859" s="74"/>
      <c r="U859" s="74"/>
      <c r="V859" s="74"/>
      <c r="W859" s="74"/>
      <c r="X859" s="74"/>
      <c r="Y859" s="74"/>
      <c r="Z859" s="74"/>
    </row>
    <row r="860" spans="1:26" x14ac:dyDescent="0.3">
      <c r="A860" s="66">
        <f t="shared" si="86"/>
        <v>2075.2999999999224</v>
      </c>
      <c r="B860" s="67">
        <f>LOOKUP(A860+0.01,AmountsB!$A$4:$A$103,AmountsB!$B$4:$B$103)*0.1*$A$2</f>
        <v>0</v>
      </c>
      <c r="C860" s="68">
        <f t="shared" si="85"/>
        <v>83655.233518999943</v>
      </c>
      <c r="D860" s="67">
        <f t="array" ref="D860">SUM($B$7:$B855*$F$1009*EXP(-$F$1009*($A860-$A$7:$A855)))*$F$1010</f>
        <v>2972732.522453567</v>
      </c>
      <c r="E860" s="67">
        <f t="shared" si="83"/>
        <v>5.6672521210496551</v>
      </c>
      <c r="F860" s="70">
        <f t="shared" si="87"/>
        <v>0.34411554879013506</v>
      </c>
      <c r="G860" s="67">
        <f>E860/'Lookup Tables'!$C$48</f>
        <v>11.33450424209931</v>
      </c>
      <c r="H860" s="70">
        <f t="shared" si="84"/>
        <v>3.5606949972199507E-2</v>
      </c>
      <c r="I860" s="71">
        <f t="shared" si="88"/>
        <v>1.6321686108623005E-2</v>
      </c>
      <c r="L860" s="74"/>
      <c r="M860" s="74"/>
      <c r="N860" s="74"/>
      <c r="O860" s="74"/>
      <c r="P860" s="74"/>
      <c r="Q860" s="74"/>
      <c r="R860" s="74"/>
      <c r="S860" s="74"/>
      <c r="T860" s="74"/>
      <c r="U860" s="74"/>
      <c r="V860" s="74"/>
      <c r="W860" s="74"/>
      <c r="X860" s="74"/>
      <c r="Y860" s="74"/>
      <c r="Z860" s="74"/>
    </row>
    <row r="861" spans="1:26" x14ac:dyDescent="0.3">
      <c r="A861" s="66">
        <f t="shared" si="86"/>
        <v>2075.3999999999223</v>
      </c>
      <c r="B861" s="67">
        <f>LOOKUP(A861+0.01,AmountsB!$A$4:$A$103,AmountsB!$B$4:$B$103)*0.1*$A$2</f>
        <v>0</v>
      </c>
      <c r="C861" s="68">
        <f t="shared" si="85"/>
        <v>83655.233518999943</v>
      </c>
      <c r="D861" s="67">
        <f t="array" ref="D861">SUM($B$7:$B856*$F$1009*EXP(-$F$1009*($A861-$A$7:$A856)))*$F$1010</f>
        <v>2968573.608840954</v>
      </c>
      <c r="E861" s="67">
        <f t="shared" si="83"/>
        <v>5.6593235193963558</v>
      </c>
      <c r="F861" s="70">
        <f t="shared" si="87"/>
        <v>0.34363412409774674</v>
      </c>
      <c r="G861" s="67">
        <f>E861/'Lookup Tables'!$C$48</f>
        <v>11.318647038792712</v>
      </c>
      <c r="H861" s="70">
        <f t="shared" si="84"/>
        <v>3.5557135120770911E-2</v>
      </c>
      <c r="I861" s="71">
        <f t="shared" si="88"/>
        <v>1.6298851735861507E-2</v>
      </c>
      <c r="L861" s="74"/>
      <c r="M861" s="74"/>
      <c r="N861" s="74"/>
      <c r="O861" s="74"/>
      <c r="P861" s="74"/>
      <c r="Q861" s="74"/>
      <c r="R861" s="74"/>
      <c r="S861" s="74"/>
      <c r="T861" s="74"/>
      <c r="U861" s="74"/>
      <c r="V861" s="74"/>
      <c r="W861" s="74"/>
      <c r="X861" s="74"/>
      <c r="Y861" s="74"/>
      <c r="Z861" s="74"/>
    </row>
    <row r="862" spans="1:26" x14ac:dyDescent="0.3">
      <c r="A862" s="66">
        <f t="shared" si="86"/>
        <v>2075.4999999999222</v>
      </c>
      <c r="B862" s="67">
        <f>LOOKUP(A862+0.01,AmountsB!$A$4:$A$103,AmountsB!$B$4:$B$103)*0.1*$A$2</f>
        <v>0</v>
      </c>
      <c r="C862" s="68">
        <f t="shared" si="85"/>
        <v>83655.233518999943</v>
      </c>
      <c r="D862" s="67">
        <f t="array" ref="D862">SUM($B$7:$B857*$F$1009*EXP(-$F$1009*($A862-$A$7:$A857)))*$F$1010</f>
        <v>2964420.5136335646</v>
      </c>
      <c r="E862" s="67">
        <f t="shared" si="83"/>
        <v>5.6514060100189658</v>
      </c>
      <c r="F862" s="70">
        <f t="shared" si="87"/>
        <v>0.34315337292835163</v>
      </c>
      <c r="G862" s="67">
        <f>E862/'Lookup Tables'!$C$48</f>
        <v>11.302812020037932</v>
      </c>
      <c r="H862" s="70">
        <f t="shared" si="84"/>
        <v>3.5507389961338523E-2</v>
      </c>
      <c r="I862" s="71">
        <f t="shared" si="88"/>
        <v>1.6276049308854623E-2</v>
      </c>
      <c r="L862" s="74"/>
      <c r="M862" s="74"/>
      <c r="N862" s="74"/>
      <c r="O862" s="74"/>
      <c r="P862" s="74"/>
      <c r="Q862" s="74"/>
      <c r="R862" s="74"/>
      <c r="S862" s="74"/>
      <c r="T862" s="74"/>
      <c r="U862" s="74"/>
      <c r="V862" s="74"/>
      <c r="W862" s="74"/>
      <c r="X862" s="74"/>
      <c r="Y862" s="74"/>
      <c r="Z862" s="74"/>
    </row>
    <row r="863" spans="1:26" x14ac:dyDescent="0.3">
      <c r="A863" s="66">
        <f t="shared" si="86"/>
        <v>2075.5999999999221</v>
      </c>
      <c r="B863" s="67">
        <f>LOOKUP(A863+0.01,AmountsB!$A$4:$A$103,AmountsB!$B$4:$B$103)*0.1*$A$2</f>
        <v>0</v>
      </c>
      <c r="C863" s="68">
        <f t="shared" si="85"/>
        <v>83655.233518999943</v>
      </c>
      <c r="D863" s="67">
        <f t="array" ref="D863">SUM($B$7:$B858*$F$1009*EXP(-$F$1009*($A863-$A$7:$A858)))*$F$1010</f>
        <v>2960273.2286913311</v>
      </c>
      <c r="E863" s="67">
        <f t="shared" si="83"/>
        <v>5.6434995773991643</v>
      </c>
      <c r="F863" s="70">
        <f t="shared" si="87"/>
        <v>0.34267329433967725</v>
      </c>
      <c r="G863" s="67">
        <f>E863/'Lookup Tables'!$C$48</f>
        <v>11.286999154798329</v>
      </c>
      <c r="H863" s="70">
        <f t="shared" si="84"/>
        <v>3.5457714396401822E-2</v>
      </c>
      <c r="I863" s="71">
        <f t="shared" si="88"/>
        <v>1.6253278782909591E-2</v>
      </c>
      <c r="L863" s="74"/>
      <c r="M863" s="74"/>
      <c r="N863" s="74"/>
      <c r="O863" s="74"/>
      <c r="P863" s="74"/>
      <c r="Q863" s="74"/>
      <c r="R863" s="74"/>
      <c r="S863" s="74"/>
      <c r="T863" s="74"/>
      <c r="U863" s="74"/>
      <c r="V863" s="74"/>
      <c r="W863" s="74"/>
      <c r="X863" s="74"/>
      <c r="Y863" s="74"/>
      <c r="Z863" s="74"/>
    </row>
    <row r="864" spans="1:26" x14ac:dyDescent="0.3">
      <c r="A864" s="66">
        <f t="shared" si="86"/>
        <v>2075.6999999999221</v>
      </c>
      <c r="B864" s="67">
        <f>LOOKUP(A864+0.01,AmountsB!$A$4:$A$103,AmountsB!$B$4:$B$103)*0.1*$A$2</f>
        <v>0</v>
      </c>
      <c r="C864" s="68">
        <f t="shared" si="85"/>
        <v>83655.233518999943</v>
      </c>
      <c r="D864" s="67">
        <f t="array" ref="D864">SUM($B$7:$B859*$F$1009*EXP(-$F$1009*($A864-$A$7:$A859)))*$F$1010</f>
        <v>2956131.7458855729</v>
      </c>
      <c r="E864" s="67">
        <f t="shared" si="83"/>
        <v>5.6356042060403402</v>
      </c>
      <c r="F864" s="70">
        <f t="shared" si="87"/>
        <v>0.34219388739076945</v>
      </c>
      <c r="G864" s="67">
        <f>E864/'Lookup Tables'!$C$48</f>
        <v>11.27120841208068</v>
      </c>
      <c r="H864" s="70">
        <f t="shared" si="84"/>
        <v>3.5408108328596685E-2</v>
      </c>
      <c r="I864" s="71">
        <f t="shared" si="88"/>
        <v>1.6230540113396179E-2</v>
      </c>
      <c r="L864" s="74"/>
      <c r="M864" s="74"/>
      <c r="N864" s="74"/>
      <c r="O864" s="74"/>
      <c r="P864" s="74"/>
      <c r="Q864" s="74"/>
      <c r="R864" s="74"/>
      <c r="S864" s="74"/>
      <c r="T864" s="74"/>
      <c r="U864" s="74"/>
      <c r="V864" s="74"/>
      <c r="W864" s="74"/>
      <c r="X864" s="74"/>
      <c r="Y864" s="74"/>
      <c r="Z864" s="74"/>
    </row>
    <row r="865" spans="1:26" x14ac:dyDescent="0.3">
      <c r="A865" s="66">
        <f t="shared" si="86"/>
        <v>2075.799999999922</v>
      </c>
      <c r="B865" s="67">
        <f>LOOKUP(A865+0.01,AmountsB!$A$4:$A$103,AmountsB!$B$4:$B$103)*0.1*$A$2</f>
        <v>0</v>
      </c>
      <c r="C865" s="68">
        <f t="shared" si="85"/>
        <v>83655.233518999943</v>
      </c>
      <c r="D865" s="67">
        <f t="array" ref="D865">SUM($B$7:$B860*$F$1009*EXP(-$F$1009*($A865-$A$7:$A860)))*$F$1010</f>
        <v>2951996.0570989829</v>
      </c>
      <c r="E865" s="67">
        <f t="shared" si="83"/>
        <v>5.6277198804675646</v>
      </c>
      <c r="F865" s="70">
        <f t="shared" si="87"/>
        <v>0.34171515114199053</v>
      </c>
      <c r="G865" s="67">
        <f>E865/'Lookup Tables'!$C$48</f>
        <v>11.255439760935129</v>
      </c>
      <c r="H865" s="70">
        <f t="shared" si="84"/>
        <v>3.5358571660695212E-2</v>
      </c>
      <c r="I865" s="71">
        <f t="shared" si="88"/>
        <v>1.6207833255746585E-2</v>
      </c>
      <c r="L865" s="74"/>
      <c r="M865" s="74"/>
      <c r="N865" s="74"/>
      <c r="O865" s="74"/>
      <c r="P865" s="74"/>
      <c r="Q865" s="74"/>
      <c r="R865" s="74"/>
      <c r="S865" s="74"/>
      <c r="T865" s="74"/>
      <c r="U865" s="74"/>
      <c r="V865" s="74"/>
      <c r="W865" s="74"/>
      <c r="X865" s="74"/>
      <c r="Y865" s="74"/>
      <c r="Z865" s="74"/>
    </row>
    <row r="866" spans="1:26" x14ac:dyDescent="0.3">
      <c r="A866" s="66">
        <f t="shared" si="86"/>
        <v>2075.8999999999219</v>
      </c>
      <c r="B866" s="67">
        <f>LOOKUP(A866+0.01,AmountsB!$A$4:$A$103,AmountsB!$B$4:$B$103)*0.1*$A$2</f>
        <v>0</v>
      </c>
      <c r="C866" s="68">
        <f t="shared" si="85"/>
        <v>83655.233518999943</v>
      </c>
      <c r="D866" s="67">
        <f t="array" ref="D866">SUM($B$7:$B861*$F$1009*EXP(-$F$1009*($A866-$A$7:$A861)))*$F$1010</f>
        <v>2947866.1542256107</v>
      </c>
      <c r="E866" s="67">
        <f t="shared" si="83"/>
        <v>5.6198465852275579</v>
      </c>
      <c r="F866" s="70">
        <f t="shared" si="87"/>
        <v>0.34123708465501729</v>
      </c>
      <c r="G866" s="67">
        <f>E866/'Lookup Tables'!$C$48</f>
        <v>11.239693170455116</v>
      </c>
      <c r="H866" s="70">
        <f t="shared" si="84"/>
        <v>3.5309104295605527E-2</v>
      </c>
      <c r="I866" s="71">
        <f t="shared" si="88"/>
        <v>1.6185158165455366E-2</v>
      </c>
      <c r="L866" s="74"/>
      <c r="M866" s="74"/>
      <c r="N866" s="74"/>
      <c r="O866" s="74"/>
      <c r="P866" s="74"/>
      <c r="Q866" s="74"/>
      <c r="R866" s="74"/>
      <c r="S866" s="74"/>
      <c r="T866" s="74"/>
      <c r="U866" s="74"/>
      <c r="V866" s="74"/>
      <c r="W866" s="74"/>
      <c r="X866" s="74"/>
      <c r="Y866" s="74"/>
      <c r="Z866" s="74"/>
    </row>
    <row r="867" spans="1:26" x14ac:dyDescent="0.3">
      <c r="A867" s="66">
        <f t="shared" si="86"/>
        <v>2075.9999999999218</v>
      </c>
      <c r="B867" s="67">
        <f>LOOKUP(A867+0.01,AmountsB!$A$4:$A$103,AmountsB!$B$4:$B$103)*0.1*$A$2</f>
        <v>0</v>
      </c>
      <c r="C867" s="68">
        <f t="shared" si="85"/>
        <v>83655.233518999943</v>
      </c>
      <c r="D867" s="67">
        <f t="array" ref="D867">SUM($B$7:$B862*$F$1009*EXP(-$F$1009*($A867-$A$7:$A862)))*$F$1010</f>
        <v>2943742.0291708442</v>
      </c>
      <c r="E867" s="67">
        <f t="shared" si="83"/>
        <v>5.6119843048886571</v>
      </c>
      <c r="F867" s="70">
        <f t="shared" si="87"/>
        <v>0.34075968699283926</v>
      </c>
      <c r="G867" s="67">
        <f>E867/'Lookup Tables'!$C$48</f>
        <v>11.223968609777314</v>
      </c>
      <c r="H867" s="70">
        <f t="shared" si="84"/>
        <v>3.5259706136371562E-2</v>
      </c>
      <c r="I867" s="71">
        <f t="shared" si="88"/>
        <v>1.6162514798079335E-2</v>
      </c>
      <c r="L867" s="74"/>
      <c r="M867" s="74"/>
      <c r="N867" s="74"/>
      <c r="O867" s="74"/>
      <c r="P867" s="74"/>
      <c r="Q867" s="74"/>
      <c r="R867" s="74"/>
      <c r="S867" s="74"/>
      <c r="T867" s="74"/>
      <c r="U867" s="74"/>
      <c r="V867" s="74"/>
      <c r="W867" s="74"/>
      <c r="X867" s="74"/>
      <c r="Y867" s="74"/>
      <c r="Z867" s="74"/>
    </row>
    <row r="868" spans="1:26" x14ac:dyDescent="0.3">
      <c r="A868" s="66">
        <f t="shared" si="86"/>
        <v>2076.0999999999217</v>
      </c>
      <c r="B868" s="67">
        <f>LOOKUP(A868+0.01,AmountsB!$A$4:$A$103,AmountsB!$B$4:$B$103)*0.1*$A$2</f>
        <v>0</v>
      </c>
      <c r="C868" s="68">
        <f t="shared" si="85"/>
        <v>83655.233518999943</v>
      </c>
      <c r="D868" s="67">
        <f t="array" ref="D868">SUM($B$7:$B863*$F$1009*EXP(-$F$1009*($A868-$A$7:$A863)))*$F$1010</f>
        <v>2939623.6738513969</v>
      </c>
      <c r="E868" s="67">
        <f t="shared" si="83"/>
        <v>5.6041330240407881</v>
      </c>
      <c r="F868" s="70">
        <f t="shared" si="87"/>
        <v>0.3402829572197566</v>
      </c>
      <c r="G868" s="67">
        <f>E868/'Lookup Tables'!$C$48</f>
        <v>11.208266048081576</v>
      </c>
      <c r="H868" s="70">
        <f t="shared" si="84"/>
        <v>3.5210377086172889E-2</v>
      </c>
      <c r="I868" s="71">
        <f t="shared" si="88"/>
        <v>1.6139903109237467E-2</v>
      </c>
      <c r="L868" s="74"/>
      <c r="M868" s="74"/>
      <c r="N868" s="74"/>
      <c r="O868" s="74"/>
      <c r="P868" s="74"/>
      <c r="Q868" s="74"/>
      <c r="R868" s="74"/>
      <c r="S868" s="74"/>
      <c r="T868" s="74"/>
      <c r="U868" s="74"/>
      <c r="V868" s="74"/>
      <c r="W868" s="74"/>
      <c r="X868" s="74"/>
      <c r="Y868" s="74"/>
      <c r="Z868" s="74"/>
    </row>
    <row r="869" spans="1:26" x14ac:dyDescent="0.3">
      <c r="A869" s="66">
        <f t="shared" si="86"/>
        <v>2076.1999999999216</v>
      </c>
      <c r="B869" s="67">
        <f>LOOKUP(A869+0.01,AmountsB!$A$4:$A$103,AmountsB!$B$4:$B$103)*0.1*$A$2</f>
        <v>0</v>
      </c>
      <c r="C869" s="68">
        <f t="shared" si="85"/>
        <v>83655.233518999943</v>
      </c>
      <c r="D869" s="67">
        <f t="array" ref="D869">SUM($B$7:$B864*$F$1009*EXP(-$F$1009*($A869-$A$7:$A864)))*$F$1010</f>
        <v>2935511.0801952928</v>
      </c>
      <c r="E869" s="67">
        <f t="shared" si="83"/>
        <v>5.5962927272954444</v>
      </c>
      <c r="F869" s="70">
        <f t="shared" si="87"/>
        <v>0.33980689440137934</v>
      </c>
      <c r="G869" s="67">
        <f>E869/'Lookup Tables'!$C$48</f>
        <v>11.192585454590889</v>
      </c>
      <c r="H869" s="70">
        <f t="shared" si="84"/>
        <v>3.5161117048324607E-2</v>
      </c>
      <c r="I869" s="71">
        <f t="shared" si="88"/>
        <v>1.6117323054610878E-2</v>
      </c>
      <c r="L869" s="74"/>
      <c r="M869" s="74"/>
      <c r="N869" s="74"/>
      <c r="O869" s="74"/>
      <c r="P869" s="74"/>
      <c r="Q869" s="74"/>
      <c r="R869" s="74"/>
      <c r="S869" s="74"/>
      <c r="T869" s="74"/>
      <c r="U869" s="74"/>
      <c r="V869" s="74"/>
      <c r="W869" s="74"/>
      <c r="X869" s="74"/>
      <c r="Y869" s="74"/>
      <c r="Z869" s="74"/>
    </row>
    <row r="870" spans="1:26" x14ac:dyDescent="0.3">
      <c r="A870" s="66">
        <f t="shared" si="86"/>
        <v>2076.2999999999215</v>
      </c>
      <c r="B870" s="67">
        <f>LOOKUP(A870+0.01,AmountsB!$A$4:$A$103,AmountsB!$B$4:$B$103)*0.1*$A$2</f>
        <v>0</v>
      </c>
      <c r="C870" s="68">
        <f t="shared" si="85"/>
        <v>83655.233518999943</v>
      </c>
      <c r="D870" s="67">
        <f t="array" ref="D870">SUM($B$7:$B865*$F$1009*EXP(-$F$1009*($A870-$A$7:$A865)))*$F$1010</f>
        <v>2931404.2401418439</v>
      </c>
      <c r="E870" s="67">
        <f t="shared" si="83"/>
        <v>5.5884633992856338</v>
      </c>
      <c r="F870" s="70">
        <f t="shared" si="87"/>
        <v>0.33933149760462372</v>
      </c>
      <c r="G870" s="67">
        <f>E870/'Lookup Tables'!$C$48</f>
        <v>11.176926798571268</v>
      </c>
      <c r="H870" s="70">
        <f t="shared" si="84"/>
        <v>3.5111925926276974E-2</v>
      </c>
      <c r="I870" s="71">
        <f t="shared" si="88"/>
        <v>1.6094774589942625E-2</v>
      </c>
      <c r="L870" s="74"/>
      <c r="M870" s="74"/>
      <c r="N870" s="74"/>
      <c r="O870" s="74"/>
      <c r="P870" s="74"/>
      <c r="Q870" s="74"/>
      <c r="R870" s="74"/>
      <c r="S870" s="74"/>
      <c r="T870" s="74"/>
      <c r="U870" s="74"/>
      <c r="V870" s="74"/>
      <c r="W870" s="74"/>
      <c r="X870" s="74"/>
      <c r="Y870" s="74"/>
      <c r="Z870" s="74"/>
    </row>
    <row r="871" spans="1:26" x14ac:dyDescent="0.3">
      <c r="A871" s="66">
        <f t="shared" si="86"/>
        <v>2076.3999999999214</v>
      </c>
      <c r="B871" s="67">
        <f>LOOKUP(A871+0.01,AmountsB!$A$4:$A$103,AmountsB!$B$4:$B$103)*0.1*$A$2</f>
        <v>0</v>
      </c>
      <c r="C871" s="68">
        <f t="shared" si="85"/>
        <v>83655.233518999943</v>
      </c>
      <c r="D871" s="67">
        <f t="array" ref="D871">SUM($B$7:$B866*$F$1009*EXP(-$F$1009*($A871-$A$7:$A866)))*$F$1010</f>
        <v>2927303.145641644</v>
      </c>
      <c r="E871" s="67">
        <f t="shared" si="83"/>
        <v>5.5806450246658752</v>
      </c>
      <c r="F871" s="70">
        <f t="shared" si="87"/>
        <v>0.33885676589771196</v>
      </c>
      <c r="G871" s="67">
        <f>E871/'Lookup Tables'!$C$48</f>
        <v>11.16129004933175</v>
      </c>
      <c r="H871" s="70">
        <f t="shared" si="84"/>
        <v>3.5062803623615406E-2</v>
      </c>
      <c r="I871" s="71">
        <f t="shared" si="88"/>
        <v>1.6072257671037721E-2</v>
      </c>
      <c r="L871" s="74"/>
      <c r="M871" s="74"/>
      <c r="N871" s="74"/>
      <c r="O871" s="74"/>
      <c r="P871" s="74"/>
      <c r="Q871" s="74"/>
      <c r="R871" s="74"/>
      <c r="S871" s="74"/>
      <c r="T871" s="74"/>
      <c r="U871" s="74"/>
      <c r="V871" s="74"/>
      <c r="W871" s="74"/>
      <c r="X871" s="74"/>
      <c r="Y871" s="74"/>
      <c r="Z871" s="74"/>
    </row>
    <row r="872" spans="1:26" x14ac:dyDescent="0.3">
      <c r="A872" s="66">
        <f t="shared" si="86"/>
        <v>2076.4999999999213</v>
      </c>
      <c r="B872" s="67">
        <f>LOOKUP(A872+0.01,AmountsB!$A$4:$A$103,AmountsB!$B$4:$B$103)*0.1*$A$2</f>
        <v>0</v>
      </c>
      <c r="C872" s="68">
        <f t="shared" si="85"/>
        <v>83655.233518999943</v>
      </c>
      <c r="D872" s="67">
        <f t="array" ref="D872">SUM($B$7:$B867*$F$1009*EXP(-$F$1009*($A872-$A$7:$A867)))*$F$1010</f>
        <v>2923207.7886565472</v>
      </c>
      <c r="E872" s="67">
        <f t="shared" si="83"/>
        <v>5.5728375881121517</v>
      </c>
      <c r="F872" s="70">
        <f t="shared" si="87"/>
        <v>0.33838269835016987</v>
      </c>
      <c r="G872" s="67">
        <f>E872/'Lookup Tables'!$C$48</f>
        <v>11.145675176224303</v>
      </c>
      <c r="H872" s="70">
        <f t="shared" si="84"/>
        <v>3.5013750044060155E-2</v>
      </c>
      <c r="I872" s="71">
        <f t="shared" si="88"/>
        <v>1.6049772253762997E-2</v>
      </c>
      <c r="L872" s="74"/>
      <c r="M872" s="74"/>
      <c r="N872" s="74"/>
      <c r="O872" s="74"/>
      <c r="P872" s="74"/>
      <c r="Q872" s="74"/>
      <c r="R872" s="74"/>
      <c r="S872" s="74"/>
      <c r="T872" s="74"/>
      <c r="U872" s="74"/>
      <c r="V872" s="74"/>
      <c r="W872" s="74"/>
      <c r="X872" s="74"/>
      <c r="Y872" s="74"/>
      <c r="Z872" s="74"/>
    </row>
    <row r="873" spans="1:26" x14ac:dyDescent="0.3">
      <c r="A873" s="66">
        <f t="shared" si="86"/>
        <v>2076.5999999999212</v>
      </c>
      <c r="B873" s="67">
        <f>LOOKUP(A873+0.01,AmountsB!$A$4:$A$103,AmountsB!$B$4:$B$103)*0.1*$A$2</f>
        <v>0</v>
      </c>
      <c r="C873" s="68">
        <f t="shared" si="85"/>
        <v>83655.233518999943</v>
      </c>
      <c r="D873" s="67">
        <f t="array" ref="D873">SUM($B$7:$B868*$F$1009*EXP(-$F$1009*($A873-$A$7:$A868)))*$F$1010</f>
        <v>2919118.1611596528</v>
      </c>
      <c r="E873" s="67">
        <f t="shared" si="83"/>
        <v>5.5650410743218872</v>
      </c>
      <c r="F873" s="70">
        <f t="shared" si="87"/>
        <v>0.33790929403282499</v>
      </c>
      <c r="G873" s="67">
        <f>E873/'Lookup Tables'!$C$48</f>
        <v>11.130082148643774</v>
      </c>
      <c r="H873" s="70">
        <f t="shared" si="84"/>
        <v>3.4964765091466218E-2</v>
      </c>
      <c r="I873" s="71">
        <f t="shared" si="88"/>
        <v>1.6027318294047035E-2</v>
      </c>
      <c r="L873" s="74"/>
      <c r="M873" s="74"/>
      <c r="N873" s="74"/>
      <c r="O873" s="74"/>
      <c r="P873" s="74"/>
      <c r="Q873" s="74"/>
      <c r="R873" s="74"/>
      <c r="S873" s="74"/>
      <c r="T873" s="74"/>
      <c r="U873" s="74"/>
      <c r="V873" s="74"/>
      <c r="W873" s="74"/>
      <c r="X873" s="74"/>
      <c r="Y873" s="74"/>
      <c r="Z873" s="74"/>
    </row>
    <row r="874" spans="1:26" x14ac:dyDescent="0.3">
      <c r="A874" s="66">
        <f t="shared" si="86"/>
        <v>2076.6999999999211</v>
      </c>
      <c r="B874" s="67">
        <f>LOOKUP(A874+0.01,AmountsB!$A$4:$A$103,AmountsB!$B$4:$B$103)*0.1*$A$2</f>
        <v>0</v>
      </c>
      <c r="C874" s="68">
        <f t="shared" si="85"/>
        <v>83655.233518999943</v>
      </c>
      <c r="D874" s="67">
        <f t="array" ref="D874">SUM($B$7:$B869*$F$1009*EXP(-$F$1009*($A874-$A$7:$A869)))*$F$1010</f>
        <v>2915034.255135288</v>
      </c>
      <c r="E874" s="67">
        <f t="shared" si="83"/>
        <v>5.5572554680139081</v>
      </c>
      <c r="F874" s="70">
        <f t="shared" si="87"/>
        <v>0.33743655201780454</v>
      </c>
      <c r="G874" s="67">
        <f>E874/'Lookup Tables'!$C$48</f>
        <v>11.114510936027816</v>
      </c>
      <c r="H874" s="70">
        <f t="shared" si="84"/>
        <v>3.4915848669823044E-2</v>
      </c>
      <c r="I874" s="71">
        <f t="shared" si="88"/>
        <v>1.6004895747880055E-2</v>
      </c>
      <c r="L874" s="74"/>
      <c r="M874" s="74"/>
      <c r="N874" s="74"/>
      <c r="O874" s="74"/>
      <c r="P874" s="74"/>
      <c r="Q874" s="74"/>
      <c r="R874" s="74"/>
      <c r="S874" s="74"/>
      <c r="T874" s="74"/>
      <c r="U874" s="74"/>
      <c r="V874" s="74"/>
      <c r="W874" s="74"/>
      <c r="X874" s="74"/>
      <c r="Y874" s="74"/>
      <c r="Z874" s="74"/>
    </row>
    <row r="875" spans="1:26" x14ac:dyDescent="0.3">
      <c r="A875" s="66">
        <f t="shared" si="86"/>
        <v>2076.7999999999211</v>
      </c>
      <c r="B875" s="67">
        <f>LOOKUP(A875+0.01,AmountsB!$A$4:$A$103,AmountsB!$B$4:$B$103)*0.1*$A$2</f>
        <v>0</v>
      </c>
      <c r="C875" s="68">
        <f t="shared" si="85"/>
        <v>83655.233518999943</v>
      </c>
      <c r="D875" s="67">
        <f t="array" ref="D875">SUM($B$7:$B870*$F$1009*EXP(-$F$1009*($A875-$A$7:$A870)))*$F$1010</f>
        <v>2910956.0625789966</v>
      </c>
      <c r="E875" s="67">
        <f t="shared" si="83"/>
        <v>5.5494807539284263</v>
      </c>
      <c r="F875" s="70">
        <f t="shared" si="87"/>
        <v>0.33696447137853403</v>
      </c>
      <c r="G875" s="67">
        <f>E875/'Lookup Tables'!$C$48</f>
        <v>11.098961507856853</v>
      </c>
      <c r="H875" s="70">
        <f t="shared" si="84"/>
        <v>3.4867000683254441E-2</v>
      </c>
      <c r="I875" s="71">
        <f t="shared" si="88"/>
        <v>1.5982504571313869E-2</v>
      </c>
      <c r="L875" s="74"/>
      <c r="M875" s="74"/>
      <c r="N875" s="74"/>
      <c r="O875" s="74"/>
      <c r="P875" s="74"/>
      <c r="Q875" s="74"/>
      <c r="R875" s="74"/>
      <c r="S875" s="74"/>
      <c r="T875" s="74"/>
      <c r="U875" s="74"/>
      <c r="V875" s="74"/>
      <c r="W875" s="74"/>
      <c r="X875" s="74"/>
      <c r="Y875" s="74"/>
      <c r="Z875" s="74"/>
    </row>
    <row r="876" spans="1:26" x14ac:dyDescent="0.3">
      <c r="A876" s="66">
        <f t="shared" si="86"/>
        <v>2076.899999999921</v>
      </c>
      <c r="B876" s="67">
        <f>LOOKUP(A876+0.01,AmountsB!$A$4:$A$103,AmountsB!$B$4:$B$103)*0.1*$A$2</f>
        <v>0</v>
      </c>
      <c r="C876" s="68">
        <f t="shared" si="85"/>
        <v>83655.233518999943</v>
      </c>
      <c r="D876" s="67">
        <f t="array" ref="D876">SUM($B$7:$B871*$F$1009*EXP(-$F$1009*($A876-$A$7:$A871)))*$F$1010</f>
        <v>2906883.5754975188</v>
      </c>
      <c r="E876" s="67">
        <f t="shared" si="83"/>
        <v>5.5417169168269957</v>
      </c>
      <c r="F876" s="70">
        <f t="shared" si="87"/>
        <v>0.33649305118973516</v>
      </c>
      <c r="G876" s="67">
        <f>E876/'Lookup Tables'!$C$48</f>
        <v>11.083433833653991</v>
      </c>
      <c r="H876" s="70">
        <f t="shared" si="84"/>
        <v>3.4818221036018324E-2</v>
      </c>
      <c r="I876" s="71">
        <f t="shared" si="88"/>
        <v>1.5960144720461748E-2</v>
      </c>
      <c r="L876" s="74"/>
      <c r="M876" s="74"/>
      <c r="N876" s="74"/>
      <c r="O876" s="74"/>
      <c r="P876" s="74"/>
      <c r="Q876" s="74"/>
      <c r="R876" s="74"/>
      <c r="S876" s="74"/>
      <c r="T876" s="74"/>
      <c r="U876" s="74"/>
      <c r="V876" s="74"/>
      <c r="W876" s="74"/>
      <c r="X876" s="74"/>
      <c r="Y876" s="74"/>
      <c r="Z876" s="74"/>
    </row>
    <row r="877" spans="1:26" x14ac:dyDescent="0.3">
      <c r="A877" s="66">
        <f t="shared" si="86"/>
        <v>2076.9999999999209</v>
      </c>
      <c r="B877" s="67">
        <f>LOOKUP(A877+0.01,AmountsB!$A$4:$A$103,AmountsB!$B$4:$B$103)*0.1*$A$2</f>
        <v>0</v>
      </c>
      <c r="C877" s="68">
        <f t="shared" si="85"/>
        <v>83655.233518999943</v>
      </c>
      <c r="D877" s="67">
        <f t="array" ref="D877">SUM($B$7:$B872*$F$1009*EXP(-$F$1009*($A877-$A$7:$A872)))*$F$1010</f>
        <v>2902816.7859087801</v>
      </c>
      <c r="E877" s="67">
        <f t="shared" si="83"/>
        <v>5.5339639414924973</v>
      </c>
      <c r="F877" s="70">
        <f t="shared" si="87"/>
        <v>0.33602229052742444</v>
      </c>
      <c r="G877" s="67">
        <f>E877/'Lookup Tables'!$C$48</f>
        <v>11.067927882984995</v>
      </c>
      <c r="H877" s="70">
        <f t="shared" si="84"/>
        <v>3.4769509632506586E-2</v>
      </c>
      <c r="I877" s="71">
        <f t="shared" si="88"/>
        <v>1.5937816151498391E-2</v>
      </c>
      <c r="L877" s="74"/>
      <c r="M877" s="74"/>
      <c r="N877" s="74"/>
      <c r="O877" s="74"/>
      <c r="P877" s="74"/>
      <c r="Q877" s="74"/>
      <c r="R877" s="74"/>
      <c r="S877" s="74"/>
      <c r="T877" s="74"/>
      <c r="U877" s="74"/>
      <c r="V877" s="74"/>
      <c r="W877" s="74"/>
      <c r="X877" s="74"/>
      <c r="Y877" s="74"/>
      <c r="Z877" s="74"/>
    </row>
    <row r="878" spans="1:26" x14ac:dyDescent="0.3">
      <c r="A878" s="66">
        <f t="shared" si="86"/>
        <v>2077.0999999999208</v>
      </c>
      <c r="B878" s="67">
        <f>LOOKUP(A878+0.01,AmountsB!$A$4:$A$103,AmountsB!$B$4:$B$103)*0.1*$A$2</f>
        <v>0</v>
      </c>
      <c r="C878" s="68">
        <f t="shared" si="85"/>
        <v>83655.233518999943</v>
      </c>
      <c r="D878" s="67">
        <f t="array" ref="D878">SUM($B$7:$B873*$F$1009*EXP(-$F$1009*($A878-$A$7:$A873)))*$F$1010</f>
        <v>2898755.6858418719</v>
      </c>
      <c r="E878" s="67">
        <f t="shared" si="83"/>
        <v>5.5262218127290987</v>
      </c>
      <c r="F878" s="70">
        <f t="shared" si="87"/>
        <v>0.33555218846891088</v>
      </c>
      <c r="G878" s="67">
        <f>E878/'Lookup Tables'!$C$48</f>
        <v>11.052443625458197</v>
      </c>
      <c r="H878" s="70">
        <f t="shared" si="84"/>
        <v>3.4720866377244877E-2</v>
      </c>
      <c r="I878" s="71">
        <f t="shared" si="88"/>
        <v>1.5915518820659804E-2</v>
      </c>
      <c r="L878" s="74"/>
      <c r="M878" s="74"/>
      <c r="N878" s="74"/>
      <c r="O878" s="74"/>
      <c r="P878" s="74"/>
      <c r="Q878" s="74"/>
      <c r="R878" s="74"/>
      <c r="S878" s="74"/>
      <c r="T878" s="74"/>
      <c r="U878" s="74"/>
      <c r="V878" s="74"/>
      <c r="W878" s="74"/>
      <c r="X878" s="74"/>
      <c r="Y878" s="74"/>
      <c r="Z878" s="74"/>
    </row>
    <row r="879" spans="1:26" x14ac:dyDescent="0.3">
      <c r="A879" s="66">
        <f t="shared" si="86"/>
        <v>2077.1999999999207</v>
      </c>
      <c r="B879" s="67">
        <f>LOOKUP(A879+0.01,AmountsB!$A$4:$A$103,AmountsB!$B$4:$B$103)*0.1*$A$2</f>
        <v>0</v>
      </c>
      <c r="C879" s="68">
        <f t="shared" si="85"/>
        <v>83655.233518999943</v>
      </c>
      <c r="D879" s="67">
        <f t="array" ref="D879">SUM($B$7:$B874*$F$1009*EXP(-$F$1009*($A879-$A$7:$A874)))*$F$1010</f>
        <v>2894700.2673370349</v>
      </c>
      <c r="E879" s="67">
        <f t="shared" si="83"/>
        <v>5.5184905153622195</v>
      </c>
      <c r="F879" s="70">
        <f t="shared" si="87"/>
        <v>0.33508274409279398</v>
      </c>
      <c r="G879" s="67">
        <f>E879/'Lookup Tables'!$C$48</f>
        <v>11.036981030724439</v>
      </c>
      <c r="H879" s="70">
        <f t="shared" si="84"/>
        <v>3.4672291174892372E-2</v>
      </c>
      <c r="I879" s="71">
        <f t="shared" si="88"/>
        <v>1.5893252684243193E-2</v>
      </c>
      <c r="L879" s="74"/>
      <c r="M879" s="74"/>
      <c r="N879" s="74"/>
      <c r="O879" s="74"/>
      <c r="P879" s="74"/>
      <c r="Q879" s="74"/>
      <c r="R879" s="74"/>
      <c r="S879" s="74"/>
      <c r="T879" s="74"/>
      <c r="U879" s="74"/>
      <c r="V879" s="74"/>
      <c r="W879" s="74"/>
      <c r="X879" s="74"/>
      <c r="Y879" s="74"/>
      <c r="Z879" s="74"/>
    </row>
    <row r="880" spans="1:26" x14ac:dyDescent="0.3">
      <c r="A880" s="66">
        <f t="shared" si="86"/>
        <v>2077.2999999999206</v>
      </c>
      <c r="B880" s="67">
        <f>LOOKUP(A880+0.01,AmountsB!$A$4:$A$103,AmountsB!$B$4:$B$103)*0.1*$A$2</f>
        <v>0</v>
      </c>
      <c r="C880" s="68">
        <f t="shared" si="85"/>
        <v>83655.233518999943</v>
      </c>
      <c r="D880" s="67">
        <f t="array" ref="D880">SUM($B$7:$B875*$F$1009*EXP(-$F$1009*($A880-$A$7:$A875)))*$F$1010</f>
        <v>2890650.5224456484</v>
      </c>
      <c r="E880" s="67">
        <f t="shared" si="83"/>
        <v>5.5107700342385169</v>
      </c>
      <c r="F880" s="70">
        <f t="shared" si="87"/>
        <v>0.33461395647896275</v>
      </c>
      <c r="G880" s="67">
        <f>E880/'Lookup Tables'!$C$48</f>
        <v>11.021540068477034</v>
      </c>
      <c r="H880" s="70">
        <f t="shared" si="84"/>
        <v>3.4623783930241667E-2</v>
      </c>
      <c r="I880" s="71">
        <f t="shared" si="88"/>
        <v>1.5871017698606927E-2</v>
      </c>
      <c r="L880" s="74"/>
      <c r="M880" s="74"/>
      <c r="N880" s="74"/>
      <c r="O880" s="74"/>
      <c r="P880" s="74"/>
      <c r="Q880" s="74"/>
      <c r="R880" s="74"/>
      <c r="S880" s="74"/>
      <c r="T880" s="74"/>
      <c r="U880" s="74"/>
      <c r="V880" s="74"/>
      <c r="W880" s="74"/>
      <c r="X880" s="74"/>
      <c r="Y880" s="74"/>
      <c r="Z880" s="74"/>
    </row>
    <row r="881" spans="1:26" x14ac:dyDescent="0.3">
      <c r="A881" s="66">
        <f t="shared" si="86"/>
        <v>2077.3999999999205</v>
      </c>
      <c r="B881" s="67">
        <f>LOOKUP(A881+0.01,AmountsB!$A$4:$A$103,AmountsB!$B$4:$B$103)*0.1*$A$2</f>
        <v>0</v>
      </c>
      <c r="C881" s="68">
        <f t="shared" si="85"/>
        <v>83655.233518999943</v>
      </c>
      <c r="D881" s="67">
        <f t="array" ref="D881">SUM($B$7:$B876*$F$1009*EXP(-$F$1009*($A881-$A$7:$A876)))*$F$1010</f>
        <v>2886606.4432302127</v>
      </c>
      <c r="E881" s="67">
        <f t="shared" si="83"/>
        <v>5.5030603542258474</v>
      </c>
      <c r="F881" s="70">
        <f t="shared" si="87"/>
        <v>0.33414582470859344</v>
      </c>
      <c r="G881" s="67">
        <f>E881/'Lookup Tables'!$C$48</f>
        <v>11.006120708451695</v>
      </c>
      <c r="H881" s="70">
        <f t="shared" si="84"/>
        <v>3.4575344548218555E-2</v>
      </c>
      <c r="I881" s="71">
        <f t="shared" si="88"/>
        <v>1.5848813820170438E-2</v>
      </c>
      <c r="L881" s="74"/>
      <c r="M881" s="74"/>
      <c r="N881" s="74"/>
      <c r="O881" s="74"/>
      <c r="P881" s="74"/>
      <c r="Q881" s="74"/>
      <c r="R881" s="74"/>
      <c r="S881" s="74"/>
      <c r="T881" s="74"/>
      <c r="U881" s="74"/>
      <c r="V881" s="74"/>
      <c r="W881" s="74"/>
      <c r="X881" s="74"/>
      <c r="Y881" s="74"/>
      <c r="Z881" s="74"/>
    </row>
    <row r="882" spans="1:26" x14ac:dyDescent="0.3">
      <c r="A882" s="66">
        <f t="shared" si="86"/>
        <v>2077.4999999999204</v>
      </c>
      <c r="B882" s="67">
        <f>LOOKUP(A882+0.01,AmountsB!$A$4:$A$103,AmountsB!$B$4:$B$103)*0.1*$A$2</f>
        <v>0</v>
      </c>
      <c r="C882" s="68">
        <f t="shared" si="85"/>
        <v>83655.233518999943</v>
      </c>
      <c r="D882" s="67">
        <f t="array" ref="D882">SUM($B$7:$B877*$F$1009*EXP(-$F$1009*($A882-$A$7:$A877)))*$F$1010</f>
        <v>2882568.0217643282</v>
      </c>
      <c r="E882" s="67">
        <f t="shared" si="83"/>
        <v>5.4953614602132319</v>
      </c>
      <c r="F882" s="70">
        <f t="shared" si="87"/>
        <v>0.33367834786414746</v>
      </c>
      <c r="G882" s="67">
        <f>E882/'Lookup Tables'!$C$48</f>
        <v>10.990722920426464</v>
      </c>
      <c r="H882" s="70">
        <f t="shared" si="84"/>
        <v>3.4526972933881829E-2</v>
      </c>
      <c r="I882" s="71">
        <f t="shared" si="88"/>
        <v>1.5826641005414109E-2</v>
      </c>
      <c r="L882" s="74"/>
      <c r="M882" s="74"/>
      <c r="N882" s="74"/>
      <c r="O882" s="74"/>
      <c r="P882" s="74"/>
      <c r="Q882" s="74"/>
      <c r="R882" s="74"/>
      <c r="S882" s="74"/>
      <c r="T882" s="74"/>
      <c r="U882" s="74"/>
      <c r="V882" s="74"/>
      <c r="W882" s="74"/>
      <c r="X882" s="74"/>
      <c r="Y882" s="74"/>
      <c r="Z882" s="74"/>
    </row>
    <row r="883" spans="1:26" x14ac:dyDescent="0.3">
      <c r="A883" s="66">
        <f t="shared" si="86"/>
        <v>2077.5999999999203</v>
      </c>
      <c r="B883" s="67">
        <f>LOOKUP(A883+0.01,AmountsB!$A$4:$A$103,AmountsB!$B$4:$B$103)*0.1*$A$2</f>
        <v>0</v>
      </c>
      <c r="C883" s="68">
        <f t="shared" si="85"/>
        <v>83655.233518999943</v>
      </c>
      <c r="D883" s="67">
        <f t="array" ref="D883">SUM($B$7:$B878*$F$1009*EXP(-$F$1009*($A883-$A$7:$A878)))*$F$1010</f>
        <v>2878535.2501326906</v>
      </c>
      <c r="E883" s="67">
        <f t="shared" si="83"/>
        <v>5.4876733371108397</v>
      </c>
      <c r="F883" s="70">
        <f t="shared" si="87"/>
        <v>0.33321152502937024</v>
      </c>
      <c r="G883" s="67">
        <f>E883/'Lookup Tables'!$C$48</f>
        <v>10.975346674221679</v>
      </c>
      <c r="H883" s="70">
        <f t="shared" si="84"/>
        <v>3.4478668992423106E-2</v>
      </c>
      <c r="I883" s="71">
        <f t="shared" si="88"/>
        <v>1.580449921087922E-2</v>
      </c>
      <c r="L883" s="74"/>
      <c r="M883" s="74"/>
      <c r="N883" s="74"/>
      <c r="O883" s="74"/>
      <c r="P883" s="74"/>
      <c r="Q883" s="74"/>
      <c r="R883" s="74"/>
      <c r="S883" s="74"/>
      <c r="T883" s="74"/>
      <c r="U883" s="74"/>
      <c r="V883" s="74"/>
      <c r="W883" s="74"/>
      <c r="X883" s="74"/>
      <c r="Y883" s="74"/>
      <c r="Z883" s="74"/>
    </row>
    <row r="884" spans="1:26" x14ac:dyDescent="0.3">
      <c r="A884" s="66">
        <f t="shared" si="86"/>
        <v>2077.6999999999202</v>
      </c>
      <c r="B884" s="67">
        <f>LOOKUP(A884+0.01,AmountsB!$A$4:$A$103,AmountsB!$B$4:$B$103)*0.1*$A$2</f>
        <v>0</v>
      </c>
      <c r="C884" s="68">
        <f t="shared" si="85"/>
        <v>83655.233518999943</v>
      </c>
      <c r="D884" s="67">
        <f t="array" ref="D884">SUM($B$7:$B879*$F$1009*EXP(-$F$1009*($A884-$A$7:$A879)))*$F$1010</f>
        <v>2874508.1204310642</v>
      </c>
      <c r="E884" s="67">
        <f t="shared" si="83"/>
        <v>5.4799959698499441</v>
      </c>
      <c r="F884" s="70">
        <f t="shared" si="87"/>
        <v>0.33274535528928861</v>
      </c>
      <c r="G884" s="67">
        <f>E884/'Lookup Tables'!$C$48</f>
        <v>10.959991939699888</v>
      </c>
      <c r="H884" s="70">
        <f t="shared" si="84"/>
        <v>3.4430432629166639E-2</v>
      </c>
      <c r="I884" s="71">
        <f t="shared" si="88"/>
        <v>1.578238839316784E-2</v>
      </c>
      <c r="L884" s="74"/>
      <c r="M884" s="74"/>
      <c r="N884" s="74"/>
      <c r="O884" s="74"/>
      <c r="P884" s="74"/>
      <c r="Q884" s="74"/>
      <c r="R884" s="74"/>
      <c r="S884" s="74"/>
      <c r="T884" s="74"/>
      <c r="U884" s="74"/>
      <c r="V884" s="74"/>
      <c r="W884" s="74"/>
      <c r="X884" s="74"/>
      <c r="Y884" s="74"/>
      <c r="Z884" s="74"/>
    </row>
    <row r="885" spans="1:26" x14ac:dyDescent="0.3">
      <c r="A885" s="66">
        <f t="shared" si="86"/>
        <v>2077.7999999999201</v>
      </c>
      <c r="B885" s="67">
        <f>LOOKUP(A885+0.01,AmountsB!$A$4:$A$103,AmountsB!$B$4:$B$103)*0.1*$A$2</f>
        <v>0</v>
      </c>
      <c r="C885" s="68">
        <f t="shared" si="85"/>
        <v>83655.233518999943</v>
      </c>
      <c r="D885" s="67">
        <f t="array" ref="D885">SUM($B$7:$B880*$F$1009*EXP(-$F$1009*($A885-$A$7:$A880)))*$F$1010</f>
        <v>2870486.6247662734</v>
      </c>
      <c r="E885" s="67">
        <f t="shared" si="83"/>
        <v>5.4723293433829028</v>
      </c>
      <c r="F885" s="70">
        <f t="shared" si="87"/>
        <v>0.3322798377302098</v>
      </c>
      <c r="G885" s="67">
        <f>E885/'Lookup Tables'!$C$48</f>
        <v>10.944658686765806</v>
      </c>
      <c r="H885" s="70">
        <f t="shared" si="84"/>
        <v>3.4382263749569146E-2</v>
      </c>
      <c r="I885" s="71">
        <f t="shared" si="88"/>
        <v>1.576030850894276E-2</v>
      </c>
      <c r="L885" s="74"/>
      <c r="M885" s="74"/>
      <c r="N885" s="74"/>
      <c r="O885" s="74"/>
      <c r="P885" s="74"/>
      <c r="Q885" s="74"/>
      <c r="R885" s="74"/>
      <c r="S885" s="74"/>
      <c r="T885" s="74"/>
      <c r="U885" s="74"/>
      <c r="V885" s="74"/>
      <c r="W885" s="74"/>
      <c r="X885" s="74"/>
      <c r="Y885" s="74"/>
      <c r="Z885" s="74"/>
    </row>
    <row r="886" spans="1:26" x14ac:dyDescent="0.3">
      <c r="A886" s="66">
        <f t="shared" si="86"/>
        <v>2077.8999999999201</v>
      </c>
      <c r="B886" s="67">
        <f>LOOKUP(A886+0.01,AmountsB!$A$4:$A$103,AmountsB!$B$4:$B$103)*0.1*$A$2</f>
        <v>0</v>
      </c>
      <c r="C886" s="68">
        <f t="shared" si="85"/>
        <v>83655.233518999943</v>
      </c>
      <c r="D886" s="67">
        <f t="array" ref="D886">SUM($B$7:$B881*$F$1009*EXP(-$F$1009*($A886-$A$7:$A881)))*$F$1010</f>
        <v>2866470.7552561867</v>
      </c>
      <c r="E886" s="67">
        <f t="shared" si="83"/>
        <v>5.4646734426831269</v>
      </c>
      <c r="F886" s="70">
        <f t="shared" si="87"/>
        <v>0.3318149714397195</v>
      </c>
      <c r="G886" s="67">
        <f>E886/'Lookup Tables'!$C$48</f>
        <v>10.929346885366254</v>
      </c>
      <c r="H886" s="70">
        <f t="shared" si="84"/>
        <v>3.4334162259219612E-2</v>
      </c>
      <c r="I886" s="71">
        <f t="shared" si="88"/>
        <v>1.5738259514927407E-2</v>
      </c>
      <c r="L886" s="74"/>
      <c r="M886" s="74"/>
      <c r="N886" s="74"/>
      <c r="O886" s="74"/>
      <c r="P886" s="74"/>
      <c r="Q886" s="74"/>
      <c r="R886" s="74"/>
      <c r="S886" s="74"/>
      <c r="T886" s="74"/>
      <c r="U886" s="74"/>
      <c r="V886" s="74"/>
      <c r="W886" s="74"/>
      <c r="X886" s="74"/>
      <c r="Y886" s="74"/>
      <c r="Z886" s="74"/>
    </row>
    <row r="887" spans="1:26" x14ac:dyDescent="0.3">
      <c r="A887" s="66">
        <f t="shared" si="86"/>
        <v>2077.99999999992</v>
      </c>
      <c r="B887" s="67">
        <f>LOOKUP(A887+0.01,AmountsB!$A$4:$A$103,AmountsB!$B$4:$B$103)*0.1*$A$2</f>
        <v>0</v>
      </c>
      <c r="C887" s="68">
        <f t="shared" si="85"/>
        <v>83655.233518999943</v>
      </c>
      <c r="D887" s="67">
        <f t="array" ref="D887">SUM($B$7:$B882*$F$1009*EXP(-$F$1009*($A887-$A$7:$A882)))*$F$1010</f>
        <v>2862460.5040296977</v>
      </c>
      <c r="E887" s="67">
        <f t="shared" si="83"/>
        <v>5.4570282527450482</v>
      </c>
      <c r="F887" s="70">
        <f t="shared" si="87"/>
        <v>0.33135075550667936</v>
      </c>
      <c r="G887" s="67">
        <f>E887/'Lookup Tables'!$C$48</f>
        <v>10.914056505490096</v>
      </c>
      <c r="H887" s="70">
        <f t="shared" si="84"/>
        <v>3.42861280638391E-2</v>
      </c>
      <c r="I887" s="71">
        <f t="shared" si="88"/>
        <v>1.5716241367905739E-2</v>
      </c>
      <c r="L887" s="74"/>
      <c r="M887" s="74"/>
      <c r="N887" s="74"/>
      <c r="O887" s="74"/>
      <c r="P887" s="74"/>
      <c r="Q887" s="74"/>
      <c r="R887" s="74"/>
      <c r="S887" s="74"/>
      <c r="T887" s="74"/>
      <c r="U887" s="74"/>
      <c r="V887" s="74"/>
      <c r="W887" s="74"/>
      <c r="X887" s="74"/>
      <c r="Y887" s="74"/>
      <c r="Z887" s="74"/>
    </row>
    <row r="888" spans="1:26" x14ac:dyDescent="0.3">
      <c r="A888" s="66">
        <f t="shared" si="86"/>
        <v>2078.0999999999199</v>
      </c>
      <c r="B888" s="67">
        <f>LOOKUP(A888+0.01,AmountsB!$A$4:$A$103,AmountsB!$B$4:$B$103)*0.1*$A$2</f>
        <v>0</v>
      </c>
      <c r="C888" s="68">
        <f t="shared" si="85"/>
        <v>83655.233518999943</v>
      </c>
      <c r="D888" s="67">
        <f t="array" ref="D888">SUM($B$7:$B883*$F$1009*EXP(-$F$1009*($A888-$A$7:$A883)))*$F$1010</f>
        <v>2858455.8632267136</v>
      </c>
      <c r="E888" s="67">
        <f t="shared" si="83"/>
        <v>5.4493937585840939</v>
      </c>
      <c r="F888" s="70">
        <f t="shared" si="87"/>
        <v>0.33088718902122621</v>
      </c>
      <c r="G888" s="67">
        <f>E888/'Lookup Tables'!$C$48</f>
        <v>10.898787517168188</v>
      </c>
      <c r="H888" s="70">
        <f t="shared" si="84"/>
        <v>3.4238161069280584E-2</v>
      </c>
      <c r="I888" s="71">
        <f t="shared" si="88"/>
        <v>1.5694254024722191E-2</v>
      </c>
      <c r="L888" s="74"/>
      <c r="M888" s="74"/>
      <c r="N888" s="74"/>
      <c r="O888" s="74"/>
      <c r="P888" s="74"/>
      <c r="Q888" s="74"/>
      <c r="R888" s="74"/>
      <c r="S888" s="74"/>
      <c r="T888" s="74"/>
      <c r="U888" s="74"/>
      <c r="V888" s="74"/>
      <c r="W888" s="74"/>
      <c r="X888" s="74"/>
      <c r="Y888" s="74"/>
      <c r="Z888" s="74"/>
    </row>
    <row r="889" spans="1:26" x14ac:dyDescent="0.3">
      <c r="A889" s="66">
        <f t="shared" si="86"/>
        <v>2078.1999999999198</v>
      </c>
      <c r="B889" s="67">
        <f>LOOKUP(A889+0.01,AmountsB!$A$4:$A$103,AmountsB!$B$4:$B$103)*0.1*$A$2</f>
        <v>0</v>
      </c>
      <c r="C889" s="68">
        <f t="shared" si="85"/>
        <v>83655.233518999943</v>
      </c>
      <c r="D889" s="67">
        <f t="array" ref="D889">SUM($B$7:$B884*$F$1009*EXP(-$F$1009*($A889-$A$7:$A884)))*$F$1010</f>
        <v>2854456.8249981352</v>
      </c>
      <c r="E889" s="67">
        <f t="shared" si="83"/>
        <v>5.441769945236647</v>
      </c>
      <c r="F889" s="70">
        <f t="shared" si="87"/>
        <v>0.33042427107476918</v>
      </c>
      <c r="G889" s="67">
        <f>E889/'Lookup Tables'!$C$48</f>
        <v>10.883539890473294</v>
      </c>
      <c r="H889" s="70">
        <f t="shared" si="84"/>
        <v>3.4190261181528694E-2</v>
      </c>
      <c r="I889" s="71">
        <f t="shared" si="88"/>
        <v>1.5672297442281543E-2</v>
      </c>
      <c r="L889" s="74"/>
      <c r="M889" s="74"/>
      <c r="N889" s="74"/>
      <c r="O889" s="74"/>
      <c r="P889" s="74"/>
      <c r="Q889" s="74"/>
      <c r="R889" s="74"/>
      <c r="S889" s="74"/>
      <c r="T889" s="74"/>
      <c r="U889" s="74"/>
      <c r="V889" s="74"/>
      <c r="W889" s="74"/>
      <c r="X889" s="74"/>
      <c r="Y889" s="74"/>
      <c r="Z889" s="74"/>
    </row>
    <row r="890" spans="1:26" x14ac:dyDescent="0.3">
      <c r="A890" s="66">
        <f t="shared" si="86"/>
        <v>2078.2999999999197</v>
      </c>
      <c r="B890" s="67">
        <f>LOOKUP(A890+0.01,AmountsB!$A$4:$A$103,AmountsB!$B$4:$B$103)*0.1*$A$2</f>
        <v>0</v>
      </c>
      <c r="C890" s="68">
        <f t="shared" si="85"/>
        <v>83655.233518999943</v>
      </c>
      <c r="D890" s="67">
        <f t="array" ref="D890">SUM($B$7:$B885*$F$1009*EXP(-$F$1009*($A890-$A$7:$A885)))*$F$1010</f>
        <v>2850463.3815058479</v>
      </c>
      <c r="E890" s="67">
        <f t="shared" si="83"/>
        <v>5.4341567977600356</v>
      </c>
      <c r="F890" s="70">
        <f t="shared" si="87"/>
        <v>0.32996200075998938</v>
      </c>
      <c r="G890" s="67">
        <f>E890/'Lookup Tables'!$C$48</f>
        <v>10.868313595520071</v>
      </c>
      <c r="H890" s="70">
        <f t="shared" si="84"/>
        <v>3.4142428306699668E-2</v>
      </c>
      <c r="I890" s="71">
        <f t="shared" si="88"/>
        <v>1.5650371577548901E-2</v>
      </c>
      <c r="L890" s="74"/>
      <c r="M890" s="74"/>
      <c r="N890" s="74"/>
      <c r="O890" s="74"/>
      <c r="P890" s="74"/>
      <c r="Q890" s="74"/>
      <c r="R890" s="74"/>
      <c r="S890" s="74"/>
      <c r="T890" s="74"/>
      <c r="U890" s="74"/>
      <c r="V890" s="74"/>
      <c r="W890" s="74"/>
      <c r="X890" s="74"/>
      <c r="Y890" s="74"/>
      <c r="Z890" s="74"/>
    </row>
    <row r="891" spans="1:26" x14ac:dyDescent="0.3">
      <c r="A891" s="66">
        <f t="shared" si="86"/>
        <v>2078.3999999999196</v>
      </c>
      <c r="B891" s="67">
        <f>LOOKUP(A891+0.01,AmountsB!$A$4:$A$103,AmountsB!$B$4:$B$103)*0.1*$A$2</f>
        <v>0</v>
      </c>
      <c r="C891" s="68">
        <f t="shared" si="85"/>
        <v>83655.233518999943</v>
      </c>
      <c r="D891" s="67">
        <f t="array" ref="D891">SUM($B$7:$B886*$F$1009*EXP(-$F$1009*($A891-$A$7:$A886)))*$F$1010</f>
        <v>2846475.5249227015</v>
      </c>
      <c r="E891" s="67">
        <f t="shared" si="83"/>
        <v>5.4265543012324891</v>
      </c>
      <c r="F891" s="70">
        <f t="shared" si="87"/>
        <v>0.32950037717083674</v>
      </c>
      <c r="G891" s="67">
        <f>E891/'Lookup Tables'!$C$48</f>
        <v>10.853108602464978</v>
      </c>
      <c r="H891" s="70">
        <f t="shared" si="84"/>
        <v>3.4094662351041069E-2</v>
      </c>
      <c r="I891" s="71">
        <f t="shared" si="88"/>
        <v>1.5628476387549571E-2</v>
      </c>
      <c r="L891" s="74"/>
      <c r="M891" s="74"/>
      <c r="N891" s="74"/>
      <c r="O891" s="74"/>
      <c r="P891" s="74"/>
      <c r="Q891" s="74"/>
      <c r="R891" s="74"/>
      <c r="S891" s="74"/>
      <c r="T891" s="74"/>
      <c r="U891" s="74"/>
      <c r="V891" s="74"/>
      <c r="W891" s="74"/>
      <c r="X891" s="74"/>
      <c r="Y891" s="74"/>
      <c r="Z891" s="74"/>
    </row>
    <row r="892" spans="1:26" x14ac:dyDescent="0.3">
      <c r="A892" s="66">
        <f t="shared" si="86"/>
        <v>2078.4999999999195</v>
      </c>
      <c r="B892" s="67">
        <f>LOOKUP(A892+0.01,AmountsB!$A$4:$A$103,AmountsB!$B$4:$B$103)*0.1*$A$2</f>
        <v>0</v>
      </c>
      <c r="C892" s="68">
        <f t="shared" si="85"/>
        <v>83655.233518999943</v>
      </c>
      <c r="D892" s="67">
        <f t="array" ref="D892">SUM($B$7:$B887*$F$1009*EXP(-$F$1009*($A892-$A$7:$A887)))*$F$1010</f>
        <v>2842493.2474324955</v>
      </c>
      <c r="E892" s="67">
        <f t="shared" si="83"/>
        <v>5.418962440753111</v>
      </c>
      <c r="F892" s="70">
        <f t="shared" si="87"/>
        <v>0.32903939940252896</v>
      </c>
      <c r="G892" s="67">
        <f>E892/'Lookup Tables'!$C$48</f>
        <v>10.837924881506222</v>
      </c>
      <c r="H892" s="70">
        <f t="shared" si="84"/>
        <v>3.4046963220931599E-2</v>
      </c>
      <c r="I892" s="71">
        <f t="shared" si="88"/>
        <v>1.5606611829368962E-2</v>
      </c>
      <c r="L892" s="74"/>
      <c r="M892" s="74"/>
      <c r="N892" s="74"/>
      <c r="O892" s="74"/>
      <c r="P892" s="74"/>
      <c r="Q892" s="74"/>
      <c r="R892" s="74"/>
      <c r="S892" s="74"/>
      <c r="T892" s="74"/>
      <c r="U892" s="74"/>
      <c r="V892" s="74"/>
      <c r="W892" s="74"/>
      <c r="X892" s="74"/>
      <c r="Y892" s="74"/>
      <c r="Z892" s="74"/>
    </row>
    <row r="893" spans="1:26" x14ac:dyDescent="0.3">
      <c r="A893" s="66">
        <f t="shared" si="86"/>
        <v>2078.5999999999194</v>
      </c>
      <c r="B893" s="67">
        <f>LOOKUP(A893+0.01,AmountsB!$A$4:$A$103,AmountsB!$B$4:$B$103)*0.1*$A$2</f>
        <v>0</v>
      </c>
      <c r="C893" s="68">
        <f t="shared" si="85"/>
        <v>83655.233518999943</v>
      </c>
      <c r="D893" s="67">
        <f t="array" ref="D893">SUM($B$7:$B888*$F$1009*EXP(-$F$1009*($A893-$A$7:$A888)))*$F$1010</f>
        <v>2838516.5412299642</v>
      </c>
      <c r="E893" s="67">
        <f t="shared" si="83"/>
        <v>5.4113812014418503</v>
      </c>
      <c r="F893" s="70">
        <f t="shared" si="87"/>
        <v>0.32857906655154911</v>
      </c>
      <c r="G893" s="67">
        <f>E893/'Lookup Tables'!$C$48</f>
        <v>10.822762402883701</v>
      </c>
      <c r="H893" s="70">
        <f t="shared" si="84"/>
        <v>3.3999330822880924E-2</v>
      </c>
      <c r="I893" s="71">
        <f t="shared" si="88"/>
        <v>1.5584777860152528E-2</v>
      </c>
      <c r="L893" s="74"/>
      <c r="M893" s="74"/>
      <c r="N893" s="74"/>
      <c r="O893" s="74"/>
      <c r="P893" s="74"/>
      <c r="Q893" s="74"/>
      <c r="R893" s="74"/>
      <c r="S893" s="74"/>
      <c r="T893" s="74"/>
      <c r="U893" s="74"/>
      <c r="V893" s="74"/>
      <c r="W893" s="74"/>
      <c r="X893" s="74"/>
      <c r="Y893" s="74"/>
      <c r="Z893" s="74"/>
    </row>
    <row r="894" spans="1:26" x14ac:dyDescent="0.3">
      <c r="A894" s="66">
        <f t="shared" si="86"/>
        <v>2078.6999999999193</v>
      </c>
      <c r="B894" s="67">
        <f>LOOKUP(A894+0.01,AmountsB!$A$4:$A$103,AmountsB!$B$4:$B$103)*0.1*$A$2</f>
        <v>0</v>
      </c>
      <c r="C894" s="68">
        <f t="shared" si="85"/>
        <v>83655.233518999943</v>
      </c>
      <c r="D894" s="67">
        <f t="array" ref="D894">SUM($B$7:$B889*$F$1009*EXP(-$F$1009*($A894-$A$7:$A889)))*$F$1010</f>
        <v>2834545.3985207621</v>
      </c>
      <c r="E894" s="67">
        <f t="shared" si="83"/>
        <v>5.4038105684394768</v>
      </c>
      <c r="F894" s="70">
        <f t="shared" si="87"/>
        <v>0.32811937771564503</v>
      </c>
      <c r="G894" s="67">
        <f>E894/'Lookup Tables'!$C$48</f>
        <v>10.807621136878954</v>
      </c>
      <c r="H894" s="70">
        <f t="shared" si="84"/>
        <v>3.3951765063529551E-2</v>
      </c>
      <c r="I894" s="71">
        <f t="shared" si="88"/>
        <v>1.5562974437105692E-2</v>
      </c>
      <c r="L894" s="74"/>
      <c r="M894" s="74"/>
      <c r="N894" s="74"/>
      <c r="O894" s="74"/>
      <c r="P894" s="74"/>
      <c r="Q894" s="74"/>
      <c r="R894" s="74"/>
      <c r="S894" s="74"/>
      <c r="T894" s="74"/>
      <c r="U894" s="74"/>
      <c r="V894" s="74"/>
      <c r="W894" s="74"/>
      <c r="X894" s="74"/>
      <c r="Y894" s="74"/>
      <c r="Z894" s="74"/>
    </row>
    <row r="895" spans="1:26" x14ac:dyDescent="0.3">
      <c r="A895" s="66">
        <f t="shared" si="86"/>
        <v>2078.7999999999192</v>
      </c>
      <c r="B895" s="67">
        <f>LOOKUP(A895+0.01,AmountsB!$A$4:$A$103,AmountsB!$B$4:$B$103)*0.1*$A$2</f>
        <v>0</v>
      </c>
      <c r="C895" s="68">
        <f t="shared" si="85"/>
        <v>83655.233518999943</v>
      </c>
      <c r="D895" s="67">
        <f t="array" ref="D895">SUM($B$7:$B890*$F$1009*EXP(-$F$1009*($A895-$A$7:$A890)))*$F$1010</f>
        <v>2830579.8115214491</v>
      </c>
      <c r="E895" s="67">
        <f t="shared" si="83"/>
        <v>5.396250526907548</v>
      </c>
      <c r="F895" s="70">
        <f t="shared" si="87"/>
        <v>0.32766033199382633</v>
      </c>
      <c r="G895" s="67">
        <f>E895/'Lookup Tables'!$C$48</f>
        <v>10.792501053815096</v>
      </c>
      <c r="H895" s="70">
        <f t="shared" si="84"/>
        <v>3.3904265849648577E-2</v>
      </c>
      <c r="I895" s="71">
        <f t="shared" si="88"/>
        <v>1.5541201517493736E-2</v>
      </c>
      <c r="L895" s="74"/>
      <c r="M895" s="74"/>
      <c r="N895" s="74"/>
      <c r="O895" s="74"/>
      <c r="P895" s="74"/>
      <c r="Q895" s="74"/>
      <c r="R895" s="74"/>
      <c r="S895" s="74"/>
      <c r="T895" s="74"/>
      <c r="U895" s="74"/>
      <c r="V895" s="74"/>
      <c r="W895" s="74"/>
      <c r="X895" s="74"/>
      <c r="Y895" s="74"/>
      <c r="Z895" s="74"/>
    </row>
    <row r="896" spans="1:26" x14ac:dyDescent="0.3">
      <c r="A896" s="66">
        <f t="shared" si="86"/>
        <v>2078.8999999999191</v>
      </c>
      <c r="B896" s="67">
        <f>LOOKUP(A896+0.01,AmountsB!$A$4:$A$103,AmountsB!$B$4:$B$103)*0.1*$A$2</f>
        <v>0</v>
      </c>
      <c r="C896" s="68">
        <f t="shared" si="85"/>
        <v>83655.233518999943</v>
      </c>
      <c r="D896" s="67">
        <f t="array" ref="D896">SUM($B$7:$B891*$F$1009*EXP(-$F$1009*($A896-$A$7:$A891)))*$F$1010</f>
        <v>2826619.772459473</v>
      </c>
      <c r="E896" s="67">
        <f t="shared" si="83"/>
        <v>5.3887010620283808</v>
      </c>
      <c r="F896" s="70">
        <f t="shared" si="87"/>
        <v>0.32720192848636331</v>
      </c>
      <c r="G896" s="67">
        <f>E896/'Lookup Tables'!$C$48</f>
        <v>10.777402124056762</v>
      </c>
      <c r="H896" s="70">
        <f t="shared" si="84"/>
        <v>3.3856833088139533E-2</v>
      </c>
      <c r="I896" s="71">
        <f t="shared" si="88"/>
        <v>1.5519459058641738E-2</v>
      </c>
      <c r="L896" s="74"/>
      <c r="M896" s="74"/>
      <c r="N896" s="74"/>
      <c r="O896" s="74"/>
      <c r="P896" s="74"/>
      <c r="Q896" s="74"/>
      <c r="R896" s="74"/>
      <c r="S896" s="74"/>
      <c r="T896" s="74"/>
      <c r="U896" s="74"/>
      <c r="V896" s="74"/>
      <c r="W896" s="74"/>
      <c r="X896" s="74"/>
      <c r="Y896" s="74"/>
      <c r="Z896" s="74"/>
    </row>
    <row r="897" spans="1:26" x14ac:dyDescent="0.3">
      <c r="A897" s="66">
        <f t="shared" si="86"/>
        <v>2078.9999999999191</v>
      </c>
      <c r="B897" s="67">
        <f>LOOKUP(A897+0.01,AmountsB!$A$4:$A$103,AmountsB!$B$4:$B$103)*0.1*$A$2</f>
        <v>0</v>
      </c>
      <c r="C897" s="68">
        <f t="shared" si="85"/>
        <v>83655.233518999943</v>
      </c>
      <c r="D897" s="67">
        <f t="array" ref="D897">SUM($B$7:$B892*$F$1009*EXP(-$F$1009*($A897-$A$7:$A892)))*$F$1010</f>
        <v>2822665.2735731541</v>
      </c>
      <c r="E897" s="67">
        <f t="shared" si="83"/>
        <v>5.381162159005016</v>
      </c>
      <c r="F897" s="70">
        <f t="shared" si="87"/>
        <v>0.32674416629478459</v>
      </c>
      <c r="G897" s="67">
        <f>E897/'Lookup Tables'!$C$48</f>
        <v>10.762324318010032</v>
      </c>
      <c r="H897" s="70">
        <f t="shared" si="84"/>
        <v>3.3809466686034156E-2</v>
      </c>
      <c r="I897" s="71">
        <f t="shared" si="88"/>
        <v>1.5497747017934445E-2</v>
      </c>
      <c r="L897" s="74"/>
      <c r="M897" s="74"/>
      <c r="N897" s="74"/>
      <c r="O897" s="74"/>
      <c r="P897" s="74"/>
      <c r="Q897" s="74"/>
      <c r="R897" s="74"/>
      <c r="S897" s="74"/>
      <c r="T897" s="74"/>
      <c r="U897" s="74"/>
      <c r="V897" s="74"/>
      <c r="W897" s="74"/>
      <c r="X897" s="74"/>
      <c r="Y897" s="74"/>
      <c r="Z897" s="74"/>
    </row>
    <row r="898" spans="1:26" x14ac:dyDescent="0.3">
      <c r="A898" s="66">
        <f t="shared" si="86"/>
        <v>2079.099999999919</v>
      </c>
      <c r="B898" s="67">
        <f>LOOKUP(A898+0.01,AmountsB!$A$4:$A$103,AmountsB!$B$4:$B$103)*0.1*$A$2</f>
        <v>0</v>
      </c>
      <c r="C898" s="68">
        <f t="shared" si="85"/>
        <v>83655.233518999943</v>
      </c>
      <c r="D898" s="67">
        <f t="array" ref="D898">SUM($B$7:$B893*$F$1009*EXP(-$F$1009*($A898-$A$7:$A893)))*$F$1010</f>
        <v>2818716.3071116763</v>
      </c>
      <c r="E898" s="67">
        <f t="shared" si="83"/>
        <v>5.3736338030612085</v>
      </c>
      <c r="F898" s="70">
        <f t="shared" si="87"/>
        <v>0.32628704452187657</v>
      </c>
      <c r="G898" s="67">
        <f>E898/'Lookup Tables'!$C$48</f>
        <v>10.747267606122417</v>
      </c>
      <c r="H898" s="70">
        <f t="shared" si="84"/>
        <v>3.376216655049432E-2</v>
      </c>
      <c r="I898" s="71">
        <f t="shared" si="88"/>
        <v>1.547606535281628E-2</v>
      </c>
      <c r="L898" s="74"/>
      <c r="M898" s="74"/>
      <c r="N898" s="74"/>
      <c r="O898" s="74"/>
      <c r="P898" s="74"/>
      <c r="Q898" s="74"/>
      <c r="R898" s="74"/>
      <c r="S898" s="74"/>
      <c r="T898" s="74"/>
      <c r="U898" s="74"/>
      <c r="V898" s="74"/>
      <c r="W898" s="74"/>
      <c r="X898" s="74"/>
      <c r="Y898" s="74"/>
      <c r="Z898" s="74"/>
    </row>
    <row r="899" spans="1:26" x14ac:dyDescent="0.3">
      <c r="A899" s="66">
        <f t="shared" si="86"/>
        <v>2079.1999999999189</v>
      </c>
      <c r="B899" s="67">
        <f>LOOKUP(A899+0.01,AmountsB!$A$4:$A$103,AmountsB!$B$4:$B$103)*0.1*$A$2</f>
        <v>0</v>
      </c>
      <c r="C899" s="68">
        <f t="shared" si="85"/>
        <v>83655.233518999943</v>
      </c>
      <c r="D899" s="67">
        <f t="array" ref="D899">SUM($B$7:$B894*$F$1009*EXP(-$F$1009*($A899-$A$7:$A894)))*$F$1010</f>
        <v>2814772.8653350631</v>
      </c>
      <c r="E899" s="67">
        <f t="shared" si="83"/>
        <v>5.3661159794413757</v>
      </c>
      <c r="F899" s="70">
        <f t="shared" si="87"/>
        <v>0.32583056227168034</v>
      </c>
      <c r="G899" s="67">
        <f>E899/'Lookup Tables'!$C$48</f>
        <v>10.732231958882751</v>
      </c>
      <c r="H899" s="70">
        <f t="shared" si="84"/>
        <v>3.3714932588811732E-2</v>
      </c>
      <c r="I899" s="71">
        <f t="shared" si="88"/>
        <v>1.5454414020791162E-2</v>
      </c>
      <c r="L899" s="74"/>
      <c r="M899" s="74"/>
      <c r="N899" s="74"/>
      <c r="O899" s="74"/>
      <c r="P899" s="74"/>
      <c r="Q899" s="74"/>
      <c r="R899" s="74"/>
      <c r="S899" s="74"/>
      <c r="T899" s="74"/>
      <c r="U899" s="74"/>
      <c r="V899" s="74"/>
      <c r="W899" s="74"/>
      <c r="X899" s="74"/>
      <c r="Y899" s="74"/>
      <c r="Z899" s="74"/>
    </row>
    <row r="900" spans="1:26" x14ac:dyDescent="0.3">
      <c r="A900" s="66">
        <f t="shared" si="86"/>
        <v>2079.2999999999188</v>
      </c>
      <c r="B900" s="67">
        <f>LOOKUP(A900+0.01,AmountsB!$A$4:$A$103,AmountsB!$B$4:$B$103)*0.1*$A$2</f>
        <v>0</v>
      </c>
      <c r="C900" s="68">
        <f t="shared" si="85"/>
        <v>83655.233518999943</v>
      </c>
      <c r="D900" s="67">
        <f t="array" ref="D900">SUM($B$7:$B895*$F$1009*EXP(-$F$1009*($A900-$A$7:$A895)))*$F$1010</f>
        <v>2810834.9405141668</v>
      </c>
      <c r="E900" s="67">
        <f t="shared" si="83"/>
        <v>5.3586086734105791</v>
      </c>
      <c r="F900" s="70">
        <f t="shared" si="87"/>
        <v>0.32537471864949041</v>
      </c>
      <c r="G900" s="67">
        <f>E900/'Lookup Tables'!$C$48</f>
        <v>10.717217346821158</v>
      </c>
      <c r="H900" s="70">
        <f t="shared" si="84"/>
        <v>3.3667764708407814E-2</v>
      </c>
      <c r="I900" s="71">
        <f t="shared" si="88"/>
        <v>1.5432792979422469E-2</v>
      </c>
      <c r="L900" s="74"/>
      <c r="M900" s="74"/>
      <c r="N900" s="74"/>
      <c r="O900" s="74"/>
      <c r="P900" s="74"/>
      <c r="Q900" s="74"/>
      <c r="R900" s="74"/>
      <c r="S900" s="74"/>
      <c r="T900" s="74"/>
      <c r="U900" s="74"/>
      <c r="V900" s="74"/>
      <c r="W900" s="74"/>
      <c r="X900" s="74"/>
      <c r="Y900" s="74"/>
      <c r="Z900" s="74"/>
    </row>
    <row r="901" spans="1:26" x14ac:dyDescent="0.3">
      <c r="A901" s="66">
        <f t="shared" si="86"/>
        <v>2079.3999999999187</v>
      </c>
      <c r="B901" s="67">
        <f>LOOKUP(A901+0.01,AmountsB!$A$4:$A$103,AmountsB!$B$4:$B$103)*0.1*$A$2</f>
        <v>0</v>
      </c>
      <c r="C901" s="68">
        <f t="shared" si="85"/>
        <v>83655.233518999943</v>
      </c>
      <c r="D901" s="67">
        <f t="array" ref="D901">SUM($B$7:$B896*$F$1009*EXP(-$F$1009*($A901-$A$7:$A896)))*$F$1010</f>
        <v>2806902.5249306532</v>
      </c>
      <c r="E901" s="67">
        <f t="shared" si="83"/>
        <v>5.3511118702544973</v>
      </c>
      <c r="F901" s="70">
        <f t="shared" si="87"/>
        <v>0.32491951276185305</v>
      </c>
      <c r="G901" s="67">
        <f>E901/'Lookup Tables'!$C$48</f>
        <v>10.702223740508995</v>
      </c>
      <c r="H901" s="70">
        <f t="shared" si="84"/>
        <v>3.3620662816833485E-2</v>
      </c>
      <c r="I901" s="71">
        <f t="shared" si="88"/>
        <v>1.5411202186332951E-2</v>
      </c>
      <c r="L901" s="74"/>
      <c r="M901" s="74"/>
      <c r="N901" s="74"/>
      <c r="O901" s="74"/>
      <c r="P901" s="74"/>
      <c r="Q901" s="74"/>
      <c r="R901" s="74"/>
      <c r="S901" s="74"/>
      <c r="T901" s="74"/>
      <c r="U901" s="74"/>
      <c r="V901" s="74"/>
      <c r="W901" s="74"/>
      <c r="X901" s="74"/>
      <c r="Y901" s="74"/>
      <c r="Z901" s="74"/>
    </row>
    <row r="902" spans="1:26" x14ac:dyDescent="0.3">
      <c r="A902" s="66">
        <f t="shared" si="86"/>
        <v>2079.4999999999186</v>
      </c>
      <c r="B902" s="67">
        <f>LOOKUP(A902+0.01,AmountsB!$A$4:$A$103,AmountsB!$B$4:$B$103)*0.1*$A$2</f>
        <v>0</v>
      </c>
      <c r="C902" s="68">
        <f t="shared" si="85"/>
        <v>83655.233518999943</v>
      </c>
      <c r="D902" s="67">
        <f t="array" ref="D902">SUM($B$7:$B897*$F$1009*EXP(-$F$1009*($A902-$A$7:$A897)))*$F$1010</f>
        <v>2802975.6108769877</v>
      </c>
      <c r="E902" s="67">
        <f t="shared" si="83"/>
        <v>5.3436255552793961</v>
      </c>
      <c r="F902" s="70">
        <f t="shared" si="87"/>
        <v>0.32446494371656492</v>
      </c>
      <c r="G902" s="67">
        <f>E902/'Lookup Tables'!$C$48</f>
        <v>10.687251110558792</v>
      </c>
      <c r="H902" s="70">
        <f t="shared" si="84"/>
        <v>3.3573626821769058E-2</v>
      </c>
      <c r="I902" s="71">
        <f t="shared" si="88"/>
        <v>1.5389641599204661E-2</v>
      </c>
      <c r="L902" s="74"/>
      <c r="M902" s="74"/>
      <c r="N902" s="74"/>
      <c r="O902" s="74"/>
      <c r="P902" s="74"/>
      <c r="Q902" s="74"/>
      <c r="R902" s="74"/>
      <c r="S902" s="74"/>
      <c r="T902" s="74"/>
      <c r="U902" s="74"/>
      <c r="V902" s="74"/>
      <c r="W902" s="74"/>
      <c r="X902" s="74"/>
      <c r="Y902" s="74"/>
      <c r="Z902" s="74"/>
    </row>
    <row r="903" spans="1:26" x14ac:dyDescent="0.3">
      <c r="A903" s="66">
        <f t="shared" si="86"/>
        <v>2079.5999999999185</v>
      </c>
      <c r="B903" s="67">
        <f>LOOKUP(A903+0.01,AmountsB!$A$4:$A$103,AmountsB!$B$4:$B$103)*0.1*$A$2</f>
        <v>0</v>
      </c>
      <c r="C903" s="68">
        <f t="shared" si="85"/>
        <v>83655.233518999943</v>
      </c>
      <c r="D903" s="67">
        <f t="array" ref="D903">SUM($B$7:$B898*$F$1009*EXP(-$F$1009*($A903-$A$7:$A898)))*$F$1010</f>
        <v>2799054.1906564161</v>
      </c>
      <c r="E903" s="67">
        <f t="shared" ref="E903:E966" si="89">D903/(365*24*60)*1.00201</f>
        <v>5.3361497138120928</v>
      </c>
      <c r="F903" s="70">
        <f t="shared" si="87"/>
        <v>0.32401101062267029</v>
      </c>
      <c r="G903" s="67">
        <f>E903/'Lookup Tables'!$C$48</f>
        <v>10.672299427624186</v>
      </c>
      <c r="H903" s="70">
        <f t="shared" ref="H903:H966" si="90">G903*60*24*365/(C903*2000)</f>
        <v>3.3526656631023943E-2</v>
      </c>
      <c r="I903" s="71">
        <f t="shared" si="88"/>
        <v>1.5368111175778828E-2</v>
      </c>
      <c r="L903" s="74"/>
      <c r="M903" s="74"/>
      <c r="N903" s="74"/>
      <c r="O903" s="74"/>
      <c r="P903" s="74"/>
      <c r="Q903" s="74"/>
      <c r="R903" s="74"/>
      <c r="S903" s="74"/>
      <c r="T903" s="74"/>
      <c r="U903" s="74"/>
      <c r="V903" s="74"/>
      <c r="W903" s="74"/>
      <c r="X903" s="74"/>
      <c r="Y903" s="74"/>
      <c r="Z903" s="74"/>
    </row>
    <row r="904" spans="1:26" x14ac:dyDescent="0.3">
      <c r="A904" s="66">
        <f t="shared" si="86"/>
        <v>2079.6999999999184</v>
      </c>
      <c r="B904" s="67">
        <f>LOOKUP(A904+0.01,AmountsB!$A$4:$A$103,AmountsB!$B$4:$B$103)*0.1*$A$2</f>
        <v>0</v>
      </c>
      <c r="C904" s="68">
        <f t="shared" si="85"/>
        <v>83655.233518999943</v>
      </c>
      <c r="D904" s="67">
        <f t="array" ref="D904">SUM($B$7:$B899*$F$1009*EXP(-$F$1009*($A904-$A$7:$A899)))*$F$1010</f>
        <v>2795138.2565829549</v>
      </c>
      <c r="E904" s="67">
        <f t="shared" si="89"/>
        <v>5.3286843311999368</v>
      </c>
      <c r="F904" s="70">
        <f t="shared" si="87"/>
        <v>0.32355771259046012</v>
      </c>
      <c r="G904" s="67">
        <f>E904/'Lookup Tables'!$C$48</f>
        <v>10.657368662399874</v>
      </c>
      <c r="H904" s="70">
        <f t="shared" si="90"/>
        <v>3.3479752152536554E-2</v>
      </c>
      <c r="I904" s="71">
        <f t="shared" si="88"/>
        <v>1.5346610873855818E-2</v>
      </c>
      <c r="L904" s="74"/>
      <c r="M904" s="74"/>
      <c r="N904" s="74"/>
      <c r="O904" s="74"/>
      <c r="P904" s="74"/>
      <c r="Q904" s="74"/>
      <c r="R904" s="74"/>
      <c r="S904" s="74"/>
      <c r="T904" s="74"/>
      <c r="U904" s="74"/>
      <c r="V904" s="74"/>
      <c r="W904" s="74"/>
      <c r="X904" s="74"/>
      <c r="Y904" s="74"/>
      <c r="Z904" s="74"/>
    </row>
    <row r="905" spans="1:26" x14ac:dyDescent="0.3">
      <c r="A905" s="66">
        <f t="shared" si="86"/>
        <v>2079.7999999999183</v>
      </c>
      <c r="B905" s="67">
        <f>LOOKUP(A905+0.01,AmountsB!$A$4:$A$103,AmountsB!$B$4:$B$103)*0.1*$A$2</f>
        <v>0</v>
      </c>
      <c r="C905" s="68">
        <f t="shared" ref="C905:C968" si="91">C904+B905</f>
        <v>83655.233518999943</v>
      </c>
      <c r="D905" s="67">
        <f t="array" ref="D905">SUM($B$7:$B900*$F$1009*EXP(-$F$1009*($A905-$A$7:$A900)))*$F$1010</f>
        <v>2791227.8009813707</v>
      </c>
      <c r="E905" s="67">
        <f t="shared" si="89"/>
        <v>5.3212293928107748</v>
      </c>
      <c r="F905" s="70">
        <f t="shared" si="87"/>
        <v>0.32310504873147022</v>
      </c>
      <c r="G905" s="67">
        <f>E905/'Lookup Tables'!$C$48</f>
        <v>10.64245878562155</v>
      </c>
      <c r="H905" s="70">
        <f t="shared" si="90"/>
        <v>3.3432913294374096E-2</v>
      </c>
      <c r="I905" s="71">
        <f t="shared" si="88"/>
        <v>1.5325140651295031E-2</v>
      </c>
      <c r="L905" s="74"/>
      <c r="M905" s="74"/>
      <c r="N905" s="74"/>
      <c r="O905" s="74"/>
      <c r="P905" s="74"/>
      <c r="Q905" s="74"/>
      <c r="R905" s="74"/>
      <c r="S905" s="74"/>
      <c r="T905" s="74"/>
      <c r="U905" s="74"/>
      <c r="V905" s="74"/>
      <c r="W905" s="74"/>
      <c r="X905" s="74"/>
      <c r="Y905" s="74"/>
      <c r="Z905" s="74"/>
    </row>
    <row r="906" spans="1:26" x14ac:dyDescent="0.3">
      <c r="A906" s="66">
        <f t="shared" si="86"/>
        <v>2079.8999999999182</v>
      </c>
      <c r="B906" s="67">
        <f>LOOKUP(A906+0.01,AmountsB!$A$4:$A$103,AmountsB!$B$4:$B$103)*0.1*$A$2</f>
        <v>0</v>
      </c>
      <c r="C906" s="68">
        <f t="shared" si="91"/>
        <v>83655.233518999943</v>
      </c>
      <c r="D906" s="67">
        <f t="array" ref="D906">SUM($B$7:$B901*$F$1009*EXP(-$F$1009*($A906-$A$7:$A901)))*$F$1010</f>
        <v>2787322.8161871703</v>
      </c>
      <c r="E906" s="67">
        <f t="shared" si="89"/>
        <v>5.3137848840329278</v>
      </c>
      <c r="F906" s="70">
        <f t="shared" si="87"/>
        <v>0.32265301815847935</v>
      </c>
      <c r="G906" s="67">
        <f>E906/'Lookup Tables'!$C$48</f>
        <v>10.627569768065856</v>
      </c>
      <c r="H906" s="70">
        <f t="shared" si="90"/>
        <v>3.3386139964732414E-2</v>
      </c>
      <c r="I906" s="71">
        <f t="shared" si="88"/>
        <v>1.5303700466014833E-2</v>
      </c>
      <c r="L906" s="74"/>
      <c r="M906" s="74"/>
      <c r="N906" s="74"/>
      <c r="O906" s="74"/>
      <c r="P906" s="74"/>
      <c r="Q906" s="74"/>
      <c r="R906" s="74"/>
      <c r="S906" s="74"/>
      <c r="T906" s="74"/>
      <c r="U906" s="74"/>
      <c r="V906" s="74"/>
      <c r="W906" s="74"/>
      <c r="X906" s="74"/>
      <c r="Y906" s="74"/>
      <c r="Z906" s="74"/>
    </row>
    <row r="907" spans="1:26" x14ac:dyDescent="0.3">
      <c r="A907" s="66">
        <f t="shared" si="86"/>
        <v>2079.9999999999181</v>
      </c>
      <c r="B907" s="67">
        <f>LOOKUP(A907+0.01,AmountsB!$A$4:$A$103,AmountsB!$B$4:$B$103)*0.1*$A$2</f>
        <v>0</v>
      </c>
      <c r="C907" s="68">
        <f t="shared" si="91"/>
        <v>83655.233518999943</v>
      </c>
      <c r="D907" s="67">
        <f t="array" ref="D907">SUM($B$7:$B902*$F$1009*EXP(-$F$1009*($A907-$A$7:$A902)))*$F$1010</f>
        <v>2783423.2945465818</v>
      </c>
      <c r="E907" s="67">
        <f t="shared" si="89"/>
        <v>5.306350790275153</v>
      </c>
      <c r="F907" s="70">
        <f t="shared" si="87"/>
        <v>0.32220161998550734</v>
      </c>
      <c r="G907" s="67">
        <f>E907/'Lookup Tables'!$C$48</f>
        <v>10.612701580550306</v>
      </c>
      <c r="H907" s="70">
        <f t="shared" si="90"/>
        <v>3.3339432071935744E-2</v>
      </c>
      <c r="I907" s="71">
        <f t="shared" si="88"/>
        <v>1.5282290275992441E-2</v>
      </c>
      <c r="L907" s="74"/>
      <c r="M907" s="74"/>
      <c r="N907" s="74"/>
      <c r="O907" s="74"/>
      <c r="P907" s="74"/>
      <c r="Q907" s="74"/>
      <c r="R907" s="74"/>
      <c r="S907" s="74"/>
      <c r="T907" s="74"/>
      <c r="U907" s="74"/>
      <c r="V907" s="74"/>
      <c r="W907" s="74"/>
      <c r="X907" s="74"/>
      <c r="Y907" s="74"/>
      <c r="Z907" s="74"/>
    </row>
    <row r="908" spans="1:26" x14ac:dyDescent="0.3">
      <c r="A908" s="66">
        <f t="shared" si="86"/>
        <v>2080.0999999999181</v>
      </c>
      <c r="B908" s="67">
        <f>LOOKUP(A908+0.01,AmountsB!$A$4:$A$103,AmountsB!$B$4:$B$103)*0.1*$A$2</f>
        <v>0</v>
      </c>
      <c r="C908" s="68">
        <f t="shared" si="91"/>
        <v>83655.233518999943</v>
      </c>
      <c r="D908" s="67">
        <f t="array" ref="D908">SUM($B$7:$B903*$F$1009*EXP(-$F$1009*($A908-$A$7:$A903)))*$F$1010</f>
        <v>2779529.2284165411</v>
      </c>
      <c r="E908" s="67">
        <f t="shared" si="89"/>
        <v>5.2989270969666258</v>
      </c>
      <c r="F908" s="70">
        <f t="shared" si="87"/>
        <v>0.32175085332781356</v>
      </c>
      <c r="G908" s="67">
        <f>E908/'Lookup Tables'!$C$48</f>
        <v>10.597854193933252</v>
      </c>
      <c r="H908" s="70">
        <f t="shared" si="90"/>
        <v>3.3292789524436595E-2</v>
      </c>
      <c r="I908" s="71">
        <f t="shared" si="88"/>
        <v>1.5260910039263883E-2</v>
      </c>
      <c r="L908" s="74"/>
      <c r="M908" s="74"/>
      <c r="N908" s="74"/>
      <c r="O908" s="74"/>
      <c r="P908" s="74"/>
      <c r="Q908" s="74"/>
      <c r="R908" s="74"/>
      <c r="S908" s="74"/>
      <c r="T908" s="74"/>
      <c r="U908" s="74"/>
      <c r="V908" s="74"/>
      <c r="W908" s="74"/>
      <c r="X908" s="74"/>
      <c r="Y908" s="74"/>
      <c r="Z908" s="74"/>
    </row>
    <row r="909" spans="1:26" x14ac:dyDescent="0.3">
      <c r="A909" s="66">
        <f t="shared" si="86"/>
        <v>2080.199999999918</v>
      </c>
      <c r="B909" s="67">
        <f>LOOKUP(A909+0.01,AmountsB!$A$4:$A$103,AmountsB!$B$4:$B$103)*0.1*$A$2</f>
        <v>0</v>
      </c>
      <c r="C909" s="68">
        <f t="shared" si="91"/>
        <v>83655.233518999943</v>
      </c>
      <c r="D909" s="67">
        <f t="array" ref="D909">SUM($B$7:$B904*$F$1009*EXP(-$F$1009*($A909-$A$7:$A904)))*$F$1010</f>
        <v>2775640.6101646796</v>
      </c>
      <c r="E909" s="67">
        <f t="shared" si="89"/>
        <v>5.291513789556908</v>
      </c>
      <c r="F909" s="70">
        <f t="shared" si="87"/>
        <v>0.32130071730189547</v>
      </c>
      <c r="G909" s="67">
        <f>E909/'Lookup Tables'!$C$48</f>
        <v>10.583027579113816</v>
      </c>
      <c r="H909" s="70">
        <f t="shared" si="90"/>
        <v>3.3246212230815593E-2</v>
      </c>
      <c r="I909" s="71">
        <f t="shared" si="88"/>
        <v>1.5239559713923895E-2</v>
      </c>
      <c r="L909" s="74"/>
      <c r="M909" s="74"/>
      <c r="N909" s="74"/>
      <c r="O909" s="74"/>
      <c r="P909" s="74"/>
      <c r="Q909" s="74"/>
      <c r="R909" s="74"/>
      <c r="S909" s="74"/>
      <c r="T909" s="74"/>
      <c r="U909" s="74"/>
      <c r="V909" s="74"/>
      <c r="W909" s="74"/>
      <c r="X909" s="74"/>
      <c r="Y909" s="74"/>
      <c r="Z909" s="74"/>
    </row>
    <row r="910" spans="1:26" x14ac:dyDescent="0.3">
      <c r="A910" s="66">
        <f t="shared" si="86"/>
        <v>2080.2999999999179</v>
      </c>
      <c r="B910" s="67">
        <f>LOOKUP(A910+0.01,AmountsB!$A$4:$A$103,AmountsB!$B$4:$B$103)*0.1*$A$2</f>
        <v>0</v>
      </c>
      <c r="C910" s="68">
        <f t="shared" si="91"/>
        <v>83655.233518999943</v>
      </c>
      <c r="D910" s="67">
        <f t="array" ref="D910">SUM($B$7:$B905*$F$1009*EXP(-$F$1009*($A910-$A$7:$A905)))*$F$1010</f>
        <v>2771757.432169301</v>
      </c>
      <c r="E910" s="67">
        <f t="shared" si="89"/>
        <v>5.2841108535159078</v>
      </c>
      <c r="F910" s="70">
        <f t="shared" si="87"/>
        <v>0.32085121102548586</v>
      </c>
      <c r="G910" s="67">
        <f>E910/'Lookup Tables'!$C$48</f>
        <v>10.568221707031816</v>
      </c>
      <c r="H910" s="70">
        <f t="shared" si="90"/>
        <v>3.3199700099781189E-2</v>
      </c>
      <c r="I910" s="71">
        <f t="shared" si="88"/>
        <v>1.5218239258125814E-2</v>
      </c>
      <c r="L910" s="74"/>
      <c r="M910" s="74"/>
      <c r="N910" s="74"/>
      <c r="O910" s="74"/>
      <c r="P910" s="74"/>
      <c r="Q910" s="74"/>
      <c r="R910" s="74"/>
      <c r="S910" s="74"/>
      <c r="T910" s="74"/>
      <c r="U910" s="74"/>
      <c r="V910" s="74"/>
      <c r="W910" s="74"/>
      <c r="X910" s="74"/>
      <c r="Y910" s="74"/>
      <c r="Z910" s="74"/>
    </row>
    <row r="911" spans="1:26" x14ac:dyDescent="0.3">
      <c r="A911" s="66">
        <f t="shared" si="86"/>
        <v>2080.3999999999178</v>
      </c>
      <c r="B911" s="67">
        <f>LOOKUP(A911+0.01,AmountsB!$A$4:$A$103,AmountsB!$B$4:$B$103)*0.1*$A$2</f>
        <v>0</v>
      </c>
      <c r="C911" s="68">
        <f t="shared" si="91"/>
        <v>83655.233518999943</v>
      </c>
      <c r="D911" s="67">
        <f t="array" ref="D911">SUM($B$7:$B906*$F$1009*EXP(-$F$1009*($A911-$A$7:$A906)))*$F$1010</f>
        <v>2767879.6868193778</v>
      </c>
      <c r="E911" s="67">
        <f t="shared" si="89"/>
        <v>5.2767182743338754</v>
      </c>
      <c r="F911" s="70">
        <f t="shared" si="87"/>
        <v>0.32040233361755294</v>
      </c>
      <c r="G911" s="67">
        <f>E911/'Lookup Tables'!$C$48</f>
        <v>10.553436548667751</v>
      </c>
      <c r="H911" s="70">
        <f t="shared" si="90"/>
        <v>3.3153253040169632E-2</v>
      </c>
      <c r="I911" s="71">
        <f t="shared" si="88"/>
        <v>1.5196948630081562E-2</v>
      </c>
      <c r="L911" s="74"/>
      <c r="M911" s="74"/>
      <c r="N911" s="74"/>
      <c r="O911" s="74"/>
      <c r="P911" s="74"/>
      <c r="Q911" s="74"/>
      <c r="R911" s="74"/>
      <c r="S911" s="74"/>
      <c r="T911" s="74"/>
      <c r="U911" s="74"/>
      <c r="V911" s="74"/>
      <c r="W911" s="74"/>
      <c r="X911" s="74"/>
      <c r="Y911" s="74"/>
      <c r="Z911" s="74"/>
    </row>
    <row r="912" spans="1:26" x14ac:dyDescent="0.3">
      <c r="A912" s="66">
        <f t="shared" si="86"/>
        <v>2080.4999999999177</v>
      </c>
      <c r="B912" s="67">
        <f>LOOKUP(A912+0.01,AmountsB!$A$4:$A$103,AmountsB!$B$4:$B$103)*0.1*$A$2</f>
        <v>0</v>
      </c>
      <c r="C912" s="68">
        <f t="shared" si="91"/>
        <v>83655.233518999943</v>
      </c>
      <c r="D912" s="67">
        <f t="array" ref="D912">SUM($B$7:$B907*$F$1009*EXP(-$F$1009*($A912-$A$7:$A907)))*$F$1010</f>
        <v>2764007.3665145268</v>
      </c>
      <c r="E912" s="67">
        <f t="shared" si="89"/>
        <v>5.2693360375213496</v>
      </c>
      <c r="F912" s="70">
        <f t="shared" si="87"/>
        <v>0.3199540841982963</v>
      </c>
      <c r="G912" s="67">
        <f>E912/'Lookup Tables'!$C$48</f>
        <v>10.538672075042699</v>
      </c>
      <c r="H912" s="70">
        <f t="shared" si="90"/>
        <v>3.3106870960944626E-2</v>
      </c>
      <c r="I912" s="71">
        <f t="shared" si="88"/>
        <v>1.5175687788061484E-2</v>
      </c>
      <c r="L912" s="74"/>
      <c r="M912" s="74"/>
      <c r="N912" s="74"/>
      <c r="O912" s="74"/>
      <c r="P912" s="74"/>
      <c r="Q912" s="74"/>
      <c r="R912" s="74"/>
      <c r="S912" s="74"/>
      <c r="T912" s="74"/>
      <c r="U912" s="74"/>
      <c r="V912" s="74"/>
      <c r="W912" s="74"/>
      <c r="X912" s="74"/>
      <c r="Y912" s="74"/>
      <c r="Z912" s="74"/>
    </row>
    <row r="913" spans="1:26" x14ac:dyDescent="0.3">
      <c r="A913" s="66">
        <f t="shared" si="86"/>
        <v>2080.5999999999176</v>
      </c>
      <c r="B913" s="67">
        <f>LOOKUP(A913+0.01,AmountsB!$A$4:$A$103,AmountsB!$B$4:$B$103)*0.1*$A$2</f>
        <v>0</v>
      </c>
      <c r="C913" s="68">
        <f t="shared" si="91"/>
        <v>83655.233518999943</v>
      </c>
      <c r="D913" s="67">
        <f t="array" ref="D913">SUM($B$7:$B908*$F$1009*EXP(-$F$1009*($A913-$A$7:$A908)))*$F$1010</f>
        <v>2760140.4636649988</v>
      </c>
      <c r="E913" s="67">
        <f t="shared" si="89"/>
        <v>5.2619641286091428</v>
      </c>
      <c r="F913" s="70">
        <f t="shared" si="87"/>
        <v>0.31950646188914716</v>
      </c>
      <c r="G913" s="67">
        <f>E913/'Lookup Tables'!$C$48</f>
        <v>10.523928257218286</v>
      </c>
      <c r="H913" s="70">
        <f t="shared" si="90"/>
        <v>3.3060553771197314E-2</v>
      </c>
      <c r="I913" s="71">
        <f t="shared" si="88"/>
        <v>1.5154456690394332E-2</v>
      </c>
      <c r="L913" s="74"/>
      <c r="M913" s="74"/>
      <c r="N913" s="74"/>
      <c r="O913" s="74"/>
      <c r="P913" s="74"/>
      <c r="Q913" s="74"/>
      <c r="R913" s="74"/>
      <c r="S913" s="74"/>
      <c r="T913" s="74"/>
      <c r="U913" s="74"/>
      <c r="V913" s="74"/>
      <c r="W913" s="74"/>
      <c r="X913" s="74"/>
      <c r="Y913" s="74"/>
      <c r="Z913" s="74"/>
    </row>
    <row r="914" spans="1:26" x14ac:dyDescent="0.3">
      <c r="A914" s="66">
        <f t="shared" si="86"/>
        <v>2080.6999999999175</v>
      </c>
      <c r="B914" s="67">
        <f>LOOKUP(A914+0.01,AmountsB!$A$4:$A$103,AmountsB!$B$4:$B$103)*0.1*$A$2</f>
        <v>0</v>
      </c>
      <c r="C914" s="68">
        <f t="shared" si="91"/>
        <v>83655.233518999943</v>
      </c>
      <c r="D914" s="67">
        <f t="array" ref="D914">SUM($B$7:$B909*$F$1009*EXP(-$F$1009*($A914-$A$7:$A909)))*$F$1010</f>
        <v>2756278.9706916632</v>
      </c>
      <c r="E914" s="67">
        <f t="shared" si="89"/>
        <v>5.2546025331483142</v>
      </c>
      <c r="F914" s="70">
        <f t="shared" si="87"/>
        <v>0.31905946581276562</v>
      </c>
      <c r="G914" s="67">
        <f>E914/'Lookup Tables'!$C$48</f>
        <v>10.509205066296628</v>
      </c>
      <c r="H914" s="70">
        <f t="shared" si="90"/>
        <v>3.3014301380145973E-2</v>
      </c>
      <c r="I914" s="71">
        <f t="shared" si="88"/>
        <v>1.5133255295467144E-2</v>
      </c>
      <c r="L914" s="74"/>
      <c r="M914" s="74"/>
      <c r="N914" s="74"/>
      <c r="O914" s="74"/>
      <c r="P914" s="74"/>
      <c r="Q914" s="74"/>
      <c r="R914" s="74"/>
      <c r="S914" s="74"/>
      <c r="T914" s="74"/>
      <c r="U914" s="74"/>
      <c r="V914" s="74"/>
      <c r="W914" s="74"/>
      <c r="X914" s="74"/>
      <c r="Y914" s="74"/>
      <c r="Z914" s="74"/>
    </row>
    <row r="915" spans="1:26" x14ac:dyDescent="0.3">
      <c r="A915" s="66">
        <f t="shared" ref="A915:A978" si="92">A914+0.1</f>
        <v>2080.7999999999174</v>
      </c>
      <c r="B915" s="67">
        <f>LOOKUP(A915+0.01,AmountsB!$A$4:$A$103,AmountsB!$B$4:$B$103)*0.1*$A$2</f>
        <v>0</v>
      </c>
      <c r="C915" s="68">
        <f t="shared" si="91"/>
        <v>83655.233518999943</v>
      </c>
      <c r="D915" s="67">
        <f t="array" ref="D915">SUM($B$7:$B910*$F$1009*EXP(-$F$1009*($A915-$A$7:$A910)))*$F$1010</f>
        <v>2752422.8800259931</v>
      </c>
      <c r="E915" s="67">
        <f t="shared" si="89"/>
        <v>5.2472512367101327</v>
      </c>
      <c r="F915" s="70">
        <f t="shared" ref="F915:F978" si="93">E915*60*1012/1000000</f>
        <v>0.31861309509303926</v>
      </c>
      <c r="G915" s="67">
        <f>E915/'Lookup Tables'!$C$48</f>
        <v>10.494502473420265</v>
      </c>
      <c r="H915" s="70">
        <f t="shared" si="90"/>
        <v>3.2968113697135912E-2</v>
      </c>
      <c r="I915" s="71">
        <f t="shared" ref="I915:I978" si="94">G915*60*24/1000000</f>
        <v>1.5112083561725184E-2</v>
      </c>
      <c r="L915" s="74"/>
      <c r="M915" s="74"/>
      <c r="N915" s="74"/>
      <c r="O915" s="74"/>
      <c r="P915" s="74"/>
      <c r="Q915" s="74"/>
      <c r="R915" s="74"/>
      <c r="S915" s="74"/>
      <c r="T915" s="74"/>
      <c r="U915" s="74"/>
      <c r="V915" s="74"/>
      <c r="W915" s="74"/>
      <c r="X915" s="74"/>
      <c r="Y915" s="74"/>
      <c r="Z915" s="74"/>
    </row>
    <row r="916" spans="1:26" x14ac:dyDescent="0.3">
      <c r="A916" s="66">
        <f t="shared" si="92"/>
        <v>2080.8999999999173</v>
      </c>
      <c r="B916" s="67">
        <f>LOOKUP(A916+0.01,AmountsB!$A$4:$A$103,AmountsB!$B$4:$B$103)*0.1*$A$2</f>
        <v>0</v>
      </c>
      <c r="C916" s="68">
        <f t="shared" si="91"/>
        <v>83655.233518999943</v>
      </c>
      <c r="D916" s="67">
        <f t="array" ref="D916">SUM($B$7:$B911*$F$1009*EXP(-$F$1009*($A916-$A$7:$A911)))*$F$1010</f>
        <v>2748572.1841100492</v>
      </c>
      <c r="E916" s="67">
        <f t="shared" si="89"/>
        <v>5.2399102248860547</v>
      </c>
      <c r="F916" s="70">
        <f t="shared" si="93"/>
        <v>0.31816734885508124</v>
      </c>
      <c r="G916" s="67">
        <f>E916/'Lookup Tables'!$C$48</f>
        <v>10.479820449772109</v>
      </c>
      <c r="H916" s="70">
        <f t="shared" si="90"/>
        <v>3.2921990631639253E-2</v>
      </c>
      <c r="I916" s="71">
        <f t="shared" si="94"/>
        <v>1.5090941447671837E-2</v>
      </c>
      <c r="L916" s="74"/>
      <c r="M916" s="74"/>
      <c r="N916" s="74"/>
      <c r="O916" s="74"/>
      <c r="P916" s="74"/>
      <c r="Q916" s="74"/>
      <c r="R916" s="74"/>
      <c r="S916" s="74"/>
      <c r="T916" s="74"/>
      <c r="U916" s="74"/>
      <c r="V916" s="74"/>
      <c r="W916" s="74"/>
      <c r="X916" s="74"/>
      <c r="Y916" s="74"/>
      <c r="Z916" s="74"/>
    </row>
    <row r="917" spans="1:26" x14ac:dyDescent="0.3">
      <c r="A917" s="66">
        <f t="shared" si="92"/>
        <v>2080.9999999999172</v>
      </c>
      <c r="B917" s="67">
        <f>LOOKUP(A917+0.01,AmountsB!$A$4:$A$103,AmountsB!$B$4:$B$103)*0.1*$A$2</f>
        <v>0</v>
      </c>
      <c r="C917" s="68">
        <f t="shared" si="91"/>
        <v>83655.233518999943</v>
      </c>
      <c r="D917" s="67">
        <f t="array" ref="D917">SUM($B$7:$B912*$F$1009*EXP(-$F$1009*($A917-$A$7:$A912)))*$F$1010</f>
        <v>2744726.8753964645</v>
      </c>
      <c r="E917" s="67">
        <f t="shared" si="89"/>
        <v>5.2325794832876928</v>
      </c>
      <c r="F917" s="70">
        <f t="shared" si="93"/>
        <v>0.31772222622522867</v>
      </c>
      <c r="G917" s="67">
        <f>E917/'Lookup Tables'!$C$48</f>
        <v>10.465158966575386</v>
      </c>
      <c r="H917" s="70">
        <f t="shared" si="90"/>
        <v>3.2875932093254755E-2</v>
      </c>
      <c r="I917" s="71">
        <f t="shared" si="94"/>
        <v>1.5069828911868555E-2</v>
      </c>
      <c r="L917" s="74"/>
      <c r="M917" s="74"/>
      <c r="N917" s="74"/>
      <c r="O917" s="74"/>
      <c r="P917" s="74"/>
      <c r="Q917" s="74"/>
      <c r="R917" s="74"/>
      <c r="S917" s="74"/>
      <c r="T917" s="74"/>
      <c r="U917" s="74"/>
      <c r="V917" s="74"/>
      <c r="W917" s="74"/>
      <c r="X917" s="74"/>
      <c r="Y917" s="74"/>
      <c r="Z917" s="74"/>
    </row>
    <row r="918" spans="1:26" x14ac:dyDescent="0.3">
      <c r="A918" s="66">
        <f t="shared" si="92"/>
        <v>2081.0999999999171</v>
      </c>
      <c r="B918" s="67">
        <f>LOOKUP(A918+0.01,AmountsB!$A$4:$A$103,AmountsB!$B$4:$B$103)*0.1*$A$2</f>
        <v>0</v>
      </c>
      <c r="C918" s="68">
        <f t="shared" si="91"/>
        <v>83655.233518999943</v>
      </c>
      <c r="D918" s="67">
        <f t="array" ref="D918">SUM($B$7:$B913*$F$1009*EXP(-$F$1009*($A918-$A$7:$A913)))*$F$1010</f>
        <v>2740886.9463484352</v>
      </c>
      <c r="E918" s="67">
        <f t="shared" si="89"/>
        <v>5.2252589975467956</v>
      </c>
      <c r="F918" s="70">
        <f t="shared" si="93"/>
        <v>0.31727772633104145</v>
      </c>
      <c r="G918" s="67">
        <f>E918/'Lookup Tables'!$C$48</f>
        <v>10.450517995093591</v>
      </c>
      <c r="H918" s="70">
        <f t="shared" si="90"/>
        <v>3.2829937991707699E-2</v>
      </c>
      <c r="I918" s="71">
        <f t="shared" si="94"/>
        <v>1.504874591293477E-2</v>
      </c>
      <c r="L918" s="74"/>
      <c r="M918" s="74"/>
      <c r="N918" s="74"/>
      <c r="O918" s="74"/>
      <c r="P918" s="74"/>
      <c r="Q918" s="74"/>
      <c r="R918" s="74"/>
      <c r="S918" s="74"/>
      <c r="T918" s="74"/>
      <c r="U918" s="74"/>
      <c r="V918" s="74"/>
      <c r="W918" s="74"/>
      <c r="X918" s="74"/>
      <c r="Y918" s="74"/>
      <c r="Z918" s="74"/>
    </row>
    <row r="919" spans="1:26" x14ac:dyDescent="0.3">
      <c r="A919" s="66">
        <f t="shared" si="92"/>
        <v>2081.1999999999171</v>
      </c>
      <c r="B919" s="67">
        <f>LOOKUP(A919+0.01,AmountsB!$A$4:$A$103,AmountsB!$B$4:$B$103)*0.1*$A$2</f>
        <v>0</v>
      </c>
      <c r="C919" s="68">
        <f t="shared" si="91"/>
        <v>83655.233518999943</v>
      </c>
      <c r="D919" s="67">
        <f t="array" ref="D919">SUM($B$7:$B914*$F$1009*EXP(-$F$1009*($A919-$A$7:$A914)))*$F$1010</f>
        <v>2737052.3894396969</v>
      </c>
      <c r="E919" s="67">
        <f t="shared" si="89"/>
        <v>5.2179487533152029</v>
      </c>
      <c r="F919" s="70">
        <f t="shared" si="93"/>
        <v>0.31683384830129913</v>
      </c>
      <c r="G919" s="67">
        <f>E919/'Lookup Tables'!$C$48</f>
        <v>10.435897506630406</v>
      </c>
      <c r="H919" s="70">
        <f t="shared" si="90"/>
        <v>3.2784008236849592E-2</v>
      </c>
      <c r="I919" s="71">
        <f t="shared" si="94"/>
        <v>1.5027692409547785E-2</v>
      </c>
      <c r="L919" s="74"/>
      <c r="M919" s="74"/>
      <c r="N919" s="74"/>
      <c r="O919" s="74"/>
      <c r="P919" s="74"/>
      <c r="Q919" s="74"/>
      <c r="R919" s="74"/>
      <c r="S919" s="74"/>
      <c r="T919" s="74"/>
      <c r="U919" s="74"/>
      <c r="V919" s="74"/>
      <c r="W919" s="74"/>
      <c r="X919" s="74"/>
      <c r="Y919" s="74"/>
      <c r="Z919" s="74"/>
    </row>
    <row r="920" spans="1:26" x14ac:dyDescent="0.3">
      <c r="A920" s="66">
        <f t="shared" si="92"/>
        <v>2081.299999999917</v>
      </c>
      <c r="B920" s="67">
        <f>LOOKUP(A920+0.01,AmountsB!$A$4:$A$103,AmountsB!$B$4:$B$103)*0.1*$A$2</f>
        <v>0</v>
      </c>
      <c r="C920" s="68">
        <f t="shared" si="91"/>
        <v>83655.233518999943</v>
      </c>
      <c r="D920" s="67">
        <f t="array" ref="D920">SUM($B$7:$B915*$F$1009*EXP(-$F$1009*($A920-$A$7:$A915)))*$F$1010</f>
        <v>2733223.1971545191</v>
      </c>
      <c r="E920" s="67">
        <f t="shared" si="89"/>
        <v>5.2106487362648402</v>
      </c>
      <c r="F920" s="70">
        <f t="shared" si="93"/>
        <v>0.31639059126600105</v>
      </c>
      <c r="G920" s="67">
        <f>E920/'Lookup Tables'!$C$48</f>
        <v>10.42129747252968</v>
      </c>
      <c r="H920" s="70">
        <f t="shared" si="90"/>
        <v>3.2738142738658146E-2</v>
      </c>
      <c r="I920" s="71">
        <f t="shared" si="94"/>
        <v>1.5006668360442737E-2</v>
      </c>
      <c r="L920" s="74"/>
      <c r="M920" s="74"/>
      <c r="N920" s="74"/>
      <c r="O920" s="74"/>
      <c r="P920" s="74"/>
      <c r="Q920" s="74"/>
      <c r="R920" s="74"/>
      <c r="S920" s="74"/>
      <c r="T920" s="74"/>
      <c r="U920" s="74"/>
      <c r="V920" s="74"/>
      <c r="W920" s="74"/>
      <c r="X920" s="74"/>
      <c r="Y920" s="74"/>
      <c r="Z920" s="74"/>
    </row>
    <row r="921" spans="1:26" x14ac:dyDescent="0.3">
      <c r="A921" s="66">
        <f t="shared" si="92"/>
        <v>2081.3999999999169</v>
      </c>
      <c r="B921" s="67">
        <f>LOOKUP(A921+0.01,AmountsB!$A$4:$A$103,AmountsB!$B$4:$B$103)*0.1*$A$2</f>
        <v>0</v>
      </c>
      <c r="C921" s="68">
        <f t="shared" si="91"/>
        <v>83655.233518999943</v>
      </c>
      <c r="D921" s="67">
        <f t="array" ref="D921">SUM($B$7:$B916*$F$1009*EXP(-$F$1009*($A921-$A$7:$A916)))*$F$1010</f>
        <v>2729399.361987683</v>
      </c>
      <c r="E921" s="67">
        <f t="shared" si="89"/>
        <v>5.2033589320876681</v>
      </c>
      <c r="F921" s="70">
        <f t="shared" si="93"/>
        <v>0.31594795435636319</v>
      </c>
      <c r="G921" s="67">
        <f>E921/'Lookup Tables'!$C$48</f>
        <v>10.406717864175336</v>
      </c>
      <c r="H921" s="70">
        <f t="shared" si="90"/>
        <v>3.2692341407236952E-2</v>
      </c>
      <c r="I921" s="71">
        <f t="shared" si="94"/>
        <v>1.4985673724412485E-2</v>
      </c>
      <c r="L921" s="74"/>
      <c r="M921" s="74"/>
      <c r="N921" s="74"/>
      <c r="O921" s="74"/>
      <c r="P921" s="74"/>
      <c r="Q921" s="74"/>
      <c r="R921" s="74"/>
      <c r="S921" s="74"/>
      <c r="T921" s="74"/>
      <c r="U921" s="74"/>
      <c r="V921" s="74"/>
      <c r="W921" s="74"/>
      <c r="X921" s="74"/>
      <c r="Y921" s="74"/>
      <c r="Z921" s="74"/>
    </row>
    <row r="922" spans="1:26" x14ac:dyDescent="0.3">
      <c r="A922" s="66">
        <f t="shared" si="92"/>
        <v>2081.4999999999168</v>
      </c>
      <c r="B922" s="67">
        <f>LOOKUP(A922+0.01,AmountsB!$A$4:$A$103,AmountsB!$B$4:$B$103)*0.1*$A$2</f>
        <v>0</v>
      </c>
      <c r="C922" s="68">
        <f t="shared" si="91"/>
        <v>83655.233518999943</v>
      </c>
      <c r="D922" s="67">
        <f t="array" ref="D922">SUM($B$7:$B917*$F$1009*EXP(-$F$1009*($A922-$A$7:$A917)))*$F$1010</f>
        <v>2725580.8764444706</v>
      </c>
      <c r="E922" s="67">
        <f t="shared" si="89"/>
        <v>5.1960793264956697</v>
      </c>
      <c r="F922" s="70">
        <f t="shared" si="93"/>
        <v>0.31550593670481714</v>
      </c>
      <c r="G922" s="67">
        <f>E922/'Lookup Tables'!$C$48</f>
        <v>10.392158652991339</v>
      </c>
      <c r="H922" s="70">
        <f t="shared" si="90"/>
        <v>3.2646604152815388E-2</v>
      </c>
      <c r="I922" s="71">
        <f t="shared" si="94"/>
        <v>1.496470846030753E-2</v>
      </c>
      <c r="L922" s="74"/>
      <c r="M922" s="74"/>
      <c r="N922" s="74"/>
      <c r="O922" s="74"/>
      <c r="P922" s="74"/>
      <c r="Q922" s="74"/>
      <c r="R922" s="74"/>
      <c r="S922" s="74"/>
      <c r="T922" s="74"/>
      <c r="U922" s="74"/>
      <c r="V922" s="74"/>
      <c r="W922" s="74"/>
      <c r="X922" s="74"/>
      <c r="Y922" s="74"/>
      <c r="Z922" s="74"/>
    </row>
    <row r="923" spans="1:26" x14ac:dyDescent="0.3">
      <c r="A923" s="66">
        <f t="shared" si="92"/>
        <v>2081.5999999999167</v>
      </c>
      <c r="B923" s="67">
        <f>LOOKUP(A923+0.01,AmountsB!$A$4:$A$103,AmountsB!$B$4:$B$103)*0.1*$A$2</f>
        <v>0</v>
      </c>
      <c r="C923" s="68">
        <f t="shared" si="91"/>
        <v>83655.233518999943</v>
      </c>
      <c r="D923" s="67">
        <f t="array" ref="D923">SUM($B$7:$B918*$F$1009*EXP(-$F$1009*($A923-$A$7:$A918)))*$F$1010</f>
        <v>2721767.733040648</v>
      </c>
      <c r="E923" s="67">
        <f t="shared" si="89"/>
        <v>5.1888099052208148</v>
      </c>
      <c r="F923" s="70">
        <f t="shared" si="93"/>
        <v>0.3150645374450079</v>
      </c>
      <c r="G923" s="67">
        <f>E923/'Lookup Tables'!$C$48</f>
        <v>10.37761981044163</v>
      </c>
      <c r="H923" s="70">
        <f t="shared" si="90"/>
        <v>3.2600930885748405E-2</v>
      </c>
      <c r="I923" s="71">
        <f t="shared" si="94"/>
        <v>1.4943772527035947E-2</v>
      </c>
      <c r="L923" s="74"/>
      <c r="M923" s="74"/>
      <c r="N923" s="74"/>
      <c r="O923" s="74"/>
      <c r="P923" s="74"/>
      <c r="Q923" s="74"/>
      <c r="R923" s="74"/>
      <c r="S923" s="74"/>
      <c r="T923" s="74"/>
      <c r="U923" s="74"/>
      <c r="V923" s="74"/>
      <c r="W923" s="74"/>
      <c r="X923" s="74"/>
      <c r="Y923" s="74"/>
      <c r="Z923" s="74"/>
    </row>
    <row r="924" spans="1:26" x14ac:dyDescent="0.3">
      <c r="A924" s="66">
        <f t="shared" si="92"/>
        <v>2081.6999999999166</v>
      </c>
      <c r="B924" s="67">
        <f>LOOKUP(A924+0.01,AmountsB!$A$4:$A$103,AmountsB!$B$4:$B$103)*0.1*$A$2</f>
        <v>0</v>
      </c>
      <c r="C924" s="68">
        <f t="shared" si="91"/>
        <v>83655.233518999943</v>
      </c>
      <c r="D924" s="67">
        <f t="array" ref="D924">SUM($B$7:$B919*$F$1009*EXP(-$F$1009*($A924-$A$7:$A919)))*$F$1010</f>
        <v>2717959.9243024536</v>
      </c>
      <c r="E924" s="67">
        <f t="shared" si="89"/>
        <v>5.1815506540150338</v>
      </c>
      <c r="F924" s="70">
        <f t="shared" si="93"/>
        <v>0.31462375571179285</v>
      </c>
      <c r="G924" s="67">
        <f>E924/'Lookup Tables'!$C$48</f>
        <v>10.363101308030068</v>
      </c>
      <c r="H924" s="70">
        <f t="shared" si="90"/>
        <v>3.2555321516516383E-2</v>
      </c>
      <c r="I924" s="71">
        <f t="shared" si="94"/>
        <v>1.4922865883563296E-2</v>
      </c>
      <c r="L924" s="74"/>
      <c r="M924" s="74"/>
      <c r="N924" s="74"/>
      <c r="O924" s="74"/>
      <c r="P924" s="74"/>
      <c r="Q924" s="74"/>
      <c r="R924" s="74"/>
      <c r="S924" s="74"/>
      <c r="T924" s="74"/>
      <c r="U924" s="74"/>
      <c r="V924" s="74"/>
      <c r="W924" s="74"/>
      <c r="X924" s="74"/>
      <c r="Y924" s="74"/>
      <c r="Z924" s="74"/>
    </row>
    <row r="925" spans="1:26" x14ac:dyDescent="0.3">
      <c r="A925" s="66">
        <f t="shared" si="92"/>
        <v>2081.7999999999165</v>
      </c>
      <c r="B925" s="67">
        <f>LOOKUP(A925+0.01,AmountsB!$A$4:$A$103,AmountsB!$B$4:$B$103)*0.1*$A$2</f>
        <v>0</v>
      </c>
      <c r="C925" s="68">
        <f t="shared" si="91"/>
        <v>83655.233518999943</v>
      </c>
      <c r="D925" s="67">
        <f t="array" ref="D925">SUM($B$7:$B920*$F$1009*EXP(-$F$1009*($A925-$A$7:$A920)))*$F$1010</f>
        <v>2714157.4427665812</v>
      </c>
      <c r="E925" s="67">
        <f t="shared" si="89"/>
        <v>5.1743015586501953</v>
      </c>
      <c r="F925" s="70">
        <f t="shared" si="93"/>
        <v>0.31418359064123985</v>
      </c>
      <c r="G925" s="67">
        <f>E925/'Lookup Tables'!$C$48</f>
        <v>10.348603117300391</v>
      </c>
      <c r="H925" s="70">
        <f t="shared" si="90"/>
        <v>3.2509775955724969E-2</v>
      </c>
      <c r="I925" s="71">
        <f t="shared" si="94"/>
        <v>1.4901988488912561E-2</v>
      </c>
      <c r="L925" s="74"/>
      <c r="M925" s="74"/>
      <c r="N925" s="74"/>
      <c r="O925" s="74"/>
      <c r="P925" s="74"/>
      <c r="Q925" s="74"/>
      <c r="R925" s="74"/>
      <c r="S925" s="74"/>
      <c r="T925" s="74"/>
      <c r="U925" s="74"/>
      <c r="V925" s="74"/>
      <c r="W925" s="74"/>
      <c r="X925" s="74"/>
      <c r="Y925" s="74"/>
      <c r="Z925" s="74"/>
    </row>
    <row r="926" spans="1:26" x14ac:dyDescent="0.3">
      <c r="A926" s="66">
        <f t="shared" si="92"/>
        <v>2081.8999999999164</v>
      </c>
      <c r="B926" s="67">
        <f>LOOKUP(A926+0.01,AmountsB!$A$4:$A$103,AmountsB!$B$4:$B$103)*0.1*$A$2</f>
        <v>0</v>
      </c>
      <c r="C926" s="68">
        <f t="shared" si="91"/>
        <v>83655.233518999943</v>
      </c>
      <c r="D926" s="67">
        <f t="array" ref="D926">SUM($B$7:$B921*$F$1009*EXP(-$F$1009*($A926-$A$7:$A921)))*$F$1010</f>
        <v>2710360.2809801642</v>
      </c>
      <c r="E926" s="67">
        <f t="shared" si="89"/>
        <v>5.1670626049180646</v>
      </c>
      <c r="F926" s="70">
        <f t="shared" si="93"/>
        <v>0.31374404137062489</v>
      </c>
      <c r="G926" s="67">
        <f>E926/'Lookup Tables'!$C$48</f>
        <v>10.334125209836129</v>
      </c>
      <c r="H926" s="70">
        <f t="shared" si="90"/>
        <v>3.2464294114104827E-2</v>
      </c>
      <c r="I926" s="71">
        <f t="shared" si="94"/>
        <v>1.4881140302164027E-2</v>
      </c>
      <c r="L926" s="74"/>
      <c r="M926" s="74"/>
      <c r="N926" s="74"/>
      <c r="O926" s="74"/>
      <c r="P926" s="74"/>
      <c r="Q926" s="74"/>
      <c r="R926" s="74"/>
      <c r="S926" s="74"/>
      <c r="T926" s="74"/>
      <c r="U926" s="74"/>
      <c r="V926" s="74"/>
      <c r="W926" s="74"/>
      <c r="X926" s="74"/>
      <c r="Y926" s="74"/>
      <c r="Z926" s="74"/>
    </row>
    <row r="927" spans="1:26" x14ac:dyDescent="0.3">
      <c r="A927" s="66">
        <f t="shared" si="92"/>
        <v>2081.9999999999163</v>
      </c>
      <c r="B927" s="67">
        <f>LOOKUP(A927+0.01,AmountsB!$A$4:$A$103,AmountsB!$B$4:$B$103)*0.1*$A$2</f>
        <v>0</v>
      </c>
      <c r="C927" s="68">
        <f t="shared" si="91"/>
        <v>83655.233518999943</v>
      </c>
      <c r="D927" s="67">
        <f t="array" ref="D927">SUM($B$7:$B922*$F$1009*EXP(-$F$1009*($A927-$A$7:$A922)))*$F$1010</f>
        <v>2706568.4315007664</v>
      </c>
      <c r="E927" s="67">
        <f t="shared" si="89"/>
        <v>5.1598337786302952</v>
      </c>
      <c r="F927" s="70">
        <f t="shared" si="93"/>
        <v>0.31330510703843151</v>
      </c>
      <c r="G927" s="67">
        <f>E927/'Lookup Tables'!$C$48</f>
        <v>10.31966755726059</v>
      </c>
      <c r="H927" s="70">
        <f t="shared" si="90"/>
        <v>3.2418875902511544E-2</v>
      </c>
      <c r="I927" s="71">
        <f t="shared" si="94"/>
        <v>1.4860321282455249E-2</v>
      </c>
      <c r="L927" s="74"/>
      <c r="M927" s="74"/>
      <c r="N927" s="74"/>
      <c r="O927" s="74"/>
      <c r="P927" s="74"/>
      <c r="Q927" s="74"/>
      <c r="R927" s="74"/>
      <c r="S927" s="74"/>
      <c r="T927" s="74"/>
      <c r="U927" s="74"/>
      <c r="V927" s="74"/>
      <c r="W927" s="74"/>
      <c r="X927" s="74"/>
      <c r="Y927" s="74"/>
      <c r="Z927" s="74"/>
    </row>
    <row r="928" spans="1:26" x14ac:dyDescent="0.3">
      <c r="A928" s="66">
        <f t="shared" si="92"/>
        <v>2082.0999999999162</v>
      </c>
      <c r="B928" s="67">
        <f>LOOKUP(A928+0.01,AmountsB!$A$4:$A$103,AmountsB!$B$4:$B$103)*0.1*$A$2</f>
        <v>0</v>
      </c>
      <c r="C928" s="68">
        <f t="shared" si="91"/>
        <v>83655.233518999943</v>
      </c>
      <c r="D928" s="67">
        <f t="array" ref="D928">SUM($B$7:$B923*$F$1009*EXP(-$F$1009*($A928-$A$7:$A923)))*$F$1010</f>
        <v>2702781.8868963607</v>
      </c>
      <c r="E928" s="67">
        <f t="shared" si="89"/>
        <v>5.1526150656183836</v>
      </c>
      <c r="F928" s="70">
        <f t="shared" si="93"/>
        <v>0.31286678678434826</v>
      </c>
      <c r="G928" s="67">
        <f>E928/'Lookup Tables'!$C$48</f>
        <v>10.305230131236767</v>
      </c>
      <c r="H928" s="70">
        <f t="shared" si="90"/>
        <v>3.2373521231925405E-2</v>
      </c>
      <c r="I928" s="71">
        <f t="shared" si="94"/>
        <v>1.4839531388980946E-2</v>
      </c>
      <c r="L928" s="74"/>
      <c r="M928" s="74"/>
      <c r="N928" s="74"/>
      <c r="O928" s="74"/>
      <c r="P928" s="74"/>
      <c r="Q928" s="74"/>
      <c r="R928" s="74"/>
      <c r="S928" s="74"/>
      <c r="T928" s="74"/>
      <c r="U928" s="74"/>
      <c r="V928" s="74"/>
      <c r="W928" s="74"/>
      <c r="X928" s="74"/>
      <c r="Y928" s="74"/>
      <c r="Z928" s="74"/>
    </row>
    <row r="929" spans="1:26" x14ac:dyDescent="0.3">
      <c r="A929" s="66">
        <f t="shared" si="92"/>
        <v>2082.1999999999161</v>
      </c>
      <c r="B929" s="67">
        <f>LOOKUP(A929+0.01,AmountsB!$A$4:$A$103,AmountsB!$B$4:$B$103)*0.1*$A$2</f>
        <v>0</v>
      </c>
      <c r="C929" s="68">
        <f t="shared" si="91"/>
        <v>83655.233518999943</v>
      </c>
      <c r="D929" s="67">
        <f t="array" ref="D929">SUM($B$7:$B924*$F$1009*EXP(-$F$1009*($A929-$A$7:$A924)))*$F$1010</f>
        <v>2699000.6397453193</v>
      </c>
      <c r="E929" s="67">
        <f t="shared" si="89"/>
        <v>5.1454064517336517</v>
      </c>
      <c r="F929" s="70">
        <f t="shared" si="93"/>
        <v>0.31242907974926731</v>
      </c>
      <c r="G929" s="67">
        <f>E929/'Lookup Tables'!$C$48</f>
        <v>10.290812903467303</v>
      </c>
      <c r="H929" s="70">
        <f t="shared" si="90"/>
        <v>3.2328230013451253E-2</v>
      </c>
      <c r="I929" s="71">
        <f t="shared" si="94"/>
        <v>1.4818770580992917E-2</v>
      </c>
      <c r="L929" s="74"/>
      <c r="M929" s="74"/>
      <c r="N929" s="74"/>
      <c r="O929" s="74"/>
      <c r="P929" s="74"/>
      <c r="Q929" s="74"/>
      <c r="R929" s="74"/>
      <c r="S929" s="74"/>
      <c r="T929" s="74"/>
      <c r="U929" s="74"/>
      <c r="V929" s="74"/>
      <c r="W929" s="74"/>
      <c r="X929" s="74"/>
      <c r="Y929" s="74"/>
      <c r="Z929" s="74"/>
    </row>
    <row r="930" spans="1:26" x14ac:dyDescent="0.3">
      <c r="A930" s="66">
        <f t="shared" si="92"/>
        <v>2082.2999999999161</v>
      </c>
      <c r="B930" s="67">
        <f>LOOKUP(A930+0.01,AmountsB!$A$4:$A$103,AmountsB!$B$4:$B$103)*0.1*$A$2</f>
        <v>0</v>
      </c>
      <c r="C930" s="68">
        <f t="shared" si="91"/>
        <v>83655.233518999943</v>
      </c>
      <c r="D930" s="67">
        <f t="array" ref="D930">SUM($B$7:$B925*$F$1009*EXP(-$F$1009*($A930-$A$7:$A925)))*$F$1010</f>
        <v>2695224.6826363951</v>
      </c>
      <c r="E930" s="67">
        <f t="shared" si="89"/>
        <v>5.1382079228472115</v>
      </c>
      <c r="F930" s="70">
        <f t="shared" si="93"/>
        <v>0.3119919850752827</v>
      </c>
      <c r="G930" s="67">
        <f>E930/'Lookup Tables'!$C$48</f>
        <v>10.276415845694423</v>
      </c>
      <c r="H930" s="70">
        <f t="shared" si="90"/>
        <v>3.2283002158318273E-2</v>
      </c>
      <c r="I930" s="71">
        <f t="shared" si="94"/>
        <v>1.4798038817799968E-2</v>
      </c>
      <c r="L930" s="74"/>
      <c r="M930" s="74"/>
      <c r="N930" s="74"/>
      <c r="O930" s="74"/>
      <c r="P930" s="74"/>
      <c r="Q930" s="74"/>
      <c r="R930" s="74"/>
      <c r="S930" s="74"/>
      <c r="T930" s="74"/>
      <c r="U930" s="74"/>
      <c r="V930" s="74"/>
      <c r="W930" s="74"/>
      <c r="X930" s="74"/>
      <c r="Y930" s="74"/>
      <c r="Z930" s="74"/>
    </row>
    <row r="931" spans="1:26" x14ac:dyDescent="0.3">
      <c r="A931" s="66">
        <f t="shared" si="92"/>
        <v>2082.399999999916</v>
      </c>
      <c r="B931" s="67">
        <f>LOOKUP(A931+0.01,AmountsB!$A$4:$A$103,AmountsB!$B$4:$B$103)*0.1*$A$2</f>
        <v>0</v>
      </c>
      <c r="C931" s="68">
        <f t="shared" si="91"/>
        <v>83655.233518999943</v>
      </c>
      <c r="D931" s="67">
        <f t="array" ref="D931">SUM($B$7:$B926*$F$1009*EXP(-$F$1009*($A931-$A$7:$A926)))*$F$1010</f>
        <v>2691454.0081687118</v>
      </c>
      <c r="E931" s="67">
        <f t="shared" si="89"/>
        <v>5.1310194648499454</v>
      </c>
      <c r="F931" s="70">
        <f t="shared" si="93"/>
        <v>0.3115555019056887</v>
      </c>
      <c r="G931" s="67">
        <f>E931/'Lookup Tables'!$C$48</f>
        <v>10.262038929699891</v>
      </c>
      <c r="H931" s="70">
        <f t="shared" si="90"/>
        <v>3.223783757787986E-2</v>
      </c>
      <c r="I931" s="71">
        <f t="shared" si="94"/>
        <v>1.4777336058767843E-2</v>
      </c>
      <c r="L931" s="74"/>
      <c r="M931" s="74"/>
      <c r="N931" s="74"/>
      <c r="O931" s="74"/>
      <c r="P931" s="74"/>
      <c r="Q931" s="74"/>
      <c r="R931" s="74"/>
      <c r="S931" s="74"/>
      <c r="T931" s="74"/>
      <c r="U931" s="74"/>
      <c r="V931" s="74"/>
      <c r="W931" s="74"/>
      <c r="X931" s="74"/>
      <c r="Y931" s="74"/>
      <c r="Z931" s="74"/>
    </row>
    <row r="932" spans="1:26" x14ac:dyDescent="0.3">
      <c r="A932" s="66">
        <f t="shared" si="92"/>
        <v>2082.4999999999159</v>
      </c>
      <c r="B932" s="67">
        <f>LOOKUP(A932+0.01,AmountsB!$A$4:$A$103,AmountsB!$B$4:$B$103)*0.1*$A$2</f>
        <v>0</v>
      </c>
      <c r="C932" s="68">
        <f t="shared" si="91"/>
        <v>83655.233518999943</v>
      </c>
      <c r="D932" s="67">
        <f t="array" ref="D932">SUM($B$7:$B927*$F$1009*EXP(-$F$1009*($A932-$A$7:$A927)))*$F$1010</f>
        <v>2687688.608951746</v>
      </c>
      <c r="E932" s="67">
        <f t="shared" si="89"/>
        <v>5.1238410636524714</v>
      </c>
      <c r="F932" s="70">
        <f t="shared" si="93"/>
        <v>0.31111962938497806</v>
      </c>
      <c r="G932" s="67">
        <f>E932/'Lookup Tables'!$C$48</f>
        <v>10.247682127304943</v>
      </c>
      <c r="H932" s="70">
        <f t="shared" si="90"/>
        <v>3.2192736183613402E-2</v>
      </c>
      <c r="I932" s="71">
        <f t="shared" si="94"/>
        <v>1.4756662263319117E-2</v>
      </c>
      <c r="L932" s="74"/>
      <c r="M932" s="74"/>
      <c r="N932" s="74"/>
      <c r="O932" s="74"/>
      <c r="P932" s="74"/>
      <c r="Q932" s="74"/>
      <c r="R932" s="74"/>
      <c r="S932" s="74"/>
      <c r="T932" s="74"/>
      <c r="U932" s="74"/>
      <c r="V932" s="74"/>
      <c r="W932" s="74"/>
      <c r="X932" s="74"/>
      <c r="Y932" s="74"/>
      <c r="Z932" s="74"/>
    </row>
    <row r="933" spans="1:26" x14ac:dyDescent="0.3">
      <c r="A933" s="66">
        <f t="shared" si="92"/>
        <v>2082.5999999999158</v>
      </c>
      <c r="B933" s="67">
        <f>LOOKUP(A933+0.01,AmountsB!$A$4:$A$103,AmountsB!$B$4:$B$103)*0.1*$A$2</f>
        <v>0</v>
      </c>
      <c r="C933" s="68">
        <f t="shared" si="91"/>
        <v>83655.233518999943</v>
      </c>
      <c r="D933" s="67">
        <f t="array" ref="D933">SUM($B$7:$B928*$F$1009*EXP(-$F$1009*($A933-$A$7:$A928)))*$F$1010</f>
        <v>2683928.477605314</v>
      </c>
      <c r="E933" s="67">
        <f t="shared" si="89"/>
        <v>5.1166727051851231</v>
      </c>
      <c r="F933" s="70">
        <f t="shared" si="93"/>
        <v>0.31068436665884069</v>
      </c>
      <c r="G933" s="67">
        <f>E933/'Lookup Tables'!$C$48</f>
        <v>10.233345410370246</v>
      </c>
      <c r="H933" s="70">
        <f t="shared" si="90"/>
        <v>3.2147697887120186E-2</v>
      </c>
      <c r="I933" s="71">
        <f t="shared" si="94"/>
        <v>1.4736017390933153E-2</v>
      </c>
      <c r="L933" s="74"/>
      <c r="M933" s="74"/>
      <c r="N933" s="74"/>
      <c r="O933" s="74"/>
      <c r="P933" s="74"/>
      <c r="Q933" s="74"/>
      <c r="R933" s="74"/>
      <c r="S933" s="74"/>
      <c r="T933" s="74"/>
      <c r="U933" s="74"/>
      <c r="V933" s="74"/>
      <c r="W933" s="74"/>
      <c r="X933" s="74"/>
      <c r="Y933" s="74"/>
      <c r="Z933" s="74"/>
    </row>
    <row r="934" spans="1:26" x14ac:dyDescent="0.3">
      <c r="A934" s="66">
        <f t="shared" si="92"/>
        <v>2082.6999999999157</v>
      </c>
      <c r="B934" s="67">
        <f>LOOKUP(A934+0.01,AmountsB!$A$4:$A$103,AmountsB!$B$4:$B$103)*0.1*$A$2</f>
        <v>0</v>
      </c>
      <c r="C934" s="68">
        <f t="shared" si="91"/>
        <v>83655.233518999943</v>
      </c>
      <c r="D934" s="67">
        <f t="array" ref="D934">SUM($B$7:$B929*$F$1009*EXP(-$F$1009*($A934-$A$7:$A929)))*$F$1010</f>
        <v>2680173.606759557</v>
      </c>
      <c r="E934" s="67">
        <f t="shared" si="89"/>
        <v>5.1095143753979144</v>
      </c>
      <c r="F934" s="70">
        <f t="shared" si="93"/>
        <v>0.31024971287416137</v>
      </c>
      <c r="G934" s="67">
        <f>E934/'Lookup Tables'!$C$48</f>
        <v>10.219028750795829</v>
      </c>
      <c r="H934" s="70">
        <f t="shared" si="90"/>
        <v>3.2102722600125123E-2</v>
      </c>
      <c r="I934" s="71">
        <f t="shared" si="94"/>
        <v>1.4715401401145994E-2</v>
      </c>
      <c r="L934" s="74"/>
      <c r="M934" s="74"/>
      <c r="N934" s="74"/>
      <c r="O934" s="74"/>
      <c r="P934" s="74"/>
      <c r="Q934" s="74"/>
      <c r="R934" s="74"/>
      <c r="S934" s="74"/>
      <c r="T934" s="74"/>
      <c r="U934" s="74"/>
      <c r="V934" s="74"/>
      <c r="W934" s="74"/>
      <c r="X934" s="74"/>
      <c r="Y934" s="74"/>
      <c r="Z934" s="74"/>
    </row>
    <row r="935" spans="1:26" x14ac:dyDescent="0.3">
      <c r="A935" s="66">
        <f t="shared" si="92"/>
        <v>2082.7999999999156</v>
      </c>
      <c r="B935" s="67">
        <f>LOOKUP(A935+0.01,AmountsB!$A$4:$A$103,AmountsB!$B$4:$B$103)*0.1*$A$2</f>
        <v>0</v>
      </c>
      <c r="C935" s="68">
        <f t="shared" si="91"/>
        <v>83655.233518999943</v>
      </c>
      <c r="D935" s="67">
        <f t="array" ref="D935">SUM($B$7:$B930*$F$1009*EXP(-$F$1009*($A935-$A$7:$A930)))*$F$1010</f>
        <v>2676423.9890549276</v>
      </c>
      <c r="E935" s="67">
        <f t="shared" si="89"/>
        <v>5.1023660602605183</v>
      </c>
      <c r="F935" s="70">
        <f t="shared" si="93"/>
        <v>0.30981566717901865</v>
      </c>
      <c r="G935" s="67">
        <f>E935/'Lookup Tables'!$C$48</f>
        <v>10.204732120521037</v>
      </c>
      <c r="H935" s="70">
        <f t="shared" si="90"/>
        <v>3.2057810234476625E-2</v>
      </c>
      <c r="I935" s="71">
        <f t="shared" si="94"/>
        <v>1.4694814253550292E-2</v>
      </c>
      <c r="L935" s="74"/>
      <c r="M935" s="74"/>
      <c r="N935" s="74"/>
      <c r="O935" s="74"/>
      <c r="P935" s="74"/>
      <c r="Q935" s="74"/>
      <c r="R935" s="74"/>
      <c r="S935" s="74"/>
      <c r="T935" s="74"/>
      <c r="U935" s="74"/>
      <c r="V935" s="74"/>
      <c r="W935" s="74"/>
      <c r="X935" s="74"/>
      <c r="Y935" s="74"/>
      <c r="Z935" s="74"/>
    </row>
    <row r="936" spans="1:26" x14ac:dyDescent="0.3">
      <c r="A936" s="66">
        <f t="shared" si="92"/>
        <v>2082.8999999999155</v>
      </c>
      <c r="B936" s="67">
        <f>LOOKUP(A936+0.01,AmountsB!$A$4:$A$103,AmountsB!$B$4:$B$103)*0.1*$A$2</f>
        <v>0</v>
      </c>
      <c r="C936" s="68">
        <f t="shared" si="91"/>
        <v>83655.233518999943</v>
      </c>
      <c r="D936" s="67">
        <f t="array" ref="D936">SUM($B$7:$B931*$F$1009*EXP(-$F$1009*($A936-$A$7:$A931)))*$F$1010</f>
        <v>2672679.6171421739</v>
      </c>
      <c r="E936" s="67">
        <f t="shared" si="89"/>
        <v>5.0952277457622337</v>
      </c>
      <c r="F936" s="70">
        <f t="shared" si="93"/>
        <v>0.30938222872268284</v>
      </c>
      <c r="G936" s="67">
        <f>E936/'Lookup Tables'!$C$48</f>
        <v>10.190455491524467</v>
      </c>
      <c r="H936" s="70">
        <f t="shared" si="90"/>
        <v>3.2012960702146452E-2</v>
      </c>
      <c r="I936" s="71">
        <f t="shared" si="94"/>
        <v>1.4674255907795234E-2</v>
      </c>
      <c r="L936" s="74"/>
      <c r="M936" s="74"/>
      <c r="N936" s="74"/>
      <c r="O936" s="74"/>
      <c r="P936" s="74"/>
      <c r="Q936" s="74"/>
      <c r="R936" s="74"/>
      <c r="S936" s="74"/>
      <c r="T936" s="74"/>
      <c r="U936" s="74"/>
      <c r="V936" s="74"/>
      <c r="W936" s="74"/>
      <c r="X936" s="74"/>
      <c r="Y936" s="74"/>
      <c r="Z936" s="74"/>
    </row>
    <row r="937" spans="1:26" x14ac:dyDescent="0.3">
      <c r="A937" s="66">
        <f t="shared" si="92"/>
        <v>2082.9999999999154</v>
      </c>
      <c r="B937" s="67">
        <f>LOOKUP(A937+0.01,AmountsB!$A$4:$A$103,AmountsB!$B$4:$B$103)*0.1*$A$2</f>
        <v>0</v>
      </c>
      <c r="C937" s="68">
        <f t="shared" si="91"/>
        <v>83655.233518999943</v>
      </c>
      <c r="D937" s="67">
        <f t="array" ref="D937">SUM($B$7:$B932*$F$1009*EXP(-$F$1009*($A937-$A$7:$A932)))*$F$1010</f>
        <v>2668940.4836823256</v>
      </c>
      <c r="E937" s="67">
        <f t="shared" si="89"/>
        <v>5.0880994179119625</v>
      </c>
      <c r="F937" s="70">
        <f t="shared" si="93"/>
        <v>0.30894939665561438</v>
      </c>
      <c r="G937" s="67">
        <f>E937/'Lookup Tables'!$C$48</f>
        <v>10.176198835823925</v>
      </c>
      <c r="H937" s="70">
        <f t="shared" si="90"/>
        <v>3.1968173915229513E-2</v>
      </c>
      <c r="I937" s="71">
        <f t="shared" si="94"/>
        <v>1.4653726323586452E-2</v>
      </c>
      <c r="L937" s="74"/>
      <c r="M937" s="74"/>
      <c r="N937" s="74"/>
      <c r="O937" s="74"/>
      <c r="P937" s="74"/>
      <c r="Q937" s="74"/>
      <c r="R937" s="74"/>
      <c r="S937" s="74"/>
      <c r="T937" s="74"/>
      <c r="U937" s="74"/>
      <c r="V937" s="74"/>
      <c r="W937" s="74"/>
      <c r="X937" s="74"/>
      <c r="Y937" s="74"/>
      <c r="Z937" s="74"/>
    </row>
    <row r="938" spans="1:26" x14ac:dyDescent="0.3">
      <c r="A938" s="66">
        <f t="shared" si="92"/>
        <v>2083.0999999999153</v>
      </c>
      <c r="B938" s="67">
        <f>LOOKUP(A938+0.01,AmountsB!$A$4:$A$103,AmountsB!$B$4:$B$103)*0.1*$A$2</f>
        <v>0</v>
      </c>
      <c r="C938" s="68">
        <f t="shared" si="91"/>
        <v>83655.233518999943</v>
      </c>
      <c r="D938" s="67">
        <f t="array" ref="D938">SUM($B$7:$B933*$F$1009*EXP(-$F$1009*($A938-$A$7:$A933)))*$F$1010</f>
        <v>2665206.5813466795</v>
      </c>
      <c r="E938" s="67">
        <f t="shared" si="89"/>
        <v>5.0809810627381777</v>
      </c>
      <c r="F938" s="70">
        <f t="shared" si="93"/>
        <v>0.30851717012946217</v>
      </c>
      <c r="G938" s="67">
        <f>E938/'Lookup Tables'!$C$48</f>
        <v>10.161962125476355</v>
      </c>
      <c r="H938" s="70">
        <f t="shared" si="90"/>
        <v>3.1923449785943664E-2</v>
      </c>
      <c r="I938" s="71">
        <f t="shared" si="94"/>
        <v>1.4633225460685953E-2</v>
      </c>
      <c r="L938" s="74"/>
      <c r="M938" s="74"/>
      <c r="N938" s="74"/>
      <c r="O938" s="74"/>
      <c r="P938" s="74"/>
      <c r="Q938" s="74"/>
      <c r="R938" s="74"/>
      <c r="S938" s="74"/>
      <c r="T938" s="74"/>
      <c r="U938" s="74"/>
      <c r="V938" s="74"/>
      <c r="W938" s="74"/>
      <c r="X938" s="74"/>
      <c r="Y938" s="74"/>
      <c r="Z938" s="74"/>
    </row>
    <row r="939" spans="1:26" x14ac:dyDescent="0.3">
      <c r="A939" s="66">
        <f t="shared" si="92"/>
        <v>2083.1999999999152</v>
      </c>
      <c r="B939" s="67">
        <f>LOOKUP(A939+0.01,AmountsB!$A$4:$A$103,AmountsB!$B$4:$B$103)*0.1*$A$2</f>
        <v>0</v>
      </c>
      <c r="C939" s="68">
        <f t="shared" si="91"/>
        <v>83655.233518999943</v>
      </c>
      <c r="D939" s="67">
        <f t="array" ref="D939">SUM($B$7:$B934*$F$1009*EXP(-$F$1009*($A939-$A$7:$A934)))*$F$1010</f>
        <v>2661477.902816786</v>
      </c>
      <c r="E939" s="67">
        <f t="shared" si="89"/>
        <v>5.0738726662889038</v>
      </c>
      <c r="F939" s="70">
        <f t="shared" si="93"/>
        <v>0.30808554829706225</v>
      </c>
      <c r="G939" s="67">
        <f>E939/'Lookup Tables'!$C$48</f>
        <v>10.147745332577808</v>
      </c>
      <c r="H939" s="70">
        <f t="shared" si="90"/>
        <v>3.187878822662963E-2</v>
      </c>
      <c r="I939" s="71">
        <f t="shared" si="94"/>
        <v>1.4612753278912042E-2</v>
      </c>
      <c r="L939" s="74"/>
      <c r="M939" s="74"/>
      <c r="N939" s="74"/>
      <c r="O939" s="74"/>
      <c r="P939" s="74"/>
      <c r="Q939" s="74"/>
      <c r="R939" s="74"/>
      <c r="S939" s="74"/>
      <c r="T939" s="74"/>
      <c r="U939" s="74"/>
      <c r="V939" s="74"/>
      <c r="W939" s="74"/>
      <c r="X939" s="74"/>
      <c r="Y939" s="74"/>
      <c r="Z939" s="74"/>
    </row>
    <row r="940" spans="1:26" x14ac:dyDescent="0.3">
      <c r="A940" s="66">
        <f t="shared" si="92"/>
        <v>2083.2999999999151</v>
      </c>
      <c r="B940" s="67">
        <f>LOOKUP(A940+0.01,AmountsB!$A$4:$A$103,AmountsB!$B$4:$B$103)*0.1*$A$2</f>
        <v>0</v>
      </c>
      <c r="C940" s="68">
        <f t="shared" si="91"/>
        <v>83655.233518999943</v>
      </c>
      <c r="D940" s="67">
        <f t="array" ref="D940">SUM($B$7:$B935*$F$1009*EXP(-$F$1009*($A940-$A$7:$A935)))*$F$1010</f>
        <v>2657754.4407844343</v>
      </c>
      <c r="E940" s="67">
        <f t="shared" si="89"/>
        <v>5.066774214631681</v>
      </c>
      <c r="F940" s="70">
        <f t="shared" si="93"/>
        <v>0.30765453031243573</v>
      </c>
      <c r="G940" s="67">
        <f>E940/'Lookup Tables'!$C$48</f>
        <v>10.133548429263362</v>
      </c>
      <c r="H940" s="70">
        <f t="shared" si="90"/>
        <v>3.1834189149750731E-2</v>
      </c>
      <c r="I940" s="71">
        <f t="shared" si="94"/>
        <v>1.4592309738139242E-2</v>
      </c>
      <c r="L940" s="74"/>
      <c r="M940" s="74"/>
      <c r="N940" s="74"/>
      <c r="O940" s="74"/>
      <c r="P940" s="74"/>
      <c r="Q940" s="74"/>
      <c r="R940" s="74"/>
      <c r="S940" s="74"/>
      <c r="T940" s="74"/>
      <c r="U940" s="74"/>
      <c r="V940" s="74"/>
      <c r="W940" s="74"/>
      <c r="X940" s="74"/>
      <c r="Y940" s="74"/>
      <c r="Z940" s="74"/>
    </row>
    <row r="941" spans="1:26" x14ac:dyDescent="0.3">
      <c r="A941" s="66">
        <f t="shared" si="92"/>
        <v>2083.3999999999151</v>
      </c>
      <c r="B941" s="67">
        <f>LOOKUP(A941+0.01,AmountsB!$A$4:$A$103,AmountsB!$B$4:$B$103)*0.1*$A$2</f>
        <v>0</v>
      </c>
      <c r="C941" s="68">
        <f t="shared" si="91"/>
        <v>83655.233518999943</v>
      </c>
      <c r="D941" s="67">
        <f t="array" ref="D941">SUM($B$7:$B936*$F$1009*EXP(-$F$1009*($A941-$A$7:$A936)))*$F$1010</f>
        <v>2654036.1879516365</v>
      </c>
      <c r="E941" s="67">
        <f t="shared" si="89"/>
        <v>5.0596856938535373</v>
      </c>
      <c r="F941" s="70">
        <f t="shared" si="93"/>
        <v>0.30722411533078681</v>
      </c>
      <c r="G941" s="67">
        <f>E941/'Lookup Tables'!$C$48</f>
        <v>10.119371387707075</v>
      </c>
      <c r="H941" s="70">
        <f t="shared" si="90"/>
        <v>3.1789652467892726E-2</v>
      </c>
      <c r="I941" s="71">
        <f t="shared" si="94"/>
        <v>1.4571894798298188E-2</v>
      </c>
      <c r="L941" s="74"/>
      <c r="M941" s="74"/>
      <c r="N941" s="74"/>
      <c r="O941" s="74"/>
      <c r="P941" s="74"/>
      <c r="Q941" s="74"/>
      <c r="R941" s="74"/>
      <c r="S941" s="74"/>
      <c r="T941" s="74"/>
      <c r="U941" s="74"/>
      <c r="V941" s="74"/>
      <c r="W941" s="74"/>
      <c r="X941" s="74"/>
      <c r="Y941" s="74"/>
      <c r="Z941" s="74"/>
    </row>
    <row r="942" spans="1:26" x14ac:dyDescent="0.3">
      <c r="A942" s="66">
        <f t="shared" si="92"/>
        <v>2083.499999999915</v>
      </c>
      <c r="B942" s="67">
        <f>LOOKUP(A942+0.01,AmountsB!$A$4:$A$103,AmountsB!$B$4:$B$103)*0.1*$A$2</f>
        <v>0</v>
      </c>
      <c r="C942" s="68">
        <f t="shared" si="91"/>
        <v>83655.233518999943</v>
      </c>
      <c r="D942" s="67">
        <f t="array" ref="D942">SUM($B$7:$B937*$F$1009*EXP(-$F$1009*($A942-$A$7:$A937)))*$F$1010</f>
        <v>2650323.1370306183</v>
      </c>
      <c r="E942" s="67">
        <f t="shared" si="89"/>
        <v>5.0526070900609774</v>
      </c>
      <c r="F942" s="70">
        <f t="shared" si="93"/>
        <v>0.30679430250850254</v>
      </c>
      <c r="G942" s="67">
        <f>E942/'Lookup Tables'!$C$48</f>
        <v>10.105214180121955</v>
      </c>
      <c r="H942" s="70">
        <f t="shared" si="90"/>
        <v>3.1745178093763773E-2</v>
      </c>
      <c r="I942" s="71">
        <f t="shared" si="94"/>
        <v>1.4551508419375615E-2</v>
      </c>
      <c r="L942" s="74"/>
      <c r="M942" s="74"/>
      <c r="N942" s="74"/>
      <c r="O942" s="74"/>
      <c r="P942" s="74"/>
      <c r="Q942" s="74"/>
      <c r="R942" s="74"/>
      <c r="S942" s="74"/>
      <c r="T942" s="74"/>
      <c r="U942" s="74"/>
      <c r="V942" s="74"/>
      <c r="W942" s="74"/>
      <c r="X942" s="74"/>
      <c r="Y942" s="74"/>
      <c r="Z942" s="74"/>
    </row>
    <row r="943" spans="1:26" x14ac:dyDescent="0.3">
      <c r="A943" s="66">
        <f t="shared" si="92"/>
        <v>2083.5999999999149</v>
      </c>
      <c r="B943" s="67">
        <f>LOOKUP(A943+0.01,AmountsB!$A$4:$A$103,AmountsB!$B$4:$B$103)*0.1*$A$2</f>
        <v>0</v>
      </c>
      <c r="C943" s="68">
        <f t="shared" si="91"/>
        <v>83655.233518999943</v>
      </c>
      <c r="D943" s="67">
        <f t="array" ref="D943">SUM($B$7:$B938*$F$1009*EXP(-$F$1009*($A943-$A$7:$A938)))*$F$1010</f>
        <v>2646615.2807437964</v>
      </c>
      <c r="E943" s="67">
        <f t="shared" si="89"/>
        <v>5.0455383893799315</v>
      </c>
      <c r="F943" s="70">
        <f t="shared" si="93"/>
        <v>0.30636509100314946</v>
      </c>
      <c r="G943" s="67">
        <f>E943/'Lookup Tables'!$C$48</f>
        <v>10.091076778759863</v>
      </c>
      <c r="H943" s="70">
        <f t="shared" si="90"/>
        <v>3.1700765940194039E-2</v>
      </c>
      <c r="I943" s="71">
        <f t="shared" si="94"/>
        <v>1.4531150561414205E-2</v>
      </c>
      <c r="L943" s="74"/>
      <c r="M943" s="74"/>
      <c r="N943" s="74"/>
      <c r="O943" s="74"/>
      <c r="P943" s="74"/>
      <c r="Q943" s="74"/>
      <c r="R943" s="74"/>
      <c r="S943" s="74"/>
      <c r="T943" s="74"/>
      <c r="U943" s="74"/>
      <c r="V943" s="74"/>
      <c r="W943" s="74"/>
      <c r="X943" s="74"/>
      <c r="Y943" s="74"/>
      <c r="Z943" s="74"/>
    </row>
    <row r="944" spans="1:26" x14ac:dyDescent="0.3">
      <c r="A944" s="66">
        <f t="shared" si="92"/>
        <v>2083.6999999999148</v>
      </c>
      <c r="B944" s="67">
        <f>LOOKUP(A944+0.01,AmountsB!$A$4:$A$103,AmountsB!$B$4:$B$103)*0.1*$A$2</f>
        <v>0</v>
      </c>
      <c r="C944" s="68">
        <f t="shared" si="91"/>
        <v>83655.233518999943</v>
      </c>
      <c r="D944" s="67">
        <f t="array" ref="D944">SUM($B$7:$B939*$F$1009*EXP(-$F$1009*($A944-$A$7:$A939)))*$F$1010</f>
        <v>2642912.6118237721</v>
      </c>
      <c r="E944" s="67">
        <f t="shared" si="89"/>
        <v>5.0384795779557416</v>
      </c>
      <c r="F944" s="70">
        <f t="shared" si="93"/>
        <v>0.30593647997347267</v>
      </c>
      <c r="G944" s="67">
        <f>E944/'Lookup Tables'!$C$48</f>
        <v>10.076959155911483</v>
      </c>
      <c r="H944" s="70">
        <f t="shared" si="90"/>
        <v>3.1656415920135676E-2</v>
      </c>
      <c r="I944" s="71">
        <f t="shared" si="94"/>
        <v>1.4510821184512537E-2</v>
      </c>
      <c r="L944" s="74"/>
      <c r="M944" s="74"/>
      <c r="N944" s="74"/>
      <c r="O944" s="74"/>
      <c r="P944" s="74"/>
      <c r="Q944" s="74"/>
      <c r="R944" s="74"/>
      <c r="S944" s="74"/>
      <c r="T944" s="74"/>
      <c r="U944" s="74"/>
      <c r="V944" s="74"/>
      <c r="W944" s="74"/>
      <c r="X944" s="74"/>
      <c r="Y944" s="74"/>
      <c r="Z944" s="74"/>
    </row>
    <row r="945" spans="1:26" x14ac:dyDescent="0.3">
      <c r="A945" s="66">
        <f t="shared" si="92"/>
        <v>2083.7999999999147</v>
      </c>
      <c r="B945" s="67">
        <f>LOOKUP(A945+0.01,AmountsB!$A$4:$A$103,AmountsB!$B$4:$B$103)*0.1*$A$2</f>
        <v>0</v>
      </c>
      <c r="C945" s="68">
        <f t="shared" si="91"/>
        <v>83655.233518999943</v>
      </c>
      <c r="D945" s="67">
        <f t="array" ref="D945">SUM($B$7:$B940*$F$1009*EXP(-$F$1009*($A945-$A$7:$A940)))*$F$1010</f>
        <v>2639215.1230133129</v>
      </c>
      <c r="E945" s="67">
        <f t="shared" si="89"/>
        <v>5.0314306419531389</v>
      </c>
      <c r="F945" s="70">
        <f t="shared" si="93"/>
        <v>0.30550846857939462</v>
      </c>
      <c r="G945" s="67">
        <f>E945/'Lookup Tables'!$C$48</f>
        <v>10.062861283906278</v>
      </c>
      <c r="H945" s="70">
        <f t="shared" si="90"/>
        <v>3.1612127946662669E-2</v>
      </c>
      <c r="I945" s="71">
        <f t="shared" si="94"/>
        <v>1.449052024882504E-2</v>
      </c>
      <c r="L945" s="74"/>
      <c r="M945" s="74"/>
      <c r="N945" s="74"/>
      <c r="O945" s="74"/>
      <c r="P945" s="74"/>
      <c r="Q945" s="74"/>
      <c r="R945" s="74"/>
      <c r="S945" s="74"/>
      <c r="T945" s="74"/>
      <c r="U945" s="74"/>
      <c r="V945" s="74"/>
      <c r="W945" s="74"/>
      <c r="X945" s="74"/>
      <c r="Y945" s="74"/>
      <c r="Z945" s="74"/>
    </row>
    <row r="946" spans="1:26" x14ac:dyDescent="0.3">
      <c r="A946" s="66">
        <f t="shared" si="92"/>
        <v>2083.8999999999146</v>
      </c>
      <c r="B946" s="67">
        <f>LOOKUP(A946+0.01,AmountsB!$A$4:$A$103,AmountsB!$B$4:$B$103)*0.1*$A$2</f>
        <v>0</v>
      </c>
      <c r="C946" s="68">
        <f t="shared" si="91"/>
        <v>83655.233518999943</v>
      </c>
      <c r="D946" s="67">
        <f t="array" ref="D946">SUM($B$7:$B941*$F$1009*EXP(-$F$1009*($A946-$A$7:$A941)))*$F$1010</f>
        <v>2635522.8070653398</v>
      </c>
      <c r="E946" s="67">
        <f t="shared" si="89"/>
        <v>5.0243915675562043</v>
      </c>
      <c r="F946" s="70">
        <f t="shared" si="93"/>
        <v>0.30508105598201268</v>
      </c>
      <c r="G946" s="67">
        <f>E946/'Lookup Tables'!$C$48</f>
        <v>10.048783135112409</v>
      </c>
      <c r="H946" s="70">
        <f t="shared" si="90"/>
        <v>3.156790193297055E-2</v>
      </c>
      <c r="I946" s="71">
        <f t="shared" si="94"/>
        <v>1.4470247714561868E-2</v>
      </c>
      <c r="L946" s="74"/>
      <c r="M946" s="74"/>
      <c r="N946" s="74"/>
      <c r="O946" s="74"/>
      <c r="P946" s="74"/>
      <c r="Q946" s="74"/>
      <c r="R946" s="74"/>
      <c r="S946" s="74"/>
      <c r="T946" s="74"/>
      <c r="U946" s="74"/>
      <c r="V946" s="74"/>
      <c r="W946" s="74"/>
      <c r="X946" s="74"/>
      <c r="Y946" s="74"/>
      <c r="Z946" s="74"/>
    </row>
    <row r="947" spans="1:26" x14ac:dyDescent="0.3">
      <c r="A947" s="66">
        <f t="shared" si="92"/>
        <v>2083.9999999999145</v>
      </c>
      <c r="B947" s="67">
        <f>LOOKUP(A947+0.01,AmountsB!$A$4:$A$103,AmountsB!$B$4:$B$103)*0.1*$A$2</f>
        <v>0</v>
      </c>
      <c r="C947" s="68">
        <f t="shared" si="91"/>
        <v>83655.233518999943</v>
      </c>
      <c r="D947" s="67">
        <f t="array" ref="D947">SUM($B$7:$B942*$F$1009*EXP(-$F$1009*($A947-$A$7:$A942)))*$F$1010</f>
        <v>2631835.6567429113</v>
      </c>
      <c r="E947" s="67">
        <f t="shared" si="89"/>
        <v>5.0173623409683499</v>
      </c>
      <c r="F947" s="70">
        <f t="shared" si="93"/>
        <v>0.30465424134359825</v>
      </c>
      <c r="G947" s="67">
        <f>E947/'Lookup Tables'!$C$48</f>
        <v>10.0347246819367</v>
      </c>
      <c r="H947" s="70">
        <f t="shared" si="90"/>
        <v>3.152373779237632E-2</v>
      </c>
      <c r="I947" s="71">
        <f t="shared" si="94"/>
        <v>1.4450003541988847E-2</v>
      </c>
      <c r="L947" s="74"/>
      <c r="M947" s="74"/>
      <c r="N947" s="74"/>
      <c r="O947" s="74"/>
      <c r="P947" s="74"/>
      <c r="Q947" s="74"/>
      <c r="R947" s="74"/>
      <c r="S947" s="74"/>
      <c r="T947" s="74"/>
      <c r="U947" s="74"/>
      <c r="V947" s="74"/>
      <c r="W947" s="74"/>
      <c r="X947" s="74"/>
      <c r="Y947" s="74"/>
      <c r="Z947" s="74"/>
    </row>
    <row r="948" spans="1:26" x14ac:dyDescent="0.3">
      <c r="A948" s="66">
        <f t="shared" si="92"/>
        <v>2084.0999999999144</v>
      </c>
      <c r="B948" s="67">
        <f>LOOKUP(A948+0.01,AmountsB!$A$4:$A$103,AmountsB!$B$4:$B$103)*0.1*$A$2</f>
        <v>0</v>
      </c>
      <c r="C948" s="68">
        <f t="shared" si="91"/>
        <v>83655.233518999943</v>
      </c>
      <c r="D948" s="67">
        <f t="array" ref="D948">SUM($B$7:$B943*$F$1009*EXP(-$F$1009*($A948-$A$7:$A943)))*$F$1010</f>
        <v>2628153.6648192131</v>
      </c>
      <c r="E948" s="67">
        <f t="shared" si="89"/>
        <v>5.0103429484122906</v>
      </c>
      <c r="F948" s="70">
        <f t="shared" si="93"/>
        <v>0.30422802382759428</v>
      </c>
      <c r="G948" s="67">
        <f>E948/'Lookup Tables'!$C$48</f>
        <v>10.020685896824581</v>
      </c>
      <c r="H948" s="70">
        <f t="shared" si="90"/>
        <v>3.1479635438318256E-2</v>
      </c>
      <c r="I948" s="71">
        <f t="shared" si="94"/>
        <v>1.4429787691427399E-2</v>
      </c>
      <c r="L948" s="74"/>
      <c r="M948" s="74"/>
      <c r="N948" s="74"/>
      <c r="O948" s="74"/>
      <c r="P948" s="74"/>
      <c r="Q948" s="74"/>
      <c r="R948" s="74"/>
      <c r="S948" s="74"/>
      <c r="T948" s="74"/>
      <c r="U948" s="74"/>
      <c r="V948" s="74"/>
      <c r="W948" s="74"/>
      <c r="X948" s="74"/>
      <c r="Y948" s="74"/>
      <c r="Z948" s="74"/>
    </row>
    <row r="949" spans="1:26" x14ac:dyDescent="0.3">
      <c r="A949" s="66">
        <f t="shared" si="92"/>
        <v>2084.1999999999143</v>
      </c>
      <c r="B949" s="67">
        <f>LOOKUP(A949+0.01,AmountsB!$A$4:$A$103,AmountsB!$B$4:$B$103)*0.1*$A$2</f>
        <v>0</v>
      </c>
      <c r="C949" s="68">
        <f t="shared" si="91"/>
        <v>83655.233518999943</v>
      </c>
      <c r="D949" s="67">
        <f t="array" ref="D949">SUM($B$7:$B944*$F$1009*EXP(-$F$1009*($A949-$A$7:$A944)))*$F$1010</f>
        <v>2624476.8240775396</v>
      </c>
      <c r="E949" s="67">
        <f t="shared" si="89"/>
        <v>5.0033333761300147</v>
      </c>
      <c r="F949" s="70">
        <f t="shared" si="93"/>
        <v>0.30380240259861452</v>
      </c>
      <c r="G949" s="67">
        <f>E949/'Lookup Tables'!$C$48</f>
        <v>10.006666752260029</v>
      </c>
      <c r="H949" s="70">
        <f t="shared" si="90"/>
        <v>3.143559478435573E-2</v>
      </c>
      <c r="I949" s="71">
        <f t="shared" si="94"/>
        <v>1.4409600123254443E-2</v>
      </c>
      <c r="L949" s="74"/>
      <c r="M949" s="74"/>
      <c r="N949" s="74"/>
      <c r="O949" s="74"/>
      <c r="P949" s="74"/>
      <c r="Q949" s="74"/>
      <c r="R949" s="74"/>
      <c r="S949" s="74"/>
      <c r="T949" s="74"/>
      <c r="U949" s="74"/>
      <c r="V949" s="74"/>
      <c r="W949" s="74"/>
      <c r="X949" s="74"/>
      <c r="Y949" s="74"/>
      <c r="Z949" s="74"/>
    </row>
    <row r="950" spans="1:26" x14ac:dyDescent="0.3">
      <c r="A950" s="66">
        <f t="shared" si="92"/>
        <v>2084.2999999999142</v>
      </c>
      <c r="B950" s="67">
        <f>LOOKUP(A950+0.01,AmountsB!$A$4:$A$103,AmountsB!$B$4:$B$103)*0.1*$A$2</f>
        <v>0</v>
      </c>
      <c r="C950" s="68">
        <f t="shared" si="91"/>
        <v>83655.233518999943</v>
      </c>
      <c r="D950" s="67">
        <f t="array" ref="D950">SUM($B$7:$B945*$F$1009*EXP(-$F$1009*($A950-$A$7:$A945)))*$F$1010</f>
        <v>2620805.1273112809</v>
      </c>
      <c r="E950" s="67">
        <f t="shared" si="89"/>
        <v>4.9963336103827567</v>
      </c>
      <c r="F950" s="70">
        <f t="shared" si="93"/>
        <v>0.30337737682244093</v>
      </c>
      <c r="G950" s="67">
        <f>E950/'Lookup Tables'!$C$48</f>
        <v>9.9926672207655134</v>
      </c>
      <c r="H950" s="70">
        <f t="shared" si="90"/>
        <v>3.1391615744169044E-2</v>
      </c>
      <c r="I950" s="71">
        <f t="shared" si="94"/>
        <v>1.4389440797902338E-2</v>
      </c>
      <c r="L950" s="74"/>
      <c r="M950" s="74"/>
      <c r="N950" s="74"/>
      <c r="O950" s="74"/>
      <c r="P950" s="74"/>
      <c r="Q950" s="74"/>
      <c r="R950" s="74"/>
      <c r="S950" s="74"/>
      <c r="T950" s="74"/>
      <c r="U950" s="74"/>
      <c r="V950" s="74"/>
      <c r="W950" s="74"/>
      <c r="X950" s="74"/>
      <c r="Y950" s="74"/>
      <c r="Z950" s="74"/>
    </row>
    <row r="951" spans="1:26" x14ac:dyDescent="0.3">
      <c r="A951" s="66">
        <f t="shared" si="92"/>
        <v>2084.3999999999141</v>
      </c>
      <c r="B951" s="67">
        <f>LOOKUP(A951+0.01,AmountsB!$A$4:$A$103,AmountsB!$B$4:$B$103)*0.1*$A$2</f>
        <v>0</v>
      </c>
      <c r="C951" s="68">
        <f t="shared" si="91"/>
        <v>83655.233518999943</v>
      </c>
      <c r="D951" s="67">
        <f t="array" ref="D951">SUM($B$7:$B946*$F$1009*EXP(-$F$1009*($A951-$A$7:$A946)))*$F$1010</f>
        <v>2617138.567323911</v>
      </c>
      <c r="E951" s="67">
        <f t="shared" si="89"/>
        <v>4.9893436374509745</v>
      </c>
      <c r="F951" s="70">
        <f t="shared" si="93"/>
        <v>0.30295294566602315</v>
      </c>
      <c r="G951" s="67">
        <f>E951/'Lookup Tables'!$C$48</f>
        <v>9.9786872749019491</v>
      </c>
      <c r="H951" s="70">
        <f t="shared" si="90"/>
        <v>3.1347698231559272E-2</v>
      </c>
      <c r="I951" s="71">
        <f t="shared" si="94"/>
        <v>1.4369309675858807E-2</v>
      </c>
      <c r="L951" s="74"/>
      <c r="M951" s="74"/>
      <c r="N951" s="74"/>
      <c r="O951" s="74"/>
      <c r="P951" s="74"/>
      <c r="Q951" s="74"/>
      <c r="R951" s="74"/>
      <c r="S951" s="74"/>
      <c r="T951" s="74"/>
      <c r="U951" s="74"/>
      <c r="V951" s="74"/>
      <c r="W951" s="74"/>
      <c r="X951" s="74"/>
      <c r="Y951" s="74"/>
      <c r="Z951" s="74"/>
    </row>
    <row r="952" spans="1:26" x14ac:dyDescent="0.3">
      <c r="A952" s="66">
        <f t="shared" si="92"/>
        <v>2084.4999999999141</v>
      </c>
      <c r="B952" s="67">
        <f>LOOKUP(A952+0.01,AmountsB!$A$4:$A$103,AmountsB!$B$4:$B$103)*0.1*$A$2</f>
        <v>0</v>
      </c>
      <c r="C952" s="68">
        <f t="shared" si="91"/>
        <v>83655.233518999943</v>
      </c>
      <c r="D952" s="67">
        <f t="array" ref="D952">SUM($B$7:$B947*$F$1009*EXP(-$F$1009*($A952-$A$7:$A947)))*$F$1010</f>
        <v>2613477.1369289705</v>
      </c>
      <c r="E952" s="67">
        <f t="shared" si="89"/>
        <v>4.982363443634318</v>
      </c>
      <c r="F952" s="70">
        <f t="shared" si="93"/>
        <v>0.30252910829747581</v>
      </c>
      <c r="G952" s="67">
        <f>E952/'Lookup Tables'!$C$48</f>
        <v>9.9647268872686361</v>
      </c>
      <c r="H952" s="70">
        <f t="shared" si="90"/>
        <v>3.1303842160448056E-2</v>
      </c>
      <c r="I952" s="71">
        <f t="shared" si="94"/>
        <v>1.4349206717666837E-2</v>
      </c>
      <c r="L952" s="74"/>
      <c r="M952" s="74"/>
      <c r="N952" s="74"/>
      <c r="O952" s="74"/>
      <c r="P952" s="74"/>
      <c r="Q952" s="74"/>
      <c r="R952" s="74"/>
      <c r="S952" s="74"/>
      <c r="T952" s="74"/>
      <c r="U952" s="74"/>
      <c r="V952" s="74"/>
      <c r="W952" s="74"/>
      <c r="X952" s="74"/>
      <c r="Y952" s="74"/>
      <c r="Z952" s="74"/>
    </row>
    <row r="953" spans="1:26" x14ac:dyDescent="0.3">
      <c r="A953" s="66">
        <f t="shared" si="92"/>
        <v>2084.599999999914</v>
      </c>
      <c r="B953" s="67">
        <f>LOOKUP(A953+0.01,AmountsB!$A$4:$A$103,AmountsB!$B$4:$B$103)*0.1*$A$2</f>
        <v>0</v>
      </c>
      <c r="C953" s="68">
        <f t="shared" si="91"/>
        <v>83655.233518999943</v>
      </c>
      <c r="D953" s="67">
        <f t="array" ref="D953">SUM($B$7:$B948*$F$1009*EXP(-$F$1009*($A953-$A$7:$A948)))*$F$1010</f>
        <v>2609820.8289500549</v>
      </c>
      <c r="E953" s="67">
        <f t="shared" si="89"/>
        <v>4.9753930152516066</v>
      </c>
      <c r="F953" s="70">
        <f t="shared" si="93"/>
        <v>0.30210586388607752</v>
      </c>
      <c r="G953" s="67">
        <f>E953/'Lookup Tables'!$C$48</f>
        <v>9.9507860305032132</v>
      </c>
      <c r="H953" s="70">
        <f t="shared" si="90"/>
        <v>3.1260047444877495E-2</v>
      </c>
      <c r="I953" s="71">
        <f t="shared" si="94"/>
        <v>1.4329131883924626E-2</v>
      </c>
      <c r="L953" s="74"/>
      <c r="M953" s="74"/>
      <c r="N953" s="74"/>
      <c r="O953" s="74"/>
      <c r="P953" s="74"/>
      <c r="Q953" s="74"/>
      <c r="R953" s="74"/>
      <c r="S953" s="74"/>
      <c r="T953" s="74"/>
      <c r="U953" s="74"/>
      <c r="V953" s="74"/>
      <c r="W953" s="74"/>
      <c r="X953" s="74"/>
      <c r="Y953" s="74"/>
      <c r="Z953" s="74"/>
    </row>
    <row r="954" spans="1:26" x14ac:dyDescent="0.3">
      <c r="A954" s="66">
        <f t="shared" si="92"/>
        <v>2084.6999999999139</v>
      </c>
      <c r="B954" s="67">
        <f>LOOKUP(A954+0.01,AmountsB!$A$4:$A$103,AmountsB!$B$4:$B$103)*0.1*$A$2</f>
        <v>0</v>
      </c>
      <c r="C954" s="68">
        <f t="shared" si="91"/>
        <v>83655.233518999943</v>
      </c>
      <c r="D954" s="67">
        <f t="array" ref="D954">SUM($B$7:$B949*$F$1009*EXP(-$F$1009*($A954-$A$7:$A949)))*$F$1010</f>
        <v>2606169.6362208007</v>
      </c>
      <c r="E954" s="67">
        <f t="shared" si="89"/>
        <v>4.9684323386408007</v>
      </c>
      <c r="F954" s="70">
        <f t="shared" si="93"/>
        <v>0.30168321160226946</v>
      </c>
      <c r="G954" s="67">
        <f>E954/'Lookup Tables'!$C$48</f>
        <v>9.9368646772816014</v>
      </c>
      <c r="H954" s="70">
        <f t="shared" si="90"/>
        <v>3.1216313999009954E-2</v>
      </c>
      <c r="I954" s="71">
        <f t="shared" si="94"/>
        <v>1.4309085135285506E-2</v>
      </c>
      <c r="L954" s="74"/>
      <c r="M954" s="74"/>
      <c r="N954" s="74"/>
      <c r="O954" s="74"/>
      <c r="P954" s="74"/>
      <c r="Q954" s="74"/>
      <c r="R954" s="74"/>
      <c r="S954" s="74"/>
      <c r="T954" s="74"/>
      <c r="U954" s="74"/>
      <c r="V954" s="74"/>
      <c r="W954" s="74"/>
      <c r="X954" s="74"/>
      <c r="Y954" s="74"/>
      <c r="Z954" s="74"/>
    </row>
    <row r="955" spans="1:26" x14ac:dyDescent="0.3">
      <c r="A955" s="66">
        <f t="shared" si="92"/>
        <v>2084.7999999999138</v>
      </c>
      <c r="B955" s="67">
        <f>LOOKUP(A955+0.01,AmountsB!$A$4:$A$103,AmountsB!$B$4:$B$103)*0.1*$A$2</f>
        <v>0</v>
      </c>
      <c r="C955" s="68">
        <f t="shared" si="91"/>
        <v>83655.233518999943</v>
      </c>
      <c r="D955" s="67">
        <f t="array" ref="D955">SUM($B$7:$B950*$F$1009*EXP(-$F$1009*($A955-$A$7:$A950)))*$F$1010</f>
        <v>2602523.5515848678</v>
      </c>
      <c r="E955" s="67">
        <f t="shared" si="89"/>
        <v>4.9614814001589682</v>
      </c>
      <c r="F955" s="70">
        <f t="shared" si="93"/>
        <v>0.30126115061765252</v>
      </c>
      <c r="G955" s="67">
        <f>E955/'Lookup Tables'!$C$48</f>
        <v>9.9229628003179364</v>
      </c>
      <c r="H955" s="70">
        <f t="shared" si="90"/>
        <v>3.1172641737127839E-2</v>
      </c>
      <c r="I955" s="71">
        <f t="shared" si="94"/>
        <v>1.4289066432457828E-2</v>
      </c>
      <c r="L955" s="74"/>
      <c r="M955" s="74"/>
      <c r="N955" s="74"/>
      <c r="O955" s="74"/>
      <c r="P955" s="74"/>
      <c r="Q955" s="74"/>
      <c r="R955" s="74"/>
      <c r="S955" s="74"/>
      <c r="T955" s="74"/>
      <c r="U955" s="74"/>
      <c r="V955" s="74"/>
      <c r="W955" s="74"/>
      <c r="X955" s="74"/>
      <c r="Y955" s="74"/>
      <c r="Z955" s="74"/>
    </row>
    <row r="956" spans="1:26" x14ac:dyDescent="0.3">
      <c r="A956" s="66">
        <f t="shared" si="92"/>
        <v>2084.8999999999137</v>
      </c>
      <c r="B956" s="67">
        <f>LOOKUP(A956+0.01,AmountsB!$A$4:$A$103,AmountsB!$B$4:$B$103)*0.1*$A$2</f>
        <v>0</v>
      </c>
      <c r="C956" s="68">
        <f t="shared" si="91"/>
        <v>83655.233518999943</v>
      </c>
      <c r="D956" s="67">
        <f t="array" ref="D956">SUM($B$7:$B951*$F$1009*EXP(-$F$1009*($A956-$A$7:$A951)))*$F$1010</f>
        <v>2598882.5678959289</v>
      </c>
      <c r="E956" s="67">
        <f t="shared" si="89"/>
        <v>4.9545401861822675</v>
      </c>
      <c r="F956" s="70">
        <f t="shared" si="93"/>
        <v>0.30083968010498729</v>
      </c>
      <c r="G956" s="67">
        <f>E956/'Lookup Tables'!$C$48</f>
        <v>9.9090803723645351</v>
      </c>
      <c r="H956" s="70">
        <f t="shared" si="90"/>
        <v>3.1129030573633504E-2</v>
      </c>
      <c r="I956" s="71">
        <f t="shared" si="94"/>
        <v>1.4269075736204929E-2</v>
      </c>
      <c r="L956" s="74"/>
      <c r="M956" s="74"/>
      <c r="N956" s="74"/>
      <c r="O956" s="74"/>
      <c r="P956" s="74"/>
      <c r="Q956" s="74"/>
      <c r="R956" s="74"/>
      <c r="S956" s="74"/>
      <c r="T956" s="74"/>
      <c r="U956" s="74"/>
      <c r="V956" s="74"/>
      <c r="W956" s="74"/>
      <c r="X956" s="74"/>
      <c r="Y956" s="74"/>
      <c r="Z956" s="74"/>
    </row>
    <row r="957" spans="1:26" x14ac:dyDescent="0.3">
      <c r="A957" s="66">
        <f t="shared" si="92"/>
        <v>2084.9999999999136</v>
      </c>
      <c r="B957" s="67">
        <f>LOOKUP(A957+0.01,AmountsB!$A$4:$A$103,AmountsB!$B$4:$B$103)*0.1*$A$2</f>
        <v>0</v>
      </c>
      <c r="C957" s="68">
        <f t="shared" si="91"/>
        <v>83655.233518999943</v>
      </c>
      <c r="D957" s="67">
        <f t="array" ref="D957">SUM($B$7:$B952*$F$1009*EXP(-$F$1009*($A957-$A$7:$A952)))*$F$1010</f>
        <v>2595246.678017654</v>
      </c>
      <c r="E957" s="67">
        <f t="shared" si="89"/>
        <v>4.9476086831059165</v>
      </c>
      <c r="F957" s="70">
        <f t="shared" si="93"/>
        <v>0.30041879923819126</v>
      </c>
      <c r="G957" s="67">
        <f>E957/'Lookup Tables'!$C$48</f>
        <v>9.895217366211833</v>
      </c>
      <c r="H957" s="70">
        <f t="shared" si="90"/>
        <v>3.1085480423049053E-2</v>
      </c>
      <c r="I957" s="71">
        <f t="shared" si="94"/>
        <v>1.424911300734504E-2</v>
      </c>
      <c r="L957" s="74"/>
      <c r="M957" s="74"/>
      <c r="N957" s="74"/>
      <c r="O957" s="74"/>
      <c r="P957" s="74"/>
      <c r="Q957" s="74"/>
      <c r="R957" s="74"/>
      <c r="S957" s="74"/>
      <c r="T957" s="74"/>
      <c r="U957" s="74"/>
      <c r="V957" s="74"/>
      <c r="W957" s="74"/>
      <c r="X957" s="74"/>
      <c r="Y957" s="74"/>
      <c r="Z957" s="74"/>
    </row>
    <row r="958" spans="1:26" x14ac:dyDescent="0.3">
      <c r="A958" s="66">
        <f t="shared" si="92"/>
        <v>2085.0999999999135</v>
      </c>
      <c r="B958" s="67">
        <f>LOOKUP(A958+0.01,AmountsB!$A$4:$A$103,AmountsB!$B$4:$B$103)*0.1*$A$2</f>
        <v>0</v>
      </c>
      <c r="C958" s="68">
        <f t="shared" si="91"/>
        <v>83655.233518999943</v>
      </c>
      <c r="D958" s="67">
        <f t="array" ref="D958">SUM($B$7:$B953*$F$1009*EXP(-$F$1009*($A958-$A$7:$A953)))*$F$1010</f>
        <v>2591615.8748236992</v>
      </c>
      <c r="E958" s="67">
        <f t="shared" si="89"/>
        <v>4.9406868773441692</v>
      </c>
      <c r="F958" s="70">
        <f t="shared" si="93"/>
        <v>0.299998507192338</v>
      </c>
      <c r="G958" s="67">
        <f>E958/'Lookup Tables'!$C$48</f>
        <v>9.8813737546883385</v>
      </c>
      <c r="H958" s="70">
        <f t="shared" si="90"/>
        <v>3.1041991200016189E-2</v>
      </c>
      <c r="I958" s="71">
        <f t="shared" si="94"/>
        <v>1.4229178206751208E-2</v>
      </c>
      <c r="L958" s="74"/>
      <c r="M958" s="74"/>
      <c r="N958" s="74"/>
      <c r="O958" s="74"/>
      <c r="P958" s="74"/>
      <c r="Q958" s="74"/>
      <c r="R958" s="74"/>
      <c r="S958" s="74"/>
      <c r="T958" s="74"/>
      <c r="U958" s="74"/>
      <c r="V958" s="74"/>
      <c r="W958" s="74"/>
      <c r="X958" s="74"/>
      <c r="Y958" s="74"/>
      <c r="Z958" s="74"/>
    </row>
    <row r="959" spans="1:26" x14ac:dyDescent="0.3">
      <c r="A959" s="66">
        <f t="shared" si="92"/>
        <v>2085.1999999999134</v>
      </c>
      <c r="B959" s="67">
        <f>LOOKUP(A959+0.01,AmountsB!$A$4:$A$103,AmountsB!$B$4:$B$103)*0.1*$A$2</f>
        <v>0</v>
      </c>
      <c r="C959" s="68">
        <f t="shared" si="91"/>
        <v>83655.233518999943</v>
      </c>
      <c r="D959" s="67">
        <f t="array" ref="D959">SUM($B$7:$B954*$F$1009*EXP(-$F$1009*($A959-$A$7:$A954)))*$F$1010</f>
        <v>2587990.1511976887</v>
      </c>
      <c r="E959" s="67">
        <f t="shared" si="89"/>
        <v>4.9337747553302824</v>
      </c>
      <c r="F959" s="70">
        <f t="shared" si="93"/>
        <v>0.29957880314365476</v>
      </c>
      <c r="G959" s="67">
        <f>E959/'Lookup Tables'!$C$48</f>
        <v>9.8675495106605648</v>
      </c>
      <c r="H959" s="70">
        <f t="shared" si="90"/>
        <v>3.0998562819296003E-2</v>
      </c>
      <c r="I959" s="71">
        <f t="shared" si="94"/>
        <v>1.4209271295351215E-2</v>
      </c>
      <c r="L959" s="74"/>
      <c r="M959" s="74"/>
      <c r="N959" s="74"/>
      <c r="O959" s="74"/>
      <c r="P959" s="74"/>
      <c r="Q959" s="74"/>
      <c r="R959" s="74"/>
      <c r="S959" s="74"/>
      <c r="T959" s="74"/>
      <c r="U959" s="74"/>
      <c r="V959" s="74"/>
      <c r="W959" s="74"/>
      <c r="X959" s="74"/>
      <c r="Y959" s="74"/>
      <c r="Z959" s="74"/>
    </row>
    <row r="960" spans="1:26" x14ac:dyDescent="0.3">
      <c r="A960" s="66">
        <f t="shared" si="92"/>
        <v>2085.2999999999133</v>
      </c>
      <c r="B960" s="67">
        <f>LOOKUP(A960+0.01,AmountsB!$A$4:$A$103,AmountsB!$B$4:$B$103)*0.1*$A$2</f>
        <v>0</v>
      </c>
      <c r="C960" s="68">
        <f t="shared" si="91"/>
        <v>83655.233518999943</v>
      </c>
      <c r="D960" s="67">
        <f t="array" ref="D960">SUM($B$7:$B955*$F$1009*EXP(-$F$1009*($A960-$A$7:$A955)))*$F$1010</f>
        <v>2584369.500033203</v>
      </c>
      <c r="E960" s="67">
        <f t="shared" si="89"/>
        <v>4.9268723035164959</v>
      </c>
      <c r="F960" s="70">
        <f t="shared" si="93"/>
        <v>0.29915968626952166</v>
      </c>
      <c r="G960" s="67">
        <f>E960/'Lookup Tables'!$C$48</f>
        <v>9.8537446070329917</v>
      </c>
      <c r="H960" s="70">
        <f t="shared" si="90"/>
        <v>3.0955195195768875E-2</v>
      </c>
      <c r="I960" s="71">
        <f t="shared" si="94"/>
        <v>1.4189392234127509E-2</v>
      </c>
      <c r="L960" s="74"/>
      <c r="M960" s="74"/>
      <c r="N960" s="74"/>
      <c r="O960" s="74"/>
      <c r="P960" s="74"/>
      <c r="Q960" s="74"/>
      <c r="R960" s="74"/>
      <c r="S960" s="74"/>
      <c r="T960" s="74"/>
      <c r="U960" s="74"/>
      <c r="V960" s="74"/>
      <c r="W960" s="74"/>
      <c r="X960" s="74"/>
      <c r="Y960" s="74"/>
      <c r="Z960" s="74"/>
    </row>
    <row r="961" spans="1:26" x14ac:dyDescent="0.3">
      <c r="A961" s="66">
        <f t="shared" si="92"/>
        <v>2085.3999999999132</v>
      </c>
      <c r="B961" s="67">
        <f>LOOKUP(A961+0.01,AmountsB!$A$4:$A$103,AmountsB!$B$4:$B$103)*0.1*$A$2</f>
        <v>0</v>
      </c>
      <c r="C961" s="68">
        <f t="shared" si="91"/>
        <v>83655.233518999943</v>
      </c>
      <c r="D961" s="67">
        <f t="array" ref="D961">SUM($B$7:$B956*$F$1009*EXP(-$F$1009*($A961-$A$7:$A956)))*$F$1010</f>
        <v>2580753.9142337656</v>
      </c>
      <c r="E961" s="67">
        <f t="shared" si="89"/>
        <v>4.9199795083740021</v>
      </c>
      <c r="F961" s="70">
        <f t="shared" si="93"/>
        <v>0.29874115574846943</v>
      </c>
      <c r="G961" s="67">
        <f>E961/'Lookup Tables'!$C$48</f>
        <v>9.8399590167480042</v>
      </c>
      <c r="H961" s="70">
        <f t="shared" si="90"/>
        <v>3.0911888244434239E-2</v>
      </c>
      <c r="I961" s="71">
        <f t="shared" si="94"/>
        <v>1.4169540984117128E-2</v>
      </c>
      <c r="L961" s="74"/>
      <c r="M961" s="74"/>
      <c r="N961" s="74"/>
      <c r="O961" s="74"/>
      <c r="P961" s="74"/>
      <c r="Q961" s="74"/>
      <c r="R961" s="74"/>
      <c r="S961" s="74"/>
      <c r="T961" s="74"/>
      <c r="U961" s="74"/>
      <c r="V961" s="74"/>
      <c r="W961" s="74"/>
      <c r="X961" s="74"/>
      <c r="Y961" s="74"/>
      <c r="Z961" s="74"/>
    </row>
    <row r="962" spans="1:26" x14ac:dyDescent="0.3">
      <c r="A962" s="66">
        <f t="shared" si="92"/>
        <v>2085.4999999999131</v>
      </c>
      <c r="B962" s="67">
        <f>LOOKUP(A962+0.01,AmountsB!$A$4:$A$103,AmountsB!$B$4:$B$103)*0.1*$A$2</f>
        <v>0</v>
      </c>
      <c r="C962" s="68">
        <f t="shared" si="91"/>
        <v>83655.233518999943</v>
      </c>
      <c r="D962" s="67">
        <f t="array" ref="D962">SUM($B$7:$B957*$F$1009*EXP(-$F$1009*($A962-$A$7:$A957)))*$F$1010</f>
        <v>2577143.3867128254</v>
      </c>
      <c r="E962" s="67">
        <f t="shared" si="89"/>
        <v>4.9130963563929191</v>
      </c>
      <c r="F962" s="70">
        <f t="shared" si="93"/>
        <v>0.29832321076017804</v>
      </c>
      <c r="G962" s="67">
        <f>E962/'Lookup Tables'!$C$48</f>
        <v>9.8261927127858382</v>
      </c>
      <c r="H962" s="70">
        <f t="shared" si="90"/>
        <v>3.0868641880410455E-2</v>
      </c>
      <c r="I962" s="71">
        <f t="shared" si="94"/>
        <v>1.414971750641161E-2</v>
      </c>
      <c r="L962" s="74"/>
      <c r="M962" s="74"/>
      <c r="N962" s="74"/>
      <c r="O962" s="74"/>
      <c r="P962" s="74"/>
      <c r="Q962" s="74"/>
      <c r="R962" s="74"/>
      <c r="S962" s="74"/>
      <c r="T962" s="74"/>
      <c r="U962" s="74"/>
      <c r="V962" s="74"/>
      <c r="W962" s="74"/>
      <c r="X962" s="74"/>
      <c r="Y962" s="74"/>
      <c r="Z962" s="74"/>
    </row>
    <row r="963" spans="1:26" x14ac:dyDescent="0.3">
      <c r="A963" s="66">
        <f t="shared" si="92"/>
        <v>2085.5999999999131</v>
      </c>
      <c r="B963" s="67">
        <f>LOOKUP(A963+0.01,AmountsB!$A$4:$A$103,AmountsB!$B$4:$B$103)*0.1*$A$2</f>
        <v>0</v>
      </c>
      <c r="C963" s="68">
        <f t="shared" si="91"/>
        <v>83655.233518999943</v>
      </c>
      <c r="D963" s="67">
        <f t="array" ref="D963">SUM($B$7:$B958*$F$1009*EXP(-$F$1009*($A963-$A$7:$A958)))*$F$1010</f>
        <v>2573537.9103937489</v>
      </c>
      <c r="E963" s="67">
        <f t="shared" si="89"/>
        <v>4.9062228340822687</v>
      </c>
      <c r="F963" s="70">
        <f t="shared" si="93"/>
        <v>0.2979058504854753</v>
      </c>
      <c r="G963" s="67">
        <f>E963/'Lookup Tables'!$C$48</f>
        <v>9.8124456681645373</v>
      </c>
      <c r="H963" s="70">
        <f t="shared" si="90"/>
        <v>3.0825456018934647E-2</v>
      </c>
      <c r="I963" s="71">
        <f t="shared" si="94"/>
        <v>1.4129921762156933E-2</v>
      </c>
      <c r="L963" s="74"/>
      <c r="M963" s="74"/>
      <c r="N963" s="74"/>
      <c r="O963" s="74"/>
      <c r="P963" s="74"/>
      <c r="Q963" s="74"/>
      <c r="R963" s="74"/>
      <c r="S963" s="74"/>
      <c r="T963" s="74"/>
      <c r="U963" s="74"/>
      <c r="V963" s="74"/>
      <c r="W963" s="74"/>
      <c r="X963" s="74"/>
      <c r="Y963" s="74"/>
      <c r="Z963" s="74"/>
    </row>
    <row r="964" spans="1:26" x14ac:dyDescent="0.3">
      <c r="A964" s="66">
        <f t="shared" si="92"/>
        <v>2085.699999999913</v>
      </c>
      <c r="B964" s="67">
        <f>LOOKUP(A964+0.01,AmountsB!$A$4:$A$103,AmountsB!$B$4:$B$103)*0.1*$A$2</f>
        <v>0</v>
      </c>
      <c r="C964" s="68">
        <f t="shared" si="91"/>
        <v>83655.233518999943</v>
      </c>
      <c r="D964" s="67">
        <f t="array" ref="D964">SUM($B$7:$B959*$F$1009*EXP(-$F$1009*($A964-$A$7:$A959)))*$F$1010</f>
        <v>2569937.4782098001</v>
      </c>
      <c r="E964" s="67">
        <f t="shared" si="89"/>
        <v>4.899358927969943</v>
      </c>
      <c r="F964" s="70">
        <f t="shared" si="93"/>
        <v>0.29748907410633496</v>
      </c>
      <c r="G964" s="67">
        <f>E964/'Lookup Tables'!$C$48</f>
        <v>9.798717855939886</v>
      </c>
      <c r="H964" s="70">
        <f t="shared" si="90"/>
        <v>3.0782330575362501E-2</v>
      </c>
      <c r="I964" s="71">
        <f t="shared" si="94"/>
        <v>1.4110153712553437E-2</v>
      </c>
      <c r="L964" s="74"/>
      <c r="M964" s="74"/>
      <c r="N964" s="74"/>
      <c r="O964" s="74"/>
      <c r="P964" s="74"/>
      <c r="Q964" s="74"/>
      <c r="R964" s="74"/>
      <c r="S964" s="74"/>
      <c r="T964" s="74"/>
      <c r="U964" s="74"/>
      <c r="V964" s="74"/>
      <c r="W964" s="74"/>
      <c r="X964" s="74"/>
      <c r="Y964" s="74"/>
      <c r="Z964" s="74"/>
    </row>
    <row r="965" spans="1:26" x14ac:dyDescent="0.3">
      <c r="A965" s="66">
        <f t="shared" si="92"/>
        <v>2085.7999999999129</v>
      </c>
      <c r="B965" s="67">
        <f>LOOKUP(A965+0.01,AmountsB!$A$4:$A$103,AmountsB!$B$4:$B$103)*0.1*$A$2</f>
        <v>0</v>
      </c>
      <c r="C965" s="68">
        <f t="shared" si="91"/>
        <v>83655.233518999943</v>
      </c>
      <c r="D965" s="67">
        <f t="array" ref="D965">SUM($B$7:$B960*$F$1009*EXP(-$F$1009*($A965-$A$7:$A960)))*$F$1010</f>
        <v>2566342.0831041313</v>
      </c>
      <c r="E965" s="67">
        <f t="shared" si="89"/>
        <v>4.892504624602684</v>
      </c>
      <c r="F965" s="70">
        <f t="shared" si="93"/>
        <v>0.29707288080587502</v>
      </c>
      <c r="G965" s="67">
        <f>E965/'Lookup Tables'!$C$48</f>
        <v>9.785009249205368</v>
      </c>
      <c r="H965" s="70">
        <f t="shared" si="90"/>
        <v>3.0739265465168135E-2</v>
      </c>
      <c r="I965" s="71">
        <f t="shared" si="94"/>
        <v>1.4090413318855731E-2</v>
      </c>
      <c r="L965" s="74"/>
      <c r="M965" s="74"/>
      <c r="N965" s="74"/>
      <c r="O965" s="74"/>
      <c r="P965" s="74"/>
      <c r="Q965" s="74"/>
      <c r="R965" s="74"/>
      <c r="S965" s="74"/>
      <c r="T965" s="74"/>
      <c r="U965" s="74"/>
      <c r="V965" s="74"/>
      <c r="W965" s="74"/>
      <c r="X965" s="74"/>
      <c r="Y965" s="74"/>
      <c r="Z965" s="74"/>
    </row>
    <row r="966" spans="1:26" x14ac:dyDescent="0.3">
      <c r="A966" s="66">
        <f t="shared" si="92"/>
        <v>2085.8999999999128</v>
      </c>
      <c r="B966" s="67">
        <f>LOOKUP(A966+0.01,AmountsB!$A$4:$A$103,AmountsB!$B$4:$B$103)*0.1*$A$2</f>
        <v>0</v>
      </c>
      <c r="C966" s="68">
        <f t="shared" si="91"/>
        <v>83655.233518999943</v>
      </c>
      <c r="D966" s="67">
        <f t="array" ref="D966">SUM($B$7:$B961*$F$1009*EXP(-$F$1009*($A966-$A$7:$A961)))*$F$1010</f>
        <v>2562751.7180297673</v>
      </c>
      <c r="E966" s="67">
        <f t="shared" si="89"/>
        <v>4.8856599105460568</v>
      </c>
      <c r="F966" s="70">
        <f t="shared" si="93"/>
        <v>0.2966572697683566</v>
      </c>
      <c r="G966" s="67">
        <f>E966/'Lookup Tables'!$C$48</f>
        <v>9.7713198210921135</v>
      </c>
      <c r="H966" s="70">
        <f t="shared" si="90"/>
        <v>3.0696260603943926E-2</v>
      </c>
      <c r="I966" s="71">
        <f t="shared" si="94"/>
        <v>1.4070700542372644E-2</v>
      </c>
      <c r="L966" s="74"/>
      <c r="M966" s="74"/>
      <c r="N966" s="74"/>
      <c r="O966" s="74"/>
      <c r="P966" s="74"/>
      <c r="Q966" s="74"/>
      <c r="R966" s="74"/>
      <c r="S966" s="74"/>
      <c r="T966" s="74"/>
      <c r="U966" s="74"/>
      <c r="V966" s="74"/>
      <c r="W966" s="74"/>
      <c r="X966" s="74"/>
      <c r="Y966" s="74"/>
      <c r="Z966" s="74"/>
    </row>
    <row r="967" spans="1:26" x14ac:dyDescent="0.3">
      <c r="A967" s="66">
        <f t="shared" si="92"/>
        <v>2085.9999999999127</v>
      </c>
      <c r="B967" s="67">
        <f>LOOKUP(A967+0.01,AmountsB!$A$4:$A$103,AmountsB!$B$4:$B$103)*0.1*$A$2</f>
        <v>0</v>
      </c>
      <c r="C967" s="68">
        <f t="shared" si="91"/>
        <v>83655.233518999943</v>
      </c>
      <c r="D967" s="67">
        <f t="array" ref="D967">SUM($B$7:$B962*$F$1009*EXP(-$F$1009*($A967-$A$7:$A962)))*$F$1010</f>
        <v>2559166.3759495905</v>
      </c>
      <c r="E967" s="67">
        <f t="shared" ref="E967:E1007" si="95">D967/(365*24*60)*1.00201</f>
        <v>4.8788247723844167</v>
      </c>
      <c r="F967" s="70">
        <f t="shared" si="93"/>
        <v>0.29624224017918177</v>
      </c>
      <c r="G967" s="67">
        <f>E967/'Lookup Tables'!$C$48</f>
        <v>9.7576495447688334</v>
      </c>
      <c r="H967" s="70">
        <f t="shared" ref="H967:H1007" si="96">G967*60*24*365/(C967*2000)</f>
        <v>3.0653315907400315E-2</v>
      </c>
      <c r="I967" s="71">
        <f t="shared" si="94"/>
        <v>1.405101534446712E-2</v>
      </c>
      <c r="L967" s="74"/>
      <c r="M967" s="74"/>
      <c r="N967" s="74"/>
      <c r="O967" s="74"/>
      <c r="P967" s="74"/>
      <c r="Q967" s="74"/>
      <c r="R967" s="74"/>
      <c r="S967" s="74"/>
      <c r="T967" s="74"/>
      <c r="U967" s="74"/>
      <c r="V967" s="74"/>
      <c r="W967" s="74"/>
      <c r="X967" s="74"/>
      <c r="Y967" s="74"/>
      <c r="Z967" s="74"/>
    </row>
    <row r="968" spans="1:26" x14ac:dyDescent="0.3">
      <c r="A968" s="66">
        <f t="shared" si="92"/>
        <v>2086.0999999999126</v>
      </c>
      <c r="B968" s="67">
        <f>LOOKUP(A968+0.01,AmountsB!$A$4:$A$103,AmountsB!$B$4:$B$103)*0.1*$A$2</f>
        <v>0</v>
      </c>
      <c r="C968" s="68">
        <f t="shared" si="91"/>
        <v>83655.233518999943</v>
      </c>
      <c r="D968" s="67">
        <f t="array" ref="D968">SUM($B$7:$B963*$F$1009*EXP(-$F$1009*($A968-$A$7:$A963)))*$F$1010</f>
        <v>2555586.0498363301</v>
      </c>
      <c r="E968" s="67">
        <f t="shared" si="95"/>
        <v>4.8719991967208935</v>
      </c>
      <c r="F968" s="70">
        <f t="shared" si="93"/>
        <v>0.29582779122489267</v>
      </c>
      <c r="G968" s="67">
        <f>E968/'Lookup Tables'!$C$48</f>
        <v>9.7439983934417871</v>
      </c>
      <c r="H968" s="70">
        <f t="shared" si="96"/>
        <v>3.061043129136571E-2</v>
      </c>
      <c r="I968" s="71">
        <f t="shared" si="94"/>
        <v>1.4031357686556174E-2</v>
      </c>
      <c r="L968" s="74"/>
      <c r="M968" s="74"/>
      <c r="N968" s="74"/>
      <c r="O968" s="74"/>
      <c r="P968" s="74"/>
      <c r="Q968" s="74"/>
      <c r="R968" s="74"/>
      <c r="S968" s="74"/>
      <c r="T968" s="74"/>
      <c r="U968" s="74"/>
      <c r="V968" s="74"/>
      <c r="W968" s="74"/>
      <c r="X968" s="74"/>
      <c r="Y968" s="74"/>
      <c r="Z968" s="74"/>
    </row>
    <row r="969" spans="1:26" x14ac:dyDescent="0.3">
      <c r="A969" s="66">
        <f t="shared" si="92"/>
        <v>2086.1999999999125</v>
      </c>
      <c r="B969" s="67">
        <f>LOOKUP(A969+0.01,AmountsB!$A$4:$A$103,AmountsB!$B$4:$B$103)*0.1*$A$2</f>
        <v>0</v>
      </c>
      <c r="C969" s="68">
        <f t="shared" ref="C969:C1006" si="97">C968+B969</f>
        <v>83655.233518999943</v>
      </c>
      <c r="D969" s="67">
        <f t="array" ref="D969">SUM($B$7:$B964*$F$1009*EXP(-$F$1009*($A969-$A$7:$A964)))*$F$1010</f>
        <v>2552010.7326725451</v>
      </c>
      <c r="E969" s="67">
        <f t="shared" si="95"/>
        <v>4.865183170177354</v>
      </c>
      <c r="F969" s="70">
        <f t="shared" si="93"/>
        <v>0.29541392209316891</v>
      </c>
      <c r="G969" s="67">
        <f>E969/'Lookup Tables'!$C$48</f>
        <v>9.730366340354708</v>
      </c>
      <c r="H969" s="70">
        <f t="shared" si="96"/>
        <v>3.0567606671786218E-2</v>
      </c>
      <c r="I969" s="71">
        <f t="shared" si="94"/>
        <v>1.4011727530110778E-2</v>
      </c>
      <c r="L969" s="74"/>
      <c r="M969" s="74"/>
      <c r="N969" s="74"/>
      <c r="O969" s="74"/>
      <c r="P969" s="74"/>
      <c r="Q969" s="74"/>
      <c r="R969" s="74"/>
      <c r="S969" s="74"/>
      <c r="T969" s="74"/>
      <c r="U969" s="74"/>
      <c r="V969" s="74"/>
      <c r="W969" s="74"/>
      <c r="X969" s="74"/>
      <c r="Y969" s="74"/>
      <c r="Z969" s="74"/>
    </row>
    <row r="970" spans="1:26" x14ac:dyDescent="0.3">
      <c r="A970" s="66">
        <f t="shared" si="92"/>
        <v>2086.2999999999124</v>
      </c>
      <c r="B970" s="67">
        <f>LOOKUP(A970+0.01,AmountsB!$A$4:$A$103,AmountsB!$B$4:$B$103)*0.1*$A$2</f>
        <v>0</v>
      </c>
      <c r="C970" s="68">
        <f t="shared" si="97"/>
        <v>83655.233518999943</v>
      </c>
      <c r="D970" s="67">
        <f t="array" ref="D970">SUM($B$7:$B965*$F$1009*EXP(-$F$1009*($A970-$A$7:$A965)))*$F$1010</f>
        <v>2548440.4174506133</v>
      </c>
      <c r="E970" s="67">
        <f t="shared" si="95"/>
        <v>4.8583766793943859</v>
      </c>
      <c r="F970" s="70">
        <f t="shared" si="93"/>
        <v>0.29500063197282711</v>
      </c>
      <c r="G970" s="67">
        <f>E970/'Lookup Tables'!$C$48</f>
        <v>9.7167533587887718</v>
      </c>
      <c r="H970" s="70">
        <f t="shared" si="96"/>
        <v>3.0524841964725598E-2</v>
      </c>
      <c r="I970" s="71">
        <f t="shared" si="94"/>
        <v>1.3992124836655831E-2</v>
      </c>
      <c r="L970" s="74"/>
      <c r="M970" s="74"/>
      <c r="N970" s="74"/>
      <c r="O970" s="74"/>
      <c r="P970" s="74"/>
      <c r="Q970" s="74"/>
      <c r="R970" s="74"/>
      <c r="S970" s="74"/>
      <c r="T970" s="74"/>
      <c r="U970" s="74"/>
      <c r="V970" s="74"/>
      <c r="W970" s="74"/>
      <c r="X970" s="74"/>
      <c r="Y970" s="74"/>
      <c r="Z970" s="74"/>
    </row>
    <row r="971" spans="1:26" x14ac:dyDescent="0.3">
      <c r="A971" s="66">
        <f t="shared" si="92"/>
        <v>2086.3999999999123</v>
      </c>
      <c r="B971" s="67">
        <f>LOOKUP(A971+0.01,AmountsB!$A$4:$A$103,AmountsB!$B$4:$B$103)*0.1*$A$2</f>
        <v>0</v>
      </c>
      <c r="C971" s="68">
        <f t="shared" si="97"/>
        <v>83655.233518999943</v>
      </c>
      <c r="D971" s="67">
        <f t="array" ref="D971">SUM($B$7:$B966*$F$1009*EXP(-$F$1009*($A971-$A$7:$A966)))*$F$1010</f>
        <v>2544875.0971727162</v>
      </c>
      <c r="E971" s="67">
        <f t="shared" si="95"/>
        <v>4.851579711031266</v>
      </c>
      <c r="F971" s="70">
        <f t="shared" si="93"/>
        <v>0.29458792005381851</v>
      </c>
      <c r="G971" s="67">
        <f>E971/'Lookup Tables'!$C$48</f>
        <v>9.7031594220625319</v>
      </c>
      <c r="H971" s="70">
        <f t="shared" si="96"/>
        <v>3.0482137086365005E-2</v>
      </c>
      <c r="I971" s="71">
        <f t="shared" si="94"/>
        <v>1.3972549567770045E-2</v>
      </c>
      <c r="L971" s="74"/>
      <c r="M971" s="74"/>
      <c r="N971" s="74"/>
      <c r="O971" s="74"/>
      <c r="P971" s="74"/>
      <c r="Q971" s="74"/>
      <c r="R971" s="74"/>
      <c r="S971" s="74"/>
      <c r="T971" s="74"/>
      <c r="U971" s="74"/>
      <c r="V971" s="74"/>
      <c r="W971" s="74"/>
      <c r="X971" s="74"/>
      <c r="Y971" s="74"/>
      <c r="Z971" s="74"/>
    </row>
    <row r="972" spans="1:26" x14ac:dyDescent="0.3">
      <c r="A972" s="66">
        <f t="shared" si="92"/>
        <v>2086.4999999999122</v>
      </c>
      <c r="B972" s="67">
        <f>LOOKUP(A972+0.01,AmountsB!$A$4:$A$103,AmountsB!$B$4:$B$103)*0.1*$A$2</f>
        <v>0</v>
      </c>
      <c r="C972" s="68">
        <f t="shared" si="97"/>
        <v>83655.233518999943</v>
      </c>
      <c r="D972" s="67">
        <f t="array" ref="D972">SUM($B$7:$B967*$F$1009*EXP(-$F$1009*($A972-$A$7:$A967)))*$F$1010</f>
        <v>2541314.7648508241</v>
      </c>
      <c r="E972" s="67">
        <f t="shared" si="95"/>
        <v>4.8447922517659334</v>
      </c>
      <c r="F972" s="70">
        <f t="shared" si="93"/>
        <v>0.29417578552722745</v>
      </c>
      <c r="G972" s="67">
        <f>E972/'Lookup Tables'!$C$48</f>
        <v>9.6895845035318668</v>
      </c>
      <c r="H972" s="70">
        <f t="shared" si="96"/>
        <v>3.0439491953002863E-2</v>
      </c>
      <c r="I972" s="71">
        <f t="shared" si="94"/>
        <v>1.3953001685085889E-2</v>
      </c>
      <c r="L972" s="74"/>
      <c r="M972" s="74"/>
      <c r="N972" s="74"/>
      <c r="O972" s="74"/>
      <c r="P972" s="74"/>
      <c r="Q972" s="74"/>
      <c r="R972" s="74"/>
      <c r="S972" s="74"/>
      <c r="T972" s="74"/>
      <c r="U972" s="74"/>
      <c r="V972" s="74"/>
      <c r="W972" s="74"/>
      <c r="X972" s="74"/>
      <c r="Y972" s="74"/>
      <c r="Z972" s="74"/>
    </row>
    <row r="973" spans="1:26" x14ac:dyDescent="0.3">
      <c r="A973" s="66">
        <f t="shared" si="92"/>
        <v>2086.5999999999121</v>
      </c>
      <c r="B973" s="67">
        <f>LOOKUP(A973+0.01,AmountsB!$A$4:$A$103,AmountsB!$B$4:$B$103)*0.1*$A$2</f>
        <v>0</v>
      </c>
      <c r="C973" s="68">
        <f t="shared" si="97"/>
        <v>83655.233518999943</v>
      </c>
      <c r="D973" s="67">
        <f t="array" ref="D973">SUM($B$7:$B968*$F$1009*EXP(-$F$1009*($A973-$A$7:$A968)))*$F$1010</f>
        <v>2537759.4135066844</v>
      </c>
      <c r="E973" s="67">
        <f t="shared" si="95"/>
        <v>4.8380142882949633</v>
      </c>
      <c r="F973" s="70">
        <f t="shared" si="93"/>
        <v>0.29376422758527021</v>
      </c>
      <c r="G973" s="67">
        <f>E973/'Lookup Tables'!$C$48</f>
        <v>9.6760285765899265</v>
      </c>
      <c r="H973" s="70">
        <f t="shared" si="96"/>
        <v>3.0396906481054687E-2</v>
      </c>
      <c r="I973" s="71">
        <f t="shared" si="94"/>
        <v>1.3933481150289495E-2</v>
      </c>
      <c r="L973" s="74"/>
      <c r="M973" s="74"/>
      <c r="N973" s="74"/>
      <c r="O973" s="74"/>
      <c r="P973" s="74"/>
      <c r="Q973" s="74"/>
      <c r="R973" s="74"/>
      <c r="S973" s="74"/>
      <c r="T973" s="74"/>
      <c r="U973" s="74"/>
      <c r="V973" s="74"/>
      <c r="W973" s="74"/>
      <c r="X973" s="74"/>
      <c r="Y973" s="74"/>
      <c r="Z973" s="74"/>
    </row>
    <row r="974" spans="1:26" x14ac:dyDescent="0.3">
      <c r="A974" s="66">
        <f t="shared" si="92"/>
        <v>2086.6999999999121</v>
      </c>
      <c r="B974" s="67">
        <f>LOOKUP(A974+0.01,AmountsB!$A$4:$A$103,AmountsB!$B$4:$B$103)*0.1*$A$2</f>
        <v>0</v>
      </c>
      <c r="C974" s="68">
        <f t="shared" si="97"/>
        <v>83655.233518999943</v>
      </c>
      <c r="D974" s="67">
        <f t="array" ref="D974">SUM($B$7:$B969*$F$1009*EXP(-$F$1009*($A974-$A$7:$A969)))*$F$1010</f>
        <v>2534209.0361718074</v>
      </c>
      <c r="E974" s="67">
        <f t="shared" si="95"/>
        <v>4.8312458073335485</v>
      </c>
      <c r="F974" s="70">
        <f t="shared" si="93"/>
        <v>0.2933532454212931</v>
      </c>
      <c r="G974" s="67">
        <f>E974/'Lookup Tables'!$C$48</f>
        <v>9.6624916146670969</v>
      </c>
      <c r="H974" s="70">
        <f t="shared" si="96"/>
        <v>3.0354380587052948E-2</v>
      </c>
      <c r="I974" s="71">
        <f t="shared" si="94"/>
        <v>1.391398792512062E-2</v>
      </c>
      <c r="L974" s="74"/>
      <c r="M974" s="74"/>
      <c r="N974" s="74"/>
      <c r="O974" s="74"/>
      <c r="P974" s="74"/>
      <c r="Q974" s="74"/>
      <c r="R974" s="74"/>
      <c r="S974" s="74"/>
      <c r="T974" s="74"/>
      <c r="U974" s="74"/>
      <c r="V974" s="74"/>
      <c r="W974" s="74"/>
      <c r="X974" s="74"/>
      <c r="Y974" s="74"/>
      <c r="Z974" s="74"/>
    </row>
    <row r="975" spans="1:26" x14ac:dyDescent="0.3">
      <c r="A975" s="66">
        <f t="shared" si="92"/>
        <v>2086.799999999912</v>
      </c>
      <c r="B975" s="67">
        <f>LOOKUP(A975+0.01,AmountsB!$A$4:$A$103,AmountsB!$B$4:$B$103)*0.1*$A$2</f>
        <v>0</v>
      </c>
      <c r="C975" s="68">
        <f t="shared" si="97"/>
        <v>83655.233518999943</v>
      </c>
      <c r="D975" s="67">
        <f t="array" ref="D975">SUM($B$7:$B970*$F$1009*EXP(-$F$1009*($A975-$A$7:$A970)))*$F$1010</f>
        <v>2530663.6258874536</v>
      </c>
      <c r="E975" s="67">
        <f t="shared" si="95"/>
        <v>4.8244867956154636</v>
      </c>
      <c r="F975" s="70">
        <f t="shared" si="93"/>
        <v>0.29294283822977102</v>
      </c>
      <c r="G975" s="67">
        <f>E975/'Lookup Tables'!$C$48</f>
        <v>9.6489735912309271</v>
      </c>
      <c r="H975" s="70">
        <f t="shared" si="96"/>
        <v>3.0311914187646883E-2</v>
      </c>
      <c r="I975" s="71">
        <f t="shared" si="94"/>
        <v>1.3894521971372536E-2</v>
      </c>
      <c r="L975" s="74"/>
      <c r="M975" s="74"/>
      <c r="N975" s="74"/>
      <c r="O975" s="74"/>
      <c r="P975" s="74"/>
      <c r="Q975" s="74"/>
      <c r="R975" s="74"/>
      <c r="S975" s="74"/>
      <c r="T975" s="74"/>
      <c r="U975" s="74"/>
      <c r="V975" s="74"/>
      <c r="W975" s="74"/>
      <c r="X975" s="74"/>
      <c r="Y975" s="74"/>
      <c r="Z975" s="74"/>
    </row>
    <row r="976" spans="1:26" x14ac:dyDescent="0.3">
      <c r="A976" s="66">
        <f t="shared" si="92"/>
        <v>2086.8999999999119</v>
      </c>
      <c r="B976" s="67">
        <f>LOOKUP(A976+0.01,AmountsB!$A$4:$A$103,AmountsB!$B$4:$B$103)*0.1*$A$2</f>
        <v>0</v>
      </c>
      <c r="C976" s="68">
        <f t="shared" si="97"/>
        <v>83655.233518999943</v>
      </c>
      <c r="D976" s="67">
        <f t="array" ref="D976">SUM($B$7:$B971*$F$1009*EXP(-$F$1009*($A976-$A$7:$A971)))*$F$1010</f>
        <v>2527123.1757046157</v>
      </c>
      <c r="E976" s="67">
        <f t="shared" si="95"/>
        <v>4.8177372398930398</v>
      </c>
      <c r="F976" s="70">
        <f t="shared" si="93"/>
        <v>0.29253300520630543</v>
      </c>
      <c r="G976" s="67">
        <f>E976/'Lookup Tables'!$C$48</f>
        <v>9.6354744797860796</v>
      </c>
      <c r="H976" s="70">
        <f t="shared" si="96"/>
        <v>3.0269507199602315E-2</v>
      </c>
      <c r="I976" s="71">
        <f t="shared" si="94"/>
        <v>1.3875083250891956E-2</v>
      </c>
      <c r="L976" s="74"/>
      <c r="M976" s="74"/>
      <c r="N976" s="74"/>
      <c r="O976" s="74"/>
      <c r="P976" s="74"/>
      <c r="Q976" s="74"/>
      <c r="R976" s="74"/>
      <c r="S976" s="74"/>
      <c r="T976" s="74"/>
      <c r="U976" s="74"/>
      <c r="V976" s="74"/>
      <c r="W976" s="74"/>
      <c r="X976" s="74"/>
      <c r="Y976" s="74"/>
      <c r="Z976" s="74"/>
    </row>
    <row r="977" spans="1:26" x14ac:dyDescent="0.3">
      <c r="A977" s="66">
        <f t="shared" si="92"/>
        <v>2086.9999999999118</v>
      </c>
      <c r="B977" s="67">
        <f>LOOKUP(A977+0.01,AmountsB!$A$4:$A$103,AmountsB!$B$4:$B$103)*0.1*$A$2</f>
        <v>0</v>
      </c>
      <c r="C977" s="68">
        <f t="shared" si="97"/>
        <v>83655.233518999943</v>
      </c>
      <c r="D977" s="67">
        <f t="array" ref="D977">SUM($B$7:$B972*$F$1009*EXP(-$F$1009*($A977-$A$7:$A972)))*$F$1010</f>
        <v>2523587.6786840125</v>
      </c>
      <c r="E977" s="67">
        <f t="shared" si="95"/>
        <v>4.8109971269371528</v>
      </c>
      <c r="F977" s="70">
        <f t="shared" si="93"/>
        <v>0.29212374554762388</v>
      </c>
      <c r="G977" s="67">
        <f>E977/'Lookup Tables'!$C$48</f>
        <v>9.6219942538743055</v>
      </c>
      <c r="H977" s="70">
        <f t="shared" si="96"/>
        <v>3.0227159539801568E-2</v>
      </c>
      <c r="I977" s="71">
        <f t="shared" si="94"/>
        <v>1.3855671725579E-2</v>
      </c>
      <c r="L977" s="74"/>
      <c r="M977" s="74"/>
      <c r="N977" s="74"/>
      <c r="O977" s="74"/>
      <c r="P977" s="74"/>
      <c r="Q977" s="74"/>
      <c r="R977" s="74"/>
      <c r="S977" s="74"/>
      <c r="T977" s="74"/>
      <c r="U977" s="74"/>
      <c r="V977" s="74"/>
      <c r="W977" s="74"/>
      <c r="X977" s="74"/>
      <c r="Y977" s="74"/>
      <c r="Z977" s="74"/>
    </row>
    <row r="978" spans="1:26" x14ac:dyDescent="0.3">
      <c r="A978" s="66">
        <f t="shared" si="92"/>
        <v>2087.0999999999117</v>
      </c>
      <c r="B978" s="67">
        <f>LOOKUP(A978+0.01,AmountsB!$A$4:$A$103,AmountsB!$B$4:$B$103)*0.1*$A$2</f>
        <v>0</v>
      </c>
      <c r="C978" s="68">
        <f t="shared" si="97"/>
        <v>83655.233518999943</v>
      </c>
      <c r="D978" s="67">
        <f t="array" ref="D978">SUM($B$7:$B973*$F$1009*EXP(-$F$1009*($A978-$A$7:$A973)))*$F$1010</f>
        <v>2520057.1278960663</v>
      </c>
      <c r="E978" s="67">
        <f t="shared" si="95"/>
        <v>4.8042664435371716</v>
      </c>
      <c r="F978" s="70">
        <f t="shared" si="93"/>
        <v>0.29171505845157703</v>
      </c>
      <c r="G978" s="67">
        <f>E978/'Lookup Tables'!$C$48</f>
        <v>9.6085328870743432</v>
      </c>
      <c r="H978" s="70">
        <f t="shared" si="96"/>
        <v>3.0184871125243182E-2</v>
      </c>
      <c r="I978" s="71">
        <f t="shared" si="94"/>
        <v>1.3836287357387053E-2</v>
      </c>
      <c r="L978" s="74"/>
      <c r="M978" s="74"/>
      <c r="N978" s="74"/>
      <c r="O978" s="74"/>
      <c r="P978" s="74"/>
      <c r="Q978" s="74"/>
      <c r="R978" s="74"/>
      <c r="S978" s="74"/>
      <c r="T978" s="74"/>
      <c r="U978" s="74"/>
      <c r="V978" s="74"/>
      <c r="W978" s="74"/>
      <c r="X978" s="74"/>
      <c r="Y978" s="74"/>
      <c r="Z978" s="74"/>
    </row>
    <row r="979" spans="1:26" x14ac:dyDescent="0.3">
      <c r="A979" s="66">
        <f t="shared" ref="A979:A1006" si="98">A978+0.1</f>
        <v>2087.1999999999116</v>
      </c>
      <c r="B979" s="67">
        <f>LOOKUP(A979+0.01,AmountsB!$A$4:$A$103,AmountsB!$B$4:$B$103)*0.1*$A$2</f>
        <v>0</v>
      </c>
      <c r="C979" s="68">
        <f t="shared" si="97"/>
        <v>83655.233518999943</v>
      </c>
      <c r="D979" s="67">
        <f t="array" ref="D979">SUM($B$7:$B974*$F$1009*EXP(-$F$1009*($A979-$A$7:$A974)))*$F$1010</f>
        <v>2516531.5164208976</v>
      </c>
      <c r="E979" s="67">
        <f t="shared" si="95"/>
        <v>4.7975451765009582</v>
      </c>
      <c r="F979" s="70">
        <f t="shared" ref="F979:F1007" si="99">E979*60*1012/1000000</f>
        <v>0.29130694311713817</v>
      </c>
      <c r="G979" s="67">
        <f>E979/'Lookup Tables'!$C$48</f>
        <v>9.5950903530019165</v>
      </c>
      <c r="H979" s="70">
        <f t="shared" si="96"/>
        <v>3.0142641873041869E-2</v>
      </c>
      <c r="I979" s="71">
        <f t="shared" ref="I979:I1006" si="100">G979*60*24/1000000</f>
        <v>1.3816930108322759E-2</v>
      </c>
      <c r="L979" s="74"/>
      <c r="M979" s="74"/>
      <c r="N979" s="74"/>
      <c r="O979" s="74"/>
      <c r="P979" s="74"/>
      <c r="Q979" s="74"/>
      <c r="R979" s="74"/>
      <c r="S979" s="74"/>
      <c r="T979" s="74"/>
      <c r="U979" s="74"/>
      <c r="V979" s="74"/>
      <c r="W979" s="74"/>
      <c r="X979" s="74"/>
      <c r="Y979" s="74"/>
      <c r="Z979" s="74"/>
    </row>
    <row r="980" spans="1:26" x14ac:dyDescent="0.3">
      <c r="A980" s="66">
        <f t="shared" si="98"/>
        <v>2087.2999999999115</v>
      </c>
      <c r="B980" s="67">
        <f>LOOKUP(A980+0.01,AmountsB!$A$4:$A$103,AmountsB!$B$4:$B$103)*0.1*$A$2</f>
        <v>0</v>
      </c>
      <c r="C980" s="68">
        <f t="shared" si="97"/>
        <v>83655.233518999943</v>
      </c>
      <c r="D980" s="67">
        <f t="array" ref="D980">SUM($B$7:$B975*$F$1009*EXP(-$F$1009*($A980-$A$7:$A975)))*$F$1010</f>
        <v>2513010.8373483066</v>
      </c>
      <c r="E980" s="67">
        <f t="shared" si="95"/>
        <v>4.7908333126548257</v>
      </c>
      <c r="F980" s="70">
        <f t="shared" si="99"/>
        <v>0.29089939874440102</v>
      </c>
      <c r="G980" s="67">
        <f>E980/'Lookup Tables'!$C$48</f>
        <v>9.5816666253096514</v>
      </c>
      <c r="H980" s="70">
        <f t="shared" si="96"/>
        <v>3.0100471700428271E-2</v>
      </c>
      <c r="I980" s="71">
        <f t="shared" si="100"/>
        <v>1.3797599940445897E-2</v>
      </c>
      <c r="L980" s="74"/>
      <c r="M980" s="74"/>
      <c r="N980" s="74"/>
      <c r="O980" s="74"/>
      <c r="P980" s="74"/>
      <c r="Q980" s="74"/>
      <c r="R980" s="74"/>
      <c r="S980" s="74"/>
      <c r="T980" s="74"/>
      <c r="U980" s="74"/>
      <c r="V980" s="74"/>
      <c r="W980" s="74"/>
      <c r="X980" s="74"/>
      <c r="Y980" s="74"/>
      <c r="Z980" s="74"/>
    </row>
    <row r="981" spans="1:26" x14ac:dyDescent="0.3">
      <c r="A981" s="66">
        <f t="shared" si="98"/>
        <v>2087.3999999999114</v>
      </c>
      <c r="B981" s="67">
        <f>LOOKUP(A981+0.01,AmountsB!$A$4:$A$103,AmountsB!$B$4:$B$103)*0.1*$A$2</f>
        <v>0</v>
      </c>
      <c r="C981" s="68">
        <f t="shared" si="97"/>
        <v>83655.233518999943</v>
      </c>
      <c r="D981" s="67">
        <f t="array" ref="D981">SUM($B$7:$B976*$F$1009*EXP(-$F$1009*($A981-$A$7:$A976)))*$F$1010</f>
        <v>2509495.0837777606</v>
      </c>
      <c r="E981" s="67">
        <f t="shared" si="95"/>
        <v>4.7841308388435202</v>
      </c>
      <c r="F981" s="70">
        <f t="shared" si="99"/>
        <v>0.29049242453457852</v>
      </c>
      <c r="G981" s="67">
        <f>E981/'Lookup Tables'!$C$48</f>
        <v>9.5682616776870404</v>
      </c>
      <c r="H981" s="70">
        <f t="shared" si="96"/>
        <v>3.0058360524748841E-2</v>
      </c>
      <c r="I981" s="71">
        <f t="shared" si="100"/>
        <v>1.3778296815869336E-2</v>
      </c>
      <c r="L981" s="74"/>
      <c r="M981" s="74"/>
      <c r="N981" s="74"/>
      <c r="O981" s="74"/>
      <c r="P981" s="74"/>
      <c r="Q981" s="74"/>
      <c r="R981" s="74"/>
      <c r="S981" s="74"/>
      <c r="T981" s="74"/>
      <c r="U981" s="74"/>
      <c r="V981" s="74"/>
      <c r="W981" s="74"/>
      <c r="X981" s="74"/>
      <c r="Y981" s="74"/>
      <c r="Z981" s="74"/>
    </row>
    <row r="982" spans="1:26" x14ac:dyDescent="0.3">
      <c r="A982" s="66">
        <f t="shared" si="98"/>
        <v>2087.4999999999113</v>
      </c>
      <c r="B982" s="67">
        <f>LOOKUP(A982+0.01,AmountsB!$A$4:$A$103,AmountsB!$B$4:$B$103)*0.1*$A$2</f>
        <v>0</v>
      </c>
      <c r="C982" s="68">
        <f t="shared" si="97"/>
        <v>83655.233518999943</v>
      </c>
      <c r="D982" s="67">
        <f t="array" ref="D982">SUM($B$7:$B977*$F$1009*EXP(-$F$1009*($A982-$A$7:$A977)))*$F$1010</f>
        <v>2505984.2488183826</v>
      </c>
      <c r="E982" s="67">
        <f t="shared" si="95"/>
        <v>4.7774377419301901</v>
      </c>
      <c r="F982" s="70">
        <f t="shared" si="99"/>
        <v>0.29008601969000114</v>
      </c>
      <c r="G982" s="67">
        <f>E982/'Lookup Tables'!$C$48</f>
        <v>9.5548754838603802</v>
      </c>
      <c r="H982" s="70">
        <f t="shared" si="96"/>
        <v>3.0016308263465664E-2</v>
      </c>
      <c r="I982" s="71">
        <f t="shared" si="100"/>
        <v>1.3759020696758948E-2</v>
      </c>
      <c r="L982" s="74"/>
      <c r="M982" s="74"/>
      <c r="N982" s="74"/>
      <c r="O982" s="74"/>
      <c r="P982" s="74"/>
      <c r="Q982" s="74"/>
      <c r="R982" s="74"/>
      <c r="S982" s="74"/>
      <c r="T982" s="74"/>
      <c r="U982" s="74"/>
      <c r="V982" s="74"/>
      <c r="W982" s="74"/>
      <c r="X982" s="74"/>
      <c r="Y982" s="74"/>
      <c r="Z982" s="74"/>
    </row>
    <row r="983" spans="1:26" x14ac:dyDescent="0.3">
      <c r="A983" s="66">
        <f t="shared" si="98"/>
        <v>2087.5999999999112</v>
      </c>
      <c r="B983" s="67">
        <f>LOOKUP(A983+0.01,AmountsB!$A$4:$A$103,AmountsB!$B$4:$B$103)*0.1*$A$2</f>
        <v>0</v>
      </c>
      <c r="C983" s="68">
        <f t="shared" si="97"/>
        <v>83655.233518999943</v>
      </c>
      <c r="D983" s="67">
        <f t="array" ref="D983">SUM($B$7:$B978*$F$1009*EXP(-$F$1009*($A983-$A$7:$A978)))*$F$1010</f>
        <v>2502478.3255889355</v>
      </c>
      <c r="E983" s="67">
        <f t="shared" si="95"/>
        <v>4.7707540087963656</v>
      </c>
      <c r="F983" s="70">
        <f t="shared" si="99"/>
        <v>0.28968018341411533</v>
      </c>
      <c r="G983" s="67">
        <f>E983/'Lookup Tables'!$C$48</f>
        <v>9.5415080175927312</v>
      </c>
      <c r="H983" s="70">
        <f t="shared" si="96"/>
        <v>2.9974314834156301E-2</v>
      </c>
      <c r="I983" s="71">
        <f t="shared" si="100"/>
        <v>1.3739771545333533E-2</v>
      </c>
      <c r="L983" s="74"/>
      <c r="M983" s="74"/>
      <c r="N983" s="74"/>
      <c r="O983" s="74"/>
      <c r="P983" s="74"/>
      <c r="Q983" s="74"/>
      <c r="R983" s="74"/>
      <c r="S983" s="74"/>
      <c r="T983" s="74"/>
      <c r="U983" s="74"/>
      <c r="V983" s="74"/>
      <c r="W983" s="74"/>
      <c r="X983" s="74"/>
      <c r="Y983" s="74"/>
      <c r="Z983" s="74"/>
    </row>
    <row r="984" spans="1:26" x14ac:dyDescent="0.3">
      <c r="A984" s="66">
        <f t="shared" si="98"/>
        <v>2087.6999999999111</v>
      </c>
      <c r="B984" s="67">
        <f>LOOKUP(A984+0.01,AmountsB!$A$4:$A$103,AmountsB!$B$4:$B$103)*0.1*$A$2</f>
        <v>0</v>
      </c>
      <c r="C984" s="68">
        <f t="shared" si="97"/>
        <v>83655.233518999943</v>
      </c>
      <c r="D984" s="67">
        <f t="array" ref="D984">SUM($B$7:$B979*$F$1009*EXP(-$F$1009*($A984-$A$7:$A979)))*$F$1010</f>
        <v>2498977.3072178066</v>
      </c>
      <c r="E984" s="67">
        <f t="shared" si="95"/>
        <v>4.7640796263419221</v>
      </c>
      <c r="F984" s="70">
        <f t="shared" si="99"/>
        <v>0.2892749149114815</v>
      </c>
      <c r="G984" s="67">
        <f>E984/'Lookup Tables'!$C$48</f>
        <v>9.5281592526838441</v>
      </c>
      <c r="H984" s="70">
        <f t="shared" si="96"/>
        <v>2.9932380154513591E-2</v>
      </c>
      <c r="I984" s="71">
        <f t="shared" si="100"/>
        <v>1.3720549323864736E-2</v>
      </c>
      <c r="L984" s="74"/>
      <c r="M984" s="74"/>
      <c r="N984" s="74"/>
      <c r="O984" s="74"/>
      <c r="P984" s="74"/>
      <c r="Q984" s="74"/>
      <c r="R984" s="74"/>
      <c r="S984" s="74"/>
      <c r="T984" s="74"/>
      <c r="U984" s="74"/>
      <c r="V984" s="74"/>
      <c r="W984" s="74"/>
      <c r="X984" s="74"/>
      <c r="Y984" s="74"/>
      <c r="Z984" s="74"/>
    </row>
    <row r="985" spans="1:26" x14ac:dyDescent="0.3">
      <c r="A985" s="66">
        <f t="shared" si="98"/>
        <v>2087.7999999999111</v>
      </c>
      <c r="B985" s="67">
        <f>LOOKUP(A985+0.01,AmountsB!$A$4:$A$103,AmountsB!$B$4:$B$103)*0.1*$A$2</f>
        <v>0</v>
      </c>
      <c r="C985" s="68">
        <f t="shared" si="97"/>
        <v>83655.233518999943</v>
      </c>
      <c r="D985" s="67">
        <f t="array" ref="D985">SUM($B$7:$B980*$F$1009*EXP(-$F$1009*($A985-$A$7:$A980)))*$F$1010</f>
        <v>2495481.1868429999</v>
      </c>
      <c r="E985" s="67">
        <f t="shared" si="95"/>
        <v>4.7574145814850732</v>
      </c>
      <c r="F985" s="70">
        <f t="shared" si="99"/>
        <v>0.28887021338777358</v>
      </c>
      <c r="G985" s="67">
        <f>E985/'Lookup Tables'!$C$48</f>
        <v>9.5148291629701465</v>
      </c>
      <c r="H985" s="70">
        <f t="shared" si="96"/>
        <v>2.9890504142345578E-2</v>
      </c>
      <c r="I985" s="71">
        <f t="shared" si="100"/>
        <v>1.370135399467701E-2</v>
      </c>
      <c r="L985" s="74"/>
      <c r="M985" s="74"/>
      <c r="N985" s="74"/>
      <c r="O985" s="74"/>
      <c r="P985" s="74"/>
      <c r="Q985" s="74"/>
      <c r="R985" s="74"/>
      <c r="S985" s="74"/>
      <c r="T985" s="74"/>
      <c r="U985" s="74"/>
      <c r="V985" s="74"/>
      <c r="W985" s="74"/>
      <c r="X985" s="74"/>
      <c r="Y985" s="74"/>
      <c r="Z985" s="74"/>
    </row>
    <row r="986" spans="1:26" x14ac:dyDescent="0.3">
      <c r="A986" s="66">
        <f t="shared" si="98"/>
        <v>2087.899999999911</v>
      </c>
      <c r="B986" s="67">
        <f>LOOKUP(A986+0.01,AmountsB!$A$4:$A$103,AmountsB!$B$4:$B$103)*0.1*$A$2</f>
        <v>0</v>
      </c>
      <c r="C986" s="68">
        <f t="shared" si="97"/>
        <v>83655.233518999943</v>
      </c>
      <c r="D986" s="67">
        <f t="array" ref="D986">SUM($B$7:$B981*$F$1009*EXP(-$F$1009*($A986-$A$7:$A981)))*$F$1010</f>
        <v>2491989.9576121182</v>
      </c>
      <c r="E986" s="67">
        <f t="shared" si="95"/>
        <v>4.7507588611623266</v>
      </c>
      <c r="F986" s="70">
        <f t="shared" si="99"/>
        <v>0.28846607804977648</v>
      </c>
      <c r="G986" s="67">
        <f>E986/'Lookup Tables'!$C$48</f>
        <v>9.5015177223246532</v>
      </c>
      <c r="H986" s="70">
        <f t="shared" si="96"/>
        <v>2.9848686715575248E-2</v>
      </c>
      <c r="I986" s="71">
        <f t="shared" si="100"/>
        <v>1.3682185520147501E-2</v>
      </c>
      <c r="L986" s="74"/>
      <c r="M986" s="74"/>
      <c r="N986" s="74"/>
      <c r="O986" s="74"/>
      <c r="P986" s="74"/>
      <c r="Q986" s="74"/>
      <c r="R986" s="74"/>
      <c r="S986" s="74"/>
      <c r="T986" s="74"/>
      <c r="U986" s="74"/>
      <c r="V986" s="74"/>
      <c r="W986" s="74"/>
      <c r="X986" s="74"/>
      <c r="Y986" s="74"/>
      <c r="Z986" s="74"/>
    </row>
    <row r="987" spans="1:26" x14ac:dyDescent="0.3">
      <c r="A987" s="66">
        <f t="shared" si="98"/>
        <v>2087.9999999999109</v>
      </c>
      <c r="B987" s="67">
        <f>LOOKUP(A987+0.01,AmountsB!$A$4:$A$103,AmountsB!$B$4:$B$103)*0.1*$A$2</f>
        <v>0</v>
      </c>
      <c r="C987" s="68">
        <f t="shared" si="97"/>
        <v>83655.233518999943</v>
      </c>
      <c r="D987" s="67">
        <f t="array" ref="D987">SUM($B$7:$B982*$F$1009*EXP(-$F$1009*($A987-$A$7:$A982)))*$F$1010</f>
        <v>2488503.6126823514</v>
      </c>
      <c r="E987" s="67">
        <f t="shared" si="95"/>
        <v>4.7441124523284683</v>
      </c>
      <c r="F987" s="70">
        <f t="shared" si="99"/>
        <v>0.28806250810538458</v>
      </c>
      <c r="G987" s="67">
        <f>E987/'Lookup Tables'!$C$48</f>
        <v>9.4882249046569367</v>
      </c>
      <c r="H987" s="70">
        <f t="shared" si="96"/>
        <v>2.9806927792240433E-2</v>
      </c>
      <c r="I987" s="71">
        <f t="shared" si="100"/>
        <v>1.3663043862705988E-2</v>
      </c>
      <c r="L987" s="74"/>
      <c r="M987" s="74"/>
      <c r="N987" s="74"/>
      <c r="O987" s="74"/>
      <c r="P987" s="74"/>
      <c r="Q987" s="74"/>
      <c r="R987" s="74"/>
      <c r="S987" s="74"/>
      <c r="T987" s="74"/>
      <c r="U987" s="74"/>
      <c r="V987" s="74"/>
      <c r="W987" s="74"/>
      <c r="X987" s="74"/>
      <c r="Y987" s="74"/>
      <c r="Z987" s="74"/>
    </row>
    <row r="988" spans="1:26" x14ac:dyDescent="0.3">
      <c r="A988" s="66">
        <f t="shared" si="98"/>
        <v>2088.0999999999108</v>
      </c>
      <c r="B988" s="67">
        <f>LOOKUP(A988+0.01,AmountsB!$A$4:$A$103,AmountsB!$B$4:$B$103)*0.1*$A$2</f>
        <v>0</v>
      </c>
      <c r="C988" s="68">
        <f t="shared" si="97"/>
        <v>83655.233518999943</v>
      </c>
      <c r="D988" s="67">
        <f t="array" ref="D988">SUM($B$7:$B983*$F$1009*EXP(-$F$1009*($A988-$A$7:$A983)))*$F$1010</f>
        <v>2485022.1452204627</v>
      </c>
      <c r="E988" s="67">
        <f t="shared" si="95"/>
        <v>4.7374753419565367</v>
      </c>
      <c r="F988" s="70">
        <f t="shared" si="99"/>
        <v>0.28765950276360092</v>
      </c>
      <c r="G988" s="67">
        <f>E988/'Lookup Tables'!$C$48</f>
        <v>9.4749506839130735</v>
      </c>
      <c r="H988" s="70">
        <f t="shared" si="96"/>
        <v>2.9765227290493641E-2</v>
      </c>
      <c r="I988" s="71">
        <f t="shared" si="100"/>
        <v>1.3643928984834826E-2</v>
      </c>
      <c r="L988" s="74"/>
      <c r="M988" s="74"/>
      <c r="N988" s="74"/>
      <c r="O988" s="74"/>
      <c r="P988" s="74"/>
      <c r="Q988" s="74"/>
      <c r="R988" s="74"/>
      <c r="S988" s="74"/>
      <c r="T988" s="74"/>
      <c r="U988" s="74"/>
      <c r="V988" s="74"/>
      <c r="W988" s="74"/>
      <c r="X988" s="74"/>
      <c r="Y988" s="74"/>
      <c r="Z988" s="74"/>
    </row>
    <row r="989" spans="1:26" x14ac:dyDescent="0.3">
      <c r="A989" s="66">
        <f t="shared" si="98"/>
        <v>2088.1999999999107</v>
      </c>
      <c r="B989" s="67">
        <f>LOOKUP(A989+0.01,AmountsB!$A$4:$A$103,AmountsB!$B$4:$B$103)*0.1*$A$2</f>
        <v>0</v>
      </c>
      <c r="C989" s="68">
        <f t="shared" si="97"/>
        <v>83655.233518999943</v>
      </c>
      <c r="D989" s="67">
        <f t="array" ref="D989">SUM($B$7:$B984*$F$1009*EXP(-$F$1009*($A989-$A$7:$A984)))*$F$1010</f>
        <v>2481545.5484027732</v>
      </c>
      <c r="E989" s="67">
        <f t="shared" si="95"/>
        <v>4.7308475170377911</v>
      </c>
      <c r="F989" s="70">
        <f t="shared" si="99"/>
        <v>0.28725706123453465</v>
      </c>
      <c r="G989" s="67">
        <f>E989/'Lookup Tables'!$C$48</f>
        <v>9.4616950340755821</v>
      </c>
      <c r="H989" s="70">
        <f t="shared" si="96"/>
        <v>2.9723585128601862E-2</v>
      </c>
      <c r="I989" s="71">
        <f t="shared" si="100"/>
        <v>1.3624840849068839E-2</v>
      </c>
      <c r="L989" s="74"/>
      <c r="M989" s="74"/>
      <c r="N989" s="74"/>
      <c r="O989" s="74"/>
      <c r="P989" s="74"/>
      <c r="Q989" s="74"/>
      <c r="R989" s="74"/>
      <c r="S989" s="74"/>
      <c r="T989" s="74"/>
      <c r="U989" s="74"/>
      <c r="V989" s="74"/>
      <c r="W989" s="74"/>
      <c r="X989" s="74"/>
      <c r="Y989" s="74"/>
      <c r="Z989" s="74"/>
    </row>
    <row r="990" spans="1:26" x14ac:dyDescent="0.3">
      <c r="A990" s="66">
        <f t="shared" si="98"/>
        <v>2088.2999999999106</v>
      </c>
      <c r="B990" s="67">
        <f>LOOKUP(A990+0.01,AmountsB!$A$4:$A$103,AmountsB!$B$4:$B$103)*0.1*$A$2</f>
        <v>0</v>
      </c>
      <c r="C990" s="68">
        <f t="shared" si="97"/>
        <v>83655.233518999943</v>
      </c>
      <c r="D990" s="67">
        <f t="array" ref="D990">SUM($B$7:$B985*$F$1009*EXP(-$F$1009*($A990-$A$7:$A985)))*$F$1010</f>
        <v>2478073.8154151533</v>
      </c>
      <c r="E990" s="67">
        <f t="shared" si="95"/>
        <v>4.7242289645816928</v>
      </c>
      <c r="F990" s="70">
        <f t="shared" si="99"/>
        <v>0.28685518272940036</v>
      </c>
      <c r="G990" s="67">
        <f>E990/'Lookup Tables'!$C$48</f>
        <v>9.4484579291633857</v>
      </c>
      <c r="H990" s="70">
        <f t="shared" si="96"/>
        <v>2.9682001224946446E-2</v>
      </c>
      <c r="I990" s="71">
        <f t="shared" si="100"/>
        <v>1.3605779417995274E-2</v>
      </c>
      <c r="L990" s="74"/>
      <c r="M990" s="74"/>
      <c r="N990" s="74"/>
      <c r="O990" s="74"/>
      <c r="P990" s="74"/>
      <c r="Q990" s="74"/>
      <c r="R990" s="74"/>
      <c r="S990" s="74"/>
      <c r="T990" s="74"/>
      <c r="U990" s="74"/>
      <c r="V990" s="74"/>
      <c r="W990" s="74"/>
      <c r="X990" s="74"/>
      <c r="Y990" s="74"/>
      <c r="Z990" s="74"/>
    </row>
    <row r="991" spans="1:26" x14ac:dyDescent="0.3">
      <c r="A991" s="66">
        <f t="shared" si="98"/>
        <v>2088.3999999999105</v>
      </c>
      <c r="B991" s="67">
        <f>LOOKUP(A991+0.01,AmountsB!$A$4:$A$103,AmountsB!$B$4:$B$103)*0.1*$A$2</f>
        <v>0</v>
      </c>
      <c r="C991" s="68">
        <f t="shared" si="97"/>
        <v>83655.233518999943</v>
      </c>
      <c r="D991" s="67">
        <f t="array" ref="D991">SUM($B$7:$B986*$F$1009*EXP(-$F$1009*($A991-$A$7:$A986)))*$F$1010</f>
        <v>2474606.9394530049</v>
      </c>
      <c r="E991" s="67">
        <f t="shared" si="95"/>
        <v>4.7176196716158785</v>
      </c>
      <c r="F991" s="70">
        <f t="shared" si="99"/>
        <v>0.28645386646051613</v>
      </c>
      <c r="G991" s="67">
        <f>E991/'Lookup Tables'!$C$48</f>
        <v>9.4352393432317569</v>
      </c>
      <c r="H991" s="70">
        <f t="shared" si="96"/>
        <v>2.9640475498022945E-2</v>
      </c>
      <c r="I991" s="71">
        <f t="shared" si="100"/>
        <v>1.3586744654253729E-2</v>
      </c>
      <c r="L991" s="74"/>
      <c r="M991" s="74"/>
      <c r="N991" s="74"/>
      <c r="O991" s="74"/>
      <c r="P991" s="74"/>
      <c r="Q991" s="74"/>
      <c r="R991" s="74"/>
      <c r="S991" s="74"/>
      <c r="T991" s="74"/>
      <c r="U991" s="74"/>
      <c r="V991" s="74"/>
      <c r="W991" s="74"/>
      <c r="X991" s="74"/>
      <c r="Y991" s="74"/>
      <c r="Z991" s="74"/>
    </row>
    <row r="992" spans="1:26" x14ac:dyDescent="0.3">
      <c r="A992" s="66">
        <f t="shared" si="98"/>
        <v>2088.4999999999104</v>
      </c>
      <c r="B992" s="67">
        <f>LOOKUP(A992+0.01,AmountsB!$A$4:$A$103,AmountsB!$B$4:$B$103)*0.1*$A$2</f>
        <v>0</v>
      </c>
      <c r="C992" s="68">
        <f t="shared" si="97"/>
        <v>83655.233518999943</v>
      </c>
      <c r="D992" s="67">
        <f t="array" ref="D992">SUM($B$7:$B987*$F$1009*EXP(-$F$1009*($A992-$A$7:$A987)))*$F$1010</f>
        <v>2471144.9137212504</v>
      </c>
      <c r="E992" s="67">
        <f t="shared" si="95"/>
        <v>4.7110196251861307</v>
      </c>
      <c r="F992" s="70">
        <f t="shared" si="99"/>
        <v>0.28605311164130187</v>
      </c>
      <c r="G992" s="67">
        <f>E992/'Lookup Tables'!$C$48</f>
        <v>9.4220392503722614</v>
      </c>
      <c r="H992" s="70">
        <f t="shared" si="96"/>
        <v>2.9599007866440905E-2</v>
      </c>
      <c r="I992" s="71">
        <f t="shared" si="100"/>
        <v>1.3567736520536059E-2</v>
      </c>
      <c r="L992" s="74"/>
      <c r="M992" s="74"/>
      <c r="N992" s="74"/>
      <c r="O992" s="74"/>
      <c r="P992" s="74"/>
      <c r="Q992" s="74"/>
      <c r="R992" s="74"/>
      <c r="S992" s="74"/>
      <c r="T992" s="74"/>
      <c r="U992" s="74"/>
      <c r="V992" s="74"/>
      <c r="W992" s="74"/>
      <c r="X992" s="74"/>
      <c r="Y992" s="74"/>
      <c r="Z992" s="74"/>
    </row>
    <row r="993" spans="1:26" x14ac:dyDescent="0.3">
      <c r="A993" s="66">
        <f t="shared" si="98"/>
        <v>2088.5999999999103</v>
      </c>
      <c r="B993" s="67">
        <f>LOOKUP(A993+0.01,AmountsB!$A$4:$A$103,AmountsB!$B$4:$B$103)*0.1*$A$2</f>
        <v>0</v>
      </c>
      <c r="C993" s="68">
        <f t="shared" si="97"/>
        <v>83655.233518999943</v>
      </c>
      <c r="D993" s="67">
        <f t="array" ref="D993">SUM($B$7:$B988*$F$1009*EXP(-$F$1009*($A993-$A$7:$A988)))*$F$1010</f>
        <v>2467687.7314343164</v>
      </c>
      <c r="E993" s="67">
        <f t="shared" si="95"/>
        <v>4.7044288123563538</v>
      </c>
      <c r="F993" s="70">
        <f t="shared" si="99"/>
        <v>0.2856529174862778</v>
      </c>
      <c r="G993" s="67">
        <f>E993/'Lookup Tables'!$C$48</f>
        <v>9.4088576247127076</v>
      </c>
      <c r="H993" s="70">
        <f t="shared" si="96"/>
        <v>2.9557598248923737E-2</v>
      </c>
      <c r="I993" s="71">
        <f t="shared" si="100"/>
        <v>1.3548754979586297E-2</v>
      </c>
      <c r="L993" s="74"/>
      <c r="M993" s="74"/>
      <c r="N993" s="74"/>
      <c r="O993" s="74"/>
      <c r="P993" s="74"/>
      <c r="Q993" s="74"/>
      <c r="R993" s="74"/>
      <c r="S993" s="74"/>
      <c r="T993" s="74"/>
      <c r="U993" s="74"/>
      <c r="V993" s="74"/>
      <c r="W993" s="74"/>
      <c r="X993" s="74"/>
      <c r="Y993" s="74"/>
      <c r="Z993" s="74"/>
    </row>
    <row r="994" spans="1:26" x14ac:dyDescent="0.3">
      <c r="A994" s="66">
        <f t="shared" si="98"/>
        <v>2088.6999999999102</v>
      </c>
      <c r="B994" s="67">
        <f>LOOKUP(A994+0.01,AmountsB!$A$4:$A$103,AmountsB!$B$4:$B$103)*0.1*$A$2</f>
        <v>0</v>
      </c>
      <c r="C994" s="68">
        <f t="shared" si="97"/>
        <v>83655.233518999943</v>
      </c>
      <c r="D994" s="67">
        <f t="array" ref="D994">SUM($B$7:$B989*$F$1009*EXP(-$F$1009*($A994-$A$7:$A989)))*$F$1010</f>
        <v>2464235.385816128</v>
      </c>
      <c r="E994" s="67">
        <f t="shared" si="95"/>
        <v>4.6978472202085584</v>
      </c>
      <c r="F994" s="70">
        <f t="shared" si="99"/>
        <v>0.28525328321106364</v>
      </c>
      <c r="G994" s="67">
        <f>E994/'Lookup Tables'!$C$48</f>
        <v>9.3956944404171168</v>
      </c>
      <c r="H994" s="70">
        <f t="shared" si="96"/>
        <v>2.9516246564308631E-2</v>
      </c>
      <c r="I994" s="71">
        <f t="shared" si="100"/>
        <v>1.3529799994200647E-2</v>
      </c>
      <c r="L994" s="74"/>
      <c r="M994" s="74"/>
      <c r="N994" s="74"/>
      <c r="O994" s="74"/>
      <c r="P994" s="74"/>
      <c r="Q994" s="74"/>
      <c r="R994" s="74"/>
      <c r="S994" s="74"/>
      <c r="T994" s="74"/>
      <c r="U994" s="74"/>
      <c r="V994" s="74"/>
      <c r="W994" s="74"/>
      <c r="X994" s="74"/>
      <c r="Y994" s="74"/>
      <c r="Z994" s="74"/>
    </row>
    <row r="995" spans="1:26" x14ac:dyDescent="0.3">
      <c r="A995" s="66">
        <f t="shared" si="98"/>
        <v>2088.7999999999101</v>
      </c>
      <c r="B995" s="67">
        <f>LOOKUP(A995+0.01,AmountsB!$A$4:$A$103,AmountsB!$B$4:$B$103)*0.1*$A$2</f>
        <v>0</v>
      </c>
      <c r="C995" s="68">
        <f t="shared" si="97"/>
        <v>83655.233518999943</v>
      </c>
      <c r="D995" s="67">
        <f t="array" ref="D995">SUM($B$7:$B990*$F$1009*EXP(-$F$1009*($A995-$A$7:$A990)))*$F$1010</f>
        <v>2460787.8701000847</v>
      </c>
      <c r="E995" s="67">
        <f t="shared" si="95"/>
        <v>4.6912748358428198</v>
      </c>
      <c r="F995" s="70">
        <f t="shared" si="99"/>
        <v>0.28485420803237604</v>
      </c>
      <c r="G995" s="67">
        <f>E995/'Lookup Tables'!$C$48</f>
        <v>9.3825496716856396</v>
      </c>
      <c r="H995" s="70">
        <f t="shared" si="96"/>
        <v>2.9474952731546242E-2</v>
      </c>
      <c r="I995" s="71">
        <f t="shared" si="100"/>
        <v>1.3510871527227322E-2</v>
      </c>
      <c r="L995" s="74"/>
      <c r="M995" s="74"/>
      <c r="N995" s="74"/>
      <c r="O995" s="74"/>
      <c r="P995" s="74"/>
      <c r="Q995" s="74"/>
      <c r="R995" s="74"/>
      <c r="S995" s="74"/>
      <c r="T995" s="74"/>
      <c r="U995" s="74"/>
      <c r="V995" s="74"/>
      <c r="W995" s="74"/>
      <c r="X995" s="74"/>
      <c r="Y995" s="74"/>
      <c r="Z995" s="74"/>
    </row>
    <row r="996" spans="1:26" x14ac:dyDescent="0.3">
      <c r="A996" s="66">
        <f t="shared" si="98"/>
        <v>2088.8999999999101</v>
      </c>
      <c r="B996" s="67">
        <f>LOOKUP(A996+0.01,AmountsB!$A$4:$A$103,AmountsB!$B$4:$B$103)*0.1*$A$2</f>
        <v>0</v>
      </c>
      <c r="C996" s="68">
        <f t="shared" si="97"/>
        <v>83655.233518999943</v>
      </c>
      <c r="D996" s="67">
        <f t="array" ref="D996">SUM($B$7:$B991*$F$1009*EXP(-$F$1009*($A996-$A$7:$A991)))*$F$1010</f>
        <v>2457345.1775290533</v>
      </c>
      <c r="E996" s="67">
        <f t="shared" si="95"/>
        <v>4.6847116463772576</v>
      </c>
      <c r="F996" s="70">
        <f t="shared" si="99"/>
        <v>0.2844556911680271</v>
      </c>
      <c r="G996" s="67">
        <f>E996/'Lookup Tables'!$C$48</f>
        <v>9.3694232927545151</v>
      </c>
      <c r="H996" s="70">
        <f t="shared" si="96"/>
        <v>2.943371666970062E-2</v>
      </c>
      <c r="I996" s="71">
        <f t="shared" si="100"/>
        <v>1.3491969541566503E-2</v>
      </c>
      <c r="L996" s="74"/>
      <c r="M996" s="74"/>
      <c r="N996" s="74"/>
      <c r="O996" s="74"/>
      <c r="P996" s="74"/>
      <c r="Q996" s="74"/>
      <c r="R996" s="74"/>
      <c r="S996" s="74"/>
      <c r="T996" s="74"/>
      <c r="U996" s="74"/>
      <c r="V996" s="74"/>
      <c r="W996" s="74"/>
      <c r="X996" s="74"/>
      <c r="Y996" s="74"/>
      <c r="Z996" s="74"/>
    </row>
    <row r="997" spans="1:26" x14ac:dyDescent="0.3">
      <c r="A997" s="66">
        <f t="shared" si="98"/>
        <v>2088.99999999991</v>
      </c>
      <c r="B997" s="67">
        <f>LOOKUP(A997+0.01,AmountsB!$A$4:$A$103,AmountsB!$B$4:$B$103)*0.1*$A$2</f>
        <v>0</v>
      </c>
      <c r="C997" s="68">
        <f t="shared" si="97"/>
        <v>83655.233518999943</v>
      </c>
      <c r="D997" s="67">
        <f t="array" ref="D997">SUM($B$7:$B992*$F$1009*EXP(-$F$1009*($A997-$A$7:$A992)))*$F$1010</f>
        <v>2453907.3013553573</v>
      </c>
      <c r="E997" s="67">
        <f t="shared" si="95"/>
        <v>4.6781576389480239</v>
      </c>
      <c r="F997" s="70">
        <f t="shared" si="99"/>
        <v>0.28405773183692407</v>
      </c>
      <c r="G997" s="67">
        <f>E997/'Lookup Tables'!$C$48</f>
        <v>9.3563152778960479</v>
      </c>
      <c r="H997" s="70">
        <f t="shared" si="96"/>
        <v>2.9392538297949099E-2</v>
      </c>
      <c r="I997" s="71">
        <f t="shared" si="100"/>
        <v>1.347309400017031E-2</v>
      </c>
      <c r="L997" s="74"/>
      <c r="M997" s="74"/>
      <c r="N997" s="74"/>
      <c r="O997" s="74"/>
      <c r="P997" s="74"/>
      <c r="Q997" s="74"/>
      <c r="R997" s="74"/>
      <c r="S997" s="74"/>
      <c r="T997" s="74"/>
      <c r="U997" s="74"/>
      <c r="V997" s="74"/>
      <c r="W997" s="74"/>
      <c r="X997" s="74"/>
      <c r="Y997" s="74"/>
      <c r="Z997" s="74"/>
    </row>
    <row r="998" spans="1:26" x14ac:dyDescent="0.3">
      <c r="A998" s="66">
        <f t="shared" si="98"/>
        <v>2089.0999999999099</v>
      </c>
      <c r="B998" s="67">
        <f>LOOKUP(A998+0.01,AmountsB!$A$4:$A$103,AmountsB!$B$4:$B$103)*0.1*$A$2</f>
        <v>0</v>
      </c>
      <c r="C998" s="68">
        <f t="shared" si="97"/>
        <v>83655.233518999943</v>
      </c>
      <c r="D998" s="67">
        <f t="array" ref="D998">SUM($B$7:$B993*$F$1009*EXP(-$F$1009*($A998-$A$7:$A993)))*$F$1010</f>
        <v>2450474.2348407572</v>
      </c>
      <c r="E998" s="67">
        <f t="shared" si="95"/>
        <v>4.6716128007092603</v>
      </c>
      <c r="F998" s="70">
        <f t="shared" si="99"/>
        <v>0.28366032925906631</v>
      </c>
      <c r="G998" s="67">
        <f>E998/'Lookup Tables'!$C$48</f>
        <v>9.3432256014185207</v>
      </c>
      <c r="H998" s="70">
        <f t="shared" si="96"/>
        <v>2.9351417535582063E-2</v>
      </c>
      <c r="I998" s="71">
        <f t="shared" si="100"/>
        <v>1.345424486604267E-2</v>
      </c>
      <c r="L998" s="74"/>
      <c r="M998" s="74"/>
      <c r="N998" s="74"/>
      <c r="O998" s="74"/>
      <c r="P998" s="74"/>
      <c r="Q998" s="74"/>
      <c r="R998" s="74"/>
      <c r="S998" s="74"/>
      <c r="T998" s="74"/>
      <c r="U998" s="74"/>
      <c r="V998" s="74"/>
      <c r="W998" s="74"/>
      <c r="X998" s="74"/>
      <c r="Y998" s="74"/>
      <c r="Z998" s="74"/>
    </row>
    <row r="999" spans="1:26" x14ac:dyDescent="0.3">
      <c r="A999" s="66">
        <f t="shared" si="98"/>
        <v>2089.1999999999098</v>
      </c>
      <c r="B999" s="67">
        <f>LOOKUP(A999+0.01,AmountsB!$A$4:$A$103,AmountsB!$B$4:$B$103)*0.1*$A$2</f>
        <v>0</v>
      </c>
      <c r="C999" s="68">
        <f t="shared" si="97"/>
        <v>83655.233518999943</v>
      </c>
      <c r="D999" s="67">
        <f t="array" ref="D999">SUM($B$7:$B994*$F$1009*EXP(-$F$1009*($A999-$A$7:$A994)))*$F$1010</f>
        <v>2447045.9712564419</v>
      </c>
      <c r="E999" s="67">
        <f t="shared" si="95"/>
        <v>4.6650771188330813</v>
      </c>
      <c r="F999" s="70">
        <f t="shared" si="99"/>
        <v>0.28326348265554468</v>
      </c>
      <c r="G999" s="67">
        <f>E999/'Lookup Tables'!$C$48</f>
        <v>9.3301542376661626</v>
      </c>
      <c r="H999" s="70">
        <f t="shared" si="96"/>
        <v>2.9310354302002781E-2</v>
      </c>
      <c r="I999" s="71">
        <f t="shared" si="100"/>
        <v>1.3435422102239273E-2</v>
      </c>
      <c r="L999" s="74"/>
      <c r="M999" s="74"/>
      <c r="N999" s="74"/>
      <c r="O999" s="74"/>
      <c r="P999" s="74"/>
      <c r="Q999" s="74"/>
      <c r="R999" s="74"/>
      <c r="S999" s="74"/>
      <c r="T999" s="74"/>
      <c r="U999" s="74"/>
      <c r="V999" s="74"/>
      <c r="W999" s="74"/>
      <c r="X999" s="74"/>
      <c r="Y999" s="74"/>
      <c r="Z999" s="74"/>
    </row>
    <row r="1000" spans="1:26" x14ac:dyDescent="0.3">
      <c r="A1000" s="66">
        <f t="shared" si="98"/>
        <v>2089.2999999999097</v>
      </c>
      <c r="B1000" s="67">
        <f>LOOKUP(A1000+0.01,AmountsB!$A$4:$A$103,AmountsB!$B$4:$B$103)*0.1*$A$2</f>
        <v>0</v>
      </c>
      <c r="C1000" s="68">
        <f t="shared" si="97"/>
        <v>83655.233518999943</v>
      </c>
      <c r="D1000" s="67">
        <f t="array" ref="D1000">SUM($B$7:$B995*$F$1009*EXP(-$F$1009*($A1000-$A$7:$A995)))*$F$1010</f>
        <v>2443622.5038830135</v>
      </c>
      <c r="E1000" s="67">
        <f t="shared" si="95"/>
        <v>4.6585505805095488</v>
      </c>
      <c r="F1000" s="70">
        <f t="shared" si="99"/>
        <v>0.28286719124853976</v>
      </c>
      <c r="G1000" s="67">
        <f>E1000/'Lookup Tables'!$C$48</f>
        <v>9.3171011610190977</v>
      </c>
      <c r="H1000" s="70">
        <f t="shared" si="96"/>
        <v>2.9269348516727321E-2</v>
      </c>
      <c r="I1000" s="71">
        <f t="shared" si="100"/>
        <v>1.3416625671867499E-2</v>
      </c>
      <c r="L1000" s="74"/>
      <c r="M1000" s="74"/>
      <c r="N1000" s="74"/>
      <c r="O1000" s="74"/>
      <c r="P1000" s="74"/>
      <c r="Q1000" s="74"/>
      <c r="R1000" s="74"/>
      <c r="S1000" s="74"/>
      <c r="T1000" s="74"/>
      <c r="U1000" s="74"/>
      <c r="V1000" s="74"/>
      <c r="W1000" s="74"/>
      <c r="X1000" s="74"/>
      <c r="Y1000" s="74"/>
      <c r="Z1000" s="74"/>
    </row>
    <row r="1001" spans="1:26" x14ac:dyDescent="0.3">
      <c r="A1001" s="66">
        <f t="shared" si="98"/>
        <v>2089.3999999999096</v>
      </c>
      <c r="B1001" s="67">
        <f>LOOKUP(A1001+0.01,AmountsB!$A$4:$A$103,AmountsB!$B$4:$B$103)*0.1*$A$2</f>
        <v>0</v>
      </c>
      <c r="C1001" s="68">
        <f t="shared" si="97"/>
        <v>83655.233518999943</v>
      </c>
      <c r="D1001" s="67">
        <f t="array" ref="D1001">SUM($B$7:$B996*$F$1009*EXP(-$F$1009*($A1001-$A$7:$A996)))*$F$1010</f>
        <v>2440203.8260104749</v>
      </c>
      <c r="E1001" s="67">
        <f t="shared" si="95"/>
        <v>4.652033172946644</v>
      </c>
      <c r="F1001" s="70">
        <f t="shared" si="99"/>
        <v>0.28247145426132025</v>
      </c>
      <c r="G1001" s="67">
        <f>E1001/'Lookup Tables'!$C$48</f>
        <v>9.304066345893288</v>
      </c>
      <c r="H1001" s="70">
        <f t="shared" si="96"/>
        <v>2.9228400099384315E-2</v>
      </c>
      <c r="I1001" s="71">
        <f t="shared" si="100"/>
        <v>1.3397855538086334E-2</v>
      </c>
      <c r="L1001" s="74"/>
      <c r="M1001" s="74"/>
      <c r="N1001" s="74"/>
      <c r="O1001" s="74"/>
      <c r="P1001" s="74"/>
      <c r="Q1001" s="74"/>
      <c r="R1001" s="74"/>
      <c r="S1001" s="74"/>
      <c r="T1001" s="74"/>
      <c r="U1001" s="74"/>
      <c r="V1001" s="74"/>
      <c r="W1001" s="74"/>
      <c r="X1001" s="74"/>
      <c r="Y1001" s="74"/>
      <c r="Z1001" s="74"/>
    </row>
    <row r="1002" spans="1:26" x14ac:dyDescent="0.3">
      <c r="A1002" s="66">
        <f t="shared" si="98"/>
        <v>2089.4999999999095</v>
      </c>
      <c r="B1002" s="67">
        <f>LOOKUP(A1002+0.01,AmountsB!$A$4:$A$103,AmountsB!$B$4:$B$103)*0.1*$A$2</f>
        <v>0</v>
      </c>
      <c r="C1002" s="68">
        <f t="shared" si="97"/>
        <v>83655.233518999943</v>
      </c>
      <c r="D1002" s="67">
        <f t="array" ref="D1002">SUM($B$7:$B997*$F$1009*EXP(-$F$1009*($A1002-$A$7:$A997)))*$F$1010</f>
        <v>2436789.9309382169</v>
      </c>
      <c r="E1002" s="67">
        <f t="shared" si="95"/>
        <v>4.6455248833702489</v>
      </c>
      <c r="F1002" s="70">
        <f t="shared" si="99"/>
        <v>0.2820762709182415</v>
      </c>
      <c r="G1002" s="67">
        <f>E1002/'Lookup Tables'!$C$48</f>
        <v>9.2910497667404979</v>
      </c>
      <c r="H1002" s="70">
        <f t="shared" si="96"/>
        <v>2.9187508969714872E-2</v>
      </c>
      <c r="I1002" s="71">
        <f t="shared" si="100"/>
        <v>1.3379111664106318E-2</v>
      </c>
      <c r="L1002" s="74"/>
      <c r="M1002" s="74"/>
      <c r="N1002" s="74"/>
      <c r="O1002" s="74"/>
      <c r="P1002" s="74"/>
      <c r="Q1002" s="74"/>
      <c r="R1002" s="74"/>
      <c r="S1002" s="74"/>
      <c r="T1002" s="74"/>
      <c r="U1002" s="74"/>
      <c r="V1002" s="74"/>
      <c r="W1002" s="74"/>
      <c r="X1002" s="74"/>
      <c r="Y1002" s="74"/>
      <c r="Z1002" s="74"/>
    </row>
    <row r="1003" spans="1:26" x14ac:dyDescent="0.3">
      <c r="A1003" s="66">
        <f t="shared" si="98"/>
        <v>2089.5999999999094</v>
      </c>
      <c r="B1003" s="67">
        <f>LOOKUP(A1003+0.01,AmountsB!$A$4:$A$103,AmountsB!$B$4:$B$103)*0.1*$A$2</f>
        <v>0</v>
      </c>
      <c r="C1003" s="68">
        <f t="shared" si="97"/>
        <v>83655.233518999943</v>
      </c>
      <c r="D1003" s="67">
        <f t="array" ref="D1003">SUM($B$7:$B998*$F$1009*EXP(-$F$1009*($A1003-$A$7:$A998)))*$F$1010</f>
        <v>2433380.8119750042</v>
      </c>
      <c r="E1003" s="67">
        <f t="shared" si="95"/>
        <v>4.6390256990241134</v>
      </c>
      <c r="F1003" s="70">
        <f t="shared" si="99"/>
        <v>0.28168164044474414</v>
      </c>
      <c r="G1003" s="67">
        <f>E1003/'Lookup Tables'!$C$48</f>
        <v>9.2780513980482269</v>
      </c>
      <c r="H1003" s="70">
        <f t="shared" si="96"/>
        <v>2.9146675047572349E-2</v>
      </c>
      <c r="I1003" s="71">
        <f t="shared" si="100"/>
        <v>1.3360394013189445E-2</v>
      </c>
      <c r="L1003" s="74"/>
      <c r="M1003" s="74"/>
      <c r="N1003" s="74"/>
      <c r="O1003" s="74"/>
      <c r="P1003" s="74"/>
      <c r="Q1003" s="74"/>
      <c r="R1003" s="74"/>
      <c r="S1003" s="74"/>
      <c r="T1003" s="74"/>
      <c r="U1003" s="74"/>
      <c r="V1003" s="74"/>
      <c r="W1003" s="74"/>
      <c r="X1003" s="74"/>
      <c r="Y1003" s="74"/>
      <c r="Z1003" s="74"/>
    </row>
    <row r="1004" spans="1:26" x14ac:dyDescent="0.3">
      <c r="A1004" s="66">
        <f t="shared" si="98"/>
        <v>2089.6999999999093</v>
      </c>
      <c r="B1004" s="67">
        <f>LOOKUP(A1004+0.01,AmountsB!$A$4:$A$103,AmountsB!$B$4:$B$103)*0.1*$A$2</f>
        <v>0</v>
      </c>
      <c r="C1004" s="68">
        <f t="shared" si="97"/>
        <v>83655.233518999943</v>
      </c>
      <c r="D1004" s="67">
        <f t="array" ref="D1004">SUM($B$7:$B999*$F$1009*EXP(-$F$1009*($A1004-$A$7:$A999)))*$F$1010</f>
        <v>2429976.462438961</v>
      </c>
      <c r="E1004" s="67">
        <f t="shared" si="95"/>
        <v>4.6325356071698316</v>
      </c>
      <c r="F1004" s="70">
        <f t="shared" si="99"/>
        <v>0.28128756206735217</v>
      </c>
      <c r="G1004" s="67">
        <f>E1004/'Lookup Tables'!$C$48</f>
        <v>9.2650712143396632</v>
      </c>
      <c r="H1004" s="70">
        <f t="shared" si="96"/>
        <v>2.9105898252922247E-2</v>
      </c>
      <c r="I1004" s="71">
        <f t="shared" si="100"/>
        <v>1.3341702548649114E-2</v>
      </c>
      <c r="L1004" s="74"/>
      <c r="M1004" s="74"/>
      <c r="N1004" s="74"/>
      <c r="O1004" s="74"/>
      <c r="P1004" s="74"/>
      <c r="Q1004" s="74"/>
      <c r="R1004" s="74"/>
      <c r="S1004" s="74"/>
      <c r="T1004" s="74"/>
      <c r="U1004" s="74"/>
      <c r="V1004" s="74"/>
      <c r="W1004" s="74"/>
      <c r="X1004" s="74"/>
      <c r="Y1004" s="74"/>
      <c r="Z1004" s="74"/>
    </row>
    <row r="1005" spans="1:26" x14ac:dyDescent="0.3">
      <c r="A1005" s="66">
        <f t="shared" si="98"/>
        <v>2089.7999999999092</v>
      </c>
      <c r="B1005" s="67">
        <f>LOOKUP(A1005+0.01,AmountsB!$A$4:$A$103,AmountsB!$B$4:$B$103)*0.1*$A$2</f>
        <v>0</v>
      </c>
      <c r="C1005" s="68">
        <f t="shared" si="97"/>
        <v>83655.233518999943</v>
      </c>
      <c r="D1005" s="67">
        <f t="array" ref="D1005">SUM($B$7:$B1000*$F$1009*EXP(-$F$1009*($A1005-$A$7:$A1000)))*$F$1010</f>
        <v>2426576.8756575631</v>
      </c>
      <c r="E1005" s="67">
        <f t="shared" si="95"/>
        <v>4.6260545950868242</v>
      </c>
      <c r="F1005" s="70">
        <f t="shared" si="99"/>
        <v>0.28089403501367194</v>
      </c>
      <c r="G1005" s="67">
        <f>E1005/'Lookup Tables'!$C$48</f>
        <v>9.2521091901736483</v>
      </c>
      <c r="H1005" s="70">
        <f t="shared" si="96"/>
        <v>2.9065178505842049E-2</v>
      </c>
      <c r="I1005" s="71">
        <f t="shared" si="100"/>
        <v>1.3323037233850053E-2</v>
      </c>
      <c r="L1005" s="74"/>
      <c r="M1005" s="74"/>
      <c r="N1005" s="74"/>
      <c r="O1005" s="74"/>
      <c r="P1005" s="74"/>
      <c r="Q1005" s="74"/>
      <c r="R1005" s="74"/>
      <c r="S1005" s="74"/>
      <c r="T1005" s="74"/>
      <c r="U1005" s="74"/>
      <c r="V1005" s="74"/>
      <c r="W1005" s="74"/>
      <c r="X1005" s="74"/>
      <c r="Y1005" s="74"/>
      <c r="Z1005" s="74"/>
    </row>
    <row r="1006" spans="1:26" x14ac:dyDescent="0.3">
      <c r="A1006" s="66">
        <f t="shared" si="98"/>
        <v>2089.8999999999091</v>
      </c>
      <c r="B1006" s="67">
        <f>LOOKUP(A1006+0.01,AmountsB!$A$4:$A$103,AmountsB!$B$4:$B$103)*0.1*$A$2</f>
        <v>0</v>
      </c>
      <c r="C1006" s="68">
        <f t="shared" si="97"/>
        <v>83655.233518999943</v>
      </c>
      <c r="D1006" s="67">
        <f t="array" ref="D1006">SUM($B$7:$B1001*$F$1009*EXP(-$F$1009*($A1006-$A$7:$A1001)))*$F$1010</f>
        <v>2423182.0449676178</v>
      </c>
      <c r="E1006" s="67">
        <f t="shared" si="95"/>
        <v>4.6195826500723038</v>
      </c>
      <c r="F1006" s="70">
        <f t="shared" si="99"/>
        <v>0.28050105851239032</v>
      </c>
      <c r="G1006" s="67">
        <f>E1006/'Lookup Tables'!$C$48</f>
        <v>9.2391653001446077</v>
      </c>
      <c r="H1006" s="70">
        <f t="shared" si="96"/>
        <v>2.9024515726521028E-2</v>
      </c>
      <c r="I1006" s="71">
        <f t="shared" si="100"/>
        <v>1.3304398032208235E-2</v>
      </c>
      <c r="L1006" s="74"/>
      <c r="M1006" s="74"/>
      <c r="N1006" s="74"/>
      <c r="O1006" s="74"/>
      <c r="P1006" s="74"/>
      <c r="Q1006" s="74"/>
      <c r="R1006" s="74"/>
      <c r="S1006" s="74"/>
      <c r="T1006" s="74"/>
      <c r="U1006" s="74"/>
      <c r="V1006" s="74"/>
      <c r="W1006" s="74"/>
      <c r="X1006" s="74"/>
      <c r="Y1006" s="74"/>
      <c r="Z1006" s="74"/>
    </row>
    <row r="1007" spans="1:26" x14ac:dyDescent="0.3">
      <c r="A1007" s="66">
        <f>A1006+0.1</f>
        <v>2089.9999999999091</v>
      </c>
      <c r="B1007" s="67">
        <f>LOOKUP(A1007+0.01,AmountsB!$A$4:$A$103,AmountsB!$B$4:$B$103)*0.1*$A$2</f>
        <v>0</v>
      </c>
      <c r="C1007" s="68">
        <f>C1006+B1007</f>
        <v>83655.233518999943</v>
      </c>
      <c r="D1007" s="67">
        <f t="array" ref="D1007">SUM($B$7:$B1002*$F$1009*EXP(-$F$1009*($A1007-$A$7:$A1002)))*$F$1010</f>
        <v>2419791.9637152562</v>
      </c>
      <c r="E1007" s="67">
        <f t="shared" si="95"/>
        <v>4.6131197594412559</v>
      </c>
      <c r="F1007" s="70">
        <f t="shared" si="99"/>
        <v>0.28010863179327306</v>
      </c>
      <c r="G1007" s="67">
        <f>E1007/'Lookup Tables'!$C$48</f>
        <v>9.2262395188825117</v>
      </c>
      <c r="H1007" s="70">
        <f t="shared" si="96"/>
        <v>2.898390983526011E-2</v>
      </c>
      <c r="I1007" s="71">
        <f>G1007*60*24/1000000</f>
        <v>1.3285784907190817E-2</v>
      </c>
      <c r="L1007" s="74"/>
      <c r="M1007" s="74"/>
      <c r="N1007" s="74"/>
      <c r="O1007" s="74"/>
      <c r="P1007" s="74"/>
      <c r="Q1007" s="74"/>
      <c r="R1007" s="74"/>
      <c r="S1007" s="74"/>
      <c r="T1007" s="74"/>
      <c r="U1007" s="74"/>
      <c r="V1007" s="74"/>
      <c r="W1007" s="74"/>
      <c r="X1007" s="74"/>
      <c r="Y1007" s="74"/>
      <c r="Z1007" s="74"/>
    </row>
    <row r="1008" spans="1:26" x14ac:dyDescent="0.3">
      <c r="A1008" s="65" t="s">
        <v>11</v>
      </c>
      <c r="E1008" s="78"/>
      <c r="F1008" s="79">
        <f>'Lookup Tables'!C48</f>
        <v>0.5</v>
      </c>
    </row>
    <row r="1009" spans="1:10" x14ac:dyDescent="0.3">
      <c r="A1009" s="65" t="s">
        <v>36</v>
      </c>
      <c r="E1009" s="78"/>
      <c r="F1009" s="86">
        <f>'Lookup Tables'!F39</f>
        <v>1.4E-2</v>
      </c>
    </row>
    <row r="1010" spans="1:10" x14ac:dyDescent="0.3">
      <c r="A1010" s="65" t="s">
        <v>35</v>
      </c>
      <c r="E1010" s="78"/>
      <c r="F1010" s="81">
        <f>'Lookup Tables'!H39/F1011</f>
        <v>6406.1894540606027</v>
      </c>
      <c r="G1010" s="65" t="s">
        <v>12</v>
      </c>
    </row>
    <row r="1011" spans="1:10" x14ac:dyDescent="0.3">
      <c r="F1011" s="82">
        <v>3.1213999999999999E-2</v>
      </c>
      <c r="G1011" s="35" t="s">
        <v>13</v>
      </c>
    </row>
    <row r="1014" spans="1:10" x14ac:dyDescent="0.3">
      <c r="E1014" s="83"/>
      <c r="H1014" s="84"/>
      <c r="I1014" s="84"/>
      <c r="J1014" s="84"/>
    </row>
    <row r="1015" spans="1:10" x14ac:dyDescent="0.3">
      <c r="E1015" s="83"/>
      <c r="H1015" s="84"/>
      <c r="I1015" s="84"/>
      <c r="J1015" s="84"/>
    </row>
  </sheetData>
  <sheetProtection password="8BBD" sheet="1" objects="1" scenarios="1"/>
  <mergeCells count="1">
    <mergeCell ref="D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149"/>
  <sheetViews>
    <sheetView zoomScale="80" zoomScaleNormal="80" workbookViewId="0">
      <selection activeCell="C32" sqref="C32"/>
    </sheetView>
  </sheetViews>
  <sheetFormatPr defaultColWidth="9" defaultRowHeight="13.5" x14ac:dyDescent="0.3"/>
  <cols>
    <col min="1" max="1" width="4.08203125" style="239" customWidth="1"/>
    <col min="2" max="2" width="68.5" style="101" customWidth="1"/>
    <col min="3" max="3" width="21.75" style="101" customWidth="1"/>
    <col min="4" max="4" width="11.25" style="249" customWidth="1"/>
    <col min="5" max="5" width="11.58203125" style="239" customWidth="1"/>
    <col min="6" max="6" width="8.83203125" style="239" customWidth="1"/>
    <col min="7" max="8" width="11.58203125" style="239" customWidth="1"/>
    <col min="9" max="9" width="11.25" style="239" customWidth="1"/>
    <col min="10" max="10" width="10.83203125" style="239" customWidth="1"/>
    <col min="11" max="11" width="11.58203125" style="239" customWidth="1"/>
    <col min="12" max="12" width="13" style="239" customWidth="1"/>
    <col min="13" max="13" width="14.75" style="239" customWidth="1"/>
    <col min="14" max="29" width="16.75" style="202" customWidth="1"/>
    <col min="30" max="37" width="12.75" style="202" customWidth="1"/>
    <col min="38" max="40" width="16.75" style="202" customWidth="1"/>
    <col min="41" max="16384" width="9" style="202"/>
  </cols>
  <sheetData>
    <row r="1" spans="1:18" ht="19.5" customHeight="1" x14ac:dyDescent="0.3">
      <c r="A1" s="376" t="s">
        <v>228</v>
      </c>
      <c r="B1" s="376"/>
      <c r="C1" s="376"/>
      <c r="D1" s="376"/>
    </row>
    <row r="2" spans="1:18" ht="19.5" customHeight="1" x14ac:dyDescent="0.3">
      <c r="A2" s="376" t="str">
        <f>Inputs!A2</f>
        <v>Release Date: December 2014</v>
      </c>
      <c r="B2" s="376"/>
      <c r="C2" s="376"/>
      <c r="D2" s="376"/>
    </row>
    <row r="3" spans="1:18" ht="18.75" customHeight="1" x14ac:dyDescent="0.3">
      <c r="A3" s="380" t="s">
        <v>212</v>
      </c>
      <c r="B3" s="380"/>
      <c r="C3" s="380"/>
      <c r="D3" s="381"/>
    </row>
    <row r="4" spans="1:18" ht="22" customHeight="1" x14ac:dyDescent="0.3">
      <c r="A4" s="302"/>
      <c r="B4" s="382" t="s">
        <v>120</v>
      </c>
      <c r="C4" s="382"/>
      <c r="D4" s="240"/>
      <c r="E4" s="383" t="s">
        <v>188</v>
      </c>
      <c r="F4" s="384"/>
      <c r="G4" s="384"/>
      <c r="H4" s="384"/>
      <c r="I4" s="384"/>
      <c r="J4" s="384"/>
      <c r="K4" s="384"/>
      <c r="L4" s="384"/>
      <c r="M4" s="384"/>
    </row>
    <row r="5" spans="1:18" ht="22" customHeight="1" x14ac:dyDescent="0.3">
      <c r="A5" s="302"/>
      <c r="B5" s="382" t="s">
        <v>231</v>
      </c>
      <c r="C5" s="382"/>
      <c r="D5" s="241"/>
      <c r="E5" s="384"/>
      <c r="F5" s="384"/>
      <c r="G5" s="384"/>
      <c r="H5" s="384"/>
      <c r="I5" s="384"/>
      <c r="J5" s="384"/>
      <c r="K5" s="384"/>
      <c r="L5" s="384"/>
      <c r="M5" s="384"/>
    </row>
    <row r="6" spans="1:18" ht="21.75" hidden="1" customHeight="1" x14ac:dyDescent="0.3">
      <c r="A6" s="293">
        <v>1</v>
      </c>
      <c r="B6" s="103" t="s">
        <v>142</v>
      </c>
      <c r="C6" s="377" t="str">
        <f>Inputs!C6:D6</f>
        <v>Poland Landfill</v>
      </c>
      <c r="D6" s="378"/>
      <c r="E6" s="373" t="s">
        <v>126</v>
      </c>
      <c r="F6" s="373"/>
      <c r="G6" s="373"/>
      <c r="H6" s="373"/>
      <c r="I6" s="373"/>
      <c r="J6" s="373"/>
      <c r="K6" s="373"/>
      <c r="L6" s="373"/>
      <c r="M6" s="373"/>
      <c r="N6" s="242"/>
      <c r="O6" s="242"/>
      <c r="P6" s="242"/>
      <c r="Q6" s="242"/>
      <c r="R6" s="242"/>
    </row>
    <row r="7" spans="1:18" ht="21.75" hidden="1" customHeight="1" x14ac:dyDescent="0.3">
      <c r="A7" s="293">
        <v>2</v>
      </c>
      <c r="B7" s="103" t="s">
        <v>119</v>
      </c>
      <c r="C7" s="377" t="str">
        <f>Inputs!C7:D7</f>
        <v>Warsaw</v>
      </c>
      <c r="D7" s="378"/>
      <c r="E7" s="373" t="s">
        <v>127</v>
      </c>
      <c r="F7" s="373"/>
      <c r="G7" s="373"/>
      <c r="H7" s="373"/>
      <c r="I7" s="373"/>
      <c r="J7" s="373"/>
      <c r="K7" s="373"/>
      <c r="L7" s="373"/>
      <c r="M7" s="373"/>
      <c r="N7" s="242"/>
      <c r="O7" s="242"/>
      <c r="P7" s="242"/>
      <c r="Q7" s="242"/>
      <c r="R7" s="242"/>
    </row>
    <row r="8" spans="1:18" ht="21.75" hidden="1" customHeight="1" x14ac:dyDescent="0.3">
      <c r="A8" s="293">
        <v>3</v>
      </c>
      <c r="B8" s="103" t="s">
        <v>218</v>
      </c>
      <c r="C8" s="146" t="str">
        <f>Inputs!C8</f>
        <v>Poland</v>
      </c>
      <c r="D8" s="289"/>
      <c r="E8" s="379" t="s">
        <v>311</v>
      </c>
      <c r="F8" s="379"/>
      <c r="G8" s="379"/>
      <c r="H8" s="379"/>
      <c r="I8" s="379"/>
      <c r="J8" s="379"/>
      <c r="K8" s="379"/>
      <c r="L8" s="379"/>
      <c r="M8" s="379"/>
      <c r="N8" s="243"/>
      <c r="O8" s="243"/>
      <c r="P8" s="243"/>
      <c r="Q8" s="243"/>
      <c r="R8" s="243"/>
    </row>
    <row r="9" spans="1:18" ht="21.75" hidden="1" customHeight="1" x14ac:dyDescent="0.3">
      <c r="A9" s="293">
        <v>4</v>
      </c>
      <c r="B9" s="103" t="s">
        <v>227</v>
      </c>
      <c r="C9" s="146" t="str">
        <f>Inputs!C9</f>
        <v>Poland - Cities &gt;50,000</v>
      </c>
      <c r="D9" s="308" t="s">
        <v>159</v>
      </c>
      <c r="E9" s="379" t="s">
        <v>312</v>
      </c>
      <c r="F9" s="379"/>
      <c r="G9" s="379"/>
      <c r="H9" s="379"/>
      <c r="I9" s="379"/>
      <c r="J9" s="379"/>
      <c r="K9" s="379"/>
      <c r="L9" s="379"/>
      <c r="M9" s="379"/>
      <c r="N9" s="243"/>
      <c r="O9" s="243"/>
      <c r="P9" s="243"/>
      <c r="Q9" s="243"/>
      <c r="R9" s="243"/>
    </row>
    <row r="10" spans="1:18" ht="33" hidden="1" customHeight="1" x14ac:dyDescent="0.35">
      <c r="A10" s="293">
        <v>5</v>
      </c>
      <c r="B10" s="103" t="s">
        <v>160</v>
      </c>
      <c r="C10" s="385" t="str">
        <f>Inputs!C10:D10</f>
        <v>Moderate (500-599 mm/yr)</v>
      </c>
      <c r="D10" s="402"/>
      <c r="E10" s="403" t="s">
        <v>313</v>
      </c>
      <c r="F10" s="389"/>
      <c r="G10" s="389"/>
      <c r="H10" s="389"/>
      <c r="I10" s="389"/>
      <c r="J10" s="389"/>
      <c r="K10" s="389"/>
      <c r="L10" s="389"/>
      <c r="M10" s="389"/>
      <c r="N10" s="243"/>
      <c r="O10" s="243"/>
      <c r="P10" s="243"/>
      <c r="Q10" s="243"/>
      <c r="R10" s="243"/>
    </row>
    <row r="11" spans="1:18" ht="21.75" hidden="1" customHeight="1" x14ac:dyDescent="0.3">
      <c r="A11" s="293">
        <v>6</v>
      </c>
      <c r="B11" s="103" t="s">
        <v>104</v>
      </c>
      <c r="C11" s="147" t="str">
        <f>Inputs!C11</f>
        <v>No</v>
      </c>
      <c r="D11" s="266"/>
      <c r="E11" s="379" t="s">
        <v>169</v>
      </c>
      <c r="F11" s="379"/>
      <c r="G11" s="379"/>
      <c r="H11" s="379"/>
      <c r="I11" s="379"/>
      <c r="J11" s="379"/>
      <c r="K11" s="379"/>
      <c r="L11" s="379"/>
      <c r="M11" s="379"/>
      <c r="N11" s="243"/>
      <c r="O11" s="243"/>
      <c r="P11" s="243"/>
      <c r="Q11" s="243"/>
      <c r="R11" s="243"/>
    </row>
    <row r="12" spans="1:18" ht="21.75" customHeight="1" x14ac:dyDescent="0.3">
      <c r="A12" s="293">
        <f t="shared" ref="A12:A23" si="0">A11+1</f>
        <v>7</v>
      </c>
      <c r="B12" s="103" t="s">
        <v>337</v>
      </c>
      <c r="C12" s="148">
        <v>2000</v>
      </c>
      <c r="D12" s="266"/>
      <c r="E12" s="373" t="s">
        <v>334</v>
      </c>
      <c r="F12" s="373"/>
      <c r="G12" s="373"/>
      <c r="H12" s="373"/>
      <c r="I12" s="373"/>
      <c r="J12" s="373"/>
      <c r="K12" s="373"/>
      <c r="L12" s="373"/>
      <c r="M12" s="373"/>
    </row>
    <row r="13" spans="1:18" ht="21.75" hidden="1" customHeight="1" x14ac:dyDescent="0.3">
      <c r="A13" s="293">
        <f t="shared" si="0"/>
        <v>8</v>
      </c>
      <c r="B13" s="103" t="s">
        <v>163</v>
      </c>
      <c r="C13" s="149">
        <f>Inputs!C13</f>
        <v>450000</v>
      </c>
      <c r="D13" s="151" t="s">
        <v>109</v>
      </c>
      <c r="E13" s="373" t="str">
        <f>Inputs!E13</f>
        <v>8. Enter disposal in most recent year of disposal before site closure.  If multiple years of disposal data are available, enter annual tonnes disposed for each year with data in Disposal &amp; LFG Recovery worksheet.</v>
      </c>
      <c r="F13" s="373"/>
      <c r="G13" s="373"/>
      <c r="H13" s="373"/>
      <c r="I13" s="373"/>
      <c r="J13" s="373"/>
      <c r="K13" s="373"/>
      <c r="L13" s="373"/>
      <c r="M13" s="373"/>
    </row>
    <row r="14" spans="1:18" ht="21.75" customHeight="1" x14ac:dyDescent="0.3">
      <c r="A14" s="293">
        <f t="shared" si="0"/>
        <v>9</v>
      </c>
      <c r="B14" s="103" t="s">
        <v>339</v>
      </c>
      <c r="C14" s="148">
        <v>2012</v>
      </c>
      <c r="D14" s="150"/>
      <c r="E14" s="373" t="str">
        <f>Inputs!E14</f>
        <v>9. Enter most recent year of disposal reflecting tonnes listed above.</v>
      </c>
      <c r="F14" s="373"/>
      <c r="G14" s="373"/>
      <c r="H14" s="373"/>
      <c r="I14" s="373"/>
      <c r="J14" s="373"/>
      <c r="K14" s="373"/>
      <c r="L14" s="373"/>
      <c r="M14" s="373"/>
    </row>
    <row r="15" spans="1:18" ht="33" customHeight="1" x14ac:dyDescent="0.3">
      <c r="A15" s="293">
        <f t="shared" si="0"/>
        <v>10</v>
      </c>
      <c r="B15" s="132" t="s">
        <v>190</v>
      </c>
      <c r="C15" s="147" t="str">
        <f>Inputs!C15</f>
        <v>Yes</v>
      </c>
      <c r="D15" s="150"/>
      <c r="E15" s="373" t="s">
        <v>338</v>
      </c>
      <c r="F15" s="373"/>
      <c r="G15" s="373"/>
      <c r="H15" s="373"/>
      <c r="I15" s="373"/>
      <c r="J15" s="373"/>
      <c r="K15" s="373"/>
      <c r="L15" s="373"/>
      <c r="M15" s="373"/>
    </row>
    <row r="16" spans="1:18" ht="33" customHeight="1" x14ac:dyDescent="0.3">
      <c r="A16" s="293">
        <f t="shared" si="0"/>
        <v>11</v>
      </c>
      <c r="B16" s="103" t="s">
        <v>168</v>
      </c>
      <c r="C16" s="147" t="str">
        <f>Inputs!C16</f>
        <v>No</v>
      </c>
      <c r="D16" s="290"/>
      <c r="E16" s="373" t="str">
        <f>Inputs!E16</f>
        <v>11. Indicate whether data is available on metric tonnes of waste in place.  Select "No" if only volume data are available. If annual disposal data are available, enter each year with data in Disposal &amp; LFG Recovery worksheet.</v>
      </c>
      <c r="F16" s="373"/>
      <c r="G16" s="373"/>
      <c r="H16" s="373"/>
      <c r="I16" s="373"/>
      <c r="J16" s="373"/>
      <c r="K16" s="373"/>
      <c r="L16" s="373"/>
      <c r="M16" s="373"/>
    </row>
    <row r="17" spans="1:18" ht="33" customHeight="1" x14ac:dyDescent="0.3">
      <c r="A17" s="293">
        <f t="shared" si="0"/>
        <v>12</v>
      </c>
      <c r="B17" s="103" t="s">
        <v>167</v>
      </c>
      <c r="C17" s="149">
        <v>7000000</v>
      </c>
      <c r="D17" s="151" t="str">
        <f>IF($C$16="No","m3","Mg")</f>
        <v>m3</v>
      </c>
      <c r="E17" s="373" t="str">
        <f>Inputs!E17</f>
        <v>12. Enter estimated amount of waste in place.  Estimate should reflect the most recent end-of-year value available. Units of measure for mass (Mg) or volume (m3) will be automatically selected based on answer to #11.</v>
      </c>
      <c r="F17" s="373"/>
      <c r="G17" s="373"/>
      <c r="H17" s="373"/>
      <c r="I17" s="373"/>
      <c r="J17" s="373"/>
      <c r="K17" s="373"/>
      <c r="L17" s="373"/>
      <c r="M17" s="373"/>
    </row>
    <row r="18" spans="1:18" ht="23.25" customHeight="1" x14ac:dyDescent="0.3">
      <c r="A18" s="293">
        <f t="shared" si="0"/>
        <v>13</v>
      </c>
      <c r="B18" s="103" t="s">
        <v>164</v>
      </c>
      <c r="C18" s="291">
        <f>Inputs!C18</f>
        <v>0.8</v>
      </c>
      <c r="D18" s="290" t="s">
        <v>189</v>
      </c>
      <c r="E18" s="373" t="str">
        <f>Inputs!E18</f>
        <v>13. Enter estimated in-place density.  Expected values are 0.5 to 1.0 Mg/m3 for MSW disposal sites.</v>
      </c>
      <c r="F18" s="373"/>
      <c r="G18" s="373"/>
      <c r="H18" s="373"/>
      <c r="I18" s="373"/>
      <c r="J18" s="373"/>
      <c r="K18" s="373"/>
      <c r="L18" s="373"/>
      <c r="M18" s="373"/>
    </row>
    <row r="19" spans="1:18" ht="23.25" customHeight="1" x14ac:dyDescent="0.3">
      <c r="A19" s="293">
        <f t="shared" si="0"/>
        <v>14</v>
      </c>
      <c r="B19" s="103" t="s">
        <v>165</v>
      </c>
      <c r="C19" s="292">
        <f>IF(D17="Mg",C17,C17*C18)</f>
        <v>5600000</v>
      </c>
      <c r="D19" s="290" t="s">
        <v>166</v>
      </c>
      <c r="E19" s="373" t="str">
        <f>Inputs!E19</f>
        <v>14. This value is calculated automatically (no user inputs)</v>
      </c>
      <c r="F19" s="373"/>
      <c r="G19" s="373"/>
      <c r="H19" s="373"/>
      <c r="I19" s="373"/>
      <c r="J19" s="373"/>
      <c r="K19" s="373"/>
      <c r="L19" s="373"/>
      <c r="M19" s="373"/>
    </row>
    <row r="20" spans="1:18" ht="21.75" customHeight="1" x14ac:dyDescent="0.3">
      <c r="A20" s="293">
        <f t="shared" si="0"/>
        <v>15</v>
      </c>
      <c r="B20" s="103" t="s">
        <v>107</v>
      </c>
      <c r="C20" s="148">
        <f>Inputs!C20</f>
        <v>2016</v>
      </c>
      <c r="D20" s="150"/>
      <c r="E20" s="373" t="str">
        <f>Inputs!E20</f>
        <v>15. Enter actual or projected year SWDS stops receiving waste.</v>
      </c>
      <c r="F20" s="373"/>
      <c r="G20" s="373"/>
      <c r="H20" s="373"/>
      <c r="I20" s="373"/>
      <c r="J20" s="373"/>
      <c r="K20" s="373"/>
      <c r="L20" s="373"/>
      <c r="M20" s="373"/>
    </row>
    <row r="21" spans="1:18" ht="21.75" customHeight="1" x14ac:dyDescent="0.3">
      <c r="A21" s="293">
        <f t="shared" si="0"/>
        <v>16</v>
      </c>
      <c r="B21" s="103" t="s">
        <v>108</v>
      </c>
      <c r="C21" s="152">
        <f>Inputs!C21</f>
        <v>0.02</v>
      </c>
      <c r="D21" s="153"/>
      <c r="E21" s="373" t="str">
        <f>Inputs!E21</f>
        <v>16. Enter estimated percentage annual growth in disposal.</v>
      </c>
      <c r="F21" s="373"/>
      <c r="G21" s="373"/>
      <c r="H21" s="373"/>
      <c r="I21" s="373"/>
      <c r="J21" s="373"/>
      <c r="K21" s="373"/>
      <c r="L21" s="373"/>
      <c r="M21" s="373"/>
    </row>
    <row r="22" spans="1:18" ht="22" customHeight="1" x14ac:dyDescent="0.3">
      <c r="A22" s="293">
        <f t="shared" si="0"/>
        <v>17</v>
      </c>
      <c r="B22" s="104" t="s">
        <v>336</v>
      </c>
      <c r="C22" s="148">
        <v>12</v>
      </c>
      <c r="D22" s="154" t="s">
        <v>38</v>
      </c>
      <c r="E22" s="373" t="str">
        <f>Inputs!E22</f>
        <v>17. Enter average current waste depth in meters for areas with wells or targeted for well installation.</v>
      </c>
      <c r="F22" s="373"/>
      <c r="G22" s="373"/>
      <c r="H22" s="373"/>
      <c r="I22" s="373"/>
      <c r="J22" s="373"/>
      <c r="K22" s="373"/>
      <c r="L22" s="373"/>
      <c r="M22" s="373"/>
      <c r="N22" s="244"/>
      <c r="O22" s="244"/>
      <c r="P22" s="244"/>
      <c r="Q22" s="244"/>
      <c r="R22" s="245"/>
    </row>
    <row r="23" spans="1:18" ht="33" customHeight="1" x14ac:dyDescent="0.3">
      <c r="A23" s="293">
        <f t="shared" si="0"/>
        <v>18</v>
      </c>
      <c r="B23" s="104" t="s">
        <v>156</v>
      </c>
      <c r="C23" s="148">
        <v>3</v>
      </c>
      <c r="D23" s="150"/>
      <c r="E23" s="373" t="str">
        <f>Inputs!E23</f>
        <v>18. Select value from dropdown menu: 1=Open Dump site; 2=Controlled Landfill or Dump site; 3=Sanitary Landfill; 4=Unknown.  See Users Manual for definitions of each category.</v>
      </c>
      <c r="F23" s="373"/>
      <c r="G23" s="373"/>
      <c r="H23" s="373"/>
      <c r="I23" s="373"/>
      <c r="J23" s="373"/>
      <c r="K23" s="373"/>
      <c r="L23" s="373"/>
      <c r="M23" s="373"/>
      <c r="N23" s="244"/>
      <c r="O23" s="244"/>
      <c r="P23" s="244"/>
      <c r="Q23" s="244"/>
      <c r="R23" s="245"/>
    </row>
    <row r="24" spans="1:18" ht="22" customHeight="1" x14ac:dyDescent="0.3">
      <c r="A24" s="293" t="s">
        <v>183</v>
      </c>
      <c r="B24" s="104" t="s">
        <v>77</v>
      </c>
      <c r="C24" s="155" t="s">
        <v>51</v>
      </c>
      <c r="D24" s="150"/>
      <c r="E24" s="373" t="str">
        <f>Inputs!E24</f>
        <v>19a. Select Yes or No from dropdown menu.  If unknown, select No.</v>
      </c>
      <c r="F24" s="373"/>
      <c r="G24" s="373"/>
      <c r="H24" s="373"/>
      <c r="I24" s="373"/>
      <c r="J24" s="373"/>
      <c r="K24" s="373"/>
      <c r="L24" s="373"/>
      <c r="M24" s="373"/>
      <c r="N24" s="244"/>
      <c r="O24" s="244"/>
      <c r="P24" s="244"/>
      <c r="Q24" s="244"/>
      <c r="R24" s="245"/>
    </row>
    <row r="25" spans="1:18" ht="22" customHeight="1" x14ac:dyDescent="0.3">
      <c r="A25" s="293" t="s">
        <v>184</v>
      </c>
      <c r="B25" s="104" t="s">
        <v>130</v>
      </c>
      <c r="C25" s="156">
        <v>0</v>
      </c>
      <c r="D25" s="150"/>
      <c r="E25" s="373" t="str">
        <f>Inputs!E25</f>
        <v>19b. If 19a answer is yes (impacted by fires) estimate % area impacted.</v>
      </c>
      <c r="F25" s="373"/>
      <c r="G25" s="373"/>
      <c r="H25" s="373"/>
      <c r="I25" s="373"/>
      <c r="J25" s="373"/>
      <c r="K25" s="373"/>
      <c r="L25" s="373"/>
      <c r="M25" s="373"/>
      <c r="N25" s="244"/>
      <c r="O25" s="244"/>
      <c r="P25" s="244"/>
      <c r="Q25" s="244"/>
      <c r="R25" s="245"/>
    </row>
    <row r="26" spans="1:18" ht="22" customHeight="1" x14ac:dyDescent="0.3">
      <c r="A26" s="293" t="s">
        <v>185</v>
      </c>
      <c r="B26" s="104" t="s">
        <v>131</v>
      </c>
      <c r="C26" s="155">
        <v>1</v>
      </c>
      <c r="D26" s="150"/>
      <c r="E26" s="373" t="str">
        <f>Inputs!E26</f>
        <v>19c. If 19a answer is yes, estimate severity of impacts (1=low impacts; 2=medium impacts; 3=severe impacts)</v>
      </c>
      <c r="F26" s="373"/>
      <c r="G26" s="373"/>
      <c r="H26" s="373"/>
      <c r="I26" s="373"/>
      <c r="J26" s="373"/>
      <c r="K26" s="373"/>
      <c r="L26" s="373"/>
      <c r="M26" s="373"/>
      <c r="N26" s="244"/>
      <c r="O26" s="244"/>
      <c r="P26" s="244"/>
      <c r="Q26" s="244"/>
      <c r="R26" s="245"/>
    </row>
    <row r="27" spans="1:18" ht="21.75" customHeight="1" x14ac:dyDescent="0.3">
      <c r="A27" s="293">
        <v>20</v>
      </c>
      <c r="B27" s="132" t="s">
        <v>153</v>
      </c>
      <c r="C27" s="147">
        <v>2013</v>
      </c>
      <c r="D27" s="157"/>
      <c r="E27" s="373" t="str">
        <f>Inputs!E27</f>
        <v>20. If no gas collection system is installed, give projected year of system start-up, and complete questions 17-22 based on anticipated conditions as of start-up date.</v>
      </c>
      <c r="F27" s="373"/>
      <c r="G27" s="373"/>
      <c r="H27" s="373"/>
      <c r="I27" s="373"/>
      <c r="J27" s="373"/>
      <c r="K27" s="373"/>
      <c r="L27" s="373"/>
      <c r="M27" s="373"/>
      <c r="N27" s="246"/>
    </row>
    <row r="28" spans="1:18" ht="26.25" customHeight="1" x14ac:dyDescent="0.3">
      <c r="A28" s="293">
        <v>21</v>
      </c>
      <c r="B28" s="132" t="s">
        <v>283</v>
      </c>
      <c r="C28" s="158">
        <v>0.9</v>
      </c>
      <c r="D28" s="159"/>
      <c r="E28" s="373" t="str">
        <f>Inputs!E28</f>
        <v>21. Enter a value up to 100% for current or future wellfield coverage of waste footprint (active disposal sites will be &lt; 100%)</v>
      </c>
      <c r="F28" s="373"/>
      <c r="G28" s="373"/>
      <c r="H28" s="373"/>
      <c r="I28" s="373"/>
      <c r="J28" s="373"/>
      <c r="K28" s="373"/>
      <c r="L28" s="373"/>
      <c r="M28" s="373"/>
      <c r="N28" s="246"/>
    </row>
    <row r="29" spans="1:18" ht="22" customHeight="1" x14ac:dyDescent="0.3">
      <c r="A29" s="293">
        <v>22</v>
      </c>
      <c r="B29" s="103" t="s">
        <v>238</v>
      </c>
      <c r="C29" s="158">
        <v>0</v>
      </c>
      <c r="D29" s="159"/>
      <c r="E29" s="373" t="str">
        <f>Inputs!E29</f>
        <v>22. Enter a value up to 100% for % of waste area with an engineered final cover.</v>
      </c>
      <c r="F29" s="373"/>
      <c r="G29" s="373"/>
      <c r="H29" s="373"/>
      <c r="I29" s="373"/>
      <c r="J29" s="373"/>
      <c r="K29" s="373"/>
      <c r="L29" s="373"/>
      <c r="M29" s="373"/>
      <c r="N29" s="246"/>
    </row>
    <row r="30" spans="1:18" ht="30" customHeight="1" x14ac:dyDescent="0.3">
      <c r="A30" s="293">
        <v>23</v>
      </c>
      <c r="B30" s="132" t="s">
        <v>239</v>
      </c>
      <c r="C30" s="158">
        <v>0.9</v>
      </c>
      <c r="D30" s="159"/>
      <c r="E30" s="373" t="str">
        <f>Inputs!E30</f>
        <v>23. Enter a value up to 100% for % of waste area with intermediate cover, including closed areas without engineered (low permeability) final cover.</v>
      </c>
      <c r="F30" s="373"/>
      <c r="G30" s="373"/>
      <c r="H30" s="373"/>
      <c r="I30" s="373"/>
      <c r="J30" s="373"/>
      <c r="K30" s="373"/>
      <c r="L30" s="373"/>
      <c r="M30" s="373"/>
      <c r="N30" s="246"/>
    </row>
    <row r="31" spans="1:18" ht="22" customHeight="1" x14ac:dyDescent="0.3">
      <c r="A31" s="293">
        <v>24</v>
      </c>
      <c r="B31" s="132" t="s">
        <v>240</v>
      </c>
      <c r="C31" s="158">
        <v>0.1</v>
      </c>
      <c r="D31" s="159"/>
      <c r="E31" s="373" t="str">
        <f>Inputs!E31</f>
        <v>24. Enter a value up to 100% for % of waste area with daily cover only.</v>
      </c>
      <c r="F31" s="373"/>
      <c r="G31" s="373"/>
      <c r="H31" s="373"/>
      <c r="I31" s="373"/>
      <c r="J31" s="373"/>
      <c r="K31" s="373"/>
      <c r="L31" s="373"/>
      <c r="M31" s="373"/>
      <c r="N31" s="246"/>
    </row>
    <row r="32" spans="1:18" ht="22" customHeight="1" x14ac:dyDescent="0.3">
      <c r="A32" s="293">
        <v>25</v>
      </c>
      <c r="B32" s="132" t="s">
        <v>241</v>
      </c>
      <c r="C32" s="160">
        <f>1-SUM(C29:C31)</f>
        <v>0</v>
      </c>
      <c r="D32" s="159"/>
      <c r="E32" s="373" t="str">
        <f>Inputs!E32</f>
        <v>25. Value automatically calculated as the remaining area</v>
      </c>
      <c r="F32" s="373"/>
      <c r="G32" s="373"/>
      <c r="H32" s="373"/>
      <c r="I32" s="373"/>
      <c r="J32" s="373"/>
      <c r="K32" s="373"/>
      <c r="L32" s="373"/>
      <c r="M32" s="373"/>
      <c r="N32" s="246"/>
    </row>
    <row r="33" spans="1:20" ht="27.75" customHeight="1" x14ac:dyDescent="0.3">
      <c r="A33" s="293">
        <v>26</v>
      </c>
      <c r="B33" s="132" t="s">
        <v>242</v>
      </c>
      <c r="C33" s="158">
        <v>0</v>
      </c>
      <c r="D33" s="159"/>
      <c r="E33" s="373" t="str">
        <f>Inputs!E33</f>
        <v>26. Enter a value up to 100% for % of waste area with clay or synthetic liner.</v>
      </c>
      <c r="F33" s="373"/>
      <c r="G33" s="373"/>
      <c r="H33" s="373"/>
      <c r="I33" s="373"/>
      <c r="J33" s="373"/>
      <c r="K33" s="373"/>
      <c r="L33" s="373"/>
      <c r="M33" s="373"/>
      <c r="N33" s="246"/>
    </row>
    <row r="34" spans="1:20" ht="22" customHeight="1" x14ac:dyDescent="0.3">
      <c r="A34" s="293">
        <v>27</v>
      </c>
      <c r="B34" s="104" t="s">
        <v>85</v>
      </c>
      <c r="C34" s="147" t="s">
        <v>50</v>
      </c>
      <c r="D34" s="150"/>
      <c r="E34" s="373" t="str">
        <f>Inputs!E34</f>
        <v>27. Select Yes or No from dropdown menu.</v>
      </c>
      <c r="F34" s="373"/>
      <c r="G34" s="373"/>
      <c r="H34" s="373"/>
      <c r="I34" s="373"/>
      <c r="J34" s="373"/>
      <c r="K34" s="373"/>
      <c r="L34" s="373"/>
      <c r="M34" s="373"/>
      <c r="N34" s="244"/>
      <c r="O34" s="244"/>
      <c r="P34" s="244"/>
      <c r="Q34" s="244"/>
      <c r="R34" s="245"/>
    </row>
    <row r="35" spans="1:20" ht="22" customHeight="1" x14ac:dyDescent="0.3">
      <c r="A35" s="293">
        <v>28</v>
      </c>
      <c r="B35" s="105" t="s">
        <v>352</v>
      </c>
      <c r="C35" s="147" t="s">
        <v>50</v>
      </c>
      <c r="D35" s="150"/>
      <c r="E35" s="373" t="str">
        <f>Inputs!E35</f>
        <v>28. Select Yes or No from dropdown menu.</v>
      </c>
      <c r="F35" s="373"/>
      <c r="G35" s="373"/>
      <c r="H35" s="373"/>
      <c r="I35" s="373"/>
      <c r="J35" s="373"/>
      <c r="K35" s="373"/>
      <c r="L35" s="373"/>
      <c r="M35" s="373"/>
      <c r="N35" s="247"/>
      <c r="O35" s="247"/>
      <c r="P35" s="247"/>
      <c r="Q35" s="247"/>
      <c r="R35" s="245"/>
    </row>
    <row r="36" spans="1:20" ht="22" customHeight="1" x14ac:dyDescent="0.3">
      <c r="A36" s="293" t="s">
        <v>186</v>
      </c>
      <c r="B36" s="105" t="s">
        <v>86</v>
      </c>
      <c r="C36" s="147" t="s">
        <v>50</v>
      </c>
      <c r="D36" s="150"/>
      <c r="E36" s="373" t="str">
        <f>Inputs!E36</f>
        <v>29a. Select Yes or No from dropdown menu.</v>
      </c>
      <c r="F36" s="373"/>
      <c r="G36" s="373"/>
      <c r="H36" s="373"/>
      <c r="I36" s="373"/>
      <c r="J36" s="373"/>
      <c r="K36" s="373"/>
      <c r="L36" s="373"/>
      <c r="M36" s="373"/>
      <c r="N36" s="244"/>
      <c r="O36" s="244"/>
      <c r="P36" s="244"/>
      <c r="Q36" s="244"/>
      <c r="R36" s="245"/>
    </row>
    <row r="37" spans="1:20" ht="22" customHeight="1" x14ac:dyDescent="0.3">
      <c r="A37" s="293" t="s">
        <v>187</v>
      </c>
      <c r="B37" s="105" t="s">
        <v>132</v>
      </c>
      <c r="C37" s="161" t="s">
        <v>50</v>
      </c>
      <c r="D37" s="150"/>
      <c r="E37" s="373" t="str">
        <f>Inputs!E37</f>
        <v>29b. If 29a answer is yes, indicate if seeps or ponding occur only immediately following rainstorms.</v>
      </c>
      <c r="F37" s="373"/>
      <c r="G37" s="373"/>
      <c r="H37" s="373"/>
      <c r="I37" s="373"/>
      <c r="J37" s="373"/>
      <c r="K37" s="373"/>
      <c r="L37" s="373"/>
      <c r="M37" s="373"/>
      <c r="N37" s="244"/>
      <c r="O37" s="244"/>
      <c r="P37" s="244"/>
      <c r="Q37" s="244"/>
      <c r="R37" s="245"/>
    </row>
    <row r="38" spans="1:20" ht="22" customHeight="1" x14ac:dyDescent="0.3">
      <c r="A38" s="293">
        <v>30</v>
      </c>
      <c r="B38" s="103" t="s">
        <v>143</v>
      </c>
      <c r="C38" s="372">
        <f>'Disposal&amp;LFG Recovery-wells'!J22</f>
        <v>0.59</v>
      </c>
      <c r="D38" s="159"/>
      <c r="E38" s="373" t="str">
        <f>Inputs!E38</f>
        <v>30. This value is calculated based on the inputs above.</v>
      </c>
      <c r="F38" s="373"/>
      <c r="G38" s="373"/>
      <c r="H38" s="373"/>
      <c r="I38" s="373"/>
      <c r="J38" s="373"/>
      <c r="K38" s="373"/>
      <c r="L38" s="373"/>
      <c r="M38" s="373"/>
      <c r="N38" s="248"/>
      <c r="O38" s="246"/>
      <c r="P38" s="246"/>
      <c r="Q38" s="246"/>
      <c r="R38" s="246"/>
      <c r="S38" s="246"/>
      <c r="T38" s="246"/>
    </row>
    <row r="39" spans="1:20" x14ac:dyDescent="0.3">
      <c r="H39" s="250"/>
      <c r="I39" s="251"/>
      <c r="J39" s="252"/>
      <c r="K39" s="251"/>
      <c r="L39" s="251"/>
      <c r="M39" s="253"/>
      <c r="N39" s="248"/>
      <c r="O39" s="246"/>
      <c r="P39" s="246"/>
      <c r="Q39" s="246"/>
      <c r="R39" s="246"/>
      <c r="S39" s="246"/>
      <c r="T39" s="246"/>
    </row>
    <row r="40" spans="1:20" x14ac:dyDescent="0.3">
      <c r="H40" s="250"/>
      <c r="I40" s="251"/>
      <c r="J40" s="252"/>
      <c r="K40" s="251"/>
      <c r="L40" s="251"/>
      <c r="M40" s="253"/>
      <c r="N40" s="248"/>
      <c r="O40" s="246"/>
      <c r="P40" s="246"/>
      <c r="Q40" s="246"/>
      <c r="R40" s="246"/>
      <c r="S40" s="246"/>
      <c r="T40" s="246"/>
    </row>
    <row r="41" spans="1:20" x14ac:dyDescent="0.3">
      <c r="B41" s="254"/>
      <c r="C41" s="255"/>
      <c r="D41" s="256"/>
      <c r="H41" s="250"/>
      <c r="I41" s="251"/>
      <c r="J41" s="252"/>
      <c r="K41" s="251"/>
      <c r="L41" s="251"/>
      <c r="M41" s="253"/>
      <c r="N41" s="248"/>
      <c r="O41" s="246"/>
      <c r="P41" s="246"/>
      <c r="Q41" s="246"/>
      <c r="R41" s="246"/>
      <c r="S41" s="246"/>
      <c r="T41" s="246"/>
    </row>
    <row r="42" spans="1:20" x14ac:dyDescent="0.3">
      <c r="B42" s="254"/>
      <c r="C42" s="255"/>
      <c r="D42" s="256"/>
      <c r="H42" s="250"/>
      <c r="I42" s="251"/>
      <c r="J42" s="252"/>
      <c r="K42" s="251"/>
      <c r="L42" s="251"/>
      <c r="M42" s="253"/>
      <c r="N42" s="248"/>
      <c r="O42" s="246"/>
      <c r="P42" s="246"/>
      <c r="Q42" s="246"/>
      <c r="R42" s="246"/>
      <c r="S42" s="246"/>
      <c r="T42" s="246"/>
    </row>
    <row r="43" spans="1:20" x14ac:dyDescent="0.3">
      <c r="B43" s="254"/>
      <c r="C43" s="255"/>
      <c r="D43" s="256"/>
      <c r="H43" s="250"/>
      <c r="I43" s="251"/>
      <c r="J43" s="252"/>
      <c r="K43" s="251"/>
      <c r="L43" s="251"/>
      <c r="M43" s="253"/>
      <c r="N43" s="248"/>
      <c r="O43" s="246"/>
      <c r="P43" s="246"/>
      <c r="Q43" s="246"/>
      <c r="R43" s="246"/>
      <c r="S43" s="246"/>
      <c r="T43" s="246"/>
    </row>
    <row r="44" spans="1:20" x14ac:dyDescent="0.3">
      <c r="B44" s="254"/>
      <c r="C44" s="255"/>
      <c r="D44" s="256"/>
      <c r="H44" s="250"/>
      <c r="I44" s="251"/>
      <c r="J44" s="252"/>
      <c r="K44" s="251"/>
      <c r="L44" s="251"/>
      <c r="M44" s="253"/>
      <c r="N44" s="248"/>
      <c r="O44" s="246"/>
      <c r="P44" s="246"/>
      <c r="Q44" s="246"/>
      <c r="R44" s="246"/>
      <c r="S44" s="246"/>
      <c r="T44" s="246"/>
    </row>
    <row r="45" spans="1:20" x14ac:dyDescent="0.3">
      <c r="B45" s="254"/>
      <c r="C45" s="255"/>
      <c r="D45" s="256"/>
      <c r="H45" s="250"/>
      <c r="I45" s="251"/>
      <c r="J45" s="252"/>
      <c r="K45" s="257"/>
      <c r="L45" s="257"/>
      <c r="M45" s="257"/>
      <c r="N45" s="248"/>
      <c r="O45" s="246"/>
      <c r="P45" s="246"/>
      <c r="Q45" s="246"/>
      <c r="R45" s="246"/>
      <c r="S45" s="246"/>
      <c r="T45" s="246"/>
    </row>
    <row r="46" spans="1:20" x14ac:dyDescent="0.3">
      <c r="B46" s="254"/>
      <c r="C46" s="255"/>
      <c r="D46" s="256"/>
      <c r="H46" s="250"/>
      <c r="I46" s="251"/>
      <c r="J46" s="252"/>
      <c r="K46" s="257"/>
      <c r="L46" s="257"/>
      <c r="M46" s="257"/>
      <c r="N46" s="248"/>
      <c r="O46" s="246"/>
      <c r="P46" s="246"/>
      <c r="Q46" s="246"/>
      <c r="R46" s="246"/>
      <c r="S46" s="246"/>
      <c r="T46" s="246"/>
    </row>
    <row r="47" spans="1:20" x14ac:dyDescent="0.3">
      <c r="A47" s="202"/>
      <c r="B47" s="202"/>
      <c r="C47" s="255"/>
      <c r="D47" s="256"/>
      <c r="H47" s="250"/>
      <c r="I47" s="251"/>
      <c r="J47" s="252"/>
      <c r="K47" s="257"/>
      <c r="L47" s="257"/>
      <c r="N47" s="248"/>
    </row>
    <row r="48" spans="1:20" x14ac:dyDescent="0.3">
      <c r="A48" s="202"/>
      <c r="B48" s="202"/>
      <c r="C48" s="255"/>
      <c r="D48" s="256"/>
      <c r="H48" s="250"/>
      <c r="I48" s="251"/>
      <c r="J48" s="252"/>
      <c r="K48" s="257"/>
      <c r="L48" s="257"/>
      <c r="N48" s="248"/>
    </row>
    <row r="49" spans="1:14" x14ac:dyDescent="0.3">
      <c r="A49" s="202"/>
      <c r="B49" s="202"/>
      <c r="C49" s="255"/>
      <c r="D49" s="256"/>
      <c r="H49" s="250"/>
      <c r="I49" s="251"/>
      <c r="J49" s="252"/>
      <c r="K49" s="257"/>
      <c r="L49" s="257"/>
      <c r="N49" s="248"/>
    </row>
    <row r="50" spans="1:14" x14ac:dyDescent="0.3">
      <c r="A50" s="202"/>
      <c r="B50" s="202"/>
      <c r="C50" s="255"/>
      <c r="D50" s="256"/>
      <c r="H50" s="250"/>
      <c r="I50" s="251"/>
      <c r="J50" s="252"/>
      <c r="K50" s="257"/>
      <c r="L50" s="257"/>
      <c r="N50" s="248"/>
    </row>
    <row r="51" spans="1:14" x14ac:dyDescent="0.3">
      <c r="A51" s="202"/>
      <c r="B51" s="202"/>
      <c r="C51" s="258"/>
      <c r="H51" s="250"/>
      <c r="I51" s="251"/>
      <c r="J51" s="252"/>
      <c r="K51" s="257"/>
      <c r="L51" s="257"/>
      <c r="N51" s="248"/>
    </row>
    <row r="52" spans="1:14" x14ac:dyDescent="0.3">
      <c r="A52" s="202"/>
      <c r="B52" s="202"/>
      <c r="H52" s="250"/>
      <c r="I52" s="251"/>
      <c r="J52" s="252"/>
      <c r="K52" s="257"/>
      <c r="L52" s="257"/>
      <c r="N52" s="248"/>
    </row>
    <row r="53" spans="1:14" x14ac:dyDescent="0.3">
      <c r="A53" s="202"/>
      <c r="B53" s="202"/>
      <c r="H53" s="250"/>
      <c r="I53" s="251"/>
      <c r="J53" s="252"/>
      <c r="K53" s="257"/>
      <c r="L53" s="257"/>
      <c r="N53" s="248"/>
    </row>
    <row r="54" spans="1:14" x14ac:dyDescent="0.3">
      <c r="A54" s="202"/>
      <c r="B54" s="202"/>
      <c r="H54" s="250"/>
      <c r="I54" s="251"/>
      <c r="J54" s="252"/>
      <c r="K54" s="257"/>
      <c r="L54" s="257"/>
      <c r="N54" s="248"/>
    </row>
    <row r="55" spans="1:14" x14ac:dyDescent="0.3">
      <c r="A55" s="202"/>
      <c r="B55" s="202"/>
      <c r="H55" s="250"/>
      <c r="I55" s="251"/>
      <c r="J55" s="252"/>
      <c r="K55" s="257"/>
      <c r="L55" s="257"/>
      <c r="N55" s="248"/>
    </row>
    <row r="56" spans="1:14" x14ac:dyDescent="0.3">
      <c r="A56" s="202"/>
      <c r="B56" s="202"/>
      <c r="H56" s="250"/>
      <c r="I56" s="251"/>
      <c r="J56" s="252"/>
      <c r="K56" s="257"/>
      <c r="L56" s="257"/>
      <c r="N56" s="248"/>
    </row>
    <row r="57" spans="1:14" x14ac:dyDescent="0.3">
      <c r="A57" s="202"/>
      <c r="B57" s="202"/>
      <c r="H57" s="250"/>
      <c r="I57" s="251"/>
      <c r="J57" s="252"/>
      <c r="K57" s="257"/>
      <c r="L57" s="257"/>
      <c r="N57" s="248"/>
    </row>
    <row r="58" spans="1:14" x14ac:dyDescent="0.3">
      <c r="A58" s="202"/>
      <c r="B58" s="202"/>
      <c r="H58" s="250"/>
      <c r="I58" s="251"/>
      <c r="J58" s="252"/>
      <c r="K58" s="257"/>
      <c r="L58" s="257"/>
      <c r="N58" s="248"/>
    </row>
    <row r="59" spans="1:14" x14ac:dyDescent="0.3">
      <c r="A59" s="202"/>
      <c r="B59" s="202"/>
      <c r="H59" s="250"/>
      <c r="I59" s="251"/>
      <c r="J59" s="252"/>
      <c r="K59" s="257"/>
      <c r="L59" s="257"/>
      <c r="N59" s="248"/>
    </row>
    <row r="60" spans="1:14" x14ac:dyDescent="0.3">
      <c r="A60" s="202"/>
      <c r="B60" s="202"/>
      <c r="H60" s="250"/>
      <c r="I60" s="251"/>
      <c r="J60" s="252"/>
      <c r="K60" s="257"/>
      <c r="L60" s="257"/>
      <c r="N60" s="248"/>
    </row>
    <row r="61" spans="1:14" x14ac:dyDescent="0.3">
      <c r="A61" s="202"/>
      <c r="B61" s="202"/>
      <c r="H61" s="250"/>
      <c r="I61" s="251"/>
      <c r="J61" s="252"/>
      <c r="K61" s="257"/>
      <c r="L61" s="257"/>
      <c r="N61" s="248"/>
    </row>
    <row r="62" spans="1:14" x14ac:dyDescent="0.3">
      <c r="A62" s="202"/>
      <c r="B62" s="202"/>
      <c r="H62" s="250"/>
      <c r="I62" s="251"/>
      <c r="J62" s="252"/>
      <c r="K62" s="257"/>
      <c r="L62" s="257"/>
      <c r="N62" s="248"/>
    </row>
    <row r="63" spans="1:14" x14ac:dyDescent="0.3">
      <c r="A63" s="202"/>
      <c r="B63" s="202"/>
      <c r="H63" s="250"/>
      <c r="I63" s="251"/>
      <c r="J63" s="252"/>
      <c r="K63" s="257"/>
      <c r="L63" s="257"/>
      <c r="N63" s="248"/>
    </row>
    <row r="64" spans="1:14" x14ac:dyDescent="0.3">
      <c r="A64" s="202"/>
      <c r="B64" s="202"/>
      <c r="H64" s="250"/>
      <c r="I64" s="251"/>
      <c r="J64" s="252"/>
      <c r="K64" s="257"/>
      <c r="L64" s="257"/>
      <c r="N64" s="248"/>
    </row>
    <row r="65" spans="1:14" x14ac:dyDescent="0.3">
      <c r="A65" s="202"/>
      <c r="B65" s="202"/>
      <c r="H65" s="250"/>
      <c r="I65" s="251"/>
      <c r="J65" s="252"/>
      <c r="K65" s="257"/>
      <c r="L65" s="257"/>
      <c r="N65" s="248"/>
    </row>
    <row r="66" spans="1:14" x14ac:dyDescent="0.3">
      <c r="A66" s="202"/>
      <c r="B66" s="202"/>
      <c r="H66" s="250"/>
      <c r="I66" s="251"/>
      <c r="J66" s="252"/>
      <c r="K66" s="257"/>
      <c r="L66" s="257"/>
      <c r="N66" s="248"/>
    </row>
    <row r="67" spans="1:14" x14ac:dyDescent="0.3">
      <c r="A67" s="202"/>
      <c r="B67" s="202"/>
      <c r="H67" s="250"/>
      <c r="I67" s="251"/>
      <c r="J67" s="252"/>
      <c r="K67" s="257"/>
      <c r="L67" s="257"/>
      <c r="N67" s="248"/>
    </row>
    <row r="68" spans="1:14" x14ac:dyDescent="0.3">
      <c r="A68" s="202"/>
      <c r="B68" s="202"/>
      <c r="H68" s="250"/>
      <c r="I68" s="251"/>
      <c r="J68" s="252"/>
      <c r="K68" s="257"/>
      <c r="L68" s="257"/>
      <c r="N68" s="248"/>
    </row>
    <row r="69" spans="1:14" x14ac:dyDescent="0.3">
      <c r="A69" s="202"/>
      <c r="B69" s="202"/>
      <c r="H69" s="250"/>
      <c r="I69" s="251"/>
      <c r="J69" s="252"/>
      <c r="K69" s="257"/>
      <c r="L69" s="257"/>
      <c r="N69" s="248"/>
    </row>
    <row r="70" spans="1:14" x14ac:dyDescent="0.3">
      <c r="A70" s="202"/>
      <c r="B70" s="202"/>
      <c r="H70" s="250"/>
      <c r="I70" s="251"/>
      <c r="J70" s="252"/>
      <c r="K70" s="257"/>
      <c r="L70" s="257"/>
      <c r="N70" s="248"/>
    </row>
    <row r="71" spans="1:14" x14ac:dyDescent="0.3">
      <c r="A71" s="202"/>
      <c r="B71" s="202"/>
      <c r="H71" s="250"/>
      <c r="I71" s="251"/>
      <c r="J71" s="252"/>
      <c r="K71" s="257"/>
      <c r="L71" s="257"/>
      <c r="N71" s="248"/>
    </row>
    <row r="72" spans="1:14" x14ac:dyDescent="0.3">
      <c r="A72" s="202"/>
      <c r="B72" s="202"/>
      <c r="H72" s="250"/>
      <c r="I72" s="251"/>
      <c r="J72" s="252"/>
      <c r="K72" s="257"/>
      <c r="L72" s="257"/>
      <c r="N72" s="248"/>
    </row>
    <row r="73" spans="1:14" x14ac:dyDescent="0.3">
      <c r="A73" s="202"/>
      <c r="B73" s="202"/>
      <c r="H73" s="250"/>
      <c r="I73" s="251"/>
      <c r="J73" s="252"/>
      <c r="K73" s="257"/>
      <c r="L73" s="257"/>
      <c r="N73" s="248"/>
    </row>
    <row r="74" spans="1:14" x14ac:dyDescent="0.3">
      <c r="A74" s="202"/>
      <c r="B74" s="202"/>
      <c r="C74" s="259"/>
      <c r="D74" s="260"/>
      <c r="E74" s="261"/>
      <c r="H74" s="250"/>
      <c r="I74" s="251"/>
      <c r="J74" s="252"/>
      <c r="K74" s="257"/>
      <c r="L74" s="257"/>
      <c r="N74" s="248"/>
    </row>
    <row r="75" spans="1:14" x14ac:dyDescent="0.3">
      <c r="A75" s="202"/>
      <c r="B75" s="202"/>
      <c r="H75" s="250"/>
      <c r="I75" s="251"/>
      <c r="J75" s="252"/>
      <c r="K75" s="257"/>
      <c r="L75" s="257"/>
      <c r="N75" s="248"/>
    </row>
    <row r="76" spans="1:14" x14ac:dyDescent="0.3">
      <c r="A76" s="202"/>
      <c r="B76" s="202"/>
      <c r="H76" s="250"/>
      <c r="I76" s="251"/>
      <c r="J76" s="252"/>
      <c r="K76" s="257"/>
      <c r="L76" s="257"/>
    </row>
    <row r="77" spans="1:14" x14ac:dyDescent="0.3">
      <c r="A77" s="202"/>
      <c r="B77" s="202"/>
      <c r="H77" s="250"/>
      <c r="I77" s="251"/>
      <c r="J77" s="252"/>
      <c r="K77" s="257"/>
      <c r="L77" s="257"/>
    </row>
    <row r="78" spans="1:14" x14ac:dyDescent="0.3">
      <c r="A78" s="202"/>
      <c r="B78" s="202"/>
      <c r="H78" s="250"/>
      <c r="I78" s="251"/>
      <c r="J78" s="252"/>
      <c r="K78" s="257"/>
      <c r="L78" s="257"/>
    </row>
    <row r="79" spans="1:14" x14ac:dyDescent="0.3">
      <c r="A79" s="202"/>
      <c r="B79" s="202"/>
      <c r="C79" s="202"/>
      <c r="D79" s="202"/>
      <c r="E79" s="202"/>
      <c r="F79" s="202"/>
      <c r="G79" s="202"/>
      <c r="H79" s="250"/>
      <c r="I79" s="251"/>
      <c r="J79" s="252"/>
      <c r="K79" s="257"/>
      <c r="L79" s="257"/>
      <c r="M79" s="202"/>
    </row>
    <row r="80" spans="1:14" x14ac:dyDescent="0.3">
      <c r="A80" s="202"/>
      <c r="B80" s="202"/>
      <c r="C80" s="202"/>
      <c r="D80" s="202"/>
      <c r="E80" s="202"/>
      <c r="F80" s="202"/>
      <c r="G80" s="202"/>
      <c r="H80" s="250"/>
      <c r="I80" s="251"/>
      <c r="J80" s="252"/>
      <c r="K80" s="257"/>
      <c r="L80" s="257"/>
      <c r="M80" s="202"/>
    </row>
    <row r="81" spans="1:13" x14ac:dyDescent="0.3">
      <c r="A81" s="202"/>
      <c r="B81" s="202"/>
      <c r="C81" s="202"/>
      <c r="D81" s="202"/>
      <c r="E81" s="202"/>
      <c r="F81" s="202"/>
      <c r="G81" s="202"/>
      <c r="H81" s="250"/>
      <c r="I81" s="251"/>
      <c r="J81" s="252"/>
      <c r="K81" s="257"/>
      <c r="L81" s="257"/>
      <c r="M81" s="202"/>
    </row>
    <row r="82" spans="1:13" x14ac:dyDescent="0.3">
      <c r="A82" s="202"/>
      <c r="B82" s="202"/>
      <c r="C82" s="202"/>
      <c r="D82" s="202"/>
      <c r="E82" s="202"/>
      <c r="F82" s="202"/>
      <c r="G82" s="202"/>
      <c r="H82" s="250"/>
      <c r="I82" s="251"/>
      <c r="J82" s="252"/>
      <c r="K82" s="257"/>
      <c r="L82" s="257"/>
      <c r="M82" s="202"/>
    </row>
    <row r="83" spans="1:13" x14ac:dyDescent="0.3">
      <c r="A83" s="202"/>
      <c r="B83" s="202"/>
      <c r="C83" s="202"/>
      <c r="D83" s="202"/>
      <c r="E83" s="202"/>
      <c r="F83" s="202"/>
      <c r="G83" s="202"/>
      <c r="H83" s="250"/>
      <c r="I83" s="251"/>
      <c r="J83" s="252"/>
      <c r="K83" s="257"/>
      <c r="L83" s="257"/>
      <c r="M83" s="202"/>
    </row>
    <row r="84" spans="1:13" x14ac:dyDescent="0.3">
      <c r="A84" s="202"/>
      <c r="B84" s="202"/>
      <c r="C84" s="202"/>
      <c r="D84" s="202"/>
      <c r="E84" s="202"/>
      <c r="F84" s="202"/>
      <c r="G84" s="202"/>
      <c r="H84" s="250"/>
      <c r="I84" s="251"/>
      <c r="J84" s="252"/>
      <c r="K84" s="257"/>
      <c r="L84" s="257"/>
      <c r="M84" s="202"/>
    </row>
    <row r="85" spans="1:13" x14ac:dyDescent="0.3">
      <c r="A85" s="202"/>
      <c r="B85" s="202"/>
      <c r="C85" s="202"/>
      <c r="D85" s="202"/>
      <c r="E85" s="202"/>
      <c r="F85" s="202"/>
      <c r="G85" s="202"/>
      <c r="H85" s="250"/>
      <c r="I85" s="251"/>
      <c r="J85" s="252"/>
      <c r="K85" s="257"/>
      <c r="L85" s="257"/>
      <c r="M85" s="202"/>
    </row>
    <row r="86" spans="1:13" x14ac:dyDescent="0.3">
      <c r="A86" s="202"/>
      <c r="B86" s="202"/>
      <c r="C86" s="202"/>
      <c r="D86" s="202"/>
      <c r="E86" s="202"/>
      <c r="F86" s="202"/>
      <c r="G86" s="202"/>
      <c r="H86" s="250"/>
      <c r="I86" s="251"/>
      <c r="J86" s="252"/>
      <c r="K86" s="257"/>
      <c r="L86" s="257"/>
      <c r="M86" s="202"/>
    </row>
    <row r="87" spans="1:13" x14ac:dyDescent="0.3">
      <c r="A87" s="202"/>
      <c r="B87" s="202"/>
      <c r="C87" s="202"/>
      <c r="D87" s="202"/>
      <c r="E87" s="202"/>
      <c r="F87" s="202"/>
      <c r="G87" s="202"/>
      <c r="H87" s="250"/>
      <c r="I87" s="251"/>
      <c r="J87" s="252"/>
      <c r="K87" s="257"/>
      <c r="L87" s="257"/>
      <c r="M87" s="202"/>
    </row>
    <row r="88" spans="1:13" x14ac:dyDescent="0.3">
      <c r="A88" s="202"/>
      <c r="B88" s="202"/>
      <c r="C88" s="202"/>
      <c r="D88" s="202"/>
      <c r="E88" s="202"/>
      <c r="F88" s="202"/>
      <c r="G88" s="202"/>
      <c r="H88" s="250"/>
      <c r="I88" s="251"/>
      <c r="J88" s="252"/>
      <c r="K88" s="257"/>
      <c r="L88" s="257"/>
      <c r="M88" s="202"/>
    </row>
    <row r="89" spans="1:13" x14ac:dyDescent="0.3">
      <c r="A89" s="202"/>
      <c r="B89" s="202"/>
      <c r="C89" s="202"/>
      <c r="D89" s="202"/>
      <c r="E89" s="202"/>
      <c r="F89" s="202"/>
      <c r="G89" s="202"/>
      <c r="H89" s="250"/>
      <c r="I89" s="251"/>
      <c r="J89" s="252"/>
      <c r="K89" s="257"/>
      <c r="L89" s="257"/>
      <c r="M89" s="202"/>
    </row>
    <row r="90" spans="1:13" x14ac:dyDescent="0.3">
      <c r="A90" s="202"/>
      <c r="B90" s="202"/>
      <c r="C90" s="202"/>
      <c r="D90" s="202"/>
      <c r="E90" s="202"/>
      <c r="F90" s="202"/>
      <c r="G90" s="202"/>
      <c r="H90" s="250"/>
      <c r="I90" s="251"/>
      <c r="J90" s="252"/>
      <c r="K90" s="257"/>
      <c r="L90" s="257"/>
      <c r="M90" s="202"/>
    </row>
    <row r="91" spans="1:13" x14ac:dyDescent="0.3">
      <c r="A91" s="202"/>
      <c r="B91" s="202"/>
      <c r="C91" s="202"/>
      <c r="D91" s="202"/>
      <c r="E91" s="202"/>
      <c r="F91" s="202"/>
      <c r="G91" s="202"/>
      <c r="H91" s="250"/>
      <c r="I91" s="251"/>
      <c r="J91" s="252"/>
      <c r="K91" s="257"/>
      <c r="L91" s="257"/>
      <c r="M91" s="202"/>
    </row>
    <row r="92" spans="1:13" x14ac:dyDescent="0.3">
      <c r="A92" s="202"/>
      <c r="B92" s="202"/>
      <c r="C92" s="202"/>
      <c r="D92" s="202"/>
      <c r="E92" s="202"/>
      <c r="F92" s="202"/>
      <c r="G92" s="202"/>
      <c r="H92" s="250"/>
      <c r="I92" s="251"/>
      <c r="J92" s="252"/>
      <c r="K92" s="257"/>
      <c r="L92" s="257"/>
      <c r="M92" s="202"/>
    </row>
    <row r="93" spans="1:13" x14ac:dyDescent="0.3">
      <c r="A93" s="202"/>
      <c r="B93" s="202"/>
      <c r="C93" s="202"/>
      <c r="D93" s="202"/>
      <c r="E93" s="202"/>
      <c r="F93" s="202"/>
      <c r="G93" s="202"/>
      <c r="H93" s="250"/>
      <c r="I93" s="251"/>
      <c r="J93" s="252"/>
      <c r="K93" s="257"/>
      <c r="L93" s="257"/>
      <c r="M93" s="202"/>
    </row>
    <row r="94" spans="1:13" x14ac:dyDescent="0.3">
      <c r="A94" s="202"/>
      <c r="B94" s="202"/>
      <c r="C94" s="202"/>
      <c r="D94" s="202"/>
      <c r="E94" s="202"/>
      <c r="F94" s="202"/>
      <c r="G94" s="202"/>
      <c r="H94" s="250"/>
      <c r="I94" s="251"/>
      <c r="J94" s="252"/>
      <c r="K94" s="257"/>
      <c r="L94" s="257"/>
      <c r="M94" s="202"/>
    </row>
    <row r="95" spans="1:13" x14ac:dyDescent="0.3">
      <c r="A95" s="202"/>
      <c r="B95" s="202"/>
      <c r="C95" s="202"/>
      <c r="D95" s="202"/>
      <c r="E95" s="202"/>
      <c r="F95" s="202"/>
      <c r="G95" s="202"/>
      <c r="H95" s="250"/>
      <c r="I95" s="251"/>
      <c r="J95" s="252"/>
      <c r="K95" s="257"/>
      <c r="L95" s="257"/>
      <c r="M95" s="202"/>
    </row>
    <row r="96" spans="1:13" x14ac:dyDescent="0.3">
      <c r="A96" s="202"/>
      <c r="B96" s="202"/>
      <c r="C96" s="202"/>
      <c r="D96" s="202"/>
      <c r="E96" s="202"/>
      <c r="F96" s="202"/>
      <c r="G96" s="202"/>
      <c r="H96" s="250"/>
      <c r="I96" s="251"/>
      <c r="J96" s="252"/>
      <c r="K96" s="257"/>
      <c r="L96" s="257"/>
      <c r="M96" s="202"/>
    </row>
    <row r="97" spans="1:13" x14ac:dyDescent="0.3">
      <c r="A97" s="202"/>
      <c r="B97" s="202"/>
      <c r="C97" s="202"/>
      <c r="D97" s="202"/>
      <c r="E97" s="202"/>
      <c r="F97" s="202"/>
      <c r="G97" s="202"/>
      <c r="H97" s="250"/>
      <c r="I97" s="251"/>
      <c r="J97" s="252"/>
      <c r="K97" s="257"/>
      <c r="L97" s="257"/>
      <c r="M97" s="202"/>
    </row>
    <row r="98" spans="1:13" x14ac:dyDescent="0.3">
      <c r="A98" s="202"/>
      <c r="B98" s="202"/>
      <c r="C98" s="202"/>
      <c r="D98" s="202"/>
      <c r="E98" s="202"/>
      <c r="F98" s="202"/>
      <c r="G98" s="202"/>
      <c r="H98" s="250"/>
      <c r="I98" s="251"/>
      <c r="J98" s="252"/>
      <c r="K98" s="257"/>
      <c r="L98" s="257"/>
      <c r="M98" s="202"/>
    </row>
    <row r="99" spans="1:13" x14ac:dyDescent="0.3">
      <c r="A99" s="202"/>
      <c r="B99" s="202"/>
      <c r="C99" s="202"/>
      <c r="D99" s="202"/>
      <c r="E99" s="202"/>
      <c r="F99" s="202"/>
      <c r="G99" s="202"/>
      <c r="H99" s="250"/>
      <c r="I99" s="251"/>
      <c r="J99" s="252"/>
      <c r="K99" s="257"/>
      <c r="L99" s="257"/>
      <c r="M99" s="202"/>
    </row>
    <row r="100" spans="1:13" x14ac:dyDescent="0.3">
      <c r="A100" s="202"/>
      <c r="B100" s="202"/>
      <c r="C100" s="202"/>
      <c r="D100" s="202"/>
      <c r="E100" s="202"/>
      <c r="F100" s="202"/>
      <c r="G100" s="202"/>
      <c r="H100" s="250"/>
      <c r="I100" s="251"/>
      <c r="J100" s="252"/>
      <c r="K100" s="257"/>
      <c r="L100" s="257"/>
      <c r="M100" s="202"/>
    </row>
    <row r="101" spans="1:13" x14ac:dyDescent="0.3">
      <c r="A101" s="202"/>
      <c r="B101" s="202"/>
      <c r="C101" s="202"/>
      <c r="D101" s="202"/>
      <c r="E101" s="202"/>
      <c r="F101" s="202"/>
      <c r="G101" s="202"/>
      <c r="H101" s="250"/>
      <c r="I101" s="251"/>
      <c r="J101" s="252"/>
      <c r="K101" s="257"/>
      <c r="L101" s="257"/>
      <c r="M101" s="202"/>
    </row>
    <row r="102" spans="1:13" x14ac:dyDescent="0.3">
      <c r="A102" s="202"/>
      <c r="B102" s="202"/>
      <c r="C102" s="202"/>
      <c r="D102" s="202"/>
      <c r="E102" s="202"/>
      <c r="F102" s="202"/>
      <c r="G102" s="202"/>
      <c r="H102" s="250"/>
      <c r="I102" s="251"/>
      <c r="J102" s="252"/>
      <c r="K102" s="257"/>
      <c r="L102" s="257"/>
      <c r="M102" s="202"/>
    </row>
    <row r="103" spans="1:13" x14ac:dyDescent="0.3">
      <c r="A103" s="202"/>
      <c r="B103" s="202"/>
      <c r="C103" s="202"/>
      <c r="D103" s="202"/>
      <c r="E103" s="202"/>
      <c r="F103" s="202"/>
      <c r="G103" s="202"/>
      <c r="H103" s="250"/>
      <c r="I103" s="251"/>
      <c r="J103" s="252"/>
      <c r="K103" s="257"/>
      <c r="L103" s="257"/>
      <c r="M103" s="202"/>
    </row>
    <row r="104" spans="1:13" x14ac:dyDescent="0.3">
      <c r="A104" s="202"/>
      <c r="B104" s="202"/>
      <c r="C104" s="202"/>
      <c r="D104" s="202"/>
      <c r="E104" s="202"/>
      <c r="F104" s="202"/>
      <c r="G104" s="202"/>
      <c r="H104" s="250"/>
      <c r="I104" s="251"/>
      <c r="J104" s="252"/>
      <c r="K104" s="257"/>
      <c r="L104" s="257"/>
      <c r="M104" s="202"/>
    </row>
    <row r="105" spans="1:13" x14ac:dyDescent="0.3">
      <c r="A105" s="202"/>
      <c r="B105" s="202"/>
      <c r="C105" s="202"/>
      <c r="D105" s="202"/>
      <c r="E105" s="202"/>
      <c r="F105" s="202"/>
      <c r="G105" s="202"/>
      <c r="H105" s="250"/>
      <c r="I105" s="251"/>
      <c r="J105" s="252"/>
      <c r="K105" s="257"/>
      <c r="L105" s="257"/>
      <c r="M105" s="202"/>
    </row>
    <row r="106" spans="1:13" x14ac:dyDescent="0.3">
      <c r="A106" s="202"/>
      <c r="B106" s="202"/>
      <c r="C106" s="202"/>
      <c r="D106" s="202"/>
      <c r="E106" s="202"/>
      <c r="F106" s="202"/>
      <c r="G106" s="202"/>
      <c r="H106" s="250"/>
      <c r="I106" s="251"/>
      <c r="J106" s="252"/>
      <c r="K106" s="257"/>
      <c r="L106" s="257"/>
      <c r="M106" s="202"/>
    </row>
    <row r="107" spans="1:13" x14ac:dyDescent="0.3">
      <c r="A107" s="202"/>
      <c r="B107" s="202"/>
      <c r="C107" s="202"/>
      <c r="D107" s="202"/>
      <c r="E107" s="202"/>
      <c r="F107" s="202"/>
      <c r="G107" s="202"/>
      <c r="H107" s="250"/>
      <c r="I107" s="251"/>
      <c r="J107" s="252"/>
      <c r="K107" s="257"/>
      <c r="L107" s="257"/>
      <c r="M107" s="202"/>
    </row>
    <row r="108" spans="1:13" x14ac:dyDescent="0.3">
      <c r="A108" s="202"/>
      <c r="B108" s="202"/>
      <c r="C108" s="202"/>
      <c r="D108" s="202"/>
      <c r="E108" s="202"/>
      <c r="F108" s="202"/>
      <c r="G108" s="202"/>
      <c r="H108" s="250"/>
      <c r="I108" s="251"/>
      <c r="J108" s="252"/>
      <c r="K108" s="257"/>
      <c r="L108" s="257"/>
      <c r="M108" s="202"/>
    </row>
    <row r="109" spans="1:13" x14ac:dyDescent="0.3">
      <c r="A109" s="202"/>
      <c r="B109" s="202"/>
      <c r="C109" s="202"/>
      <c r="D109" s="202"/>
      <c r="E109" s="202"/>
      <c r="F109" s="202"/>
      <c r="G109" s="202"/>
      <c r="H109" s="250"/>
      <c r="I109" s="251"/>
      <c r="J109" s="252"/>
      <c r="K109" s="257"/>
      <c r="L109" s="257"/>
      <c r="M109" s="202"/>
    </row>
    <row r="110" spans="1:13" x14ac:dyDescent="0.3">
      <c r="A110" s="202"/>
      <c r="B110" s="202"/>
      <c r="C110" s="202"/>
      <c r="D110" s="202"/>
      <c r="E110" s="202"/>
      <c r="F110" s="202"/>
      <c r="G110" s="202"/>
      <c r="H110" s="250"/>
      <c r="I110" s="251"/>
      <c r="J110" s="252"/>
      <c r="K110" s="257"/>
      <c r="L110" s="257"/>
      <c r="M110" s="202"/>
    </row>
    <row r="111" spans="1:13" x14ac:dyDescent="0.3">
      <c r="A111" s="202"/>
      <c r="B111" s="202"/>
      <c r="H111" s="250"/>
      <c r="I111" s="251"/>
      <c r="J111" s="252"/>
      <c r="K111" s="257"/>
      <c r="L111" s="257"/>
      <c r="M111" s="202"/>
    </row>
    <row r="112" spans="1:13" x14ac:dyDescent="0.3">
      <c r="A112" s="202"/>
      <c r="B112" s="202"/>
      <c r="H112" s="250"/>
      <c r="I112" s="251"/>
      <c r="J112" s="252"/>
      <c r="K112" s="257"/>
      <c r="L112" s="257"/>
      <c r="M112" s="202"/>
    </row>
    <row r="113" spans="1:13" x14ac:dyDescent="0.3">
      <c r="A113" s="202"/>
      <c r="B113" s="202"/>
      <c r="H113" s="250"/>
      <c r="I113" s="251"/>
      <c r="J113" s="252"/>
      <c r="K113" s="257"/>
      <c r="L113" s="257"/>
      <c r="M113" s="202"/>
    </row>
    <row r="114" spans="1:13" x14ac:dyDescent="0.3">
      <c r="A114" s="202"/>
      <c r="B114" s="202"/>
      <c r="H114" s="250"/>
      <c r="I114" s="251"/>
      <c r="J114" s="252"/>
      <c r="K114" s="257"/>
      <c r="L114" s="257"/>
      <c r="M114" s="202"/>
    </row>
    <row r="115" spans="1:13" x14ac:dyDescent="0.3">
      <c r="A115" s="202"/>
      <c r="B115" s="202"/>
      <c r="H115" s="250"/>
      <c r="I115" s="251"/>
      <c r="J115" s="252"/>
      <c r="K115" s="257"/>
      <c r="L115" s="257"/>
      <c r="M115" s="202"/>
    </row>
    <row r="116" spans="1:13" x14ac:dyDescent="0.3">
      <c r="A116" s="202"/>
      <c r="B116" s="202"/>
      <c r="H116" s="250"/>
      <c r="I116" s="251"/>
      <c r="J116" s="252"/>
      <c r="K116" s="257"/>
      <c r="L116" s="257"/>
      <c r="M116" s="202"/>
    </row>
    <row r="117" spans="1:13" x14ac:dyDescent="0.3">
      <c r="A117" s="202"/>
      <c r="B117" s="202"/>
      <c r="H117" s="250"/>
      <c r="I117" s="251"/>
      <c r="J117" s="252"/>
      <c r="K117" s="257"/>
      <c r="L117" s="257"/>
      <c r="M117" s="202"/>
    </row>
    <row r="118" spans="1:13" x14ac:dyDescent="0.3">
      <c r="A118" s="202"/>
      <c r="B118" s="202"/>
      <c r="H118" s="250"/>
      <c r="I118" s="251"/>
      <c r="J118" s="252"/>
      <c r="K118" s="257"/>
      <c r="L118" s="257"/>
      <c r="M118" s="202"/>
    </row>
    <row r="119" spans="1:13" x14ac:dyDescent="0.3">
      <c r="A119" s="202"/>
      <c r="B119" s="202"/>
      <c r="H119" s="250"/>
      <c r="I119" s="251"/>
      <c r="J119" s="252"/>
      <c r="K119" s="257"/>
      <c r="L119" s="257"/>
      <c r="M119" s="202"/>
    </row>
    <row r="120" spans="1:13" x14ac:dyDescent="0.3">
      <c r="A120" s="202"/>
      <c r="B120" s="202"/>
      <c r="H120" s="250"/>
      <c r="I120" s="251"/>
      <c r="J120" s="252"/>
      <c r="K120" s="257"/>
      <c r="L120" s="257"/>
      <c r="M120" s="202"/>
    </row>
    <row r="121" spans="1:13" x14ac:dyDescent="0.3">
      <c r="A121" s="202"/>
      <c r="B121" s="202"/>
      <c r="H121" s="250"/>
      <c r="I121" s="257"/>
      <c r="J121" s="257"/>
      <c r="K121" s="257"/>
      <c r="L121" s="257"/>
      <c r="M121" s="202"/>
    </row>
    <row r="122" spans="1:13" x14ac:dyDescent="0.3">
      <c r="A122" s="202"/>
      <c r="B122" s="202"/>
      <c r="H122" s="250"/>
      <c r="I122" s="257"/>
      <c r="J122" s="257"/>
      <c r="K122" s="257"/>
      <c r="L122" s="257"/>
      <c r="M122" s="202"/>
    </row>
    <row r="123" spans="1:13" x14ac:dyDescent="0.3">
      <c r="A123" s="202"/>
      <c r="B123" s="202"/>
      <c r="H123" s="250"/>
      <c r="I123" s="257"/>
      <c r="J123" s="257"/>
      <c r="K123" s="257"/>
      <c r="L123" s="257"/>
      <c r="M123" s="202"/>
    </row>
    <row r="124" spans="1:13" x14ac:dyDescent="0.3">
      <c r="A124" s="202"/>
      <c r="B124" s="202"/>
      <c r="H124" s="250"/>
      <c r="I124" s="257"/>
      <c r="J124" s="257"/>
      <c r="K124" s="257"/>
      <c r="L124" s="257"/>
      <c r="M124" s="202"/>
    </row>
    <row r="125" spans="1:13" x14ac:dyDescent="0.3">
      <c r="A125" s="202"/>
      <c r="B125" s="202"/>
      <c r="C125" s="262"/>
      <c r="D125" s="263"/>
      <c r="E125" s="264"/>
      <c r="F125" s="265"/>
      <c r="G125" s="265"/>
      <c r="H125" s="265"/>
      <c r="I125" s="257"/>
      <c r="J125" s="257"/>
      <c r="K125" s="257"/>
      <c r="L125" s="257"/>
      <c r="M125" s="202"/>
    </row>
    <row r="126" spans="1:13" x14ac:dyDescent="0.3">
      <c r="A126" s="202"/>
      <c r="B126" s="202"/>
      <c r="I126" s="257"/>
      <c r="J126" s="257"/>
      <c r="K126" s="257"/>
      <c r="L126" s="257"/>
      <c r="M126" s="202"/>
    </row>
    <row r="127" spans="1:13" x14ac:dyDescent="0.3">
      <c r="A127" s="202"/>
      <c r="B127" s="202"/>
      <c r="C127" s="202"/>
      <c r="D127" s="202"/>
      <c r="E127" s="202"/>
      <c r="F127" s="202"/>
      <c r="G127" s="202"/>
      <c r="H127" s="202"/>
      <c r="I127" s="257"/>
      <c r="J127" s="257"/>
      <c r="K127" s="257"/>
      <c r="L127" s="257"/>
      <c r="M127" s="202"/>
    </row>
    <row r="128" spans="1:13" x14ac:dyDescent="0.3">
      <c r="A128" s="202"/>
      <c r="B128" s="202"/>
      <c r="C128" s="202"/>
      <c r="D128" s="202"/>
      <c r="E128" s="202"/>
      <c r="F128" s="202"/>
      <c r="G128" s="202"/>
      <c r="H128" s="202"/>
      <c r="I128" s="257"/>
      <c r="J128" s="257"/>
      <c r="K128" s="257"/>
      <c r="L128" s="257"/>
      <c r="M128" s="202"/>
    </row>
    <row r="129" spans="1:13" x14ac:dyDescent="0.3">
      <c r="A129" s="202"/>
      <c r="B129" s="202"/>
      <c r="C129" s="202"/>
      <c r="D129" s="202"/>
      <c r="E129" s="202"/>
      <c r="F129" s="202"/>
      <c r="G129" s="202"/>
      <c r="H129" s="202"/>
      <c r="I129" s="257"/>
      <c r="J129" s="257"/>
      <c r="K129" s="257"/>
      <c r="L129" s="257"/>
      <c r="M129" s="202"/>
    </row>
    <row r="130" spans="1:13" x14ac:dyDescent="0.3">
      <c r="A130" s="202"/>
      <c r="B130" s="202"/>
      <c r="C130" s="202"/>
      <c r="D130" s="202"/>
      <c r="E130" s="202"/>
      <c r="F130" s="202"/>
      <c r="G130" s="202"/>
      <c r="H130" s="202"/>
      <c r="I130" s="257"/>
      <c r="J130" s="257"/>
      <c r="K130" s="257"/>
      <c r="L130" s="257"/>
      <c r="M130" s="202"/>
    </row>
    <row r="131" spans="1:13" x14ac:dyDescent="0.3">
      <c r="A131" s="202"/>
      <c r="B131" s="202"/>
      <c r="C131" s="202"/>
      <c r="D131" s="202"/>
      <c r="E131" s="202"/>
      <c r="F131" s="202"/>
      <c r="G131" s="202"/>
      <c r="H131" s="202"/>
      <c r="I131" s="257"/>
      <c r="J131" s="257"/>
      <c r="K131" s="257"/>
      <c r="L131" s="257"/>
      <c r="M131" s="202"/>
    </row>
    <row r="132" spans="1:13" x14ac:dyDescent="0.3">
      <c r="A132" s="202"/>
      <c r="B132" s="202"/>
      <c r="C132" s="202"/>
      <c r="D132" s="202"/>
      <c r="E132" s="202"/>
      <c r="F132" s="202"/>
      <c r="G132" s="202"/>
      <c r="H132" s="202"/>
      <c r="I132" s="257"/>
      <c r="J132" s="257"/>
      <c r="K132" s="257"/>
      <c r="L132" s="257"/>
      <c r="M132" s="202"/>
    </row>
    <row r="133" spans="1:13" x14ac:dyDescent="0.3">
      <c r="A133" s="202"/>
      <c r="B133" s="202"/>
      <c r="C133" s="202"/>
      <c r="D133" s="202"/>
      <c r="E133" s="202"/>
      <c r="F133" s="202"/>
      <c r="G133" s="202"/>
      <c r="H133" s="202"/>
      <c r="I133" s="257"/>
      <c r="J133" s="257"/>
      <c r="K133" s="257"/>
      <c r="L133" s="257"/>
      <c r="M133" s="202"/>
    </row>
    <row r="134" spans="1:13" x14ac:dyDescent="0.3">
      <c r="A134" s="202"/>
      <c r="B134" s="202"/>
      <c r="C134" s="202"/>
      <c r="D134" s="202"/>
      <c r="E134" s="202"/>
      <c r="F134" s="202"/>
      <c r="G134" s="202"/>
      <c r="H134" s="202"/>
      <c r="I134" s="257"/>
      <c r="J134" s="257"/>
      <c r="K134" s="257"/>
      <c r="L134" s="257"/>
      <c r="M134" s="202"/>
    </row>
    <row r="135" spans="1:13" x14ac:dyDescent="0.3">
      <c r="A135" s="202"/>
      <c r="B135" s="202"/>
      <c r="C135" s="202"/>
      <c r="D135" s="202"/>
      <c r="E135" s="202"/>
      <c r="F135" s="202"/>
      <c r="G135" s="202"/>
      <c r="H135" s="202"/>
      <c r="I135" s="257"/>
      <c r="J135" s="257"/>
      <c r="K135" s="257"/>
      <c r="L135" s="257"/>
      <c r="M135" s="202"/>
    </row>
    <row r="136" spans="1:13" x14ac:dyDescent="0.3">
      <c r="A136" s="202"/>
      <c r="B136" s="202"/>
      <c r="C136" s="202"/>
      <c r="D136" s="202"/>
      <c r="E136" s="202"/>
      <c r="F136" s="202"/>
      <c r="G136" s="202"/>
      <c r="H136" s="202"/>
      <c r="I136" s="257"/>
      <c r="J136" s="257"/>
      <c r="K136" s="257"/>
      <c r="L136" s="257"/>
      <c r="M136" s="202"/>
    </row>
    <row r="137" spans="1:13" x14ac:dyDescent="0.3">
      <c r="A137" s="202"/>
      <c r="B137" s="202"/>
      <c r="C137" s="202"/>
      <c r="D137" s="202"/>
      <c r="E137" s="202"/>
      <c r="F137" s="202"/>
      <c r="G137" s="202"/>
      <c r="H137" s="202"/>
      <c r="I137" s="257"/>
      <c r="J137" s="257"/>
      <c r="K137" s="257"/>
      <c r="L137" s="257"/>
      <c r="M137" s="202"/>
    </row>
    <row r="138" spans="1:13" x14ac:dyDescent="0.3">
      <c r="A138" s="202"/>
      <c r="B138" s="202"/>
      <c r="C138" s="202"/>
      <c r="D138" s="202"/>
      <c r="E138" s="202"/>
      <c r="F138" s="202"/>
      <c r="G138" s="202"/>
      <c r="H138" s="202"/>
      <c r="I138" s="257"/>
      <c r="J138" s="257"/>
      <c r="K138" s="257"/>
      <c r="L138" s="257"/>
      <c r="M138" s="202"/>
    </row>
    <row r="139" spans="1:13" x14ac:dyDescent="0.3">
      <c r="A139" s="202"/>
      <c r="B139" s="202"/>
      <c r="C139" s="202"/>
      <c r="D139" s="202"/>
      <c r="E139" s="202"/>
      <c r="F139" s="202"/>
      <c r="G139" s="202"/>
      <c r="H139" s="202"/>
      <c r="I139" s="257"/>
      <c r="J139" s="257"/>
      <c r="K139" s="257"/>
      <c r="L139" s="257"/>
      <c r="M139" s="202"/>
    </row>
    <row r="140" spans="1:13" x14ac:dyDescent="0.3">
      <c r="A140" s="202"/>
      <c r="B140" s="202"/>
      <c r="C140" s="202"/>
      <c r="D140" s="202"/>
      <c r="E140" s="202"/>
      <c r="F140" s="202"/>
      <c r="G140" s="202"/>
      <c r="H140" s="202"/>
      <c r="I140" s="257"/>
      <c r="J140" s="257"/>
      <c r="K140" s="257"/>
      <c r="L140" s="257"/>
      <c r="M140" s="202"/>
    </row>
    <row r="141" spans="1:13" x14ac:dyDescent="0.3">
      <c r="A141" s="202"/>
      <c r="B141" s="202"/>
      <c r="C141" s="202"/>
      <c r="D141" s="202"/>
      <c r="E141" s="202"/>
      <c r="F141" s="202"/>
      <c r="G141" s="202"/>
      <c r="H141" s="202"/>
      <c r="I141" s="257"/>
      <c r="J141" s="257"/>
      <c r="K141" s="257"/>
      <c r="L141" s="257"/>
      <c r="M141" s="202"/>
    </row>
    <row r="142" spans="1:13" x14ac:dyDescent="0.3">
      <c r="A142" s="202"/>
      <c r="B142" s="202"/>
      <c r="C142" s="202"/>
      <c r="D142" s="202"/>
      <c r="E142" s="202"/>
      <c r="F142" s="202"/>
      <c r="G142" s="202"/>
      <c r="H142" s="202"/>
      <c r="I142" s="257"/>
      <c r="J142" s="257"/>
      <c r="K142" s="257"/>
      <c r="L142" s="257"/>
      <c r="M142" s="202"/>
    </row>
    <row r="143" spans="1:13" x14ac:dyDescent="0.3">
      <c r="A143" s="202"/>
      <c r="B143" s="202"/>
      <c r="C143" s="202"/>
      <c r="D143" s="202"/>
      <c r="E143" s="202"/>
      <c r="F143" s="202"/>
      <c r="G143" s="202"/>
      <c r="H143" s="202"/>
      <c r="I143" s="257"/>
      <c r="J143" s="257"/>
      <c r="K143" s="257"/>
      <c r="L143" s="257"/>
      <c r="M143" s="202"/>
    </row>
    <row r="144" spans="1:13" x14ac:dyDescent="0.3">
      <c r="A144" s="202"/>
      <c r="B144" s="202"/>
      <c r="C144" s="202"/>
      <c r="D144" s="202"/>
      <c r="E144" s="202"/>
      <c r="F144" s="202"/>
      <c r="G144" s="202"/>
      <c r="H144" s="202"/>
      <c r="I144" s="257"/>
      <c r="J144" s="257"/>
      <c r="K144" s="257"/>
      <c r="L144" s="257"/>
      <c r="M144" s="202"/>
    </row>
    <row r="145" spans="1:13" x14ac:dyDescent="0.3">
      <c r="A145" s="202"/>
      <c r="B145" s="202"/>
      <c r="C145" s="202"/>
      <c r="D145" s="202"/>
      <c r="E145" s="202"/>
      <c r="F145" s="202"/>
      <c r="G145" s="202"/>
      <c r="H145" s="202"/>
      <c r="I145" s="257"/>
      <c r="J145" s="257"/>
      <c r="K145" s="257"/>
      <c r="L145" s="257"/>
      <c r="M145" s="202"/>
    </row>
    <row r="146" spans="1:13" x14ac:dyDescent="0.3">
      <c r="A146" s="202"/>
      <c r="B146" s="202"/>
      <c r="C146" s="202"/>
      <c r="D146" s="202"/>
      <c r="E146" s="202"/>
      <c r="F146" s="202"/>
      <c r="G146" s="202"/>
      <c r="H146" s="202"/>
      <c r="I146" s="257"/>
      <c r="J146" s="257"/>
      <c r="K146" s="257"/>
      <c r="L146" s="257"/>
      <c r="M146" s="202"/>
    </row>
    <row r="147" spans="1:13" x14ac:dyDescent="0.3">
      <c r="A147" s="202"/>
      <c r="B147" s="202"/>
      <c r="C147" s="202"/>
      <c r="D147" s="202"/>
      <c r="E147" s="202"/>
      <c r="F147" s="202"/>
      <c r="G147" s="202"/>
      <c r="H147" s="202"/>
      <c r="I147" s="257"/>
      <c r="J147" s="257"/>
      <c r="K147" s="257"/>
      <c r="L147" s="257"/>
      <c r="M147" s="202"/>
    </row>
    <row r="148" spans="1:13" x14ac:dyDescent="0.3">
      <c r="A148" s="202"/>
      <c r="B148" s="202"/>
      <c r="C148" s="202"/>
      <c r="D148" s="202"/>
      <c r="E148" s="202"/>
      <c r="F148" s="202"/>
      <c r="G148" s="202"/>
      <c r="H148" s="202"/>
      <c r="I148" s="257"/>
      <c r="J148" s="257"/>
      <c r="K148" s="257"/>
      <c r="L148" s="257"/>
      <c r="M148" s="202"/>
    </row>
    <row r="149" spans="1:13" x14ac:dyDescent="0.3">
      <c r="A149" s="202"/>
      <c r="B149" s="202"/>
      <c r="C149" s="202"/>
      <c r="D149" s="202"/>
      <c r="E149" s="202"/>
      <c r="F149" s="202"/>
      <c r="G149" s="202"/>
      <c r="H149" s="202"/>
      <c r="I149" s="257"/>
      <c r="J149" s="257"/>
      <c r="K149" s="257"/>
      <c r="L149" s="257"/>
      <c r="M149" s="202"/>
    </row>
  </sheetData>
  <sheetProtection password="EB32" sheet="1" objects="1" scenarios="1"/>
  <mergeCells count="42">
    <mergeCell ref="A1:D1"/>
    <mergeCell ref="A2:D2"/>
    <mergeCell ref="A3:D3"/>
    <mergeCell ref="B4:C4"/>
    <mergeCell ref="E4:M5"/>
    <mergeCell ref="B5:C5"/>
    <mergeCell ref="E16:M16"/>
    <mergeCell ref="C6:D6"/>
    <mergeCell ref="E6:M6"/>
    <mergeCell ref="C7:D7"/>
    <mergeCell ref="E7:M7"/>
    <mergeCell ref="E8:M8"/>
    <mergeCell ref="C10:D10"/>
    <mergeCell ref="E10:M10"/>
    <mergeCell ref="E11:M11"/>
    <mergeCell ref="E12:M12"/>
    <mergeCell ref="E13:M13"/>
    <mergeCell ref="E14:M14"/>
    <mergeCell ref="E15:M15"/>
    <mergeCell ref="E9:M9"/>
    <mergeCell ref="E28:M28"/>
    <mergeCell ref="E17:M17"/>
    <mergeCell ref="E18:M18"/>
    <mergeCell ref="E19:M19"/>
    <mergeCell ref="E20:M20"/>
    <mergeCell ref="E21:M21"/>
    <mergeCell ref="E22:M22"/>
    <mergeCell ref="E23:M23"/>
    <mergeCell ref="E24:M24"/>
    <mergeCell ref="E25:M25"/>
    <mergeCell ref="E26:M26"/>
    <mergeCell ref="E27:M27"/>
    <mergeCell ref="E35:M35"/>
    <mergeCell ref="E36:M36"/>
    <mergeCell ref="E37:M37"/>
    <mergeCell ref="E38:M38"/>
    <mergeCell ref="E29:M29"/>
    <mergeCell ref="E30:M30"/>
    <mergeCell ref="E31:M31"/>
    <mergeCell ref="E32:M32"/>
    <mergeCell ref="E33:M33"/>
    <mergeCell ref="E34:M34"/>
  </mergeCells>
  <dataValidations count="8">
    <dataValidation type="list" allowBlank="1" showInputMessage="1" showErrorMessage="1" errorTitle="Data entry error" error="Please select the name of the Central American country." sqref="C9" xr:uid="{00000000-0002-0000-0200-000000000000}">
      <formula1>Wasteshed</formula1>
    </dataValidation>
    <dataValidation type="list" allowBlank="1" showInputMessage="1" showErrorMessage="1" errorTitle="Data entry error" error="Please select the name of the Central American country." sqref="C8" xr:uid="{00000000-0002-0000-0200-000001000000}">
      <formula1>COUNTRY</formula1>
    </dataValidation>
    <dataValidation type="list" allowBlank="1" showInputMessage="1" showErrorMessage="1" sqref="C10" xr:uid="{00000000-0002-0000-0200-000002000000}">
      <formula1>Climate</formula1>
    </dataValidation>
    <dataValidation type="list" allowBlank="1" showInputMessage="1" showErrorMessage="1" errorTitle="Data entry error" error="Please select a number between 1 and 4 for site management practices" sqref="C24" xr:uid="{00000000-0002-0000-0200-000003000000}">
      <formula1>Compdata?</formula1>
    </dataValidation>
    <dataValidation type="list" allowBlank="1" showInputMessage="1" showErrorMessage="1" errorTitle="Data entry error" error="Please select a number between 1 and 4 for site management practices" sqref="C23" xr:uid="{00000000-0002-0000-0200-000004000000}">
      <formula1>MCF</formula1>
    </dataValidation>
    <dataValidation type="decimal" allowBlank="1" showInputMessage="1" showErrorMessage="1" error="Please enter a percentage value between 0% and 100%" promptTitle="% area affected by fires" sqref="C25" xr:uid="{00000000-0002-0000-0200-000005000000}">
      <formula1>0</formula1>
      <formula2>1</formula2>
    </dataValidation>
    <dataValidation type="list" allowBlank="1" showInputMessage="1" showErrorMessage="1" sqref="C26" xr:uid="{00000000-0002-0000-0200-000006000000}">
      <formula1>fire</formula1>
    </dataValidation>
    <dataValidation type="list" allowBlank="1" showInputMessage="1" showErrorMessage="1" error="Select Yes or No" sqref="C34:C37 C15:C16 C11" xr:uid="{00000000-0002-0000-0200-000007000000}">
      <formula1>Compdata?</formula1>
    </dataValidation>
  </dataValidations>
  <hyperlinks>
    <hyperlink ref="D9" location="'Regions of Colombia'!A1" display="'Regions of Colombia'!A1"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111"/>
  <sheetViews>
    <sheetView zoomScale="80" zoomScaleNormal="80" workbookViewId="0">
      <pane xSplit="1" ySplit="5" topLeftCell="B6" activePane="bottomRight" state="frozen"/>
      <selection pane="topRight" activeCell="B1" sqref="B1"/>
      <selection pane="bottomLeft" activeCell="A6" sqref="A6"/>
      <selection pane="bottomRight" activeCell="C34" sqref="C34"/>
    </sheetView>
  </sheetViews>
  <sheetFormatPr defaultColWidth="9" defaultRowHeight="13.5" x14ac:dyDescent="0.3"/>
  <cols>
    <col min="1" max="1" width="7.58203125" style="5" customWidth="1"/>
    <col min="2" max="2" width="12.08203125" style="5" customWidth="1"/>
    <col min="3" max="3" width="12.83203125" style="5" customWidth="1"/>
    <col min="4" max="4" width="11.33203125" style="3" customWidth="1"/>
    <col min="5" max="7" width="13.08203125" style="3" customWidth="1"/>
    <col min="8" max="8" width="2.08203125" style="3" customWidth="1"/>
    <col min="9" max="9" width="41.58203125" style="3" customWidth="1"/>
    <col min="10" max="10" width="11.83203125" style="3" customWidth="1"/>
    <col min="11" max="11" width="9.83203125" style="3" customWidth="1"/>
    <col min="12" max="19" width="9" style="3"/>
    <col min="20" max="16384" width="9" style="2"/>
  </cols>
  <sheetData>
    <row r="1" spans="1:19" s="3" customFormat="1" ht="21.75" customHeight="1" x14ac:dyDescent="0.3">
      <c r="A1" s="397" t="str">
        <f>Inputs!A1</f>
        <v>Central and Eastern Europe Landfill Gas Model v.1</v>
      </c>
      <c r="B1" s="397"/>
      <c r="C1" s="397"/>
      <c r="D1" s="397"/>
      <c r="E1" s="397"/>
      <c r="F1" s="397"/>
      <c r="G1" s="397"/>
      <c r="H1" s="6"/>
      <c r="I1" s="6"/>
      <c r="J1" s="6"/>
    </row>
    <row r="2" spans="1:19" s="3" customFormat="1" ht="20.25" customHeight="1" x14ac:dyDescent="0.3">
      <c r="A2" s="397" t="str">
        <f>Inputs!A2</f>
        <v>Release Date: December 2014</v>
      </c>
      <c r="B2" s="397"/>
      <c r="C2" s="397"/>
      <c r="D2" s="397"/>
      <c r="E2" s="397"/>
      <c r="F2" s="397"/>
      <c r="G2" s="397"/>
      <c r="H2" s="6"/>
      <c r="I2" s="6"/>
      <c r="J2" s="6"/>
      <c r="K2" s="102"/>
      <c r="L2" s="102"/>
    </row>
    <row r="3" spans="1:19" s="3" customFormat="1" ht="20.25" customHeight="1" x14ac:dyDescent="0.3">
      <c r="A3" s="5"/>
      <c r="B3" s="5"/>
      <c r="C3" s="131" t="s">
        <v>144</v>
      </c>
      <c r="E3" s="1"/>
      <c r="F3" s="1"/>
      <c r="H3" s="1"/>
      <c r="I3" s="1"/>
      <c r="J3" s="6"/>
    </row>
    <row r="4" spans="1:19" ht="18.75" customHeight="1" x14ac:dyDescent="0.3">
      <c r="A4" s="395" t="s">
        <v>123</v>
      </c>
      <c r="B4" s="396"/>
      <c r="C4" s="396"/>
      <c r="D4" s="396"/>
      <c r="E4" s="396"/>
      <c r="F4" s="396"/>
      <c r="G4" s="396"/>
      <c r="H4" s="11"/>
      <c r="I4" s="88" t="s">
        <v>82</v>
      </c>
      <c r="J4" s="89"/>
      <c r="K4" s="90"/>
      <c r="L4" s="87"/>
      <c r="M4" s="87"/>
      <c r="N4" s="87"/>
      <c r="O4" s="87"/>
      <c r="P4" s="87"/>
      <c r="Q4" s="87"/>
      <c r="R4" s="87"/>
    </row>
    <row r="5" spans="1:19" ht="70.5" customHeight="1" x14ac:dyDescent="0.35">
      <c r="A5" s="125" t="s">
        <v>0</v>
      </c>
      <c r="B5" s="126" t="s">
        <v>128</v>
      </c>
      <c r="C5" s="126" t="s">
        <v>41</v>
      </c>
      <c r="D5" s="126" t="s">
        <v>83</v>
      </c>
      <c r="E5" s="126" t="s">
        <v>102</v>
      </c>
      <c r="F5" s="126" t="s">
        <v>138</v>
      </c>
      <c r="G5" s="126" t="s">
        <v>103</v>
      </c>
      <c r="H5" s="13"/>
      <c r="I5" s="398" t="s">
        <v>136</v>
      </c>
      <c r="J5" s="390"/>
      <c r="K5" s="390"/>
      <c r="L5" s="390"/>
      <c r="M5" s="390"/>
      <c r="N5" s="390"/>
      <c r="O5" s="390"/>
      <c r="P5" s="390"/>
      <c r="Q5" s="390"/>
      <c r="R5" s="390"/>
      <c r="S5" s="14"/>
    </row>
    <row r="6" spans="1:19" ht="15.5" x14ac:dyDescent="0.35">
      <c r="A6" s="106">
        <f>Inputs!C12</f>
        <v>1990</v>
      </c>
      <c r="B6" s="107">
        <f>IF(A6&lt;'Inputs-area with wells'!$C$12,0,IF(A6&gt;'Inputs-area with wells'!$C$20,0,'Disposal &amp; LFG Recovery'!B6))</f>
        <v>0</v>
      </c>
      <c r="C6" s="108">
        <f>B6</f>
        <v>0</v>
      </c>
      <c r="D6" s="109">
        <f>IF(A6&gt;=Inputs!$C$27,$J$22,0)</f>
        <v>0</v>
      </c>
      <c r="E6" s="107"/>
      <c r="F6" s="130">
        <f>'Output-Table'!D13*D6</f>
        <v>0</v>
      </c>
      <c r="G6" s="107">
        <v>0</v>
      </c>
      <c r="H6" s="4"/>
      <c r="I6" s="394" t="s">
        <v>125</v>
      </c>
      <c r="J6" s="390"/>
      <c r="K6" s="390"/>
      <c r="L6" s="390"/>
      <c r="M6" s="390"/>
      <c r="N6" s="390"/>
      <c r="O6" s="390"/>
      <c r="P6" s="390"/>
      <c r="Q6" s="390"/>
      <c r="R6" s="390"/>
      <c r="S6" s="15"/>
    </row>
    <row r="7" spans="1:19" ht="15.75" customHeight="1" x14ac:dyDescent="0.35">
      <c r="A7" s="110">
        <f t="shared" ref="A7:A70" si="0">A6+1</f>
        <v>1991</v>
      </c>
      <c r="B7" s="107">
        <f>IF(A7&lt;'Inputs-area with wells'!$C$12,0,IF(A7&gt;'Inputs-area with wells'!$C$20,0,'Disposal &amp; LFG Recovery'!B7))</f>
        <v>0</v>
      </c>
      <c r="C7" s="112">
        <f t="shared" ref="C7:C70" si="1">C6+B7</f>
        <v>0</v>
      </c>
      <c r="D7" s="113">
        <f>IF(A7&gt;=Inputs!$C$27,$J$22,0)</f>
        <v>0</v>
      </c>
      <c r="E7" s="111"/>
      <c r="F7" s="130">
        <f>'Output-Table'!D14*D7</f>
        <v>0</v>
      </c>
      <c r="G7" s="107">
        <f>G6</f>
        <v>0</v>
      </c>
      <c r="H7" s="4"/>
      <c r="I7" s="390"/>
      <c r="J7" s="390"/>
      <c r="K7" s="390"/>
      <c r="L7" s="390"/>
      <c r="M7" s="390"/>
      <c r="N7" s="390"/>
      <c r="O7" s="390"/>
      <c r="P7" s="390"/>
      <c r="Q7" s="390"/>
      <c r="R7" s="390"/>
      <c r="S7" s="15"/>
    </row>
    <row r="8" spans="1:19" ht="15.5" x14ac:dyDescent="0.35">
      <c r="A8" s="110">
        <f t="shared" si="0"/>
        <v>1992</v>
      </c>
      <c r="B8" s="107">
        <f>IF(A8&lt;'Inputs-area with wells'!$C$12,0,IF(A8&gt;'Inputs-area with wells'!$C$20,0,'Disposal &amp; LFG Recovery'!B8))</f>
        <v>0</v>
      </c>
      <c r="C8" s="112">
        <f t="shared" si="1"/>
        <v>0</v>
      </c>
      <c r="D8" s="113">
        <f>IF(A8&gt;=Inputs!$C$27,$J$22,0)</f>
        <v>0</v>
      </c>
      <c r="E8" s="111"/>
      <c r="F8" s="130">
        <f>'Output-Table'!D15*D8</f>
        <v>0</v>
      </c>
      <c r="G8" s="107">
        <f t="shared" ref="G8:G71" si="2">G7</f>
        <v>0</v>
      </c>
      <c r="H8" s="4"/>
      <c r="I8" s="399"/>
      <c r="J8" s="400"/>
      <c r="K8" s="400"/>
      <c r="L8" s="400"/>
      <c r="M8" s="400"/>
      <c r="N8" s="400"/>
      <c r="O8" s="400"/>
      <c r="P8" s="400"/>
      <c r="Q8" s="400"/>
      <c r="R8" s="400"/>
      <c r="S8" s="16"/>
    </row>
    <row r="9" spans="1:19" ht="15.5" x14ac:dyDescent="0.35">
      <c r="A9" s="110">
        <f t="shared" si="0"/>
        <v>1993</v>
      </c>
      <c r="B9" s="107">
        <f>IF(A9&lt;'Inputs-area with wells'!$C$12,0,IF(A9&gt;'Inputs-area with wells'!$C$20,0,'Disposal &amp; LFG Recovery'!B9))</f>
        <v>0</v>
      </c>
      <c r="C9" s="112">
        <f t="shared" si="1"/>
        <v>0</v>
      </c>
      <c r="D9" s="113">
        <f>IF(A9&gt;=Inputs!$C$27,$J$22,0)</f>
        <v>0</v>
      </c>
      <c r="E9" s="111"/>
      <c r="F9" s="130">
        <f>'Output-Table'!D16*D9</f>
        <v>0</v>
      </c>
      <c r="G9" s="107">
        <f t="shared" si="2"/>
        <v>0</v>
      </c>
      <c r="H9" s="4"/>
      <c r="I9" s="399" t="s">
        <v>197</v>
      </c>
      <c r="J9" s="401"/>
      <c r="K9" s="401"/>
      <c r="L9" s="401"/>
      <c r="M9" s="401"/>
      <c r="N9" s="401"/>
      <c r="O9" s="401"/>
      <c r="P9" s="401"/>
      <c r="Q9" s="401"/>
      <c r="R9" s="401"/>
      <c r="S9" s="17"/>
    </row>
    <row r="10" spans="1:19" x14ac:dyDescent="0.3">
      <c r="A10" s="110">
        <f t="shared" si="0"/>
        <v>1994</v>
      </c>
      <c r="B10" s="107">
        <f>IF(A10&lt;'Inputs-area with wells'!$C$12,0,IF(A10&gt;'Inputs-area with wells'!$C$20,0,'Disposal &amp; LFG Recovery'!B10))</f>
        <v>0</v>
      </c>
      <c r="C10" s="112">
        <f t="shared" si="1"/>
        <v>0</v>
      </c>
      <c r="D10" s="113">
        <f>IF(A10&gt;=Inputs!$C$27,$J$22,0)</f>
        <v>0</v>
      </c>
      <c r="E10" s="111"/>
      <c r="F10" s="130">
        <f>'Output-Table'!D17*D10</f>
        <v>0</v>
      </c>
      <c r="G10" s="107">
        <f t="shared" si="2"/>
        <v>0</v>
      </c>
      <c r="H10" s="4"/>
      <c r="I10" s="300"/>
      <c r="J10" s="92"/>
      <c r="K10" s="93"/>
      <c r="L10" s="94"/>
      <c r="M10" s="94"/>
      <c r="N10" s="94"/>
      <c r="O10" s="94"/>
      <c r="P10" s="94"/>
      <c r="Q10" s="94"/>
      <c r="R10" s="94"/>
      <c r="S10" s="16"/>
    </row>
    <row r="11" spans="1:19" x14ac:dyDescent="0.3">
      <c r="A11" s="110">
        <f t="shared" si="0"/>
        <v>1995</v>
      </c>
      <c r="B11" s="107">
        <f>IF(A11&lt;'Inputs-area with wells'!$C$12,0,IF(A11&gt;'Inputs-area with wells'!$C$20,0,'Disposal &amp; LFG Recovery'!B11))</f>
        <v>0</v>
      </c>
      <c r="C11" s="112">
        <f t="shared" si="1"/>
        <v>0</v>
      </c>
      <c r="D11" s="113">
        <f>IF(A11&gt;=Inputs!$C$27,$J$22,0)</f>
        <v>0</v>
      </c>
      <c r="E11" s="111"/>
      <c r="F11" s="130">
        <f>'Output-Table'!D18*D11</f>
        <v>0</v>
      </c>
      <c r="G11" s="107">
        <f t="shared" si="2"/>
        <v>0</v>
      </c>
      <c r="H11" s="4"/>
      <c r="I11" s="95"/>
      <c r="J11" s="391" t="s">
        <v>121</v>
      </c>
      <c r="K11" s="87"/>
      <c r="L11" s="87"/>
      <c r="M11" s="87"/>
      <c r="N11" s="87"/>
      <c r="O11" s="87"/>
      <c r="P11" s="87"/>
      <c r="Q11" s="87"/>
      <c r="R11" s="87"/>
      <c r="S11" s="18"/>
    </row>
    <row r="12" spans="1:19" ht="12.75" customHeight="1" x14ac:dyDescent="0.3">
      <c r="A12" s="110">
        <f t="shared" si="0"/>
        <v>1996</v>
      </c>
      <c r="B12" s="107">
        <f>IF(A12&lt;'Inputs-area with wells'!$C$12,0,IF(A12&gt;'Inputs-area with wells'!$C$20,0,'Disposal &amp; LFG Recovery'!B12))</f>
        <v>0</v>
      </c>
      <c r="C12" s="112">
        <f t="shared" si="1"/>
        <v>0</v>
      </c>
      <c r="D12" s="113">
        <f>IF(A12&gt;=Inputs!$C$27,$J$22,0)</f>
        <v>0</v>
      </c>
      <c r="E12" s="111"/>
      <c r="F12" s="130">
        <f>'Output-Table'!D19*D12</f>
        <v>0</v>
      </c>
      <c r="G12" s="107">
        <f t="shared" si="2"/>
        <v>0</v>
      </c>
      <c r="H12" s="4"/>
      <c r="I12" s="97"/>
      <c r="J12" s="392"/>
      <c r="K12" s="300"/>
      <c r="L12" s="96"/>
      <c r="M12" s="96"/>
      <c r="N12" s="96"/>
      <c r="O12" s="96"/>
      <c r="P12" s="96"/>
      <c r="Q12" s="96"/>
      <c r="R12" s="96"/>
      <c r="S12" s="16"/>
    </row>
    <row r="13" spans="1:19" ht="12.75" customHeight="1" x14ac:dyDescent="0.3">
      <c r="A13" s="110">
        <f t="shared" si="0"/>
        <v>1997</v>
      </c>
      <c r="B13" s="107">
        <f>IF(A13&lt;'Inputs-area with wells'!$C$12,0,IF(A13&gt;'Inputs-area with wells'!$C$20,0,'Disposal &amp; LFG Recovery'!B13))</f>
        <v>0</v>
      </c>
      <c r="C13" s="112">
        <f t="shared" si="1"/>
        <v>0</v>
      </c>
      <c r="D13" s="113">
        <f>IF(A13&gt;=Inputs!$C$27,$J$22,0)</f>
        <v>0</v>
      </c>
      <c r="E13" s="111"/>
      <c r="F13" s="130">
        <f>'Output-Table'!D20*D13</f>
        <v>0</v>
      </c>
      <c r="G13" s="107">
        <f t="shared" si="2"/>
        <v>0</v>
      </c>
      <c r="H13" s="4"/>
      <c r="I13" s="98"/>
      <c r="J13" s="393"/>
      <c r="K13" s="94"/>
      <c r="L13" s="94"/>
      <c r="M13" s="94"/>
      <c r="N13" s="94"/>
      <c r="O13" s="94"/>
      <c r="P13" s="94"/>
      <c r="Q13" s="94"/>
      <c r="R13" s="94"/>
    </row>
    <row r="14" spans="1:19" ht="12.75" customHeight="1" x14ac:dyDescent="0.3">
      <c r="A14" s="110">
        <f t="shared" si="0"/>
        <v>1998</v>
      </c>
      <c r="B14" s="107">
        <f>IF(A14&lt;'Inputs-area with wells'!$C$12,0,IF(A14&gt;'Inputs-area with wells'!$C$20,0,'Disposal &amp; LFG Recovery'!B14))</f>
        <v>0</v>
      </c>
      <c r="C14" s="112">
        <f t="shared" si="1"/>
        <v>0</v>
      </c>
      <c r="D14" s="113">
        <f>IF(A14&gt;=Inputs!$C$27,$J$22,0)</f>
        <v>0</v>
      </c>
      <c r="E14" s="111"/>
      <c r="F14" s="130">
        <f>'Output-Table'!D21*D14</f>
        <v>0</v>
      </c>
      <c r="G14" s="107">
        <f t="shared" si="2"/>
        <v>0</v>
      </c>
      <c r="H14" s="4"/>
      <c r="I14" s="99" t="s">
        <v>151</v>
      </c>
      <c r="J14" s="12">
        <f>IF('Inputs-area with wells'!$C$23=3,1,IF('Inputs-area with wells'!$C$23=2,0.95,0.85))</f>
        <v>1</v>
      </c>
      <c r="K14" s="87" t="s">
        <v>346</v>
      </c>
      <c r="L14" s="87"/>
      <c r="M14" s="87"/>
      <c r="N14" s="87"/>
      <c r="O14" s="87"/>
      <c r="P14" s="87"/>
      <c r="Q14" s="87"/>
      <c r="R14" s="87"/>
    </row>
    <row r="15" spans="1:19" x14ac:dyDescent="0.3">
      <c r="A15" s="110">
        <f t="shared" si="0"/>
        <v>1999</v>
      </c>
      <c r="B15" s="107">
        <f>IF(A15&lt;'Inputs-area with wells'!$C$12,0,IF(A15&gt;'Inputs-area with wells'!$C$20,0,'Disposal &amp; LFG Recovery'!B15))</f>
        <v>0</v>
      </c>
      <c r="C15" s="112">
        <f t="shared" si="1"/>
        <v>0</v>
      </c>
      <c r="D15" s="113">
        <f>IF(A15&gt;=Inputs!$C$27,$J$22,0)</f>
        <v>0</v>
      </c>
      <c r="E15" s="111"/>
      <c r="F15" s="130">
        <f>'Output-Table'!D22*D15</f>
        <v>0</v>
      </c>
      <c r="G15" s="107">
        <f t="shared" si="2"/>
        <v>0</v>
      </c>
      <c r="H15" s="4"/>
      <c r="I15" s="99" t="s">
        <v>87</v>
      </c>
      <c r="J15" s="12">
        <f>IF('Inputs-area with wells'!C22&gt;=10,$J$14,$J$14-((10-'Inputs-area with wells'!C22)*0.05))</f>
        <v>1</v>
      </c>
      <c r="K15" s="87" t="s">
        <v>129</v>
      </c>
      <c r="L15" s="87"/>
      <c r="M15" s="87"/>
      <c r="N15" s="87"/>
      <c r="O15" s="87"/>
      <c r="P15" s="87"/>
      <c r="Q15" s="87"/>
      <c r="R15" s="87"/>
    </row>
    <row r="16" spans="1:19" x14ac:dyDescent="0.3">
      <c r="A16" s="110">
        <f t="shared" si="0"/>
        <v>2000</v>
      </c>
      <c r="B16" s="107">
        <f>IF(A16&lt;'Inputs-area with wells'!$C$12,0,IF(A16&gt;'Inputs-area with wells'!$C$20,0,'Disposal &amp; LFG Recovery'!B16))</f>
        <v>339800</v>
      </c>
      <c r="C16" s="112">
        <f t="shared" si="1"/>
        <v>339800</v>
      </c>
      <c r="D16" s="113">
        <f>IF(A16&gt;=Inputs!$C$27,$J$22,0)</f>
        <v>0</v>
      </c>
      <c r="E16" s="111"/>
      <c r="F16" s="130">
        <f>'Output-Table'!D23*D16</f>
        <v>0</v>
      </c>
      <c r="G16" s="107">
        <f t="shared" si="2"/>
        <v>0</v>
      </c>
      <c r="H16" s="4"/>
      <c r="I16" s="99" t="s">
        <v>78</v>
      </c>
      <c r="J16" s="311">
        <f>J15*'Inputs-area with wells'!C28</f>
        <v>0.9</v>
      </c>
      <c r="K16" s="87" t="s">
        <v>81</v>
      </c>
      <c r="L16" s="87"/>
      <c r="M16" s="87"/>
      <c r="N16" s="87"/>
      <c r="O16" s="87"/>
      <c r="P16" s="87"/>
      <c r="Q16" s="87"/>
      <c r="R16" s="87"/>
    </row>
    <row r="17" spans="1:19" x14ac:dyDescent="0.3">
      <c r="A17" s="110">
        <f t="shared" si="0"/>
        <v>2001</v>
      </c>
      <c r="B17" s="107">
        <f>IF(A17&lt;'Inputs-area with wells'!$C$12,0,IF(A17&gt;'Inputs-area with wells'!$C$20,0,'Disposal &amp; LFG Recovery'!B17))</f>
        <v>346600</v>
      </c>
      <c r="C17" s="112">
        <f t="shared" si="1"/>
        <v>686400</v>
      </c>
      <c r="D17" s="113">
        <f>IF(A17&gt;=Inputs!$C$27,$J$22,0)</f>
        <v>0</v>
      </c>
      <c r="E17" s="111"/>
      <c r="F17" s="130">
        <f>'Output-Table'!D24*D17</f>
        <v>0</v>
      </c>
      <c r="G17" s="107">
        <f t="shared" si="2"/>
        <v>0</v>
      </c>
      <c r="H17" s="4"/>
      <c r="I17" s="99" t="s">
        <v>155</v>
      </c>
      <c r="J17" s="12">
        <f>J16*('Inputs-area with wells'!C29*0.9+'Inputs-area with wells'!C30*0.8+'Inputs-area with wells'!C31*0.75+'Inputs-area with wells'!C32*0.5)</f>
        <v>0.71550000000000014</v>
      </c>
      <c r="K17" s="87" t="s">
        <v>80</v>
      </c>
      <c r="L17" s="87"/>
      <c r="M17" s="87"/>
      <c r="N17" s="87"/>
      <c r="O17" s="87"/>
      <c r="P17" s="87"/>
      <c r="Q17" s="87"/>
      <c r="R17" s="87"/>
      <c r="S17" s="2"/>
    </row>
    <row r="18" spans="1:19" x14ac:dyDescent="0.3">
      <c r="A18" s="110">
        <f t="shared" si="0"/>
        <v>2002</v>
      </c>
      <c r="B18" s="107">
        <f>IF(A18&lt;'Inputs-area with wells'!$C$12,0,IF(A18&gt;'Inputs-area with wells'!$C$20,0,'Disposal &amp; LFG Recovery'!B18))</f>
        <v>353530</v>
      </c>
      <c r="C18" s="112">
        <f t="shared" si="1"/>
        <v>1039930</v>
      </c>
      <c r="D18" s="113">
        <f>IF(A18&gt;=Inputs!$C$27,$J$22,0)</f>
        <v>0</v>
      </c>
      <c r="E18" s="111"/>
      <c r="F18" s="130">
        <f>'Output-Table'!D25*D18</f>
        <v>0</v>
      </c>
      <c r="G18" s="107">
        <f t="shared" si="2"/>
        <v>0</v>
      </c>
      <c r="H18" s="4"/>
      <c r="I18" s="99" t="s">
        <v>79</v>
      </c>
      <c r="J18" s="12">
        <f>J17*(1-(1-'Inputs-area with wells'!C33)*0.05)</f>
        <v>0.67972500000000013</v>
      </c>
      <c r="K18" s="87" t="s">
        <v>90</v>
      </c>
      <c r="L18" s="87"/>
      <c r="M18" s="87"/>
      <c r="N18" s="87"/>
      <c r="O18" s="87"/>
      <c r="P18" s="87"/>
      <c r="Q18" s="87"/>
      <c r="R18" s="87"/>
      <c r="S18" s="2"/>
    </row>
    <row r="19" spans="1:19" x14ac:dyDescent="0.3">
      <c r="A19" s="110">
        <f t="shared" si="0"/>
        <v>2003</v>
      </c>
      <c r="B19" s="107">
        <f>IF(A19&lt;'Inputs-area with wells'!$C$12,0,IF(A19&gt;'Inputs-area with wells'!$C$20,0,'Disposal &amp; LFG Recovery'!B19))</f>
        <v>360600</v>
      </c>
      <c r="C19" s="112">
        <f t="shared" si="1"/>
        <v>1400530</v>
      </c>
      <c r="D19" s="113">
        <f>IF(A19&gt;=Inputs!$C$27,$J$22,0)</f>
        <v>0</v>
      </c>
      <c r="E19" s="111"/>
      <c r="F19" s="130">
        <f>'Output-Table'!D26*D19</f>
        <v>0</v>
      </c>
      <c r="G19" s="107">
        <f t="shared" si="2"/>
        <v>0</v>
      </c>
      <c r="H19" s="4"/>
      <c r="I19" s="99" t="s">
        <v>88</v>
      </c>
      <c r="J19" s="12">
        <f>IF('Inputs-area with wells'!C34="No",J18*0.97,J18)</f>
        <v>0.67972500000000013</v>
      </c>
      <c r="K19" s="87" t="s">
        <v>89</v>
      </c>
      <c r="L19" s="87"/>
      <c r="M19" s="87"/>
      <c r="N19" s="87"/>
      <c r="O19" s="87"/>
      <c r="P19" s="87"/>
      <c r="Q19" s="87"/>
      <c r="R19" s="87"/>
      <c r="S19" s="2"/>
    </row>
    <row r="20" spans="1:19" x14ac:dyDescent="0.3">
      <c r="A20" s="110">
        <f t="shared" si="0"/>
        <v>2004</v>
      </c>
      <c r="B20" s="107">
        <f>IF(A20&lt;'Inputs-area with wells'!$C$12,0,IF(A20&gt;'Inputs-area with wells'!$C$20,0,'Disposal &amp; LFG Recovery'!B20))</f>
        <v>367810</v>
      </c>
      <c r="C20" s="112">
        <f t="shared" si="1"/>
        <v>1768340</v>
      </c>
      <c r="D20" s="113">
        <f>IF(A20&gt;=Inputs!$C$27,$J$22,0)</f>
        <v>0</v>
      </c>
      <c r="E20" s="111"/>
      <c r="F20" s="130">
        <f>'Output-Table'!D27*D20</f>
        <v>0</v>
      </c>
      <c r="G20" s="107">
        <f t="shared" si="2"/>
        <v>0</v>
      </c>
      <c r="H20" s="4"/>
      <c r="I20" s="99" t="s">
        <v>345</v>
      </c>
      <c r="J20" s="12">
        <f>IF('Inputs-area with wells'!C35="No",J19*0.97,J19)</f>
        <v>0.67972500000000013</v>
      </c>
      <c r="K20" s="87" t="s">
        <v>347</v>
      </c>
      <c r="L20" s="87"/>
      <c r="M20" s="87"/>
      <c r="N20" s="87"/>
      <c r="O20" s="87"/>
      <c r="P20" s="87"/>
      <c r="Q20" s="87"/>
      <c r="R20" s="87"/>
      <c r="S20" s="2"/>
    </row>
    <row r="21" spans="1:19" x14ac:dyDescent="0.3">
      <c r="A21" s="110">
        <f t="shared" si="0"/>
        <v>2005</v>
      </c>
      <c r="B21" s="107">
        <f>IF(A21&lt;'Inputs-area with wells'!$C$12,0,IF(A21&gt;'Inputs-area with wells'!$C$20,0,'Disposal &amp; LFG Recovery'!B21))</f>
        <v>375170</v>
      </c>
      <c r="C21" s="112">
        <f t="shared" si="1"/>
        <v>2143510</v>
      </c>
      <c r="D21" s="113">
        <f>IF(A21&gt;=Inputs!$C$27,$J$22,0)</f>
        <v>0</v>
      </c>
      <c r="E21" s="111"/>
      <c r="F21" s="130">
        <f>'Output-Table'!D28*D21</f>
        <v>0</v>
      </c>
      <c r="G21" s="107">
        <f t="shared" si="2"/>
        <v>0</v>
      </c>
      <c r="H21" s="4"/>
      <c r="I21" s="99" t="s">
        <v>95</v>
      </c>
      <c r="J21" s="129">
        <f>IF('Inputs-area with wells'!$C$36="No",J20,J20*(1-'Lookup Tables'!C51))</f>
        <v>0.5913607500000001</v>
      </c>
      <c r="K21" s="87" t="s">
        <v>348</v>
      </c>
      <c r="L21" s="87"/>
      <c r="M21" s="87"/>
      <c r="N21" s="87"/>
      <c r="O21" s="87"/>
      <c r="P21" s="87"/>
      <c r="Q21" s="87"/>
      <c r="R21" s="87"/>
      <c r="S21" s="2"/>
    </row>
    <row r="22" spans="1:19" x14ac:dyDescent="0.3">
      <c r="A22" s="110">
        <f t="shared" si="0"/>
        <v>2006</v>
      </c>
      <c r="B22" s="107">
        <f>IF(A22&lt;'Inputs-area with wells'!$C$12,0,IF(A22&gt;'Inputs-area with wells'!$C$20,0,'Disposal &amp; LFG Recovery'!B22))</f>
        <v>382670</v>
      </c>
      <c r="C22" s="112">
        <f t="shared" si="1"/>
        <v>2526180</v>
      </c>
      <c r="D22" s="113">
        <f>IF(A22&gt;=Inputs!$C$27,$J$22,0)</f>
        <v>0</v>
      </c>
      <c r="E22" s="111"/>
      <c r="F22" s="130">
        <f>'Output-Table'!H29</f>
        <v>0</v>
      </c>
      <c r="G22" s="107">
        <f t="shared" si="2"/>
        <v>0</v>
      </c>
      <c r="H22" s="4"/>
      <c r="I22" s="100" t="s">
        <v>94</v>
      </c>
      <c r="J22" s="12">
        <f>ROUND(J21,2)</f>
        <v>0.59</v>
      </c>
      <c r="K22" s="4" t="s">
        <v>237</v>
      </c>
      <c r="L22" s="87"/>
      <c r="M22" s="87"/>
      <c r="N22" s="87"/>
      <c r="O22" s="87"/>
      <c r="P22" s="87"/>
      <c r="Q22" s="87"/>
      <c r="R22" s="87"/>
      <c r="S22" s="2"/>
    </row>
    <row r="23" spans="1:19" x14ac:dyDescent="0.3">
      <c r="A23" s="110">
        <f t="shared" si="0"/>
        <v>2007</v>
      </c>
      <c r="B23" s="107">
        <f>IF(A23&lt;'Inputs-area with wells'!$C$12,0,IF(A23&gt;'Inputs-area with wells'!$C$20,0,'Disposal &amp; LFG Recovery'!B23))</f>
        <v>390320</v>
      </c>
      <c r="C23" s="112">
        <f t="shared" si="1"/>
        <v>2916500</v>
      </c>
      <c r="D23" s="113">
        <f>IF(A23&gt;=Inputs!$C$27,$J$22,0)</f>
        <v>0</v>
      </c>
      <c r="E23" s="111"/>
      <c r="F23" s="130">
        <f>'Output-Table'!H30</f>
        <v>0</v>
      </c>
      <c r="G23" s="107">
        <f t="shared" si="2"/>
        <v>0</v>
      </c>
      <c r="H23" s="4"/>
      <c r="I23" s="99" t="s">
        <v>235</v>
      </c>
      <c r="J23" s="312">
        <f>('Output-Table'!$D$118+'Output-Table'!$D$118^2/2)*AmountsB!$D$2+AmountsB!$E$2*('Output-Table'!$E$118+'Output-Table'!$E$118^2/2)+('Output-Table'!$F$118+'Output-Table'!$F$118^2/2)*AmountsB!$F$2+AmountsB!$G$2*('Output-Table'!$G$118+'Output-Table'!$G$118^2/2)</f>
        <v>5.2726081100000009E-2</v>
      </c>
      <c r="K23" s="4" t="s">
        <v>236</v>
      </c>
      <c r="L23" s="4"/>
      <c r="M23" s="4"/>
      <c r="N23" s="4"/>
      <c r="O23" s="4"/>
      <c r="P23" s="4"/>
      <c r="Q23" s="4"/>
      <c r="R23" s="4"/>
      <c r="S23" s="2"/>
    </row>
    <row r="24" spans="1:19" x14ac:dyDescent="0.3">
      <c r="A24" s="110">
        <f t="shared" si="0"/>
        <v>2008</v>
      </c>
      <c r="B24" s="107">
        <f>IF(A24&lt;'Inputs-area with wells'!$C$12,0,IF(A24&gt;'Inputs-area with wells'!$C$20,0,'Disposal &amp; LFG Recovery'!B24))</f>
        <v>398130</v>
      </c>
      <c r="C24" s="112">
        <f t="shared" si="1"/>
        <v>3314630</v>
      </c>
      <c r="D24" s="113">
        <f>IF(A24&gt;=Inputs!$C$27,$J$22,0)</f>
        <v>0</v>
      </c>
      <c r="E24" s="111"/>
      <c r="F24" s="130">
        <f>'Output-Table'!H31</f>
        <v>0</v>
      </c>
      <c r="G24" s="107">
        <f t="shared" si="2"/>
        <v>0</v>
      </c>
      <c r="H24" s="4"/>
      <c r="I24" s="4"/>
      <c r="J24" s="4"/>
      <c r="K24" s="4"/>
      <c r="L24" s="4"/>
      <c r="M24" s="4"/>
      <c r="N24" s="4"/>
      <c r="O24" s="4"/>
      <c r="P24" s="4"/>
      <c r="Q24" s="4"/>
      <c r="R24" s="4"/>
      <c r="S24" s="2"/>
    </row>
    <row r="25" spans="1:19" x14ac:dyDescent="0.3">
      <c r="A25" s="110">
        <f t="shared" si="0"/>
        <v>2009</v>
      </c>
      <c r="B25" s="107">
        <f>IF(A25&lt;'Inputs-area with wells'!$C$12,0,IF(A25&gt;'Inputs-area with wells'!$C$20,0,'Disposal &amp; LFG Recovery'!B25))</f>
        <v>406090</v>
      </c>
      <c r="C25" s="112">
        <f t="shared" si="1"/>
        <v>3720720</v>
      </c>
      <c r="D25" s="113">
        <f>IF(A25&gt;=Inputs!$C$27,$J$22,0)</f>
        <v>0</v>
      </c>
      <c r="E25" s="111"/>
      <c r="F25" s="130">
        <f>'Output-Table'!H32</f>
        <v>0</v>
      </c>
      <c r="G25" s="107">
        <f t="shared" si="2"/>
        <v>0</v>
      </c>
      <c r="H25" s="4"/>
      <c r="I25" s="4"/>
      <c r="J25" s="4"/>
      <c r="K25" s="4"/>
      <c r="L25" s="4"/>
      <c r="M25" s="4"/>
      <c r="N25" s="4"/>
      <c r="O25" s="4"/>
      <c r="P25" s="4"/>
      <c r="Q25" s="4"/>
      <c r="R25" s="4"/>
      <c r="S25" s="2"/>
    </row>
    <row r="26" spans="1:19" x14ac:dyDescent="0.3">
      <c r="A26" s="110">
        <f t="shared" si="0"/>
        <v>2010</v>
      </c>
      <c r="B26" s="107">
        <f>IF(A26&lt;'Inputs-area with wells'!$C$12,0,IF(A26&gt;'Inputs-area with wells'!$C$20,0,'Disposal &amp; LFG Recovery'!B26))</f>
        <v>414210</v>
      </c>
      <c r="C26" s="112">
        <f t="shared" si="1"/>
        <v>4134930</v>
      </c>
      <c r="D26" s="113">
        <f>IF(A26&gt;=Inputs!$C$27,$J$22,0)</f>
        <v>0</v>
      </c>
      <c r="E26" s="111"/>
      <c r="F26" s="130">
        <f>'Output-Table'!H33</f>
        <v>0</v>
      </c>
      <c r="G26" s="107">
        <f t="shared" si="2"/>
        <v>0</v>
      </c>
      <c r="H26" s="4"/>
      <c r="I26" s="4"/>
      <c r="J26" s="4"/>
      <c r="K26" s="4"/>
      <c r="L26" s="4"/>
      <c r="M26" s="4"/>
      <c r="N26" s="4"/>
      <c r="O26" s="4"/>
      <c r="P26" s="4"/>
      <c r="Q26" s="4"/>
      <c r="R26" s="4"/>
      <c r="S26" s="2"/>
    </row>
    <row r="27" spans="1:19" x14ac:dyDescent="0.3">
      <c r="A27" s="110">
        <f t="shared" si="0"/>
        <v>2011</v>
      </c>
      <c r="B27" s="107">
        <f>IF(A27&lt;'Inputs-area with wells'!$C$12,0,IF(A27&gt;'Inputs-area with wells'!$C$20,0,'Disposal &amp; LFG Recovery'!B27))</f>
        <v>422490</v>
      </c>
      <c r="C27" s="112">
        <f t="shared" si="1"/>
        <v>4557420</v>
      </c>
      <c r="D27" s="113">
        <f>IF(A27&gt;=Inputs!$C$27,$J$22,0)</f>
        <v>0</v>
      </c>
      <c r="E27" s="111"/>
      <c r="F27" s="130">
        <f>'Output-Table'!H34</f>
        <v>0</v>
      </c>
      <c r="G27" s="107">
        <f t="shared" si="2"/>
        <v>0</v>
      </c>
      <c r="H27" s="4"/>
      <c r="I27" s="4"/>
      <c r="J27" s="4"/>
      <c r="K27" s="4"/>
      <c r="L27" s="4"/>
      <c r="M27" s="4"/>
      <c r="N27" s="4"/>
      <c r="O27" s="4"/>
      <c r="P27" s="4"/>
      <c r="Q27" s="4"/>
      <c r="R27" s="4"/>
      <c r="S27" s="2"/>
    </row>
    <row r="28" spans="1:19" x14ac:dyDescent="0.3">
      <c r="A28" s="110">
        <f t="shared" si="0"/>
        <v>2012</v>
      </c>
      <c r="B28" s="107">
        <f>IF(A28&lt;'Inputs-area with wells'!$C$12,0,IF(A28&gt;'Inputs-area with wells'!$C$20,0,'Disposal &amp; LFG Recovery'!B28))</f>
        <v>450000</v>
      </c>
      <c r="C28" s="112">
        <f t="shared" si="1"/>
        <v>5007420</v>
      </c>
      <c r="D28" s="113">
        <f>IF(A28&gt;=Inputs!$C$27,$J$22,0)</f>
        <v>0</v>
      </c>
      <c r="E28" s="111"/>
      <c r="F28" s="130">
        <f>'Output-Table'!H35</f>
        <v>0</v>
      </c>
      <c r="G28" s="107">
        <f t="shared" si="2"/>
        <v>0</v>
      </c>
      <c r="H28" s="4"/>
      <c r="I28" s="4"/>
      <c r="J28" s="4"/>
      <c r="K28" s="4"/>
      <c r="L28" s="4"/>
      <c r="M28" s="4"/>
      <c r="N28" s="4"/>
      <c r="O28" s="4"/>
      <c r="P28" s="4"/>
      <c r="Q28" s="4"/>
      <c r="R28" s="4"/>
      <c r="S28" s="2"/>
    </row>
    <row r="29" spans="1:19" x14ac:dyDescent="0.3">
      <c r="A29" s="110">
        <f t="shared" si="0"/>
        <v>2013</v>
      </c>
      <c r="B29" s="107">
        <f>IF(A29&lt;'Inputs-area with wells'!$C$12,0,IF(A29&gt;'Inputs-area with wells'!$C$20,0,'Disposal &amp; LFG Recovery'!B29))</f>
        <v>459000</v>
      </c>
      <c r="C29" s="112">
        <f t="shared" si="1"/>
        <v>5466420</v>
      </c>
      <c r="D29" s="113">
        <f>IF(A29&gt;=Inputs!$C$27,$J$22,0)</f>
        <v>0</v>
      </c>
      <c r="E29" s="111"/>
      <c r="F29" s="130">
        <f>'Output-Table'!H36</f>
        <v>0</v>
      </c>
      <c r="G29" s="107">
        <f t="shared" si="2"/>
        <v>0</v>
      </c>
      <c r="H29" s="4"/>
      <c r="I29" s="4"/>
      <c r="J29" s="4"/>
      <c r="K29" s="4"/>
      <c r="L29" s="4"/>
      <c r="M29" s="4"/>
      <c r="N29" s="4"/>
      <c r="O29" s="4"/>
      <c r="P29" s="4"/>
      <c r="Q29" s="4"/>
      <c r="R29" s="4"/>
      <c r="S29" s="2"/>
    </row>
    <row r="30" spans="1:19" x14ac:dyDescent="0.3">
      <c r="A30" s="110">
        <f t="shared" si="0"/>
        <v>2014</v>
      </c>
      <c r="B30" s="107">
        <f>IF(A30&lt;'Inputs-area with wells'!$C$12,0,IF(A30&gt;'Inputs-area with wells'!$C$20,0,'Disposal &amp; LFG Recovery'!B30))</f>
        <v>468180</v>
      </c>
      <c r="C30" s="112">
        <f t="shared" si="1"/>
        <v>5934600</v>
      </c>
      <c r="D30" s="113">
        <f>IF(A30&gt;=Inputs!$C$27,$J$22,0)</f>
        <v>0.59</v>
      </c>
      <c r="E30" s="111"/>
      <c r="F30" s="130">
        <f>'Output-Table'!H37</f>
        <v>1746.9604724239696</v>
      </c>
      <c r="G30" s="107">
        <f t="shared" si="2"/>
        <v>0</v>
      </c>
      <c r="H30" s="4"/>
      <c r="I30" s="4"/>
      <c r="J30" s="4"/>
      <c r="K30" s="4"/>
      <c r="L30" s="4"/>
      <c r="M30" s="4"/>
      <c r="N30" s="4"/>
      <c r="O30" s="4"/>
      <c r="P30" s="4"/>
      <c r="Q30" s="4"/>
      <c r="R30" s="4"/>
      <c r="S30" s="2"/>
    </row>
    <row r="31" spans="1:19" x14ac:dyDescent="0.3">
      <c r="A31" s="110">
        <f t="shared" si="0"/>
        <v>2015</v>
      </c>
      <c r="B31" s="107">
        <f>IF(A31&lt;'Inputs-area with wells'!$C$12,0,IF(A31&gt;'Inputs-area with wells'!$C$20,0,'Disposal &amp; LFG Recovery'!B31))</f>
        <v>477540</v>
      </c>
      <c r="C31" s="112">
        <f t="shared" si="1"/>
        <v>6412140</v>
      </c>
      <c r="D31" s="113">
        <f>IF(A31&gt;=Inputs!$C$27,$J$22,0)</f>
        <v>0.59</v>
      </c>
      <c r="E31" s="111"/>
      <c r="F31" s="130">
        <f>'Output-Table'!H38</f>
        <v>1846.0081255446241</v>
      </c>
      <c r="G31" s="107">
        <f t="shared" si="2"/>
        <v>0</v>
      </c>
      <c r="H31" s="4"/>
      <c r="I31" s="4"/>
      <c r="J31" s="4"/>
      <c r="K31" s="4"/>
      <c r="L31" s="4"/>
      <c r="M31" s="4"/>
      <c r="N31" s="4"/>
      <c r="O31" s="4"/>
      <c r="P31" s="4"/>
      <c r="Q31" s="4"/>
      <c r="R31" s="4"/>
      <c r="S31" s="2"/>
    </row>
    <row r="32" spans="1:19" x14ac:dyDescent="0.3">
      <c r="A32" s="110">
        <f t="shared" si="0"/>
        <v>2016</v>
      </c>
      <c r="B32" s="107">
        <f>IF(A32&lt;'Inputs-area with wells'!$C$12,0,IF(A32&gt;'Inputs-area with wells'!$C$20,0,'Disposal &amp; LFG Recovery'!B32))</f>
        <v>487090</v>
      </c>
      <c r="C32" s="112">
        <f t="shared" si="1"/>
        <v>6899230</v>
      </c>
      <c r="D32" s="113">
        <f>IF(A32&gt;=Inputs!$C$27,$J$22,0)</f>
        <v>0.59</v>
      </c>
      <c r="E32" s="111"/>
      <c r="F32" s="130">
        <f>'Output-Table'!H39</f>
        <v>1942.8704063632035</v>
      </c>
      <c r="G32" s="107">
        <f t="shared" si="2"/>
        <v>0</v>
      </c>
      <c r="H32" s="4"/>
      <c r="I32" s="4"/>
      <c r="J32" s="4"/>
      <c r="K32" s="4"/>
      <c r="L32" s="4"/>
      <c r="M32" s="4"/>
      <c r="N32" s="4"/>
      <c r="O32" s="4"/>
      <c r="P32" s="4"/>
      <c r="Q32" s="4"/>
      <c r="R32" s="4"/>
      <c r="S32" s="2"/>
    </row>
    <row r="33" spans="1:19" x14ac:dyDescent="0.3">
      <c r="A33" s="110">
        <f t="shared" si="0"/>
        <v>2017</v>
      </c>
      <c r="B33" s="107">
        <f>IF(A33&lt;'Inputs-area with wells'!$C$12,0,IF(A33&gt;'Inputs-area with wells'!$C$20,0,'Disposal &amp; LFG Recovery'!B33))</f>
        <v>0</v>
      </c>
      <c r="C33" s="112">
        <f t="shared" si="1"/>
        <v>6899230</v>
      </c>
      <c r="D33" s="113">
        <f>IF(A33&gt;=Inputs!$C$27,$J$22,0)</f>
        <v>0.59</v>
      </c>
      <c r="E33" s="111"/>
      <c r="F33" s="130">
        <f>'Output-Table'!H40</f>
        <v>2037.9103974035454</v>
      </c>
      <c r="G33" s="107">
        <f t="shared" si="2"/>
        <v>0</v>
      </c>
      <c r="H33" s="4"/>
      <c r="I33" s="4"/>
      <c r="J33" s="4"/>
      <c r="K33" s="4"/>
      <c r="L33" s="4"/>
      <c r="M33" s="4"/>
      <c r="N33" s="4"/>
      <c r="O33" s="4"/>
      <c r="P33" s="4"/>
      <c r="Q33" s="4"/>
      <c r="R33" s="4"/>
      <c r="S33" s="2"/>
    </row>
    <row r="34" spans="1:19" x14ac:dyDescent="0.3">
      <c r="A34" s="110">
        <f t="shared" si="0"/>
        <v>2018</v>
      </c>
      <c r="B34" s="107">
        <f>IF(A34&lt;'Inputs-area with wells'!$C$12,0,IF(A34&gt;'Inputs-area with wells'!$C$20,0,'Disposal &amp; LFG Recovery'!B34))</f>
        <v>0</v>
      </c>
      <c r="C34" s="112">
        <f t="shared" si="1"/>
        <v>6899230</v>
      </c>
      <c r="D34" s="113">
        <f>IF(A34&gt;=Inputs!$C$27,$J$22,0)</f>
        <v>0.59</v>
      </c>
      <c r="E34" s="111"/>
      <c r="F34" s="130">
        <f>'Output-Table'!H41</f>
        <v>1872.010917591316</v>
      </c>
      <c r="G34" s="107">
        <f t="shared" si="2"/>
        <v>0</v>
      </c>
      <c r="H34" s="4"/>
      <c r="I34" s="4"/>
      <c r="J34" s="4"/>
      <c r="K34" s="4"/>
      <c r="L34" s="4"/>
      <c r="M34" s="4"/>
      <c r="N34" s="4"/>
      <c r="O34" s="4"/>
      <c r="P34" s="4"/>
      <c r="Q34" s="4"/>
      <c r="R34" s="4"/>
      <c r="S34" s="2"/>
    </row>
    <row r="35" spans="1:19" x14ac:dyDescent="0.3">
      <c r="A35" s="110">
        <f t="shared" si="0"/>
        <v>2019</v>
      </c>
      <c r="B35" s="107">
        <f>IF(A35&lt;'Inputs-area with wells'!$C$12,0,IF(A35&gt;'Inputs-area with wells'!$C$20,0,'Disposal &amp; LFG Recovery'!B35))</f>
        <v>0</v>
      </c>
      <c r="C35" s="112">
        <f t="shared" si="1"/>
        <v>6899230</v>
      </c>
      <c r="D35" s="113">
        <f>IF(A35&gt;=Inputs!$C$27,$J$22,0)</f>
        <v>0.59</v>
      </c>
      <c r="E35" s="111"/>
      <c r="F35" s="130">
        <f>'Output-Table'!H42</f>
        <v>1724.3150147441343</v>
      </c>
      <c r="G35" s="107">
        <f t="shared" si="2"/>
        <v>0</v>
      </c>
      <c r="H35" s="4"/>
      <c r="I35" s="4"/>
      <c r="J35" s="4"/>
      <c r="K35" s="4"/>
      <c r="L35" s="4"/>
      <c r="M35" s="4"/>
      <c r="N35" s="4"/>
      <c r="O35" s="4"/>
      <c r="P35" s="4"/>
      <c r="Q35" s="4"/>
      <c r="R35" s="4"/>
      <c r="S35" s="2"/>
    </row>
    <row r="36" spans="1:19" x14ac:dyDescent="0.3">
      <c r="A36" s="110">
        <f t="shared" si="0"/>
        <v>2020</v>
      </c>
      <c r="B36" s="107">
        <f>IF(A36&lt;'Inputs-area with wells'!$C$12,0,IF(A36&gt;'Inputs-area with wells'!$C$20,0,'Disposal &amp; LFG Recovery'!B36))</f>
        <v>0</v>
      </c>
      <c r="C36" s="112">
        <f t="shared" si="1"/>
        <v>6899230</v>
      </c>
      <c r="D36" s="113">
        <f>IF(A36&gt;=Inputs!$C$27,$J$22,0)</f>
        <v>0.59</v>
      </c>
      <c r="E36" s="111"/>
      <c r="F36" s="130">
        <f>'Output-Table'!H43</f>
        <v>1592.589826633121</v>
      </c>
      <c r="G36" s="107">
        <f t="shared" si="2"/>
        <v>0</v>
      </c>
      <c r="H36" s="4"/>
      <c r="I36" s="4"/>
      <c r="J36" s="4"/>
      <c r="K36" s="4"/>
      <c r="L36" s="4"/>
      <c r="M36" s="4"/>
      <c r="N36" s="4"/>
      <c r="O36" s="4"/>
      <c r="P36" s="4"/>
      <c r="Q36" s="4"/>
      <c r="R36" s="4"/>
      <c r="S36" s="2"/>
    </row>
    <row r="37" spans="1:19" x14ac:dyDescent="0.3">
      <c r="A37" s="110">
        <f t="shared" si="0"/>
        <v>2021</v>
      </c>
      <c r="B37" s="107">
        <f>IF(A37&lt;'Inputs-area with wells'!$C$12,0,IF(A37&gt;'Inputs-area with wells'!$C$20,0,'Disposal &amp; LFG Recovery'!B37))</f>
        <v>0</v>
      </c>
      <c r="C37" s="112">
        <f t="shared" si="1"/>
        <v>6899230</v>
      </c>
      <c r="D37" s="113">
        <f>IF(A37&gt;=Inputs!$C$27,$J$22,0)</f>
        <v>0.59</v>
      </c>
      <c r="E37" s="111"/>
      <c r="F37" s="130">
        <f>'Output-Table'!H44</f>
        <v>1474.8868089966186</v>
      </c>
      <c r="G37" s="107">
        <f t="shared" si="2"/>
        <v>0</v>
      </c>
      <c r="H37" s="4"/>
      <c r="I37" s="4"/>
      <c r="J37" s="4"/>
      <c r="K37" s="4"/>
      <c r="L37" s="4"/>
      <c r="M37" s="4"/>
      <c r="N37" s="4"/>
      <c r="O37" s="4"/>
      <c r="P37" s="4"/>
      <c r="Q37" s="4"/>
      <c r="R37" s="4"/>
      <c r="S37" s="2"/>
    </row>
    <row r="38" spans="1:19" x14ac:dyDescent="0.3">
      <c r="A38" s="110">
        <f t="shared" si="0"/>
        <v>2022</v>
      </c>
      <c r="B38" s="107">
        <f>IF(A38&lt;'Inputs-area with wells'!$C$12,0,IF(A38&gt;'Inputs-area with wells'!$C$20,0,'Disposal &amp; LFG Recovery'!B38))</f>
        <v>0</v>
      </c>
      <c r="C38" s="112">
        <f t="shared" si="1"/>
        <v>6899230</v>
      </c>
      <c r="D38" s="113">
        <f>IF(A38&gt;=Inputs!$C$27,$J$22,0)</f>
        <v>0.59</v>
      </c>
      <c r="E38" s="111"/>
      <c r="F38" s="130">
        <f>'Output-Table'!H45</f>
        <v>1369.5050243404123</v>
      </c>
      <c r="G38" s="107">
        <f t="shared" si="2"/>
        <v>0</v>
      </c>
      <c r="H38" s="4"/>
      <c r="I38" s="4"/>
      <c r="J38" s="4"/>
      <c r="K38" s="4"/>
      <c r="L38" s="4"/>
      <c r="M38" s="4"/>
      <c r="N38" s="4"/>
      <c r="O38" s="4"/>
      <c r="P38" s="4"/>
      <c r="Q38" s="4"/>
      <c r="R38" s="4"/>
      <c r="S38" s="2"/>
    </row>
    <row r="39" spans="1:19" x14ac:dyDescent="0.3">
      <c r="A39" s="110">
        <f t="shared" si="0"/>
        <v>2023</v>
      </c>
      <c r="B39" s="107">
        <f>IF(A39&lt;'Inputs-area with wells'!$C$12,0,IF(A39&gt;'Inputs-area with wells'!$C$20,0,'Disposal &amp; LFG Recovery'!B39))</f>
        <v>0</v>
      </c>
      <c r="C39" s="112">
        <f t="shared" si="1"/>
        <v>6899230</v>
      </c>
      <c r="D39" s="113">
        <f>IF(A39&gt;=Inputs!$C$27,$J$22,0)</f>
        <v>0.59</v>
      </c>
      <c r="E39" s="111"/>
      <c r="F39" s="130">
        <f>'Output-Table'!H46</f>
        <v>1274.959199346252</v>
      </c>
      <c r="G39" s="107">
        <f t="shared" si="2"/>
        <v>0</v>
      </c>
      <c r="H39" s="4"/>
      <c r="I39" s="4"/>
      <c r="J39" s="4"/>
      <c r="K39" s="4"/>
      <c r="L39" s="4"/>
      <c r="M39" s="4"/>
      <c r="N39" s="4"/>
      <c r="O39" s="4"/>
      <c r="P39" s="4"/>
      <c r="Q39" s="4"/>
      <c r="R39" s="4"/>
      <c r="S39" s="2"/>
    </row>
    <row r="40" spans="1:19" x14ac:dyDescent="0.3">
      <c r="A40" s="110">
        <f t="shared" si="0"/>
        <v>2024</v>
      </c>
      <c r="B40" s="107">
        <f>IF(A40&lt;'Inputs-area with wells'!$C$12,0,IF(A40&gt;'Inputs-area with wells'!$C$20,0,'Disposal &amp; LFG Recovery'!B40))</f>
        <v>0</v>
      </c>
      <c r="C40" s="112">
        <f t="shared" si="1"/>
        <v>6899230</v>
      </c>
      <c r="D40" s="113">
        <f>IF(A40&gt;=Inputs!$C$27,$J$22,0)</f>
        <v>0.59</v>
      </c>
      <c r="E40" s="111"/>
      <c r="F40" s="130">
        <f>'Output-Table'!H47</f>
        <v>1189.95192971149</v>
      </c>
      <c r="G40" s="107">
        <f t="shared" si="2"/>
        <v>0</v>
      </c>
      <c r="H40" s="4"/>
      <c r="I40" s="4"/>
      <c r="J40" s="4"/>
      <c r="K40" s="4"/>
      <c r="L40" s="4"/>
      <c r="M40" s="4"/>
      <c r="N40" s="4"/>
      <c r="O40" s="4"/>
      <c r="P40" s="4"/>
      <c r="Q40" s="4"/>
      <c r="R40" s="4"/>
      <c r="S40" s="2"/>
    </row>
    <row r="41" spans="1:19" x14ac:dyDescent="0.3">
      <c r="A41" s="110">
        <f t="shared" si="0"/>
        <v>2025</v>
      </c>
      <c r="B41" s="107">
        <f>IF(A41&lt;'Inputs-area with wells'!$C$12,0,IF(A41&gt;'Inputs-area with wells'!$C$20,0,'Disposal &amp; LFG Recovery'!B41))</f>
        <v>0</v>
      </c>
      <c r="C41" s="112">
        <f t="shared" si="1"/>
        <v>6899230</v>
      </c>
      <c r="D41" s="113">
        <f>IF(A41&gt;=Inputs!$C$27,$J$22,0)</f>
        <v>0.59</v>
      </c>
      <c r="E41" s="111"/>
      <c r="F41" s="130">
        <f>'Output-Table'!H48</f>
        <v>1113.3494922739239</v>
      </c>
      <c r="G41" s="107">
        <f t="shared" si="2"/>
        <v>0</v>
      </c>
      <c r="H41" s="4"/>
      <c r="I41" s="4"/>
      <c r="J41" s="4"/>
      <c r="K41" s="4"/>
      <c r="L41" s="4"/>
      <c r="M41" s="4"/>
      <c r="N41" s="4"/>
      <c r="O41" s="4"/>
      <c r="P41" s="4"/>
      <c r="Q41" s="4"/>
      <c r="R41" s="4"/>
      <c r="S41" s="2"/>
    </row>
    <row r="42" spans="1:19" x14ac:dyDescent="0.3">
      <c r="A42" s="110">
        <f t="shared" si="0"/>
        <v>2026</v>
      </c>
      <c r="B42" s="107">
        <f>IF(A42&lt;'Inputs-area with wells'!$C$12,0,IF(A42&gt;'Inputs-area with wells'!$C$20,0,'Disposal &amp; LFG Recovery'!B42))</f>
        <v>0</v>
      </c>
      <c r="C42" s="112">
        <f t="shared" si="1"/>
        <v>6899230</v>
      </c>
      <c r="D42" s="113">
        <f>IF(A42&gt;=Inputs!$C$27,$J$22,0)</f>
        <v>0.59</v>
      </c>
      <c r="E42" s="111"/>
      <c r="F42" s="130">
        <f>'Output-Table'!H49</f>
        <v>1044.1607947291693</v>
      </c>
      <c r="G42" s="107">
        <f t="shared" si="2"/>
        <v>0</v>
      </c>
      <c r="H42" s="4"/>
      <c r="I42" s="4"/>
      <c r="J42" s="4"/>
      <c r="K42" s="4"/>
      <c r="L42" s="4"/>
      <c r="M42" s="4"/>
      <c r="N42" s="4"/>
      <c r="O42" s="4"/>
      <c r="P42" s="4"/>
      <c r="Q42" s="4"/>
      <c r="R42" s="4"/>
      <c r="S42" s="2"/>
    </row>
    <row r="43" spans="1:19" x14ac:dyDescent="0.3">
      <c r="A43" s="110">
        <f t="shared" si="0"/>
        <v>2027</v>
      </c>
      <c r="B43" s="107">
        <f>IF(A43&lt;'Inputs-area with wells'!$C$12,0,IF(A43&gt;'Inputs-area with wells'!$C$20,0,'Disposal &amp; LFG Recovery'!B43))</f>
        <v>0</v>
      </c>
      <c r="C43" s="112">
        <f t="shared" si="1"/>
        <v>6899230</v>
      </c>
      <c r="D43" s="113">
        <f>IF(A43&gt;=Inputs!$C$27,$J$22,0)</f>
        <v>0.59</v>
      </c>
      <c r="E43" s="111"/>
      <c r="F43" s="130">
        <f>'Output-Table'!H50</f>
        <v>981.51905450462004</v>
      </c>
      <c r="G43" s="107">
        <f t="shared" si="2"/>
        <v>0</v>
      </c>
      <c r="H43" s="4"/>
      <c r="I43" s="4"/>
      <c r="J43" s="4"/>
      <c r="K43" s="4"/>
      <c r="L43" s="4"/>
      <c r="M43" s="4"/>
      <c r="N43" s="4"/>
      <c r="O43" s="4"/>
      <c r="P43" s="4"/>
      <c r="Q43" s="4"/>
      <c r="R43" s="4"/>
      <c r="S43" s="2"/>
    </row>
    <row r="44" spans="1:19" x14ac:dyDescent="0.3">
      <c r="A44" s="110">
        <f t="shared" si="0"/>
        <v>2028</v>
      </c>
      <c r="B44" s="107">
        <f>IF(A44&lt;'Inputs-area with wells'!$C$12,0,IF(A44&gt;'Inputs-area with wells'!$C$20,0,'Disposal &amp; LFG Recovery'!B44))</f>
        <v>0</v>
      </c>
      <c r="C44" s="112">
        <f t="shared" si="1"/>
        <v>6899230</v>
      </c>
      <c r="D44" s="113">
        <f>IF(A44&gt;=Inputs!$C$27,$J$22,0)</f>
        <v>0.59</v>
      </c>
      <c r="E44" s="111"/>
      <c r="F44" s="130">
        <f>'Output-Table'!H51</f>
        <v>924.6658516150793</v>
      </c>
      <c r="G44" s="107">
        <f t="shared" si="2"/>
        <v>0</v>
      </c>
      <c r="H44" s="4"/>
      <c r="I44" s="4"/>
      <c r="J44" s="4"/>
      <c r="K44" s="4"/>
      <c r="L44" s="4"/>
      <c r="M44" s="4"/>
      <c r="N44" s="4"/>
      <c r="O44" s="4"/>
      <c r="P44" s="4"/>
      <c r="Q44" s="4"/>
      <c r="R44" s="4"/>
      <c r="S44" s="2"/>
    </row>
    <row r="45" spans="1:19" x14ac:dyDescent="0.3">
      <c r="A45" s="110">
        <f t="shared" si="0"/>
        <v>2029</v>
      </c>
      <c r="B45" s="107">
        <f>IF(A45&lt;'Inputs-area with wells'!$C$12,0,IF(A45&gt;'Inputs-area with wells'!$C$20,0,'Disposal &amp; LFG Recovery'!B45))</f>
        <v>0</v>
      </c>
      <c r="C45" s="112">
        <f t="shared" si="1"/>
        <v>6899230</v>
      </c>
      <c r="D45" s="113">
        <f>IF(A45&gt;=Inputs!$C$27,$J$22,0)</f>
        <v>0.59</v>
      </c>
      <c r="E45" s="111"/>
      <c r="F45" s="130">
        <f>'Output-Table'!H52</f>
        <v>872.93724663470095</v>
      </c>
      <c r="G45" s="107">
        <f t="shared" si="2"/>
        <v>0</v>
      </c>
      <c r="H45" s="4"/>
      <c r="I45" s="4"/>
      <c r="J45" s="4"/>
      <c r="K45" s="4"/>
      <c r="L45" s="4"/>
      <c r="M45" s="4"/>
      <c r="N45" s="4"/>
      <c r="O45" s="4"/>
      <c r="P45" s="4"/>
      <c r="Q45" s="4"/>
      <c r="R45" s="4"/>
      <c r="S45" s="2"/>
    </row>
    <row r="46" spans="1:19" x14ac:dyDescent="0.3">
      <c r="A46" s="110">
        <f t="shared" si="0"/>
        <v>2030</v>
      </c>
      <c r="B46" s="107">
        <f>IF(A46&lt;'Inputs-area with wells'!$C$12,0,IF(A46&gt;'Inputs-area with wells'!$C$20,0,'Disposal &amp; LFG Recovery'!B46))</f>
        <v>0</v>
      </c>
      <c r="C46" s="112">
        <f t="shared" si="1"/>
        <v>6899230</v>
      </c>
      <c r="D46" s="113">
        <f>IF(A46&gt;=Inputs!$C$27,$J$22,0)</f>
        <v>0.59</v>
      </c>
      <c r="E46" s="111"/>
      <c r="F46" s="130">
        <f>'Output-Table'!H53</f>
        <v>825.75169518551422</v>
      </c>
      <c r="G46" s="107">
        <f t="shared" si="2"/>
        <v>0</v>
      </c>
      <c r="H46" s="4"/>
      <c r="I46" s="4"/>
      <c r="J46" s="4"/>
      <c r="K46" s="4"/>
      <c r="L46" s="4"/>
      <c r="M46" s="4"/>
      <c r="N46" s="4"/>
      <c r="O46" s="4"/>
      <c r="P46" s="4"/>
      <c r="Q46" s="4"/>
      <c r="R46" s="4"/>
      <c r="S46" s="2"/>
    </row>
    <row r="47" spans="1:19" x14ac:dyDescent="0.3">
      <c r="A47" s="110">
        <f t="shared" si="0"/>
        <v>2031</v>
      </c>
      <c r="B47" s="107">
        <f>IF(A47&lt;'Inputs-area with wells'!$C$12,0,IF(A47&gt;'Inputs-area with wells'!$C$20,0,'Disposal &amp; LFG Recovery'!B47))</f>
        <v>0</v>
      </c>
      <c r="C47" s="112">
        <f t="shared" si="1"/>
        <v>6899230</v>
      </c>
      <c r="D47" s="113">
        <f>IF(A47&gt;=Inputs!$C$27,$J$22,0)</f>
        <v>0.59</v>
      </c>
      <c r="E47" s="111"/>
      <c r="F47" s="130">
        <f>'Output-Table'!H54</f>
        <v>782.59952535386731</v>
      </c>
      <c r="G47" s="107">
        <f t="shared" si="2"/>
        <v>0</v>
      </c>
      <c r="H47" s="4"/>
      <c r="I47" s="4"/>
      <c r="J47" s="4"/>
      <c r="K47" s="4"/>
      <c r="L47" s="4"/>
      <c r="M47" s="4"/>
      <c r="N47" s="4"/>
      <c r="O47" s="4"/>
      <c r="P47" s="4"/>
      <c r="Q47" s="4"/>
      <c r="R47" s="4"/>
      <c r="S47" s="2"/>
    </row>
    <row r="48" spans="1:19" x14ac:dyDescent="0.3">
      <c r="A48" s="110">
        <f t="shared" si="0"/>
        <v>2032</v>
      </c>
      <c r="B48" s="107">
        <f>IF(A48&lt;'Inputs-area with wells'!$C$12,0,IF(A48&gt;'Inputs-area with wells'!$C$20,0,'Disposal &amp; LFG Recovery'!B48))</f>
        <v>0</v>
      </c>
      <c r="C48" s="112">
        <f t="shared" si="1"/>
        <v>6899230</v>
      </c>
      <c r="D48" s="113">
        <f>IF(A48&gt;=Inputs!$C$27,$J$22,0)</f>
        <v>0.59</v>
      </c>
      <c r="E48" s="111"/>
      <c r="F48" s="130">
        <f>'Output-Table'!H55</f>
        <v>743.03377488855142</v>
      </c>
      <c r="G48" s="107">
        <f t="shared" si="2"/>
        <v>0</v>
      </c>
      <c r="H48" s="4"/>
      <c r="I48" s="4"/>
      <c r="J48" s="4"/>
      <c r="K48" s="4"/>
      <c r="L48" s="4"/>
      <c r="M48" s="4"/>
      <c r="N48" s="4"/>
      <c r="O48" s="4"/>
      <c r="P48" s="4"/>
      <c r="Q48" s="4"/>
      <c r="R48" s="4"/>
      <c r="S48" s="2"/>
    </row>
    <row r="49" spans="1:19" x14ac:dyDescent="0.3">
      <c r="A49" s="110">
        <f t="shared" si="0"/>
        <v>2033</v>
      </c>
      <c r="B49" s="107">
        <f>IF(A49&lt;'Inputs-area with wells'!$C$12,0,IF(A49&gt;'Inputs-area with wells'!$C$20,0,'Disposal &amp; LFG Recovery'!B49))</f>
        <v>0</v>
      </c>
      <c r="C49" s="112">
        <f t="shared" si="1"/>
        <v>6899230</v>
      </c>
      <c r="D49" s="113">
        <f>IF(A49&gt;=Inputs!$C$27,$J$22,0)</f>
        <v>0.59</v>
      </c>
      <c r="E49" s="111"/>
      <c r="F49" s="130">
        <f>'Output-Table'!H56</f>
        <v>706.66221150473575</v>
      </c>
      <c r="G49" s="107">
        <f t="shared" si="2"/>
        <v>0</v>
      </c>
      <c r="H49" s="4"/>
      <c r="I49" s="4"/>
      <c r="J49" s="4"/>
      <c r="K49" s="4"/>
      <c r="L49" s="4"/>
      <c r="M49" s="4"/>
      <c r="N49" s="4"/>
      <c r="O49" s="4"/>
      <c r="P49" s="4"/>
      <c r="Q49" s="4"/>
      <c r="R49" s="4"/>
      <c r="S49" s="2"/>
    </row>
    <row r="50" spans="1:19" x14ac:dyDescent="0.3">
      <c r="A50" s="110">
        <f t="shared" si="0"/>
        <v>2034</v>
      </c>
      <c r="B50" s="107">
        <f>IF(A50&lt;'Inputs-area with wells'!$C$12,0,IF(A50&gt;'Inputs-area with wells'!$C$20,0,'Disposal &amp; LFG Recovery'!B50))</f>
        <v>0</v>
      </c>
      <c r="C50" s="112">
        <f t="shared" si="1"/>
        <v>6899230</v>
      </c>
      <c r="D50" s="113">
        <f>IF(A50&gt;=Inputs!$C$27,$J$22,0)</f>
        <v>0.59</v>
      </c>
      <c r="E50" s="111"/>
      <c r="F50" s="130">
        <f>'Output-Table'!H57</f>
        <v>673.14038263471423</v>
      </c>
      <c r="G50" s="107">
        <f t="shared" si="2"/>
        <v>0</v>
      </c>
      <c r="H50" s="4"/>
      <c r="I50" s="4"/>
      <c r="J50" s="4"/>
      <c r="K50" s="4"/>
      <c r="L50" s="4"/>
      <c r="M50" s="4"/>
      <c r="N50" s="4"/>
      <c r="O50" s="4"/>
      <c r="P50" s="4"/>
      <c r="Q50" s="4"/>
      <c r="R50" s="4"/>
      <c r="S50" s="2"/>
    </row>
    <row r="51" spans="1:19" x14ac:dyDescent="0.3">
      <c r="A51" s="110">
        <f t="shared" si="0"/>
        <v>2035</v>
      </c>
      <c r="B51" s="107">
        <f>IF(A51&lt;'Inputs-area with wells'!$C$12,0,IF(A51&gt;'Inputs-area with wells'!$C$20,0,'Disposal &amp; LFG Recovery'!B51))</f>
        <v>0</v>
      </c>
      <c r="C51" s="112">
        <f t="shared" si="1"/>
        <v>6899230</v>
      </c>
      <c r="D51" s="113">
        <f>IF(A51&gt;=Inputs!$C$27,$J$22,0)</f>
        <v>0.59</v>
      </c>
      <c r="E51" s="111"/>
      <c r="F51" s="130">
        <f>'Output-Table'!H58</f>
        <v>642.16556098067781</v>
      </c>
      <c r="G51" s="107">
        <f t="shared" si="2"/>
        <v>0</v>
      </c>
      <c r="H51" s="4"/>
      <c r="I51" s="4"/>
      <c r="J51" s="4"/>
      <c r="K51" s="4"/>
      <c r="L51" s="4"/>
      <c r="M51" s="4"/>
      <c r="N51" s="4"/>
      <c r="O51" s="4"/>
      <c r="P51" s="4"/>
      <c r="Q51" s="4"/>
      <c r="R51" s="4"/>
      <c r="S51" s="2"/>
    </row>
    <row r="52" spans="1:19" x14ac:dyDescent="0.3">
      <c r="A52" s="110">
        <f t="shared" si="0"/>
        <v>2036</v>
      </c>
      <c r="B52" s="107">
        <f>IF(A52&lt;'Inputs-area with wells'!$C$12,0,IF(A52&gt;'Inputs-area with wells'!$C$20,0,'Disposal &amp; LFG Recovery'!B52))</f>
        <v>0</v>
      </c>
      <c r="C52" s="112">
        <f t="shared" si="1"/>
        <v>6899230</v>
      </c>
      <c r="D52" s="113">
        <f>IF(A52&gt;=Inputs!$C$27,$J$22,0)</f>
        <v>0.59</v>
      </c>
      <c r="E52" s="111"/>
      <c r="F52" s="130">
        <f>'Output-Table'!H59</f>
        <v>613.47146962828742</v>
      </c>
      <c r="G52" s="107">
        <f t="shared" si="2"/>
        <v>0</v>
      </c>
      <c r="H52" s="4"/>
      <c r="I52" s="4"/>
      <c r="J52" s="4"/>
      <c r="K52" s="4"/>
      <c r="L52" s="4"/>
      <c r="M52" s="4"/>
      <c r="N52" s="4"/>
      <c r="O52" s="4"/>
      <c r="P52" s="4"/>
      <c r="Q52" s="4"/>
      <c r="R52" s="4"/>
      <c r="S52" s="2"/>
    </row>
    <row r="53" spans="1:19" x14ac:dyDescent="0.3">
      <c r="A53" s="110">
        <f t="shared" si="0"/>
        <v>2037</v>
      </c>
      <c r="B53" s="107">
        <f>IF(A53&lt;'Inputs-area with wells'!$C$12,0,IF(A53&gt;'Inputs-area with wells'!$C$20,0,'Disposal &amp; LFG Recovery'!B53))</f>
        <v>0</v>
      </c>
      <c r="C53" s="112">
        <f t="shared" si="1"/>
        <v>6899230</v>
      </c>
      <c r="D53" s="113">
        <f>IF(A53&gt;=Inputs!$C$27,$J$22,0)</f>
        <v>0.59</v>
      </c>
      <c r="E53" s="111"/>
      <c r="F53" s="130">
        <f>'Output-Table'!H60</f>
        <v>586.82368561352882</v>
      </c>
      <c r="G53" s="107">
        <f t="shared" si="2"/>
        <v>0</v>
      </c>
      <c r="H53" s="4"/>
      <c r="I53" s="4"/>
      <c r="J53" s="4"/>
      <c r="K53" s="4"/>
      <c r="L53" s="4"/>
      <c r="M53" s="4"/>
      <c r="N53" s="4"/>
      <c r="O53" s="4"/>
      <c r="P53" s="4"/>
      <c r="Q53" s="4"/>
      <c r="R53" s="4"/>
      <c r="S53" s="2"/>
    </row>
    <row r="54" spans="1:19" x14ac:dyDescent="0.3">
      <c r="A54" s="110">
        <f t="shared" si="0"/>
        <v>2038</v>
      </c>
      <c r="B54" s="107">
        <f>IF(A54&lt;'Inputs-area with wells'!$C$12,0,IF(A54&gt;'Inputs-area with wells'!$C$20,0,'Disposal &amp; LFG Recovery'!B54))</f>
        <v>0</v>
      </c>
      <c r="C54" s="112">
        <f t="shared" si="1"/>
        <v>6899230</v>
      </c>
      <c r="D54" s="113">
        <f>IF(A54&gt;=Inputs!$C$27,$J$22,0)</f>
        <v>0.59</v>
      </c>
      <c r="E54" s="111"/>
      <c r="F54" s="130">
        <f>'Output-Table'!H61</f>
        <v>562.0156339953985</v>
      </c>
      <c r="G54" s="107">
        <f t="shared" si="2"/>
        <v>0</v>
      </c>
      <c r="H54" s="4"/>
      <c r="I54" s="4"/>
      <c r="J54" s="4"/>
      <c r="K54" s="4"/>
      <c r="L54" s="4"/>
      <c r="M54" s="4"/>
      <c r="N54" s="4"/>
      <c r="O54" s="4"/>
      <c r="P54" s="4"/>
      <c r="Q54" s="4"/>
      <c r="R54" s="4"/>
      <c r="S54" s="2"/>
    </row>
    <row r="55" spans="1:19" x14ac:dyDescent="0.3">
      <c r="A55" s="110">
        <f t="shared" si="0"/>
        <v>2039</v>
      </c>
      <c r="B55" s="107">
        <f>IF(A55&lt;'Inputs-area with wells'!$C$12,0,IF(A55&gt;'Inputs-area with wells'!$C$20,0,'Disposal &amp; LFG Recovery'!B55))</f>
        <v>0</v>
      </c>
      <c r="C55" s="112">
        <f t="shared" si="1"/>
        <v>6899230</v>
      </c>
      <c r="D55" s="113">
        <f>IF(A55&gt;=Inputs!$C$27,$J$22,0)</f>
        <v>0.59</v>
      </c>
      <c r="E55" s="111"/>
      <c r="F55" s="130">
        <f>'Output-Table'!H62</f>
        <v>538.8650959311309</v>
      </c>
      <c r="G55" s="107">
        <f t="shared" si="2"/>
        <v>0</v>
      </c>
      <c r="H55" s="4"/>
      <c r="I55" s="4"/>
      <c r="J55" s="4"/>
      <c r="K55" s="4"/>
      <c r="L55" s="4"/>
      <c r="M55" s="4"/>
      <c r="N55" s="4"/>
      <c r="O55" s="4"/>
      <c r="P55" s="4"/>
      <c r="Q55" s="4"/>
      <c r="R55" s="4"/>
      <c r="S55" s="2"/>
    </row>
    <row r="56" spans="1:19" x14ac:dyDescent="0.3">
      <c r="A56" s="110">
        <f t="shared" si="0"/>
        <v>2040</v>
      </c>
      <c r="B56" s="107">
        <f>IF(A56&lt;'Inputs-area with wells'!$C$12,0,IF(A56&gt;'Inputs-area with wells'!$C$20,0,'Disposal &amp; LFG Recovery'!B56))</f>
        <v>0</v>
      </c>
      <c r="C56" s="112">
        <f t="shared" si="1"/>
        <v>6899230</v>
      </c>
      <c r="D56" s="113">
        <f>IF(A56&gt;=Inputs!$C$27,$J$22,0)</f>
        <v>0.59</v>
      </c>
      <c r="E56" s="111"/>
      <c r="F56" s="130">
        <f>'Output-Table'!H63</f>
        <v>517.21116420270744</v>
      </c>
      <c r="G56" s="107">
        <f t="shared" si="2"/>
        <v>0</v>
      </c>
      <c r="H56" s="4"/>
      <c r="I56" s="4"/>
      <c r="J56" s="4"/>
      <c r="K56" s="4"/>
      <c r="L56" s="4"/>
      <c r="M56" s="4"/>
      <c r="N56" s="4"/>
      <c r="O56" s="4"/>
      <c r="P56" s="4"/>
      <c r="Q56" s="4"/>
      <c r="R56" s="4"/>
      <c r="S56" s="2"/>
    </row>
    <row r="57" spans="1:19" x14ac:dyDescent="0.3">
      <c r="A57" s="110">
        <f t="shared" si="0"/>
        <v>2041</v>
      </c>
      <c r="B57" s="107">
        <f>IF(A57&lt;'Inputs-area with wells'!$C$12,0,IF(A57&gt;'Inputs-area with wells'!$C$20,0,'Disposal &amp; LFG Recovery'!B57))</f>
        <v>0</v>
      </c>
      <c r="C57" s="112">
        <f t="shared" si="1"/>
        <v>6899230</v>
      </c>
      <c r="D57" s="113">
        <f>IF(A57&gt;=Inputs!$C$27,$J$22,0)</f>
        <v>0.59</v>
      </c>
      <c r="E57" s="111"/>
      <c r="F57" s="130">
        <f>'Output-Table'!H64</f>
        <v>496.91158829820824</v>
      </c>
      <c r="G57" s="107">
        <f t="shared" si="2"/>
        <v>0</v>
      </c>
      <c r="H57" s="4"/>
      <c r="I57" s="4"/>
      <c r="J57" s="4"/>
      <c r="K57" s="4"/>
      <c r="L57" s="4"/>
      <c r="M57" s="4"/>
      <c r="N57" s="4"/>
      <c r="O57" s="4"/>
      <c r="P57" s="4"/>
      <c r="Q57" s="4"/>
      <c r="R57" s="4"/>
      <c r="S57" s="2"/>
    </row>
    <row r="58" spans="1:19" x14ac:dyDescent="0.3">
      <c r="A58" s="110">
        <f t="shared" si="0"/>
        <v>2042</v>
      </c>
      <c r="B58" s="107">
        <f>IF(A58&lt;'Inputs-area with wells'!$C$12,0,IF(A58&gt;'Inputs-area with wells'!$C$20,0,'Disposal &amp; LFG Recovery'!B58))</f>
        <v>0</v>
      </c>
      <c r="C58" s="112">
        <f t="shared" si="1"/>
        <v>6899230</v>
      </c>
      <c r="D58" s="113">
        <f>IF(A58&gt;=Inputs!$C$27,$J$22,0)</f>
        <v>0.59</v>
      </c>
      <c r="E58" s="111"/>
      <c r="F58" s="130">
        <f>'Output-Table'!H65</f>
        <v>477.84045867827979</v>
      </c>
      <c r="G58" s="107">
        <f t="shared" si="2"/>
        <v>0</v>
      </c>
      <c r="H58" s="4"/>
      <c r="I58" s="4"/>
      <c r="J58" s="4"/>
      <c r="K58" s="4"/>
      <c r="L58" s="4"/>
      <c r="M58" s="4"/>
      <c r="N58" s="4"/>
      <c r="O58" s="4"/>
      <c r="P58" s="4"/>
      <c r="Q58" s="4"/>
      <c r="R58" s="4"/>
      <c r="S58" s="2"/>
    </row>
    <row r="59" spans="1:19" x14ac:dyDescent="0.3">
      <c r="A59" s="110">
        <f t="shared" si="0"/>
        <v>2043</v>
      </c>
      <c r="B59" s="107">
        <f>IF(A59&lt;'Inputs-area with wells'!$C$12,0,IF(A59&gt;'Inputs-area with wells'!$C$20,0,'Disposal &amp; LFG Recovery'!B59))</f>
        <v>0</v>
      </c>
      <c r="C59" s="112">
        <f t="shared" si="1"/>
        <v>6899230</v>
      </c>
      <c r="D59" s="113">
        <f>IF(A59&gt;=Inputs!$C$27,$J$22,0)</f>
        <v>0.59</v>
      </c>
      <c r="E59" s="111"/>
      <c r="F59" s="130">
        <f>'Output-Table'!H66</f>
        <v>459.88618640392741</v>
      </c>
      <c r="G59" s="107">
        <f t="shared" si="2"/>
        <v>0</v>
      </c>
      <c r="H59" s="4"/>
      <c r="I59" s="4"/>
      <c r="J59" s="4"/>
      <c r="K59" s="4"/>
      <c r="L59" s="4"/>
      <c r="M59" s="4"/>
      <c r="N59" s="4"/>
      <c r="O59" s="4"/>
      <c r="P59" s="4"/>
      <c r="Q59" s="4"/>
      <c r="R59" s="4"/>
      <c r="S59" s="2"/>
    </row>
    <row r="60" spans="1:19" x14ac:dyDescent="0.3">
      <c r="A60" s="110">
        <f t="shared" si="0"/>
        <v>2044</v>
      </c>
      <c r="B60" s="107">
        <f>IF(A60&lt;'Inputs-area with wells'!$C$12,0,IF(A60&gt;'Inputs-area with wells'!$C$20,0,'Disposal &amp; LFG Recovery'!B60))</f>
        <v>0</v>
      </c>
      <c r="C60" s="112">
        <f t="shared" si="1"/>
        <v>6899230</v>
      </c>
      <c r="D60" s="113">
        <f>IF(A60&gt;=Inputs!$C$27,$J$22,0)</f>
        <v>0.59</v>
      </c>
      <c r="E60" s="111"/>
      <c r="F60" s="130">
        <f>'Output-Table'!H67</f>
        <v>442.94973999487974</v>
      </c>
      <c r="G60" s="107">
        <f t="shared" si="2"/>
        <v>0</v>
      </c>
      <c r="H60" s="4"/>
      <c r="I60" s="4"/>
      <c r="J60" s="4"/>
      <c r="K60" s="4"/>
      <c r="L60" s="4"/>
      <c r="M60" s="4"/>
      <c r="N60" s="4"/>
      <c r="O60" s="4"/>
      <c r="P60" s="4"/>
      <c r="Q60" s="4"/>
      <c r="R60" s="4"/>
      <c r="S60" s="2"/>
    </row>
    <row r="61" spans="1:19" x14ac:dyDescent="0.3">
      <c r="A61" s="110">
        <f t="shared" si="0"/>
        <v>2045</v>
      </c>
      <c r="B61" s="107">
        <f>IF(A61&lt;'Inputs-area with wells'!$C$12,0,IF(A61&gt;'Inputs-area with wells'!$C$20,0,'Disposal &amp; LFG Recovery'!B61))</f>
        <v>0</v>
      </c>
      <c r="C61" s="112">
        <f t="shared" si="1"/>
        <v>6899230</v>
      </c>
      <c r="D61" s="113">
        <f>IF(A61&gt;=Inputs!$C$27,$J$22,0)</f>
        <v>0.59</v>
      </c>
      <c r="E61" s="111"/>
      <c r="F61" s="130">
        <f>'Output-Table'!H68</f>
        <v>426.94310633924033</v>
      </c>
      <c r="G61" s="107">
        <f t="shared" si="2"/>
        <v>0</v>
      </c>
      <c r="H61" s="4"/>
      <c r="I61" s="4"/>
      <c r="J61" s="4"/>
      <c r="K61" s="4"/>
      <c r="L61" s="4"/>
      <c r="M61" s="4"/>
      <c r="N61" s="4"/>
      <c r="O61" s="4"/>
      <c r="P61" s="4"/>
      <c r="Q61" s="4"/>
      <c r="R61" s="4"/>
      <c r="S61" s="2"/>
    </row>
    <row r="62" spans="1:19" x14ac:dyDescent="0.3">
      <c r="A62" s="110">
        <f t="shared" si="0"/>
        <v>2046</v>
      </c>
      <c r="B62" s="107">
        <f>IF(A62&lt;'Inputs-area with wells'!$C$12,0,IF(A62&gt;'Inputs-area with wells'!$C$20,0,'Disposal &amp; LFG Recovery'!B62))</f>
        <v>0</v>
      </c>
      <c r="C62" s="112">
        <f t="shared" si="1"/>
        <v>6899230</v>
      </c>
      <c r="D62" s="113">
        <f>IF(A62&gt;=Inputs!$C$27,$J$22,0)</f>
        <v>0.59</v>
      </c>
      <c r="E62" s="111"/>
      <c r="F62" s="130">
        <f>'Output-Table'!H69</f>
        <v>411.78794678172062</v>
      </c>
      <c r="G62" s="107">
        <f t="shared" si="2"/>
        <v>0</v>
      </c>
      <c r="H62" s="4"/>
      <c r="I62" s="4"/>
      <c r="J62" s="4"/>
      <c r="K62" s="4"/>
      <c r="L62" s="4"/>
      <c r="M62" s="4"/>
      <c r="N62" s="4"/>
      <c r="O62" s="4"/>
      <c r="P62" s="4"/>
      <c r="Q62" s="4"/>
      <c r="R62" s="4"/>
      <c r="S62" s="2"/>
    </row>
    <row r="63" spans="1:19" x14ac:dyDescent="0.3">
      <c r="A63" s="110">
        <f t="shared" si="0"/>
        <v>2047</v>
      </c>
      <c r="B63" s="107">
        <f>IF(A63&lt;'Inputs-area with wells'!$C$12,0,IF(A63&gt;'Inputs-area with wells'!$C$20,0,'Disposal &amp; LFG Recovery'!B63))</f>
        <v>0</v>
      </c>
      <c r="C63" s="112">
        <f t="shared" si="1"/>
        <v>6899230</v>
      </c>
      <c r="D63" s="113">
        <f>IF(A63&gt;=Inputs!$C$27,$J$22,0)</f>
        <v>0.59</v>
      </c>
      <c r="E63" s="111"/>
      <c r="F63" s="130">
        <f>'Output-Table'!H70</f>
        <v>397.41442326360402</v>
      </c>
      <c r="G63" s="107">
        <f t="shared" si="2"/>
        <v>0</v>
      </c>
      <c r="H63" s="4"/>
      <c r="I63" s="4"/>
      <c r="J63" s="4"/>
      <c r="K63" s="4"/>
      <c r="L63" s="4"/>
      <c r="M63" s="4"/>
      <c r="N63" s="4"/>
      <c r="O63" s="4"/>
      <c r="P63" s="4"/>
      <c r="Q63" s="4"/>
      <c r="R63" s="4"/>
      <c r="S63" s="2"/>
    </row>
    <row r="64" spans="1:19" x14ac:dyDescent="0.3">
      <c r="A64" s="110">
        <f t="shared" si="0"/>
        <v>2048</v>
      </c>
      <c r="B64" s="107">
        <f>IF(A64&lt;'Inputs-area with wells'!$C$12,0,IF(A64&gt;'Inputs-area with wells'!$C$20,0,'Disposal &amp; LFG Recovery'!B64))</f>
        <v>0</v>
      </c>
      <c r="C64" s="112">
        <f t="shared" si="1"/>
        <v>6899230</v>
      </c>
      <c r="D64" s="113">
        <f>IF(A64&gt;=Inputs!$C$27,$J$22,0)</f>
        <v>0.59</v>
      </c>
      <c r="E64" s="111"/>
      <c r="F64" s="130">
        <f>'Output-Table'!H71</f>
        <v>383.76017264581458</v>
      </c>
      <c r="G64" s="107">
        <f t="shared" si="2"/>
        <v>0</v>
      </c>
      <c r="H64" s="4"/>
      <c r="I64" s="4"/>
      <c r="J64" s="4"/>
      <c r="K64" s="4"/>
      <c r="L64" s="4"/>
      <c r="M64" s="4"/>
      <c r="N64" s="4"/>
      <c r="O64" s="4"/>
      <c r="P64" s="4"/>
      <c r="Q64" s="4"/>
      <c r="R64" s="4"/>
      <c r="S64" s="2"/>
    </row>
    <row r="65" spans="1:19" x14ac:dyDescent="0.3">
      <c r="A65" s="110">
        <f t="shared" si="0"/>
        <v>2049</v>
      </c>
      <c r="B65" s="107">
        <f>IF(A65&lt;'Inputs-area with wells'!$C$12,0,IF(A65&gt;'Inputs-area with wells'!$C$20,0,'Disposal &amp; LFG Recovery'!B65))</f>
        <v>0</v>
      </c>
      <c r="C65" s="112">
        <f t="shared" si="1"/>
        <v>6899230</v>
      </c>
      <c r="D65" s="113">
        <f>IF(A65&gt;=Inputs!$C$27,$J$22,0)</f>
        <v>0.59</v>
      </c>
      <c r="E65" s="111"/>
      <c r="F65" s="130">
        <f>'Output-Table'!H72</f>
        <v>370.76941018066123</v>
      </c>
      <c r="G65" s="107">
        <f t="shared" si="2"/>
        <v>0</v>
      </c>
      <c r="H65" s="4"/>
      <c r="I65" s="4"/>
      <c r="J65" s="4"/>
      <c r="K65" s="4"/>
      <c r="L65" s="4"/>
      <c r="M65" s="4"/>
      <c r="N65" s="4"/>
      <c r="O65" s="4"/>
      <c r="P65" s="4"/>
      <c r="Q65" s="4"/>
      <c r="R65" s="4"/>
      <c r="S65" s="2"/>
    </row>
    <row r="66" spans="1:19" x14ac:dyDescent="0.3">
      <c r="A66" s="110">
        <f t="shared" si="0"/>
        <v>2050</v>
      </c>
      <c r="B66" s="107">
        <f>IF(A66&lt;'Inputs-area with wells'!$C$12,0,IF(A66&gt;'Inputs-area with wells'!$C$20,0,'Disposal &amp; LFG Recovery'!B66))</f>
        <v>0</v>
      </c>
      <c r="C66" s="112">
        <f t="shared" si="1"/>
        <v>6899230</v>
      </c>
      <c r="D66" s="113">
        <f>IF(A66&gt;=Inputs!$C$27,$J$22,0)</f>
        <v>0.59</v>
      </c>
      <c r="E66" s="111"/>
      <c r="F66" s="130">
        <f>'Output-Table'!H73</f>
        <v>358.39214556327227</v>
      </c>
      <c r="G66" s="107">
        <f t="shared" si="2"/>
        <v>0</v>
      </c>
      <c r="H66" s="4"/>
      <c r="I66" s="4"/>
      <c r="J66" s="4"/>
      <c r="K66" s="4"/>
      <c r="L66" s="4"/>
      <c r="M66" s="4"/>
      <c r="N66" s="4"/>
      <c r="O66" s="4"/>
      <c r="P66" s="4"/>
      <c r="Q66" s="4"/>
      <c r="R66" s="4"/>
      <c r="S66" s="2"/>
    </row>
    <row r="67" spans="1:19" x14ac:dyDescent="0.3">
      <c r="A67" s="110">
        <f t="shared" si="0"/>
        <v>2051</v>
      </c>
      <c r="B67" s="107">
        <f>IF(A67&lt;'Inputs-area with wells'!$C$12,0,IF(A67&gt;'Inputs-area with wells'!$C$20,0,'Disposal &amp; LFG Recovery'!B67))</f>
        <v>0</v>
      </c>
      <c r="C67" s="112">
        <f t="shared" si="1"/>
        <v>6899230</v>
      </c>
      <c r="D67" s="113">
        <f>IF(A67&gt;=Inputs!$C$27,$J$22,0)</f>
        <v>0.59</v>
      </c>
      <c r="E67" s="111"/>
      <c r="F67" s="130">
        <f>'Output-Table'!H74</f>
        <v>346.58349713852027</v>
      </c>
      <c r="G67" s="107">
        <f t="shared" si="2"/>
        <v>0</v>
      </c>
      <c r="H67" s="4"/>
      <c r="I67" s="4"/>
      <c r="J67" s="4"/>
      <c r="K67" s="4"/>
      <c r="L67" s="4"/>
      <c r="M67" s="4"/>
      <c r="N67" s="4"/>
      <c r="O67" s="4"/>
      <c r="P67" s="4"/>
      <c r="Q67" s="4"/>
      <c r="R67" s="4"/>
      <c r="S67" s="2"/>
    </row>
    <row r="68" spans="1:19" x14ac:dyDescent="0.3">
      <c r="A68" s="110">
        <f t="shared" si="0"/>
        <v>2052</v>
      </c>
      <c r="B68" s="107">
        <f>IF(A68&lt;'Inputs-area with wells'!$C$12,0,IF(A68&gt;'Inputs-area with wells'!$C$20,0,'Disposal &amp; LFG Recovery'!B68))</f>
        <v>0</v>
      </c>
      <c r="C68" s="112">
        <f t="shared" si="1"/>
        <v>6899230</v>
      </c>
      <c r="D68" s="113">
        <f>IF(A68&gt;=Inputs!$C$27,$J$22,0)</f>
        <v>0.59</v>
      </c>
      <c r="E68" s="111"/>
      <c r="F68" s="130">
        <f>'Output-Table'!H75</f>
        <v>335.30309170513078</v>
      </c>
      <c r="G68" s="107">
        <f t="shared" si="2"/>
        <v>0</v>
      </c>
      <c r="H68" s="4"/>
      <c r="I68" s="4"/>
      <c r="J68" s="4"/>
      <c r="K68" s="4"/>
      <c r="L68" s="4"/>
      <c r="M68" s="4"/>
      <c r="N68" s="4"/>
      <c r="O68" s="4"/>
      <c r="P68" s="4"/>
      <c r="Q68" s="4"/>
      <c r="R68" s="4"/>
      <c r="S68" s="2"/>
    </row>
    <row r="69" spans="1:19" x14ac:dyDescent="0.3">
      <c r="A69" s="110">
        <f t="shared" si="0"/>
        <v>2053</v>
      </c>
      <c r="B69" s="107">
        <f>IF(A69&lt;'Inputs-area with wells'!$C$12,0,IF(A69&gt;'Inputs-area with wells'!$C$20,0,'Disposal &amp; LFG Recovery'!B69))</f>
        <v>0</v>
      </c>
      <c r="C69" s="112">
        <f t="shared" si="1"/>
        <v>6899230</v>
      </c>
      <c r="D69" s="113">
        <f>IF(A69&gt;=Inputs!$C$27,$J$22,0)</f>
        <v>0.59</v>
      </c>
      <c r="E69" s="111"/>
      <c r="F69" s="130">
        <f>'Output-Table'!H76</f>
        <v>324.5145389820409</v>
      </c>
      <c r="G69" s="107">
        <f t="shared" si="2"/>
        <v>0</v>
      </c>
      <c r="H69" s="4"/>
      <c r="I69" s="4"/>
      <c r="J69" s="4"/>
      <c r="K69" s="4"/>
      <c r="L69" s="4"/>
      <c r="M69" s="4"/>
      <c r="N69" s="4"/>
      <c r="O69" s="4"/>
      <c r="P69" s="4"/>
      <c r="Q69" s="4"/>
      <c r="R69" s="4"/>
      <c r="S69" s="2"/>
    </row>
    <row r="70" spans="1:19" x14ac:dyDescent="0.3">
      <c r="A70" s="110">
        <f t="shared" si="0"/>
        <v>2054</v>
      </c>
      <c r="B70" s="107">
        <f>IF(A70&lt;'Inputs-area with wells'!$C$12,0,IF(A70&gt;'Inputs-area with wells'!$C$20,0,'Disposal &amp; LFG Recovery'!B70))</f>
        <v>0</v>
      </c>
      <c r="C70" s="112">
        <f t="shared" si="1"/>
        <v>6899230</v>
      </c>
      <c r="D70" s="113">
        <f>IF(A70&gt;=Inputs!$C$27,$J$22,0)</f>
        <v>0.59</v>
      </c>
      <c r="E70" s="111"/>
      <c r="F70" s="130">
        <f>'Output-Table'!H77</f>
        <v>314.18497121451099</v>
      </c>
      <c r="G70" s="107">
        <f t="shared" si="2"/>
        <v>0</v>
      </c>
      <c r="H70" s="4"/>
      <c r="I70" s="4"/>
      <c r="J70" s="4"/>
      <c r="K70" s="4"/>
      <c r="L70" s="4"/>
      <c r="M70" s="4"/>
      <c r="N70" s="4"/>
      <c r="O70" s="4"/>
      <c r="P70" s="4"/>
      <c r="Q70" s="4"/>
      <c r="R70" s="4"/>
      <c r="S70" s="2"/>
    </row>
    <row r="71" spans="1:19" x14ac:dyDescent="0.3">
      <c r="A71" s="110">
        <f t="shared" ref="A71:A105" si="3">A70+1</f>
        <v>2055</v>
      </c>
      <c r="B71" s="107">
        <f>IF(A71&lt;'Inputs-area with wells'!$C$12,0,IF(A71&gt;'Inputs-area with wells'!$C$20,0,'Disposal &amp; LFG Recovery'!B71))</f>
        <v>0</v>
      </c>
      <c r="C71" s="112">
        <f t="shared" ref="C71:C102" si="4">C70+B71</f>
        <v>6899230</v>
      </c>
      <c r="D71" s="113">
        <f>IF(A71&gt;=Inputs!$C$27,$J$22,0)</f>
        <v>0.59</v>
      </c>
      <c r="E71" s="111"/>
      <c r="F71" s="130">
        <f>'Output-Table'!H78</f>
        <v>304.28463962648055</v>
      </c>
      <c r="G71" s="107">
        <f t="shared" si="2"/>
        <v>0</v>
      </c>
      <c r="H71" s="4"/>
      <c r="I71" s="4"/>
      <c r="J71" s="4"/>
      <c r="K71" s="4"/>
      <c r="L71" s="4"/>
      <c r="M71" s="4"/>
      <c r="N71" s="4"/>
      <c r="O71" s="4"/>
      <c r="P71" s="4"/>
      <c r="Q71" s="4"/>
      <c r="R71" s="4"/>
      <c r="S71" s="2"/>
    </row>
    <row r="72" spans="1:19" x14ac:dyDescent="0.3">
      <c r="A72" s="110">
        <f t="shared" si="3"/>
        <v>2056</v>
      </c>
      <c r="B72" s="107">
        <f>IF(A72&lt;'Inputs-area with wells'!$C$12,0,IF(A72&gt;'Inputs-area with wells'!$C$20,0,'Disposal &amp; LFG Recovery'!B72))</f>
        <v>0</v>
      </c>
      <c r="C72" s="112">
        <f t="shared" si="4"/>
        <v>6899230</v>
      </c>
      <c r="D72" s="113">
        <f>IF(A72&gt;=Inputs!$C$27,$J$22,0)</f>
        <v>0.59</v>
      </c>
      <c r="E72" s="111"/>
      <c r="F72" s="130">
        <f>'Output-Table'!H79</f>
        <v>294.78656049509431</v>
      </c>
      <c r="G72" s="107">
        <f t="shared" ref="G72:G105" si="5">G71</f>
        <v>0</v>
      </c>
      <c r="H72" s="4"/>
      <c r="I72" s="4"/>
      <c r="J72" s="4"/>
      <c r="K72" s="4"/>
      <c r="L72" s="4"/>
      <c r="M72" s="4"/>
      <c r="N72" s="4"/>
      <c r="O72" s="4"/>
      <c r="P72" s="4"/>
      <c r="Q72" s="4"/>
      <c r="R72" s="4"/>
      <c r="S72" s="2"/>
    </row>
    <row r="73" spans="1:19" x14ac:dyDescent="0.3">
      <c r="A73" s="110">
        <f t="shared" si="3"/>
        <v>2057</v>
      </c>
      <c r="B73" s="107">
        <f>IF(A73&lt;'Inputs-area with wells'!$C$12,0,IF(A73&gt;'Inputs-area with wells'!$C$20,0,'Disposal &amp; LFG Recovery'!B73))</f>
        <v>0</v>
      </c>
      <c r="C73" s="112">
        <f t="shared" si="4"/>
        <v>6899230</v>
      </c>
      <c r="D73" s="113">
        <f>IF(A73&gt;=Inputs!$C$27,$J$22,0)</f>
        <v>0.59</v>
      </c>
      <c r="E73" s="111"/>
      <c r="F73" s="130">
        <f>'Output-Table'!H80</f>
        <v>285.66620455397043</v>
      </c>
      <c r="G73" s="107">
        <f t="shared" si="5"/>
        <v>0</v>
      </c>
      <c r="H73" s="4"/>
      <c r="I73" s="4"/>
      <c r="J73" s="4"/>
      <c r="K73" s="4"/>
      <c r="L73" s="4"/>
      <c r="M73" s="4"/>
      <c r="N73" s="4"/>
      <c r="O73" s="4"/>
      <c r="P73" s="4"/>
      <c r="Q73" s="4"/>
      <c r="R73" s="4"/>
      <c r="S73" s="2"/>
    </row>
    <row r="74" spans="1:19" x14ac:dyDescent="0.3">
      <c r="A74" s="110">
        <f t="shared" si="3"/>
        <v>2058</v>
      </c>
      <c r="B74" s="107">
        <f>IF(A74&lt;'Inputs-area with wells'!$C$12,0,IF(A74&gt;'Inputs-area with wells'!$C$20,0,'Disposal &amp; LFG Recovery'!B74))</f>
        <v>0</v>
      </c>
      <c r="C74" s="112">
        <f t="shared" si="4"/>
        <v>6899230</v>
      </c>
      <c r="D74" s="113">
        <f>IF(A74&gt;=Inputs!$C$27,$J$22,0)</f>
        <v>0.59</v>
      </c>
      <c r="E74" s="111"/>
      <c r="F74" s="130">
        <f>'Output-Table'!H81</f>
        <v>276.90122424173319</v>
      </c>
      <c r="G74" s="107">
        <f t="shared" si="5"/>
        <v>0</v>
      </c>
      <c r="H74" s="4"/>
      <c r="I74" s="4"/>
      <c r="J74" s="4"/>
      <c r="K74" s="4"/>
      <c r="L74" s="4"/>
      <c r="M74" s="4"/>
      <c r="N74" s="4"/>
      <c r="O74" s="4"/>
      <c r="P74" s="4"/>
      <c r="Q74" s="4"/>
      <c r="R74" s="4"/>
      <c r="S74" s="2"/>
    </row>
    <row r="75" spans="1:19" x14ac:dyDescent="0.3">
      <c r="A75" s="110">
        <f t="shared" si="3"/>
        <v>2059</v>
      </c>
      <c r="B75" s="107">
        <f>IF(A75&lt;'Inputs-area with wells'!$C$12,0,IF(A75&gt;'Inputs-area with wells'!$C$20,0,'Disposal &amp; LFG Recovery'!B75))</f>
        <v>0</v>
      </c>
      <c r="C75" s="112">
        <f t="shared" si="4"/>
        <v>6899230</v>
      </c>
      <c r="D75" s="113">
        <f>IF(A75&gt;=Inputs!$C$27,$J$22,0)</f>
        <v>0.59</v>
      </c>
      <c r="E75" s="111"/>
      <c r="F75" s="130">
        <f>'Output-Table'!H82</f>
        <v>268.47121401726446</v>
      </c>
      <c r="G75" s="107">
        <f t="shared" si="5"/>
        <v>0</v>
      </c>
      <c r="H75" s="4"/>
      <c r="I75" s="4"/>
      <c r="J75" s="4"/>
      <c r="K75" s="4"/>
      <c r="L75" s="4"/>
      <c r="M75" s="4"/>
      <c r="N75" s="4"/>
      <c r="O75" s="4"/>
      <c r="P75" s="4"/>
      <c r="Q75" s="4"/>
      <c r="R75" s="4"/>
      <c r="S75" s="2"/>
    </row>
    <row r="76" spans="1:19" x14ac:dyDescent="0.3">
      <c r="A76" s="110">
        <f t="shared" si="3"/>
        <v>2060</v>
      </c>
      <c r="B76" s="107">
        <f>IF(A76&lt;'Inputs-area with wells'!$C$12,0,IF(A76&gt;'Inputs-area with wells'!$C$20,0,'Disposal &amp; LFG Recovery'!B76))</f>
        <v>0</v>
      </c>
      <c r="C76" s="112">
        <f t="shared" si="4"/>
        <v>6899230</v>
      </c>
      <c r="D76" s="113">
        <f>IF(A76&gt;=Inputs!$C$27,$J$22,0)</f>
        <v>0.59</v>
      </c>
      <c r="E76" s="111"/>
      <c r="F76" s="130">
        <f>'Output-Table'!H83</f>
        <v>260.35749957674199</v>
      </c>
      <c r="G76" s="107">
        <f t="shared" si="5"/>
        <v>0</v>
      </c>
      <c r="H76" s="4"/>
      <c r="I76" s="4"/>
      <c r="J76" s="4"/>
      <c r="K76" s="4"/>
      <c r="L76" s="4"/>
      <c r="M76" s="4"/>
      <c r="N76" s="4"/>
      <c r="O76" s="4"/>
      <c r="P76" s="4"/>
      <c r="Q76" s="4"/>
      <c r="R76" s="4"/>
      <c r="S76" s="2"/>
    </row>
    <row r="77" spans="1:19" x14ac:dyDescent="0.3">
      <c r="A77" s="110">
        <f t="shared" si="3"/>
        <v>2061</v>
      </c>
      <c r="B77" s="107">
        <f>IF(A77&lt;'Inputs-area with wells'!$C$12,0,IF(A77&gt;'Inputs-area with wells'!$C$20,0,'Disposal &amp; LFG Recovery'!B77))</f>
        <v>0</v>
      </c>
      <c r="C77" s="112">
        <f t="shared" si="4"/>
        <v>6899230</v>
      </c>
      <c r="D77" s="113">
        <f>IF(A77&gt;=Inputs!$C$27,$J$22,0)</f>
        <v>0.59</v>
      </c>
      <c r="E77" s="111"/>
      <c r="F77" s="130">
        <f>'Output-Table'!H84</f>
        <v>252.5429523416704</v>
      </c>
      <c r="G77" s="107">
        <f t="shared" si="5"/>
        <v>0</v>
      </c>
      <c r="H77" s="4"/>
      <c r="I77" s="4"/>
      <c r="J77" s="4"/>
      <c r="K77" s="4"/>
      <c r="L77" s="4"/>
      <c r="M77" s="4"/>
      <c r="N77" s="4"/>
      <c r="O77" s="4"/>
      <c r="P77" s="4"/>
      <c r="Q77" s="4"/>
      <c r="R77" s="4"/>
      <c r="S77" s="2"/>
    </row>
    <row r="78" spans="1:19" x14ac:dyDescent="0.3">
      <c r="A78" s="110">
        <f t="shared" si="3"/>
        <v>2062</v>
      </c>
      <c r="B78" s="107">
        <f>IF(A78&lt;'Inputs-area with wells'!$C$12,0,IF(A78&gt;'Inputs-area with wells'!$C$20,0,'Disposal &amp; LFG Recovery'!B78))</f>
        <v>0</v>
      </c>
      <c r="C78" s="112">
        <f t="shared" si="4"/>
        <v>6899230</v>
      </c>
      <c r="D78" s="113">
        <f>IF(A78&gt;=Inputs!$C$27,$J$22,0)</f>
        <v>0.59</v>
      </c>
      <c r="E78" s="111"/>
      <c r="F78" s="130">
        <f>'Output-Table'!H85</f>
        <v>245.0118260521526</v>
      </c>
      <c r="G78" s="107">
        <f t="shared" si="5"/>
        <v>0</v>
      </c>
      <c r="H78" s="4"/>
      <c r="I78" s="4"/>
      <c r="J78" s="4"/>
      <c r="K78" s="4"/>
      <c r="L78" s="4"/>
      <c r="M78" s="4"/>
      <c r="N78" s="4"/>
      <c r="O78" s="4"/>
      <c r="P78" s="4"/>
      <c r="Q78" s="4"/>
      <c r="R78" s="4"/>
      <c r="S78" s="2"/>
    </row>
    <row r="79" spans="1:19" x14ac:dyDescent="0.3">
      <c r="A79" s="110">
        <f t="shared" si="3"/>
        <v>2063</v>
      </c>
      <c r="B79" s="107">
        <f>IF(A79&lt;'Inputs-area with wells'!$C$12,0,IF(A79&gt;'Inputs-area with wells'!$C$20,0,'Disposal &amp; LFG Recovery'!B79))</f>
        <v>0</v>
      </c>
      <c r="C79" s="112">
        <f t="shared" si="4"/>
        <v>6899230</v>
      </c>
      <c r="D79" s="113">
        <f>IF(A79&gt;=Inputs!$C$27,$J$22,0)</f>
        <v>0.59</v>
      </c>
      <c r="E79" s="111"/>
      <c r="F79" s="130">
        <f>'Output-Table'!H86</f>
        <v>237.74961270452519</v>
      </c>
      <c r="G79" s="107">
        <f t="shared" si="5"/>
        <v>0</v>
      </c>
      <c r="H79" s="4"/>
      <c r="I79" s="4"/>
      <c r="J79" s="4"/>
      <c r="K79" s="4"/>
      <c r="L79" s="4"/>
      <c r="M79" s="4"/>
      <c r="N79" s="4"/>
      <c r="O79" s="4"/>
      <c r="P79" s="4"/>
      <c r="Q79" s="4"/>
      <c r="R79" s="4"/>
      <c r="S79" s="2"/>
    </row>
    <row r="80" spans="1:19" x14ac:dyDescent="0.3">
      <c r="A80" s="110">
        <f t="shared" si="3"/>
        <v>2064</v>
      </c>
      <c r="B80" s="107">
        <f>IF(A80&lt;'Inputs-area with wells'!$C$12,0,IF(A80&gt;'Inputs-area with wells'!$C$20,0,'Disposal &amp; LFG Recovery'!B80))</f>
        <v>0</v>
      </c>
      <c r="C80" s="112">
        <f t="shared" si="4"/>
        <v>6899230</v>
      </c>
      <c r="D80" s="113">
        <f>IF(A80&gt;=Inputs!$C$27,$J$22,0)</f>
        <v>0.59</v>
      </c>
      <c r="E80" s="111"/>
      <c r="F80" s="130">
        <f>'Output-Table'!H87</f>
        <v>230.74291542505739</v>
      </c>
      <c r="G80" s="107">
        <f t="shared" si="5"/>
        <v>0</v>
      </c>
      <c r="H80" s="4"/>
      <c r="I80" s="4"/>
      <c r="J80" s="4"/>
      <c r="K80" s="4"/>
      <c r="L80" s="4"/>
      <c r="M80" s="4"/>
      <c r="N80" s="4"/>
      <c r="O80" s="4"/>
      <c r="P80" s="4"/>
      <c r="Q80" s="4"/>
      <c r="R80" s="4"/>
      <c r="S80" s="2"/>
    </row>
    <row r="81" spans="1:19" x14ac:dyDescent="0.3">
      <c r="A81" s="110">
        <f t="shared" si="3"/>
        <v>2065</v>
      </c>
      <c r="B81" s="107">
        <f>IF(A81&lt;'Inputs-area with wells'!$C$12,0,IF(A81&gt;'Inputs-area with wells'!$C$20,0,'Disposal &amp; LFG Recovery'!B81))</f>
        <v>0</v>
      </c>
      <c r="C81" s="112">
        <f t="shared" si="4"/>
        <v>6899230</v>
      </c>
      <c r="D81" s="113">
        <f>IF(A81&gt;=Inputs!$C$27,$J$22,0)</f>
        <v>0.59</v>
      </c>
      <c r="E81" s="111"/>
      <c r="F81" s="130">
        <f>'Output-Table'!H88</f>
        <v>223.97933617845734</v>
      </c>
      <c r="G81" s="107">
        <f t="shared" si="5"/>
        <v>0</v>
      </c>
      <c r="H81" s="4"/>
      <c r="I81" s="4"/>
      <c r="J81" s="4"/>
      <c r="K81" s="4"/>
      <c r="L81" s="4"/>
      <c r="M81" s="4"/>
      <c r="N81" s="4"/>
      <c r="O81" s="4"/>
      <c r="P81" s="4"/>
      <c r="Q81" s="4"/>
      <c r="R81" s="4"/>
      <c r="S81" s="2"/>
    </row>
    <row r="82" spans="1:19" x14ac:dyDescent="0.3">
      <c r="A82" s="110">
        <f t="shared" si="3"/>
        <v>2066</v>
      </c>
      <c r="B82" s="107">
        <f>IF(A82&lt;'Inputs-area with wells'!$C$12,0,IF(A82&gt;'Inputs-area with wells'!$C$20,0,'Disposal &amp; LFG Recovery'!B82))</f>
        <v>0</v>
      </c>
      <c r="C82" s="112">
        <f t="shared" si="4"/>
        <v>6899230</v>
      </c>
      <c r="D82" s="113">
        <f>IF(A82&gt;=Inputs!$C$27,$J$22,0)</f>
        <v>0.59</v>
      </c>
      <c r="E82" s="111"/>
      <c r="F82" s="130">
        <f>'Output-Table'!H89</f>
        <v>217.44737647735818</v>
      </c>
      <c r="G82" s="107">
        <f t="shared" si="5"/>
        <v>0</v>
      </c>
      <c r="H82" s="4"/>
      <c r="I82" s="4"/>
      <c r="J82" s="4"/>
      <c r="K82" s="4"/>
      <c r="L82" s="4"/>
      <c r="M82" s="4"/>
      <c r="N82" s="4"/>
      <c r="O82" s="4"/>
      <c r="P82" s="4"/>
      <c r="Q82" s="4"/>
      <c r="R82" s="4"/>
      <c r="S82" s="2"/>
    </row>
    <row r="83" spans="1:19" x14ac:dyDescent="0.3">
      <c r="A83" s="110">
        <f t="shared" si="3"/>
        <v>2067</v>
      </c>
      <c r="B83" s="107">
        <f>IF(A83&lt;'Inputs-area with wells'!$C$12,0,IF(A83&gt;'Inputs-area with wells'!$C$20,0,'Disposal &amp; LFG Recovery'!B83))</f>
        <v>0</v>
      </c>
      <c r="C83" s="112">
        <f t="shared" si="4"/>
        <v>6899230</v>
      </c>
      <c r="D83" s="113">
        <f>IF(A83&gt;=Inputs!$C$27,$J$22,0)</f>
        <v>0.59</v>
      </c>
      <c r="E83" s="111"/>
      <c r="F83" s="130">
        <f>'Output-Table'!H90</f>
        <v>211.1363494919209</v>
      </c>
      <c r="G83" s="107">
        <f t="shared" si="5"/>
        <v>0</v>
      </c>
      <c r="H83" s="4"/>
      <c r="I83" s="4"/>
      <c r="J83" s="4"/>
      <c r="K83" s="4"/>
      <c r="L83" s="4"/>
      <c r="M83" s="4"/>
      <c r="N83" s="4"/>
      <c r="O83" s="4"/>
      <c r="P83" s="4"/>
      <c r="Q83" s="4"/>
      <c r="R83" s="4"/>
      <c r="S83" s="2"/>
    </row>
    <row r="84" spans="1:19" x14ac:dyDescent="0.3">
      <c r="A84" s="110">
        <f t="shared" si="3"/>
        <v>2068</v>
      </c>
      <c r="B84" s="107">
        <f>IF(A84&lt;'Inputs-area with wells'!$C$12,0,IF(A84&gt;'Inputs-area with wells'!$C$20,0,'Disposal &amp; LFG Recovery'!B84))</f>
        <v>0</v>
      </c>
      <c r="C84" s="112">
        <f t="shared" si="4"/>
        <v>6899230</v>
      </c>
      <c r="D84" s="113">
        <f>IF(A84&gt;=Inputs!$C$27,$J$22,0)</f>
        <v>0.59</v>
      </c>
      <c r="E84" s="111"/>
      <c r="F84" s="130">
        <f>'Output-Table'!H91</f>
        <v>205.0363021616445</v>
      </c>
      <c r="G84" s="107">
        <f t="shared" si="5"/>
        <v>0</v>
      </c>
      <c r="H84" s="4"/>
      <c r="I84" s="4"/>
      <c r="J84" s="4"/>
      <c r="K84" s="4"/>
      <c r="L84" s="4"/>
      <c r="M84" s="4"/>
      <c r="N84" s="4"/>
      <c r="O84" s="4"/>
      <c r="P84" s="4"/>
      <c r="Q84" s="4"/>
      <c r="R84" s="4"/>
      <c r="S84" s="2"/>
    </row>
    <row r="85" spans="1:19" x14ac:dyDescent="0.3">
      <c r="A85" s="110">
        <f t="shared" si="3"/>
        <v>2069</v>
      </c>
      <c r="B85" s="107">
        <f>IF(A85&lt;'Inputs-area with wells'!$C$12,0,IF(A85&gt;'Inputs-area with wells'!$C$20,0,'Disposal &amp; LFG Recovery'!B85))</f>
        <v>0</v>
      </c>
      <c r="C85" s="112">
        <f t="shared" si="4"/>
        <v>6899230</v>
      </c>
      <c r="D85" s="113">
        <f>IF(A85&gt;=Inputs!$C$27,$J$22,0)</f>
        <v>0.59</v>
      </c>
      <c r="E85" s="111"/>
      <c r="F85" s="130">
        <f>'Output-Table'!H92</f>
        <v>199.13794608833618</v>
      </c>
      <c r="G85" s="107">
        <f t="shared" si="5"/>
        <v>0</v>
      </c>
      <c r="H85" s="4"/>
      <c r="I85" s="4"/>
      <c r="J85" s="4"/>
      <c r="K85" s="4"/>
      <c r="L85" s="4"/>
      <c r="M85" s="4"/>
      <c r="N85" s="4"/>
      <c r="O85" s="4"/>
      <c r="P85" s="4"/>
      <c r="Q85" s="4"/>
      <c r="R85" s="4"/>
      <c r="S85" s="2"/>
    </row>
    <row r="86" spans="1:19" x14ac:dyDescent="0.3">
      <c r="A86" s="110">
        <f t="shared" si="3"/>
        <v>2070</v>
      </c>
      <c r="B86" s="107">
        <f>IF(A86&lt;'Inputs-area with wells'!$C$12,0,IF(A86&gt;'Inputs-area with wells'!$C$20,0,'Disposal &amp; LFG Recovery'!B86))</f>
        <v>0</v>
      </c>
      <c r="C86" s="112">
        <f t="shared" si="4"/>
        <v>6899230</v>
      </c>
      <c r="D86" s="113">
        <f>IF(A86&gt;=Inputs!$C$27,$J$22,0)</f>
        <v>0.59</v>
      </c>
      <c r="E86" s="111"/>
      <c r="F86" s="130">
        <f>'Output-Table'!H93</f>
        <v>193.43259614331078</v>
      </c>
      <c r="G86" s="107">
        <f t="shared" si="5"/>
        <v>0</v>
      </c>
      <c r="H86" s="4"/>
      <c r="I86" s="4"/>
      <c r="J86" s="4"/>
      <c r="K86" s="4"/>
      <c r="L86" s="4"/>
      <c r="M86" s="4"/>
      <c r="N86" s="4"/>
      <c r="O86" s="4"/>
      <c r="P86" s="4"/>
      <c r="Q86" s="4"/>
      <c r="R86" s="4"/>
      <c r="S86" s="2"/>
    </row>
    <row r="87" spans="1:19" x14ac:dyDescent="0.3">
      <c r="A87" s="110">
        <f t="shared" si="3"/>
        <v>2071</v>
      </c>
      <c r="B87" s="107">
        <f>IF(A87&lt;'Inputs-area with wells'!$C$12,0,IF(A87&gt;'Inputs-area with wells'!$C$20,0,'Disposal &amp; LFG Recovery'!B87))</f>
        <v>0</v>
      </c>
      <c r="C87" s="112">
        <f t="shared" si="4"/>
        <v>6899230</v>
      </c>
      <c r="D87" s="113">
        <f>IF(A87&gt;=Inputs!$C$27,$J$22,0)</f>
        <v>0.59</v>
      </c>
      <c r="E87" s="111"/>
      <c r="F87" s="130">
        <f>'Output-Table'!H94</f>
        <v>187.91211585624237</v>
      </c>
      <c r="G87" s="107">
        <f t="shared" si="5"/>
        <v>0</v>
      </c>
      <c r="H87" s="4"/>
      <c r="I87" s="4"/>
      <c r="J87" s="4"/>
      <c r="K87" s="4"/>
      <c r="L87" s="4"/>
      <c r="M87" s="4"/>
      <c r="N87" s="4"/>
      <c r="O87" s="4"/>
      <c r="P87" s="4"/>
      <c r="Q87" s="4"/>
      <c r="R87" s="4"/>
      <c r="S87" s="2"/>
    </row>
    <row r="88" spans="1:19" x14ac:dyDescent="0.3">
      <c r="A88" s="110">
        <f t="shared" si="3"/>
        <v>2072</v>
      </c>
      <c r="B88" s="107">
        <f>IF(A88&lt;'Inputs-area with wells'!$C$12,0,IF(A88&gt;'Inputs-area with wells'!$C$20,0,'Disposal &amp; LFG Recovery'!B88))</f>
        <v>0</v>
      </c>
      <c r="C88" s="112">
        <f t="shared" si="4"/>
        <v>6899230</v>
      </c>
      <c r="D88" s="113">
        <f>IF(A88&gt;=Inputs!$C$27,$J$22,0)</f>
        <v>0.59</v>
      </c>
      <c r="E88" s="111"/>
      <c r="F88" s="130">
        <f>'Output-Table'!H95</f>
        <v>182.5688687702087</v>
      </c>
      <c r="G88" s="107">
        <f t="shared" si="5"/>
        <v>0</v>
      </c>
      <c r="H88" s="4"/>
      <c r="I88" s="4"/>
      <c r="J88" s="4"/>
      <c r="K88" s="4"/>
      <c r="L88" s="4"/>
      <c r="M88" s="4"/>
      <c r="N88" s="4"/>
      <c r="O88" s="4"/>
      <c r="P88" s="4"/>
      <c r="Q88" s="4"/>
      <c r="R88" s="4"/>
      <c r="S88" s="2"/>
    </row>
    <row r="89" spans="1:19" x14ac:dyDescent="0.3">
      <c r="A89" s="110">
        <f t="shared" si="3"/>
        <v>2073</v>
      </c>
      <c r="B89" s="107">
        <f>IF(A89&lt;'Inputs-area with wells'!$C$12,0,IF(A89&gt;'Inputs-area with wells'!$C$20,0,'Disposal &amp; LFG Recovery'!B89))</f>
        <v>0</v>
      </c>
      <c r="C89" s="112">
        <f t="shared" si="4"/>
        <v>6899230</v>
      </c>
      <c r="D89" s="113">
        <f>IF(A89&gt;=Inputs!$C$27,$J$22,0)</f>
        <v>0.59</v>
      </c>
      <c r="E89" s="111"/>
      <c r="F89" s="130">
        <f>'Output-Table'!H96</f>
        <v>177.3956750496036</v>
      </c>
      <c r="G89" s="107">
        <f t="shared" si="5"/>
        <v>0</v>
      </c>
      <c r="H89" s="4"/>
      <c r="I89" s="4"/>
      <c r="J89" s="4"/>
      <c r="K89" s="4"/>
      <c r="L89" s="4"/>
      <c r="M89" s="4"/>
      <c r="N89" s="4"/>
      <c r="O89" s="4"/>
      <c r="P89" s="4"/>
      <c r="Q89" s="4"/>
      <c r="R89" s="4"/>
      <c r="S89" s="2"/>
    </row>
    <row r="90" spans="1:19" x14ac:dyDescent="0.3">
      <c r="A90" s="110">
        <f t="shared" si="3"/>
        <v>2074</v>
      </c>
      <c r="B90" s="107">
        <f>IF(A90&lt;'Inputs-area with wells'!$C$12,0,IF(A90&gt;'Inputs-area with wells'!$C$20,0,'Disposal &amp; LFG Recovery'!B90))</f>
        <v>0</v>
      </c>
      <c r="C90" s="112">
        <f t="shared" si="4"/>
        <v>6899230</v>
      </c>
      <c r="D90" s="113">
        <f>IF(A90&gt;=Inputs!$C$27,$J$22,0)</f>
        <v>0.59</v>
      </c>
      <c r="E90" s="111"/>
      <c r="F90" s="130">
        <f>'Output-Table'!H97</f>
        <v>172.38577271666657</v>
      </c>
      <c r="G90" s="107">
        <f t="shared" si="5"/>
        <v>0</v>
      </c>
      <c r="H90" s="4"/>
      <c r="I90" s="4"/>
      <c r="J90" s="4"/>
      <c r="K90" s="4"/>
      <c r="L90" s="4"/>
      <c r="M90" s="4"/>
      <c r="N90" s="4"/>
      <c r="O90" s="4"/>
      <c r="P90" s="4"/>
      <c r="Q90" s="4"/>
      <c r="R90" s="4"/>
      <c r="S90" s="2"/>
    </row>
    <row r="91" spans="1:19" x14ac:dyDescent="0.3">
      <c r="A91" s="110">
        <f t="shared" si="3"/>
        <v>2075</v>
      </c>
      <c r="B91" s="107">
        <f>IF(A91&lt;'Inputs-area with wells'!$C$12,0,IF(A91&gt;'Inputs-area with wells'!$C$20,0,'Disposal &amp; LFG Recovery'!B91))</f>
        <v>0</v>
      </c>
      <c r="C91" s="112">
        <f t="shared" si="4"/>
        <v>6899230</v>
      </c>
      <c r="D91" s="113">
        <f>IF(A91&gt;=Inputs!$C$27,$J$22,0)</f>
        <v>0.59</v>
      </c>
      <c r="E91" s="111"/>
      <c r="F91" s="130">
        <f>'Output-Table'!H98</f>
        <v>167.53278297008785</v>
      </c>
      <c r="G91" s="107">
        <f t="shared" si="5"/>
        <v>0</v>
      </c>
      <c r="H91" s="4"/>
      <c r="I91" s="4"/>
      <c r="J91" s="4"/>
      <c r="K91" s="4"/>
      <c r="L91" s="4"/>
      <c r="M91" s="4"/>
      <c r="N91" s="4"/>
      <c r="O91" s="4"/>
      <c r="P91" s="4"/>
      <c r="Q91" s="4"/>
      <c r="R91" s="4"/>
      <c r="S91" s="2"/>
    </row>
    <row r="92" spans="1:19" x14ac:dyDescent="0.3">
      <c r="A92" s="110">
        <f t="shared" si="3"/>
        <v>2076</v>
      </c>
      <c r="B92" s="107">
        <f>IF(A92&lt;'Inputs-area with wells'!$C$12,0,IF(A92&gt;'Inputs-area with wells'!$C$20,0,'Disposal &amp; LFG Recovery'!B92))</f>
        <v>0</v>
      </c>
      <c r="C92" s="112">
        <f t="shared" si="4"/>
        <v>6899230</v>
      </c>
      <c r="D92" s="113">
        <f>IF(A92&gt;=Inputs!$C$27,$J$22,0)</f>
        <v>0.59</v>
      </c>
      <c r="E92" s="111"/>
      <c r="F92" s="130">
        <f>'Output-Table'!H99</f>
        <v>162.83067910694902</v>
      </c>
      <c r="G92" s="107">
        <f t="shared" si="5"/>
        <v>0</v>
      </c>
      <c r="H92" s="4"/>
      <c r="I92" s="4"/>
      <c r="J92" s="4"/>
      <c r="K92" s="4"/>
      <c r="L92" s="4"/>
      <c r="M92" s="4"/>
      <c r="N92" s="4"/>
      <c r="O92" s="4"/>
      <c r="P92" s="4"/>
      <c r="Q92" s="4"/>
      <c r="R92" s="4"/>
      <c r="S92" s="2"/>
    </row>
    <row r="93" spans="1:19" x14ac:dyDescent="0.3">
      <c r="A93" s="110">
        <f t="shared" si="3"/>
        <v>2077</v>
      </c>
      <c r="B93" s="107">
        <f>IF(A93&lt;'Inputs-area with wells'!$C$12,0,IF(A93&gt;'Inputs-area with wells'!$C$20,0,'Disposal &amp; LFG Recovery'!B93))</f>
        <v>0</v>
      </c>
      <c r="C93" s="112">
        <f t="shared" si="4"/>
        <v>6899230</v>
      </c>
      <c r="D93" s="113">
        <f>IF(A93&gt;=Inputs!$C$27,$J$22,0)</f>
        <v>0.59</v>
      </c>
      <c r="E93" s="111"/>
      <c r="F93" s="130">
        <f>'Output-Table'!H100</f>
        <v>158.27375862844775</v>
      </c>
      <c r="G93" s="107">
        <f t="shared" si="5"/>
        <v>0</v>
      </c>
      <c r="H93" s="4"/>
      <c r="I93" s="4"/>
      <c r="J93" s="4"/>
      <c r="K93" s="4"/>
      <c r="L93" s="4"/>
      <c r="M93" s="4"/>
      <c r="N93" s="4"/>
      <c r="O93" s="4"/>
      <c r="P93" s="4"/>
      <c r="Q93" s="4"/>
      <c r="R93" s="4"/>
      <c r="S93" s="2"/>
    </row>
    <row r="94" spans="1:19" x14ac:dyDescent="0.3">
      <c r="A94" s="110">
        <f t="shared" si="3"/>
        <v>2078</v>
      </c>
      <c r="B94" s="107">
        <f>IF(A94&lt;'Inputs-area with wells'!$C$12,0,IF(A94&gt;'Inputs-area with wells'!$C$20,0,'Disposal &amp; LFG Recovery'!B94))</f>
        <v>0</v>
      </c>
      <c r="C94" s="112">
        <f t="shared" si="4"/>
        <v>6899230</v>
      </c>
      <c r="D94" s="113">
        <f>IF(A94&gt;=Inputs!$C$27,$J$22,0)</f>
        <v>0.59</v>
      </c>
      <c r="E94" s="111"/>
      <c r="F94" s="130">
        <f>'Output-Table'!H101</f>
        <v>153.85661816151406</v>
      </c>
      <c r="G94" s="107">
        <f t="shared" si="5"/>
        <v>0</v>
      </c>
      <c r="H94" s="4"/>
      <c r="I94" s="4"/>
      <c r="J94" s="4"/>
      <c r="K94" s="4"/>
      <c r="L94" s="4"/>
      <c r="M94" s="4"/>
      <c r="N94" s="4"/>
      <c r="O94" s="4"/>
      <c r="P94" s="4"/>
      <c r="Q94" s="4"/>
      <c r="R94" s="4"/>
      <c r="S94" s="2"/>
    </row>
    <row r="95" spans="1:19" x14ac:dyDescent="0.3">
      <c r="A95" s="110">
        <f t="shared" si="3"/>
        <v>2079</v>
      </c>
      <c r="B95" s="107">
        <f>IF(A95&lt;'Inputs-area with wells'!$C$12,0,IF(A95&gt;'Inputs-area with wells'!$C$20,0,'Disposal &amp; LFG Recovery'!B95))</f>
        <v>0</v>
      </c>
      <c r="C95" s="112">
        <f t="shared" si="4"/>
        <v>6899230</v>
      </c>
      <c r="D95" s="113">
        <f>IF(A95&gt;=Inputs!$C$27,$J$22,0)</f>
        <v>0.59</v>
      </c>
      <c r="E95" s="111"/>
      <c r="F95" s="130">
        <f>'Output-Table'!H102</f>
        <v>149.57413087355641</v>
      </c>
      <c r="G95" s="107">
        <f t="shared" si="5"/>
        <v>0</v>
      </c>
      <c r="H95" s="4"/>
      <c r="I95" s="4"/>
      <c r="J95" s="4"/>
      <c r="K95" s="4"/>
      <c r="L95" s="4"/>
      <c r="M95" s="4"/>
      <c r="N95" s="4"/>
      <c r="O95" s="4"/>
      <c r="P95" s="4"/>
      <c r="Q95" s="4"/>
      <c r="R95" s="4"/>
      <c r="S95" s="2"/>
    </row>
    <row r="96" spans="1:19" x14ac:dyDescent="0.3">
      <c r="A96" s="110">
        <f t="shared" si="3"/>
        <v>2080</v>
      </c>
      <c r="B96" s="107">
        <f>IF(A96&lt;'Inputs-area with wells'!$C$12,0,IF(A96&gt;'Inputs-area with wells'!$C$20,0,'Disposal &amp; LFG Recovery'!B96))</f>
        <v>0</v>
      </c>
      <c r="C96" s="112">
        <f t="shared" si="4"/>
        <v>6899230</v>
      </c>
      <c r="D96" s="113">
        <f>IF(A96&gt;=Inputs!$C$27,$J$22,0)</f>
        <v>0.59</v>
      </c>
      <c r="E96" s="111"/>
      <c r="F96" s="130">
        <f>'Output-Table'!H103</f>
        <v>145.42142609698598</v>
      </c>
      <c r="G96" s="107">
        <f t="shared" si="5"/>
        <v>0</v>
      </c>
      <c r="H96" s="4"/>
      <c r="I96" s="4"/>
      <c r="J96" s="4"/>
      <c r="K96" s="4"/>
      <c r="L96" s="4"/>
      <c r="M96" s="4"/>
      <c r="N96" s="4"/>
      <c r="O96" s="4"/>
      <c r="P96" s="4"/>
      <c r="Q96" s="4"/>
      <c r="R96" s="4"/>
      <c r="S96" s="2"/>
    </row>
    <row r="97" spans="1:19" x14ac:dyDescent="0.3">
      <c r="A97" s="110">
        <f t="shared" si="3"/>
        <v>2081</v>
      </c>
      <c r="B97" s="107">
        <f>IF(A97&lt;'Inputs-area with wells'!$C$12,0,IF(A97&gt;'Inputs-area with wells'!$C$20,0,'Disposal &amp; LFG Recovery'!B97))</f>
        <v>0</v>
      </c>
      <c r="C97" s="112">
        <f t="shared" si="4"/>
        <v>6899230</v>
      </c>
      <c r="D97" s="113">
        <f>IF(A97&gt;=Inputs!$C$27,$J$22,0)</f>
        <v>0.59</v>
      </c>
      <c r="E97" s="111"/>
      <c r="F97" s="130">
        <f>'Output-Table'!H104</f>
        <v>141.39387091461774</v>
      </c>
      <c r="G97" s="107">
        <f t="shared" si="5"/>
        <v>0</v>
      </c>
      <c r="H97" s="4"/>
      <c r="I97" s="4"/>
      <c r="J97" s="4"/>
      <c r="K97" s="4"/>
      <c r="L97" s="4"/>
      <c r="M97" s="4"/>
      <c r="N97" s="4"/>
      <c r="O97" s="4"/>
      <c r="P97" s="4"/>
      <c r="Q97" s="4"/>
      <c r="R97" s="4"/>
      <c r="S97" s="2"/>
    </row>
    <row r="98" spans="1:19" x14ac:dyDescent="0.3">
      <c r="A98" s="110">
        <f t="shared" si="3"/>
        <v>2082</v>
      </c>
      <c r="B98" s="107">
        <f>IF(A98&lt;'Inputs-area with wells'!$C$12,0,IF(A98&gt;'Inputs-area with wells'!$C$20,0,'Disposal &amp; LFG Recovery'!B98))</f>
        <v>0</v>
      </c>
      <c r="C98" s="112">
        <f t="shared" si="4"/>
        <v>6899230</v>
      </c>
      <c r="D98" s="113">
        <f>IF(A98&gt;=Inputs!$C$27,$J$22,0)</f>
        <v>0.59</v>
      </c>
      <c r="E98" s="111"/>
      <c r="F98" s="130">
        <f>'Output-Table'!H105</f>
        <v>137.48705348715595</v>
      </c>
      <c r="G98" s="107">
        <f t="shared" si="5"/>
        <v>0</v>
      </c>
      <c r="H98" s="4"/>
      <c r="I98" s="4"/>
      <c r="J98" s="4"/>
      <c r="K98" s="4"/>
      <c r="L98" s="4"/>
      <c r="M98" s="4"/>
      <c r="N98" s="4"/>
      <c r="O98" s="4"/>
      <c r="P98" s="4"/>
      <c r="Q98" s="4"/>
      <c r="R98" s="4"/>
      <c r="S98" s="2"/>
    </row>
    <row r="99" spans="1:19" x14ac:dyDescent="0.3">
      <c r="A99" s="110">
        <f t="shared" si="3"/>
        <v>2083</v>
      </c>
      <c r="B99" s="107">
        <f>IF(A99&lt;'Inputs-area with wells'!$C$12,0,IF(A99&gt;'Inputs-area with wells'!$C$20,0,'Disposal &amp; LFG Recovery'!B99))</f>
        <v>0</v>
      </c>
      <c r="C99" s="112">
        <f t="shared" si="4"/>
        <v>6899230</v>
      </c>
      <c r="D99" s="113">
        <f>IF(A99&gt;=Inputs!$C$27,$J$22,0)</f>
        <v>0.59</v>
      </c>
      <c r="E99" s="111"/>
      <c r="F99" s="130">
        <f>'Output-Table'!H106</f>
        <v>133.69676793030348</v>
      </c>
      <c r="G99" s="107">
        <f t="shared" si="5"/>
        <v>0</v>
      </c>
      <c r="H99" s="4"/>
      <c r="I99" s="4"/>
      <c r="J99" s="4"/>
      <c r="K99" s="4"/>
      <c r="L99" s="4"/>
      <c r="M99" s="4"/>
      <c r="N99" s="4"/>
      <c r="O99" s="4"/>
      <c r="P99" s="4"/>
      <c r="Q99" s="4"/>
      <c r="R99" s="4"/>
      <c r="S99" s="2"/>
    </row>
    <row r="100" spans="1:19" x14ac:dyDescent="0.3">
      <c r="A100" s="110">
        <f t="shared" si="3"/>
        <v>2084</v>
      </c>
      <c r="B100" s="107">
        <f>IF(A100&lt;'Inputs-area with wells'!$C$12,0,IF(A100&gt;'Inputs-area with wells'!$C$20,0,'Disposal &amp; LFG Recovery'!B100))</f>
        <v>0</v>
      </c>
      <c r="C100" s="112">
        <f t="shared" si="4"/>
        <v>6899230</v>
      </c>
      <c r="D100" s="113">
        <f>IF(A100&gt;=Inputs!$C$27,$J$22,0)</f>
        <v>0.59</v>
      </c>
      <c r="E100" s="111"/>
      <c r="F100" s="130">
        <f>'Output-Table'!H107</f>
        <v>130.0190005720722</v>
      </c>
      <c r="G100" s="107">
        <f t="shared" si="5"/>
        <v>0</v>
      </c>
      <c r="H100" s="4"/>
      <c r="I100" s="4"/>
      <c r="J100" s="4"/>
      <c r="K100" s="4"/>
      <c r="L100" s="4"/>
      <c r="M100" s="4"/>
      <c r="N100" s="4"/>
      <c r="O100" s="4"/>
      <c r="P100" s="4"/>
      <c r="Q100" s="4"/>
      <c r="R100" s="4"/>
      <c r="S100" s="2"/>
    </row>
    <row r="101" spans="1:19" x14ac:dyDescent="0.3">
      <c r="A101" s="110">
        <f t="shared" si="3"/>
        <v>2085</v>
      </c>
      <c r="B101" s="107">
        <f>IF(A101&lt;'Inputs-area with wells'!$C$12,0,IF(A101&gt;'Inputs-area with wells'!$C$20,0,'Disposal &amp; LFG Recovery'!B101))</f>
        <v>0</v>
      </c>
      <c r="C101" s="112">
        <f t="shared" si="4"/>
        <v>6899230</v>
      </c>
      <c r="D101" s="113">
        <f>IF(A101&gt;=Inputs!$C$27,$J$22,0)</f>
        <v>0.59</v>
      </c>
      <c r="E101" s="111"/>
      <c r="F101" s="130">
        <f>'Output-Table'!H108</f>
        <v>126.44991744103291</v>
      </c>
      <c r="G101" s="107">
        <f t="shared" si="5"/>
        <v>0</v>
      </c>
      <c r="H101" s="4"/>
      <c r="I101" s="4"/>
      <c r="J101" s="4"/>
      <c r="K101" s="4"/>
      <c r="L101" s="4"/>
      <c r="M101" s="4"/>
      <c r="N101" s="4"/>
      <c r="O101" s="4"/>
      <c r="P101" s="4"/>
      <c r="Q101" s="4"/>
      <c r="R101" s="4"/>
      <c r="S101" s="2"/>
    </row>
    <row r="102" spans="1:19" x14ac:dyDescent="0.3">
      <c r="A102" s="110">
        <f t="shared" si="3"/>
        <v>2086</v>
      </c>
      <c r="B102" s="107">
        <f>IF(A102&lt;'Inputs-area with wells'!$C$12,0,IF(A102&gt;'Inputs-area with wells'!$C$20,0,'Disposal &amp; LFG Recovery'!B102))</f>
        <v>0</v>
      </c>
      <c r="C102" s="112">
        <f t="shared" si="4"/>
        <v>6899230</v>
      </c>
      <c r="D102" s="113">
        <f>IF(A102&gt;=Inputs!$C$27,$J$22,0)</f>
        <v>0.59</v>
      </c>
      <c r="E102" s="111"/>
      <c r="F102" s="130">
        <f>'Output-Table'!H109</f>
        <v>122.98585285389979</v>
      </c>
      <c r="G102" s="107">
        <f t="shared" si="5"/>
        <v>0</v>
      </c>
      <c r="H102" s="4"/>
      <c r="I102" s="4"/>
      <c r="J102" s="4"/>
      <c r="K102" s="4"/>
      <c r="L102" s="4"/>
      <c r="M102" s="4"/>
      <c r="N102" s="4"/>
      <c r="O102" s="4"/>
      <c r="P102" s="4"/>
      <c r="Q102" s="4"/>
      <c r="R102" s="4"/>
      <c r="S102" s="2"/>
    </row>
    <row r="103" spans="1:19" x14ac:dyDescent="0.3">
      <c r="A103" s="110">
        <f t="shared" si="3"/>
        <v>2087</v>
      </c>
      <c r="B103" s="107">
        <f>IF(A103&lt;'Inputs-area with wells'!$C$12,0,IF(A103&gt;'Inputs-area with wells'!$C$20,0,'Disposal &amp; LFG Recovery'!B103))</f>
        <v>0</v>
      </c>
      <c r="C103" s="112">
        <f>C102+B103</f>
        <v>6899230</v>
      </c>
      <c r="D103" s="113">
        <f>IF(A103&gt;=Inputs!$C$27,$J$22,0)</f>
        <v>0.59</v>
      </c>
      <c r="E103" s="111"/>
      <c r="F103" s="130">
        <f>'Output-Table'!H110</f>
        <v>119.62329898630567</v>
      </c>
      <c r="G103" s="107">
        <f t="shared" si="5"/>
        <v>0</v>
      </c>
      <c r="H103" s="4"/>
      <c r="I103" s="4"/>
      <c r="J103" s="4"/>
      <c r="K103" s="4"/>
      <c r="L103" s="4"/>
      <c r="M103" s="4"/>
      <c r="N103" s="4"/>
      <c r="O103" s="4"/>
      <c r="P103" s="4"/>
      <c r="Q103" s="4"/>
      <c r="R103" s="4"/>
      <c r="S103" s="2"/>
    </row>
    <row r="104" spans="1:19" x14ac:dyDescent="0.3">
      <c r="A104" s="110">
        <f t="shared" si="3"/>
        <v>2088</v>
      </c>
      <c r="B104" s="107">
        <f>IF(A104&lt;'Inputs-area with wells'!$C$12,0,IF(A104&gt;'Inputs-area with wells'!$C$20,0,'Disposal &amp; LFG Recovery'!B104))</f>
        <v>0</v>
      </c>
      <c r="C104" s="112">
        <f>C103+B104</f>
        <v>6899230</v>
      </c>
      <c r="D104" s="113">
        <f>IF(A104&gt;=Inputs!$C$27,$J$22,0)</f>
        <v>0.59</v>
      </c>
      <c r="E104" s="111"/>
      <c r="F104" s="130">
        <f>'Output-Table'!H111</f>
        <v>116.35889632418353</v>
      </c>
      <c r="G104" s="107">
        <f t="shared" si="5"/>
        <v>0</v>
      </c>
      <c r="H104" s="4"/>
      <c r="I104" s="4"/>
      <c r="J104" s="4"/>
      <c r="K104" s="4"/>
      <c r="L104" s="4"/>
      <c r="M104" s="4"/>
      <c r="N104" s="4"/>
      <c r="O104" s="4"/>
      <c r="P104" s="4"/>
      <c r="Q104" s="4"/>
      <c r="R104" s="4"/>
      <c r="S104" s="2"/>
    </row>
    <row r="105" spans="1:19" x14ac:dyDescent="0.3">
      <c r="A105" s="110">
        <f t="shared" si="3"/>
        <v>2089</v>
      </c>
      <c r="B105" s="107">
        <f>IF(A105&lt;'Inputs-area with wells'!$C$12,0,IF(A105&gt;'Inputs-area with wells'!$C$20,0,'Disposal &amp; LFG Recovery'!B105))</f>
        <v>0</v>
      </c>
      <c r="C105" s="112">
        <f>C104+B105</f>
        <v>6899230</v>
      </c>
      <c r="D105" s="113">
        <f>IF(A105&gt;=Inputs!$C$27,$J$22,0)</f>
        <v>0.59</v>
      </c>
      <c r="E105" s="111"/>
      <c r="F105" s="130">
        <f>'Output-Table'!H112</f>
        <v>113.18942490505559</v>
      </c>
      <c r="G105" s="107">
        <f t="shared" si="5"/>
        <v>0</v>
      </c>
      <c r="H105" s="4"/>
      <c r="I105" s="4"/>
      <c r="J105" s="4"/>
      <c r="K105" s="4"/>
      <c r="L105" s="4"/>
      <c r="M105" s="4"/>
      <c r="N105" s="4"/>
      <c r="O105" s="4"/>
      <c r="P105" s="4"/>
      <c r="Q105" s="4"/>
      <c r="R105" s="4"/>
      <c r="S105" s="2"/>
    </row>
    <row r="106" spans="1:19" x14ac:dyDescent="0.3">
      <c r="A106" s="2"/>
      <c r="B106" s="2"/>
      <c r="C106" s="2"/>
      <c r="D106" s="2"/>
      <c r="E106" s="2"/>
      <c r="F106" s="2"/>
      <c r="G106" s="2"/>
      <c r="H106" s="2"/>
      <c r="I106" s="2"/>
      <c r="J106" s="2"/>
      <c r="S106" s="2"/>
    </row>
    <row r="107" spans="1:19" x14ac:dyDescent="0.3">
      <c r="A107" s="2"/>
      <c r="B107" s="2"/>
      <c r="C107" s="2"/>
      <c r="D107" s="2"/>
      <c r="E107" s="2"/>
      <c r="F107" s="2"/>
      <c r="G107" s="2"/>
      <c r="H107" s="2"/>
      <c r="I107" s="2"/>
      <c r="J107" s="2"/>
      <c r="S107" s="2"/>
    </row>
    <row r="108" spans="1:19" x14ac:dyDescent="0.3">
      <c r="A108" s="2"/>
      <c r="B108" s="2"/>
      <c r="C108" s="2"/>
      <c r="D108" s="2"/>
      <c r="E108" s="2"/>
      <c r="F108" s="2"/>
      <c r="G108" s="2"/>
      <c r="H108" s="2"/>
      <c r="I108" s="2"/>
      <c r="J108" s="2"/>
      <c r="S108" s="2"/>
    </row>
    <row r="109" spans="1:19" x14ac:dyDescent="0.3">
      <c r="A109" s="2"/>
      <c r="B109" s="2"/>
      <c r="C109" s="2"/>
      <c r="D109" s="2"/>
      <c r="E109" s="2"/>
      <c r="F109" s="2"/>
      <c r="G109" s="2"/>
      <c r="H109" s="2"/>
      <c r="I109" s="2"/>
      <c r="J109" s="2"/>
      <c r="S109" s="2"/>
    </row>
    <row r="110" spans="1:19" x14ac:dyDescent="0.3">
      <c r="A110" s="2"/>
      <c r="B110" s="2"/>
      <c r="C110" s="2"/>
      <c r="D110" s="2"/>
      <c r="E110" s="2"/>
      <c r="F110" s="2"/>
      <c r="G110" s="2"/>
      <c r="H110" s="2"/>
      <c r="I110" s="2"/>
      <c r="J110" s="2"/>
      <c r="S110" s="2"/>
    </row>
    <row r="111" spans="1:19" x14ac:dyDescent="0.3">
      <c r="A111" s="2"/>
      <c r="B111" s="2"/>
      <c r="C111" s="2"/>
      <c r="D111" s="2"/>
      <c r="E111" s="2"/>
      <c r="F111" s="2"/>
      <c r="G111" s="2"/>
      <c r="H111" s="2"/>
      <c r="I111" s="2"/>
      <c r="J111" s="2"/>
      <c r="S111" s="2"/>
    </row>
  </sheetData>
  <sheetProtection password="EB32" sheet="1" objects="1" scenarios="1"/>
  <protectedRanges>
    <protectedRange password="CB5B" sqref="E6:E28 E74:E105 F6:F105" name="Flow data inputs_2"/>
    <protectedRange password="CB5B" sqref="D6:D105" name="Collection efficiency inputs_1_1"/>
    <protectedRange password="CB5B" sqref="E29:E73" name="Flow data inputs_1_1"/>
    <protectedRange password="CB5B" sqref="B6:B105" name="Waste inputs_3"/>
  </protectedRanges>
  <mergeCells count="8">
    <mergeCell ref="I9:R9"/>
    <mergeCell ref="J11:J13"/>
    <mergeCell ref="A1:G1"/>
    <mergeCell ref="A2:G2"/>
    <mergeCell ref="A4:G4"/>
    <mergeCell ref="I5:R5"/>
    <mergeCell ref="I6:R7"/>
    <mergeCell ref="I8:R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56"/>
  <sheetViews>
    <sheetView showGridLines="0" zoomScale="75" zoomScaleNormal="100" workbookViewId="0">
      <selection activeCell="J25" sqref="J25"/>
    </sheetView>
  </sheetViews>
  <sheetFormatPr defaultColWidth="9" defaultRowHeight="13.5" x14ac:dyDescent="0.3"/>
  <cols>
    <col min="1" max="1" width="11.33203125" style="162" customWidth="1"/>
    <col min="2" max="2" width="26.75" style="200" customWidth="1"/>
    <col min="3" max="3" width="9" style="162"/>
    <col min="4" max="4" width="12.08203125" style="162" customWidth="1"/>
    <col min="5" max="5" width="28.75" style="162" customWidth="1"/>
    <col min="6" max="6" width="11.58203125" style="162" customWidth="1"/>
    <col min="7" max="7" width="13.58203125" style="162" customWidth="1"/>
    <col min="8" max="8" width="12.25" style="162" customWidth="1"/>
    <col min="9" max="9" width="9.5" style="162" customWidth="1"/>
    <col min="10" max="10" width="12" style="162" customWidth="1"/>
    <col min="11" max="11" width="10.58203125" style="163" bestFit="1" customWidth="1"/>
    <col min="12" max="16384" width="9" style="163"/>
  </cols>
  <sheetData>
    <row r="1" spans="1:10" ht="18.75" customHeight="1" x14ac:dyDescent="0.3">
      <c r="A1" s="406" t="str">
        <f>Inputs!A1</f>
        <v>Central and Eastern Europe Landfill Gas Model v.1</v>
      </c>
      <c r="B1" s="406"/>
      <c r="C1" s="406"/>
      <c r="D1" s="406"/>
      <c r="E1" s="406"/>
      <c r="F1" s="406"/>
      <c r="G1" s="406"/>
      <c r="H1" s="406"/>
      <c r="I1" s="406"/>
    </row>
    <row r="2" spans="1:10" ht="18.75" customHeight="1" x14ac:dyDescent="0.3">
      <c r="A2" s="406" t="str">
        <f>Inputs!A2</f>
        <v>Release Date: December 2014</v>
      </c>
      <c r="B2" s="406"/>
      <c r="C2" s="406"/>
      <c r="D2" s="406"/>
      <c r="E2" s="406"/>
      <c r="F2" s="406"/>
      <c r="G2" s="406"/>
      <c r="H2" s="406"/>
      <c r="I2" s="406"/>
    </row>
    <row r="3" spans="1:10" ht="18.75" customHeight="1" x14ac:dyDescent="0.3">
      <c r="A3" s="406" t="s">
        <v>139</v>
      </c>
      <c r="B3" s="406"/>
      <c r="C3" s="406"/>
      <c r="D3" s="406"/>
      <c r="E3" s="406"/>
      <c r="F3" s="406"/>
      <c r="G3" s="406"/>
      <c r="H3" s="406"/>
      <c r="I3" s="406"/>
    </row>
    <row r="4" spans="1:10" ht="24" customHeight="1" x14ac:dyDescent="0.3">
      <c r="A4" s="407" t="s">
        <v>124</v>
      </c>
      <c r="B4" s="407"/>
      <c r="C4" s="407"/>
      <c r="D4" s="407"/>
      <c r="E4" s="407"/>
      <c r="F4" s="407"/>
      <c r="G4" s="407"/>
      <c r="H4" s="407"/>
      <c r="I4" s="407"/>
      <c r="J4" s="407"/>
    </row>
    <row r="5" spans="1:10" x14ac:dyDescent="0.3">
      <c r="A5" s="165" t="s">
        <v>219</v>
      </c>
      <c r="B5" s="165" t="s">
        <v>277</v>
      </c>
      <c r="C5" s="164"/>
      <c r="D5" s="164"/>
      <c r="E5" s="164"/>
      <c r="F5" s="164"/>
      <c r="G5" s="164"/>
      <c r="H5" s="164"/>
      <c r="I5" s="164"/>
      <c r="J5" s="164"/>
    </row>
    <row r="6" spans="1:10" x14ac:dyDescent="0.3">
      <c r="A6" s="169" t="s">
        <v>220</v>
      </c>
      <c r="B6" s="307" t="s">
        <v>285</v>
      </c>
      <c r="C6" s="167"/>
      <c r="D6" s="167"/>
      <c r="E6" s="168" t="s">
        <v>149</v>
      </c>
      <c r="F6" s="165" t="s">
        <v>62</v>
      </c>
      <c r="G6" s="167"/>
      <c r="H6" s="167"/>
      <c r="I6" s="167"/>
      <c r="J6" s="167"/>
    </row>
    <row r="7" spans="1:10" x14ac:dyDescent="0.3">
      <c r="A7" s="169" t="s">
        <v>221</v>
      </c>
      <c r="B7" s="307" t="s">
        <v>287</v>
      </c>
      <c r="C7" s="167"/>
      <c r="D7" s="167" t="s">
        <v>192</v>
      </c>
      <c r="E7" s="282" t="s">
        <v>213</v>
      </c>
      <c r="F7" s="170">
        <v>5</v>
      </c>
      <c r="G7" s="167">
        <v>350</v>
      </c>
      <c r="H7" s="167"/>
      <c r="I7" s="167"/>
      <c r="J7" s="167"/>
    </row>
    <row r="8" spans="1:10" x14ac:dyDescent="0.3">
      <c r="A8" s="169" t="s">
        <v>222</v>
      </c>
      <c r="B8" s="307" t="s">
        <v>288</v>
      </c>
      <c r="C8" s="167"/>
      <c r="D8" s="167" t="s">
        <v>193</v>
      </c>
      <c r="E8" s="282" t="s">
        <v>215</v>
      </c>
      <c r="F8" s="170">
        <v>3</v>
      </c>
      <c r="G8" s="167">
        <v>550</v>
      </c>
      <c r="H8" s="167"/>
      <c r="I8" s="167"/>
      <c r="J8" s="167"/>
    </row>
    <row r="9" spans="1:10" x14ac:dyDescent="0.3">
      <c r="A9" s="181" t="s">
        <v>223</v>
      </c>
      <c r="B9" s="307" t="s">
        <v>289</v>
      </c>
      <c r="C9" s="167"/>
      <c r="D9" s="167" t="s">
        <v>194</v>
      </c>
      <c r="E9" s="282" t="s">
        <v>214</v>
      </c>
      <c r="F9" s="170">
        <v>4</v>
      </c>
      <c r="G9" s="167">
        <v>450</v>
      </c>
      <c r="H9" s="167"/>
      <c r="I9" s="167"/>
      <c r="J9" s="167"/>
    </row>
    <row r="10" spans="1:10" x14ac:dyDescent="0.3">
      <c r="A10" s="169"/>
      <c r="B10" s="307" t="s">
        <v>290</v>
      </c>
      <c r="C10" s="167"/>
      <c r="D10" s="167"/>
      <c r="E10" s="282" t="s">
        <v>217</v>
      </c>
      <c r="F10" s="170">
        <v>2</v>
      </c>
      <c r="G10" s="167">
        <v>650</v>
      </c>
      <c r="H10" s="167"/>
      <c r="I10" s="167"/>
      <c r="J10" s="167"/>
    </row>
    <row r="11" spans="1:10" x14ac:dyDescent="0.3">
      <c r="A11" s="169"/>
      <c r="B11" s="343" t="s">
        <v>223</v>
      </c>
      <c r="C11" s="167"/>
      <c r="D11" s="167"/>
      <c r="E11" s="282" t="s">
        <v>216</v>
      </c>
      <c r="F11" s="170">
        <v>1</v>
      </c>
      <c r="G11" s="167">
        <v>750</v>
      </c>
      <c r="H11" s="167"/>
      <c r="I11" s="167"/>
      <c r="J11" s="167"/>
    </row>
    <row r="12" spans="1:10" x14ac:dyDescent="0.3">
      <c r="A12" s="169"/>
      <c r="B12" s="343" t="s">
        <v>278</v>
      </c>
      <c r="C12" s="167"/>
      <c r="D12" s="167"/>
      <c r="E12" s="282"/>
      <c r="F12" s="167"/>
      <c r="G12" s="167"/>
      <c r="H12" s="167"/>
      <c r="I12" s="167"/>
      <c r="J12" s="167"/>
    </row>
    <row r="13" spans="1:10" x14ac:dyDescent="0.3">
      <c r="A13" s="169"/>
      <c r="B13" s="343" t="s">
        <v>279</v>
      </c>
      <c r="C13" s="167"/>
      <c r="D13" s="167"/>
      <c r="E13" s="282"/>
      <c r="F13" s="167"/>
      <c r="G13" s="167"/>
      <c r="H13" s="167"/>
      <c r="I13" s="167"/>
      <c r="J13" s="167"/>
    </row>
    <row r="14" spans="1:10" x14ac:dyDescent="0.3">
      <c r="A14" s="169"/>
      <c r="B14" s="343" t="s">
        <v>280</v>
      </c>
      <c r="C14" s="167"/>
      <c r="D14" s="167" t="s">
        <v>195</v>
      </c>
      <c r="E14" s="282" t="str">
        <f>E11</f>
        <v>Wet (&gt;700 mm/yr)</v>
      </c>
      <c r="F14" s="170">
        <v>1</v>
      </c>
      <c r="G14" s="167">
        <f>G11</f>
        <v>750</v>
      </c>
      <c r="H14" s="167"/>
      <c r="I14" s="167"/>
      <c r="J14" s="167"/>
    </row>
    <row r="15" spans="1:10" x14ac:dyDescent="0.3">
      <c r="A15" s="169"/>
      <c r="B15" s="343" t="s">
        <v>281</v>
      </c>
      <c r="C15" s="167"/>
      <c r="D15" s="167" t="s">
        <v>196</v>
      </c>
      <c r="E15" s="282" t="str">
        <f>E10</f>
        <v>Moderately Wet (600-699 mm/yr)</v>
      </c>
      <c r="F15" s="170">
        <v>2</v>
      </c>
      <c r="G15" s="167">
        <f>G10</f>
        <v>650</v>
      </c>
      <c r="H15" s="167"/>
      <c r="I15" s="167"/>
      <c r="J15" s="167"/>
    </row>
    <row r="16" spans="1:10" x14ac:dyDescent="0.3">
      <c r="A16" s="169"/>
      <c r="B16" s="343" t="s">
        <v>282</v>
      </c>
      <c r="C16" s="167"/>
      <c r="D16" s="167"/>
      <c r="E16" s="282" t="str">
        <f>E8</f>
        <v>Moderate (500-599 mm/yr)</v>
      </c>
      <c r="F16" s="170">
        <v>3</v>
      </c>
      <c r="G16" s="167">
        <f>G8</f>
        <v>550</v>
      </c>
      <c r="H16" s="167"/>
      <c r="I16" s="167"/>
      <c r="J16" s="167"/>
    </row>
    <row r="17" spans="1:15" x14ac:dyDescent="0.3">
      <c r="A17" s="169"/>
      <c r="B17" s="166"/>
      <c r="C17" s="167"/>
      <c r="D17" s="167"/>
      <c r="E17" s="282" t="str">
        <f>E9</f>
        <v>Moderately Dry (400-499 mm/yr)</v>
      </c>
      <c r="F17" s="170">
        <v>4</v>
      </c>
      <c r="G17" s="167">
        <f>G9</f>
        <v>450</v>
      </c>
      <c r="H17" s="167"/>
      <c r="I17" s="167"/>
      <c r="J17" s="167"/>
    </row>
    <row r="18" spans="1:15" x14ac:dyDescent="0.3">
      <c r="A18" s="169"/>
      <c r="B18" s="166"/>
      <c r="C18" s="167"/>
      <c r="D18" s="167"/>
      <c r="E18" s="282" t="str">
        <f>E7</f>
        <v>Dry (&lt;400 mm/yr)</v>
      </c>
      <c r="F18" s="170">
        <v>5</v>
      </c>
      <c r="G18" s="167">
        <f>G7</f>
        <v>350</v>
      </c>
      <c r="H18" s="167"/>
      <c r="I18" s="167"/>
      <c r="J18" s="167"/>
    </row>
    <row r="19" spans="1:15" x14ac:dyDescent="0.3">
      <c r="A19" s="169"/>
      <c r="B19" s="166"/>
      <c r="C19" s="167"/>
      <c r="D19" s="167"/>
      <c r="H19" s="167"/>
      <c r="I19" s="167"/>
      <c r="J19" s="167" t="s">
        <v>295</v>
      </c>
      <c r="K19" s="163" t="s">
        <v>296</v>
      </c>
    </row>
    <row r="20" spans="1:15" x14ac:dyDescent="0.3">
      <c r="A20" s="169"/>
      <c r="B20" s="166"/>
      <c r="C20" s="167"/>
      <c r="H20" s="349" t="s">
        <v>349</v>
      </c>
      <c r="I20" s="172"/>
      <c r="J20" s="345">
        <f>Inputs!C19/Inputs!C18</f>
        <v>10000000</v>
      </c>
      <c r="K20" s="345">
        <f>'Inputs-area with wells'!C19/'Inputs-area with wells'!C18</f>
        <v>7000000</v>
      </c>
      <c r="L20" s="163" t="s">
        <v>300</v>
      </c>
    </row>
    <row r="21" spans="1:15" x14ac:dyDescent="0.3">
      <c r="A21" s="169"/>
      <c r="B21" s="166"/>
      <c r="C21" s="167"/>
      <c r="D21" s="303" t="s">
        <v>45</v>
      </c>
      <c r="E21" s="173"/>
      <c r="F21" s="173"/>
      <c r="G21" s="352"/>
      <c r="H21" s="349" t="s">
        <v>297</v>
      </c>
      <c r="I21" s="354" t="s">
        <v>51</v>
      </c>
      <c r="J21" s="171" t="s">
        <v>292</v>
      </c>
      <c r="L21" s="163" t="s">
        <v>303</v>
      </c>
    </row>
    <row r="22" spans="1:15" x14ac:dyDescent="0.3">
      <c r="A22" s="169"/>
      <c r="B22" s="166"/>
      <c r="C22" s="167"/>
      <c r="D22" s="173"/>
      <c r="E22" s="173"/>
      <c r="F22" s="404" t="s">
        <v>301</v>
      </c>
      <c r="G22" s="410"/>
      <c r="H22" s="349" t="s">
        <v>344</v>
      </c>
      <c r="I22" s="354" t="s">
        <v>50</v>
      </c>
      <c r="J22" s="408" t="s">
        <v>299</v>
      </c>
      <c r="K22" s="409"/>
      <c r="L22" s="163" t="s">
        <v>304</v>
      </c>
      <c r="N22" s="404" t="s">
        <v>302</v>
      </c>
      <c r="O22" s="405"/>
    </row>
    <row r="23" spans="1:15" x14ac:dyDescent="0.3">
      <c r="A23" s="169"/>
      <c r="B23" s="166"/>
      <c r="C23" s="167"/>
      <c r="D23" s="169"/>
      <c r="E23" s="169" t="s">
        <v>40</v>
      </c>
      <c r="F23" s="174" t="s">
        <v>43</v>
      </c>
      <c r="G23" s="353" t="s">
        <v>42</v>
      </c>
      <c r="H23" s="349" t="s">
        <v>298</v>
      </c>
      <c r="I23" s="355"/>
      <c r="J23" s="349" t="s">
        <v>293</v>
      </c>
      <c r="K23" s="350" t="s">
        <v>294</v>
      </c>
      <c r="L23" s="346" t="s">
        <v>43</v>
      </c>
      <c r="M23" s="174" t="s">
        <v>42</v>
      </c>
      <c r="N23" s="353" t="s">
        <v>43</v>
      </c>
      <c r="O23" s="358" t="s">
        <v>42</v>
      </c>
    </row>
    <row r="24" spans="1:15" x14ac:dyDescent="0.3">
      <c r="A24" s="169"/>
      <c r="B24" s="166"/>
      <c r="C24" s="167"/>
      <c r="D24" s="170">
        <v>1</v>
      </c>
      <c r="E24" s="170" t="s">
        <v>44</v>
      </c>
      <c r="F24" s="359">
        <f>L24</f>
        <v>0.4</v>
      </c>
      <c r="G24" s="359">
        <f>IF(Inputs!$C$40="Yes",'Lookup Tables'!$O24,IF(Inputs!$C$22&gt;=10,$M24,IF(M24*(1-$J24*0.5)&lt;0,0,M24*(1-$J24*0.5))))</f>
        <v>0.8</v>
      </c>
      <c r="H24" s="357">
        <v>3</v>
      </c>
      <c r="I24" s="356">
        <v>1</v>
      </c>
      <c r="J24" s="351">
        <f>$H24/Inputs!$C$22</f>
        <v>0.3</v>
      </c>
      <c r="K24" s="351">
        <f>$H24/'Inputs-area with wells'!$C$22</f>
        <v>0.25</v>
      </c>
      <c r="L24" s="347">
        <v>0.4</v>
      </c>
      <c r="M24" s="175">
        <v>0.8</v>
      </c>
      <c r="N24" s="359">
        <f>F24</f>
        <v>0.4</v>
      </c>
      <c r="O24" s="359">
        <f>IF('Inputs-area with wells'!$C$22&gt;=10,$M24,IF(M24*(1-$K24*0.5)&lt;0,0,M24*(1-$K24*0.5)))</f>
        <v>0.8</v>
      </c>
    </row>
    <row r="25" spans="1:15" x14ac:dyDescent="0.3">
      <c r="A25" s="169"/>
      <c r="B25" s="166"/>
      <c r="C25" s="167"/>
      <c r="D25" s="170">
        <v>2</v>
      </c>
      <c r="E25" s="170" t="s">
        <v>234</v>
      </c>
      <c r="F25" s="359">
        <f t="shared" ref="F25:F27" si="0">L25</f>
        <v>0.7</v>
      </c>
      <c r="G25" s="359">
        <f>IF(Inputs!$C$40="Yes",'Lookup Tables'!$O25,IF(Inputs!$C$22&gt;=10,$M25,IF(M25*(1-$J25*0.5)&lt;0,0,M25*(1-$J25*0.5))))</f>
        <v>0.9</v>
      </c>
      <c r="H25" s="357">
        <v>2</v>
      </c>
      <c r="I25" s="356">
        <v>2</v>
      </c>
      <c r="J25" s="351">
        <f>$H25/Inputs!$C$22</f>
        <v>0.2</v>
      </c>
      <c r="K25" s="351">
        <f>$H25/'Inputs-area with wells'!$C$22</f>
        <v>0.16666666666666666</v>
      </c>
      <c r="L25" s="348">
        <v>0.7</v>
      </c>
      <c r="M25" s="175">
        <v>0.9</v>
      </c>
      <c r="N25" s="359">
        <f t="shared" ref="N25:N27" si="1">F25</f>
        <v>0.7</v>
      </c>
      <c r="O25" s="359">
        <f>IF('Inputs-area with wells'!$C$22&gt;=10,$M25,IF(M25*(1-$K25*0.5)&lt;0,0,M25*(1-$K25*0.5)))</f>
        <v>0.9</v>
      </c>
    </row>
    <row r="26" spans="1:15" x14ac:dyDescent="0.3">
      <c r="A26" s="169"/>
      <c r="B26" s="166"/>
      <c r="C26" s="167"/>
      <c r="D26" s="170">
        <v>3</v>
      </c>
      <c r="E26" s="170" t="s">
        <v>233</v>
      </c>
      <c r="F26" s="359">
        <f t="shared" si="0"/>
        <v>0.9</v>
      </c>
      <c r="G26" s="359">
        <f>IF(Inputs!$C$40="Yes",'Lookup Tables'!$O26,IF(Inputs!$C$22&gt;=10,$M26,IF(M26*(1-$J26*0.5)&lt;0,0,M26*(1-$J26*0.5))))</f>
        <v>1</v>
      </c>
      <c r="H26" s="357">
        <v>1</v>
      </c>
      <c r="I26" s="356">
        <v>3</v>
      </c>
      <c r="J26" s="351">
        <f>$H26/Inputs!$C$22</f>
        <v>0.1</v>
      </c>
      <c r="K26" s="351">
        <f>$H26/'Inputs-area with wells'!$C$22</f>
        <v>8.3333333333333329E-2</v>
      </c>
      <c r="L26" s="348">
        <v>0.9</v>
      </c>
      <c r="M26" s="175">
        <v>1</v>
      </c>
      <c r="N26" s="359">
        <f t="shared" si="1"/>
        <v>0.9</v>
      </c>
      <c r="O26" s="359">
        <f>IF('Inputs-area with wells'!$C$22&gt;=10,$M26,IF(M26*(1-$K26*0.5)&lt;0,0,M26*(1-$K26*0.5)))</f>
        <v>1</v>
      </c>
    </row>
    <row r="27" spans="1:15" x14ac:dyDescent="0.3">
      <c r="A27" s="169"/>
      <c r="B27" s="166"/>
      <c r="C27" s="167"/>
      <c r="D27" s="170">
        <v>4</v>
      </c>
      <c r="E27" s="170" t="s">
        <v>39</v>
      </c>
      <c r="F27" s="359">
        <f t="shared" si="0"/>
        <v>0.4</v>
      </c>
      <c r="G27" s="359">
        <f>IF(Inputs!$C$40="Yes",'Lookup Tables'!$O27,IF(Inputs!$C$22&gt;=10,$M27,IF(M27*(1-$J27*0.5)&lt;0,0,M27*(1-$J27*0.5))))</f>
        <v>0.8</v>
      </c>
      <c r="H27" s="357">
        <f>H24</f>
        <v>3</v>
      </c>
      <c r="I27" s="356">
        <v>4</v>
      </c>
      <c r="J27" s="351">
        <f>$H27/Inputs!$C$22</f>
        <v>0.3</v>
      </c>
      <c r="K27" s="351">
        <f>$H27/'Inputs-area with wells'!$C$22</f>
        <v>0.25</v>
      </c>
      <c r="L27" s="347">
        <v>0.4</v>
      </c>
      <c r="M27" s="175">
        <v>0.8</v>
      </c>
      <c r="N27" s="359">
        <f t="shared" si="1"/>
        <v>0.4</v>
      </c>
      <c r="O27" s="359">
        <f>IF('Inputs-area with wells'!$C$22&gt;=10,$M27,IF(M27*(1-$K27*0.5)&lt;0,0,M27*(1-$K27*0.5)))</f>
        <v>0.8</v>
      </c>
    </row>
    <row r="28" spans="1:15" x14ac:dyDescent="0.3">
      <c r="A28" s="169"/>
      <c r="B28" s="166"/>
      <c r="C28" s="167"/>
      <c r="H28" s="171"/>
      <c r="J28" s="167"/>
    </row>
    <row r="29" spans="1:15" x14ac:dyDescent="0.3">
      <c r="A29" s="169"/>
      <c r="B29" s="166"/>
      <c r="C29" s="167"/>
      <c r="D29" s="167" t="s">
        <v>46</v>
      </c>
      <c r="E29" s="176"/>
      <c r="F29" s="177"/>
      <c r="G29" s="177"/>
      <c r="H29" s="171"/>
      <c r="J29" s="167"/>
    </row>
    <row r="30" spans="1:15" x14ac:dyDescent="0.3">
      <c r="A30" s="169"/>
      <c r="B30" s="166"/>
      <c r="C30" s="167"/>
      <c r="D30" s="178" t="s">
        <v>100</v>
      </c>
      <c r="E30" s="176"/>
      <c r="F30" s="177"/>
      <c r="G30" s="177"/>
      <c r="H30" s="171"/>
      <c r="J30" s="167"/>
    </row>
    <row r="31" spans="1:15" x14ac:dyDescent="0.3">
      <c r="A31" s="169"/>
      <c r="B31" s="166"/>
      <c r="C31" s="167"/>
      <c r="D31" s="178" t="s">
        <v>101</v>
      </c>
      <c r="E31" s="176"/>
      <c r="F31" s="177"/>
      <c r="G31" s="177"/>
      <c r="H31" s="171"/>
      <c r="J31" s="167"/>
    </row>
    <row r="32" spans="1:15" x14ac:dyDescent="0.3">
      <c r="A32" s="169"/>
      <c r="B32" s="166"/>
      <c r="C32" s="167"/>
      <c r="D32" s="167" t="s">
        <v>49</v>
      </c>
      <c r="E32" s="176"/>
      <c r="F32" s="177"/>
      <c r="G32" s="177"/>
      <c r="H32" s="171"/>
      <c r="I32" s="179"/>
      <c r="J32" s="167"/>
    </row>
    <row r="33" spans="1:10" x14ac:dyDescent="0.3">
      <c r="A33" s="169"/>
      <c r="B33" s="166"/>
      <c r="C33" s="167"/>
      <c r="D33" s="167"/>
      <c r="E33" s="176"/>
      <c r="F33" s="177"/>
      <c r="G33" s="177"/>
      <c r="H33" s="171"/>
      <c r="I33" s="179"/>
      <c r="J33" s="167"/>
    </row>
    <row r="34" spans="1:10" ht="19.5" customHeight="1" x14ac:dyDescent="0.3">
      <c r="A34" s="169"/>
      <c r="B34" s="166"/>
      <c r="C34" s="167"/>
      <c r="D34" s="305"/>
      <c r="E34" s="283" t="s">
        <v>226</v>
      </c>
      <c r="F34" s="306">
        <f>LOOKUP(Inputs!C10,'Lookup Tables'!E7:E11,'Lookup Tables'!F7:F11)</f>
        <v>3</v>
      </c>
      <c r="G34" s="284" t="s">
        <v>150</v>
      </c>
      <c r="H34" s="180"/>
      <c r="I34" s="180"/>
      <c r="J34" s="167"/>
    </row>
    <row r="35" spans="1:10" ht="33.75" customHeight="1" x14ac:dyDescent="0.3">
      <c r="A35" s="169"/>
      <c r="B35" s="166"/>
      <c r="C35" s="167"/>
      <c r="D35" s="296" t="s">
        <v>96</v>
      </c>
      <c r="E35" s="297"/>
      <c r="F35" s="182" t="s">
        <v>63</v>
      </c>
      <c r="G35" s="183" t="s">
        <v>308</v>
      </c>
      <c r="H35" s="183" t="s">
        <v>309</v>
      </c>
      <c r="I35" s="167"/>
      <c r="J35" s="167"/>
    </row>
    <row r="36" spans="1:10" x14ac:dyDescent="0.3">
      <c r="A36" s="181"/>
      <c r="B36" s="166"/>
      <c r="C36" s="167"/>
      <c r="D36" s="296" t="s">
        <v>56</v>
      </c>
      <c r="E36" s="297"/>
      <c r="F36" s="185">
        <f>LOOKUP($F$34,'Lookup Tables'!$F$41:$J$41,'Lookup Tables'!$F43:$J43)</f>
        <v>0.14000000000000001</v>
      </c>
      <c r="G36" s="186">
        <f>'Waste Composition'!$C26*'Lookup Tables'!$C$49*'Lookup Tables'!$C$50</f>
        <v>69.754464285714278</v>
      </c>
      <c r="H36" s="186">
        <f>'Waste Composition'!$C26*'Lookup Tables'!$J$49*'Lookup Tables'!$J$50</f>
        <v>69.754464285714278</v>
      </c>
      <c r="I36" s="167"/>
      <c r="J36" s="167"/>
    </row>
    <row r="37" spans="1:10" x14ac:dyDescent="0.3">
      <c r="A37" s="169"/>
      <c r="B37" s="166"/>
      <c r="C37" s="167"/>
      <c r="D37" s="296" t="s">
        <v>54</v>
      </c>
      <c r="E37" s="297"/>
      <c r="F37" s="185">
        <f>LOOKUP($F$34,'Lookup Tables'!$F$41:$J$41,'Lookup Tables'!$F44:$J44)</f>
        <v>7.0000000000000007E-2</v>
      </c>
      <c r="G37" s="186">
        <f>'Waste Composition'!$C27*'Lookup Tables'!$C$49*'Lookup Tables'!$C$50</f>
        <v>93.00595238095238</v>
      </c>
      <c r="H37" s="186">
        <f>'Waste Composition'!$C27*'Lookup Tables'!$J$49*'Lookup Tables'!$J$50</f>
        <v>93.00595238095238</v>
      </c>
      <c r="I37" s="167"/>
      <c r="J37" s="167"/>
    </row>
    <row r="38" spans="1:10" ht="15.5" x14ac:dyDescent="0.35">
      <c r="A38" s="169"/>
      <c r="B38" s="166"/>
      <c r="C38" s="167"/>
      <c r="D38" s="298" t="s">
        <v>55</v>
      </c>
      <c r="E38" s="295"/>
      <c r="F38" s="185">
        <f>LOOKUP($F$34,'Lookup Tables'!$F$41:$J$41,'Lookup Tables'!$F45:$J45)</f>
        <v>2.8000000000000001E-2</v>
      </c>
      <c r="G38" s="186">
        <f>'Waste Composition'!$C28*'Lookup Tables'!$C$49*'Lookup Tables'!$C$50</f>
        <v>181.81905114987171</v>
      </c>
      <c r="H38" s="186">
        <f>'Waste Composition'!$C28*'Lookup Tables'!$J$49*'Lookup Tables'!$J$50</f>
        <v>181.81905114987171</v>
      </c>
      <c r="I38" s="167"/>
      <c r="J38" s="167"/>
    </row>
    <row r="39" spans="1:10" x14ac:dyDescent="0.3">
      <c r="A39" s="169"/>
      <c r="B39" s="166"/>
      <c r="C39" s="167"/>
      <c r="D39" s="296" t="s">
        <v>64</v>
      </c>
      <c r="E39" s="297"/>
      <c r="F39" s="185">
        <f>LOOKUP($F$34,'Lookup Tables'!$F$41:$J$41,'Lookup Tables'!$F46:$J46)</f>
        <v>1.4E-2</v>
      </c>
      <c r="G39" s="186">
        <f>'Waste Composition'!$C29*'Lookup Tables'!$C$49*'Lookup Tables'!$C$50</f>
        <v>199.96279761904765</v>
      </c>
      <c r="H39" s="186">
        <f>'Waste Composition'!$C29*'Lookup Tables'!$J$49*'Lookup Tables'!$J$50</f>
        <v>199.96279761904765</v>
      </c>
      <c r="I39" s="167"/>
      <c r="J39" s="167"/>
    </row>
    <row r="40" spans="1:10" x14ac:dyDescent="0.3">
      <c r="A40" s="169"/>
      <c r="B40" s="166"/>
      <c r="C40" s="167"/>
      <c r="D40" s="163"/>
      <c r="E40" s="163"/>
      <c r="F40" s="163"/>
      <c r="G40" s="163"/>
      <c r="H40" s="167"/>
      <c r="I40" s="167"/>
      <c r="J40" s="167"/>
    </row>
    <row r="41" spans="1:10" x14ac:dyDescent="0.3">
      <c r="A41" s="169"/>
      <c r="B41" s="166"/>
      <c r="C41" s="167"/>
      <c r="D41" s="187"/>
      <c r="E41" s="188"/>
      <c r="F41" s="165">
        <v>1</v>
      </c>
      <c r="G41" s="165">
        <v>2</v>
      </c>
      <c r="H41" s="165">
        <v>3</v>
      </c>
      <c r="I41" s="165">
        <v>4</v>
      </c>
      <c r="J41" s="165">
        <v>5</v>
      </c>
    </row>
    <row r="42" spans="1:10" ht="27" x14ac:dyDescent="0.3">
      <c r="A42" s="169"/>
      <c r="B42" s="166"/>
      <c r="C42" s="167"/>
      <c r="D42" s="189" t="s">
        <v>25</v>
      </c>
      <c r="E42" s="190" t="s">
        <v>61</v>
      </c>
      <c r="F42" s="168" t="s">
        <v>145</v>
      </c>
      <c r="G42" s="191" t="s">
        <v>146</v>
      </c>
      <c r="H42" s="191" t="s">
        <v>225</v>
      </c>
      <c r="I42" s="191" t="s">
        <v>147</v>
      </c>
      <c r="J42" s="191" t="s">
        <v>148</v>
      </c>
    </row>
    <row r="43" spans="1:10" x14ac:dyDescent="0.3">
      <c r="A43" s="181"/>
      <c r="B43" s="166"/>
      <c r="C43" s="167"/>
      <c r="D43" s="165">
        <v>1</v>
      </c>
      <c r="E43" s="187" t="s">
        <v>57</v>
      </c>
      <c r="F43" s="294">
        <v>0.18</v>
      </c>
      <c r="G43" s="304">
        <v>0.16</v>
      </c>
      <c r="H43" s="304">
        <v>0.14000000000000001</v>
      </c>
      <c r="I43" s="304">
        <v>0.12</v>
      </c>
      <c r="J43" s="294">
        <v>0.1</v>
      </c>
    </row>
    <row r="44" spans="1:10" x14ac:dyDescent="0.3">
      <c r="A44" s="169"/>
      <c r="B44" s="166"/>
      <c r="C44" s="167"/>
      <c r="D44" s="165">
        <v>2</v>
      </c>
      <c r="E44" s="187" t="s">
        <v>58</v>
      </c>
      <c r="F44" s="294">
        <v>0.09</v>
      </c>
      <c r="G44" s="304">
        <v>0.08</v>
      </c>
      <c r="H44" s="304">
        <v>7.0000000000000007E-2</v>
      </c>
      <c r="I44" s="304">
        <v>0.06</v>
      </c>
      <c r="J44" s="294">
        <v>0.05</v>
      </c>
    </row>
    <row r="45" spans="1:10" x14ac:dyDescent="0.3">
      <c r="A45" s="169"/>
      <c r="B45" s="166"/>
      <c r="C45" s="167"/>
      <c r="D45" s="165">
        <v>3</v>
      </c>
      <c r="E45" s="187" t="s">
        <v>59</v>
      </c>
      <c r="F45" s="294">
        <v>3.5999999999999997E-2</v>
      </c>
      <c r="G45" s="304">
        <v>3.2000000000000001E-2</v>
      </c>
      <c r="H45" s="304">
        <v>2.8000000000000001E-2</v>
      </c>
      <c r="I45" s="304">
        <v>2.4E-2</v>
      </c>
      <c r="J45" s="294">
        <v>0.02</v>
      </c>
    </row>
    <row r="46" spans="1:10" x14ac:dyDescent="0.3">
      <c r="A46" s="169"/>
      <c r="B46" s="166"/>
      <c r="C46" s="167"/>
      <c r="D46" s="165">
        <v>4</v>
      </c>
      <c r="E46" s="187" t="s">
        <v>60</v>
      </c>
      <c r="F46" s="294">
        <v>1.7999999999999999E-2</v>
      </c>
      <c r="G46" s="304">
        <v>1.6E-2</v>
      </c>
      <c r="H46" s="304">
        <v>1.4E-2</v>
      </c>
      <c r="I46" s="304">
        <v>1.2E-2</v>
      </c>
      <c r="J46" s="361">
        <v>0.01</v>
      </c>
    </row>
    <row r="47" spans="1:10" x14ac:dyDescent="0.3">
      <c r="A47" s="169"/>
      <c r="B47" s="166"/>
      <c r="C47" s="360" t="s">
        <v>306</v>
      </c>
      <c r="D47" s="167"/>
      <c r="E47" s="167"/>
      <c r="F47" s="167"/>
      <c r="G47" s="167"/>
      <c r="H47" s="167"/>
      <c r="I47" s="167"/>
      <c r="J47" s="362" t="s">
        <v>307</v>
      </c>
    </row>
    <row r="48" spans="1:10" x14ac:dyDescent="0.3">
      <c r="A48" s="167"/>
      <c r="B48" s="193" t="s">
        <v>47</v>
      </c>
      <c r="C48" s="194">
        <v>0.5</v>
      </c>
      <c r="D48" s="298" t="s">
        <v>305</v>
      </c>
      <c r="E48" s="299"/>
      <c r="F48" s="299"/>
      <c r="G48" s="299"/>
      <c r="H48" s="299"/>
      <c r="I48" s="299"/>
      <c r="J48" s="363">
        <v>0.5</v>
      </c>
    </row>
    <row r="49" spans="1:10" x14ac:dyDescent="0.3">
      <c r="A49" s="167"/>
      <c r="B49" s="193" t="s">
        <v>48</v>
      </c>
      <c r="C49" s="195">
        <f>IF(Inputs!C22&lt;5,LOOKUP(Inputs!C23,'Lookup Tables'!D24:D27,'Lookup Tables'!F24:F27),(LOOKUP(Inputs!C23,'Lookup Tables'!D24:D27,'Lookup Tables'!G24:G27)))</f>
        <v>1</v>
      </c>
      <c r="D49" s="298" t="s">
        <v>84</v>
      </c>
      <c r="E49" s="299"/>
      <c r="F49" s="299"/>
      <c r="G49" s="299"/>
      <c r="H49" s="299"/>
      <c r="I49" s="299"/>
      <c r="J49" s="364">
        <f>IF('Inputs-area with wells'!$C$22&lt;5,LOOKUP('Inputs-area with wells'!$C$23,MCF,N24:N27),(LOOKUP('Inputs-area with wells'!$C$23,MCF,O24:O27)))</f>
        <v>1</v>
      </c>
    </row>
    <row r="50" spans="1:10" x14ac:dyDescent="0.3">
      <c r="A50" s="167"/>
      <c r="B50" s="193" t="s">
        <v>65</v>
      </c>
      <c r="C50" s="364">
        <f>IF(Inputs!$C$24="No",1,1-(Inputs!$C$25*Inputs!$C$26/3))</f>
        <v>1</v>
      </c>
      <c r="D50" s="298" t="s">
        <v>84</v>
      </c>
      <c r="E50" s="299"/>
      <c r="F50" s="299"/>
      <c r="G50" s="299"/>
      <c r="H50" s="299"/>
      <c r="I50" s="299"/>
      <c r="J50" s="195">
        <f>IF('Inputs-area with wells'!$C$24="No",1,1-('Inputs-area with wells'!$C$25*'Inputs-area with wells'!$C$26/3))</f>
        <v>1</v>
      </c>
    </row>
    <row r="51" spans="1:10" x14ac:dyDescent="0.3">
      <c r="A51" s="167"/>
      <c r="B51" s="193" t="s">
        <v>91</v>
      </c>
      <c r="C51" s="196">
        <f>IF(Inputs!$C$37="Yes",LOOKUP($F$34,'Lookup Tables'!$F$53:$J$53,'Lookup Tables'!$F$54:$J$54),LOOKUP($F$34,'Lookup Tables'!$F$53:$J$53,'Lookup Tables'!$F$55:$J$55))</f>
        <v>0.13</v>
      </c>
      <c r="D51" s="298" t="s">
        <v>93</v>
      </c>
      <c r="E51" s="299"/>
      <c r="F51" s="299"/>
      <c r="G51" s="299"/>
      <c r="H51" s="299"/>
      <c r="I51" s="299"/>
      <c r="J51" s="365">
        <f>IF('Inputs-area with wells'!$C$37="Yes",LOOKUP($F$34,'Lookup Tables'!$F$53:$J$53,'Lookup Tables'!$F$54:$J$54),LOOKUP($F$34,'Lookup Tables'!$F$53:$J$53,'Lookup Tables'!$F$55:$J$55))</f>
        <v>0.13</v>
      </c>
    </row>
    <row r="52" spans="1:10" x14ac:dyDescent="0.3">
      <c r="A52" s="167"/>
      <c r="B52" s="163"/>
      <c r="C52" s="163"/>
      <c r="D52" s="167"/>
      <c r="E52" s="197"/>
      <c r="F52" s="180">
        <v>750</v>
      </c>
      <c r="G52" s="180">
        <v>650</v>
      </c>
      <c r="H52" s="180">
        <v>550</v>
      </c>
      <c r="I52" s="180">
        <v>450</v>
      </c>
      <c r="J52" s="180">
        <v>350</v>
      </c>
    </row>
    <row r="53" spans="1:10" x14ac:dyDescent="0.3">
      <c r="A53" s="167"/>
      <c r="B53" s="192"/>
      <c r="C53" s="167"/>
      <c r="D53" s="167"/>
      <c r="E53" s="184" t="s">
        <v>92</v>
      </c>
      <c r="F53" s="198">
        <v>1</v>
      </c>
      <c r="G53" s="198">
        <v>2</v>
      </c>
      <c r="H53" s="198">
        <v>3</v>
      </c>
      <c r="I53" s="198">
        <v>4</v>
      </c>
      <c r="J53" s="198">
        <v>5</v>
      </c>
    </row>
    <row r="54" spans="1:10" x14ac:dyDescent="0.3">
      <c r="A54" s="167"/>
      <c r="B54" s="192"/>
      <c r="C54" s="167"/>
      <c r="D54" s="167"/>
      <c r="E54" s="184" t="s">
        <v>50</v>
      </c>
      <c r="F54" s="199">
        <v>0.18</v>
      </c>
      <c r="G54" s="199">
        <v>0.15</v>
      </c>
      <c r="H54" s="199">
        <v>0.13</v>
      </c>
      <c r="I54" s="199">
        <v>0.11</v>
      </c>
      <c r="J54" s="199">
        <v>0.1</v>
      </c>
    </row>
    <row r="55" spans="1:10" x14ac:dyDescent="0.3">
      <c r="A55" s="167"/>
      <c r="B55" s="192"/>
      <c r="C55" s="167"/>
      <c r="D55" s="167"/>
      <c r="E55" s="184" t="s">
        <v>51</v>
      </c>
      <c r="F55" s="199">
        <v>0.36</v>
      </c>
      <c r="G55" s="199">
        <v>0.3</v>
      </c>
      <c r="H55" s="199">
        <v>0.26</v>
      </c>
      <c r="I55" s="199">
        <v>0.22</v>
      </c>
      <c r="J55" s="199">
        <v>0.2</v>
      </c>
    </row>
    <row r="56" spans="1:10" x14ac:dyDescent="0.3">
      <c r="A56" s="167"/>
      <c r="B56" s="192"/>
      <c r="C56" s="167"/>
      <c r="E56" s="163"/>
      <c r="F56" s="163"/>
      <c r="G56" s="163"/>
      <c r="H56" s="163"/>
      <c r="I56" s="163"/>
      <c r="J56" s="163"/>
    </row>
  </sheetData>
  <sheetProtection password="8BBD" sheet="1" objects="1" scenarios="1" selectLockedCells="1" selectUnlockedCells="1"/>
  <sortState xmlns:xlrd2="http://schemas.microsoft.com/office/spreadsheetml/2017/richdata2" ref="B6:B19">
    <sortCondition ref="B6:B19"/>
  </sortState>
  <mergeCells count="7">
    <mergeCell ref="N22:O22"/>
    <mergeCell ref="A1:I1"/>
    <mergeCell ref="A2:I2"/>
    <mergeCell ref="A3:I3"/>
    <mergeCell ref="A4:J4"/>
    <mergeCell ref="J22:K22"/>
    <mergeCell ref="F22:G22"/>
  </mergeCells>
  <phoneticPr fontId="4" type="noConversion"/>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40"/>
  <sheetViews>
    <sheetView showGridLines="0" zoomScaleNormal="100" zoomScaleSheetLayoutView="100" workbookViewId="0">
      <pane xSplit="1" ySplit="6" topLeftCell="B7" activePane="bottomRight" state="frozen"/>
      <selection pane="topRight" activeCell="B1" sqref="B1"/>
      <selection pane="bottomLeft" activeCell="A7" sqref="A7"/>
      <selection pane="bottomRight" activeCell="B27" sqref="B27"/>
    </sheetView>
  </sheetViews>
  <sheetFormatPr defaultColWidth="8.75" defaultRowHeight="13.5" x14ac:dyDescent="0.3"/>
  <cols>
    <col min="1" max="1" width="50.75" style="163" customWidth="1"/>
    <col min="2" max="2" width="12.25" style="163" customWidth="1"/>
    <col min="3" max="9" width="10.58203125" style="163" customWidth="1"/>
    <col min="10" max="10" width="11.58203125" style="163" customWidth="1"/>
    <col min="11" max="14" width="10.58203125" style="163" customWidth="1"/>
    <col min="15" max="20" width="12.75" style="163" customWidth="1"/>
    <col min="21" max="16384" width="8.75" style="163"/>
  </cols>
  <sheetData>
    <row r="1" spans="1:14" ht="34.5" customHeight="1" x14ac:dyDescent="0.35">
      <c r="A1" s="339" t="s">
        <v>135</v>
      </c>
      <c r="B1" s="340"/>
      <c r="C1" s="340"/>
      <c r="D1" s="340"/>
      <c r="E1" s="340"/>
      <c r="F1" s="340"/>
      <c r="G1" s="340"/>
      <c r="H1" s="340"/>
      <c r="I1" s="216"/>
      <c r="J1" s="216"/>
      <c r="K1" s="216"/>
      <c r="L1" s="216"/>
      <c r="M1" s="216"/>
      <c r="N1" s="340"/>
    </row>
    <row r="2" spans="1:14" ht="21.75" customHeight="1" x14ac:dyDescent="0.35">
      <c r="A2" s="342" t="str">
        <f>Inputs!A1</f>
        <v>Central and Eastern Europe Landfill Gas Model v.1</v>
      </c>
      <c r="B2" s="342"/>
      <c r="C2" s="342"/>
      <c r="D2" s="342"/>
      <c r="E2" s="342"/>
      <c r="F2" s="342"/>
      <c r="G2" s="342"/>
      <c r="H2" s="342"/>
      <c r="I2" s="217"/>
      <c r="L2" s="217"/>
      <c r="N2" s="336"/>
    </row>
    <row r="3" spans="1:14" ht="20.25" customHeight="1" x14ac:dyDescent="0.35">
      <c r="A3" s="342" t="str">
        <f>Inputs!A2</f>
        <v>Release Date: December 2014</v>
      </c>
      <c r="B3" s="342"/>
      <c r="C3" s="342"/>
      <c r="D3" s="342"/>
      <c r="E3" s="342"/>
      <c r="F3" s="342"/>
      <c r="G3" s="342"/>
      <c r="H3" s="342"/>
      <c r="I3" s="217"/>
      <c r="L3" s="217"/>
      <c r="N3" s="336"/>
    </row>
    <row r="4" spans="1:14" ht="21" customHeight="1" x14ac:dyDescent="0.3">
      <c r="A4" s="341" t="s">
        <v>139</v>
      </c>
      <c r="B4" s="341"/>
      <c r="C4" s="341"/>
      <c r="D4" s="341"/>
      <c r="E4" s="341"/>
      <c r="F4" s="341"/>
      <c r="G4" s="344"/>
      <c r="H4" s="344"/>
      <c r="I4" s="217"/>
      <c r="L4" s="217"/>
      <c r="N4" s="218"/>
    </row>
    <row r="5" spans="1:14" ht="25.5" customHeight="1" x14ac:dyDescent="0.35">
      <c r="A5" s="337" t="s">
        <v>32</v>
      </c>
      <c r="B5" s="338"/>
      <c r="C5" s="338"/>
      <c r="D5" s="338"/>
      <c r="E5" s="338"/>
      <c r="F5" s="338"/>
      <c r="G5" s="338"/>
      <c r="H5" s="338"/>
      <c r="I5" s="219"/>
      <c r="J5" s="219"/>
      <c r="K5" s="219"/>
      <c r="L5" s="219"/>
      <c r="M5" s="220"/>
      <c r="N5" s="338"/>
    </row>
    <row r="6" spans="1:14" s="223" customFormat="1" ht="40.5" x14ac:dyDescent="0.35">
      <c r="A6" s="221" t="s">
        <v>25</v>
      </c>
      <c r="B6" s="222" t="s">
        <v>122</v>
      </c>
      <c r="C6" s="221" t="str">
        <f>Inputs!C9</f>
        <v>Poland - Cities &gt;50,000</v>
      </c>
      <c r="D6" s="307" t="s">
        <v>286</v>
      </c>
      <c r="E6" s="307" t="s">
        <v>285</v>
      </c>
      <c r="F6" s="307" t="s">
        <v>288</v>
      </c>
      <c r="G6" s="307" t="s">
        <v>289</v>
      </c>
      <c r="H6" s="307" t="s">
        <v>290</v>
      </c>
      <c r="I6" s="343" t="s">
        <v>278</v>
      </c>
      <c r="J6" s="343" t="s">
        <v>279</v>
      </c>
      <c r="K6" s="343" t="s">
        <v>280</v>
      </c>
      <c r="L6" s="343" t="s">
        <v>281</v>
      </c>
      <c r="M6" s="343" t="s">
        <v>282</v>
      </c>
      <c r="N6" s="343" t="s">
        <v>223</v>
      </c>
    </row>
    <row r="7" spans="1:14" s="167" customFormat="1" x14ac:dyDescent="0.3">
      <c r="A7" s="224" t="s">
        <v>26</v>
      </c>
      <c r="B7" s="114">
        <f>C7</f>
        <v>0.26019000000000003</v>
      </c>
      <c r="C7" s="226">
        <f t="shared" ref="C7:C18" si="0">LOOKUP($C$6,$D$6:$N$6,D7:N7)</f>
        <v>0.26019000000000003</v>
      </c>
      <c r="D7" s="309">
        <v>0.27442965663354679</v>
      </c>
      <c r="E7" s="309">
        <v>0.255</v>
      </c>
      <c r="F7" s="309">
        <f>28.91%*0.9</f>
        <v>0.26019000000000003</v>
      </c>
      <c r="G7" s="309">
        <f>36.68%*0.9</f>
        <v>0.33012000000000002</v>
      </c>
      <c r="H7" s="309">
        <f>35.48%*0.9</f>
        <v>0.31931999999999994</v>
      </c>
      <c r="I7" s="227">
        <f>'Serbia data'!B20</f>
        <v>0.30926907309269069</v>
      </c>
      <c r="J7" s="227">
        <f>'Serbia data'!E20</f>
        <v>0.27337266273372657</v>
      </c>
      <c r="K7" s="227">
        <f>'Serbia data'!D20</f>
        <v>0.3056305630563057</v>
      </c>
      <c r="L7" s="227">
        <f>'Serbia data'!C20</f>
        <v>0.34365634365634362</v>
      </c>
      <c r="M7" s="227">
        <f>'Serbia data'!L20</f>
        <v>0.32006329792235733</v>
      </c>
      <c r="N7" s="309">
        <v>0.3609662222222223</v>
      </c>
    </row>
    <row r="8" spans="1:14" s="167" customFormat="1" x14ac:dyDescent="0.3">
      <c r="A8" s="224" t="s">
        <v>28</v>
      </c>
      <c r="B8" s="114">
        <f t="shared" ref="B8:B18" si="1">C8</f>
        <v>0.19089999999999999</v>
      </c>
      <c r="C8" s="226">
        <f t="shared" si="0"/>
        <v>0.19089999999999999</v>
      </c>
      <c r="D8" s="309">
        <v>8.7081340992399697E-2</v>
      </c>
      <c r="E8" s="309">
        <v>0.254</v>
      </c>
      <c r="F8" s="309">
        <v>0.19089999999999999</v>
      </c>
      <c r="G8" s="309">
        <v>9.5899999999999999E-2</v>
      </c>
      <c r="H8" s="309">
        <v>5.3400000000000003E-2</v>
      </c>
      <c r="I8" s="227">
        <f>'Serbia data'!B21</f>
        <v>0.21741159217411588</v>
      </c>
      <c r="J8" s="227">
        <f>'Serbia data'!E21</f>
        <v>0.22067793220677928</v>
      </c>
      <c r="K8" s="227">
        <f>'Serbia data'!D21</f>
        <v>0.17128379504617131</v>
      </c>
      <c r="L8" s="227">
        <f>'Serbia data'!C21</f>
        <v>0.20712620712620713</v>
      </c>
      <c r="M8" s="227">
        <f>'Serbia data'!L21</f>
        <v>0.13243511808898203</v>
      </c>
      <c r="N8" s="309">
        <v>0.14314600000000002</v>
      </c>
    </row>
    <row r="9" spans="1:14" s="167" customFormat="1" x14ac:dyDescent="0.3">
      <c r="A9" s="224" t="s">
        <v>68</v>
      </c>
      <c r="B9" s="114">
        <f t="shared" si="1"/>
        <v>8.2309999999999994E-2</v>
      </c>
      <c r="C9" s="226">
        <f t="shared" si="0"/>
        <v>8.2309999999999994E-2</v>
      </c>
      <c r="D9" s="309">
        <v>9.1256333715409449E-2</v>
      </c>
      <c r="E9" s="309">
        <v>6.7250000000000004E-2</v>
      </c>
      <c r="F9" s="309">
        <f>28.91%*0.1+5.34%</f>
        <v>8.2309999999999994E-2</v>
      </c>
      <c r="G9" s="309">
        <f>36.68%*0.1+5.29%</f>
        <v>8.9580000000000007E-2</v>
      </c>
      <c r="H9" s="309">
        <f>35.48%*0.1+2.8%</f>
        <v>6.3479999999999995E-2</v>
      </c>
      <c r="I9" s="227">
        <f>'Serbia data'!B19</f>
        <v>6.6793320667933184E-2</v>
      </c>
      <c r="J9" s="227">
        <f>'Serbia data'!E19</f>
        <v>0.11288871112888708</v>
      </c>
      <c r="K9" s="227">
        <f>'Serbia data'!D19</f>
        <v>0.10001000100010003</v>
      </c>
      <c r="L9" s="227">
        <f>'Serbia data'!C19</f>
        <v>7.4925074925074914E-2</v>
      </c>
      <c r="M9" s="227">
        <f>'Serbia data'!L19</f>
        <v>0.17402084358883982</v>
      </c>
      <c r="N9" s="309">
        <v>9.7506000000000009E-2</v>
      </c>
    </row>
    <row r="10" spans="1:14" s="167" customFormat="1" x14ac:dyDescent="0.3">
      <c r="A10" s="224" t="s">
        <v>29</v>
      </c>
      <c r="B10" s="114">
        <f t="shared" si="1"/>
        <v>1.1999999999999999E-3</v>
      </c>
      <c r="C10" s="226">
        <f t="shared" si="0"/>
        <v>1.1999999999999999E-3</v>
      </c>
      <c r="D10" s="309">
        <v>1.0962089907398087E-2</v>
      </c>
      <c r="E10" s="309">
        <v>1.7750000000000002E-2</v>
      </c>
      <c r="F10" s="309">
        <v>1.1999999999999999E-3</v>
      </c>
      <c r="G10" s="309">
        <v>1.5E-3</v>
      </c>
      <c r="H10" s="309">
        <v>3.5000000000000001E-3</v>
      </c>
      <c r="I10" s="227">
        <v>0</v>
      </c>
      <c r="J10" s="227">
        <v>0</v>
      </c>
      <c r="K10" s="227">
        <v>0</v>
      </c>
      <c r="L10" s="227">
        <v>0</v>
      </c>
      <c r="M10" s="227">
        <v>0</v>
      </c>
      <c r="N10" s="309">
        <v>1.8699999999999998E-2</v>
      </c>
    </row>
    <row r="11" spans="1:14" s="167" customFormat="1" x14ac:dyDescent="0.3">
      <c r="A11" s="224" t="s">
        <v>66</v>
      </c>
      <c r="B11" s="114">
        <f t="shared" si="1"/>
        <v>9.7999999999999997E-3</v>
      </c>
      <c r="C11" s="226">
        <f t="shared" si="0"/>
        <v>9.7999999999999997E-3</v>
      </c>
      <c r="D11" s="309">
        <f>3.4212881340764%/2</f>
        <v>1.7106440670382E-2</v>
      </c>
      <c r="E11" s="309">
        <v>1.15E-2</v>
      </c>
      <c r="F11" s="309">
        <v>9.7999999999999997E-3</v>
      </c>
      <c r="G11" s="309">
        <v>1.5800000000000002E-2</v>
      </c>
      <c r="H11" s="309">
        <v>1.7500000000000002E-2</v>
      </c>
      <c r="I11" s="227">
        <f>'Serbia data'!B23</f>
        <v>3.1496850314968496E-2</v>
      </c>
      <c r="J11" s="227">
        <f>'Serbia data'!E23</f>
        <v>2.0364630203646296E-2</v>
      </c>
      <c r="K11" s="227">
        <f>'Serbia data'!D23</f>
        <v>1.4834816815014838E-2</v>
      </c>
      <c r="L11" s="227">
        <f>'Serbia data'!C23</f>
        <v>1.8648018648018648E-2</v>
      </c>
      <c r="M11" s="227">
        <f>'Serbia data'!L23</f>
        <v>1.9404243518526241E-2</v>
      </c>
      <c r="N11" s="309">
        <v>2.2178666666666666E-2</v>
      </c>
    </row>
    <row r="12" spans="1:14" s="167" customFormat="1" x14ac:dyDescent="0.3">
      <c r="A12" s="224" t="s">
        <v>67</v>
      </c>
      <c r="B12" s="114">
        <f t="shared" si="1"/>
        <v>1.14E-2</v>
      </c>
      <c r="C12" s="226">
        <f t="shared" si="0"/>
        <v>1.14E-2</v>
      </c>
      <c r="D12" s="309">
        <f>3.4212881340764%/2</f>
        <v>1.7106440670382E-2</v>
      </c>
      <c r="E12" s="309">
        <v>3.4749999999999996E-2</v>
      </c>
      <c r="F12" s="309">
        <v>1.14E-2</v>
      </c>
      <c r="G12" s="309">
        <v>2.01E-2</v>
      </c>
      <c r="H12" s="309">
        <v>1.14E-2</v>
      </c>
      <c r="I12" s="227">
        <f>'Serbia data'!B22</f>
        <v>5.3094690530946891E-2</v>
      </c>
      <c r="J12" s="227">
        <f>'Serbia data'!E22</f>
        <v>3.6796320367963195E-2</v>
      </c>
      <c r="K12" s="227">
        <f>'Serbia data'!D22</f>
        <v>5.6705670567056714E-2</v>
      </c>
      <c r="L12" s="227">
        <f>'Serbia data'!C22</f>
        <v>3.696303696303696E-2</v>
      </c>
      <c r="M12" s="227">
        <f>'Serbia data'!L22</f>
        <v>5.1497127053274812E-2</v>
      </c>
      <c r="N12" s="309">
        <v>3.4196666666666667E-2</v>
      </c>
    </row>
    <row r="13" spans="1:14" s="167" customFormat="1" x14ac:dyDescent="0.3">
      <c r="A13" s="224" t="s">
        <v>69</v>
      </c>
      <c r="B13" s="114">
        <f t="shared" si="1"/>
        <v>1.26E-2</v>
      </c>
      <c r="C13" s="226">
        <f t="shared" si="0"/>
        <v>1.26E-2</v>
      </c>
      <c r="D13" s="309">
        <v>0</v>
      </c>
      <c r="E13" s="309">
        <v>0</v>
      </c>
      <c r="F13" s="309">
        <v>1.26E-2</v>
      </c>
      <c r="G13" s="309">
        <v>2.0500000000000001E-2</v>
      </c>
      <c r="H13" s="309">
        <v>5.4199999999999998E-2</v>
      </c>
      <c r="I13" s="227">
        <f>'Serbia data'!B24*0.2</f>
        <v>7.3392660733926605E-3</v>
      </c>
      <c r="J13" s="227">
        <f>'Serbia data'!E24*0.2</f>
        <v>7.4392560743925598E-3</v>
      </c>
      <c r="K13" s="227">
        <f>'Serbia data'!D24*0.2</f>
        <v>8.1608160816081642E-3</v>
      </c>
      <c r="L13" s="227">
        <f>'Serbia data'!C24*0.2</f>
        <v>6.5934065934065925E-3</v>
      </c>
      <c r="M13" s="227">
        <f>'Serbia data'!L24*0.2</f>
        <v>8.5861214099879121E-3</v>
      </c>
      <c r="N13" s="309">
        <v>4.1333333333333335E-3</v>
      </c>
    </row>
    <row r="14" spans="1:14" s="167" customFormat="1" x14ac:dyDescent="0.3">
      <c r="A14" s="228" t="s">
        <v>17</v>
      </c>
      <c r="B14" s="114">
        <f t="shared" si="1"/>
        <v>2.6700000000000002E-2</v>
      </c>
      <c r="C14" s="226">
        <f t="shared" si="0"/>
        <v>2.6700000000000002E-2</v>
      </c>
      <c r="D14" s="310">
        <v>1.8735361016003677E-2</v>
      </c>
      <c r="E14" s="310">
        <v>1.575E-2</v>
      </c>
      <c r="F14" s="310">
        <v>2.6700000000000002E-2</v>
      </c>
      <c r="G14" s="310">
        <v>1.54E-2</v>
      </c>
      <c r="H14" s="310">
        <v>2.6100000000000002E-2</v>
      </c>
      <c r="I14" s="229">
        <f>'Serbia data'!B26</f>
        <v>2.7797220277972195E-2</v>
      </c>
      <c r="J14" s="229">
        <f>'Serbia data'!E26</f>
        <v>2.1831150218311498E-2</v>
      </c>
      <c r="K14" s="229">
        <f>'Serbia data'!D26</f>
        <v>2.1568823549021572E-2</v>
      </c>
      <c r="L14" s="229">
        <f>'Serbia data'!C26</f>
        <v>1.8315018315018312E-2</v>
      </c>
      <c r="M14" s="229">
        <f>'Serbia data'!L26</f>
        <v>1.809298856457086E-2</v>
      </c>
      <c r="N14" s="310">
        <v>2.2904444444444446E-2</v>
      </c>
    </row>
    <row r="15" spans="1:14" s="167" customFormat="1" ht="12.75" customHeight="1" x14ac:dyDescent="0.3">
      <c r="A15" s="228" t="s">
        <v>74</v>
      </c>
      <c r="B15" s="114">
        <f t="shared" si="1"/>
        <v>6.2200000000000005E-2</v>
      </c>
      <c r="C15" s="226">
        <f t="shared" si="0"/>
        <v>6.2200000000000005E-2</v>
      </c>
      <c r="D15" s="310">
        <v>2.6764152625200932E-2</v>
      </c>
      <c r="E15" s="310">
        <v>1.025E-2</v>
      </c>
      <c r="F15" s="310">
        <f>(0.12+2.94+3.16)/100</f>
        <v>6.2200000000000005E-2</v>
      </c>
      <c r="G15" s="310">
        <f>(0.15+4.79+2.83)/100</f>
        <v>7.7700000000000005E-2</v>
      </c>
      <c r="H15" s="310">
        <f>(0.35+5.42+6.35)/100</f>
        <v>0.12119999999999999</v>
      </c>
      <c r="I15" s="229">
        <v>0</v>
      </c>
      <c r="J15" s="229">
        <v>0</v>
      </c>
      <c r="K15" s="229">
        <v>0</v>
      </c>
      <c r="L15" s="229">
        <v>0</v>
      </c>
      <c r="M15" s="229">
        <v>0</v>
      </c>
      <c r="N15" s="310">
        <v>3.5819111111111114E-2</v>
      </c>
    </row>
    <row r="16" spans="1:14" s="230" customFormat="1" ht="12.75" customHeight="1" x14ac:dyDescent="0.3">
      <c r="A16" s="228" t="s">
        <v>27</v>
      </c>
      <c r="B16" s="114">
        <f t="shared" si="1"/>
        <v>9.9699999999999997E-2</v>
      </c>
      <c r="C16" s="226">
        <f t="shared" si="0"/>
        <v>9.9699999999999997E-2</v>
      </c>
      <c r="D16" s="310">
        <v>5.3500688650231366E-2</v>
      </c>
      <c r="E16" s="310">
        <v>8.9499999999999996E-2</v>
      </c>
      <c r="F16" s="310">
        <v>9.9699999999999997E-2</v>
      </c>
      <c r="G16" s="310">
        <v>0.10249999999999999</v>
      </c>
      <c r="H16" s="310">
        <v>0.1071</v>
      </c>
      <c r="I16" s="229">
        <f>'Serbia data'!B27</f>
        <v>6.8393160683931586E-2</v>
      </c>
      <c r="J16" s="229">
        <f>'Serbia data'!E27</f>
        <v>5.0394960503949593E-2</v>
      </c>
      <c r="K16" s="229">
        <f>'Serbia data'!D27</f>
        <v>4.7404740474047413E-2</v>
      </c>
      <c r="L16" s="229">
        <f>'Serbia data'!C27</f>
        <v>6.2937062937062929E-2</v>
      </c>
      <c r="M16" s="229">
        <f>'Serbia data'!L27</f>
        <v>4.2596767189574454E-2</v>
      </c>
      <c r="N16" s="310">
        <v>6.2071111111111119E-2</v>
      </c>
    </row>
    <row r="17" spans="1:14" s="232" customFormat="1" ht="12.75" customHeight="1" x14ac:dyDescent="0.3">
      <c r="A17" s="231" t="s">
        <v>18</v>
      </c>
      <c r="B17" s="114">
        <f t="shared" si="1"/>
        <v>0.15179999999999999</v>
      </c>
      <c r="C17" s="226">
        <f t="shared" si="0"/>
        <v>0.15179999999999999</v>
      </c>
      <c r="D17" s="310">
        <v>0.11537927277133422</v>
      </c>
      <c r="E17" s="310">
        <v>0.1285</v>
      </c>
      <c r="F17" s="310">
        <v>0.15179999999999999</v>
      </c>
      <c r="G17" s="310">
        <v>0.10970000000000001</v>
      </c>
      <c r="H17" s="310">
        <v>0.1101</v>
      </c>
      <c r="I17" s="229">
        <f>'Serbia data'!B25+'Serbia data'!B24*0.8</f>
        <v>0.19847348598473485</v>
      </c>
      <c r="J17" s="229">
        <f>'Serbia data'!E25+'Serbia data'!E24*0.8</f>
        <v>0.22753724627537239</v>
      </c>
      <c r="K17" s="229">
        <f>'Serbia data'!D25+'Serbia data'!D24*0.8</f>
        <v>0.24333099976664338</v>
      </c>
      <c r="L17" s="229">
        <f>'Serbia data'!C25+'Serbia data'!C24*0.8</f>
        <v>0.21052281052281049</v>
      </c>
      <c r="M17" s="229">
        <f>'Serbia data'!L25+'Serbia data'!L24*0.8</f>
        <v>0.19837791399588742</v>
      </c>
      <c r="N17" s="310">
        <v>5.7573333333333331E-2</v>
      </c>
    </row>
    <row r="18" spans="1:14" s="234" customFormat="1" ht="12.75" customHeight="1" x14ac:dyDescent="0.3">
      <c r="A18" s="233" t="s">
        <v>158</v>
      </c>
      <c r="B18" s="114">
        <f t="shared" si="1"/>
        <v>9.1200000000000003E-2</v>
      </c>
      <c r="C18" s="226">
        <f t="shared" si="0"/>
        <v>9.1200000000000003E-2</v>
      </c>
      <c r="D18" s="310">
        <v>0.28767822234771173</v>
      </c>
      <c r="E18" s="310">
        <v>0.11574999999999999</v>
      </c>
      <c r="F18" s="310">
        <f>(1.48+1.14+0.75+3.16+2.59)/100</f>
        <v>9.1200000000000003E-2</v>
      </c>
      <c r="G18" s="310">
        <f>(2.37+2.01+0.63+4.52+2.6)/100</f>
        <v>0.12129999999999999</v>
      </c>
      <c r="H18" s="310">
        <f>(2.63+1.14+0.87+5.26+1.37)/100</f>
        <v>0.11269999999999999</v>
      </c>
      <c r="I18" s="229">
        <f>'Serbia data'!B28</f>
        <v>1.9931340199313401E-2</v>
      </c>
      <c r="J18" s="229">
        <f>'Serbia data'!E28</f>
        <v>2.8697130286971295E-2</v>
      </c>
      <c r="K18" s="229">
        <f>'Serbia data'!D28</f>
        <v>3.1069773644031077E-2</v>
      </c>
      <c r="L18" s="229">
        <f>'Serbia data'!C28</f>
        <v>2.0313020313020309E-2</v>
      </c>
      <c r="M18" s="229">
        <f>'Serbia data'!L28</f>
        <v>3.4925578667999141E-2</v>
      </c>
      <c r="N18" s="310">
        <v>0.14074894444444444</v>
      </c>
    </row>
    <row r="19" spans="1:14" s="167" customFormat="1" x14ac:dyDescent="0.3">
      <c r="A19" s="235" t="s">
        <v>152</v>
      </c>
      <c r="B19" s="225">
        <f t="shared" ref="B19:L19" si="2">SUM(B7:B18)</f>
        <v>1</v>
      </c>
      <c r="C19" s="236">
        <f t="shared" si="2"/>
        <v>1</v>
      </c>
      <c r="D19" s="236">
        <f t="shared" ref="D19:K19" si="3">SUM(D7:D18)</f>
        <v>1</v>
      </c>
      <c r="E19" s="236">
        <f t="shared" ref="E19" si="4">SUM(E7:E18)</f>
        <v>1</v>
      </c>
      <c r="F19" s="236">
        <f t="shared" si="3"/>
        <v>1</v>
      </c>
      <c r="G19" s="236">
        <f t="shared" ref="G19:H19" si="5">SUM(G7:G18)</f>
        <v>1.0001</v>
      </c>
      <c r="H19" s="236">
        <f t="shared" si="5"/>
        <v>0.99999999999999989</v>
      </c>
      <c r="I19" s="236">
        <f t="shared" si="3"/>
        <v>0.99999999999999967</v>
      </c>
      <c r="J19" s="236">
        <f t="shared" si="3"/>
        <v>0.99999999999999989</v>
      </c>
      <c r="K19" s="236">
        <f t="shared" si="3"/>
        <v>1.0000000000000002</v>
      </c>
      <c r="L19" s="236">
        <f t="shared" si="2"/>
        <v>1</v>
      </c>
      <c r="M19" s="236">
        <f>SUM(M7:M18)</f>
        <v>1</v>
      </c>
      <c r="N19" s="236">
        <f>SUM(N7:N18)</f>
        <v>0.99994383333333337</v>
      </c>
    </row>
    <row r="20" spans="1:14" s="167" customFormat="1" x14ac:dyDescent="0.3">
      <c r="A20" s="237" t="s">
        <v>70</v>
      </c>
      <c r="B20" s="227">
        <f>B7+B13</f>
        <v>0.27279000000000003</v>
      </c>
      <c r="C20" s="227">
        <f t="shared" ref="C20:L20" si="6">C7+C13</f>
        <v>0.27279000000000003</v>
      </c>
      <c r="D20" s="227">
        <f t="shared" ref="D20:K20" si="7">D7+D13</f>
        <v>0.27442965663354679</v>
      </c>
      <c r="E20" s="227">
        <f t="shared" ref="E20" si="8">E7+E13</f>
        <v>0.255</v>
      </c>
      <c r="F20" s="227">
        <f t="shared" si="7"/>
        <v>0.27279000000000003</v>
      </c>
      <c r="G20" s="227">
        <f t="shared" ref="G20:H20" si="9">G7+G13</f>
        <v>0.35062000000000004</v>
      </c>
      <c r="H20" s="227">
        <f t="shared" si="9"/>
        <v>0.37351999999999996</v>
      </c>
      <c r="I20" s="227">
        <f t="shared" si="7"/>
        <v>0.31660833916608333</v>
      </c>
      <c r="J20" s="227">
        <f t="shared" si="7"/>
        <v>0.28081191880811912</v>
      </c>
      <c r="K20" s="227">
        <f t="shared" si="7"/>
        <v>0.31379137913791388</v>
      </c>
      <c r="L20" s="227">
        <f t="shared" si="6"/>
        <v>0.35024975024975019</v>
      </c>
      <c r="M20" s="227">
        <f>M7+M13</f>
        <v>0.32864941933234526</v>
      </c>
      <c r="N20" s="227">
        <f>N7+N13</f>
        <v>0.36509955555555562</v>
      </c>
    </row>
    <row r="21" spans="1:14" s="167" customFormat="1" x14ac:dyDescent="0.3">
      <c r="A21" s="237" t="s">
        <v>71</v>
      </c>
      <c r="B21" s="227">
        <f>B9</f>
        <v>8.2309999999999994E-2</v>
      </c>
      <c r="C21" s="227">
        <f t="shared" ref="C21:L21" si="10">C9</f>
        <v>8.2309999999999994E-2</v>
      </c>
      <c r="D21" s="227">
        <f t="shared" ref="D21:K21" si="11">D9</f>
        <v>9.1256333715409449E-2</v>
      </c>
      <c r="E21" s="227">
        <f t="shared" ref="E21" si="12">E9</f>
        <v>6.7250000000000004E-2</v>
      </c>
      <c r="F21" s="227">
        <f t="shared" si="11"/>
        <v>8.2309999999999994E-2</v>
      </c>
      <c r="G21" s="227">
        <f t="shared" ref="G21:H21" si="13">G9</f>
        <v>8.9580000000000007E-2</v>
      </c>
      <c r="H21" s="227">
        <f t="shared" si="13"/>
        <v>6.3479999999999995E-2</v>
      </c>
      <c r="I21" s="227">
        <f t="shared" si="11"/>
        <v>6.6793320667933184E-2</v>
      </c>
      <c r="J21" s="227">
        <f t="shared" si="11"/>
        <v>0.11288871112888708</v>
      </c>
      <c r="K21" s="227">
        <f t="shared" si="11"/>
        <v>0.10001000100010003</v>
      </c>
      <c r="L21" s="227">
        <f t="shared" si="10"/>
        <v>7.4925074925074914E-2</v>
      </c>
      <c r="M21" s="227">
        <f>M9</f>
        <v>0.17402084358883982</v>
      </c>
      <c r="N21" s="227">
        <f>N9</f>
        <v>9.7506000000000009E-2</v>
      </c>
    </row>
    <row r="22" spans="1:14" s="167" customFormat="1" x14ac:dyDescent="0.3">
      <c r="A22" s="237" t="s">
        <v>72</v>
      </c>
      <c r="B22" s="227">
        <f>B8+B12</f>
        <v>0.20229999999999998</v>
      </c>
      <c r="C22" s="227">
        <f t="shared" ref="C22:L22" si="14">C8+C12</f>
        <v>0.20229999999999998</v>
      </c>
      <c r="D22" s="227">
        <f t="shared" ref="D22:K22" si="15">D8+D12</f>
        <v>0.1041877816627817</v>
      </c>
      <c r="E22" s="227">
        <f t="shared" ref="E22" si="16">E8+E12</f>
        <v>0.28875000000000001</v>
      </c>
      <c r="F22" s="227">
        <f t="shared" si="15"/>
        <v>0.20229999999999998</v>
      </c>
      <c r="G22" s="227">
        <f t="shared" ref="G22:H22" si="17">G8+G12</f>
        <v>0.11599999999999999</v>
      </c>
      <c r="H22" s="227">
        <f t="shared" si="17"/>
        <v>6.4799999999999996E-2</v>
      </c>
      <c r="I22" s="227">
        <f t="shared" si="15"/>
        <v>0.27050628270506277</v>
      </c>
      <c r="J22" s="227">
        <f t="shared" si="15"/>
        <v>0.25747425257474249</v>
      </c>
      <c r="K22" s="227">
        <f t="shared" si="15"/>
        <v>0.22798946561322803</v>
      </c>
      <c r="L22" s="227">
        <f t="shared" si="14"/>
        <v>0.2440892440892441</v>
      </c>
      <c r="M22" s="227">
        <f>M8+M12</f>
        <v>0.18393224514225684</v>
      </c>
      <c r="N22" s="227">
        <f>N8+N12</f>
        <v>0.1773426666666667</v>
      </c>
    </row>
    <row r="23" spans="1:14" s="167" customFormat="1" x14ac:dyDescent="0.3">
      <c r="A23" s="237" t="s">
        <v>73</v>
      </c>
      <c r="B23" s="227">
        <f>B10+B11</f>
        <v>1.0999999999999999E-2</v>
      </c>
      <c r="C23" s="227">
        <f t="shared" ref="C23:L23" si="18">C10+C11</f>
        <v>1.0999999999999999E-2</v>
      </c>
      <c r="D23" s="227">
        <f t="shared" ref="D23:K23" si="19">D10+D11</f>
        <v>2.8068530577780089E-2</v>
      </c>
      <c r="E23" s="227">
        <f t="shared" ref="E23" si="20">E10+E11</f>
        <v>2.9250000000000002E-2</v>
      </c>
      <c r="F23" s="227">
        <f t="shared" si="19"/>
        <v>1.0999999999999999E-2</v>
      </c>
      <c r="G23" s="227">
        <f t="shared" ref="G23:H23" si="21">G10+G11</f>
        <v>1.7300000000000003E-2</v>
      </c>
      <c r="H23" s="227">
        <f t="shared" si="21"/>
        <v>2.1000000000000001E-2</v>
      </c>
      <c r="I23" s="227">
        <f t="shared" si="19"/>
        <v>3.1496850314968496E-2</v>
      </c>
      <c r="J23" s="227">
        <f t="shared" si="19"/>
        <v>2.0364630203646296E-2</v>
      </c>
      <c r="K23" s="227">
        <f t="shared" si="19"/>
        <v>1.4834816815014838E-2</v>
      </c>
      <c r="L23" s="227">
        <f t="shared" si="18"/>
        <v>1.8648018648018648E-2</v>
      </c>
      <c r="M23" s="227">
        <f>M10+M11</f>
        <v>1.9404243518526241E-2</v>
      </c>
      <c r="N23" s="227">
        <f>N10+N11</f>
        <v>4.087866666666666E-2</v>
      </c>
    </row>
    <row r="24" spans="1:14" s="167" customFormat="1" x14ac:dyDescent="0.3">
      <c r="A24" s="238" t="s">
        <v>30</v>
      </c>
      <c r="B24" s="229">
        <f t="shared" ref="B24:L24" si="22">SUM(B20:B23)</f>
        <v>0.56840000000000002</v>
      </c>
      <c r="C24" s="229">
        <f t="shared" ref="C24:K24" si="23">SUM(C20:C23)</f>
        <v>0.56840000000000002</v>
      </c>
      <c r="D24" s="229">
        <f t="shared" si="23"/>
        <v>0.49794230258951799</v>
      </c>
      <c r="E24" s="229">
        <f t="shared" ref="E24" si="24">SUM(E20:E23)</f>
        <v>0.64024999999999999</v>
      </c>
      <c r="F24" s="229">
        <f t="shared" si="23"/>
        <v>0.56840000000000002</v>
      </c>
      <c r="G24" s="229">
        <f t="shared" ref="G24:H24" si="25">SUM(G20:G23)</f>
        <v>0.57350000000000001</v>
      </c>
      <c r="H24" s="229">
        <f t="shared" si="25"/>
        <v>0.52279999999999993</v>
      </c>
      <c r="I24" s="229">
        <f t="shared" si="23"/>
        <v>0.68540479285404776</v>
      </c>
      <c r="J24" s="229">
        <f t="shared" si="23"/>
        <v>0.67153951271539503</v>
      </c>
      <c r="K24" s="229">
        <f t="shared" si="23"/>
        <v>0.65662566256625687</v>
      </c>
      <c r="L24" s="229">
        <f t="shared" si="22"/>
        <v>0.68791208791208791</v>
      </c>
      <c r="M24" s="229">
        <f>SUM(M20:M23)</f>
        <v>0.70600675158196813</v>
      </c>
      <c r="N24" s="229">
        <f>SUM(N20:N23)</f>
        <v>0.68082688888888898</v>
      </c>
    </row>
    <row r="25" spans="1:14" s="167" customFormat="1" x14ac:dyDescent="0.3">
      <c r="A25" s="238" t="s">
        <v>31</v>
      </c>
      <c r="B25" s="229">
        <f>1-B24</f>
        <v>0.43159999999999998</v>
      </c>
      <c r="C25" s="229">
        <f>1-C24</f>
        <v>0.43159999999999998</v>
      </c>
      <c r="D25" s="229">
        <f>1-D24</f>
        <v>0.50205769741048201</v>
      </c>
      <c r="E25" s="229">
        <f>1-E24</f>
        <v>0.35975000000000001</v>
      </c>
      <c r="F25" s="229">
        <f t="shared" ref="F25:G25" si="26">1-F24</f>
        <v>0.43159999999999998</v>
      </c>
      <c r="G25" s="229">
        <f t="shared" si="26"/>
        <v>0.42649999999999999</v>
      </c>
      <c r="H25" s="229">
        <f t="shared" ref="H25" si="27">1-H24</f>
        <v>0.47720000000000007</v>
      </c>
      <c r="I25" s="229">
        <f t="shared" ref="I25:K25" si="28">1-I24</f>
        <v>0.31459520714595224</v>
      </c>
      <c r="J25" s="229">
        <f t="shared" si="28"/>
        <v>0.32846048728460497</v>
      </c>
      <c r="K25" s="229">
        <f t="shared" si="28"/>
        <v>0.34337433743374313</v>
      </c>
      <c r="L25" s="229">
        <f t="shared" ref="L25" si="29">1-L24</f>
        <v>0.31208791208791209</v>
      </c>
      <c r="M25" s="229">
        <f>1-M24</f>
        <v>0.29399324841803187</v>
      </c>
      <c r="N25" s="229">
        <f>1-N24</f>
        <v>0.31917311111111102</v>
      </c>
    </row>
    <row r="26" spans="1:14" s="167" customFormat="1" x14ac:dyDescent="0.3">
      <c r="A26" s="238" t="s">
        <v>52</v>
      </c>
      <c r="B26" s="124">
        <f t="shared" ref="B26:N26" si="30">$F$34*B7/B$20+$F$34*B13/B$20</f>
        <v>69.754464285714278</v>
      </c>
      <c r="C26" s="124">
        <f t="shared" si="30"/>
        <v>69.754464285714278</v>
      </c>
      <c r="D26" s="124">
        <f t="shared" si="30"/>
        <v>69.754464285714278</v>
      </c>
      <c r="E26" s="124">
        <f t="shared" si="30"/>
        <v>69.754464285714278</v>
      </c>
      <c r="F26" s="124">
        <f t="shared" si="30"/>
        <v>69.754464285714278</v>
      </c>
      <c r="G26" s="124">
        <f t="shared" ref="G26:H26" si="31">$F$34*G7/G$20+$F$34*G13/G$20</f>
        <v>69.754464285714278</v>
      </c>
      <c r="H26" s="124">
        <f t="shared" si="31"/>
        <v>69.754464285714278</v>
      </c>
      <c r="I26" s="124">
        <f t="shared" si="30"/>
        <v>69.754464285714292</v>
      </c>
      <c r="J26" s="124">
        <f t="shared" si="30"/>
        <v>69.754464285714278</v>
      </c>
      <c r="K26" s="124">
        <f t="shared" si="30"/>
        <v>69.754464285714278</v>
      </c>
      <c r="L26" s="124">
        <f t="shared" si="30"/>
        <v>69.754464285714278</v>
      </c>
      <c r="M26" s="124">
        <f t="shared" si="30"/>
        <v>69.754464285714278</v>
      </c>
      <c r="N26" s="124">
        <f t="shared" si="30"/>
        <v>69.754464285714278</v>
      </c>
    </row>
    <row r="27" spans="1:14" s="167" customFormat="1" x14ac:dyDescent="0.3">
      <c r="A27" s="238" t="s">
        <v>75</v>
      </c>
      <c r="B27" s="124">
        <f t="shared" ref="B27:N27" si="32">$F$35</f>
        <v>93.00595238095238</v>
      </c>
      <c r="C27" s="124">
        <f t="shared" si="32"/>
        <v>93.00595238095238</v>
      </c>
      <c r="D27" s="124">
        <f t="shared" si="32"/>
        <v>93.00595238095238</v>
      </c>
      <c r="E27" s="124">
        <f t="shared" si="32"/>
        <v>93.00595238095238</v>
      </c>
      <c r="F27" s="124">
        <f t="shared" si="32"/>
        <v>93.00595238095238</v>
      </c>
      <c r="G27" s="124">
        <f t="shared" si="32"/>
        <v>93.00595238095238</v>
      </c>
      <c r="H27" s="124">
        <f t="shared" si="32"/>
        <v>93.00595238095238</v>
      </c>
      <c r="I27" s="124">
        <f t="shared" si="32"/>
        <v>93.00595238095238</v>
      </c>
      <c r="J27" s="124">
        <f t="shared" si="32"/>
        <v>93.00595238095238</v>
      </c>
      <c r="K27" s="124">
        <f t="shared" si="32"/>
        <v>93.00595238095238</v>
      </c>
      <c r="L27" s="124">
        <f t="shared" si="32"/>
        <v>93.00595238095238</v>
      </c>
      <c r="M27" s="124">
        <f t="shared" si="32"/>
        <v>93.00595238095238</v>
      </c>
      <c r="N27" s="124">
        <f t="shared" si="32"/>
        <v>93.00595238095238</v>
      </c>
    </row>
    <row r="28" spans="1:14" s="167" customFormat="1" x14ac:dyDescent="0.3">
      <c r="A28" s="238" t="s">
        <v>76</v>
      </c>
      <c r="B28" s="124">
        <f t="shared" ref="B28:N28" si="33">$F$36*B$8/B$22+$F$38*B12/B$22</f>
        <v>181.81905114987171</v>
      </c>
      <c r="C28" s="124">
        <f t="shared" si="33"/>
        <v>181.81905114987171</v>
      </c>
      <c r="D28" s="124">
        <f t="shared" si="33"/>
        <v>173.79549488346711</v>
      </c>
      <c r="E28" s="124">
        <f t="shared" si="33"/>
        <v>177.0575654504226</v>
      </c>
      <c r="F28" s="124">
        <f t="shared" si="33"/>
        <v>181.81905114987171</v>
      </c>
      <c r="G28" s="124">
        <f t="shared" ref="G28:H28" si="34">$F$36*G$8/G$22+$F$38*G12/G$22</f>
        <v>173.11935550082106</v>
      </c>
      <c r="H28" s="124">
        <f t="shared" si="34"/>
        <v>172.9221781305115</v>
      </c>
      <c r="I28" s="124">
        <f t="shared" si="33"/>
        <v>171.40781583702972</v>
      </c>
      <c r="J28" s="124">
        <f t="shared" si="33"/>
        <v>175.37852519648635</v>
      </c>
      <c r="K28" s="124">
        <f t="shared" si="33"/>
        <v>167.50590973339183</v>
      </c>
      <c r="L28" s="124">
        <f t="shared" si="33"/>
        <v>174.74460793867343</v>
      </c>
      <c r="M28" s="124">
        <f t="shared" si="33"/>
        <v>165.18014970876155</v>
      </c>
      <c r="N28" s="124">
        <f t="shared" si="33"/>
        <v>171.66456867468844</v>
      </c>
    </row>
    <row r="29" spans="1:14" s="167" customFormat="1" x14ac:dyDescent="0.3">
      <c r="A29" s="238" t="s">
        <v>53</v>
      </c>
      <c r="B29" s="124">
        <f t="shared" ref="B29" si="35">C29</f>
        <v>199.96279761904765</v>
      </c>
      <c r="C29" s="124">
        <f t="shared" ref="C29:N29" si="36">$F$37</f>
        <v>199.96279761904765</v>
      </c>
      <c r="D29" s="124">
        <f t="shared" si="36"/>
        <v>199.96279761904765</v>
      </c>
      <c r="E29" s="124">
        <f t="shared" si="36"/>
        <v>199.96279761904765</v>
      </c>
      <c r="F29" s="124">
        <f t="shared" si="36"/>
        <v>199.96279761904765</v>
      </c>
      <c r="G29" s="124">
        <f t="shared" si="36"/>
        <v>199.96279761904765</v>
      </c>
      <c r="H29" s="124">
        <f t="shared" si="36"/>
        <v>199.96279761904765</v>
      </c>
      <c r="I29" s="124">
        <f t="shared" si="36"/>
        <v>199.96279761904765</v>
      </c>
      <c r="J29" s="124">
        <f t="shared" si="36"/>
        <v>199.96279761904765</v>
      </c>
      <c r="K29" s="124">
        <f t="shared" si="36"/>
        <v>199.96279761904765</v>
      </c>
      <c r="L29" s="124">
        <f t="shared" si="36"/>
        <v>199.96279761904765</v>
      </c>
      <c r="M29" s="124">
        <f t="shared" si="36"/>
        <v>199.96279761904765</v>
      </c>
      <c r="N29" s="124">
        <f t="shared" si="36"/>
        <v>199.96279761904765</v>
      </c>
    </row>
    <row r="30" spans="1:14" x14ac:dyDescent="0.3">
      <c r="I30" s="301" t="s">
        <v>224</v>
      </c>
      <c r="K30" s="301" t="s">
        <v>230</v>
      </c>
      <c r="L30" s="301" t="s">
        <v>229</v>
      </c>
    </row>
    <row r="33" spans="1:8" ht="17.5" x14ac:dyDescent="0.45">
      <c r="A33" s="285" t="s">
        <v>198</v>
      </c>
      <c r="B33" s="287" t="s">
        <v>205</v>
      </c>
      <c r="C33" s="287" t="s">
        <v>206</v>
      </c>
      <c r="D33" s="287" t="s">
        <v>207</v>
      </c>
      <c r="E33" s="287" t="s">
        <v>207</v>
      </c>
      <c r="F33" s="201" t="s">
        <v>208</v>
      </c>
      <c r="G33" s="201"/>
      <c r="H33" s="201"/>
    </row>
    <row r="34" spans="1:8" x14ac:dyDescent="0.3">
      <c r="A34" s="163" t="s">
        <v>199</v>
      </c>
      <c r="B34" s="286">
        <v>0.15</v>
      </c>
      <c r="C34" s="163">
        <v>0.5</v>
      </c>
      <c r="D34" s="163">
        <v>0.5</v>
      </c>
      <c r="E34" s="163">
        <v>0.5</v>
      </c>
      <c r="F34" s="288">
        <f t="shared" ref="F34:F40" si="37">B34*C34*D34*16/12/0.0007168</f>
        <v>69.754464285714278</v>
      </c>
      <c r="G34" s="288"/>
      <c r="H34" s="288"/>
    </row>
    <row r="35" spans="1:8" x14ac:dyDescent="0.3">
      <c r="A35" s="163" t="s">
        <v>200</v>
      </c>
      <c r="B35" s="286">
        <v>0.2</v>
      </c>
      <c r="C35" s="163">
        <v>0.5</v>
      </c>
      <c r="D35" s="163">
        <v>0.5</v>
      </c>
      <c r="E35" s="163">
        <v>0.5</v>
      </c>
      <c r="F35" s="288">
        <f t="shared" si="37"/>
        <v>93.00595238095238</v>
      </c>
      <c r="G35" s="288"/>
      <c r="H35" s="288"/>
    </row>
    <row r="36" spans="1:8" x14ac:dyDescent="0.3">
      <c r="A36" s="163" t="s">
        <v>201</v>
      </c>
      <c r="B36" s="286">
        <v>0.4</v>
      </c>
      <c r="C36" s="163">
        <v>0.5</v>
      </c>
      <c r="D36" s="163">
        <v>0.5</v>
      </c>
      <c r="E36" s="163">
        <v>0.5</v>
      </c>
      <c r="F36" s="288">
        <f t="shared" si="37"/>
        <v>186.01190476190476</v>
      </c>
      <c r="G36" s="288"/>
      <c r="H36" s="288"/>
    </row>
    <row r="37" spans="1:8" x14ac:dyDescent="0.3">
      <c r="A37" s="163" t="s">
        <v>202</v>
      </c>
      <c r="B37" s="286">
        <v>0.43</v>
      </c>
      <c r="C37" s="163">
        <v>0.5</v>
      </c>
      <c r="D37" s="163">
        <v>0.5</v>
      </c>
      <c r="E37" s="163">
        <v>0.5</v>
      </c>
      <c r="F37" s="288">
        <f t="shared" si="37"/>
        <v>199.96279761904765</v>
      </c>
      <c r="G37" s="288"/>
      <c r="H37" s="288"/>
    </row>
    <row r="38" spans="1:8" x14ac:dyDescent="0.3">
      <c r="A38" s="163" t="s">
        <v>67</v>
      </c>
      <c r="B38" s="286">
        <v>0.24</v>
      </c>
      <c r="C38" s="163">
        <v>0.5</v>
      </c>
      <c r="D38" s="163">
        <v>0.5</v>
      </c>
      <c r="E38" s="163">
        <v>0.5</v>
      </c>
      <c r="F38" s="288">
        <f t="shared" si="37"/>
        <v>111.60714285714286</v>
      </c>
      <c r="G38" s="288"/>
      <c r="H38" s="288"/>
    </row>
    <row r="39" spans="1:8" x14ac:dyDescent="0.3">
      <c r="A39" s="163" t="s">
        <v>203</v>
      </c>
      <c r="B39" s="286">
        <v>0.24</v>
      </c>
      <c r="C39" s="163">
        <v>0.5</v>
      </c>
      <c r="D39" s="163">
        <v>0.5</v>
      </c>
      <c r="E39" s="163">
        <v>0.5</v>
      </c>
      <c r="F39" s="288">
        <f t="shared" si="37"/>
        <v>111.60714285714286</v>
      </c>
      <c r="G39" s="288"/>
      <c r="H39" s="288"/>
    </row>
    <row r="40" spans="1:8" x14ac:dyDescent="0.3">
      <c r="A40" s="163" t="s">
        <v>204</v>
      </c>
      <c r="B40" s="286">
        <v>0.05</v>
      </c>
      <c r="C40" s="163">
        <v>0.5</v>
      </c>
      <c r="D40" s="163">
        <v>0.5</v>
      </c>
      <c r="E40" s="163">
        <v>0.5</v>
      </c>
      <c r="F40" s="288">
        <f t="shared" si="37"/>
        <v>23.251488095238095</v>
      </c>
      <c r="G40" s="288"/>
      <c r="H40" s="288"/>
    </row>
  </sheetData>
  <sheetProtection password="FC4E" sheet="1" objects="1" scenarios="1"/>
  <protectedRanges>
    <protectedRange password="CB5B" sqref="B25 B7:C19 D19:N19" name="Site specific waste composition"/>
    <protectedRange password="CB5B" sqref="N7:N18" name="Site specific waste composition_1"/>
    <protectedRange password="CB5B" sqref="D7:E18" name="Site specific waste composition_2"/>
    <protectedRange password="CB5B" sqref="F7:H18" name="Site specific waste composition_3"/>
  </protectedRanges>
  <phoneticPr fontId="4" type="noConversion"/>
  <pageMargins left="0.9" right="0.75" top="1" bottom="1" header="0.5" footer="0.5"/>
  <pageSetup scale="71"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29"/>
  <sheetViews>
    <sheetView showGridLines="0" view="pageBreakPreview" zoomScale="75" zoomScaleNormal="100" zoomScaleSheetLayoutView="100" workbookViewId="0">
      <pane ySplit="12" topLeftCell="A25" activePane="bottomLeft" state="frozen"/>
      <selection pane="bottomLeft" activeCell="A115" sqref="A115:C115"/>
    </sheetView>
  </sheetViews>
  <sheetFormatPr defaultColWidth="9" defaultRowHeight="13.5" x14ac:dyDescent="0.3"/>
  <cols>
    <col min="1" max="1" width="8.58203125" style="202" customWidth="1"/>
    <col min="2" max="2" width="11.58203125" style="202" customWidth="1"/>
    <col min="3" max="3" width="13.58203125" style="202" customWidth="1"/>
    <col min="4" max="4" width="11.58203125" style="202" customWidth="1"/>
    <col min="5" max="5" width="11.58203125" style="211" customWidth="1"/>
    <col min="6" max="7" width="11.58203125" style="212" customWidth="1"/>
    <col min="8" max="14" width="11.58203125" style="202" customWidth="1"/>
    <col min="15" max="16384" width="9" style="202"/>
  </cols>
  <sheetData>
    <row r="1" spans="1:14" ht="33.75" customHeight="1" x14ac:dyDescent="0.35">
      <c r="A1" s="389" t="s">
        <v>137</v>
      </c>
      <c r="B1" s="411"/>
      <c r="C1" s="411"/>
      <c r="D1" s="411"/>
      <c r="E1" s="411"/>
      <c r="F1" s="411"/>
      <c r="G1" s="411"/>
      <c r="H1" s="411"/>
      <c r="I1" s="411"/>
      <c r="J1" s="411"/>
      <c r="K1" s="411"/>
      <c r="L1" s="411"/>
      <c r="M1" s="411"/>
      <c r="N1" s="411"/>
    </row>
    <row r="2" spans="1:14" ht="21.75" customHeight="1" x14ac:dyDescent="0.3">
      <c r="A2" s="416" t="str">
        <f>Inputs!A1:D1</f>
        <v>Central and Eastern Europe Landfill Gas Model v.1</v>
      </c>
      <c r="B2" s="416"/>
      <c r="C2" s="416"/>
      <c r="D2" s="416"/>
      <c r="E2" s="416"/>
      <c r="F2" s="416"/>
      <c r="G2" s="416"/>
      <c r="H2" s="416"/>
      <c r="I2" s="416"/>
      <c r="J2" s="416"/>
      <c r="K2" s="416"/>
      <c r="L2" s="416"/>
      <c r="M2" s="416"/>
      <c r="N2" s="416"/>
    </row>
    <row r="3" spans="1:14" ht="18.75" customHeight="1" x14ac:dyDescent="0.3">
      <c r="A3" s="416" t="str">
        <f>Inputs!A2:D2</f>
        <v>Release Date: December 2014</v>
      </c>
      <c r="B3" s="416"/>
      <c r="C3" s="416"/>
      <c r="D3" s="416"/>
      <c r="E3" s="416"/>
      <c r="F3" s="416"/>
      <c r="G3" s="416"/>
      <c r="H3" s="416"/>
      <c r="I3" s="416"/>
      <c r="J3" s="416"/>
      <c r="K3" s="416"/>
      <c r="L3" s="416"/>
      <c r="M3" s="416"/>
      <c r="N3" s="416"/>
    </row>
    <row r="4" spans="1:14" ht="28.5" customHeight="1" thickBot="1" x14ac:dyDescent="0.35">
      <c r="A4" s="417" t="s">
        <v>139</v>
      </c>
      <c r="B4" s="417"/>
      <c r="C4" s="417"/>
      <c r="D4" s="417"/>
      <c r="E4" s="417"/>
      <c r="F4" s="417"/>
      <c r="G4" s="417"/>
      <c r="H4" s="417"/>
      <c r="I4" s="417"/>
      <c r="J4" s="417"/>
      <c r="K4" s="417"/>
      <c r="L4" s="417"/>
      <c r="M4" s="417"/>
      <c r="N4" s="417"/>
    </row>
    <row r="5" spans="1:14" ht="18" customHeight="1" x14ac:dyDescent="0.3">
      <c r="A5" s="420" t="str">
        <f>Inputs!B4</f>
        <v>PROJECTION OF LANDFILL GAS GENERATION AND RECOVERY</v>
      </c>
      <c r="B5" s="421"/>
      <c r="C5" s="421"/>
      <c r="D5" s="421"/>
      <c r="E5" s="421"/>
      <c r="F5" s="421"/>
      <c r="G5" s="421"/>
      <c r="H5" s="421"/>
      <c r="I5" s="421"/>
      <c r="J5" s="421"/>
      <c r="K5" s="421"/>
      <c r="L5" s="421"/>
      <c r="M5" s="421"/>
      <c r="N5" s="422"/>
    </row>
    <row r="6" spans="1:14" ht="17.25" customHeight="1" x14ac:dyDescent="0.3">
      <c r="A6" s="425" t="str">
        <f>Inputs!C6</f>
        <v>Poland Landfill</v>
      </c>
      <c r="B6" s="426"/>
      <c r="C6" s="426"/>
      <c r="D6" s="426"/>
      <c r="E6" s="426"/>
      <c r="F6" s="426"/>
      <c r="G6" s="426"/>
      <c r="H6" s="426"/>
      <c r="I6" s="426"/>
      <c r="J6" s="426"/>
      <c r="K6" s="426"/>
      <c r="L6" s="426"/>
      <c r="M6" s="426"/>
      <c r="N6" s="427"/>
    </row>
    <row r="7" spans="1:14" ht="18" customHeight="1" x14ac:dyDescent="0.3">
      <c r="A7" s="425" t="str">
        <f>Inputs!C7&amp;", "&amp;Inputs!C8</f>
        <v>Warsaw, Poland</v>
      </c>
      <c r="B7" s="426"/>
      <c r="C7" s="426"/>
      <c r="D7" s="426"/>
      <c r="E7" s="426"/>
      <c r="F7" s="426"/>
      <c r="G7" s="426"/>
      <c r="H7" s="426"/>
      <c r="I7" s="426"/>
      <c r="J7" s="426"/>
      <c r="K7" s="426"/>
      <c r="L7" s="426"/>
      <c r="M7" s="426"/>
      <c r="N7" s="427"/>
    </row>
    <row r="8" spans="1:14" ht="5.15" customHeight="1" x14ac:dyDescent="0.3">
      <c r="A8" s="270"/>
      <c r="B8" s="203"/>
      <c r="C8" s="203"/>
      <c r="D8" s="203"/>
      <c r="E8" s="203"/>
      <c r="F8" s="203"/>
      <c r="G8" s="203"/>
      <c r="H8" s="203"/>
      <c r="I8" s="203"/>
      <c r="J8" s="203"/>
      <c r="K8" s="203"/>
      <c r="L8" s="203"/>
      <c r="M8" s="203"/>
      <c r="N8" s="271"/>
    </row>
    <row r="9" spans="1:14" ht="15.65" customHeight="1" x14ac:dyDescent="0.3">
      <c r="A9" s="423" t="s">
        <v>0</v>
      </c>
      <c r="B9" s="418" t="s">
        <v>113</v>
      </c>
      <c r="C9" s="418" t="s">
        <v>114</v>
      </c>
      <c r="D9" s="434" t="s">
        <v>110</v>
      </c>
      <c r="E9" s="435"/>
      <c r="F9" s="435"/>
      <c r="G9" s="439" t="s">
        <v>115</v>
      </c>
      <c r="H9" s="418" t="s">
        <v>111</v>
      </c>
      <c r="I9" s="429"/>
      <c r="J9" s="429"/>
      <c r="K9" s="418" t="s">
        <v>116</v>
      </c>
      <c r="L9" s="418" t="s">
        <v>244</v>
      </c>
      <c r="M9" s="418" t="s">
        <v>112</v>
      </c>
      <c r="N9" s="428"/>
    </row>
    <row r="10" spans="1:14" ht="15.75" customHeight="1" x14ac:dyDescent="0.3">
      <c r="A10" s="424"/>
      <c r="B10" s="419"/>
      <c r="C10" s="419"/>
      <c r="D10" s="435"/>
      <c r="E10" s="435"/>
      <c r="F10" s="435"/>
      <c r="G10" s="429"/>
      <c r="H10" s="429"/>
      <c r="I10" s="429"/>
      <c r="J10" s="429"/>
      <c r="K10" s="419"/>
      <c r="L10" s="419"/>
      <c r="M10" s="429"/>
      <c r="N10" s="428"/>
    </row>
    <row r="11" spans="1:14" x14ac:dyDescent="0.3">
      <c r="A11" s="424"/>
      <c r="B11" s="419"/>
      <c r="C11" s="419"/>
      <c r="D11" s="435"/>
      <c r="E11" s="435"/>
      <c r="F11" s="435"/>
      <c r="G11" s="429"/>
      <c r="H11" s="429"/>
      <c r="I11" s="429"/>
      <c r="J11" s="429"/>
      <c r="K11" s="419"/>
      <c r="L11" s="419"/>
      <c r="M11" s="429"/>
      <c r="N11" s="428"/>
    </row>
    <row r="12" spans="1:14" ht="30" x14ac:dyDescent="0.3">
      <c r="A12" s="424"/>
      <c r="B12" s="419"/>
      <c r="C12" s="419"/>
      <c r="D12" s="144" t="s">
        <v>162</v>
      </c>
      <c r="E12" s="145" t="s">
        <v>7</v>
      </c>
      <c r="F12" s="204" t="s">
        <v>340</v>
      </c>
      <c r="G12" s="429"/>
      <c r="H12" s="144" t="s">
        <v>162</v>
      </c>
      <c r="I12" s="145" t="s">
        <v>7</v>
      </c>
      <c r="J12" s="204" t="s">
        <v>340</v>
      </c>
      <c r="K12" s="419"/>
      <c r="L12" s="419"/>
      <c r="M12" s="205" t="s">
        <v>245</v>
      </c>
      <c r="N12" s="272" t="s">
        <v>161</v>
      </c>
    </row>
    <row r="13" spans="1:14" x14ac:dyDescent="0.3">
      <c r="A13" s="273">
        <f>'Disposal &amp; LFG Recovery'!A6</f>
        <v>1990</v>
      </c>
      <c r="B13" s="115">
        <f>'Disposal &amp; LFG Recovery'!B6</f>
        <v>278750</v>
      </c>
      <c r="C13" s="115">
        <f>B13</f>
        <v>278750</v>
      </c>
      <c r="D13" s="206">
        <f>E13*60/35.315</f>
        <v>0</v>
      </c>
      <c r="E13" s="117">
        <v>0</v>
      </c>
      <c r="F13" s="207">
        <v>0</v>
      </c>
      <c r="G13" s="116">
        <f>'Disposal &amp; LFG Recovery'!D6</f>
        <v>0</v>
      </c>
      <c r="H13" s="117">
        <f t="shared" ref="H13:J14" si="0">D13*$G13</f>
        <v>0</v>
      </c>
      <c r="I13" s="117">
        <f>IF(Inputs!$C$40="No",E13*$G13,SUM(Calcs1b!K8:N8)*'Disposal&amp;LFG Recovery-wells'!D6)</f>
        <v>0</v>
      </c>
      <c r="J13" s="117">
        <f t="shared" si="0"/>
        <v>0</v>
      </c>
      <c r="K13" s="207">
        <v>0</v>
      </c>
      <c r="L13" s="117">
        <f>'Disposal &amp; LFG Recovery'!G6+(D13-H13)*'Disposal &amp; LFG Recovery'!$J$23</f>
        <v>0</v>
      </c>
      <c r="M13" s="117">
        <f t="shared" ref="M13" si="1">(H13-L13)*8760*0.5*0.000716</f>
        <v>0</v>
      </c>
      <c r="N13" s="274">
        <f>+M13*21</f>
        <v>0</v>
      </c>
    </row>
    <row r="14" spans="1:14" x14ac:dyDescent="0.3">
      <c r="A14" s="275">
        <f t="shared" ref="A14:A54" si="2">A13+1</f>
        <v>1991</v>
      </c>
      <c r="B14" s="7">
        <f>'Disposal &amp; LFG Recovery'!B7</f>
        <v>284330</v>
      </c>
      <c r="C14" s="7">
        <f t="shared" ref="C14:C54" si="3">C13+B14</f>
        <v>563080</v>
      </c>
      <c r="D14" s="8">
        <f>E14*60/35.315</f>
        <v>246.71099817262933</v>
      </c>
      <c r="E14" s="8">
        <f>SUM(Calcs1!K9:N9)</f>
        <v>145.20998167444006</v>
      </c>
      <c r="F14" s="8">
        <f>E14*506*60*1054/1000000</f>
        <v>4646.6380959923436</v>
      </c>
      <c r="G14" s="9">
        <f>IF(Inputs!$C$40="No",'Disposal &amp; LFG Recovery'!D7,'Output-Table'!I14/'Output-Table'!E14)</f>
        <v>0</v>
      </c>
      <c r="H14" s="8">
        <f t="shared" si="0"/>
        <v>0</v>
      </c>
      <c r="I14" s="117">
        <f>IF(Inputs!$C$40="No",E14*$G14,SUM(Calcs1b!K9:N9)*'Disposal&amp;LFG Recovery-wells'!D7)</f>
        <v>0</v>
      </c>
      <c r="J14" s="8">
        <f t="shared" si="0"/>
        <v>0</v>
      </c>
      <c r="K14" s="10">
        <f>J14*1000000/(10800)/1000/1054</f>
        <v>0</v>
      </c>
      <c r="L14" s="8">
        <f>'Disposal &amp; LFG Recovery'!G7+(D14-H14)*'Disposal &amp; LFG Recovery'!$J$23</f>
        <v>14.296902344103872</v>
      </c>
      <c r="M14" s="8">
        <f>IF(L14&gt;H14,0,(H14-L14)*8760*0.5*0.000716)</f>
        <v>0</v>
      </c>
      <c r="N14" s="276">
        <f t="shared" ref="N14:N77" si="4">+M14*21</f>
        <v>0</v>
      </c>
    </row>
    <row r="15" spans="1:14" x14ac:dyDescent="0.3">
      <c r="A15" s="275">
        <f t="shared" si="2"/>
        <v>1992</v>
      </c>
      <c r="B15" s="7">
        <f>'Disposal &amp; LFG Recovery'!B8</f>
        <v>290020</v>
      </c>
      <c r="C15" s="7">
        <f t="shared" si="3"/>
        <v>853100</v>
      </c>
      <c r="D15" s="8">
        <f t="shared" ref="D15:D54" si="5">E15*60/35.315</f>
        <v>474.96100402366551</v>
      </c>
      <c r="E15" s="8">
        <f>SUM(Calcs1!K10:N10)</f>
        <v>279.55413095159577</v>
      </c>
      <c r="F15" s="8">
        <f t="shared" ref="F15:F78" si="6">E15*506*60*1054/1000000</f>
        <v>8945.5756401377294</v>
      </c>
      <c r="G15" s="9">
        <f>IF(Inputs!$C$40="No",'Disposal &amp; LFG Recovery'!D8,'Output-Table'!I15/'Output-Table'!E15)</f>
        <v>0</v>
      </c>
      <c r="H15" s="8">
        <f t="shared" ref="H15:H78" si="7">D15*$G15</f>
        <v>0</v>
      </c>
      <c r="I15" s="117">
        <f>IF(Inputs!$C$40="No",E15*$G15,SUM(Calcs1b!K10:N10)*'Disposal&amp;LFG Recovery-wells'!D8)</f>
        <v>0</v>
      </c>
      <c r="J15" s="8">
        <f t="shared" ref="J15:J54" si="8">$F15*G15</f>
        <v>0</v>
      </c>
      <c r="K15" s="10">
        <f t="shared" ref="K15:K78" si="9">J15*1000000/(10800)/1000/1054</f>
        <v>0</v>
      </c>
      <c r="L15" s="8">
        <f>'Disposal &amp; LFG Recovery'!G8+(D15-H15)*'Disposal &amp; LFG Recovery'!$J$23</f>
        <v>27.523990183171421</v>
      </c>
      <c r="M15" s="8">
        <f t="shared" ref="M15:M78" si="10">IF(L15&gt;H15,0,(H15-L15)*8760*0.5*0.000716)</f>
        <v>0</v>
      </c>
      <c r="N15" s="276">
        <f t="shared" si="4"/>
        <v>0</v>
      </c>
    </row>
    <row r="16" spans="1:14" x14ac:dyDescent="0.3">
      <c r="A16" s="275">
        <f t="shared" si="2"/>
        <v>1993</v>
      </c>
      <c r="B16" s="7">
        <f>'Disposal &amp; LFG Recovery'!B9</f>
        <v>295820</v>
      </c>
      <c r="C16" s="7">
        <f t="shared" si="3"/>
        <v>1148920</v>
      </c>
      <c r="D16" s="8">
        <f t="shared" si="5"/>
        <v>687.11456827911388</v>
      </c>
      <c r="E16" s="8">
        <f>SUM(Calcs1!K11:N11)</f>
        <v>404.42418297961507</v>
      </c>
      <c r="F16" s="8">
        <f t="shared" si="6"/>
        <v>12941.347377805214</v>
      </c>
      <c r="G16" s="9">
        <f>IF(Inputs!$C$40="No",'Disposal &amp; LFG Recovery'!D9,'Output-Table'!I16/'Output-Table'!E16)</f>
        <v>0</v>
      </c>
      <c r="H16" s="8">
        <f t="shared" si="7"/>
        <v>0</v>
      </c>
      <c r="I16" s="117">
        <f>IF(Inputs!$C$40="No",E16*$G16,SUM(Calcs1b!K11:N11)*'Disposal&amp;LFG Recovery-wells'!D9)</f>
        <v>0</v>
      </c>
      <c r="J16" s="8">
        <f t="shared" si="8"/>
        <v>0</v>
      </c>
      <c r="K16" s="10">
        <f t="shared" si="9"/>
        <v>0</v>
      </c>
      <c r="L16" s="8">
        <f>'Disposal &amp; LFG Recovery'!G9+(D16-H16)*'Disposal &amp; LFG Recovery'!$J$23</f>
        <v>39.818289231774656</v>
      </c>
      <c r="M16" s="8">
        <f t="shared" si="10"/>
        <v>0</v>
      </c>
      <c r="N16" s="276">
        <f t="shared" si="4"/>
        <v>0</v>
      </c>
    </row>
    <row r="17" spans="1:14" x14ac:dyDescent="0.3">
      <c r="A17" s="275">
        <f t="shared" si="2"/>
        <v>1994</v>
      </c>
      <c r="B17" s="7">
        <f>'Disposal &amp; LFG Recovery'!B10</f>
        <v>301740</v>
      </c>
      <c r="C17" s="7">
        <f t="shared" si="3"/>
        <v>1450660</v>
      </c>
      <c r="D17" s="8">
        <f t="shared" si="5"/>
        <v>885.23866535110085</v>
      </c>
      <c r="E17" s="8">
        <f>SUM(Calcs1!K12:N12)</f>
        <v>521.03672444790209</v>
      </c>
      <c r="F17" s="8">
        <f t="shared" si="6"/>
        <v>16672.883401767176</v>
      </c>
      <c r="G17" s="9">
        <f>IF(Inputs!$C$40="No",'Disposal &amp; LFG Recovery'!D10,'Output-Table'!I17/'Output-Table'!E17)</f>
        <v>0</v>
      </c>
      <c r="H17" s="8">
        <f t="shared" si="7"/>
        <v>0</v>
      </c>
      <c r="I17" s="117">
        <f>IF(Inputs!$C$40="No",E17*$G17,SUM(Calcs1b!K12:N12)*'Disposal&amp;LFG Recovery-wells'!D10)</f>
        <v>0</v>
      </c>
      <c r="J17" s="8">
        <f t="shared" si="8"/>
        <v>0</v>
      </c>
      <c r="K17" s="10">
        <f t="shared" si="9"/>
        <v>0</v>
      </c>
      <c r="L17" s="8">
        <f>'Disposal &amp; LFG Recovery'!G10+(D17-H17)*'Disposal &amp; LFG Recovery'!$J$23</f>
        <v>51.2995806570963</v>
      </c>
      <c r="M17" s="8">
        <f t="shared" si="10"/>
        <v>0</v>
      </c>
      <c r="N17" s="276">
        <f t="shared" si="4"/>
        <v>0</v>
      </c>
    </row>
    <row r="18" spans="1:14" x14ac:dyDescent="0.3">
      <c r="A18" s="275">
        <f t="shared" si="2"/>
        <v>1995</v>
      </c>
      <c r="B18" s="7">
        <f>'Disposal &amp; LFG Recovery'!B11</f>
        <v>307770</v>
      </c>
      <c r="C18" s="7">
        <f t="shared" si="3"/>
        <v>1758430</v>
      </c>
      <c r="D18" s="8">
        <f t="shared" si="5"/>
        <v>1071.1498166947781</v>
      </c>
      <c r="E18" s="8">
        <f>SUM(Calcs1!K13:N13)</f>
        <v>630.46092960960152</v>
      </c>
      <c r="F18" s="8">
        <f t="shared" si="6"/>
        <v>20174.396689386664</v>
      </c>
      <c r="G18" s="9">
        <f>IF(Inputs!$C$40="No",'Disposal &amp; LFG Recovery'!D11,'Output-Table'!I18/'Output-Table'!E18)</f>
        <v>0</v>
      </c>
      <c r="H18" s="8">
        <f t="shared" si="7"/>
        <v>0</v>
      </c>
      <c r="I18" s="117">
        <f>IF(Inputs!$C$40="No",E18*$G18,SUM(Calcs1b!K13:N13)*'Disposal&amp;LFG Recovery-wells'!D11)</f>
        <v>0</v>
      </c>
      <c r="J18" s="8">
        <f t="shared" si="8"/>
        <v>0</v>
      </c>
      <c r="K18" s="10">
        <f t="shared" si="9"/>
        <v>0</v>
      </c>
      <c r="L18" s="8">
        <f>'Disposal &amp; LFG Recovery'!G11+(D18-H18)*'Disposal &amp; LFG Recovery'!$J$23</f>
        <v>62.073131877462401</v>
      </c>
      <c r="M18" s="8">
        <f t="shared" si="10"/>
        <v>0</v>
      </c>
      <c r="N18" s="276">
        <f t="shared" si="4"/>
        <v>0</v>
      </c>
    </row>
    <row r="19" spans="1:14" x14ac:dyDescent="0.3">
      <c r="A19" s="275">
        <f t="shared" si="2"/>
        <v>1996</v>
      </c>
      <c r="B19" s="7">
        <f>'Disposal &amp; LFG Recovery'!B12</f>
        <v>313930</v>
      </c>
      <c r="C19" s="7">
        <f t="shared" si="3"/>
        <v>2072360</v>
      </c>
      <c r="D19" s="8">
        <f t="shared" si="5"/>
        <v>1246.4288591697452</v>
      </c>
      <c r="E19" s="8">
        <f>SUM(Calcs1!K14:N14)</f>
        <v>733.62725269299256</v>
      </c>
      <c r="F19" s="8">
        <f t="shared" si="6"/>
        <v>23475.661254914252</v>
      </c>
      <c r="G19" s="9">
        <f>IF(Inputs!$C$40="No",'Disposal &amp; LFG Recovery'!D12,'Output-Table'!I19/'Output-Table'!E19)</f>
        <v>0</v>
      </c>
      <c r="H19" s="8">
        <f t="shared" si="7"/>
        <v>0</v>
      </c>
      <c r="I19" s="117">
        <f>IF(Inputs!$C$40="No",E19*$G19,SUM(Calcs1b!K14:N14)*'Disposal&amp;LFG Recovery-wells'!D12)</f>
        <v>0</v>
      </c>
      <c r="J19" s="8">
        <f t="shared" si="8"/>
        <v>0</v>
      </c>
      <c r="K19" s="10">
        <f t="shared" si="9"/>
        <v>0</v>
      </c>
      <c r="L19" s="8">
        <f>'Disposal &amp; LFG Recovery'!G12+(D19-H19)*'Disposal &amp; LFG Recovery'!$J$23</f>
        <v>72.23055238888675</v>
      </c>
      <c r="M19" s="8">
        <f t="shared" si="10"/>
        <v>0</v>
      </c>
      <c r="N19" s="276">
        <f t="shared" si="4"/>
        <v>0</v>
      </c>
    </row>
    <row r="20" spans="1:14" x14ac:dyDescent="0.3">
      <c r="A20" s="275">
        <f t="shared" si="2"/>
        <v>1997</v>
      </c>
      <c r="B20" s="7">
        <f>'Disposal &amp; LFG Recovery'!B13</f>
        <v>320210</v>
      </c>
      <c r="C20" s="7">
        <f t="shared" si="3"/>
        <v>2392570</v>
      </c>
      <c r="D20" s="8">
        <f t="shared" si="5"/>
        <v>1412.4774259725441</v>
      </c>
      <c r="E20" s="8">
        <f>SUM(Calcs1!K15:N15)</f>
        <v>831.36067163700659</v>
      </c>
      <c r="F20" s="8">
        <f t="shared" si="6"/>
        <v>26603.075930408093</v>
      </c>
      <c r="G20" s="9">
        <f>IF(Inputs!$C$40="No",'Disposal &amp; LFG Recovery'!D13,'Output-Table'!I20/'Output-Table'!E20)</f>
        <v>0</v>
      </c>
      <c r="H20" s="8">
        <f t="shared" si="7"/>
        <v>0</v>
      </c>
      <c r="I20" s="117">
        <f>IF(Inputs!$C$40="No",E20*$G20,SUM(Calcs1b!K15:N15)*'Disposal&amp;LFG Recovery-wells'!D13)</f>
        <v>0</v>
      </c>
      <c r="J20" s="8">
        <f t="shared" si="8"/>
        <v>0</v>
      </c>
      <c r="K20" s="10">
        <f t="shared" si="9"/>
        <v>0</v>
      </c>
      <c r="L20" s="8">
        <f>'Disposal &amp; LFG Recovery'!G13+(D20-H20)*'Disposal &amp; LFG Recovery'!$J$23</f>
        <v>81.853066835108947</v>
      </c>
      <c r="M20" s="8">
        <f t="shared" si="10"/>
        <v>0</v>
      </c>
      <c r="N20" s="276">
        <f t="shared" si="4"/>
        <v>0</v>
      </c>
    </row>
    <row r="21" spans="1:14" x14ac:dyDescent="0.3">
      <c r="A21" s="275">
        <f t="shared" si="2"/>
        <v>1998</v>
      </c>
      <c r="B21" s="7">
        <f>'Disposal &amp; LFG Recovery'!B14</f>
        <v>326610</v>
      </c>
      <c r="C21" s="7">
        <f t="shared" si="3"/>
        <v>2719180</v>
      </c>
      <c r="D21" s="8">
        <f t="shared" si="5"/>
        <v>1570.5149393781051</v>
      </c>
      <c r="E21" s="8">
        <f>SUM(Calcs1!K16:N16)</f>
        <v>924.378918068963</v>
      </c>
      <c r="F21" s="8">
        <f t="shared" si="6"/>
        <v>29579.607726012699</v>
      </c>
      <c r="G21" s="9">
        <f>IF(Inputs!$C$40="No",'Disposal &amp; LFG Recovery'!D14,'Output-Table'!I21/'Output-Table'!E21)</f>
        <v>0</v>
      </c>
      <c r="H21" s="8">
        <f t="shared" si="7"/>
        <v>0</v>
      </c>
      <c r="I21" s="117">
        <f>IF(Inputs!$C$40="No",E21*$G21,SUM(Calcs1b!K16:N16)*'Disposal&amp;LFG Recovery-wells'!D14)</f>
        <v>0</v>
      </c>
      <c r="J21" s="8">
        <f t="shared" si="8"/>
        <v>0</v>
      </c>
      <c r="K21" s="10">
        <f t="shared" si="9"/>
        <v>0</v>
      </c>
      <c r="L21" s="8">
        <f>'Disposal &amp; LFG Recovery'!G14+(D21-H21)*'Disposal &amp; LFG Recovery'!$J$23</f>
        <v>91.011340736961202</v>
      </c>
      <c r="M21" s="8">
        <f t="shared" si="10"/>
        <v>0</v>
      </c>
      <c r="N21" s="276">
        <f t="shared" si="4"/>
        <v>0</v>
      </c>
    </row>
    <row r="22" spans="1:14" x14ac:dyDescent="0.3">
      <c r="A22" s="275">
        <f t="shared" si="2"/>
        <v>1999</v>
      </c>
      <c r="B22" s="7">
        <f>'Disposal &amp; LFG Recovery'!B15</f>
        <v>333140</v>
      </c>
      <c r="C22" s="7">
        <f t="shared" si="3"/>
        <v>3052320</v>
      </c>
      <c r="D22" s="8">
        <f t="shared" si="5"/>
        <v>1721.6104550894386</v>
      </c>
      <c r="E22" s="8">
        <f>SUM(Calcs1!K17:N17)</f>
        <v>1013.3112203580587</v>
      </c>
      <c r="F22" s="8">
        <f t="shared" si="6"/>
        <v>32425.391597174475</v>
      </c>
      <c r="G22" s="9">
        <f>IF(Inputs!$C$40="No",'Disposal &amp; LFG Recovery'!D15,'Output-Table'!I22/'Output-Table'!E22)</f>
        <v>0</v>
      </c>
      <c r="H22" s="8">
        <f t="shared" si="7"/>
        <v>0</v>
      </c>
      <c r="I22" s="117">
        <f>IF(Inputs!$C$40="No",E22*$G22,SUM(Calcs1b!K17:N17)*'Disposal&amp;LFG Recovery-wells'!D15)</f>
        <v>0</v>
      </c>
      <c r="J22" s="8">
        <f t="shared" si="8"/>
        <v>0</v>
      </c>
      <c r="K22" s="10">
        <f t="shared" si="9"/>
        <v>0</v>
      </c>
      <c r="L22" s="8">
        <f>'Disposal &amp; LFG Recovery'!G15+(D22-H22)*'Disposal &amp; LFG Recovery'!$J$23</f>
        <v>99.767325872432977</v>
      </c>
      <c r="M22" s="8">
        <f t="shared" si="10"/>
        <v>0</v>
      </c>
      <c r="N22" s="276">
        <f t="shared" si="4"/>
        <v>0</v>
      </c>
    </row>
    <row r="23" spans="1:14" x14ac:dyDescent="0.3">
      <c r="A23" s="275">
        <f t="shared" si="2"/>
        <v>2000</v>
      </c>
      <c r="B23" s="7">
        <f>'Disposal &amp; LFG Recovery'!B16</f>
        <v>339800</v>
      </c>
      <c r="C23" s="7">
        <f t="shared" si="3"/>
        <v>3392120</v>
      </c>
      <c r="D23" s="8">
        <f>E23*60/35.315</f>
        <v>1866.710703602733</v>
      </c>
      <c r="E23" s="8">
        <f>SUM(Calcs1!K18:N18)</f>
        <v>1098.7148082955086</v>
      </c>
      <c r="F23" s="8">
        <f t="shared" si="6"/>
        <v>35158.258585163632</v>
      </c>
      <c r="G23" s="9">
        <f>IF(Inputs!$C$40="No",'Disposal &amp; LFG Recovery'!D16,'Output-Table'!I23/'Output-Table'!E23)</f>
        <v>0</v>
      </c>
      <c r="H23" s="8">
        <f t="shared" si="7"/>
        <v>0</v>
      </c>
      <c r="I23" s="117">
        <f>IF(Inputs!$C$40="No",E23*$G23,SUM(Calcs1b!K18:N18)*'Disposal&amp;LFG Recovery-wells'!D16)</f>
        <v>0</v>
      </c>
      <c r="J23" s="8">
        <f t="shared" si="8"/>
        <v>0</v>
      </c>
      <c r="K23" s="10">
        <f t="shared" si="9"/>
        <v>0</v>
      </c>
      <c r="L23" s="8">
        <f>'Disposal &amp; LFG Recovery'!G16+(D23-H23)*'Disposal &amp; LFG Recovery'!$J$23</f>
        <v>108.17588527377839</v>
      </c>
      <c r="M23" s="8">
        <f t="shared" si="10"/>
        <v>0</v>
      </c>
      <c r="N23" s="276">
        <f t="shared" si="4"/>
        <v>0</v>
      </c>
    </row>
    <row r="24" spans="1:14" x14ac:dyDescent="0.3">
      <c r="A24" s="275">
        <f t="shared" si="2"/>
        <v>2001</v>
      </c>
      <c r="B24" s="7">
        <f>'Disposal &amp; LFG Recovery'!B17</f>
        <v>346600</v>
      </c>
      <c r="C24" s="7">
        <f t="shared" si="3"/>
        <v>3738720</v>
      </c>
      <c r="D24" s="8">
        <f t="shared" si="5"/>
        <v>2006.6471103092647</v>
      </c>
      <c r="E24" s="8">
        <f>SUM(Calcs1!K19:N19)</f>
        <v>1181.0790450095278</v>
      </c>
      <c r="F24" s="8">
        <f t="shared" si="6"/>
        <v>37793.86803603969</v>
      </c>
      <c r="G24" s="9">
        <f>IF(Inputs!$C$40="No",'Disposal &amp; LFG Recovery'!D17,'Output-Table'!I24/'Output-Table'!E24)</f>
        <v>0</v>
      </c>
      <c r="H24" s="8">
        <f t="shared" si="7"/>
        <v>0</v>
      </c>
      <c r="I24" s="117">
        <f>IF(Inputs!$C$40="No",E24*$G24,SUM(Calcs1b!K19:N19)*'Disposal&amp;LFG Recovery-wells'!D17)</f>
        <v>0</v>
      </c>
      <c r="J24" s="8">
        <f t="shared" si="8"/>
        <v>0</v>
      </c>
      <c r="K24" s="10">
        <f t="shared" si="9"/>
        <v>0</v>
      </c>
      <c r="L24" s="8">
        <f>'Disposal &amp; LFG Recovery'!G17+(D24-H24)*'Disposal &amp; LFG Recovery'!$J$23</f>
        <v>116.28520004242191</v>
      </c>
      <c r="M24" s="8">
        <f t="shared" si="10"/>
        <v>0</v>
      </c>
      <c r="N24" s="276">
        <f t="shared" si="4"/>
        <v>0</v>
      </c>
    </row>
    <row r="25" spans="1:14" x14ac:dyDescent="0.3">
      <c r="A25" s="275">
        <f t="shared" si="2"/>
        <v>2002</v>
      </c>
      <c r="B25" s="7">
        <f>'Disposal &amp; LFG Recovery'!B18</f>
        <v>353530</v>
      </c>
      <c r="C25" s="7">
        <f t="shared" si="3"/>
        <v>4092250</v>
      </c>
      <c r="D25" s="8">
        <f t="shared" si="5"/>
        <v>2142.1592962311061</v>
      </c>
      <c r="E25" s="8">
        <f>SUM(Calcs1!K20:N20)</f>
        <v>1260.8392591066918</v>
      </c>
      <c r="F25" s="8">
        <f t="shared" si="6"/>
        <v>40346.150221429038</v>
      </c>
      <c r="G25" s="9">
        <f>IF(Inputs!$C$40="No",'Disposal &amp; LFG Recovery'!D18,'Output-Table'!I25/'Output-Table'!E25)</f>
        <v>0</v>
      </c>
      <c r="H25" s="8">
        <f t="shared" si="7"/>
        <v>0</v>
      </c>
      <c r="I25" s="117">
        <f>IF(Inputs!$C$40="No",E25*$G25,SUM(Calcs1b!K20:N20)*'Disposal&amp;LFG Recovery-wells'!D18)</f>
        <v>0</v>
      </c>
      <c r="J25" s="8">
        <f t="shared" si="8"/>
        <v>0</v>
      </c>
      <c r="K25" s="10">
        <f t="shared" si="9"/>
        <v>0</v>
      </c>
      <c r="L25" s="8">
        <f>'Disposal &amp; LFG Recovery'!G18+(D25-H25)*'Disposal &amp; LFG Recovery'!$J$23</f>
        <v>124.13813121659261</v>
      </c>
      <c r="M25" s="8">
        <f t="shared" si="10"/>
        <v>0</v>
      </c>
      <c r="N25" s="276">
        <f t="shared" si="4"/>
        <v>0</v>
      </c>
    </row>
    <row r="26" spans="1:14" x14ac:dyDescent="0.3">
      <c r="A26" s="275">
        <f t="shared" si="2"/>
        <v>2003</v>
      </c>
      <c r="B26" s="7">
        <f>'Disposal &amp; LFG Recovery'!B19</f>
        <v>360600</v>
      </c>
      <c r="C26" s="7">
        <f t="shared" si="3"/>
        <v>4452850</v>
      </c>
      <c r="D26" s="8">
        <f t="shared" si="5"/>
        <v>2273.889297331425</v>
      </c>
      <c r="E26" s="8">
        <f>SUM(Calcs1!K21:N21)</f>
        <v>1338.3733422543212</v>
      </c>
      <c r="F26" s="8">
        <f t="shared" si="6"/>
        <v>42827.197463066623</v>
      </c>
      <c r="G26" s="9">
        <f>IF(Inputs!$C$40="No",'Disposal &amp; LFG Recovery'!D19,'Output-Table'!I26/'Output-Table'!E26)</f>
        <v>0</v>
      </c>
      <c r="H26" s="8">
        <f t="shared" si="7"/>
        <v>0</v>
      </c>
      <c r="I26" s="117">
        <f>IF(Inputs!$C$40="No",E26*$G26,SUM(Calcs1b!K21:N21)*'Disposal&amp;LFG Recovery-wells'!D19)</f>
        <v>0</v>
      </c>
      <c r="J26" s="8">
        <f t="shared" si="8"/>
        <v>0</v>
      </c>
      <c r="K26" s="10">
        <f t="shared" si="9"/>
        <v>0</v>
      </c>
      <c r="L26" s="8">
        <f>'Disposal &amp; LFG Recovery'!G19+(D26-H26)*'Disposal &amp; LFG Recovery'!$J$23</f>
        <v>131.77188478035609</v>
      </c>
      <c r="M26" s="8">
        <f t="shared" si="10"/>
        <v>0</v>
      </c>
      <c r="N26" s="276">
        <f t="shared" si="4"/>
        <v>0</v>
      </c>
    </row>
    <row r="27" spans="1:14" x14ac:dyDescent="0.3">
      <c r="A27" s="275">
        <f t="shared" si="2"/>
        <v>2004</v>
      </c>
      <c r="B27" s="7">
        <f>'Disposal &amp; LFG Recovery'!B20</f>
        <v>367810</v>
      </c>
      <c r="C27" s="7">
        <f t="shared" si="3"/>
        <v>4820660</v>
      </c>
      <c r="D27" s="8">
        <f t="shared" si="5"/>
        <v>2402.4113186496047</v>
      </c>
      <c r="E27" s="8">
        <f>SUM(Calcs1!K22:N22)</f>
        <v>1414.0192619685133</v>
      </c>
      <c r="F27" s="8">
        <f t="shared" si="6"/>
        <v>45247.824532205719</v>
      </c>
      <c r="G27" s="9">
        <f>IF(Inputs!$C$40="No",'Disposal &amp; LFG Recovery'!D20,'Output-Table'!I27/'Output-Table'!E27)</f>
        <v>0</v>
      </c>
      <c r="H27" s="8">
        <f t="shared" si="7"/>
        <v>0</v>
      </c>
      <c r="I27" s="117">
        <f>IF(Inputs!$C$40="No",E27*$G27,SUM(Calcs1b!K22:N22)*'Disposal&amp;LFG Recovery-wells'!D20)</f>
        <v>0</v>
      </c>
      <c r="J27" s="8">
        <f t="shared" si="8"/>
        <v>0</v>
      </c>
      <c r="K27" s="10">
        <f t="shared" si="9"/>
        <v>0</v>
      </c>
      <c r="L27" s="8">
        <f>'Disposal &amp; LFG Recovery'!G20+(D27-H27)*'Disposal &amp; LFG Recovery'!$J$23</f>
        <v>139.21973591574462</v>
      </c>
      <c r="M27" s="8">
        <f t="shared" si="10"/>
        <v>0</v>
      </c>
      <c r="N27" s="276">
        <f t="shared" si="4"/>
        <v>0</v>
      </c>
    </row>
    <row r="28" spans="1:14" x14ac:dyDescent="0.3">
      <c r="A28" s="275">
        <f t="shared" si="2"/>
        <v>2005</v>
      </c>
      <c r="B28" s="7">
        <f>'Disposal &amp; LFG Recovery'!B21</f>
        <v>375170</v>
      </c>
      <c r="C28" s="7">
        <f t="shared" si="3"/>
        <v>5195830</v>
      </c>
      <c r="D28" s="8">
        <f t="shared" si="5"/>
        <v>2528.23171601691</v>
      </c>
      <c r="E28" s="8">
        <f>SUM(Calcs1!K23:N23)</f>
        <v>1488.0750508522863</v>
      </c>
      <c r="F28" s="8">
        <f t="shared" si="6"/>
        <v>47617.568305244684</v>
      </c>
      <c r="G28" s="9">
        <f>IF(Inputs!$C$40="No",'Disposal &amp; LFG Recovery'!D21,'Output-Table'!I28/'Output-Table'!E28)</f>
        <v>0</v>
      </c>
      <c r="H28" s="8">
        <f t="shared" si="7"/>
        <v>0</v>
      </c>
      <c r="I28" s="117">
        <f>IF(Inputs!$C$40="No",E28*$G28,SUM(Calcs1b!K23:N23)*'Disposal&amp;LFG Recovery-wells'!D21)</f>
        <v>0</v>
      </c>
      <c r="J28" s="8">
        <f t="shared" si="8"/>
        <v>0</v>
      </c>
      <c r="K28" s="10">
        <f t="shared" si="9"/>
        <v>0</v>
      </c>
      <c r="L28" s="8">
        <f>'Disposal &amp; LFG Recovery'!G21+(D28-H28)*'Disposal &amp; LFG Recovery'!$J$23</f>
        <v>146.51102794317995</v>
      </c>
      <c r="M28" s="8">
        <f t="shared" si="10"/>
        <v>0</v>
      </c>
      <c r="N28" s="276">
        <f t="shared" si="4"/>
        <v>0</v>
      </c>
    </row>
    <row r="29" spans="1:14" x14ac:dyDescent="0.3">
      <c r="A29" s="275">
        <f t="shared" si="2"/>
        <v>2006</v>
      </c>
      <c r="B29" s="7">
        <f>'Disposal &amp; LFG Recovery'!B22</f>
        <v>382670</v>
      </c>
      <c r="C29" s="7">
        <f t="shared" si="3"/>
        <v>5578500</v>
      </c>
      <c r="D29" s="8">
        <f t="shared" si="5"/>
        <v>2651.806372630625</v>
      </c>
      <c r="E29" s="8">
        <f>SUM(Calcs1!K24:N24)</f>
        <v>1560.8090341575087</v>
      </c>
      <c r="F29" s="8">
        <f t="shared" si="6"/>
        <v>49945.015039981154</v>
      </c>
      <c r="G29" s="9">
        <f>IF(Inputs!$C$40="No",'Disposal &amp; LFG Recovery'!D22,'Output-Table'!I29/'Output-Table'!E29)</f>
        <v>0</v>
      </c>
      <c r="H29" s="8">
        <f t="shared" si="7"/>
        <v>0</v>
      </c>
      <c r="I29" s="117">
        <f>IF(Inputs!$C$40="No",E29*$G29,SUM(Calcs1b!K24:N24)*'Disposal&amp;LFG Recovery-wells'!D22)</f>
        <v>0</v>
      </c>
      <c r="J29" s="8">
        <f t="shared" si="8"/>
        <v>0</v>
      </c>
      <c r="K29" s="10">
        <f t="shared" si="9"/>
        <v>0</v>
      </c>
      <c r="L29" s="8">
        <f>'Disposal &amp; LFG Recovery'!G22+(D29-H29)*'Disposal &amp; LFG Recovery'!$J$23</f>
        <v>153.67217929394474</v>
      </c>
      <c r="M29" s="8">
        <f t="shared" si="10"/>
        <v>0</v>
      </c>
      <c r="N29" s="276">
        <f t="shared" si="4"/>
        <v>0</v>
      </c>
    </row>
    <row r="30" spans="1:14" x14ac:dyDescent="0.3">
      <c r="A30" s="275">
        <f t="shared" si="2"/>
        <v>2007</v>
      </c>
      <c r="B30" s="7">
        <f>'Disposal &amp; LFG Recovery'!B23</f>
        <v>390320</v>
      </c>
      <c r="C30" s="7">
        <f t="shared" si="3"/>
        <v>5968820</v>
      </c>
      <c r="D30" s="8">
        <f t="shared" si="5"/>
        <v>2773.5295893435518</v>
      </c>
      <c r="E30" s="8">
        <f>SUM(Calcs1!K25:N25)</f>
        <v>1632.4532907944588</v>
      </c>
      <c r="F30" s="8">
        <f t="shared" si="6"/>
        <v>52237.591131579844</v>
      </c>
      <c r="G30" s="9">
        <f>IF(Inputs!$C$40="No",'Disposal &amp; LFG Recovery'!D23,'Output-Table'!I30/'Output-Table'!E30)</f>
        <v>0</v>
      </c>
      <c r="H30" s="8">
        <f t="shared" si="7"/>
        <v>0</v>
      </c>
      <c r="I30" s="117">
        <f>IF(Inputs!$C$40="No",E30*$G30,SUM(Calcs1b!K25:N25)*'Disposal&amp;LFG Recovery-wells'!D23)</f>
        <v>0</v>
      </c>
      <c r="J30" s="8">
        <f t="shared" si="8"/>
        <v>0</v>
      </c>
      <c r="K30" s="10">
        <f t="shared" si="9"/>
        <v>0</v>
      </c>
      <c r="L30" s="8">
        <f>'Disposal &amp; LFG Recovery'!G23+(D30-H30)*'Disposal &amp; LFG Recovery'!$J$23</f>
        <v>160.72603970245885</v>
      </c>
      <c r="M30" s="8">
        <f t="shared" si="10"/>
        <v>0</v>
      </c>
      <c r="N30" s="276">
        <f t="shared" si="4"/>
        <v>0</v>
      </c>
    </row>
    <row r="31" spans="1:14" x14ac:dyDescent="0.3">
      <c r="A31" s="275">
        <f t="shared" si="2"/>
        <v>2008</v>
      </c>
      <c r="B31" s="7">
        <f>'Disposal &amp; LFG Recovery'!B24</f>
        <v>398130</v>
      </c>
      <c r="C31" s="7">
        <f t="shared" si="3"/>
        <v>6366950</v>
      </c>
      <c r="D31" s="8">
        <f t="shared" si="5"/>
        <v>2893.7592013689336</v>
      </c>
      <c r="E31" s="8">
        <f>SUM(Calcs1!K26:N26)</f>
        <v>1703.2184366057313</v>
      </c>
      <c r="F31" s="8">
        <f t="shared" si="6"/>
        <v>54502.036169058905</v>
      </c>
      <c r="G31" s="9">
        <f>IF(Inputs!$C$40="No",'Disposal &amp; LFG Recovery'!D24,'Output-Table'!I31/'Output-Table'!E31)</f>
        <v>0</v>
      </c>
      <c r="H31" s="8">
        <f t="shared" si="7"/>
        <v>0</v>
      </c>
      <c r="I31" s="117">
        <f>IF(Inputs!$C$40="No",E31*$G31,SUM(Calcs1b!K26:N26)*'Disposal&amp;LFG Recovery-wells'!D24)</f>
        <v>0</v>
      </c>
      <c r="J31" s="8">
        <f t="shared" si="8"/>
        <v>0</v>
      </c>
      <c r="K31" s="10">
        <f t="shared" si="9"/>
        <v>0</v>
      </c>
      <c r="L31" s="8">
        <f>'Disposal &amp; LFG Recovery'!G24+(D31-H31)*'Disposal &amp; LFG Recovery'!$J$23</f>
        <v>167.69334571932973</v>
      </c>
      <c r="M31" s="8">
        <f t="shared" si="10"/>
        <v>0</v>
      </c>
      <c r="N31" s="276">
        <f t="shared" si="4"/>
        <v>0</v>
      </c>
    </row>
    <row r="32" spans="1:14" x14ac:dyDescent="0.3">
      <c r="A32" s="275">
        <f t="shared" si="2"/>
        <v>2009</v>
      </c>
      <c r="B32" s="7">
        <f>'Disposal &amp; LFG Recovery'!B25</f>
        <v>406090</v>
      </c>
      <c r="C32" s="7">
        <f t="shared" si="3"/>
        <v>6773040</v>
      </c>
      <c r="D32" s="8">
        <f t="shared" si="5"/>
        <v>3012.8213747309387</v>
      </c>
      <c r="E32" s="8">
        <f>SUM(Calcs1!K27:N27)</f>
        <v>1773.2964474770515</v>
      </c>
      <c r="F32" s="8">
        <f t="shared" si="6"/>
        <v>56744.493273255059</v>
      </c>
      <c r="G32" s="9">
        <f>IF(Inputs!$C$40="No",'Disposal &amp; LFG Recovery'!D25,'Output-Table'!I32/'Output-Table'!E32)</f>
        <v>0</v>
      </c>
      <c r="H32" s="8">
        <f t="shared" si="7"/>
        <v>0</v>
      </c>
      <c r="I32" s="117">
        <f>IF(Inputs!$C$40="No",E32*$G32,SUM(Calcs1b!K27:N27)*'Disposal&amp;LFG Recovery-wells'!D25)</f>
        <v>0</v>
      </c>
      <c r="J32" s="8">
        <f t="shared" si="8"/>
        <v>0</v>
      </c>
      <c r="K32" s="10">
        <f t="shared" si="9"/>
        <v>0</v>
      </c>
      <c r="L32" s="8">
        <f>'Disposal &amp; LFG Recovery'!G25+(D32-H32)*'Disposal &amp; LFG Recovery'!$J$23</f>
        <v>174.59299866565792</v>
      </c>
      <c r="M32" s="8">
        <f t="shared" si="10"/>
        <v>0</v>
      </c>
      <c r="N32" s="276">
        <f t="shared" si="4"/>
        <v>0</v>
      </c>
    </row>
    <row r="33" spans="1:14" x14ac:dyDescent="0.3">
      <c r="A33" s="275">
        <f t="shared" si="2"/>
        <v>2010</v>
      </c>
      <c r="B33" s="7">
        <f>'Disposal &amp; LFG Recovery'!B26</f>
        <v>414210</v>
      </c>
      <c r="C33" s="7">
        <f t="shared" si="3"/>
        <v>7187250</v>
      </c>
      <c r="D33" s="8">
        <f t="shared" si="5"/>
        <v>3130.9970788946457</v>
      </c>
      <c r="E33" s="8">
        <f>SUM(Calcs1!K28:N28)</f>
        <v>1842.8526973527401</v>
      </c>
      <c r="F33" s="8">
        <f t="shared" si="6"/>
        <v>58970.254317777166</v>
      </c>
      <c r="G33" s="9">
        <f>IF(Inputs!$C$40="No",'Disposal &amp; LFG Recovery'!D26,'Output-Table'!I33/'Output-Table'!E33)</f>
        <v>0</v>
      </c>
      <c r="H33" s="8">
        <f t="shared" si="7"/>
        <v>0</v>
      </c>
      <c r="I33" s="117">
        <f>IF(Inputs!$C$40="No",E33*$G33,SUM(Calcs1b!K28:N28)*'Disposal&amp;LFG Recovery-wells'!D26)</f>
        <v>0</v>
      </c>
      <c r="J33" s="8">
        <f t="shared" si="8"/>
        <v>0</v>
      </c>
      <c r="K33" s="10">
        <f t="shared" si="9"/>
        <v>0</v>
      </c>
      <c r="L33" s="8">
        <f>'Disposal &amp; LFG Recovery'!G26+(D33-H33)*'Disposal &amp; LFG Recovery'!$J$23</f>
        <v>181.44128072194474</v>
      </c>
      <c r="M33" s="8">
        <f t="shared" si="10"/>
        <v>0</v>
      </c>
      <c r="N33" s="276">
        <f t="shared" si="4"/>
        <v>0</v>
      </c>
    </row>
    <row r="34" spans="1:14" x14ac:dyDescent="0.3">
      <c r="A34" s="275">
        <f t="shared" si="2"/>
        <v>2011</v>
      </c>
      <c r="B34" s="7">
        <f>'Disposal &amp; LFG Recovery'!B27</f>
        <v>422490</v>
      </c>
      <c r="C34" s="7">
        <f t="shared" si="3"/>
        <v>7609740</v>
      </c>
      <c r="D34" s="8">
        <f t="shared" si="5"/>
        <v>3248.5450990816057</v>
      </c>
      <c r="E34" s="8">
        <f>SUM(Calcs1!K29:N29)</f>
        <v>1912.0395029011149</v>
      </c>
      <c r="F34" s="8">
        <f t="shared" si="6"/>
        <v>61184.193350714049</v>
      </c>
      <c r="G34" s="9">
        <f>IF(Inputs!$C$40="No",'Disposal &amp; LFG Recovery'!D27,'Output-Table'!I34/'Output-Table'!E34)</f>
        <v>0</v>
      </c>
      <c r="H34" s="8">
        <f t="shared" si="7"/>
        <v>0</v>
      </c>
      <c r="I34" s="117">
        <f>IF(Inputs!$C$40="No",E34*$G34,SUM(Calcs1b!K29:N29)*'Disposal&amp;LFG Recovery-wells'!D27)</f>
        <v>0</v>
      </c>
      <c r="J34" s="8">
        <f t="shared" si="8"/>
        <v>0</v>
      </c>
      <c r="K34" s="10">
        <f t="shared" si="9"/>
        <v>0</v>
      </c>
      <c r="L34" s="8">
        <f>'Disposal &amp; LFG Recovery'!G27+(D34-H34)*'Disposal &amp; LFG Recovery'!$J$23</f>
        <v>188.25318849177907</v>
      </c>
      <c r="M34" s="8">
        <f t="shared" si="10"/>
        <v>0</v>
      </c>
      <c r="N34" s="276">
        <f t="shared" si="4"/>
        <v>0</v>
      </c>
    </row>
    <row r="35" spans="1:14" x14ac:dyDescent="0.3">
      <c r="A35" s="275">
        <f t="shared" si="2"/>
        <v>2012</v>
      </c>
      <c r="B35" s="7">
        <f>'Disposal &amp; LFG Recovery'!B28</f>
        <v>450000</v>
      </c>
      <c r="C35" s="7">
        <f t="shared" si="3"/>
        <v>8059740</v>
      </c>
      <c r="D35" s="8">
        <f t="shared" si="5"/>
        <v>3365.6961502290119</v>
      </c>
      <c r="E35" s="8">
        <f>SUM(Calcs1!K30:N30)</f>
        <v>1980.992659088959</v>
      </c>
      <c r="F35" s="8">
        <f t="shared" si="6"/>
        <v>63390.655734957596</v>
      </c>
      <c r="G35" s="9">
        <f>IF(Inputs!$C$40="No",'Disposal &amp; LFG Recovery'!D28,'Output-Table'!I35/'Output-Table'!E35)</f>
        <v>0</v>
      </c>
      <c r="H35" s="8">
        <f t="shared" si="7"/>
        <v>0</v>
      </c>
      <c r="I35" s="117">
        <f>IF(Inputs!$C$40="No",E35*$G35,SUM(Calcs1b!K30:N30)*'Disposal&amp;LFG Recovery-wells'!D28)</f>
        <v>0</v>
      </c>
      <c r="J35" s="8">
        <f t="shared" si="8"/>
        <v>0</v>
      </c>
      <c r="K35" s="10">
        <f t="shared" si="9"/>
        <v>0</v>
      </c>
      <c r="L35" s="8">
        <f>'Disposal &amp; LFG Recovery'!G28+(D35-H35)*'Disposal &amp; LFG Recovery'!$J$23</f>
        <v>195.04209190577126</v>
      </c>
      <c r="M35" s="8">
        <f t="shared" si="10"/>
        <v>0</v>
      </c>
      <c r="N35" s="276">
        <f t="shared" si="4"/>
        <v>0</v>
      </c>
    </row>
    <row r="36" spans="1:14" x14ac:dyDescent="0.3">
      <c r="A36" s="275">
        <f t="shared" si="2"/>
        <v>2013</v>
      </c>
      <c r="B36" s="7">
        <f>'Disposal &amp; LFG Recovery'!B29</f>
        <v>459000</v>
      </c>
      <c r="C36" s="7">
        <f t="shared" si="3"/>
        <v>8518740</v>
      </c>
      <c r="D36" s="8">
        <f t="shared" si="5"/>
        <v>3499.5344255010259</v>
      </c>
      <c r="E36" s="8">
        <f>SUM(Calcs1!K31:N31)</f>
        <v>2059.7676372761453</v>
      </c>
      <c r="F36" s="8">
        <f t="shared" si="6"/>
        <v>65911.410922959767</v>
      </c>
      <c r="G36" s="9">
        <f>IF(Inputs!$C$40="No",'Disposal &amp; LFG Recovery'!D29,'Output-Table'!I36/'Output-Table'!E36)</f>
        <v>0</v>
      </c>
      <c r="H36" s="8">
        <f t="shared" si="7"/>
        <v>0</v>
      </c>
      <c r="I36" s="117">
        <f>IF(Inputs!$C$40="No",E36*$G36,SUM(Calcs1b!K31:N31)*'Disposal&amp;LFG Recovery-wells'!D29)</f>
        <v>0</v>
      </c>
      <c r="J36" s="8">
        <f t="shared" si="8"/>
        <v>0</v>
      </c>
      <c r="K36" s="10">
        <f t="shared" si="9"/>
        <v>0</v>
      </c>
      <c r="L36" s="8">
        <f>'Disposal &amp; LFG Recovery'!G29+(D36-H36)*'Disposal &amp; LFG Recovery'!$J$23</f>
        <v>202.79801995778448</v>
      </c>
      <c r="M36" s="8">
        <f t="shared" si="10"/>
        <v>0</v>
      </c>
      <c r="N36" s="276">
        <f t="shared" si="4"/>
        <v>0</v>
      </c>
    </row>
    <row r="37" spans="1:14" x14ac:dyDescent="0.3">
      <c r="A37" s="275">
        <f t="shared" si="2"/>
        <v>2014</v>
      </c>
      <c r="B37" s="7">
        <f>'Disposal &amp; LFG Recovery'!B30</f>
        <v>468180</v>
      </c>
      <c r="C37" s="7">
        <f t="shared" si="3"/>
        <v>8986920</v>
      </c>
      <c r="D37" s="8">
        <f t="shared" si="5"/>
        <v>3632.1193869945409</v>
      </c>
      <c r="E37" s="8">
        <f>SUM(Calcs1!K32:N32)</f>
        <v>2137.80493586187</v>
      </c>
      <c r="F37" s="8">
        <f t="shared" si="6"/>
        <v>68408.560776815764</v>
      </c>
      <c r="G37" s="9">
        <f>IF(Inputs!$C$40="No",'Disposal &amp; LFG Recovery'!D30,'Output-Table'!I37/'Output-Table'!E37)</f>
        <v>0.48097550941725015</v>
      </c>
      <c r="H37" s="8">
        <f t="shared" si="7"/>
        <v>1746.9604724239696</v>
      </c>
      <c r="I37" s="117">
        <f>IF(Inputs!$C$40="No",E37*$G37,SUM(Calcs1b!K32:N32)*'Disposal&amp;LFG Recovery-wells'!D30)</f>
        <v>1028.2318180608747</v>
      </c>
      <c r="J37" s="8">
        <f t="shared" si="8"/>
        <v>32902.842368129881</v>
      </c>
      <c r="K37" s="10">
        <f t="shared" si="9"/>
        <v>2.8904738885489039</v>
      </c>
      <c r="L37" s="8">
        <f>'Disposal &amp; LFG Recovery'!G30+(D37-H37)*'Disposal &amp; LFG Recovery'!$J$23</f>
        <v>109.24495909936462</v>
      </c>
      <c r="M37" s="8">
        <f t="shared" si="10"/>
        <v>5136.0068670270266</v>
      </c>
      <c r="N37" s="276">
        <f t="shared" si="4"/>
        <v>107856.14420756756</v>
      </c>
    </row>
    <row r="38" spans="1:14" x14ac:dyDescent="0.3">
      <c r="A38" s="275">
        <f t="shared" si="2"/>
        <v>2015</v>
      </c>
      <c r="B38" s="7">
        <f>'Disposal &amp; LFG Recovery'!B31</f>
        <v>477540</v>
      </c>
      <c r="C38" s="7">
        <f t="shared" si="3"/>
        <v>9464460</v>
      </c>
      <c r="D38" s="8">
        <f t="shared" si="5"/>
        <v>3763.7876445996867</v>
      </c>
      <c r="E38" s="8">
        <f>SUM(Calcs1!K33:N33)</f>
        <v>2215.3026778172989</v>
      </c>
      <c r="F38" s="8">
        <f t="shared" si="6"/>
        <v>70888.445120653996</v>
      </c>
      <c r="G38" s="9">
        <f>IF(Inputs!$C$40="No",'Disposal &amp; LFG Recovery'!D31,'Output-Table'!I38/'Output-Table'!E38)</f>
        <v>0.4904655362778747</v>
      </c>
      <c r="H38" s="8">
        <f t="shared" si="7"/>
        <v>1846.0081255446241</v>
      </c>
      <c r="I38" s="117">
        <f>IF(Inputs!$C$40="No",E38*$G38,SUM(Calcs1b!K33:N33)*'Disposal&amp;LFG Recovery-wells'!D31)</f>
        <v>1086.5296158934734</v>
      </c>
      <c r="J38" s="8">
        <f t="shared" si="8"/>
        <v>34768.339252006255</v>
      </c>
      <c r="K38" s="10">
        <f t="shared" si="9"/>
        <v>3.0543554757894311</v>
      </c>
      <c r="L38" s="8">
        <f>'Disposal &amp; LFG Recovery'!G31+(D38-H38)*'Disposal &amp; LFG Recovery'!$J$23</f>
        <v>111.13532312924089</v>
      </c>
      <c r="M38" s="8">
        <f t="shared" si="10"/>
        <v>5440.6998981988345</v>
      </c>
      <c r="N38" s="276">
        <f t="shared" si="4"/>
        <v>114254.69786217553</v>
      </c>
    </row>
    <row r="39" spans="1:14" x14ac:dyDescent="0.3">
      <c r="A39" s="275">
        <f t="shared" si="2"/>
        <v>2016</v>
      </c>
      <c r="B39" s="7">
        <f>'Disposal &amp; LFG Recovery'!B32</f>
        <v>487090</v>
      </c>
      <c r="C39" s="7">
        <f t="shared" si="3"/>
        <v>9951550</v>
      </c>
      <c r="D39" s="8">
        <f t="shared" si="5"/>
        <v>3894.8378008279624</v>
      </c>
      <c r="E39" s="8">
        <f>SUM(Calcs1!K34:N34)</f>
        <v>2292.4366156039914</v>
      </c>
      <c r="F39" s="8">
        <f t="shared" si="6"/>
        <v>73356.687934822985</v>
      </c>
      <c r="G39" s="9">
        <f>IF(Inputs!$C$40="No",'Disposal &amp; LFG Recovery'!D32,'Output-Table'!I39/'Output-Table'!E39)</f>
        <v>0.49883217369159488</v>
      </c>
      <c r="H39" s="8">
        <f t="shared" si="7"/>
        <v>1942.8704063632035</v>
      </c>
      <c r="I39" s="117">
        <f>IF(Inputs!$C$40="No",E39*$G39,SUM(Calcs1b!K34:N34)*'Disposal&amp;LFG Recovery-wells'!D32)</f>
        <v>1143.5411400119422</v>
      </c>
      <c r="J39" s="8">
        <f t="shared" si="8"/>
        <v>36592.676097343741</v>
      </c>
      <c r="K39" s="10">
        <f t="shared" si="9"/>
        <v>3.2146212047002374</v>
      </c>
      <c r="L39" s="8">
        <f>'Disposal &amp; LFG Recovery'!G32+(D39-H39)*'Disposal &amp; LFG Recovery'!$J$23</f>
        <v>113.1165105092328</v>
      </c>
      <c r="M39" s="8">
        <f t="shared" si="10"/>
        <v>5738.2545977097207</v>
      </c>
      <c r="N39" s="276">
        <f t="shared" si="4"/>
        <v>120503.34655190413</v>
      </c>
    </row>
    <row r="40" spans="1:14" x14ac:dyDescent="0.3">
      <c r="A40" s="275">
        <f t="shared" si="2"/>
        <v>2017</v>
      </c>
      <c r="B40" s="7">
        <f>'Disposal &amp; LFG Recovery'!B33</f>
        <v>0</v>
      </c>
      <c r="C40" s="7">
        <f t="shared" si="3"/>
        <v>9951550</v>
      </c>
      <c r="D40" s="8">
        <f t="shared" si="5"/>
        <v>4025.5440110913109</v>
      </c>
      <c r="E40" s="8">
        <f>SUM(Calcs1!K35:N35)</f>
        <v>2369.3681125281605</v>
      </c>
      <c r="F40" s="8">
        <f t="shared" si="6"/>
        <v>75818.452754758138</v>
      </c>
      <c r="G40" s="9">
        <f>IF(Inputs!$C$40="No",'Disposal &amp; LFG Recovery'!D33,'Output-Table'!I40/'Output-Table'!E40)</f>
        <v>0.50624471917053393</v>
      </c>
      <c r="H40" s="8">
        <f t="shared" si="7"/>
        <v>2037.9103974035454</v>
      </c>
      <c r="I40" s="117">
        <f>IF(Inputs!$C$40="No",E40*$G40,SUM(Calcs1b!K35:N35)*'Disposal&amp;LFG Recovery-wells'!D33)</f>
        <v>1199.4800947384367</v>
      </c>
      <c r="J40" s="8">
        <f t="shared" si="8"/>
        <v>38382.691322776926</v>
      </c>
      <c r="K40" s="10">
        <f t="shared" si="9"/>
        <v>3.3718718218758279</v>
      </c>
      <c r="L40" s="8">
        <f>'Disposal &amp; LFG Recovery'!G33+(D40-H40)*'Disposal &amp; LFG Recovery'!$J$23</f>
        <v>115.18336791320603</v>
      </c>
      <c r="M40" s="8">
        <f t="shared" si="10"/>
        <v>6029.8257826440631</v>
      </c>
      <c r="N40" s="276">
        <f t="shared" si="4"/>
        <v>126626.34143552532</v>
      </c>
    </row>
    <row r="41" spans="1:14" x14ac:dyDescent="0.3">
      <c r="A41" s="275">
        <f t="shared" si="2"/>
        <v>2018</v>
      </c>
      <c r="B41" s="7">
        <f>'Disposal &amp; LFG Recovery'!B34</f>
        <v>0</v>
      </c>
      <c r="C41" s="7">
        <f t="shared" si="3"/>
        <v>9951550</v>
      </c>
      <c r="D41" s="8">
        <f t="shared" si="5"/>
        <v>3716.4251090197454</v>
      </c>
      <c r="E41" s="8">
        <f>SUM(Calcs1!K36:N36)</f>
        <v>2187.4258787505382</v>
      </c>
      <c r="F41" s="8">
        <f t="shared" si="6"/>
        <v>69996.403161525115</v>
      </c>
      <c r="G41" s="9">
        <f>IF(Inputs!$C$40="No",'Disposal &amp; LFG Recovery'!D34,'Output-Table'!I41/'Output-Table'!E41)</f>
        <v>0.50371280536447638</v>
      </c>
      <c r="H41" s="8">
        <f t="shared" si="7"/>
        <v>1872.010917591316</v>
      </c>
      <c r="I41" s="117">
        <f>IF(Inputs!$C$40="No",E41*$G41,SUM(Calcs1b!K36:N36)*'Disposal&amp;LFG Recovery-wells'!D34)</f>
        <v>1101.8344259122887</v>
      </c>
      <c r="J41" s="8">
        <f t="shared" si="8"/>
        <v>35258.084601914721</v>
      </c>
      <c r="K41" s="10">
        <f t="shared" si="9"/>
        <v>3.097378997286766</v>
      </c>
      <c r="L41" s="8">
        <f>'Disposal &amp; LFG Recovery'!G34+(D41-H41)*'Disposal &amp; LFG Recovery'!$J$23</f>
        <v>106.88380239327749</v>
      </c>
      <c r="M41" s="8">
        <f t="shared" si="10"/>
        <v>5535.5798434302642</v>
      </c>
      <c r="N41" s="276">
        <f t="shared" si="4"/>
        <v>116247.17671203555</v>
      </c>
    </row>
    <row r="42" spans="1:14" x14ac:dyDescent="0.3">
      <c r="A42" s="275">
        <f t="shared" si="2"/>
        <v>2019</v>
      </c>
      <c r="B42" s="7">
        <f>'Disposal &amp; LFG Recovery'!B35</f>
        <v>0</v>
      </c>
      <c r="C42" s="7">
        <f t="shared" si="3"/>
        <v>9951550</v>
      </c>
      <c r="D42" s="8">
        <f t="shared" si="5"/>
        <v>3440.3418393336869</v>
      </c>
      <c r="E42" s="8">
        <f>SUM(Calcs1!K37:N37)</f>
        <v>2024.9278676011525</v>
      </c>
      <c r="F42" s="8">
        <f t="shared" si="6"/>
        <v>64796.557803631018</v>
      </c>
      <c r="G42" s="9">
        <f>IF(Inputs!$C$40="No",'Disposal &amp; LFG Recovery'!D35,'Output-Table'!I42/'Output-Table'!E42)</f>
        <v>0.50120455910221218</v>
      </c>
      <c r="H42" s="8">
        <f t="shared" si="7"/>
        <v>1724.3150147441343</v>
      </c>
      <c r="I42" s="117">
        <f>IF(Inputs!$C$40="No",E42*$G42,SUM(Calcs1b!K37:N37)*'Disposal&amp;LFG Recovery-wells'!D35)</f>
        <v>1014.9030790948184</v>
      </c>
      <c r="J42" s="8">
        <f t="shared" si="8"/>
        <v>32476.330185309889</v>
      </c>
      <c r="K42" s="10">
        <f t="shared" si="9"/>
        <v>2.8530053223443224</v>
      </c>
      <c r="L42" s="8">
        <f>'Disposal &amp; LFG Recovery'!G35+(D42-H42)*'Disposal &amp; LFG Recovery'!$J$23</f>
        <v>99.443754484964586</v>
      </c>
      <c r="M42" s="8">
        <f t="shared" si="10"/>
        <v>5095.7262618735767</v>
      </c>
      <c r="N42" s="276">
        <f t="shared" si="4"/>
        <v>107010.25149934512</v>
      </c>
    </row>
    <row r="43" spans="1:14" x14ac:dyDescent="0.3">
      <c r="A43" s="275">
        <f t="shared" si="2"/>
        <v>2020</v>
      </c>
      <c r="B43" s="7">
        <f>'Disposal &amp; LFG Recovery'!B36</f>
        <v>0</v>
      </c>
      <c r="C43" s="7">
        <f t="shared" si="3"/>
        <v>9951550</v>
      </c>
      <c r="D43" s="8">
        <f t="shared" si="5"/>
        <v>3193.2784487331523</v>
      </c>
      <c r="E43" s="8">
        <f>SUM(Calcs1!K38:N38)</f>
        <v>1879.5104736168544</v>
      </c>
      <c r="F43" s="8">
        <f t="shared" si="6"/>
        <v>60143.282629874113</v>
      </c>
      <c r="G43" s="9">
        <f>IF(Inputs!$C$40="No",'Disposal &amp; LFG Recovery'!D36,'Output-Table'!I43/'Output-Table'!E43)</f>
        <v>0.49873189958268072</v>
      </c>
      <c r="H43" s="8">
        <f t="shared" si="7"/>
        <v>1592.589826633121</v>
      </c>
      <c r="I43" s="117">
        <f>IF(Inputs!$C$40="No",E43*$G43,SUM(Calcs1b!K38:N38)*'Disposal&amp;LFG Recovery-wells'!D36)</f>
        <v>937.37182879247769</v>
      </c>
      <c r="J43" s="8">
        <f t="shared" si="8"/>
        <v>29995.373593135162</v>
      </c>
      <c r="K43" s="10">
        <f t="shared" si="9"/>
        <v>2.6350563631610764</v>
      </c>
      <c r="L43" s="8">
        <f>'Disposal &amp; LFG Recovery'!G36+(D43-H43)*'Disposal &amp; LFG Recovery'!$J$23</f>
        <v>92.759905650696837</v>
      </c>
      <c r="M43" s="8">
        <f t="shared" si="10"/>
        <v>4703.5866185945606</v>
      </c>
      <c r="N43" s="276">
        <f t="shared" si="4"/>
        <v>98775.318990485772</v>
      </c>
    </row>
    <row r="44" spans="1:14" x14ac:dyDescent="0.3">
      <c r="A44" s="275">
        <f t="shared" si="2"/>
        <v>2021</v>
      </c>
      <c r="B44" s="7">
        <f>'Disposal &amp; LFG Recovery'!B37</f>
        <v>0</v>
      </c>
      <c r="C44" s="7">
        <f t="shared" si="3"/>
        <v>9951550</v>
      </c>
      <c r="D44" s="8">
        <f t="shared" si="5"/>
        <v>2971.7288824979037</v>
      </c>
      <c r="E44" s="8">
        <f>SUM(Calcs1!K39:N39)</f>
        <v>1749.1100914235576</v>
      </c>
      <c r="F44" s="8">
        <f t="shared" si="6"/>
        <v>55970.543423902651</v>
      </c>
      <c r="G44" s="9">
        <f>IF(Inputs!$C$40="No",'Disposal &amp; LFG Recovery'!D37,'Output-Table'!I44/'Output-Table'!E44)</f>
        <v>0.49630597787133734</v>
      </c>
      <c r="H44" s="8">
        <f t="shared" si="7"/>
        <v>1474.8868089966186</v>
      </c>
      <c r="I44" s="117">
        <f>IF(Inputs!$C$40="No",E44*$G44,SUM(Calcs1b!K39:N39)*'Disposal&amp;LFG Recovery-wells'!D37)</f>
        <v>868.09379432859305</v>
      </c>
      <c r="J44" s="8">
        <f t="shared" si="8"/>
        <v>27778.515285990154</v>
      </c>
      <c r="K44" s="10">
        <f t="shared" si="9"/>
        <v>2.4403081107237115</v>
      </c>
      <c r="L44" s="8">
        <f>'Disposal &amp; LFG Recovery'!G37+(D44-H44)*'Disposal &amp; LFG Recovery'!$J$23</f>
        <v>86.741998159399486</v>
      </c>
      <c r="M44" s="8">
        <f t="shared" si="10"/>
        <v>4353.3331783703861</v>
      </c>
      <c r="N44" s="276">
        <f t="shared" si="4"/>
        <v>91419.996745778102</v>
      </c>
    </row>
    <row r="45" spans="1:14" x14ac:dyDescent="0.3">
      <c r="A45" s="275">
        <f t="shared" si="2"/>
        <v>2022</v>
      </c>
      <c r="B45" s="7">
        <f>'Disposal &amp; LFG Recovery'!B38</f>
        <v>0</v>
      </c>
      <c r="C45" s="7">
        <f t="shared" si="3"/>
        <v>9951550</v>
      </c>
      <c r="D45" s="8">
        <f t="shared" si="5"/>
        <v>2772.6310586526706</v>
      </c>
      <c r="E45" s="8">
        <f>SUM(Calcs1!K40:N40)</f>
        <v>1631.9244306053176</v>
      </c>
      <c r="F45" s="8">
        <f t="shared" si="6"/>
        <v>52220.667901689027</v>
      </c>
      <c r="G45" s="9">
        <f>IF(Inputs!$C$40="No",'Disposal &amp; LFG Recovery'!D38,'Output-Table'!I45/'Output-Table'!E45)</f>
        <v>0.49393698453551488</v>
      </c>
      <c r="H45" s="8">
        <f t="shared" si="7"/>
        <v>1369.5050243404123</v>
      </c>
      <c r="I45" s="117">
        <f>IF(Inputs!$C$40="No",E45*$G45,SUM(Calcs1b!K40:N40)*'Disposal&amp;LFG Recovery-wells'!D38)</f>
        <v>806.06783224302774</v>
      </c>
      <c r="J45" s="8">
        <f t="shared" si="8"/>
        <v>25793.719233790831</v>
      </c>
      <c r="K45" s="10">
        <f t="shared" si="9"/>
        <v>2.2659462395276226</v>
      </c>
      <c r="L45" s="8">
        <f>'Disposal &amp; LFG Recovery'!G38+(D45-H45)*'Disposal &amp; LFG Recovery'!$J$23</f>
        <v>81.311153688395379</v>
      </c>
      <c r="M45" s="8">
        <f t="shared" si="10"/>
        <v>4039.8790338743775</v>
      </c>
      <c r="N45" s="276">
        <f t="shared" si="4"/>
        <v>84837.459711361924</v>
      </c>
    </row>
    <row r="46" spans="1:14" x14ac:dyDescent="0.3">
      <c r="A46" s="275">
        <f t="shared" si="2"/>
        <v>2023</v>
      </c>
      <c r="B46" s="7">
        <f>'Disposal &amp; LFG Recovery'!B39</f>
        <v>0</v>
      </c>
      <c r="C46" s="7">
        <f t="shared" si="3"/>
        <v>9951550</v>
      </c>
      <c r="D46" s="8">
        <f t="shared" si="5"/>
        <v>2593.3096744353006</v>
      </c>
      <c r="E46" s="8">
        <f>SUM(Calcs1!K41:N41)</f>
        <v>1526.3788525447105</v>
      </c>
      <c r="F46" s="8">
        <f t="shared" si="6"/>
        <v>48843.268509273315</v>
      </c>
      <c r="G46" s="9">
        <f>IF(Inputs!$C$40="No",'Disposal &amp; LFG Recovery'!D39,'Output-Table'!I46/'Output-Table'!E46)</f>
        <v>0.49163399647744632</v>
      </c>
      <c r="H46" s="8">
        <f t="shared" si="7"/>
        <v>1274.959199346252</v>
      </c>
      <c r="I46" s="117">
        <f>IF(Inputs!$C$40="No",E46*$G46,SUM(Calcs1b!K41:N41)*'Disposal&amp;LFG Recovery-wells'!D39)</f>
        <v>750.41973541521475</v>
      </c>
      <c r="J46" s="8">
        <f t="shared" si="8"/>
        <v>24013.011298235044</v>
      </c>
      <c r="K46" s="10">
        <f t="shared" si="9"/>
        <v>2.1095132562227703</v>
      </c>
      <c r="L46" s="8">
        <f>'Disposal &amp; LFG Recovery'!G39+(D46-H46)*'Disposal &amp; LFG Recovery'!$J$23</f>
        <v>76.398410031410378</v>
      </c>
      <c r="M46" s="8">
        <f t="shared" si="10"/>
        <v>3758.7825201544888</v>
      </c>
      <c r="N46" s="276">
        <f t="shared" si="4"/>
        <v>78934.432923244269</v>
      </c>
    </row>
    <row r="47" spans="1:14" x14ac:dyDescent="0.3">
      <c r="A47" s="275">
        <f t="shared" si="2"/>
        <v>2024</v>
      </c>
      <c r="B47" s="7">
        <f>'Disposal &amp; LFG Recovery'!B40</f>
        <v>0</v>
      </c>
      <c r="C47" s="7">
        <f t="shared" si="3"/>
        <v>9951550</v>
      </c>
      <c r="D47" s="8">
        <f t="shared" si="5"/>
        <v>2431.4264339478946</v>
      </c>
      <c r="E47" s="8">
        <f>SUM(Calcs1!K42:N42)</f>
        <v>1431.0970752478315</v>
      </c>
      <c r="F47" s="8">
        <f t="shared" si="6"/>
        <v>45794.304993568476</v>
      </c>
      <c r="G47" s="9">
        <f>IF(Inputs!$C$40="No",'Disposal &amp; LFG Recovery'!D40,'Output-Table'!I47/'Output-Table'!E47)</f>
        <v>0.48940486666477967</v>
      </c>
      <c r="H47" s="8">
        <f t="shared" si="7"/>
        <v>1189.95192971149</v>
      </c>
      <c r="I47" s="117">
        <f>IF(Inputs!$C$40="No",E47*$G47,SUM(Calcs1b!K42:N42)*'Disposal&amp;LFG Recovery-wells'!D40)</f>
        <v>700.38587329602115</v>
      </c>
      <c r="J47" s="8">
        <f t="shared" si="8"/>
        <v>22411.955729383633</v>
      </c>
      <c r="K47" s="10">
        <f t="shared" si="9"/>
        <v>1.968862510487704</v>
      </c>
      <c r="L47" s="8">
        <f>'Disposal &amp; LFG Recovery'!G40+(D47-H47)*'Disposal &amp; LFG Recovery'!$J$23</f>
        <v>71.943447520499646</v>
      </c>
      <c r="M47" s="8">
        <f t="shared" si="10"/>
        <v>3506.1640408295211</v>
      </c>
      <c r="N47" s="276">
        <f t="shared" si="4"/>
        <v>73629.444857419949</v>
      </c>
    </row>
    <row r="48" spans="1:14" x14ac:dyDescent="0.3">
      <c r="A48" s="275">
        <f t="shared" si="2"/>
        <v>2025</v>
      </c>
      <c r="B48" s="7">
        <f>'Disposal &amp; LFG Recovery'!B41</f>
        <v>0</v>
      </c>
      <c r="C48" s="7">
        <f t="shared" si="3"/>
        <v>9951550</v>
      </c>
      <c r="D48" s="8">
        <f t="shared" si="5"/>
        <v>2284.9367307923662</v>
      </c>
      <c r="E48" s="8">
        <f>SUM(Calcs1!K43:N43)</f>
        <v>1344.8756774655403</v>
      </c>
      <c r="F48" s="8">
        <f t="shared" si="6"/>
        <v>43035.268548517917</v>
      </c>
      <c r="G48" s="9">
        <f>IF(Inputs!$C$40="No",'Disposal &amp; LFG Recovery'!D41,'Output-Table'!I48/'Output-Table'!E48)</f>
        <v>0.48725615780522663</v>
      </c>
      <c r="H48" s="8">
        <f t="shared" si="7"/>
        <v>1113.3494922739239</v>
      </c>
      <c r="I48" s="117">
        <f>IF(Inputs!$C$40="No",E48*$G48,SUM(Calcs1b!K43:N43)*'Disposal&amp;LFG Recovery-wells'!D41)</f>
        <v>655.29895532756041</v>
      </c>
      <c r="J48" s="8">
        <f t="shared" si="8"/>
        <v>20969.199603066954</v>
      </c>
      <c r="K48" s="10">
        <f t="shared" si="9"/>
        <v>1.8421181744208093</v>
      </c>
      <c r="L48" s="8">
        <f>'Disposal &amp; LFG Recovery'!G41+(D48-H48)*'Disposal &amp; LFG Recovery'!$J$23</f>
        <v>67.893480472143736</v>
      </c>
      <c r="M48" s="8">
        <f t="shared" si="10"/>
        <v>3278.633689491327</v>
      </c>
      <c r="N48" s="276">
        <f t="shared" si="4"/>
        <v>68851.307479317868</v>
      </c>
    </row>
    <row r="49" spans="1:14" x14ac:dyDescent="0.3">
      <c r="A49" s="275">
        <f t="shared" si="2"/>
        <v>2026</v>
      </c>
      <c r="B49" s="7">
        <f>'Disposal &amp; LFG Recovery'!B42</f>
        <v>0</v>
      </c>
      <c r="C49" s="7">
        <f t="shared" si="3"/>
        <v>9951550</v>
      </c>
      <c r="D49" s="8">
        <f t="shared" si="5"/>
        <v>2152.0519454964365</v>
      </c>
      <c r="E49" s="8">
        <f>SUM(Calcs1!K44:N44)</f>
        <v>1266.6619075867775</v>
      </c>
      <c r="F49" s="8">
        <f t="shared" si="6"/>
        <v>40532.471712108636</v>
      </c>
      <c r="G49" s="9">
        <f>IF(Inputs!$C$40="No",'Disposal &amp; LFG Recovery'!D42,'Output-Table'!I49/'Output-Table'!E49)</f>
        <v>0.48519311855564984</v>
      </c>
      <c r="H49" s="8">
        <f t="shared" si="7"/>
        <v>1044.1607947291693</v>
      </c>
      <c r="I49" s="117">
        <f>IF(Inputs!$C$40="No",E49*'Disposal &amp; LFG Recovery'!$D42,SUM(Calcs1b!K44:N44)*'Disposal&amp;LFG Recovery-wells'!D42)</f>
        <v>614.57564109767691</v>
      </c>
      <c r="J49" s="8">
        <f t="shared" si="8"/>
        <v>19666.07635276665</v>
      </c>
      <c r="K49" s="10">
        <f t="shared" si="9"/>
        <v>1.7276404133079144</v>
      </c>
      <c r="L49" s="8">
        <f>'Disposal &amp; LFG Recovery'!G42+(D49-H49)*'Disposal &amp; LFG Recovery'!$J$23</f>
        <v>64.202292186963135</v>
      </c>
      <c r="M49" s="8">
        <f t="shared" si="10"/>
        <v>3073.2282606525614</v>
      </c>
      <c r="N49" s="276">
        <f t="shared" si="4"/>
        <v>64537.793473703787</v>
      </c>
    </row>
    <row r="50" spans="1:14" x14ac:dyDescent="0.3">
      <c r="A50" s="275">
        <f t="shared" si="2"/>
        <v>2027</v>
      </c>
      <c r="B50" s="7">
        <f>'Disposal &amp; LFG Recovery'!B43</f>
        <v>0</v>
      </c>
      <c r="C50" s="7">
        <f t="shared" si="3"/>
        <v>9951550</v>
      </c>
      <c r="D50" s="8">
        <f t="shared" si="5"/>
        <v>2031.2066270940825</v>
      </c>
      <c r="E50" s="8">
        <f>SUM(Calcs1!K45:N45)</f>
        <v>1195.5343672637919</v>
      </c>
      <c r="F50" s="8">
        <f t="shared" si="6"/>
        <v>38256.430253195678</v>
      </c>
      <c r="G50" s="9">
        <f>IF(Inputs!$C$40="No",'Disposal &amp; LFG Recovery'!D43,'Output-Table'!I50/'Output-Table'!E50)</f>
        <v>0.48321969878013671</v>
      </c>
      <c r="H50" s="8">
        <f t="shared" si="7"/>
        <v>981.51905450462004</v>
      </c>
      <c r="I50" s="117">
        <f>IF(Inputs!$C$40="No",E50*$G50,SUM(Calcs1b!K45:N45)*'Disposal&amp;LFG Recovery-wells'!D43)</f>
        <v>577.70575683051084</v>
      </c>
      <c r="J50" s="8">
        <f t="shared" si="8"/>
        <v>18486.260703352524</v>
      </c>
      <c r="K50" s="10">
        <f t="shared" si="9"/>
        <v>1.623995071979103</v>
      </c>
      <c r="L50" s="8">
        <f>'Disposal &amp; LFG Recovery'!G43+(D50-H50)*'Disposal &amp; LFG Recovery'!$J$23</f>
        <v>60.829394831559355</v>
      </c>
      <c r="M50" s="8">
        <f t="shared" si="10"/>
        <v>2887.3564279074922</v>
      </c>
      <c r="N50" s="276">
        <f t="shared" si="4"/>
        <v>60634.484986057338</v>
      </c>
    </row>
    <row r="51" spans="1:14" x14ac:dyDescent="0.3">
      <c r="A51" s="275">
        <f t="shared" si="2"/>
        <v>2028</v>
      </c>
      <c r="B51" s="7">
        <f>'Disposal &amp; LFG Recovery'!B44</f>
        <v>0</v>
      </c>
      <c r="C51" s="7">
        <f t="shared" si="3"/>
        <v>9951550</v>
      </c>
      <c r="D51" s="8">
        <f t="shared" si="5"/>
        <v>1921.0299234834192</v>
      </c>
      <c r="E51" s="8">
        <f>SUM(Calcs1!K46:N46)</f>
        <v>1130.6861957969491</v>
      </c>
      <c r="F51" s="8">
        <f t="shared" si="6"/>
        <v>36181.325081232717</v>
      </c>
      <c r="G51" s="9">
        <f>IF(Inputs!$C$40="No",'Disposal &amp; LFG Recovery'!D44,'Output-Table'!I51/'Output-Table'!E51)</f>
        <v>0.4813385987961995</v>
      </c>
      <c r="H51" s="8">
        <f t="shared" si="7"/>
        <v>924.6658516150793</v>
      </c>
      <c r="I51" s="117">
        <f>IF(Inputs!$C$40="No",E51*$G51,SUM(Calcs1b!K46:N46)*'Disposal&amp;LFG Recovery-wells'!D44)</f>
        <v>544.24290916310872</v>
      </c>
      <c r="J51" s="8">
        <f t="shared" si="8"/>
        <v>17415.468317190345</v>
      </c>
      <c r="K51" s="10">
        <f t="shared" si="9"/>
        <v>1.5299272890918498</v>
      </c>
      <c r="L51" s="8">
        <f>'Disposal &amp; LFG Recovery'!G44+(D51-H51)*'Disposal &amp; LFG Recovery'!$J$23</f>
        <v>57.739297964770309</v>
      </c>
      <c r="M51" s="8">
        <f t="shared" si="10"/>
        <v>2718.7510263716604</v>
      </c>
      <c r="N51" s="276">
        <f t="shared" si="4"/>
        <v>57093.771553804865</v>
      </c>
    </row>
    <row r="52" spans="1:14" x14ac:dyDescent="0.3">
      <c r="A52" s="275">
        <f t="shared" si="2"/>
        <v>2029</v>
      </c>
      <c r="B52" s="7">
        <f>'Disposal &amp; LFG Recovery'!B45</f>
        <v>0</v>
      </c>
      <c r="C52" s="7">
        <f t="shared" si="3"/>
        <v>9951550</v>
      </c>
      <c r="D52" s="8">
        <f t="shared" si="5"/>
        <v>1820.3207080122261</v>
      </c>
      <c r="E52" s="8">
        <f>SUM(Calcs1!K47:N47)</f>
        <v>1071.4104300575293</v>
      </c>
      <c r="F52" s="8">
        <f t="shared" si="6"/>
        <v>34284.533772000097</v>
      </c>
      <c r="G52" s="9">
        <f>IF(Inputs!$C$40="No",'Disposal &amp; LFG Recovery'!D45,'Output-Table'!I52/'Output-Table'!E52)</f>
        <v>0.47955134652505305</v>
      </c>
      <c r="H52" s="8">
        <f t="shared" si="7"/>
        <v>872.93724663470095</v>
      </c>
      <c r="I52" s="117">
        <f>IF(Inputs!$C$40="No",E52*$G52,SUM(Calcs1b!K47:N47)*'Disposal&amp;LFG Recovery-wells'!D45)</f>
        <v>513.79631441507433</v>
      </c>
      <c r="J52" s="8">
        <f t="shared" si="8"/>
        <v>16441.194335346303</v>
      </c>
      <c r="K52" s="10">
        <f t="shared" si="9"/>
        <v>1.4443385283001531</v>
      </c>
      <c r="L52" s="8">
        <f>'Disposal &amp; LFG Recovery'!G45+(D52-H52)*'Disposal &amp; LFG Recovery'!$J$23</f>
        <v>54.900871586827591</v>
      </c>
      <c r="M52" s="8">
        <f t="shared" si="10"/>
        <v>2565.4275150601343</v>
      </c>
      <c r="N52" s="276">
        <f t="shared" si="4"/>
        <v>53873.977816262821</v>
      </c>
    </row>
    <row r="53" spans="1:14" x14ac:dyDescent="0.3">
      <c r="A53" s="277">
        <f t="shared" si="2"/>
        <v>2030</v>
      </c>
      <c r="B53" s="7">
        <f>'Disposal &amp; LFG Recovery'!B46</f>
        <v>0</v>
      </c>
      <c r="C53" s="7">
        <f t="shared" si="3"/>
        <v>9951550</v>
      </c>
      <c r="D53" s="8">
        <f t="shared" si="5"/>
        <v>1728.0259217597704</v>
      </c>
      <c r="E53" s="8">
        <f>SUM(Calcs1!K48:N48)</f>
        <v>1017.0872571157714</v>
      </c>
      <c r="F53" s="8">
        <f t="shared" si="6"/>
        <v>32546.222658840699</v>
      </c>
      <c r="G53" s="9">
        <f>IF(Inputs!$C$40="No",'Disposal &amp; LFG Recovery'!D46,'Output-Table'!I53/'Output-Table'!E53)</f>
        <v>0.47785839598088503</v>
      </c>
      <c r="H53" s="8">
        <f t="shared" si="7"/>
        <v>825.75169518551422</v>
      </c>
      <c r="I53" s="117">
        <f>IF(Inputs!$C$40="No",E53*$G53,SUM(Calcs1b!K48:N48)*'Disposal&amp;LFG Recovery-wells'!D46)</f>
        <v>486.02368525794054</v>
      </c>
      <c r="J53" s="8">
        <f t="shared" si="8"/>
        <v>15552.485754990352</v>
      </c>
      <c r="K53" s="10">
        <f t="shared" si="9"/>
        <v>1.3662665818917663</v>
      </c>
      <c r="L53" s="8">
        <f>'Disposal &amp; LFG Recovery'!G46+(D53-H53)*'Disposal &amp; LFG Recovery'!$J$23</f>
        <v>52.286791429978152</v>
      </c>
      <c r="M53" s="8">
        <f t="shared" si="10"/>
        <v>2425.6478153696617</v>
      </c>
      <c r="N53" s="276">
        <f t="shared" si="4"/>
        <v>50938.604122762896</v>
      </c>
    </row>
    <row r="54" spans="1:14" x14ac:dyDescent="0.3">
      <c r="A54" s="277">
        <f t="shared" si="2"/>
        <v>2031</v>
      </c>
      <c r="B54" s="7">
        <f>'Disposal &amp; LFG Recovery'!B47</f>
        <v>0</v>
      </c>
      <c r="C54" s="7">
        <f t="shared" si="3"/>
        <v>9951550</v>
      </c>
      <c r="D54" s="8">
        <f t="shared" si="5"/>
        <v>1643.2217136048116</v>
      </c>
      <c r="E54" s="8">
        <f>SUM(Calcs1!K49:N49)</f>
        <v>967.17291359923195</v>
      </c>
      <c r="F54" s="8">
        <f t="shared" si="6"/>
        <v>30948.991618343807</v>
      </c>
      <c r="G54" s="9">
        <f>IF(Inputs!$C$40="No",'Disposal &amp; LFG Recovery'!D47,'Output-Table'!I54/'Output-Table'!E54)</f>
        <v>0.47625924053610663</v>
      </c>
      <c r="H54" s="8">
        <f t="shared" si="7"/>
        <v>782.59952535386731</v>
      </c>
      <c r="I54" s="117">
        <f>IF(Inputs!$C$40="No",E54*$G54,SUM(Calcs1b!K49:N49)*'Disposal&amp;LFG Recovery-wells'!D47)</f>
        <v>460.62503729786368</v>
      </c>
      <c r="J54" s="8">
        <f t="shared" si="8"/>
        <v>14739.743243510751</v>
      </c>
      <c r="K54" s="10">
        <f t="shared" si="9"/>
        <v>1.2948681604039947</v>
      </c>
      <c r="L54" s="8">
        <f>'Disposal &amp; LFG Recovery'!G47+(D54-H54)*'Disposal &amp; LFG Recovery'!$J$23</f>
        <v>49.87305580914223</v>
      </c>
      <c r="M54" s="8">
        <f t="shared" si="10"/>
        <v>2297.8888266098211</v>
      </c>
      <c r="N54" s="276">
        <f t="shared" si="4"/>
        <v>48255.66535880624</v>
      </c>
    </row>
    <row r="55" spans="1:14" x14ac:dyDescent="0.3">
      <c r="A55" s="277">
        <f t="shared" ref="A55:A63" si="11">A54+1</f>
        <v>2032</v>
      </c>
      <c r="B55" s="7">
        <f>'Disposal &amp; LFG Recovery'!B48</f>
        <v>0</v>
      </c>
      <c r="C55" s="7">
        <f t="shared" ref="C55:C63" si="12">C54+B55</f>
        <v>9951550</v>
      </c>
      <c r="D55" s="8">
        <f t="shared" ref="D55:D63" si="13">E55*60/35.315</f>
        <v>1565.0970146203313</v>
      </c>
      <c r="E55" s="8">
        <f>SUM(Calcs1!K50:N50)</f>
        <v>921.19001785528314</v>
      </c>
      <c r="F55" s="8">
        <f t="shared" si="6"/>
        <v>29477.564704959066</v>
      </c>
      <c r="G55" s="9">
        <f>IF(Inputs!$C$40="No",'Disposal &amp; LFG Recovery'!D48,'Output-Table'!I55/'Output-Table'!E55)</f>
        <v>0.47475253479337837</v>
      </c>
      <c r="H55" s="8">
        <f t="shared" si="7"/>
        <v>743.03377488855142</v>
      </c>
      <c r="I55" s="117">
        <f>IF(Inputs!$C$40="No",E55*$G55,SUM(Calcs1b!K50:N50)*'Disposal&amp;LFG Recovery-wells'!D48)</f>
        <v>437.33729600315314</v>
      </c>
      <c r="J55" s="8">
        <f t="shared" ref="J55:J63" si="14">$F55*G55</f>
        <v>13994.548563215141</v>
      </c>
      <c r="K55" s="10">
        <f t="shared" si="9"/>
        <v>1.2294037320977529</v>
      </c>
      <c r="L55" s="8">
        <f>'Disposal &amp; LFG Recovery'!G48+(D55-H55)*'Disposal &amp; LFG Recovery'!$J$23</f>
        <v>47.638564742456651</v>
      </c>
      <c r="M55" s="8">
        <f t="shared" si="10"/>
        <v>2180.8150106349644</v>
      </c>
      <c r="N55" s="276">
        <f t="shared" si="4"/>
        <v>45797.115223334251</v>
      </c>
    </row>
    <row r="56" spans="1:14" x14ac:dyDescent="0.3">
      <c r="A56" s="277">
        <f t="shared" si="11"/>
        <v>2033</v>
      </c>
      <c r="B56" s="7">
        <f>'Disposal &amp; LFG Recovery'!B49</f>
        <v>0</v>
      </c>
      <c r="C56" s="7">
        <f t="shared" si="12"/>
        <v>9951550</v>
      </c>
      <c r="D56" s="8">
        <f t="shared" si="13"/>
        <v>1492.9392306825528</v>
      </c>
      <c r="E56" s="8">
        <f>SUM(Calcs1!K51:N51)</f>
        <v>878.71914885923911</v>
      </c>
      <c r="F56" s="8">
        <f t="shared" si="6"/>
        <v>28118.52068077229</v>
      </c>
      <c r="G56" s="9">
        <f>IF(Inputs!$C$40="No",'Disposal &amp; LFG Recovery'!D49,'Output-Table'!I56/'Output-Table'!E56)</f>
        <v>0.47333621957382604</v>
      </c>
      <c r="H56" s="8">
        <f t="shared" si="7"/>
        <v>706.66221150473575</v>
      </c>
      <c r="I56" s="117">
        <f>IF(Inputs!$C$40="No",E56*$G56,SUM(Calcs1b!K51:N51)*'Disposal&amp;LFG Recovery-wells'!D49)</f>
        <v>415.92959998816235</v>
      </c>
      <c r="J56" s="8">
        <f t="shared" si="14"/>
        <v>13309.514279045201</v>
      </c>
      <c r="K56" s="10">
        <f t="shared" si="9"/>
        <v>1.1692243199667229</v>
      </c>
      <c r="L56" s="8">
        <f>'Disposal &amp; LFG Recovery'!G49+(D56-H56)*'Disposal &amp; LFG Recovery'!$J$23</f>
        <v>45.564753261354504</v>
      </c>
      <c r="M56" s="8">
        <f t="shared" si="10"/>
        <v>2073.2545168479028</v>
      </c>
      <c r="N56" s="276">
        <f t="shared" si="4"/>
        <v>43538.34485380596</v>
      </c>
    </row>
    <row r="57" spans="1:14" x14ac:dyDescent="0.3">
      <c r="A57" s="277">
        <f t="shared" si="11"/>
        <v>2034</v>
      </c>
      <c r="B57" s="7">
        <f>'Disposal &amp; LFG Recovery'!B50</f>
        <v>0</v>
      </c>
      <c r="C57" s="7">
        <f t="shared" si="12"/>
        <v>9951550</v>
      </c>
      <c r="D57" s="8">
        <f t="shared" si="13"/>
        <v>1426.121778352343</v>
      </c>
      <c r="E57" s="8">
        <f>SUM(Calcs1!K52:N52)</f>
        <v>839.39151004188318</v>
      </c>
      <c r="F57" s="8">
        <f t="shared" si="6"/>
        <v>26860.058262094633</v>
      </c>
      <c r="G57" s="9">
        <f>IF(Inputs!$C$40="No",'Disposal &amp; LFG Recovery'!D50,'Output-Table'!I57/'Output-Table'!E57)</f>
        <v>0.47200764538665202</v>
      </c>
      <c r="H57" s="8">
        <f t="shared" si="7"/>
        <v>673.14038263471423</v>
      </c>
      <c r="I57" s="117">
        <f>IF(Inputs!$C$40="No",E57*$G57,SUM(Calcs1b!K52:N52)*'Disposal&amp;LFG Recovery-wells'!D50)</f>
        <v>396.19921021241555</v>
      </c>
      <c r="J57" s="8">
        <f t="shared" si="14"/>
        <v>12678.152855239576</v>
      </c>
      <c r="K57" s="10">
        <f t="shared" si="9"/>
        <v>1.1137600020415681</v>
      </c>
      <c r="L57" s="8">
        <f>'Disposal &amp; LFG Recovery'!G50+(D57-H57)*'Disposal &amp; LFG Recovery'!$J$23</f>
        <v>43.635271881836594</v>
      </c>
      <c r="M57" s="8">
        <f t="shared" si="10"/>
        <v>1974.1783877298842</v>
      </c>
      <c r="N57" s="276">
        <f t="shared" si="4"/>
        <v>41457.746142327567</v>
      </c>
    </row>
    <row r="58" spans="1:14" x14ac:dyDescent="0.3">
      <c r="A58" s="277">
        <f t="shared" si="11"/>
        <v>2035</v>
      </c>
      <c r="B58" s="7">
        <f>'Disposal &amp; LFG Recovery'!B51</f>
        <v>0</v>
      </c>
      <c r="C58" s="7">
        <f t="shared" si="12"/>
        <v>9951550</v>
      </c>
      <c r="D58" s="8">
        <f t="shared" si="13"/>
        <v>1364.0932248876813</v>
      </c>
      <c r="E58" s="8">
        <f>SUM(Calcs1!K53:N53)</f>
        <v>802.8825372818078</v>
      </c>
      <c r="F58" s="8">
        <f t="shared" si="6"/>
        <v>25691.791578796976</v>
      </c>
      <c r="G58" s="9">
        <f>IF(Inputs!$C$40="No",'Disposal &amp; LFG Recovery'!D51,'Output-Table'!I58/'Output-Table'!E58)</f>
        <v>0.47076369068071089</v>
      </c>
      <c r="H58" s="8">
        <f t="shared" si="7"/>
        <v>642.16556098067781</v>
      </c>
      <c r="I58" s="117">
        <f>IF(Inputs!$C$40="No",E58*$G58,SUM(Calcs1b!K53:N53)*'Disposal&amp;LFG Recovery-wells'!D51)</f>
        <v>377.96794643387727</v>
      </c>
      <c r="J58" s="8">
        <f t="shared" si="14"/>
        <v>12094.762623834073</v>
      </c>
      <c r="K58" s="10">
        <f t="shared" si="9"/>
        <v>1.062509893864122</v>
      </c>
      <c r="L58" s="8">
        <f>'Disposal &amp; LFG Recovery'!G51+(D58-H58)*'Disposal &amp; LFG Recovery'!$J$23</f>
        <v>41.835708123410861</v>
      </c>
      <c r="M58" s="8">
        <f t="shared" si="10"/>
        <v>1882.6824449486173</v>
      </c>
      <c r="N58" s="276">
        <f t="shared" si="4"/>
        <v>39536.331343920967</v>
      </c>
    </row>
    <row r="59" spans="1:14" x14ac:dyDescent="0.3">
      <c r="A59" s="277">
        <f t="shared" si="11"/>
        <v>2036</v>
      </c>
      <c r="B59" s="7">
        <f>'Disposal &amp; LFG Recovery'!B52</f>
        <v>0</v>
      </c>
      <c r="C59" s="7">
        <f t="shared" si="12"/>
        <v>9951550</v>
      </c>
      <c r="D59" s="8">
        <f t="shared" si="13"/>
        <v>1306.367824377227</v>
      </c>
      <c r="E59" s="8">
        <f>SUM(Calcs1!K54:N54)</f>
        <v>768.90632863136284</v>
      </c>
      <c r="F59" s="8">
        <f t="shared" si="6"/>
        <v>24604.571928659581</v>
      </c>
      <c r="G59" s="9">
        <f>IF(Inputs!$C$40="No",'Disposal &amp; LFG Recovery'!D52,'Output-Table'!I59/'Output-Table'!E59)</f>
        <v>0.46960087211329032</v>
      </c>
      <c r="H59" s="8">
        <f t="shared" si="7"/>
        <v>613.47146962828742</v>
      </c>
      <c r="I59" s="117">
        <f>IF(Inputs!$C$40="No",E59*$G59,SUM(Calcs1b!K54:N54)*'Disposal&amp;LFG Recovery-wells'!D52)</f>
        <v>361.07908249871622</v>
      </c>
      <c r="J59" s="8">
        <f t="shared" si="14"/>
        <v>11554.328435672722</v>
      </c>
      <c r="K59" s="10">
        <f t="shared" si="9"/>
        <v>1.0150334208019469</v>
      </c>
      <c r="L59" s="8">
        <f>'Disposal &amp; LFG Recovery'!G52+(D59-H59)*'Disposal &amp; LFG Recovery'!$J$23</f>
        <v>40.153343757701052</v>
      </c>
      <c r="M59" s="8">
        <f t="shared" si="10"/>
        <v>1797.9715081802287</v>
      </c>
      <c r="N59" s="276">
        <f t="shared" si="4"/>
        <v>37757.401671784806</v>
      </c>
    </row>
    <row r="60" spans="1:14" x14ac:dyDescent="0.3">
      <c r="A60" s="277">
        <f t="shared" si="11"/>
        <v>2037</v>
      </c>
      <c r="B60" s="7">
        <f>'Disposal &amp; LFG Recovery'!B53</f>
        <v>0</v>
      </c>
      <c r="C60" s="7">
        <f t="shared" si="12"/>
        <v>9951550</v>
      </c>
      <c r="D60" s="8">
        <f t="shared" si="13"/>
        <v>1252.5172690568079</v>
      </c>
      <c r="E60" s="8">
        <f>SUM(Calcs1!K55:N55)</f>
        <v>737.21078927901942</v>
      </c>
      <c r="F60" s="8">
        <f t="shared" si="6"/>
        <v>23590.332418886625</v>
      </c>
      <c r="G60" s="9">
        <f>IF(Inputs!$C$40="No",'Disposal &amp; LFG Recovery'!D53,'Output-Table'!I60/'Output-Table'!E60)</f>
        <v>0.46851544494506558</v>
      </c>
      <c r="H60" s="8">
        <f t="shared" si="7"/>
        <v>586.82368561352882</v>
      </c>
      <c r="I60" s="117">
        <f>IF(Inputs!$C$40="No",E60*$G60,SUM(Calcs1b!K55:N55)*'Disposal&amp;LFG Recovery-wells'!D53)</f>
        <v>345.39464095736275</v>
      </c>
      <c r="J60" s="8">
        <f t="shared" si="14"/>
        <v>11052.435089636672</v>
      </c>
      <c r="K60" s="10">
        <f t="shared" si="9"/>
        <v>0.97094271291347534</v>
      </c>
      <c r="L60" s="8">
        <f>'Disposal &amp; LFG Recovery'!G53+(D60-H60)*'Disposal &amp; LFG Recovery'!$J$23</f>
        <v>38.576943160538029</v>
      </c>
      <c r="M60" s="8">
        <f t="shared" si="10"/>
        <v>1719.3456440719756</v>
      </c>
      <c r="N60" s="276">
        <f t="shared" si="4"/>
        <v>36106.25852551149</v>
      </c>
    </row>
    <row r="61" spans="1:14" x14ac:dyDescent="0.3">
      <c r="A61" s="277">
        <f t="shared" si="11"/>
        <v>2038</v>
      </c>
      <c r="B61" s="7">
        <f>'Disposal &amp; LFG Recovery'!B54</f>
        <v>0</v>
      </c>
      <c r="C61" s="7">
        <f t="shared" si="12"/>
        <v>9951550</v>
      </c>
      <c r="D61" s="8">
        <f t="shared" si="13"/>
        <v>1202.1634984125762</v>
      </c>
      <c r="E61" s="8">
        <f>SUM(Calcs1!K56:N56)</f>
        <v>707.57339910733549</v>
      </c>
      <c r="F61" s="8">
        <f t="shared" si="6"/>
        <v>22641.952530331233</v>
      </c>
      <c r="G61" s="9">
        <f>IF(Inputs!$C$40="No",'Disposal &amp; LFG Recovery'!D54,'Output-Table'!I61/'Output-Table'!E61)</f>
        <v>0.46750349244302014</v>
      </c>
      <c r="H61" s="8">
        <f t="shared" si="7"/>
        <v>562.0156339953985</v>
      </c>
      <c r="I61" s="117">
        <f>IF(Inputs!$C$40="No",E61*$G61,SUM(Calcs1b!K56:N56)*'Disposal&amp;LFG Recovery-wells'!D54)</f>
        <v>330.7930352424583</v>
      </c>
      <c r="J61" s="8">
        <f t="shared" si="14"/>
        <v>10585.191883658928</v>
      </c>
      <c r="K61" s="10">
        <f t="shared" si="9"/>
        <v>0.92989597684824365</v>
      </c>
      <c r="L61" s="8">
        <f>'Disposal &amp; LFG Recovery'!G54+(D61-H61)*'Disposal &amp; LFG Recovery'!$J$23</f>
        <v>37.096568742975457</v>
      </c>
      <c r="M61" s="8">
        <f t="shared" si="10"/>
        <v>1646.1881821568188</v>
      </c>
      <c r="N61" s="276">
        <f t="shared" si="4"/>
        <v>34569.951825293196</v>
      </c>
    </row>
    <row r="62" spans="1:14" x14ac:dyDescent="0.3">
      <c r="A62" s="277">
        <f t="shared" si="11"/>
        <v>2039</v>
      </c>
      <c r="B62" s="7">
        <f>'Disposal &amp; LFG Recovery'!B55</f>
        <v>0</v>
      </c>
      <c r="C62" s="7">
        <f t="shared" si="12"/>
        <v>9951550</v>
      </c>
      <c r="D62" s="8">
        <f t="shared" si="13"/>
        <v>1154.972429147467</v>
      </c>
      <c r="E62" s="8">
        <f>SUM(Calcs1!K57:N57)</f>
        <v>679.79752225571315</v>
      </c>
      <c r="F62" s="8">
        <f t="shared" si="6"/>
        <v>21753.140025570359</v>
      </c>
      <c r="G62" s="9">
        <f>IF(Inputs!$C$40="No",'Disposal &amp; LFG Recovery'!D55,'Output-Table'!I62/'Output-Table'!E62)</f>
        <v>0.46656100382317311</v>
      </c>
      <c r="H62" s="8">
        <f t="shared" si="7"/>
        <v>538.8650959311309</v>
      </c>
      <c r="I62" s="117">
        <f>IF(Inputs!$C$40="No",E62*$G62,SUM(Calcs1b!K57:N57)*'Disposal&amp;LFG Recovery-wells'!D55)</f>
        <v>317.16701438013138</v>
      </c>
      <c r="J62" s="8">
        <f t="shared" si="14"/>
        <v>10149.166846636152</v>
      </c>
      <c r="K62" s="10">
        <f t="shared" si="9"/>
        <v>0.89159171820192495</v>
      </c>
      <c r="L62" s="8">
        <f>'Disposal &amp; LFG Recovery'!G55+(D62-H62)*'Disposal &amp; LFG Recovery'!$J$23</f>
        <v>35.703419959886681</v>
      </c>
      <c r="M62" s="8">
        <f t="shared" si="10"/>
        <v>1577.9552687798994</v>
      </c>
      <c r="N62" s="276">
        <f t="shared" si="4"/>
        <v>33137.060644377889</v>
      </c>
    </row>
    <row r="63" spans="1:14" x14ac:dyDescent="0.3">
      <c r="A63" s="277">
        <f t="shared" si="11"/>
        <v>2040</v>
      </c>
      <c r="B63" s="7">
        <f>'Disposal &amp; LFG Recovery'!B56</f>
        <v>0</v>
      </c>
      <c r="C63" s="7">
        <f t="shared" si="12"/>
        <v>9951550</v>
      </c>
      <c r="D63" s="8">
        <f t="shared" si="13"/>
        <v>1110.6484868917328</v>
      </c>
      <c r="E63" s="8">
        <f>SUM(Calcs1!K58:N58)</f>
        <v>653.709188576359</v>
      </c>
      <c r="F63" s="8">
        <f t="shared" si="6"/>
        <v>20918.327957297886</v>
      </c>
      <c r="G63" s="9">
        <f>IF(Inputs!$C$40="No",'Disposal &amp; LFG Recovery'!D56,'Output-Table'!I63/'Output-Table'!E63)</f>
        <v>0.46568394078506115</v>
      </c>
      <c r="H63" s="8">
        <f t="shared" si="7"/>
        <v>517.21116420270744</v>
      </c>
      <c r="I63" s="117">
        <f>IF(Inputs!$C$40="No",E63*$G63,SUM(Calcs1b!K58:N58)*'Disposal&amp;LFG Recovery-wells'!D56)</f>
        <v>304.42187106364355</v>
      </c>
      <c r="J63" s="8">
        <f t="shared" si="14"/>
        <v>9741.3293977887988</v>
      </c>
      <c r="K63" s="10">
        <f t="shared" si="9"/>
        <v>0.85576370421224257</v>
      </c>
      <c r="L63" s="8">
        <f>'Disposal &amp; LFG Recovery'!G56+(D63-H63)*'Disposal &amp; LFG Recovery'!$J$23</f>
        <v>34.389692849829025</v>
      </c>
      <c r="M63" s="8">
        <f t="shared" si="10"/>
        <v>1514.1667598803349</v>
      </c>
      <c r="N63" s="276">
        <f t="shared" si="4"/>
        <v>31797.501957487031</v>
      </c>
    </row>
    <row r="64" spans="1:14" x14ac:dyDescent="0.3">
      <c r="A64" s="277">
        <f>A63+1</f>
        <v>2041</v>
      </c>
      <c r="B64" s="7">
        <f>'Disposal &amp; LFG Recovery'!B57</f>
        <v>0</v>
      </c>
      <c r="C64" s="7">
        <f>C63+B64</f>
        <v>9951550</v>
      </c>
      <c r="D64" s="8">
        <f>E64*60/35.315</f>
        <v>1068.9298360222899</v>
      </c>
      <c r="E64" s="8">
        <f>SUM(Calcs1!K59:N59)</f>
        <v>629.15428598545282</v>
      </c>
      <c r="F64" s="8">
        <f t="shared" si="6"/>
        <v>20132.584825134334</v>
      </c>
      <c r="G64" s="9">
        <f>IF(Inputs!$C$40="No",'Disposal &amp; LFG Recovery'!D57,'Output-Table'!I64/'Output-Table'!E64)</f>
        <v>0.46486829308396849</v>
      </c>
      <c r="H64" s="8">
        <f t="shared" si="7"/>
        <v>496.91158829820824</v>
      </c>
      <c r="I64" s="117">
        <f>IF(Inputs!$C$40="No",E64*$G64,SUM(Calcs1b!K59:N59)*'Disposal&amp;LFG Recovery-wells'!D57)</f>
        <v>292.4738790125204</v>
      </c>
      <c r="J64" s="8">
        <f>$F64*G64</f>
        <v>9359.0003430284032</v>
      </c>
      <c r="K64" s="10">
        <f t="shared" si="9"/>
        <v>0.82217657100186259</v>
      </c>
      <c r="L64" s="8">
        <f>'Disposal &amp; LFG Recovery'!G57+(D64-H64)*'Disposal &amp; LFG Recovery'!$J$23</f>
        <v>33.14845745561054</v>
      </c>
      <c r="M64" s="8">
        <f t="shared" si="10"/>
        <v>1454.3982793728537</v>
      </c>
      <c r="N64" s="276">
        <f t="shared" si="4"/>
        <v>30542.363866829928</v>
      </c>
    </row>
    <row r="65" spans="1:14" x14ac:dyDescent="0.3">
      <c r="A65" s="277">
        <f>A64+1</f>
        <v>2042</v>
      </c>
      <c r="B65" s="7">
        <f>'Disposal &amp; LFG Recovery'!B58</f>
        <v>0</v>
      </c>
      <c r="C65" s="7">
        <f>C64+B65</f>
        <v>9951550</v>
      </c>
      <c r="D65" s="8">
        <f>E65*60/35.315</f>
        <v>1029.5842174217744</v>
      </c>
      <c r="E65" s="8">
        <f>SUM(Calcs1!K60:N60)</f>
        <v>605.99611063749933</v>
      </c>
      <c r="F65" s="8">
        <f t="shared" si="6"/>
        <v>19391.536182578024</v>
      </c>
      <c r="G65" s="9">
        <f>IF(Inputs!$C$40="No",'Disposal &amp; LFG Recovery'!D58,'Output-Table'!I65/'Output-Table'!E65)</f>
        <v>0.46411012386617617</v>
      </c>
      <c r="H65" s="8">
        <f t="shared" si="7"/>
        <v>477.84045867827979</v>
      </c>
      <c r="I65" s="117">
        <f>IF(Inputs!$C$40="No",E65*$G65,SUM(Calcs1b!K60:N60)*'Disposal&amp;LFG Recovery-wells'!D58)</f>
        <v>281.2489299703908</v>
      </c>
      <c r="J65" s="8">
        <f>$F65*G65</f>
        <v>8999.8082596517233</v>
      </c>
      <c r="K65" s="10">
        <f t="shared" si="9"/>
        <v>0.79062199202787653</v>
      </c>
      <c r="L65" s="8">
        <f>'Disposal &amp; LFG Recovery'!G58+(D65-H65)*'Disposal &amp; LFG Recovery'!$J$23</f>
        <v>31.973550819185515</v>
      </c>
      <c r="M65" s="8">
        <f t="shared" si="10"/>
        <v>1398.2742923987482</v>
      </c>
      <c r="N65" s="276">
        <f t="shared" si="4"/>
        <v>29363.760140373714</v>
      </c>
    </row>
    <row r="66" spans="1:14" x14ac:dyDescent="0.3">
      <c r="A66" s="277">
        <f t="shared" ref="A66:A112" si="15">A65+1</f>
        <v>2043</v>
      </c>
      <c r="B66" s="7">
        <f>'Disposal &amp; LFG Recovery'!B59</f>
        <v>0</v>
      </c>
      <c r="C66" s="7">
        <f t="shared" ref="C66:C112" si="16">C65+B66</f>
        <v>9951550</v>
      </c>
      <c r="D66" s="8">
        <f t="shared" ref="D66:D112" si="17">E66*60/35.315</f>
        <v>992.40531572011355</v>
      </c>
      <c r="E66" s="8">
        <f>SUM(Calcs1!K61:N61)</f>
        <v>584.11322874426344</v>
      </c>
      <c r="F66" s="8">
        <f t="shared" si="6"/>
        <v>18691.296216408333</v>
      </c>
      <c r="G66" s="9">
        <f>IF(Inputs!$C$40="No",'Disposal &amp; LFG Recovery'!D59,'Output-Table'!I66/'Output-Table'!E66)</f>
        <v>0.46340560567253991</v>
      </c>
      <c r="H66" s="8">
        <f t="shared" si="7"/>
        <v>459.88618640392741</v>
      </c>
      <c r="I66" s="117">
        <f>IF(Inputs!$C$40="No",E66*$G66,SUM(Calcs1b!K61:N61)*'Disposal&amp;LFG Recovery-wells'!D59)</f>
        <v>270.68134454757825</v>
      </c>
      <c r="J66" s="8">
        <f t="shared" ref="J66:J112" si="18">$F66*G66</f>
        <v>8661.6514439695566</v>
      </c>
      <c r="K66" s="10">
        <f t="shared" si="9"/>
        <v>0.7609153352281921</v>
      </c>
      <c r="L66" s="8">
        <f>'Disposal &amp; LFG Recovery'!G59+(D66-H66)*'Disposal &amp; LFG Recovery'!$J$23</f>
        <v>30.859483543872987</v>
      </c>
      <c r="M66" s="8">
        <f t="shared" si="10"/>
        <v>1345.4620623053593</v>
      </c>
      <c r="N66" s="276">
        <f t="shared" si="4"/>
        <v>28254.703308412543</v>
      </c>
    </row>
    <row r="67" spans="1:14" x14ac:dyDescent="0.3">
      <c r="A67" s="277">
        <f t="shared" si="15"/>
        <v>2044</v>
      </c>
      <c r="B67" s="7">
        <f>'Disposal &amp; LFG Recovery'!B60</f>
        <v>0</v>
      </c>
      <c r="C67" s="7">
        <f t="shared" si="16"/>
        <v>9951550</v>
      </c>
      <c r="D67" s="8">
        <f t="shared" si="17"/>
        <v>957.2095877477451</v>
      </c>
      <c r="E67" s="8">
        <f>SUM(Calcs1!K62:N62)</f>
        <v>563.39760985519365</v>
      </c>
      <c r="F67" s="8">
        <f t="shared" si="6"/>
        <v>18028.408012704676</v>
      </c>
      <c r="G67" s="9">
        <f>IF(Inputs!$C$40="No",'Disposal &amp; LFG Recovery'!D60,'Output-Table'!I67/'Output-Table'!E67)</f>
        <v>0.46275104811383372</v>
      </c>
      <c r="H67" s="8">
        <f t="shared" si="7"/>
        <v>442.94973999487974</v>
      </c>
      <c r="I67" s="117">
        <f>IF(Inputs!$C$40="No",E67*$G67,SUM(Calcs1b!K62:N62)*'Disposal&amp;LFG Recovery-wells'!D60)</f>
        <v>260.71283446531965</v>
      </c>
      <c r="J67" s="8">
        <f t="shared" si="18"/>
        <v>8342.664703702927</v>
      </c>
      <c r="K67" s="10">
        <f t="shared" si="9"/>
        <v>0.73289274577473185</v>
      </c>
      <c r="L67" s="8">
        <f>'Disposal &amp; LFG Recovery'!G60+(D67-H67)*'Disposal &amp; LFG Recovery'!$J$23</f>
        <v>29.801358177278555</v>
      </c>
      <c r="M67" s="8">
        <f t="shared" si="10"/>
        <v>1295.6663772505428</v>
      </c>
      <c r="N67" s="276">
        <f t="shared" si="4"/>
        <v>27208.993922261401</v>
      </c>
    </row>
    <row r="68" spans="1:14" x14ac:dyDescent="0.3">
      <c r="A68" s="277">
        <f t="shared" si="15"/>
        <v>2045</v>
      </c>
      <c r="B68" s="7">
        <f>'Disposal &amp; LFG Recovery'!B61</f>
        <v>0</v>
      </c>
      <c r="C68" s="7">
        <f t="shared" si="16"/>
        <v>9951550</v>
      </c>
      <c r="D68" s="8">
        <f t="shared" si="17"/>
        <v>923.83349278946025</v>
      </c>
      <c r="E68" s="8">
        <f>SUM(Calcs1!K63:N63)</f>
        <v>543.75299663099645</v>
      </c>
      <c r="F68" s="8">
        <f t="shared" si="6"/>
        <v>17399.791390513776</v>
      </c>
      <c r="G68" s="9">
        <f>IF(Inputs!$C$40="No",'Disposal &amp; LFG Recovery'!D61,'Output-Table'!I68/'Output-Table'!E68)</f>
        <v>0.46214291825479398</v>
      </c>
      <c r="H68" s="8">
        <f t="shared" si="7"/>
        <v>426.94310633924033</v>
      </c>
      <c r="I68" s="117">
        <f>IF(Inputs!$C$40="No",E68*$G68,SUM(Calcs1b!K63:N63)*'Disposal&amp;LFG Recovery-wells'!D61)</f>
        <v>251.29159667283787</v>
      </c>
      <c r="J68" s="8">
        <f t="shared" si="18"/>
        <v>8041.1903702366762</v>
      </c>
      <c r="K68" s="10">
        <f t="shared" si="9"/>
        <v>0.70640859953586654</v>
      </c>
      <c r="L68" s="8">
        <f>'Disposal &amp; LFG Recovery'!G61+(D68-H68)*'Disposal &amp; LFG Recovery'!$J$23</f>
        <v>28.79479789479025</v>
      </c>
      <c r="M68" s="8">
        <f t="shared" si="10"/>
        <v>1248.624947146471</v>
      </c>
      <c r="N68" s="276">
        <f t="shared" si="4"/>
        <v>26221.123890075891</v>
      </c>
    </row>
    <row r="69" spans="1:14" x14ac:dyDescent="0.3">
      <c r="A69" s="277">
        <f t="shared" si="15"/>
        <v>2046</v>
      </c>
      <c r="B69" s="7">
        <f>'Disposal &amp; LFG Recovery'!B62</f>
        <v>0</v>
      </c>
      <c r="C69" s="7">
        <f t="shared" si="16"/>
        <v>9951550</v>
      </c>
      <c r="D69" s="8">
        <f t="shared" si="17"/>
        <v>892.1310729341418</v>
      </c>
      <c r="E69" s="8">
        <f>SUM(Calcs1!K64:N64)</f>
        <v>525.09348067782025</v>
      </c>
      <c r="F69" s="8">
        <f t="shared" si="6"/>
        <v>16802.697329341067</v>
      </c>
      <c r="G69" s="9">
        <f>IF(Inputs!$C$40="No",'Disposal &amp; LFG Recovery'!D62,'Output-Table'!I69/'Output-Table'!E69)</f>
        <v>0.46157785472866197</v>
      </c>
      <c r="H69" s="8">
        <f t="shared" si="7"/>
        <v>411.78794678172062</v>
      </c>
      <c r="I69" s="117">
        <f>IF(Inputs!$C$40="No",E69*$G69,SUM(Calcs1b!K64:N64)*'Disposal&amp;LFG Recovery-wells'!D62)</f>
        <v>242.37152234327439</v>
      </c>
      <c r="J69" s="8">
        <f t="shared" si="18"/>
        <v>7755.752986932267</v>
      </c>
      <c r="K69" s="10">
        <f t="shared" si="9"/>
        <v>0.68133327947609346</v>
      </c>
      <c r="L69" s="8">
        <f>'Disposal &amp; LFG Recovery'!G62+(D69-H69)*'Disposal &amp; LFG Recovery'!$J$23</f>
        <v>27.83588416053281</v>
      </c>
      <c r="M69" s="8">
        <f t="shared" si="10"/>
        <v>1204.1043845450545</v>
      </c>
      <c r="N69" s="276">
        <f t="shared" si="4"/>
        <v>25286.192075446143</v>
      </c>
    </row>
    <row r="70" spans="1:14" x14ac:dyDescent="0.3">
      <c r="A70" s="277">
        <f t="shared" si="15"/>
        <v>2047</v>
      </c>
      <c r="B70" s="7">
        <f>'Disposal &amp; LFG Recovery'!B63</f>
        <v>0</v>
      </c>
      <c r="C70" s="7">
        <f t="shared" si="16"/>
        <v>9951550</v>
      </c>
      <c r="D70" s="8">
        <f t="shared" si="17"/>
        <v>861.97183851891305</v>
      </c>
      <c r="E70" s="8">
        <f>SUM(Calcs1!K65:N65)</f>
        <v>507.34225795492353</v>
      </c>
      <c r="F70" s="8">
        <f t="shared" si="6"/>
        <v>16234.668142893097</v>
      </c>
      <c r="G70" s="9">
        <f>IF(Inputs!$C$40="No",'Disposal &amp; LFG Recovery'!D63,'Output-Table'!I70/'Output-Table'!E70)</f>
        <v>0.46105267655433285</v>
      </c>
      <c r="H70" s="8">
        <f t="shared" si="7"/>
        <v>397.41442326360402</v>
      </c>
      <c r="I70" s="117">
        <f>IF(Inputs!$C$40="No",E70*$G70,SUM(Calcs1b!K65:N65)*'Disposal&amp;LFG Recovery-wells'!D63)</f>
        <v>233.91150595923625</v>
      </c>
      <c r="J70" s="8">
        <f t="shared" si="18"/>
        <v>7485.0372002522226</v>
      </c>
      <c r="K70" s="10">
        <f t="shared" si="9"/>
        <v>0.65755123341874189</v>
      </c>
      <c r="L70" s="8">
        <f>'Disposal &amp; LFG Recovery'!G63+(D70-H70)*'Disposal &amp; LFG Recovery'!$J$23</f>
        <v>26.921102214045163</v>
      </c>
      <c r="M70" s="8">
        <f t="shared" si="10"/>
        <v>1161.8966942771006</v>
      </c>
      <c r="N70" s="276">
        <f t="shared" si="4"/>
        <v>24399.83057981911</v>
      </c>
    </row>
    <row r="71" spans="1:14" x14ac:dyDescent="0.3">
      <c r="A71" s="277">
        <f t="shared" si="15"/>
        <v>2048</v>
      </c>
      <c r="B71" s="7">
        <f>'Disposal &amp; LFG Recovery'!B64</f>
        <v>0</v>
      </c>
      <c r="C71" s="7">
        <f t="shared" si="16"/>
        <v>9951550</v>
      </c>
      <c r="D71" s="8">
        <f t="shared" si="17"/>
        <v>833.23891949719109</v>
      </c>
      <c r="E71" s="8">
        <f>SUM(Calcs1!K66:N66)</f>
        <v>490.43054070072168</v>
      </c>
      <c r="F71" s="8">
        <f t="shared" si="6"/>
        <v>15693.502661320301</v>
      </c>
      <c r="G71" s="9">
        <f>IF(Inputs!$C$40="No",'Disposal &amp; LFG Recovery'!D64,'Output-Table'!I71/'Output-Table'!E71)</f>
        <v>0.46056438755572104</v>
      </c>
      <c r="H71" s="8">
        <f t="shared" si="7"/>
        <v>383.76017264581458</v>
      </c>
      <c r="I71" s="117">
        <f>IF(Inputs!$C$40="No",E71*$G71,SUM(Calcs1b!K66:N66)*'Disposal&amp;LFG Recovery-wells'!D64)</f>
        <v>225.874841616449</v>
      </c>
      <c r="J71" s="8">
        <f t="shared" si="18"/>
        <v>7227.8684418150624</v>
      </c>
      <c r="K71" s="10">
        <f t="shared" si="9"/>
        <v>0.63495927698846222</v>
      </c>
      <c r="L71" s="8">
        <f>'Disposal &amp; LFG Recovery'!G64+(D71-H71)*'Disposal &amp; LFG Recovery'!$J$23</f>
        <v>26.047293380037274</v>
      </c>
      <c r="M71" s="8">
        <f t="shared" si="10"/>
        <v>1121.8162064078188</v>
      </c>
      <c r="N71" s="276">
        <f t="shared" si="4"/>
        <v>23558.140334564196</v>
      </c>
    </row>
    <row r="72" spans="1:14" x14ac:dyDescent="0.3">
      <c r="A72" s="277">
        <f t="shared" si="15"/>
        <v>2049</v>
      </c>
      <c r="B72" s="7">
        <f>'Disposal &amp; LFG Recovery'!B65</f>
        <v>0</v>
      </c>
      <c r="C72" s="7">
        <f t="shared" si="16"/>
        <v>9951550</v>
      </c>
      <c r="D72" s="8">
        <f t="shared" si="17"/>
        <v>805.82744863248195</v>
      </c>
      <c r="E72" s="8">
        <f>SUM(Calcs1!K67:N67)</f>
        <v>474.29660580760162</v>
      </c>
      <c r="F72" s="8">
        <f t="shared" si="6"/>
        <v>15177.225779743998</v>
      </c>
      <c r="G72" s="9">
        <f>IF(Inputs!$C$40="No",'Disposal &amp; LFG Recovery'!D65,'Output-Table'!I72/'Output-Table'!E72)</f>
        <v>0.46011017719720293</v>
      </c>
      <c r="H72" s="8">
        <f t="shared" si="7"/>
        <v>370.76941018066123</v>
      </c>
      <c r="I72" s="117">
        <f>IF(Inputs!$C$40="No",E72*$G72,SUM(Calcs1b!K67:N67)*'Disposal&amp;LFG Recovery-wells'!D65)</f>
        <v>218.2286953421675</v>
      </c>
      <c r="J72" s="8">
        <f t="shared" si="18"/>
        <v>6983.1960428799675</v>
      </c>
      <c r="K72" s="10">
        <f t="shared" si="9"/>
        <v>0.61346511023964856</v>
      </c>
      <c r="L72" s="8">
        <f>'Disposal &amp; LFG Recovery'!G65+(D72-H72)*'Disposal &amp; LFG Recovery'!$J$23</f>
        <v>25.211613328283015</v>
      </c>
      <c r="M72" s="8">
        <f t="shared" si="10"/>
        <v>1083.6968955528062</v>
      </c>
      <c r="N72" s="276">
        <f t="shared" si="4"/>
        <v>22757.63480660893</v>
      </c>
    </row>
    <row r="73" spans="1:14" x14ac:dyDescent="0.3">
      <c r="A73" s="277">
        <f t="shared" si="15"/>
        <v>2050</v>
      </c>
      <c r="B73" s="7">
        <f>'Disposal &amp; LFG Recovery'!B66</f>
        <v>0</v>
      </c>
      <c r="C73" s="7">
        <f t="shared" si="16"/>
        <v>9951550</v>
      </c>
      <c r="D73" s="8">
        <f t="shared" si="17"/>
        <v>779.64314683253804</v>
      </c>
      <c r="E73" s="8">
        <f>SUM(Calcs1!K68:N68)</f>
        <v>458.88496217318465</v>
      </c>
      <c r="F73" s="8">
        <f t="shared" si="6"/>
        <v>14684.061813963093</v>
      </c>
      <c r="G73" s="9">
        <f>IF(Inputs!$C$40="No",'Disposal &amp; LFG Recovery'!D66,'Output-Table'!I73/'Output-Table'!E73)</f>
        <v>0.4596874185572139</v>
      </c>
      <c r="H73" s="8">
        <f t="shared" si="7"/>
        <v>358.39214556327227</v>
      </c>
      <c r="I73" s="117">
        <f>IF(Inputs!$C$40="No",E73*$G73,SUM(Calcs1b!K68:N68)*'Disposal&amp;LFG Recovery-wells'!D66)</f>
        <v>210.94364367611601</v>
      </c>
      <c r="J73" s="8">
        <f t="shared" si="18"/>
        <v>6750.078469195254</v>
      </c>
      <c r="K73" s="10">
        <f t="shared" si="9"/>
        <v>0.59298602055619276</v>
      </c>
      <c r="L73" s="8">
        <f>'Disposal &amp; LFG Recovery'!G66+(D73-H73)*'Disposal &amp; LFG Recovery'!$J$23</f>
        <v>24.411495523553956</v>
      </c>
      <c r="M73" s="8">
        <f t="shared" si="10"/>
        <v>1047.3900369765597</v>
      </c>
      <c r="N73" s="276">
        <f t="shared" si="4"/>
        <v>21995.190776507756</v>
      </c>
    </row>
    <row r="74" spans="1:14" x14ac:dyDescent="0.3">
      <c r="A74" s="277">
        <f t="shared" si="15"/>
        <v>2051</v>
      </c>
      <c r="B74" s="7">
        <f>'Disposal &amp; LFG Recovery'!B67</f>
        <v>0</v>
      </c>
      <c r="C74" s="7">
        <f t="shared" si="16"/>
        <v>9951550</v>
      </c>
      <c r="D74" s="8">
        <f t="shared" si="17"/>
        <v>754.60108477747679</v>
      </c>
      <c r="E74" s="8">
        <f>SUM(Calcs1!K69:N69)</f>
        <v>444.14562181527651</v>
      </c>
      <c r="F74" s="8">
        <f t="shared" si="6"/>
        <v>14212.411176540632</v>
      </c>
      <c r="G74" s="9">
        <f>IF(Inputs!$C$40="No",'Disposal &amp; LFG Recovery'!D67,'Output-Table'!I74/'Output-Table'!E74)</f>
        <v>0.45929366406983602</v>
      </c>
      <c r="H74" s="8">
        <f t="shared" si="7"/>
        <v>346.58349713852027</v>
      </c>
      <c r="I74" s="117">
        <f>IF(Inputs!$C$40="No",E74*$G74,SUM(Calcs1b!K69:N69)*'Disposal&amp;LFG Recovery-wells'!D67)</f>
        <v>203.99327002411405</v>
      </c>
      <c r="J74" s="8">
        <f t="shared" si="18"/>
        <v>6527.6704045404358</v>
      </c>
      <c r="K74" s="10">
        <f t="shared" si="9"/>
        <v>0.57344774795667608</v>
      </c>
      <c r="L74" s="8">
        <f>'Disposal &amp; LFG Recovery'!G67+(D74-H74)*'Disposal &amp; LFG Recovery'!$J$23</f>
        <v>23.644619203677532</v>
      </c>
      <c r="M74" s="8">
        <f t="shared" si="10"/>
        <v>1012.7621563139015</v>
      </c>
      <c r="N74" s="276">
        <f t="shared" si="4"/>
        <v>21268.005282591934</v>
      </c>
    </row>
    <row r="75" spans="1:14" x14ac:dyDescent="0.3">
      <c r="A75" s="277">
        <f t="shared" si="15"/>
        <v>2052</v>
      </c>
      <c r="B75" s="7">
        <f>'Disposal &amp; LFG Recovery'!B68</f>
        <v>0</v>
      </c>
      <c r="C75" s="7">
        <f t="shared" si="16"/>
        <v>9951550</v>
      </c>
      <c r="D75" s="8">
        <f t="shared" si="17"/>
        <v>730.62459833558989</v>
      </c>
      <c r="E75" s="8">
        <f>SUM(Calcs1!K70:N70)</f>
        <v>430.03346150368924</v>
      </c>
      <c r="F75" s="8">
        <f t="shared" si="6"/>
        <v>13760.829949379613</v>
      </c>
      <c r="G75" s="9">
        <f>IF(Inputs!$C$40="No",'Disposal &amp; LFG Recovery'!D68,'Output-Table'!I75/'Output-Table'!E75)</f>
        <v>0.45892663957519764</v>
      </c>
      <c r="H75" s="8">
        <f t="shared" si="7"/>
        <v>335.30309170513078</v>
      </c>
      <c r="I75" s="117">
        <f>IF(Inputs!$C$40="No",E75*$G75,SUM(Calcs1b!K70:N70)*'Disposal&amp;LFG Recovery-wells'!D68)</f>
        <v>197.35381139277823</v>
      </c>
      <c r="J75" s="8">
        <f t="shared" si="18"/>
        <v>6315.2114464345232</v>
      </c>
      <c r="K75" s="10">
        <f t="shared" si="9"/>
        <v>0.55478349202636545</v>
      </c>
      <c r="L75" s="8">
        <f>'Disposal &amp; LFG Recovery'!G68+(D75-H75)*'Disposal &amp; LFG Recovery'!$J$23</f>
        <v>22.90888130923511</v>
      </c>
      <c r="M75" s="8">
        <f t="shared" si="10"/>
        <v>979.69323533836052</v>
      </c>
      <c r="N75" s="276">
        <f t="shared" si="4"/>
        <v>20573.55794210557</v>
      </c>
    </row>
    <row r="76" spans="1:14" x14ac:dyDescent="0.3">
      <c r="A76" s="277">
        <f t="shared" si="15"/>
        <v>2053</v>
      </c>
      <c r="B76" s="7">
        <f>'Disposal &amp; LFG Recovery'!B69</f>
        <v>0</v>
      </c>
      <c r="C76" s="7">
        <f t="shared" si="16"/>
        <v>9951550</v>
      </c>
      <c r="D76" s="8">
        <f t="shared" si="17"/>
        <v>707.6443381667134</v>
      </c>
      <c r="E76" s="8">
        <f>SUM(Calcs1!K71:N71)</f>
        <v>416.50766337262473</v>
      </c>
      <c r="F76" s="8">
        <f t="shared" si="6"/>
        <v>13328.011983632505</v>
      </c>
      <c r="G76" s="9">
        <f>IF(Inputs!$C$40="No",'Disposal &amp; LFG Recovery'!D69,'Output-Table'!I76/'Output-Table'!E76)</f>
        <v>0.45858423713635194</v>
      </c>
      <c r="H76" s="8">
        <f t="shared" si="7"/>
        <v>324.5145389820409</v>
      </c>
      <c r="I76" s="117">
        <f>IF(Inputs!$C$40="No",E76*$G76,SUM(Calcs1b!K71:N71)*'Disposal&amp;LFG Recovery-wells'!D69)</f>
        <v>191.00384906917958</v>
      </c>
      <c r="J76" s="8">
        <f t="shared" si="18"/>
        <v>6112.0162080582686</v>
      </c>
      <c r="K76" s="10">
        <f t="shared" si="9"/>
        <v>0.53693304238336037</v>
      </c>
      <c r="L76" s="8">
        <f>'Disposal &amp; LFG Recovery'!G69+(D76-H76)*'Disposal &amp; LFG Recovery'!$J$23</f>
        <v>22.202371862751775</v>
      </c>
      <c r="M76" s="8">
        <f t="shared" si="10"/>
        <v>948.07514105946018</v>
      </c>
      <c r="N76" s="276">
        <f t="shared" si="4"/>
        <v>19909.577962248663</v>
      </c>
    </row>
    <row r="77" spans="1:14" x14ac:dyDescent="0.3">
      <c r="A77" s="277">
        <f t="shared" si="15"/>
        <v>2054</v>
      </c>
      <c r="B77" s="7">
        <f>'Disposal &amp; LFG Recovery'!B70</f>
        <v>0</v>
      </c>
      <c r="C77" s="7">
        <f t="shared" si="16"/>
        <v>9951550</v>
      </c>
      <c r="D77" s="8">
        <f t="shared" si="17"/>
        <v>685.59743644182288</v>
      </c>
      <c r="E77" s="8">
        <f>SUM(Calcs1!K72:N72)</f>
        <v>403.53122446571621</v>
      </c>
      <c r="F77" s="8">
        <f t="shared" si="6"/>
        <v>12912.773205417217</v>
      </c>
      <c r="G77" s="9">
        <f>IF(Inputs!$C$40="No",'Disposal &amp; LFG Recovery'!D70,'Output-Table'!I77/'Output-Table'!E77)</f>
        <v>0.45826450700442706</v>
      </c>
      <c r="H77" s="8">
        <f t="shared" si="7"/>
        <v>314.18497121451099</v>
      </c>
      <c r="I77" s="117">
        <f>IF(Inputs!$C$40="No",E77*$G77,SUM(Calcs1b!K72:N72)*'Disposal&amp;LFG Recovery-wells'!D70)</f>
        <v>184.92403764067424</v>
      </c>
      <c r="J77" s="8">
        <f t="shared" si="18"/>
        <v>5917.4656470404962</v>
      </c>
      <c r="K77" s="10">
        <f t="shared" si="9"/>
        <v>0.51984201692322862</v>
      </c>
      <c r="L77" s="8">
        <f>'Disposal &amp; LFG Recovery'!G70+(D77-H77)*'Disposal &amp; LFG Recovery'!$J$23</f>
        <v>21.523352359922725</v>
      </c>
      <c r="M77" s="8">
        <f t="shared" si="10"/>
        <v>917.81024965749702</v>
      </c>
      <c r="N77" s="276">
        <f t="shared" si="4"/>
        <v>19274.015242807436</v>
      </c>
    </row>
    <row r="78" spans="1:14" x14ac:dyDescent="0.3">
      <c r="A78" s="277">
        <f t="shared" si="15"/>
        <v>2055</v>
      </c>
      <c r="B78" s="7">
        <f>'Disposal &amp; LFG Recovery'!B71</f>
        <v>0</v>
      </c>
      <c r="C78" s="7">
        <f t="shared" si="16"/>
        <v>9951550</v>
      </c>
      <c r="D78" s="8">
        <f t="shared" si="17"/>
        <v>664.42677580800841</v>
      </c>
      <c r="E78" s="8">
        <f>SUM(Calcs1!K73:N73)</f>
        <v>391.07052646099692</v>
      </c>
      <c r="F78" s="8">
        <f t="shared" si="6"/>
        <v>12514.037847257083</v>
      </c>
      <c r="G78" s="9">
        <f>IF(Inputs!$C$40="No",'Disposal &amp; LFG Recovery'!D71,'Output-Table'!I78/'Output-Table'!E78)</f>
        <v>0.45796564904603743</v>
      </c>
      <c r="H78" s="8">
        <f t="shared" si="7"/>
        <v>304.28463962648055</v>
      </c>
      <c r="I78" s="117">
        <f>IF(Inputs!$C$40="No",E78*$G78,SUM(Calcs1b!K73:N73)*'Disposal&amp;LFG Recovery-wells'!D71)</f>
        <v>179.09686747348601</v>
      </c>
      <c r="J78" s="8">
        <f t="shared" si="18"/>
        <v>5730.9994649057671</v>
      </c>
      <c r="K78" s="10">
        <f t="shared" si="9"/>
        <v>0.50346119411991064</v>
      </c>
      <c r="L78" s="8">
        <f>'Disposal &amp; LFG Recovery'!G71+(D78-H78)*'Disposal &amp; LFG Recovery'!$J$23</f>
        <v>20.870236791719542</v>
      </c>
      <c r="M78" s="8">
        <f t="shared" si="10"/>
        <v>888.8102404420373</v>
      </c>
      <c r="N78" s="276">
        <f t="shared" ref="N78:N112" si="19">+M78*21</f>
        <v>18665.015049282782</v>
      </c>
    </row>
    <row r="79" spans="1:14" x14ac:dyDescent="0.3">
      <c r="A79" s="277">
        <f t="shared" si="15"/>
        <v>2056</v>
      </c>
      <c r="B79" s="7">
        <f>'Disposal &amp; LFG Recovery'!B72</f>
        <v>0</v>
      </c>
      <c r="C79" s="7">
        <f t="shared" si="16"/>
        <v>9951550</v>
      </c>
      <c r="D79" s="8">
        <f t="shared" si="17"/>
        <v>644.08034764302204</v>
      </c>
      <c r="E79" s="8">
        <f>SUM(Calcs1!K74:N74)</f>
        <v>379.09495795022201</v>
      </c>
      <c r="F79" s="8">
        <f t="shared" ref="F79:F112" si="20">E79*506*60*1054/1000000</f>
        <v>12130.826361230649</v>
      </c>
      <c r="G79" s="9">
        <f>IF(Inputs!$C$40="No",'Disposal &amp; LFG Recovery'!D72,'Output-Table'!I79/'Output-Table'!E79)</f>
        <v>0.45768600388732572</v>
      </c>
      <c r="H79" s="8">
        <f t="shared" ref="H79:H112" si="21">D79*$G79</f>
        <v>294.78656049509431</v>
      </c>
      <c r="I79" s="117">
        <f>IF(Inputs!$C$40="No",E79*$G79,SUM(Calcs1b!K74:N74)*'Disposal&amp;LFG Recovery-wells'!D72)</f>
        <v>173.5064563980709</v>
      </c>
      <c r="J79" s="8">
        <f t="shared" si="18"/>
        <v>5552.1094411226841</v>
      </c>
      <c r="K79" s="10">
        <f t="shared" ref="K79:K112" si="22">J79*1000000/(10800)/1000/1054</f>
        <v>0.48774592743013251</v>
      </c>
      <c r="L79" s="8">
        <f>'Disposal &amp; LFG Recovery'!G72+(D79-H79)*'Disposal &amp; LFG Recovery'!$J$23</f>
        <v>20.241574965222416</v>
      </c>
      <c r="M79" s="8">
        <f t="shared" ref="M79:M112" si="23">IF(L79&gt;H79,0,(H79-L79)*8760*0.5*0.000716)</f>
        <v>860.99503822052054</v>
      </c>
      <c r="N79" s="276">
        <f t="shared" si="19"/>
        <v>18080.89580263093</v>
      </c>
    </row>
    <row r="80" spans="1:14" x14ac:dyDescent="0.3">
      <c r="A80" s="277">
        <f t="shared" si="15"/>
        <v>2057</v>
      </c>
      <c r="B80" s="7">
        <f>'Disposal &amp; LFG Recovery'!B73</f>
        <v>0</v>
      </c>
      <c r="C80" s="7">
        <f t="shared" si="16"/>
        <v>9951550</v>
      </c>
      <c r="D80" s="8">
        <f t="shared" si="17"/>
        <v>624.51068831024338</v>
      </c>
      <c r="E80" s="8">
        <f>SUM(Calcs1!K75:N75)</f>
        <v>367.5765826279374</v>
      </c>
      <c r="F80" s="8">
        <f t="shared" si="20"/>
        <v>11762.244801207724</v>
      </c>
      <c r="G80" s="9">
        <f>IF(Inputs!$C$40="No",'Disposal &amp; LFG Recovery'!D73,'Output-Table'!I80/'Output-Table'!E80)</f>
        <v>0.4574240439773829</v>
      </c>
      <c r="H80" s="8">
        <f t="shared" si="21"/>
        <v>285.66620455397043</v>
      </c>
      <c r="I80" s="117">
        <f>IF(Inputs!$C$40="No",E80*$G80,SUM(Calcs1b!K75:N75)*'Disposal&amp;LFG Recovery-wells'!D73)</f>
        <v>168.13836689705775</v>
      </c>
      <c r="J80" s="8">
        <f t="shared" si="18"/>
        <v>5380.3335832203857</v>
      </c>
      <c r="K80" s="10">
        <f t="shared" si="22"/>
        <v>0.47265563138839567</v>
      </c>
      <c r="L80" s="8">
        <f>'Disposal &amp; LFG Recovery'!G73+(D80-H80)*'Disposal &amp; LFG Recovery'!$J$23</f>
        <v>19.636037833676021</v>
      </c>
      <c r="M80" s="8">
        <f t="shared" si="23"/>
        <v>834.29188524818073</v>
      </c>
      <c r="N80" s="276">
        <f t="shared" si="19"/>
        <v>17520.129590211796</v>
      </c>
    </row>
    <row r="81" spans="1:14" x14ac:dyDescent="0.3">
      <c r="A81" s="277">
        <f t="shared" si="15"/>
        <v>2058</v>
      </c>
      <c r="B81" s="7">
        <f>'Disposal &amp; LFG Recovery'!B74</f>
        <v>0</v>
      </c>
      <c r="C81" s="7">
        <f t="shared" si="16"/>
        <v>9951550</v>
      </c>
      <c r="D81" s="8">
        <f t="shared" si="17"/>
        <v>605.67438357556193</v>
      </c>
      <c r="E81" s="8">
        <f>SUM(Calcs1!K76:N76)</f>
        <v>356.48984759951611</v>
      </c>
      <c r="F81" s="8">
        <f t="shared" si="20"/>
        <v>11407.475488869861</v>
      </c>
      <c r="G81" s="9">
        <f>IF(Inputs!$C$40="No",'Disposal &amp; LFG Recovery'!D74,'Output-Table'!I81/'Output-Table'!E81)</f>
        <v>0.45717836472968137</v>
      </c>
      <c r="H81" s="8">
        <f t="shared" si="21"/>
        <v>276.90122424173319</v>
      </c>
      <c r="I81" s="117">
        <f>IF(Inputs!$C$40="No",E81*$G81,SUM(Calcs1b!K76:N76)*'Disposal&amp;LFG Recovery-wells'!D74)</f>
        <v>162.97944556828011</v>
      </c>
      <c r="J81" s="8">
        <f t="shared" si="18"/>
        <v>5215.2509896954452</v>
      </c>
      <c r="K81" s="10">
        <f t="shared" si="22"/>
        <v>0.45815333031972072</v>
      </c>
      <c r="L81" s="8">
        <f>'Disposal &amp; LFG Recovery'!G74+(D81-H81)*'Disposal &amp; LFG Recovery'!$J$23</f>
        <v>19.052404583395379</v>
      </c>
      <c r="M81" s="8">
        <f t="shared" si="23"/>
        <v>808.63452635412</v>
      </c>
      <c r="N81" s="276">
        <f t="shared" si="19"/>
        <v>16981.325053436522</v>
      </c>
    </row>
    <row r="82" spans="1:14" x14ac:dyDescent="0.3">
      <c r="A82" s="277">
        <f t="shared" si="15"/>
        <v>2059</v>
      </c>
      <c r="B82" s="7">
        <f>'Disposal &amp; LFG Recovery'!B75</f>
        <v>0</v>
      </c>
      <c r="C82" s="7">
        <f t="shared" si="16"/>
        <v>9951550</v>
      </c>
      <c r="D82" s="8">
        <f t="shared" si="17"/>
        <v>587.53163261041857</v>
      </c>
      <c r="E82" s="8">
        <f>SUM(Calcs1!K77:N77)</f>
        <v>345.81132676061554</v>
      </c>
      <c r="F82" s="8">
        <f t="shared" si="20"/>
        <v>11065.768801996712</v>
      </c>
      <c r="G82" s="9">
        <f>IF(Inputs!$C$40="No",'Disposal &amp; LFG Recovery'!D75,'Output-Table'!I82/'Output-Table'!E82)</f>
        <v>0.45694767586289742</v>
      </c>
      <c r="H82" s="8">
        <f t="shared" si="21"/>
        <v>268.47121401726446</v>
      </c>
      <c r="I82" s="117">
        <f>IF(Inputs!$C$40="No",E82*$G82,SUM(Calcs1b!K77:N77)*'Disposal&amp;LFG Recovery-wells'!D75)</f>
        <v>158.01768205032826</v>
      </c>
      <c r="J82" s="8">
        <f t="shared" si="18"/>
        <v>5056.477335708556</v>
      </c>
      <c r="K82" s="10">
        <f t="shared" si="22"/>
        <v>0.44420526176370057</v>
      </c>
      <c r="L82" s="8">
        <f>'Disposal &amp; LFG Recovery'!G75+(D82-H82)*'Disposal &amp; LFG Recovery'!$J$23</f>
        <v>18.489551257473284</v>
      </c>
      <c r="M82" s="8">
        <f t="shared" si="23"/>
        <v>783.96249294772576</v>
      </c>
      <c r="N82" s="276">
        <f t="shared" si="19"/>
        <v>16463.212351902243</v>
      </c>
    </row>
    <row r="83" spans="1:14" x14ac:dyDescent="0.3">
      <c r="A83" s="277">
        <f t="shared" si="15"/>
        <v>2060</v>
      </c>
      <c r="B83" s="7">
        <f>'Disposal &amp; LFG Recovery'!B76</f>
        <v>0</v>
      </c>
      <c r="C83" s="7">
        <f t="shared" si="16"/>
        <v>9951550</v>
      </c>
      <c r="D83" s="8">
        <f t="shared" si="17"/>
        <v>570.04586410450713</v>
      </c>
      <c r="E83" s="8">
        <f>SUM(Calcs1!K78:N78)</f>
        <v>335.51949484751111</v>
      </c>
      <c r="F83" s="8">
        <f t="shared" si="20"/>
        <v>10736.435944203242</v>
      </c>
      <c r="G83" s="9">
        <f>IF(Inputs!$C$40="No",'Disposal &amp; LFG Recovery'!D76,'Output-Table'!I83/'Output-Table'!E83)</f>
        <v>0.45673079303143643</v>
      </c>
      <c r="H83" s="8">
        <f t="shared" si="21"/>
        <v>260.35749957674199</v>
      </c>
      <c r="I83" s="117">
        <f>IF(Inputs!$C$40="No",E83*$G83,SUM(Calcs1b!K78:N78)*'Disposal&amp;LFG Recovery-wells'!D76)</f>
        <v>153.2420849592107</v>
      </c>
      <c r="J83" s="8">
        <f t="shared" si="18"/>
        <v>4903.6609031271655</v>
      </c>
      <c r="K83" s="10">
        <f t="shared" si="22"/>
        <v>0.43078052771867015</v>
      </c>
      <c r="L83" s="8">
        <f>'Disposal &amp; LFG Recovery'!G76+(D83-H83)*'Disposal &amp; LFG Recovery'!$J$23</f>
        <v>17.946440724383994</v>
      </c>
      <c r="M83" s="8">
        <f t="shared" si="23"/>
        <v>760.22047344570285</v>
      </c>
      <c r="N83" s="276">
        <f t="shared" si="19"/>
        <v>15964.629942359759</v>
      </c>
    </row>
    <row r="84" spans="1:14" x14ac:dyDescent="0.3">
      <c r="A84" s="277">
        <f t="shared" si="15"/>
        <v>2061</v>
      </c>
      <c r="B84" s="7">
        <f>'Disposal &amp; LFG Recovery'!B77</f>
        <v>0</v>
      </c>
      <c r="C84" s="7">
        <f t="shared" si="16"/>
        <v>9951550</v>
      </c>
      <c r="D84" s="8">
        <f t="shared" si="17"/>
        <v>553.18339796867235</v>
      </c>
      <c r="E84" s="8">
        <f>SUM(Calcs1!K79:N79)</f>
        <v>325.59452832106103</v>
      </c>
      <c r="F84" s="8">
        <f t="shared" si="20"/>
        <v>10418.842573338095</v>
      </c>
      <c r="G84" s="9">
        <f>IF(Inputs!$C$40="No",'Disposal &amp; LFG Recovery'!D77,'Output-Table'!I84/'Output-Table'!E84)</f>
        <v>0.45652662981034059</v>
      </c>
      <c r="H84" s="8">
        <f t="shared" si="21"/>
        <v>252.5429523416704</v>
      </c>
      <c r="I84" s="117">
        <f>IF(Inputs!$C$40="No",E84*$G84,SUM(Calcs1b!K79:N79)*'Disposal&amp;LFG Recovery-wells'!D77)</f>
        <v>148.64257269910149</v>
      </c>
      <c r="J84" s="8">
        <f t="shared" si="18"/>
        <v>4756.4790865305367</v>
      </c>
      <c r="K84" s="10">
        <f t="shared" si="22"/>
        <v>0.4178507876985853</v>
      </c>
      <c r="L84" s="8">
        <f>'Disposal &amp; LFG Recovery'!G77+(D84-H84)*'Disposal &amp; LFG Recovery'!$J$23</f>
        <v>17.422113824084764</v>
      </c>
      <c r="M84" s="8">
        <f t="shared" si="23"/>
        <v>737.35775925822986</v>
      </c>
      <c r="N84" s="276">
        <f t="shared" si="19"/>
        <v>15484.512944422828</v>
      </c>
    </row>
    <row r="85" spans="1:14" x14ac:dyDescent="0.3">
      <c r="A85" s="277">
        <f t="shared" si="15"/>
        <v>2062</v>
      </c>
      <c r="B85" s="7">
        <f>'Disposal &amp; LFG Recovery'!B78</f>
        <v>0</v>
      </c>
      <c r="C85" s="7">
        <f t="shared" si="16"/>
        <v>9951550</v>
      </c>
      <c r="D85" s="8">
        <f t="shared" si="17"/>
        <v>536.91314694189259</v>
      </c>
      <c r="E85" s="8">
        <f>SUM(Calcs1!K80:N80)</f>
        <v>316.01812973754897</v>
      </c>
      <c r="F85" s="8">
        <f t="shared" si="20"/>
        <v>10112.403181448915</v>
      </c>
      <c r="G85" s="9">
        <f>IF(Inputs!$C$40="No",'Disposal &amp; LFG Recovery'!D78,'Output-Table'!I85/'Output-Table'!E85)</f>
        <v>0.45633419007836101</v>
      </c>
      <c r="H85" s="8">
        <f t="shared" si="21"/>
        <v>245.0118260521526</v>
      </c>
      <c r="I85" s="117">
        <f>IF(Inputs!$C$40="No",E85*$G85,SUM(Calcs1b!K80:N80)*'Disposal&amp;LFG Recovery-wells'!D78)</f>
        <v>144.20987728386282</v>
      </c>
      <c r="J85" s="8">
        <f t="shared" si="18"/>
        <v>4614.635315552332</v>
      </c>
      <c r="K85" s="10">
        <f t="shared" si="22"/>
        <v>0.40538998836463663</v>
      </c>
      <c r="L85" s="8">
        <f>'Disposal &amp; LFG Recovery'!G78+(D85-H85)*'Disposal &amp; LFG Recovery'!$J$23</f>
        <v>16.915681545560432</v>
      </c>
      <c r="M85" s="8">
        <f t="shared" si="23"/>
        <v>715.32775686423349</v>
      </c>
      <c r="N85" s="276">
        <f t="shared" si="19"/>
        <v>15021.882894148903</v>
      </c>
    </row>
    <row r="86" spans="1:14" x14ac:dyDescent="0.3">
      <c r="A86" s="277">
        <f t="shared" si="15"/>
        <v>2063</v>
      </c>
      <c r="B86" s="7">
        <f>'Disposal &amp; LFG Recovery'!B79</f>
        <v>0</v>
      </c>
      <c r="C86" s="7">
        <f t="shared" si="16"/>
        <v>9951550</v>
      </c>
      <c r="D86" s="8">
        <f t="shared" si="17"/>
        <v>521.20635314186018</v>
      </c>
      <c r="E86" s="8">
        <f>SUM(Calcs1!K81:N81)</f>
        <v>306.77337268674648</v>
      </c>
      <c r="F86" s="8">
        <f t="shared" si="20"/>
        <v>9816.5761328871831</v>
      </c>
      <c r="G86" s="9">
        <f>IF(Inputs!$C$40="No",'Disposal &amp; LFG Recovery'!D79,'Output-Table'!I86/'Output-Table'!E86)</f>
        <v>0.45615256082616346</v>
      </c>
      <c r="H86" s="8">
        <f t="shared" si="21"/>
        <v>237.74961270452519</v>
      </c>
      <c r="I86" s="117">
        <f>IF(Inputs!$C$40="No",E86*$G86,SUM(Calcs1b!K81:N81)*'Disposal&amp;LFG Recovery-wells'!D79)</f>
        <v>139.93545954433844</v>
      </c>
      <c r="J86" s="8">
        <f t="shared" si="18"/>
        <v>4477.8563415614854</v>
      </c>
      <c r="K86" s="10">
        <f t="shared" si="22"/>
        <v>0.39337412516352915</v>
      </c>
      <c r="L86" s="8">
        <f>'Disposal &amp; LFG Recovery'!G79+(D86-H86)*'Disposal &amp; LFG Recovery'!$J$23</f>
        <v>16.426318108343565</v>
      </c>
      <c r="M86" s="8">
        <f t="shared" si="23"/>
        <v>694.08755771719325</v>
      </c>
      <c r="N86" s="276">
        <f t="shared" si="19"/>
        <v>14575.838712061059</v>
      </c>
    </row>
    <row r="87" spans="1:14" x14ac:dyDescent="0.3">
      <c r="A87" s="277">
        <f t="shared" si="15"/>
        <v>2064</v>
      </c>
      <c r="B87" s="7">
        <f>'Disposal &amp; LFG Recovery'!B80</f>
        <v>0</v>
      </c>
      <c r="C87" s="7">
        <f t="shared" si="16"/>
        <v>9951550</v>
      </c>
      <c r="D87" s="8">
        <f t="shared" si="17"/>
        <v>506.03635523069403</v>
      </c>
      <c r="E87" s="8">
        <f>SUM(Calcs1!K82:N82)</f>
        <v>297.84456474953265</v>
      </c>
      <c r="F87" s="8">
        <f t="shared" si="20"/>
        <v>9530.8592790287839</v>
      </c>
      <c r="G87" s="9">
        <f>IF(Inputs!$C$40="No",'Disposal &amp; LFG Recovery'!D80,'Output-Table'!I87/'Output-Table'!E87)</f>
        <v>0.45598090540325964</v>
      </c>
      <c r="H87" s="8">
        <f t="shared" si="21"/>
        <v>230.74291542505739</v>
      </c>
      <c r="I87" s="117">
        <f>IF(Inputs!$C$40="No",E87*$G87,SUM(Calcs1b!K82:N82)*'Disposal&amp;LFG Recovery-wells'!D80)</f>
        <v>135.81143430393169</v>
      </c>
      <c r="J87" s="8">
        <f t="shared" si="18"/>
        <v>4345.8898433226032</v>
      </c>
      <c r="K87" s="10">
        <f t="shared" si="22"/>
        <v>0.38178103198771901</v>
      </c>
      <c r="L87" s="8">
        <f>'Disposal &amp; LFG Recovery'!G80+(D87-H87)*'Disposal &amp; LFG Recovery'!$J$23</f>
        <v>15.953254836736646</v>
      </c>
      <c r="M87" s="8">
        <f t="shared" si="23"/>
        <v>673.59755877782084</v>
      </c>
      <c r="N87" s="276">
        <f t="shared" si="19"/>
        <v>14145.548734334237</v>
      </c>
    </row>
    <row r="88" spans="1:14" x14ac:dyDescent="0.3">
      <c r="A88" s="277">
        <f t="shared" si="15"/>
        <v>2065</v>
      </c>
      <c r="B88" s="7">
        <f>'Disposal &amp; LFG Recovery'!B81</f>
        <v>0</v>
      </c>
      <c r="C88" s="7">
        <f t="shared" si="16"/>
        <v>9951550</v>
      </c>
      <c r="D88" s="8">
        <f t="shared" si="17"/>
        <v>491.37838241780224</v>
      </c>
      <c r="E88" s="8">
        <f>SUM(Calcs1!K83:N83)</f>
        <v>289.2171262514114</v>
      </c>
      <c r="F88" s="8">
        <f t="shared" si="20"/>
        <v>9254.7860784544628</v>
      </c>
      <c r="G88" s="9">
        <f>IF(Inputs!$C$40="No",'Disposal &amp; LFG Recovery'!D81,'Output-Table'!I88/'Output-Table'!E88)</f>
        <v>0.45581845720680358</v>
      </c>
      <c r="H88" s="8">
        <f t="shared" si="21"/>
        <v>223.97933617845734</v>
      </c>
      <c r="I88" s="117">
        <f>IF(Inputs!$C$40="No",E88*$G88,SUM(Calcs1b!K83:N83)*'Disposal&amp;LFG Recovery-wells'!D81)</f>
        <v>131.83050428570368</v>
      </c>
      <c r="J88" s="8">
        <f t="shared" si="18"/>
        <v>4218.5023120601172</v>
      </c>
      <c r="K88" s="10">
        <f t="shared" si="22"/>
        <v>0.37059019538092247</v>
      </c>
      <c r="L88" s="8">
        <f>'Disposal &amp; LFG Recovery'!G81+(D88-H88)*'Disposal &amp; LFG Recovery'!$J$23</f>
        <v>15.495774729570039</v>
      </c>
      <c r="M88" s="8">
        <f t="shared" si="23"/>
        <v>653.82112738862645</v>
      </c>
      <c r="N88" s="276">
        <f t="shared" si="19"/>
        <v>13730.243675161155</v>
      </c>
    </row>
    <row r="89" spans="1:14" x14ac:dyDescent="0.3">
      <c r="A89" s="277">
        <f t="shared" si="15"/>
        <v>2066</v>
      </c>
      <c r="B89" s="7">
        <f>'Disposal &amp; LFG Recovery'!B82</f>
        <v>0</v>
      </c>
      <c r="C89" s="7">
        <f t="shared" si="16"/>
        <v>9951550</v>
      </c>
      <c r="D89" s="8">
        <f t="shared" si="17"/>
        <v>477.20937200145602</v>
      </c>
      <c r="E89" s="8">
        <f>SUM(Calcs1!K84:N84)</f>
        <v>280.87748287052364</v>
      </c>
      <c r="F89" s="8">
        <f t="shared" si="20"/>
        <v>8987.9221604663489</v>
      </c>
      <c r="G89" s="9">
        <f>IF(Inputs!$C$40="No",'Disposal &amp; LFG Recovery'!D82,'Output-Table'!I89/'Output-Table'!E89)</f>
        <v>0.45566451380735817</v>
      </c>
      <c r="H89" s="8">
        <f t="shared" si="21"/>
        <v>217.44737647735818</v>
      </c>
      <c r="I89" s="117">
        <f>IF(Inputs!$C$40="No",E89*$G89,SUM(Calcs1b!K84:N84)*'Disposal&amp;LFG Recovery-wells'!D82)</f>
        <v>127.98590167163172</v>
      </c>
      <c r="J89" s="8">
        <f t="shared" si="18"/>
        <v>4095.477181387279</v>
      </c>
      <c r="K89" s="10">
        <f t="shared" si="22"/>
        <v>0.35978259025469811</v>
      </c>
      <c r="L89" s="8">
        <f>'Disposal &amp; LFG Recovery'!G82+(D89-H89)*'Disposal &amp; LFG Recovery'!$J$23</f>
        <v>15.053207640621475</v>
      </c>
      <c r="M89" s="8">
        <f t="shared" si="23"/>
        <v>634.7243050055132</v>
      </c>
      <c r="N89" s="276">
        <f t="shared" si="19"/>
        <v>13329.210405115777</v>
      </c>
    </row>
    <row r="90" spans="1:14" x14ac:dyDescent="0.3">
      <c r="A90" s="277">
        <f t="shared" si="15"/>
        <v>2067</v>
      </c>
      <c r="B90" s="7">
        <f>'Disposal &amp; LFG Recovery'!B83</f>
        <v>0</v>
      </c>
      <c r="C90" s="7">
        <f t="shared" si="16"/>
        <v>9951550</v>
      </c>
      <c r="D90" s="8">
        <f t="shared" si="17"/>
        <v>463.50780756848326</v>
      </c>
      <c r="E90" s="8">
        <f>SUM(Calcs1!K85:N85)</f>
        <v>272.81297040468309</v>
      </c>
      <c r="F90" s="8">
        <f t="shared" si="20"/>
        <v>8729.8622776864322</v>
      </c>
      <c r="G90" s="9">
        <f>IF(Inputs!$C$40="No",'Disposal &amp; LFG Recovery'!D83,'Output-Table'!I90/'Output-Table'!E90)</f>
        <v>0.45551843150069377</v>
      </c>
      <c r="H90" s="8">
        <f t="shared" si="21"/>
        <v>211.1363494919209</v>
      </c>
      <c r="I90" s="117">
        <f>IF(Inputs!$C$40="No",E90*$G90,SUM(Calcs1b!K85:N85)*'Disposal&amp;LFG Recovery-wells'!D83)</f>
        <v>124.27133637178643</v>
      </c>
      <c r="J90" s="8">
        <f t="shared" si="18"/>
        <v>3976.6131719487976</v>
      </c>
      <c r="K90" s="10">
        <f t="shared" si="22"/>
        <v>0.34934053446735519</v>
      </c>
      <c r="L90" s="8">
        <f>'Disposal &amp; LFG Recovery'!G83+(D90-H90)*'Disposal &amp; LFG Recovery'!$J$23</f>
        <v>14.624925995536792</v>
      </c>
      <c r="M90" s="8">
        <f t="shared" si="23"/>
        <v>616.27554499854023</v>
      </c>
      <c r="N90" s="276">
        <f t="shared" si="19"/>
        <v>12941.786444969344</v>
      </c>
    </row>
    <row r="91" spans="1:14" x14ac:dyDescent="0.3">
      <c r="A91" s="277">
        <f t="shared" si="15"/>
        <v>2068</v>
      </c>
      <c r="B91" s="7">
        <f>'Disposal &amp; LFG Recovery'!B84</f>
        <v>0</v>
      </c>
      <c r="C91" s="7">
        <f t="shared" si="16"/>
        <v>9951550</v>
      </c>
      <c r="D91" s="8">
        <f t="shared" si="17"/>
        <v>450.25357533556405</v>
      </c>
      <c r="E91" s="8">
        <f>SUM(Calcs1!K86:N86)</f>
        <v>265.01175021625738</v>
      </c>
      <c r="F91" s="8">
        <f t="shared" si="20"/>
        <v>8480.2276003401166</v>
      </c>
      <c r="G91" s="9">
        <f>IF(Inputs!$C$40="No",'Disposal &amp; LFG Recovery'!D84,'Output-Table'!I91/'Output-Table'!E91)</f>
        <v>0.45537962027027873</v>
      </c>
      <c r="H91" s="8">
        <f t="shared" si="21"/>
        <v>205.0363021616445</v>
      </c>
      <c r="I91" s="117">
        <f>IF(Inputs!$C$40="No",E91*$G91,SUM(Calcs1b!K86:N86)*'Disposal&amp;LFG Recovery-wells'!D84)</f>
        <v>120.68095018064125</v>
      </c>
      <c r="J91" s="8">
        <f t="shared" si="18"/>
        <v>3861.7228244484195</v>
      </c>
      <c r="K91" s="10">
        <f t="shared" si="22"/>
        <v>0.33924755995224709</v>
      </c>
      <c r="L91" s="8">
        <f>'Disposal &amp; LFG Recovery'!G84+(D91-H91)*'Disposal &amp; LFG Recovery'!$J$23</f>
        <v>14.21034098042864</v>
      </c>
      <c r="M91" s="8">
        <f t="shared" si="23"/>
        <v>598.44548034118736</v>
      </c>
      <c r="N91" s="276">
        <f t="shared" si="19"/>
        <v>12567.355087164935</v>
      </c>
    </row>
    <row r="92" spans="1:14" x14ac:dyDescent="0.3">
      <c r="A92" s="277">
        <f t="shared" si="15"/>
        <v>2069</v>
      </c>
      <c r="B92" s="7">
        <f>'Disposal &amp; LFG Recovery'!B85</f>
        <v>0</v>
      </c>
      <c r="C92" s="7">
        <f t="shared" si="16"/>
        <v>9951550</v>
      </c>
      <c r="D92" s="8">
        <f t="shared" si="17"/>
        <v>437.4278364329673</v>
      </c>
      <c r="E92" s="8">
        <f>SUM(Calcs1!K87:N87)</f>
        <v>257.46273406050398</v>
      </c>
      <c r="F92" s="8">
        <f t="shared" si="20"/>
        <v>8238.6633108050519</v>
      </c>
      <c r="G92" s="9">
        <f>IF(Inputs!$C$40="No",'Disposal &amp; LFG Recovery'!D85,'Output-Table'!I92/'Output-Table'!E92)</f>
        <v>0.45524753914204236</v>
      </c>
      <c r="H92" s="8">
        <f t="shared" si="21"/>
        <v>199.13794608833618</v>
      </c>
      <c r="I92" s="117">
        <f>IF(Inputs!$C$40="No",E92*$G92,SUM(Calcs1b!K87:N87)*'Disposal&amp;LFG Recovery-wells'!D85)</f>
        <v>117.20927610182653</v>
      </c>
      <c r="J92" s="8">
        <f t="shared" si="18"/>
        <v>3750.6311980638311</v>
      </c>
      <c r="K92" s="10">
        <f t="shared" si="22"/>
        <v>0.32948829837513455</v>
      </c>
      <c r="L92" s="8">
        <f>'Disposal &amp; LFG Recovery'!G85+(D92-H92)*'Disposal &amp; LFG Recovery'!$J$23</f>
        <v>13.808899145471376</v>
      </c>
      <c r="M92" s="8">
        <f t="shared" si="23"/>
        <v>581.20671753657939</v>
      </c>
      <c r="N92" s="276">
        <f t="shared" si="19"/>
        <v>12205.341068268168</v>
      </c>
    </row>
    <row r="93" spans="1:14" x14ac:dyDescent="0.3">
      <c r="A93" s="277">
        <f t="shared" si="15"/>
        <v>2070</v>
      </c>
      <c r="B93" s="7">
        <f>'Disposal &amp; LFG Recovery'!B86</f>
        <v>0</v>
      </c>
      <c r="C93" s="7">
        <f t="shared" si="16"/>
        <v>9951550</v>
      </c>
      <c r="D93" s="8">
        <f t="shared" si="17"/>
        <v>425.0129132081783</v>
      </c>
      <c r="E93" s="8">
        <f>SUM(Calcs1!K88:N88)</f>
        <v>250.15551716578025</v>
      </c>
      <c r="F93" s="8">
        <f t="shared" si="20"/>
        <v>8004.8364622153558</v>
      </c>
      <c r="G93" s="9">
        <f>IF(Inputs!$C$40="No",'Disposal &amp; LFG Recovery'!D86,'Output-Table'!I93/'Output-Table'!E93)</f>
        <v>0.45512169191095686</v>
      </c>
      <c r="H93" s="8">
        <f t="shared" si="21"/>
        <v>193.43259614331078</v>
      </c>
      <c r="I93" s="117">
        <f>IF(Inputs!$C$40="No",E93*$G93,SUM(Calcs1b!K88:N88)*'Disposal&amp;LFG Recovery-wells'!D86)</f>
        <v>113.85120221335032</v>
      </c>
      <c r="J93" s="8">
        <f t="shared" si="18"/>
        <v>3643.1747141539709</v>
      </c>
      <c r="K93" s="10">
        <f t="shared" si="22"/>
        <v>0.32004837955530702</v>
      </c>
      <c r="L93" s="8">
        <f>'Disposal &amp; LFG Recovery'!G86+(D93-H93)*'Disposal &amp; LFG Recovery'!$J$23</f>
        <v>13.420079373909076</v>
      </c>
      <c r="M93" s="8">
        <f t="shared" si="23"/>
        <v>564.53365359018528</v>
      </c>
      <c r="N93" s="276">
        <f t="shared" si="19"/>
        <v>11855.206725393891</v>
      </c>
    </row>
    <row r="94" spans="1:14" x14ac:dyDescent="0.3">
      <c r="A94" s="277">
        <f t="shared" si="15"/>
        <v>2071</v>
      </c>
      <c r="B94" s="7">
        <f>'Disposal &amp; LFG Recovery'!B87</f>
        <v>0</v>
      </c>
      <c r="C94" s="7">
        <f t="shared" si="16"/>
        <v>9951550</v>
      </c>
      <c r="D94" s="8">
        <f t="shared" si="17"/>
        <v>412.99218786805585</v>
      </c>
      <c r="E94" s="8">
        <f>SUM(Calcs1!K89:N89)</f>
        <v>243.08031857600653</v>
      </c>
      <c r="F94" s="8">
        <f t="shared" si="20"/>
        <v>7778.4340694538068</v>
      </c>
      <c r="G94" s="9">
        <f>IF(Inputs!$C$40="No",'Disposal &amp; LFG Recovery'!D87,'Output-Table'!I94/'Output-Table'!E94)</f>
        <v>0.4550016232178154</v>
      </c>
      <c r="H94" s="8">
        <f t="shared" si="21"/>
        <v>187.91211585624237</v>
      </c>
      <c r="I94" s="117">
        <f>IF(Inputs!$C$40="No",E94*$G94,SUM(Calcs1b!K89:N89)*'Disposal&amp;LFG Recovery-wells'!D87)</f>
        <v>110.60193952438665</v>
      </c>
      <c r="J94" s="8">
        <f t="shared" si="18"/>
        <v>3539.2001276942397</v>
      </c>
      <c r="K94" s="10">
        <f t="shared" si="22"/>
        <v>0.31091434110744254</v>
      </c>
      <c r="L94" s="8">
        <f>'Disposal &amp; LFG Recovery'!G87+(D94-H94)*'Disposal &amp; LFG Recovery'!$J$23</f>
        <v>13.043390173084592</v>
      </c>
      <c r="M94" s="8">
        <f t="shared" si="23"/>
        <v>548.40231324043737</v>
      </c>
      <c r="N94" s="276">
        <f t="shared" si="19"/>
        <v>11516.448578049185</v>
      </c>
    </row>
    <row r="95" spans="1:14" x14ac:dyDescent="0.3">
      <c r="A95" s="277">
        <f t="shared" si="15"/>
        <v>2072</v>
      </c>
      <c r="B95" s="7">
        <f>'Disposal &amp; LFG Recovery'!B88</f>
        <v>0</v>
      </c>
      <c r="C95" s="7">
        <f t="shared" si="16"/>
        <v>9951550</v>
      </c>
      <c r="D95" s="8">
        <f t="shared" si="17"/>
        <v>401.350011988478</v>
      </c>
      <c r="E95" s="8">
        <f>SUM(Calcs1!K90:N90)</f>
        <v>236.22792788955167</v>
      </c>
      <c r="F95" s="8">
        <f t="shared" si="20"/>
        <v>7559.1614048260353</v>
      </c>
      <c r="G95" s="9">
        <f>IF(Inputs!$C$40="No",'Disposal &amp; LFG Recovery'!D88,'Output-Table'!I95/'Output-Table'!E95)</f>
        <v>0.45488691495404737</v>
      </c>
      <c r="H95" s="8">
        <f t="shared" si="21"/>
        <v>182.5688687702087</v>
      </c>
      <c r="I95" s="117">
        <f>IF(Inputs!$C$40="No",E95*$G95,SUM(Calcs1b!K90:N90)*'Disposal&amp;LFG Recovery-wells'!D88)</f>
        <v>107.45699334366532</v>
      </c>
      <c r="J95" s="8">
        <f t="shared" si="18"/>
        <v>3438.5636110810178</v>
      </c>
      <c r="K95" s="10">
        <f t="shared" si="22"/>
        <v>0.30207354795497027</v>
      </c>
      <c r="L95" s="8">
        <f>'Disposal &amp; LFG Recovery'!G88+(D95-H95)*'Disposal &amp; LFG Recovery'!$J$23</f>
        <v>12.678367249498708</v>
      </c>
      <c r="M95" s="8">
        <f t="shared" si="23"/>
        <v>532.79020400906813</v>
      </c>
      <c r="N95" s="276">
        <f t="shared" si="19"/>
        <v>11188.594284190431</v>
      </c>
    </row>
    <row r="96" spans="1:14" x14ac:dyDescent="0.3">
      <c r="A96" s="277">
        <f t="shared" si="15"/>
        <v>2073</v>
      </c>
      <c r="B96" s="7">
        <f>'Disposal &amp; LFG Recovery'!B89</f>
        <v>0</v>
      </c>
      <c r="C96" s="7">
        <f t="shared" si="16"/>
        <v>9951550</v>
      </c>
      <c r="D96" s="8">
        <f t="shared" si="17"/>
        <v>390.07162560390503</v>
      </c>
      <c r="E96" s="8">
        <f>SUM(Calcs1!K91:N91)</f>
        <v>229.58965763669843</v>
      </c>
      <c r="F96" s="8">
        <f t="shared" si="20"/>
        <v>7346.740474166073</v>
      </c>
      <c r="G96" s="9">
        <f>IF(Inputs!$C$40="No",'Disposal &amp; LFG Recovery'!D89,'Output-Table'!I96/'Output-Table'!E96)</f>
        <v>0.45477718297238712</v>
      </c>
      <c r="H96" s="8">
        <f t="shared" si="21"/>
        <v>177.3956750496036</v>
      </c>
      <c r="I96" s="117">
        <f>IF(Inputs!$C$40="No",E96*$G96,SUM(Calcs1b!K91:N91)*'Disposal&amp;LFG Recovery-wells'!D89)</f>
        <v>104.41213773961252</v>
      </c>
      <c r="J96" s="8">
        <f t="shared" si="18"/>
        <v>3341.1299368704663</v>
      </c>
      <c r="K96" s="10">
        <f t="shared" si="22"/>
        <v>0.29351412053468856</v>
      </c>
      <c r="L96" s="8">
        <f>'Disposal &amp; LFG Recovery'!G89+(D96-H96)*'Disposal &amp; LFG Recovery'!$J$23</f>
        <v>12.324571334621771</v>
      </c>
      <c r="M96" s="8">
        <f t="shared" si="23"/>
        <v>517.67618693848021</v>
      </c>
      <c r="N96" s="276">
        <f t="shared" si="19"/>
        <v>10871.199925708084</v>
      </c>
    </row>
    <row r="97" spans="1:14" x14ac:dyDescent="0.3">
      <c r="A97" s="277">
        <f t="shared" si="15"/>
        <v>2074</v>
      </c>
      <c r="B97" s="7">
        <f>'Disposal &amp; LFG Recovery'!B90</f>
        <v>0</v>
      </c>
      <c r="C97" s="7">
        <f t="shared" si="16"/>
        <v>9951550</v>
      </c>
      <c r="D97" s="8">
        <f t="shared" si="17"/>
        <v>379.14308474932648</v>
      </c>
      <c r="E97" s="8">
        <f>SUM(Calcs1!K92:N92)</f>
        <v>223.15730063204106</v>
      </c>
      <c r="F97" s="8">
        <f t="shared" si="20"/>
        <v>7140.9086521369591</v>
      </c>
      <c r="G97" s="9">
        <f>IF(Inputs!$C$40="No",'Disposal &amp; LFG Recovery'!D90,'Output-Table'!I97/'Output-Table'!E97)</f>
        <v>0.45467207408158539</v>
      </c>
      <c r="H97" s="8">
        <f t="shared" si="21"/>
        <v>172.38577271666657</v>
      </c>
      <c r="I97" s="117">
        <f>IF(Inputs!$C$40="No",E97*$G97,SUM(Calcs1b!K92:N92)*'Disposal&amp;LFG Recovery-wells'!D90)</f>
        <v>101.46339272481799</v>
      </c>
      <c r="J97" s="8">
        <f t="shared" si="18"/>
        <v>3246.7717476942494</v>
      </c>
      <c r="K97" s="10">
        <f t="shared" si="22"/>
        <v>0.28522487065976604</v>
      </c>
      <c r="L97" s="8">
        <f>'Disposal &amp; LFG Recovery'!G90+(D97-H97)*'Disposal &amp; LFG Recovery'!$J$23</f>
        <v>11.981586232292644</v>
      </c>
      <c r="M97" s="8">
        <f t="shared" si="23"/>
        <v>503.04036114991533</v>
      </c>
      <c r="N97" s="276">
        <f t="shared" si="19"/>
        <v>10563.847584148221</v>
      </c>
    </row>
    <row r="98" spans="1:14" x14ac:dyDescent="0.3">
      <c r="A98" s="277">
        <f t="shared" si="15"/>
        <v>2075</v>
      </c>
      <c r="B98" s="7">
        <f>'Disposal &amp; LFG Recovery'!B91</f>
        <v>0</v>
      </c>
      <c r="C98" s="7">
        <f t="shared" si="16"/>
        <v>9951550</v>
      </c>
      <c r="D98" s="8">
        <f t="shared" si="17"/>
        <v>368.5511964667599</v>
      </c>
      <c r="E98" s="8">
        <f>SUM(Calcs1!K93:N93)</f>
        <v>216.92309172039376</v>
      </c>
      <c r="F98" s="8">
        <f t="shared" si="20"/>
        <v>6941.4174581212355</v>
      </c>
      <c r="G98" s="9">
        <f>IF(Inputs!$C$40="No",'Disposal &amp; LFG Recovery'!D91,'Output-Table'!I98/'Output-Table'!E98)</f>
        <v>0.45457126330397857</v>
      </c>
      <c r="H98" s="8">
        <f t="shared" si="21"/>
        <v>167.53278297008785</v>
      </c>
      <c r="I98" s="117">
        <f>IF(Inputs!$C$40="No",E98*$G98,SUM(Calcs1b!K93:N93)*'Disposal&amp;LFG Recovery-wells'!D91)</f>
        <v>98.607003843144199</v>
      </c>
      <c r="J98" s="8">
        <f t="shared" si="18"/>
        <v>3155.3689030584619</v>
      </c>
      <c r="K98" s="10">
        <f t="shared" si="22"/>
        <v>0.27719524413683871</v>
      </c>
      <c r="L98" s="8">
        <f>'Disposal &amp; LFG Recovery'!G91+(D98-H98)*'Disposal &amp; LFG Recovery'!$J$23</f>
        <v>11.649017062132147</v>
      </c>
      <c r="M98" s="8">
        <f t="shared" si="23"/>
        <v>488.86396058862169</v>
      </c>
      <c r="N98" s="276">
        <f t="shared" si="19"/>
        <v>10266.143172361055</v>
      </c>
    </row>
    <row r="99" spans="1:14" x14ac:dyDescent="0.3">
      <c r="A99" s="277">
        <f t="shared" si="15"/>
        <v>2076</v>
      </c>
      <c r="B99" s="7">
        <f>'Disposal &amp; LFG Recovery'!B92</f>
        <v>0</v>
      </c>
      <c r="C99" s="7">
        <f t="shared" si="16"/>
        <v>9951550</v>
      </c>
      <c r="D99" s="8">
        <f t="shared" si="17"/>
        <v>358.28346041036713</v>
      </c>
      <c r="E99" s="8">
        <f>SUM(Calcs1!K94:N94)</f>
        <v>210.87967340653526</v>
      </c>
      <c r="F99" s="8">
        <f t="shared" si="20"/>
        <v>6748.031456392021</v>
      </c>
      <c r="G99" s="9">
        <f>IF(Inputs!$C$40="No",'Disposal &amp; LFG Recovery'!D92,'Output-Table'!I99/'Output-Table'!E99)</f>
        <v>0.45447445137558862</v>
      </c>
      <c r="H99" s="8">
        <f t="shared" si="21"/>
        <v>162.83067910694902</v>
      </c>
      <c r="I99" s="117">
        <f>IF(Inputs!$C$40="No",E99*$G99,SUM(Calcs1b!K94:N94)*'Disposal&amp;LFG Recovery-wells'!D92)</f>
        <v>95.839423877698422</v>
      </c>
      <c r="J99" s="8">
        <f t="shared" si="18"/>
        <v>3066.8078940089781</v>
      </c>
      <c r="K99" s="10">
        <f t="shared" si="22"/>
        <v>0.26941526934508558</v>
      </c>
      <c r="L99" s="8">
        <f>'Disposal &amp; LFG Recovery'!G92+(D99-H99)*'Disposal &amp; LFG Recovery'!$J$23</f>
        <v>11.326488676533081</v>
      </c>
      <c r="M99" s="8">
        <f t="shared" si="23"/>
        <v>475.12926152501882</v>
      </c>
      <c r="N99" s="276">
        <f t="shared" si="19"/>
        <v>9977.7144920253959</v>
      </c>
    </row>
    <row r="100" spans="1:14" x14ac:dyDescent="0.3">
      <c r="A100" s="277">
        <f t="shared" si="15"/>
        <v>2077</v>
      </c>
      <c r="B100" s="7">
        <f>'Disposal &amp; LFG Recovery'!B93</f>
        <v>0</v>
      </c>
      <c r="C100" s="7">
        <f t="shared" si="16"/>
        <v>9951550</v>
      </c>
      <c r="D100" s="8">
        <f t="shared" si="17"/>
        <v>348.32801629073003</v>
      </c>
      <c r="E100" s="8">
        <f>SUM(Calcs1!K95:N95)</f>
        <v>205.02006492178549</v>
      </c>
      <c r="F100" s="8">
        <f t="shared" si="20"/>
        <v>6560.5272662607795</v>
      </c>
      <c r="G100" s="9">
        <f>IF(Inputs!$C$40="No",'Disposal &amp; LFG Recovery'!D93,'Output-Table'!I100/'Output-Table'!E100)</f>
        <v>0.45438136246940714</v>
      </c>
      <c r="H100" s="8">
        <f t="shared" si="21"/>
        <v>158.27375862844775</v>
      </c>
      <c r="I100" s="117">
        <f>IF(Inputs!$C$40="No",E100*$G100,SUM(Calcs1b!K95:N95)*'Disposal&amp;LFG Recovery-wells'!D93)</f>
        <v>93.157296432727193</v>
      </c>
      <c r="J100" s="8">
        <f t="shared" si="18"/>
        <v>2980.9813177612677</v>
      </c>
      <c r="K100" s="10">
        <f t="shared" si="22"/>
        <v>0.26187551108311086</v>
      </c>
      <c r="L100" s="8">
        <f>'Disposal &amp; LFG Recovery'!G93+(D100-H100)*'Disposal &amp; LFG Recovery'!$J$23</f>
        <v>11.013644231529259</v>
      </c>
      <c r="M100" s="8">
        <f t="shared" si="23"/>
        <v>461.81949955788809</v>
      </c>
      <c r="N100" s="276">
        <f t="shared" si="19"/>
        <v>9698.2094907156497</v>
      </c>
    </row>
    <row r="101" spans="1:14" x14ac:dyDescent="0.3">
      <c r="A101" s="277">
        <f t="shared" si="15"/>
        <v>2078</v>
      </c>
      <c r="B101" s="7">
        <f>'Disposal &amp; LFG Recovery'!B94</f>
        <v>0</v>
      </c>
      <c r="C101" s="7">
        <f t="shared" si="16"/>
        <v>9951550</v>
      </c>
      <c r="D101" s="8">
        <f t="shared" si="17"/>
        <v>338.6735964918023</v>
      </c>
      <c r="E101" s="8">
        <f>SUM(Calcs1!K96:N96)</f>
        <v>199.33763433513329</v>
      </c>
      <c r="F101" s="8">
        <f t="shared" si="20"/>
        <v>6378.6926696490382</v>
      </c>
      <c r="G101" s="9">
        <f>IF(Inputs!$C$40="No",'Disposal &amp; LFG Recovery'!D94,'Output-Table'!I101/'Output-Table'!E101)</f>
        <v>0.45429174212356471</v>
      </c>
      <c r="H101" s="8">
        <f t="shared" si="21"/>
        <v>153.85661816151406</v>
      </c>
      <c r="I101" s="117">
        <f>IF(Inputs!$C$40="No",E101*$G101,SUM(Calcs1b!K96:N96)*'Disposal&amp;LFG Recovery-wells'!D94)</f>
        <v>90.557441172897811</v>
      </c>
      <c r="J101" s="8">
        <f t="shared" si="18"/>
        <v>2897.7874053656733</v>
      </c>
      <c r="K101" s="10">
        <f t="shared" si="22"/>
        <v>0.25456702907492385</v>
      </c>
      <c r="L101" s="8">
        <f>'Disposal &amp; LFG Recovery'!G94+(D101-H101)*'Disposal &amp; LFG Recovery'!$J$23</f>
        <v>10.710143894240204</v>
      </c>
      <c r="M101" s="8">
        <f t="shared" si="23"/>
        <v>448.9187950201121</v>
      </c>
      <c r="N101" s="276">
        <f t="shared" si="19"/>
        <v>9427.2946954223535</v>
      </c>
    </row>
    <row r="102" spans="1:14" x14ac:dyDescent="0.3">
      <c r="A102" s="277">
        <f t="shared" si="15"/>
        <v>2079</v>
      </c>
      <c r="B102" s="7">
        <f>'Disposal &amp; LFG Recovery'!B95</f>
        <v>0</v>
      </c>
      <c r="C102" s="7">
        <f t="shared" si="16"/>
        <v>9951550</v>
      </c>
      <c r="D102" s="8">
        <f t="shared" si="17"/>
        <v>329.30948327528171</v>
      </c>
      <c r="E102" s="8">
        <f>SUM(Calcs1!K97:N97)</f>
        <v>193.82607336444289</v>
      </c>
      <c r="F102" s="8">
        <f t="shared" si="20"/>
        <v>6202.3258050610884</v>
      </c>
      <c r="G102" s="9">
        <f>IF(Inputs!$C$40="No",'Disposal &amp; LFG Recovery'!D95,'Output-Table'!I102/'Output-Table'!E102)</f>
        <v>0.45420535535723394</v>
      </c>
      <c r="H102" s="8">
        <f t="shared" si="21"/>
        <v>149.57413087355641</v>
      </c>
      <c r="I102" s="117">
        <f>IF(Inputs!$C$40="No",E102*$G102,SUM(Calcs1b!K97:N97)*'Disposal&amp;LFG Recovery-wells'!D95)</f>
        <v>88.03684052999408</v>
      </c>
      <c r="J102" s="8">
        <f t="shared" si="18"/>
        <v>2817.1295963291136</v>
      </c>
      <c r="K102" s="10">
        <f t="shared" si="22"/>
        <v>0.24748134060098334</v>
      </c>
      <c r="L102" s="8">
        <f>'Disposal &amp; LFG Recovery'!G95+(D102-H102)*'Disposal &amp; LFG Recovery'!$J$23</f>
        <v>10.415663671679983</v>
      </c>
      <c r="M102" s="8">
        <f t="shared" si="23"/>
        <v>436.41208582246054</v>
      </c>
      <c r="N102" s="276">
        <f t="shared" si="19"/>
        <v>9164.6538022716704</v>
      </c>
    </row>
    <row r="103" spans="1:14" x14ac:dyDescent="0.3">
      <c r="A103" s="277">
        <f t="shared" si="15"/>
        <v>2080</v>
      </c>
      <c r="B103" s="7">
        <f>'Disposal &amp; LFG Recovery'!B96</f>
        <v>0</v>
      </c>
      <c r="C103" s="7">
        <f t="shared" si="16"/>
        <v>9951550</v>
      </c>
      <c r="D103" s="8">
        <f t="shared" si="17"/>
        <v>320.22547005816347</v>
      </c>
      <c r="E103" s="8">
        <f>SUM(Calcs1!K98:N98)</f>
        <v>188.47937458506738</v>
      </c>
      <c r="F103" s="8">
        <f t="shared" si="20"/>
        <v>6031.2344382723895</v>
      </c>
      <c r="G103" s="9">
        <f>IF(Inputs!$C$40="No",'Disposal &amp; LFG Recovery'!D96,'Output-Table'!I103/'Output-Table'!E103)</f>
        <v>0.45412198495820044</v>
      </c>
      <c r="H103" s="8">
        <f t="shared" si="21"/>
        <v>145.42142609698598</v>
      </c>
      <c r="I103" s="117">
        <f>IF(Inputs!$C$40="No",E103*$G103,SUM(Calcs1b!K98:N98)*'Disposal&amp;LFG Recovery-wells'!D96)</f>
        <v>85.592627710250994</v>
      </c>
      <c r="J103" s="8">
        <f t="shared" si="18"/>
        <v>2738.9161548565144</v>
      </c>
      <c r="K103" s="10">
        <f t="shared" si="22"/>
        <v>0.24061038678548338</v>
      </c>
      <c r="L103" s="8">
        <f>'Disposal &amp; LFG Recovery'!G96+(D103-H103)*'Disposal &amp; LFG Recovery'!$J$23</f>
        <v>10.129894347550236</v>
      </c>
      <c r="M103" s="8">
        <f t="shared" si="23"/>
        <v>424.28506688877036</v>
      </c>
      <c r="N103" s="276">
        <f t="shared" si="19"/>
        <v>8909.9864046641778</v>
      </c>
    </row>
    <row r="104" spans="1:14" x14ac:dyDescent="0.3">
      <c r="A104" s="277">
        <f t="shared" si="15"/>
        <v>2081</v>
      </c>
      <c r="B104" s="7">
        <f>'Disposal &amp; LFG Recovery'!B97</f>
        <v>0</v>
      </c>
      <c r="C104" s="7">
        <f t="shared" si="16"/>
        <v>9951550</v>
      </c>
      <c r="D104" s="8">
        <f t="shared" si="17"/>
        <v>311.41182631128606</v>
      </c>
      <c r="E104" s="8">
        <f>SUM(Calcs1!K99:N99)</f>
        <v>183.29181076971778</v>
      </c>
      <c r="F104" s="8">
        <f t="shared" si="20"/>
        <v>5865.2353012169369</v>
      </c>
      <c r="G104" s="9">
        <f>IF(Inputs!$C$40="No",'Disposal &amp; LFG Recovery'!D97,'Output-Table'!I104/'Output-Table'!E104)</f>
        <v>0.45404142992720181</v>
      </c>
      <c r="H104" s="8">
        <f t="shared" si="21"/>
        <v>141.39387091461774</v>
      </c>
      <c r="I104" s="117">
        <f>IF(Inputs!$C$40="No",E104*$G104,SUM(Calcs1b!K99:N99)*'Disposal&amp;LFG Recovery-wells'!D97)</f>
        <v>83.222075855828749</v>
      </c>
      <c r="J104" s="8">
        <f t="shared" si="18"/>
        <v>2663.0598230240403</v>
      </c>
      <c r="K104" s="10">
        <f t="shared" si="22"/>
        <v>0.23394650212805188</v>
      </c>
      <c r="L104" s="8">
        <f>'Disposal &amp; LFG Recovery'!G97+(D104-H104)*'Disposal &amp; LFG Recovery'!$J$23</f>
        <v>9.8525405152369316</v>
      </c>
      <c r="M104" s="8">
        <f t="shared" si="23"/>
        <v>412.52413543889008</v>
      </c>
      <c r="N104" s="276">
        <f t="shared" si="19"/>
        <v>8663.0068442166921</v>
      </c>
    </row>
    <row r="105" spans="1:14" x14ac:dyDescent="0.3">
      <c r="A105" s="277">
        <f t="shared" si="15"/>
        <v>2082</v>
      </c>
      <c r="B105" s="7">
        <f>'Disposal &amp; LFG Recovery'!B98</f>
        <v>0</v>
      </c>
      <c r="C105" s="7">
        <f t="shared" si="16"/>
        <v>9951550</v>
      </c>
      <c r="D105" s="8">
        <f t="shared" si="17"/>
        <v>302.85926568099677</v>
      </c>
      <c r="E105" s="8">
        <f>SUM(Calcs1!K100:N100)</f>
        <v>178.25791612540667</v>
      </c>
      <c r="F105" s="8">
        <f t="shared" si="20"/>
        <v>5704.153491579983</v>
      </c>
      <c r="G105" s="9">
        <f>IF(Inputs!$C$40="No",'Disposal &amp; LFG Recovery'!D98,'Output-Table'!I105/'Output-Table'!E105)</f>
        <v>0.45396350406519098</v>
      </c>
      <c r="H105" s="8">
        <f t="shared" si="21"/>
        <v>137.48705348715595</v>
      </c>
      <c r="I105" s="117">
        <f>IF(Inputs!$C$40="No",E105*$G105,SUM(Calcs1b!K100:N100)*'Disposal&amp;LFG Recovery-wells'!D98)</f>
        <v>80.922588231648518</v>
      </c>
      <c r="J105" s="8">
        <f t="shared" si="18"/>
        <v>2589.4775067633427</v>
      </c>
      <c r="K105" s="10">
        <f t="shared" si="22"/>
        <v>0.22748238691785641</v>
      </c>
      <c r="L105" s="8">
        <f>'Disposal &amp; LFG Recovery'!G98+(D105-H105)*'Disposal &amp; LFG Recovery'!$J$23</f>
        <v>9.5833196966330778</v>
      </c>
      <c r="M105" s="8">
        <f t="shared" si="23"/>
        <v>401.11634146578291</v>
      </c>
      <c r="N105" s="276">
        <f t="shared" si="19"/>
        <v>8423.4431707814419</v>
      </c>
    </row>
    <row r="106" spans="1:14" x14ac:dyDescent="0.3">
      <c r="A106" s="277">
        <f t="shared" si="15"/>
        <v>2083</v>
      </c>
      <c r="B106" s="7">
        <f>'Disposal &amp; LFG Recovery'!B99</f>
        <v>0</v>
      </c>
      <c r="C106" s="7">
        <f t="shared" si="16"/>
        <v>9951550</v>
      </c>
      <c r="D106" s="8">
        <f t="shared" si="17"/>
        <v>294.55891698355401</v>
      </c>
      <c r="E106" s="8">
        <f>SUM(Calcs1!K101:N101)</f>
        <v>173.37246922123683</v>
      </c>
      <c r="F106" s="8">
        <f t="shared" si="20"/>
        <v>5547.8219264968147</v>
      </c>
      <c r="G106" s="9">
        <f>IF(Inputs!$C$40="No",'Disposal &amp; LFG Recovery'!D99,'Output-Table'!I106/'Output-Table'!E106)</f>
        <v>0.453888034690758</v>
      </c>
      <c r="H106" s="8">
        <f t="shared" si="21"/>
        <v>133.69676793030348</v>
      </c>
      <c r="I106" s="117">
        <f>IF(Inputs!$C$40="No",E106*$G106,SUM(Calcs1b!K101:N101)*'Disposal&amp;LFG Recovery-wells'!D99)</f>
        <v>78.691689324311113</v>
      </c>
      <c r="J106" s="8">
        <f t="shared" si="18"/>
        <v>2518.089991031934</v>
      </c>
      <c r="K106" s="10">
        <f t="shared" si="22"/>
        <v>0.22121108221167454</v>
      </c>
      <c r="L106" s="8">
        <f>'Disposal &amp; LFG Recovery'!G99+(D106-H106)*'Disposal &amp; LFG Recovery'!$J$23</f>
        <v>9.32196153763587</v>
      </c>
      <c r="M106" s="8">
        <f t="shared" si="23"/>
        <v>390.04934283191704</v>
      </c>
      <c r="N106" s="276">
        <f t="shared" si="19"/>
        <v>8191.036199470258</v>
      </c>
    </row>
    <row r="107" spans="1:14" x14ac:dyDescent="0.3">
      <c r="A107" s="277">
        <f t="shared" si="15"/>
        <v>2084</v>
      </c>
      <c r="B107" s="7">
        <f>'Disposal &amp; LFG Recovery'!B100</f>
        <v>0</v>
      </c>
      <c r="C107" s="7">
        <f t="shared" si="16"/>
        <v>9951550</v>
      </c>
      <c r="D107" s="8">
        <f t="shared" si="17"/>
        <v>286.50229776347203</v>
      </c>
      <c r="E107" s="8">
        <f>SUM(Calcs1!K102:N102)</f>
        <v>168.63047742528357</v>
      </c>
      <c r="F107" s="8">
        <f t="shared" si="20"/>
        <v>5396.0808445417169</v>
      </c>
      <c r="G107" s="9">
        <f>IF(Inputs!$C$40="No",'Disposal &amp; LFG Recovery'!D100,'Output-Table'!I107/'Output-Table'!E107)</f>
        <v>0.45381486147595268</v>
      </c>
      <c r="H107" s="8">
        <f t="shared" si="21"/>
        <v>130.0190005720722</v>
      </c>
      <c r="I107" s="117">
        <f>IF(Inputs!$C$40="No",E107*$G107,SUM(Calcs1b!K102:N102)*'Disposal&amp;LFG Recovery-wells'!D100)</f>
        <v>76.527016753378831</v>
      </c>
      <c r="J107" s="8">
        <f t="shared" si="18"/>
        <v>2448.8216809787409</v>
      </c>
      <c r="K107" s="10">
        <f t="shared" si="22"/>
        <v>0.21512594709560939</v>
      </c>
      <c r="L107" s="8">
        <f>'Disposal &amp; LFG Recovery'!G100+(D107-H107)*'Disposal &amp; LFG Recovery'!$J$23</f>
        <v>9.0682070722416217</v>
      </c>
      <c r="M107" s="8">
        <f t="shared" si="23"/>
        <v>379.31136447894863</v>
      </c>
      <c r="N107" s="276">
        <f t="shared" si="19"/>
        <v>7965.5386540579211</v>
      </c>
    </row>
    <row r="108" spans="1:14" x14ac:dyDescent="0.3">
      <c r="A108" s="277">
        <f t="shared" si="15"/>
        <v>2085</v>
      </c>
      <c r="B108" s="7">
        <f>'Disposal &amp; LFG Recovery'!B101</f>
        <v>0</v>
      </c>
      <c r="C108" s="7">
        <f t="shared" si="16"/>
        <v>9951550</v>
      </c>
      <c r="D108" s="8">
        <f t="shared" si="17"/>
        <v>278.68129014343521</v>
      </c>
      <c r="E108" s="8">
        <f>SUM(Calcs1!K103:N103)</f>
        <v>164.02716269025689</v>
      </c>
      <c r="F108" s="8">
        <f t="shared" si="20"/>
        <v>5248.7773508771143</v>
      </c>
      <c r="G108" s="9">
        <f>IF(Inputs!$C$40="No",'Disposal &amp; LFG Recovery'!D101,'Output-Table'!I108/'Output-Table'!E108)</f>
        <v>0.45374383538970292</v>
      </c>
      <c r="H108" s="8">
        <f t="shared" si="21"/>
        <v>126.44991744103291</v>
      </c>
      <c r="I108" s="117">
        <f>IF(Inputs!$C$40="No",E108*$G108,SUM(Calcs1b!K103:N103)*'Disposal&amp;LFG Recovery-wells'!D101)</f>
        <v>74.426313907167938</v>
      </c>
      <c r="J108" s="8">
        <f t="shared" si="18"/>
        <v>2381.6003662935864</v>
      </c>
      <c r="K108" s="10">
        <f t="shared" si="22"/>
        <v>0.20922063798348323</v>
      </c>
      <c r="L108" s="8">
        <f>'Disposal &amp; LFG Recovery'!G101+(D108-H108)*'Disposal &amp; LFG Recovery'!$J$23</f>
        <v>8.8218080481042147</v>
      </c>
      <c r="M108" s="8">
        <f t="shared" si="23"/>
        <v>368.89116130497581</v>
      </c>
      <c r="N108" s="276">
        <f t="shared" si="19"/>
        <v>7746.7143874044923</v>
      </c>
    </row>
    <row r="109" spans="1:14" x14ac:dyDescent="0.3">
      <c r="A109" s="277">
        <f t="shared" si="15"/>
        <v>2086</v>
      </c>
      <c r="B109" s="7">
        <f>'Disposal &amp; LFG Recovery'!B102</f>
        <v>0</v>
      </c>
      <c r="C109" s="7">
        <f t="shared" si="16"/>
        <v>9951550</v>
      </c>
      <c r="D109" s="8">
        <f t="shared" si="17"/>
        <v>271.08811872532158</v>
      </c>
      <c r="E109" s="8">
        <f>SUM(Calcs1!K104:N104)</f>
        <v>159.55794854641218</v>
      </c>
      <c r="F109" s="8">
        <f t="shared" si="20"/>
        <v>5105.765001034003</v>
      </c>
      <c r="G109" s="9">
        <f>IF(Inputs!$C$40="No",'Disposal &amp; LFG Recovery'!D102,'Output-Table'!I109/'Output-Table'!E109)</f>
        <v>0.45367481773893037</v>
      </c>
      <c r="H109" s="8">
        <f t="shared" si="21"/>
        <v>122.98585285389979</v>
      </c>
      <c r="I109" s="117">
        <f>IF(Inputs!$C$40="No",E109*$G109,SUM(Calcs1b!K104:N104)*'Disposal&amp;LFG Recovery-wells'!D102)</f>
        <v>72.387423225591178</v>
      </c>
      <c r="J109" s="8">
        <f t="shared" si="18"/>
        <v>2316.357006261911</v>
      </c>
      <c r="K109" s="10">
        <f t="shared" si="22"/>
        <v>0.20348908973416183</v>
      </c>
      <c r="L109" s="8">
        <f>'Disposal &amp; LFG Recovery'!G102+(D109-H109)*'Disposal &amp; LFG Recovery'!$J$23</f>
        <v>8.5825263072488944</v>
      </c>
      <c r="M109" s="8">
        <f t="shared" si="23"/>
        <v>358.77798431642088</v>
      </c>
      <c r="N109" s="276">
        <f t="shared" si="19"/>
        <v>7534.3376706448389</v>
      </c>
    </row>
    <row r="110" spans="1:14" x14ac:dyDescent="0.3">
      <c r="A110" s="277">
        <f t="shared" si="15"/>
        <v>2087</v>
      </c>
      <c r="B110" s="7">
        <f>'Disposal &amp; LFG Recovery'!B103</f>
        <v>0</v>
      </c>
      <c r="C110" s="7">
        <f t="shared" si="16"/>
        <v>9951550</v>
      </c>
      <c r="D110" s="8">
        <f t="shared" si="17"/>
        <v>263.715330329842</v>
      </c>
      <c r="E110" s="8">
        <f>SUM(Calcs1!K105:N105)</f>
        <v>155.2184481766395</v>
      </c>
      <c r="F110" s="8">
        <f t="shared" si="20"/>
        <v>4966.9034193214848</v>
      </c>
      <c r="G110" s="9">
        <f>IF(Inputs!$C$40="No",'Disposal &amp; LFG Recovery'!D103,'Output-Table'!I110/'Output-Table'!E110)</f>
        <v>0.45360767929830548</v>
      </c>
      <c r="H110" s="8">
        <f t="shared" si="21"/>
        <v>119.62329898630567</v>
      </c>
      <c r="I110" s="117">
        <f>IF(Inputs!$C$40="No",E110*$G110,SUM(Calcs1b!K105:N105)*'Disposal&amp;LFG Recovery-wells'!D103)</f>
        <v>70.408280061689737</v>
      </c>
      <c r="J110" s="8">
        <f t="shared" si="18"/>
        <v>2253.025533337237</v>
      </c>
      <c r="K110" s="10">
        <f t="shared" si="22"/>
        <v>0.19792549839563892</v>
      </c>
      <c r="L110" s="8">
        <f>'Disposal &amp; LFG Recovery'!G103+(D110-H110)*'Disposal &amp; LFG Recovery'!$J$23</f>
        <v>8.350133216357932</v>
      </c>
      <c r="M110" s="8">
        <f t="shared" si="23"/>
        <v>348.96154970781771</v>
      </c>
      <c r="N110" s="276">
        <f t="shared" si="19"/>
        <v>7328.192543864172</v>
      </c>
    </row>
    <row r="111" spans="1:14" x14ac:dyDescent="0.3">
      <c r="A111" s="277">
        <f t="shared" si="15"/>
        <v>2088</v>
      </c>
      <c r="B111" s="7">
        <f>'Disposal &amp; LFG Recovery'!B104</f>
        <v>0</v>
      </c>
      <c r="C111" s="7">
        <f t="shared" si="16"/>
        <v>9951550</v>
      </c>
      <c r="D111" s="8">
        <f t="shared" si="17"/>
        <v>256.55577538684526</v>
      </c>
      <c r="E111" s="8">
        <f>SUM(Calcs1!K106:N106)</f>
        <v>151.00445346310732</v>
      </c>
      <c r="F111" s="8">
        <f t="shared" si="20"/>
        <v>4832.057948325496</v>
      </c>
      <c r="G111" s="9">
        <f>IF(Inputs!$C$40="No",'Disposal &amp; LFG Recovery'!D104,'Output-Table'!I111/'Output-Table'!E111)</f>
        <v>0.45354229952037856</v>
      </c>
      <c r="H111" s="8">
        <f t="shared" si="21"/>
        <v>116.35889632418353</v>
      </c>
      <c r="I111" s="117">
        <f>IF(Inputs!$C$40="No",E111*$G111,SUM(Calcs1b!K106:N106)*'Disposal&amp;LFG Recovery-wells'!D104)</f>
        <v>68.486907061475691</v>
      </c>
      <c r="J111" s="8">
        <f t="shared" si="18"/>
        <v>2191.5426732992678</v>
      </c>
      <c r="K111" s="10">
        <f t="shared" si="22"/>
        <v>0.19252430540614834</v>
      </c>
      <c r="L111" s="8">
        <f>'Disposal &amp; LFG Recovery'!G104+(D111-H111)*'Disposal &amp; LFG Recovery'!$J$23</f>
        <v>8.1244091416812463</v>
      </c>
      <c r="M111" s="8">
        <f t="shared" si="23"/>
        <v>339.43201056330179</v>
      </c>
      <c r="N111" s="276">
        <f t="shared" si="19"/>
        <v>7128.0722218293376</v>
      </c>
    </row>
    <row r="112" spans="1:14" ht="14" thickBot="1" x14ac:dyDescent="0.35">
      <c r="A112" s="278">
        <f t="shared" si="15"/>
        <v>2089</v>
      </c>
      <c r="B112" s="279">
        <f>'Disposal &amp; LFG Recovery'!B105</f>
        <v>0</v>
      </c>
      <c r="C112" s="279">
        <f t="shared" si="16"/>
        <v>9951550</v>
      </c>
      <c r="D112" s="280">
        <f t="shared" si="17"/>
        <v>249.6025908098772</v>
      </c>
      <c r="E112" s="280">
        <f>SUM(Calcs1!K107:N107)</f>
        <v>146.91192490751354</v>
      </c>
      <c r="F112" s="8">
        <f t="shared" si="20"/>
        <v>4701.099326362486</v>
      </c>
      <c r="G112" s="9">
        <f>IF(Inputs!$C$40="No",'Disposal &amp; LFG Recovery'!D105,'Output-Table'!I112/'Output-Table'!E112)</f>
        <v>0.45347856581854235</v>
      </c>
      <c r="H112" s="8">
        <f t="shared" si="21"/>
        <v>113.18942490505559</v>
      </c>
      <c r="I112" s="117">
        <f>IF(Inputs!$C$40="No",E112*$G112,SUM(Calcs1b!K107:N107)*'Disposal&amp;LFG Recovery-wells'!D105)</f>
        <v>66.621409008700624</v>
      </c>
      <c r="J112" s="280">
        <f t="shared" si="18"/>
        <v>2131.8477802893758</v>
      </c>
      <c r="K112" s="10">
        <f t="shared" si="22"/>
        <v>0.18728018310223626</v>
      </c>
      <c r="L112" s="280">
        <f>'Disposal &amp; LFG Recovery'!G105+(D112-H112)*'Disposal &amp; LFG Recovery'!$J$23</f>
        <v>7.9051429641844129</v>
      </c>
      <c r="M112" s="8">
        <f t="shared" si="23"/>
        <v>330.17993090912728</v>
      </c>
      <c r="N112" s="281">
        <f t="shared" si="19"/>
        <v>6933.7785490916731</v>
      </c>
    </row>
    <row r="113" spans="1:14" x14ac:dyDescent="0.3">
      <c r="A113" s="267"/>
      <c r="B113" s="267"/>
      <c r="C113" s="267"/>
      <c r="D113" s="267"/>
      <c r="E113" s="268"/>
      <c r="F113" s="269"/>
      <c r="G113" s="269"/>
      <c r="H113" s="267"/>
      <c r="I113" s="267"/>
      <c r="J113" s="370"/>
      <c r="K113" s="267"/>
      <c r="L113" s="267"/>
      <c r="M113" s="267"/>
      <c r="N113" s="267"/>
    </row>
    <row r="114" spans="1:14" x14ac:dyDescent="0.3">
      <c r="A114" s="438" t="s">
        <v>117</v>
      </c>
      <c r="B114" s="413"/>
      <c r="C114" s="413"/>
      <c r="D114" s="413"/>
      <c r="E114" s="413"/>
      <c r="F114" s="413"/>
      <c r="G114" s="413"/>
      <c r="H114" s="412" t="s">
        <v>343</v>
      </c>
      <c r="I114" s="413"/>
      <c r="J114" s="413"/>
      <c r="K114" s="413"/>
      <c r="L114" s="413"/>
      <c r="M114" s="413"/>
      <c r="N114" s="413"/>
    </row>
    <row r="115" spans="1:14" ht="15" customHeight="1" x14ac:dyDescent="0.3">
      <c r="A115" s="437" t="s">
        <v>21</v>
      </c>
      <c r="B115" s="413"/>
      <c r="C115" s="413"/>
      <c r="D115" s="118">
        <f>'Lookup Tables'!C48</f>
        <v>0.5</v>
      </c>
      <c r="E115" s="119"/>
      <c r="F115" s="120"/>
      <c r="G115" s="120"/>
      <c r="H115" s="414" t="s">
        <v>341</v>
      </c>
      <c r="I115" s="415"/>
      <c r="J115" s="415"/>
      <c r="K115" s="415"/>
      <c r="L115" s="415"/>
      <c r="M115" s="415"/>
      <c r="N115" s="415"/>
    </row>
    <row r="116" spans="1:14" x14ac:dyDescent="0.3">
      <c r="A116" s="432" t="s">
        <v>48</v>
      </c>
      <c r="B116" s="433"/>
      <c r="C116" s="433"/>
      <c r="D116" s="371">
        <f>IF(Inputs!$C$40="No",'Lookup Tables'!$C$49,'Lookup Tables'!$J$49)</f>
        <v>1</v>
      </c>
      <c r="E116" s="122"/>
      <c r="F116" s="121"/>
      <c r="G116" s="120"/>
      <c r="H116" s="369" t="s">
        <v>342</v>
      </c>
      <c r="I116" s="366"/>
      <c r="J116" s="366"/>
      <c r="K116" s="366"/>
      <c r="L116" s="366"/>
      <c r="M116" s="366"/>
      <c r="N116" s="366"/>
    </row>
    <row r="117" spans="1:14" s="209" customFormat="1" ht="27" x14ac:dyDescent="0.35">
      <c r="A117" s="436" t="s">
        <v>98</v>
      </c>
      <c r="B117" s="436"/>
      <c r="C117" s="436"/>
      <c r="D117" s="127" t="s">
        <v>22</v>
      </c>
      <c r="E117" s="128" t="s">
        <v>97</v>
      </c>
      <c r="F117" s="128" t="s">
        <v>118</v>
      </c>
      <c r="G117" s="128" t="s">
        <v>23</v>
      </c>
      <c r="H117" s="440" t="s">
        <v>99</v>
      </c>
      <c r="I117" s="441"/>
      <c r="J117" s="441"/>
      <c r="K117" s="441"/>
      <c r="L117" s="441"/>
      <c r="M117" s="441"/>
      <c r="N117" s="441"/>
    </row>
    <row r="118" spans="1:14" ht="12.75" customHeight="1" x14ac:dyDescent="0.3">
      <c r="A118" s="430" t="s">
        <v>134</v>
      </c>
      <c r="B118" s="431"/>
      <c r="C118" s="431"/>
      <c r="D118" s="123">
        <f>'Lookup Tables'!F36</f>
        <v>0.14000000000000001</v>
      </c>
      <c r="E118" s="123">
        <f>'Lookup Tables'!F37</f>
        <v>7.0000000000000007E-2</v>
      </c>
      <c r="F118" s="123">
        <f>'Lookup Tables'!F38</f>
        <v>2.8000000000000001E-2</v>
      </c>
      <c r="G118" s="123">
        <f>'Lookup Tables'!F39</f>
        <v>1.4E-2</v>
      </c>
      <c r="H118" s="440"/>
      <c r="I118" s="441"/>
      <c r="J118" s="441"/>
      <c r="K118" s="441"/>
      <c r="L118" s="441"/>
      <c r="M118" s="441"/>
      <c r="N118" s="441"/>
    </row>
    <row r="119" spans="1:14" x14ac:dyDescent="0.3">
      <c r="A119" s="430" t="s">
        <v>133</v>
      </c>
      <c r="B119" s="431"/>
      <c r="C119" s="431"/>
      <c r="D119" s="124">
        <f>IF(Inputs!$C$40="No",'Lookup Tables'!$G36,'Lookup Tables'!$H36)</f>
        <v>69.754464285714278</v>
      </c>
      <c r="E119" s="124">
        <f>IF(Inputs!$C$40="No",'Lookup Tables'!$G37,'Lookup Tables'!$H37)</f>
        <v>93.00595238095238</v>
      </c>
      <c r="F119" s="124">
        <f>IF(Inputs!$C$40="No",'Lookup Tables'!$G38,'Lookup Tables'!$H38)</f>
        <v>181.81905114987171</v>
      </c>
      <c r="G119" s="124">
        <f>IF(Inputs!$C$40="No",'Lookup Tables'!$G39,'Lookup Tables'!$H39)</f>
        <v>199.96279761904765</v>
      </c>
      <c r="H119" s="440"/>
      <c r="I119" s="441"/>
      <c r="J119" s="441"/>
      <c r="K119" s="441"/>
      <c r="L119" s="441"/>
      <c r="M119" s="441"/>
      <c r="N119" s="441"/>
    </row>
    <row r="120" spans="1:14" ht="39.75" customHeight="1" x14ac:dyDescent="0.3">
      <c r="A120" s="210"/>
      <c r="B120" s="210"/>
      <c r="C120" s="210"/>
      <c r="D120" s="210"/>
      <c r="E120" s="210"/>
      <c r="F120" s="210"/>
      <c r="G120" s="210"/>
      <c r="H120" s="210"/>
      <c r="I120" s="210"/>
      <c r="J120" s="210"/>
      <c r="K120" s="210"/>
      <c r="L120" s="210"/>
      <c r="M120" s="210"/>
      <c r="N120" s="210"/>
    </row>
    <row r="121" spans="1:14" x14ac:dyDescent="0.3">
      <c r="J121" s="368"/>
    </row>
    <row r="125" spans="1:14" x14ac:dyDescent="0.3">
      <c r="L125" s="213"/>
    </row>
    <row r="126" spans="1:14" x14ac:dyDescent="0.3">
      <c r="L126" s="213"/>
    </row>
    <row r="127" spans="1:14" x14ac:dyDescent="0.3">
      <c r="F127" s="214"/>
    </row>
    <row r="128" spans="1:14" x14ac:dyDescent="0.3">
      <c r="N128" s="215"/>
    </row>
    <row r="129" spans="14:14" x14ac:dyDescent="0.3">
      <c r="N129" s="215"/>
    </row>
  </sheetData>
  <sheetProtection password="FC4E" sheet="1" objects="1" scenarios="1" formatCells="0" formatColumns="0" formatRows="0"/>
  <mergeCells count="25">
    <mergeCell ref="A119:C119"/>
    <mergeCell ref="A116:C116"/>
    <mergeCell ref="D9:F11"/>
    <mergeCell ref="H9:J11"/>
    <mergeCell ref="A117:C117"/>
    <mergeCell ref="A115:C115"/>
    <mergeCell ref="A114:G114"/>
    <mergeCell ref="A118:C118"/>
    <mergeCell ref="B9:B12"/>
    <mergeCell ref="C9:C12"/>
    <mergeCell ref="G9:G12"/>
    <mergeCell ref="H117:N119"/>
    <mergeCell ref="A1:N1"/>
    <mergeCell ref="H114:N114"/>
    <mergeCell ref="H115:N115"/>
    <mergeCell ref="A2:N2"/>
    <mergeCell ref="A3:N3"/>
    <mergeCell ref="A4:N4"/>
    <mergeCell ref="K9:K12"/>
    <mergeCell ref="L9:L12"/>
    <mergeCell ref="A5:N5"/>
    <mergeCell ref="A9:A12"/>
    <mergeCell ref="A7:N7"/>
    <mergeCell ref="A6:N6"/>
    <mergeCell ref="M9:N11"/>
  </mergeCells>
  <phoneticPr fontId="0" type="noConversion"/>
  <printOptions horizontalCentered="1"/>
  <pageMargins left="0.75" right="0.75" top="0.75" bottom="0.75" header="0.5" footer="0.5"/>
  <pageSetup scale="70" orientation="landscape" r:id="rId1"/>
  <headerFooter alignWithMargins="0">
    <oddFooter>&amp;L&amp;"Tw Cen MT,Regular"&amp;8&amp;F&amp;C&amp;"Tw Cen MT,Regular"&amp;P of &amp;N&amp;R&amp;"Tw Cen MT,Regular"&amp;D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30"/>
  <sheetViews>
    <sheetView showGridLines="0" zoomScaleNormal="100" workbookViewId="0">
      <selection activeCell="B13" sqref="B13"/>
    </sheetView>
  </sheetViews>
  <sheetFormatPr defaultColWidth="10.75" defaultRowHeight="13.5" x14ac:dyDescent="0.3"/>
  <cols>
    <col min="1" max="16384" width="10.75" style="202"/>
  </cols>
  <sheetData>
    <row r="1" spans="1:10" ht="18.75" customHeight="1" x14ac:dyDescent="0.3">
      <c r="A1" s="383" t="s">
        <v>82</v>
      </c>
      <c r="B1" s="373"/>
      <c r="C1" s="373"/>
      <c r="D1" s="373"/>
      <c r="E1" s="373"/>
      <c r="F1" s="373"/>
      <c r="G1" s="373"/>
      <c r="H1" s="373"/>
      <c r="I1" s="373"/>
      <c r="J1" s="373"/>
    </row>
    <row r="2" spans="1:10" ht="56.25" customHeight="1" x14ac:dyDescent="0.3">
      <c r="A2" s="373" t="s">
        <v>141</v>
      </c>
      <c r="B2" s="373"/>
      <c r="C2" s="373"/>
      <c r="D2" s="373"/>
      <c r="E2" s="373"/>
      <c r="F2" s="373"/>
      <c r="G2" s="373"/>
      <c r="H2" s="373"/>
      <c r="I2" s="373"/>
      <c r="J2" s="373"/>
    </row>
    <row r="3" spans="1:10" ht="15" customHeight="1" x14ac:dyDescent="0.3">
      <c r="A3" s="444"/>
      <c r="B3" s="444"/>
      <c r="C3" s="444"/>
      <c r="D3" s="444"/>
      <c r="E3" s="444"/>
      <c r="F3" s="444"/>
      <c r="G3" s="444"/>
      <c r="H3" s="444"/>
      <c r="I3" s="444"/>
      <c r="J3" s="444"/>
    </row>
    <row r="4" spans="1:10" ht="14.15" customHeight="1" x14ac:dyDescent="0.3"/>
    <row r="5" spans="1:10" ht="14.15" customHeight="1" x14ac:dyDescent="0.3"/>
    <row r="6" spans="1:10" ht="14.15" customHeight="1" x14ac:dyDescent="0.3"/>
    <row r="7" spans="1:10" ht="14.15" customHeight="1" x14ac:dyDescent="0.3"/>
    <row r="8" spans="1:10" ht="14.15" customHeight="1" x14ac:dyDescent="0.3"/>
    <row r="9" spans="1:10" ht="14.15" customHeight="1" x14ac:dyDescent="0.3">
      <c r="B9" s="202" t="s">
        <v>140</v>
      </c>
    </row>
    <row r="10" spans="1:10" ht="14.15" customHeight="1" x14ac:dyDescent="0.3">
      <c r="B10" s="202" t="str">
        <f>Inputs!C6&amp;","</f>
        <v>Poland Landfill,</v>
      </c>
    </row>
    <row r="11" spans="1:10" ht="14.15" customHeight="1" x14ac:dyDescent="0.3">
      <c r="B11" s="202" t="str">
        <f>Inputs!C7&amp;","</f>
        <v>Warsaw,</v>
      </c>
    </row>
    <row r="12" spans="1:10" ht="14.15" customHeight="1" x14ac:dyDescent="0.3">
      <c r="B12" s="202" t="str">
        <f>Inputs!C8</f>
        <v>Poland</v>
      </c>
    </row>
    <row r="13" spans="1:10" ht="14.15" customHeight="1" x14ac:dyDescent="0.3"/>
    <row r="14" spans="1:10" ht="14.15" customHeight="1" x14ac:dyDescent="0.3"/>
    <row r="15" spans="1:10" ht="14.15" customHeight="1" x14ac:dyDescent="0.3"/>
    <row r="16" spans="1:10" ht="14.15" customHeight="1" x14ac:dyDescent="0.3"/>
    <row r="17" spans="1:10" ht="14.15" customHeight="1" x14ac:dyDescent="0.3"/>
    <row r="18" spans="1:10" ht="14.15" customHeight="1" x14ac:dyDescent="0.3"/>
    <row r="19" spans="1:10" ht="14.15" customHeight="1" x14ac:dyDescent="0.3"/>
    <row r="20" spans="1:10" ht="14.15" customHeight="1" x14ac:dyDescent="0.3"/>
    <row r="21" spans="1:10" ht="14.15" customHeight="1" x14ac:dyDescent="0.3"/>
    <row r="22" spans="1:10" ht="14.15" customHeight="1" x14ac:dyDescent="0.3"/>
    <row r="23" spans="1:10" ht="14.15" customHeight="1" x14ac:dyDescent="0.3"/>
    <row r="24" spans="1:10" ht="14.15" customHeight="1" x14ac:dyDescent="0.3"/>
    <row r="25" spans="1:10" ht="14.15" customHeight="1" x14ac:dyDescent="0.3"/>
    <row r="26" spans="1:10" ht="14.15" customHeight="1" x14ac:dyDescent="0.3"/>
    <row r="27" spans="1:10" ht="14.15" customHeight="1" x14ac:dyDescent="0.3"/>
    <row r="28" spans="1:10" x14ac:dyDescent="0.3">
      <c r="A28" s="442"/>
      <c r="B28" s="443"/>
      <c r="C28" s="443"/>
      <c r="D28" s="443"/>
      <c r="E28" s="443"/>
      <c r="F28" s="443"/>
      <c r="G28" s="443"/>
      <c r="H28" s="443"/>
      <c r="I28" s="443"/>
      <c r="J28" s="443"/>
    </row>
    <row r="29" spans="1:10" x14ac:dyDescent="0.3">
      <c r="A29" s="442"/>
      <c r="B29" s="443"/>
      <c r="C29" s="443"/>
      <c r="D29" s="443"/>
      <c r="E29" s="443"/>
      <c r="F29" s="443"/>
      <c r="G29" s="443"/>
      <c r="H29" s="443"/>
      <c r="I29" s="443"/>
      <c r="J29" s="443"/>
    </row>
    <row r="30" spans="1:10" x14ac:dyDescent="0.3">
      <c r="A30" s="442"/>
      <c r="B30" s="443"/>
      <c r="C30" s="443"/>
      <c r="D30" s="443"/>
      <c r="E30" s="443"/>
      <c r="F30" s="443"/>
      <c r="G30" s="443"/>
      <c r="H30" s="443"/>
      <c r="I30" s="443"/>
      <c r="J30" s="443"/>
    </row>
  </sheetData>
  <sheetProtection password="FC4E" sheet="1" objects="1" scenarios="1" formatCells="0" formatColumns="0" formatRows="0"/>
  <mergeCells count="6">
    <mergeCell ref="A30:J30"/>
    <mergeCell ref="A1:J1"/>
    <mergeCell ref="A2:J2"/>
    <mergeCell ref="A28:J28"/>
    <mergeCell ref="A29:J29"/>
    <mergeCell ref="A3:J3"/>
  </mergeCells>
  <phoneticPr fontId="0" type="noConversion"/>
  <pageMargins left="1.55" right="0.75" top="0.97" bottom="0.49" header="0.5" footer="0.5"/>
  <pageSetup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30"/>
  <sheetViews>
    <sheetView workbookViewId="0">
      <selection activeCell="D14" sqref="D14"/>
    </sheetView>
  </sheetViews>
  <sheetFormatPr defaultRowHeight="15.5" x14ac:dyDescent="0.35"/>
  <cols>
    <col min="1" max="1" width="20.33203125" customWidth="1"/>
    <col min="2" max="2" width="10.25" customWidth="1"/>
    <col min="12" max="12" width="11.75" style="327" customWidth="1"/>
  </cols>
  <sheetData>
    <row r="1" spans="1:12" ht="33" customHeight="1" thickTop="1" thickBot="1" x14ac:dyDescent="0.4">
      <c r="A1" s="314" t="s">
        <v>246</v>
      </c>
      <c r="B1" s="331" t="s">
        <v>247</v>
      </c>
      <c r="C1" s="332" t="s">
        <v>229</v>
      </c>
      <c r="D1" s="331" t="s">
        <v>248</v>
      </c>
      <c r="E1" s="331" t="s">
        <v>249</v>
      </c>
      <c r="F1" s="331" t="s">
        <v>250</v>
      </c>
      <c r="G1" s="331" t="s">
        <v>251</v>
      </c>
      <c r="H1" s="331" t="s">
        <v>252</v>
      </c>
      <c r="I1" s="331" t="s">
        <v>253</v>
      </c>
      <c r="J1" s="332" t="s">
        <v>254</v>
      </c>
      <c r="K1" s="328" t="s">
        <v>255</v>
      </c>
      <c r="L1" s="335" t="s">
        <v>276</v>
      </c>
    </row>
    <row r="2" spans="1:12" ht="16" thickBot="1" x14ac:dyDescent="0.4">
      <c r="A2" s="315" t="s">
        <v>256</v>
      </c>
      <c r="B2" s="333"/>
      <c r="C2" s="334"/>
      <c r="D2" s="333"/>
      <c r="E2" s="333"/>
      <c r="F2" s="333"/>
      <c r="G2" s="333"/>
      <c r="H2" s="333"/>
      <c r="I2" s="333"/>
      <c r="J2" s="334"/>
      <c r="K2" s="333"/>
      <c r="L2" s="335" t="s">
        <v>272</v>
      </c>
    </row>
    <row r="3" spans="1:12" ht="16.5" thickTop="1" thickBot="1" x14ac:dyDescent="0.4">
      <c r="A3" s="316" t="s">
        <v>257</v>
      </c>
      <c r="B3" s="318">
        <v>6.6793320667933184E-2</v>
      </c>
      <c r="C3" s="318">
        <v>7.4925074925074914E-2</v>
      </c>
      <c r="D3" s="318">
        <v>0.10001000100010003</v>
      </c>
      <c r="E3" s="318">
        <v>0.11288871112888708</v>
      </c>
      <c r="F3" s="318">
        <v>0.13369999999999999</v>
      </c>
      <c r="G3" s="318">
        <v>0.20139999999999997</v>
      </c>
      <c r="H3" s="318">
        <v>9.6990300969903007E-2</v>
      </c>
      <c r="I3" s="318">
        <v>0.24847515248475163</v>
      </c>
      <c r="J3" s="318">
        <v>0.16159999999999999</v>
      </c>
      <c r="K3" s="318">
        <v>0.20195960807838434</v>
      </c>
      <c r="L3" s="319">
        <f>AVERAGE(F3:K3)</f>
        <v>0.17402084358883982</v>
      </c>
    </row>
    <row r="4" spans="1:12" ht="16" thickBot="1" x14ac:dyDescent="0.4">
      <c r="A4" s="316" t="s">
        <v>258</v>
      </c>
      <c r="B4" s="318">
        <v>0.30926907309269069</v>
      </c>
      <c r="C4" s="318">
        <v>0.34365634365634362</v>
      </c>
      <c r="D4" s="318">
        <v>0.3056305630563057</v>
      </c>
      <c r="E4" s="318">
        <v>0.27337266273372657</v>
      </c>
      <c r="F4" s="318">
        <v>0.30169999999999997</v>
      </c>
      <c r="G4" s="318">
        <v>0.32899999999999996</v>
      </c>
      <c r="H4" s="318">
        <v>0.32396760323967605</v>
      </c>
      <c r="I4" s="318">
        <v>0.32686731326867324</v>
      </c>
      <c r="J4" s="318">
        <v>0.36320000000000002</v>
      </c>
      <c r="K4" s="318">
        <v>0.27564487102579488</v>
      </c>
      <c r="L4" s="319">
        <f t="shared" ref="L4:L28" si="0">AVERAGE(F4:K4)</f>
        <v>0.32006329792235733</v>
      </c>
    </row>
    <row r="5" spans="1:12" ht="16" thickBot="1" x14ac:dyDescent="0.4">
      <c r="A5" s="316" t="s">
        <v>201</v>
      </c>
      <c r="B5" s="318">
        <v>0.10778922107789218</v>
      </c>
      <c r="C5" s="318">
        <v>9.2907092907092911E-2</v>
      </c>
      <c r="D5" s="318">
        <v>7.9007900790079022E-2</v>
      </c>
      <c r="E5" s="318">
        <v>8.069193080691929E-2</v>
      </c>
      <c r="F5" s="318">
        <v>5.2499999999999991E-2</v>
      </c>
      <c r="G5" s="318">
        <v>3.3299999999999996E-2</v>
      </c>
      <c r="H5" s="318">
        <v>4.999500049995001E-2</v>
      </c>
      <c r="I5" s="318">
        <v>4.2595740425957415E-2</v>
      </c>
      <c r="J5" s="318">
        <v>4.7199999999999999E-2</v>
      </c>
      <c r="K5" s="318">
        <v>5.4189162167566494E-2</v>
      </c>
      <c r="L5" s="319">
        <f t="shared" si="0"/>
        <v>4.6629983848912315E-2</v>
      </c>
    </row>
    <row r="6" spans="1:12" ht="16" thickBot="1" x14ac:dyDescent="0.4">
      <c r="A6" s="316" t="s">
        <v>259</v>
      </c>
      <c r="B6" s="318">
        <v>6.8393160683931586E-2</v>
      </c>
      <c r="C6" s="318">
        <v>6.2937062937062929E-2</v>
      </c>
      <c r="D6" s="318">
        <v>4.7404740474047413E-2</v>
      </c>
      <c r="E6" s="318">
        <v>5.0394960503949593E-2</v>
      </c>
      <c r="F6" s="318">
        <v>5.0699999999999995E-2</v>
      </c>
      <c r="G6" s="318">
        <v>4.1299999999999996E-2</v>
      </c>
      <c r="H6" s="318">
        <v>4.6395360463953608E-2</v>
      </c>
      <c r="I6" s="318">
        <v>2.7797220277972212E-2</v>
      </c>
      <c r="J6" s="318">
        <v>2.9500000000000002E-2</v>
      </c>
      <c r="K6" s="318">
        <v>5.9888022395520907E-2</v>
      </c>
      <c r="L6" s="319">
        <f t="shared" si="0"/>
        <v>4.2596767189574454E-2</v>
      </c>
    </row>
    <row r="7" spans="1:12" ht="16" thickBot="1" x14ac:dyDescent="0.4">
      <c r="A7" s="316" t="s">
        <v>260</v>
      </c>
      <c r="B7" s="318">
        <v>8.9691030896910301E-2</v>
      </c>
      <c r="C7" s="318">
        <v>9.3906093906093904E-2</v>
      </c>
      <c r="D7" s="318">
        <v>6.1206120612061217E-2</v>
      </c>
      <c r="E7" s="318">
        <v>0.1112888711128887</v>
      </c>
      <c r="F7" s="318">
        <v>6.1299999999999993E-2</v>
      </c>
      <c r="G7" s="318">
        <v>3.3099999999999997E-2</v>
      </c>
      <c r="H7" s="318">
        <v>8.0191980801919804E-2</v>
      </c>
      <c r="I7" s="318">
        <v>2.9897010298970118E-2</v>
      </c>
      <c r="J7" s="318">
        <v>4.2500000000000003E-2</v>
      </c>
      <c r="K7" s="318">
        <v>5.8288342331533703E-2</v>
      </c>
      <c r="L7" s="319">
        <f t="shared" si="0"/>
        <v>5.0879555572070606E-2</v>
      </c>
    </row>
    <row r="8" spans="1:12" ht="16" thickBot="1" x14ac:dyDescent="0.4">
      <c r="A8" s="316" t="s">
        <v>261</v>
      </c>
      <c r="B8" s="318">
        <v>1.7398260173982598E-2</v>
      </c>
      <c r="C8" s="318">
        <v>7.992007992007992E-3</v>
      </c>
      <c r="D8" s="318">
        <v>7.1007100710071018E-3</v>
      </c>
      <c r="E8" s="318">
        <v>7.9992000799919988E-3</v>
      </c>
      <c r="F8" s="318">
        <v>7.0999999999999987E-3</v>
      </c>
      <c r="G8" s="318">
        <v>2.8999999999999994E-3</v>
      </c>
      <c r="H8" s="318">
        <v>1.3798620137986202E-2</v>
      </c>
      <c r="I8" s="318">
        <v>9.5990400959904045E-3</v>
      </c>
      <c r="J8" s="318">
        <v>4.5999999999999999E-3</v>
      </c>
      <c r="K8" s="318">
        <v>8.198360327934414E-3</v>
      </c>
      <c r="L8" s="319">
        <f t="shared" si="0"/>
        <v>7.6993367603185037E-3</v>
      </c>
    </row>
    <row r="9" spans="1:12" ht="16" thickBot="1" x14ac:dyDescent="0.4">
      <c r="A9" s="316" t="s">
        <v>262</v>
      </c>
      <c r="B9" s="318">
        <v>1.1998800119987999E-2</v>
      </c>
      <c r="C9" s="318">
        <v>9.99000999000999E-3</v>
      </c>
      <c r="D9" s="318">
        <v>6.2006200620062018E-3</v>
      </c>
      <c r="E9" s="318">
        <v>1.2398760123987598E-2</v>
      </c>
      <c r="F9" s="318">
        <v>6.4999999999999997E-3</v>
      </c>
      <c r="G9" s="318">
        <v>6.9999999999999984E-3</v>
      </c>
      <c r="H9" s="318">
        <v>9.4990500949905018E-3</v>
      </c>
      <c r="I9" s="318">
        <v>6.2993700629937035E-3</v>
      </c>
      <c r="J9" s="318">
        <v>5.4000000000000003E-3</v>
      </c>
      <c r="K9" s="318">
        <v>5.6988602279544097E-3</v>
      </c>
      <c r="L9" s="319">
        <f t="shared" si="0"/>
        <v>6.7328800643231025E-3</v>
      </c>
    </row>
    <row r="10" spans="1:12" ht="16" thickBot="1" x14ac:dyDescent="0.4">
      <c r="A10" s="316" t="s">
        <v>263</v>
      </c>
      <c r="B10" s="318">
        <v>1.9798020197980198E-2</v>
      </c>
      <c r="C10" s="318">
        <v>1.1988011988011986E-2</v>
      </c>
      <c r="D10" s="318">
        <v>1.3801380138013804E-2</v>
      </c>
      <c r="E10" s="318">
        <v>1.08989101089891E-2</v>
      </c>
      <c r="F10" s="318">
        <v>1.6399999999999998E-2</v>
      </c>
      <c r="G10" s="318">
        <v>8.2999999999999984E-3</v>
      </c>
      <c r="H10" s="318">
        <v>1.6098390160983904E-2</v>
      </c>
      <c r="I10" s="318">
        <v>1.0998900109989006E-2</v>
      </c>
      <c r="J10" s="318">
        <v>0.01</v>
      </c>
      <c r="K10" s="318">
        <v>2.0995800839832039E-2</v>
      </c>
      <c r="L10" s="319">
        <f t="shared" si="0"/>
        <v>1.3798848518467492E-2</v>
      </c>
    </row>
    <row r="11" spans="1:12" ht="16" thickBot="1" x14ac:dyDescent="0.4">
      <c r="A11" s="316" t="s">
        <v>264</v>
      </c>
      <c r="B11" s="318">
        <v>3.9996000399959994E-3</v>
      </c>
      <c r="C11" s="318">
        <v>2.9970029970029966E-3</v>
      </c>
      <c r="D11" s="318">
        <v>5.7005700570057008E-3</v>
      </c>
      <c r="E11" s="318">
        <v>6.7993200679931998E-3</v>
      </c>
      <c r="F11" s="318">
        <v>1.4999999999999998E-3</v>
      </c>
      <c r="G11" s="318">
        <v>1.0999999999999998E-3</v>
      </c>
      <c r="H11" s="318">
        <v>2.1997800219978004E-3</v>
      </c>
      <c r="I11" s="318">
        <v>1.3998600139986008E-3</v>
      </c>
      <c r="J11" s="318">
        <v>3.3E-3</v>
      </c>
      <c r="K11" s="318">
        <v>2.7994401119776054E-3</v>
      </c>
      <c r="L11" s="319">
        <f t="shared" si="0"/>
        <v>2.0498466913290007E-3</v>
      </c>
    </row>
    <row r="12" spans="1:12" ht="16" thickBot="1" x14ac:dyDescent="0.4">
      <c r="A12" s="316" t="s">
        <v>265</v>
      </c>
      <c r="B12" s="318">
        <v>4.5795420457954199E-2</v>
      </c>
      <c r="C12" s="318">
        <v>4.8951048951048952E-2</v>
      </c>
      <c r="D12" s="318">
        <v>3.0103010301030107E-2</v>
      </c>
      <c r="E12" s="318">
        <v>4.7795220477952198E-2</v>
      </c>
      <c r="F12" s="318">
        <v>3.7099999999999994E-2</v>
      </c>
      <c r="G12" s="318">
        <v>3.8499999999999993E-2</v>
      </c>
      <c r="H12" s="318">
        <v>3.2596740325967405E-2</v>
      </c>
      <c r="I12" s="318">
        <v>1.9898010198980111E-2</v>
      </c>
      <c r="J12" s="318">
        <v>3.1699999999999999E-2</v>
      </c>
      <c r="K12" s="318">
        <v>4.2491501699660074E-2</v>
      </c>
      <c r="L12" s="319">
        <f t="shared" si="0"/>
        <v>3.3714375370767928E-2</v>
      </c>
    </row>
    <row r="13" spans="1:12" ht="16" thickBot="1" x14ac:dyDescent="0.4">
      <c r="A13" s="316" t="s">
        <v>266</v>
      </c>
      <c r="B13" s="318">
        <v>5.6094390560943896E-2</v>
      </c>
      <c r="C13" s="318">
        <v>6.6933066933066929E-2</v>
      </c>
      <c r="D13" s="318">
        <v>9.1809180918091829E-2</v>
      </c>
      <c r="E13" s="318">
        <v>8.4491550844915483E-2</v>
      </c>
      <c r="F13" s="318">
        <v>6.4000000000000001E-2</v>
      </c>
      <c r="G13" s="318">
        <v>4.3099999999999992E-2</v>
      </c>
      <c r="H13" s="318">
        <v>7.2992700729927015E-2</v>
      </c>
      <c r="I13" s="318">
        <v>4.3695630436956324E-2</v>
      </c>
      <c r="J13" s="318">
        <v>6.2400000000000004E-2</v>
      </c>
      <c r="K13" s="318">
        <v>5.9088182363527308E-2</v>
      </c>
      <c r="L13" s="319">
        <f t="shared" si="0"/>
        <v>5.7546085588401769E-2</v>
      </c>
    </row>
    <row r="14" spans="1:12" ht="16" thickBot="1" x14ac:dyDescent="0.4">
      <c r="A14" s="316" t="s">
        <v>267</v>
      </c>
      <c r="B14" s="318">
        <v>4.7295270472952698E-2</v>
      </c>
      <c r="C14" s="318">
        <v>4.7952047952047945E-2</v>
      </c>
      <c r="D14" s="318">
        <v>5.7705770577057711E-2</v>
      </c>
      <c r="E14" s="318">
        <v>3.6796320367963195E-2</v>
      </c>
      <c r="F14" s="318">
        <v>5.0399999999999993E-2</v>
      </c>
      <c r="G14" s="318">
        <v>3.1499999999999993E-2</v>
      </c>
      <c r="H14" s="318">
        <v>4.5595440455954407E-2</v>
      </c>
      <c r="I14" s="318">
        <v>3.0496950304969513E-2</v>
      </c>
      <c r="J14" s="318">
        <v>2.8799999999999999E-2</v>
      </c>
      <c r="K14" s="318">
        <v>4.0291941611677672E-2</v>
      </c>
      <c r="L14" s="319">
        <f t="shared" si="0"/>
        <v>3.7847388728766931E-2</v>
      </c>
    </row>
    <row r="15" spans="1:12" ht="16" thickBot="1" x14ac:dyDescent="0.4">
      <c r="A15" s="316" t="s">
        <v>268</v>
      </c>
      <c r="B15" s="318">
        <v>5.3094690530946891E-2</v>
      </c>
      <c r="C15" s="318">
        <v>3.696303696303696E-2</v>
      </c>
      <c r="D15" s="318">
        <v>5.6705670567056714E-2</v>
      </c>
      <c r="E15" s="318">
        <v>3.6796320367963195E-2</v>
      </c>
      <c r="F15" s="318">
        <v>7.4899999999999994E-2</v>
      </c>
      <c r="G15" s="318">
        <v>4.6999999999999993E-2</v>
      </c>
      <c r="H15" s="318">
        <v>6.8693130686931309E-2</v>
      </c>
      <c r="I15" s="318">
        <v>4.4095590440955922E-2</v>
      </c>
      <c r="J15" s="318">
        <v>4.4500000000000005E-2</v>
      </c>
      <c r="K15" s="318">
        <v>2.9794041191761652E-2</v>
      </c>
      <c r="L15" s="319">
        <f t="shared" si="0"/>
        <v>5.1497127053274812E-2</v>
      </c>
    </row>
    <row r="16" spans="1:12" ht="16" thickBot="1" x14ac:dyDescent="0.4">
      <c r="A16" s="316" t="s">
        <v>269</v>
      </c>
      <c r="B16" s="318">
        <v>6.0993900609938997E-3</v>
      </c>
      <c r="C16" s="318">
        <v>3.996003996003996E-3</v>
      </c>
      <c r="D16" s="318">
        <v>3.6003600360036011E-3</v>
      </c>
      <c r="E16" s="318">
        <v>4.0995900409958996E-3</v>
      </c>
      <c r="F16" s="318">
        <v>1.04E-2</v>
      </c>
      <c r="G16" s="318">
        <v>1.1299999999999998E-2</v>
      </c>
      <c r="H16" s="318">
        <v>6.6993300669933014E-3</v>
      </c>
      <c r="I16" s="318">
        <v>5.6994300569943026E-3</v>
      </c>
      <c r="J16" s="318">
        <v>5.0000000000000001E-3</v>
      </c>
      <c r="K16" s="318">
        <v>4.1991601679664077E-3</v>
      </c>
      <c r="L16" s="319">
        <f t="shared" si="0"/>
        <v>7.2163200486590013E-3</v>
      </c>
    </row>
    <row r="17" spans="1:13" ht="16" thickBot="1" x14ac:dyDescent="0.4">
      <c r="A17" s="320" t="s">
        <v>270</v>
      </c>
      <c r="B17" s="318">
        <v>3.6696330366963299E-2</v>
      </c>
      <c r="C17" s="318">
        <v>3.2967032967032961E-2</v>
      </c>
      <c r="D17" s="318">
        <v>4.0804080408040816E-2</v>
      </c>
      <c r="E17" s="318">
        <v>3.7196280371962799E-2</v>
      </c>
      <c r="F17" s="318">
        <v>4.48E-2</v>
      </c>
      <c r="G17" s="318">
        <v>4.0899999999999992E-2</v>
      </c>
      <c r="H17" s="318">
        <v>5.1894810518948113E-2</v>
      </c>
      <c r="I17" s="318">
        <v>4.5295470452954727E-2</v>
      </c>
      <c r="J17" s="318">
        <v>4.1500000000000002E-2</v>
      </c>
      <c r="K17" s="318">
        <v>3.3193361327734455E-2</v>
      </c>
      <c r="L17" s="319">
        <f t="shared" si="0"/>
        <v>4.2930607049939555E-2</v>
      </c>
    </row>
    <row r="18" spans="1:13" ht="16" thickBot="1" x14ac:dyDescent="0.4">
      <c r="A18" s="317" t="s">
        <v>271</v>
      </c>
      <c r="B18" s="318">
        <v>5.9794020597940201E-2</v>
      </c>
      <c r="C18" s="318">
        <v>6.0939060939060929E-2</v>
      </c>
      <c r="D18" s="318">
        <v>9.3209320932093234E-2</v>
      </c>
      <c r="E18" s="318">
        <v>8.6091390860913886E-2</v>
      </c>
      <c r="F18" s="318">
        <v>8.699999999999998E-2</v>
      </c>
      <c r="G18" s="318">
        <v>0.13029999999999997</v>
      </c>
      <c r="H18" s="318">
        <v>8.2391760823917623E-2</v>
      </c>
      <c r="I18" s="318">
        <v>0.10688931106889314</v>
      </c>
      <c r="J18" s="318">
        <v>0.1188</v>
      </c>
      <c r="K18" s="318">
        <v>0.10327934413117379</v>
      </c>
      <c r="L18" s="319">
        <f t="shared" si="0"/>
        <v>0.10477673600399741</v>
      </c>
    </row>
    <row r="19" spans="1:13" ht="16.5" thickTop="1" thickBot="1" x14ac:dyDescent="0.4">
      <c r="A19" s="321" t="s">
        <v>257</v>
      </c>
      <c r="B19" s="322">
        <f>B3</f>
        <v>6.6793320667933184E-2</v>
      </c>
      <c r="C19" s="322">
        <f>C3</f>
        <v>7.4925074925074914E-2</v>
      </c>
      <c r="D19" s="322">
        <f t="shared" ref="D19:K20" si="1">D3</f>
        <v>0.10001000100010003</v>
      </c>
      <c r="E19" s="322">
        <f t="shared" si="1"/>
        <v>0.11288871112888708</v>
      </c>
      <c r="F19" s="322">
        <f>F3</f>
        <v>0.13369999999999999</v>
      </c>
      <c r="G19" s="322">
        <f>G3</f>
        <v>0.20139999999999997</v>
      </c>
      <c r="H19" s="322">
        <f t="shared" si="1"/>
        <v>9.6990300969903007E-2</v>
      </c>
      <c r="I19" s="322">
        <f t="shared" si="1"/>
        <v>0.24847515248475163</v>
      </c>
      <c r="J19" s="322">
        <f>J3</f>
        <v>0.16159999999999999</v>
      </c>
      <c r="K19" s="322">
        <f t="shared" si="1"/>
        <v>0.20195960807838434</v>
      </c>
      <c r="L19" s="319">
        <f t="shared" si="0"/>
        <v>0.17402084358883982</v>
      </c>
      <c r="M19" s="323"/>
    </row>
    <row r="20" spans="1:13" ht="16" thickBot="1" x14ac:dyDescent="0.4">
      <c r="A20" s="321" t="s">
        <v>199</v>
      </c>
      <c r="B20" s="322">
        <f>B4</f>
        <v>0.30926907309269069</v>
      </c>
      <c r="C20" s="322">
        <f>C4</f>
        <v>0.34365634365634362</v>
      </c>
      <c r="D20" s="322">
        <f t="shared" si="1"/>
        <v>0.3056305630563057</v>
      </c>
      <c r="E20" s="322">
        <f t="shared" si="1"/>
        <v>0.27337266273372657</v>
      </c>
      <c r="F20" s="322">
        <f>F4</f>
        <v>0.30169999999999997</v>
      </c>
      <c r="G20" s="322">
        <f>G4</f>
        <v>0.32899999999999996</v>
      </c>
      <c r="H20" s="322">
        <f t="shared" si="1"/>
        <v>0.32396760323967605</v>
      </c>
      <c r="I20" s="322">
        <f t="shared" si="1"/>
        <v>0.32686731326867324</v>
      </c>
      <c r="J20" s="322">
        <f>J4</f>
        <v>0.36320000000000002</v>
      </c>
      <c r="K20" s="322">
        <f t="shared" si="1"/>
        <v>0.27564487102579488</v>
      </c>
      <c r="L20" s="319">
        <f t="shared" si="0"/>
        <v>0.32006329792235733</v>
      </c>
      <c r="M20" s="323"/>
    </row>
    <row r="21" spans="1:13" ht="16" thickBot="1" x14ac:dyDescent="0.4">
      <c r="A21" s="321" t="s">
        <v>28</v>
      </c>
      <c r="B21" s="322">
        <f>B5+B7+B18/3</f>
        <v>0.21741159217411588</v>
      </c>
      <c r="C21" s="322">
        <f>C5+C7+C18/3</f>
        <v>0.20712620712620713</v>
      </c>
      <c r="D21" s="322">
        <f t="shared" ref="D21:K21" si="2">D5+D7+D18/3</f>
        <v>0.17128379504617131</v>
      </c>
      <c r="E21" s="322">
        <f t="shared" si="2"/>
        <v>0.22067793220677928</v>
      </c>
      <c r="F21" s="322">
        <f>F5+F7+F18/3</f>
        <v>0.14279999999999998</v>
      </c>
      <c r="G21" s="322">
        <f>G5+G7+G18/3</f>
        <v>0.10983333333333331</v>
      </c>
      <c r="H21" s="322">
        <f t="shared" si="2"/>
        <v>0.15765090157650902</v>
      </c>
      <c r="I21" s="322">
        <f t="shared" si="2"/>
        <v>0.10812252108122525</v>
      </c>
      <c r="J21" s="322">
        <f>J5+J7+J18/3</f>
        <v>0.1293</v>
      </c>
      <c r="K21" s="322">
        <f t="shared" si="2"/>
        <v>0.14690395254282479</v>
      </c>
      <c r="L21" s="319">
        <f t="shared" si="0"/>
        <v>0.13243511808898203</v>
      </c>
      <c r="M21" s="323"/>
    </row>
    <row r="22" spans="1:13" ht="16" thickBot="1" x14ac:dyDescent="0.4">
      <c r="A22" s="321" t="s">
        <v>67</v>
      </c>
      <c r="B22" s="322">
        <f>B15</f>
        <v>5.3094690530946891E-2</v>
      </c>
      <c r="C22" s="322">
        <f>C15</f>
        <v>3.696303696303696E-2</v>
      </c>
      <c r="D22" s="322">
        <f t="shared" ref="D22:K22" si="3">D15</f>
        <v>5.6705670567056714E-2</v>
      </c>
      <c r="E22" s="322">
        <f t="shared" si="3"/>
        <v>3.6796320367963195E-2</v>
      </c>
      <c r="F22" s="322">
        <f>F15</f>
        <v>7.4899999999999994E-2</v>
      </c>
      <c r="G22" s="322">
        <f>G15</f>
        <v>4.6999999999999993E-2</v>
      </c>
      <c r="H22" s="322">
        <f t="shared" si="3"/>
        <v>6.8693130686931309E-2</v>
      </c>
      <c r="I22" s="322">
        <f t="shared" si="3"/>
        <v>4.4095590440955922E-2</v>
      </c>
      <c r="J22" s="322">
        <f>J15</f>
        <v>4.4500000000000005E-2</v>
      </c>
      <c r="K22" s="322">
        <f t="shared" si="3"/>
        <v>2.9794041191761652E-2</v>
      </c>
      <c r="L22" s="319">
        <f t="shared" si="0"/>
        <v>5.1497127053274812E-2</v>
      </c>
      <c r="M22" s="323"/>
    </row>
    <row r="23" spans="1:13" ht="16" thickBot="1" x14ac:dyDescent="0.4">
      <c r="A23" s="321" t="s">
        <v>273</v>
      </c>
      <c r="B23" s="322">
        <f>B8+B9*2/3+B16</f>
        <v>3.1496850314968496E-2</v>
      </c>
      <c r="C23" s="322">
        <f>C8+C9*2/3+C16</f>
        <v>1.8648018648018648E-2</v>
      </c>
      <c r="D23" s="322">
        <f t="shared" ref="D23:K23" si="4">D8+D9*2/3+D16</f>
        <v>1.4834816815014838E-2</v>
      </c>
      <c r="E23" s="322">
        <f t="shared" si="4"/>
        <v>2.0364630203646296E-2</v>
      </c>
      <c r="F23" s="322">
        <f>F8+F9*2/3+F16</f>
        <v>2.183333333333333E-2</v>
      </c>
      <c r="G23" s="322">
        <f>G8+G9*2/3+G16</f>
        <v>1.8866666666666664E-2</v>
      </c>
      <c r="H23" s="322">
        <f t="shared" si="4"/>
        <v>2.6830650268306507E-2</v>
      </c>
      <c r="I23" s="322">
        <f t="shared" si="4"/>
        <v>1.949805019498051E-2</v>
      </c>
      <c r="J23" s="322">
        <f>J8+J9*2/3+J16</f>
        <v>1.32E-2</v>
      </c>
      <c r="K23" s="322">
        <f t="shared" si="4"/>
        <v>1.6196760647870428E-2</v>
      </c>
      <c r="L23" s="319">
        <f t="shared" si="0"/>
        <v>1.9404243518526241E-2</v>
      </c>
      <c r="M23" s="323"/>
    </row>
    <row r="24" spans="1:13" ht="16" thickBot="1" x14ac:dyDescent="0.4">
      <c r="A24" s="321" t="s">
        <v>270</v>
      </c>
      <c r="B24" s="322">
        <f>B17</f>
        <v>3.6696330366963299E-2</v>
      </c>
      <c r="C24" s="322">
        <f>C17</f>
        <v>3.2967032967032961E-2</v>
      </c>
      <c r="D24" s="322">
        <f t="shared" ref="D24:K24" si="5">D17</f>
        <v>4.0804080408040816E-2</v>
      </c>
      <c r="E24" s="322">
        <f t="shared" si="5"/>
        <v>3.7196280371962799E-2</v>
      </c>
      <c r="F24" s="322">
        <f>F17</f>
        <v>4.48E-2</v>
      </c>
      <c r="G24" s="322">
        <f>G17</f>
        <v>4.0899999999999992E-2</v>
      </c>
      <c r="H24" s="322">
        <f t="shared" si="5"/>
        <v>5.1894810518948113E-2</v>
      </c>
      <c r="I24" s="322">
        <f t="shared" si="5"/>
        <v>4.5295470452954727E-2</v>
      </c>
      <c r="J24" s="322">
        <f>J17</f>
        <v>4.1500000000000002E-2</v>
      </c>
      <c r="K24" s="322">
        <f t="shared" si="5"/>
        <v>3.3193361327734455E-2</v>
      </c>
      <c r="L24" s="319">
        <f t="shared" si="0"/>
        <v>4.2930607049939555E-2</v>
      </c>
      <c r="M24" s="323"/>
    </row>
    <row r="25" spans="1:13" ht="16" thickBot="1" x14ac:dyDescent="0.4">
      <c r="A25" s="321" t="s">
        <v>18</v>
      </c>
      <c r="B25" s="322">
        <f>SUM(B12:B14)+B18/3</f>
        <v>0.1691164216911642</v>
      </c>
      <c r="C25" s="322">
        <f>SUM(C12:C14)+C18/3</f>
        <v>0.18414918414918413</v>
      </c>
      <c r="D25" s="322">
        <f t="shared" ref="D25:K25" si="6">SUM(D12:D14)+D18/3</f>
        <v>0.21068773544021072</v>
      </c>
      <c r="E25" s="322">
        <f t="shared" si="6"/>
        <v>0.19778022197780215</v>
      </c>
      <c r="F25" s="322">
        <f>SUM(F12:F14)+F18/3</f>
        <v>0.18049999999999999</v>
      </c>
      <c r="G25" s="322">
        <f>SUM(G12:G14)+G18/3</f>
        <v>0.1565333333333333</v>
      </c>
      <c r="H25" s="322">
        <f t="shared" si="6"/>
        <v>0.17864880178648804</v>
      </c>
      <c r="I25" s="322">
        <f t="shared" si="6"/>
        <v>0.12972036129720366</v>
      </c>
      <c r="J25" s="322">
        <f>SUM(J12:J14)+J18/3</f>
        <v>0.16250000000000001</v>
      </c>
      <c r="K25" s="322">
        <f t="shared" si="6"/>
        <v>0.17629807371858966</v>
      </c>
      <c r="L25" s="319">
        <f t="shared" si="0"/>
        <v>0.16403342835593576</v>
      </c>
      <c r="M25" s="323"/>
    </row>
    <row r="26" spans="1:13" ht="16" thickBot="1" x14ac:dyDescent="0.4">
      <c r="A26" s="321" t="s">
        <v>17</v>
      </c>
      <c r="B26" s="322">
        <f>B10+B11+B9/3</f>
        <v>2.7797220277972195E-2</v>
      </c>
      <c r="C26" s="322">
        <f>C10+C11+C9/3</f>
        <v>1.8315018315018312E-2</v>
      </c>
      <c r="D26" s="322">
        <f t="shared" ref="D26:K26" si="7">D10+D11+D9/3</f>
        <v>2.1568823549021572E-2</v>
      </c>
      <c r="E26" s="322">
        <f t="shared" si="7"/>
        <v>2.1831150218311498E-2</v>
      </c>
      <c r="F26" s="322">
        <f>F10+F11+F9/3</f>
        <v>2.0066666666666667E-2</v>
      </c>
      <c r="G26" s="322">
        <f>G10+G11+G9/3</f>
        <v>1.1733333333333332E-2</v>
      </c>
      <c r="H26" s="322">
        <f t="shared" si="7"/>
        <v>2.1464520214645205E-2</v>
      </c>
      <c r="I26" s="322">
        <f t="shared" si="7"/>
        <v>1.4498550144985509E-2</v>
      </c>
      <c r="J26" s="322">
        <f>J10+J11+J9/3</f>
        <v>1.5099999999999999E-2</v>
      </c>
      <c r="K26" s="322">
        <f t="shared" si="7"/>
        <v>2.5694861027794447E-2</v>
      </c>
      <c r="L26" s="319">
        <f t="shared" si="0"/>
        <v>1.809298856457086E-2</v>
      </c>
      <c r="M26" s="323"/>
    </row>
    <row r="27" spans="1:13" ht="16" thickBot="1" x14ac:dyDescent="0.4">
      <c r="A27" s="321" t="s">
        <v>259</v>
      </c>
      <c r="B27" s="322">
        <f>B6</f>
        <v>6.8393160683931586E-2</v>
      </c>
      <c r="C27" s="322">
        <f>C6</f>
        <v>6.2937062937062929E-2</v>
      </c>
      <c r="D27" s="322">
        <f t="shared" ref="D27:K27" si="8">D6</f>
        <v>4.7404740474047413E-2</v>
      </c>
      <c r="E27" s="322">
        <f t="shared" si="8"/>
        <v>5.0394960503949593E-2</v>
      </c>
      <c r="F27" s="322">
        <f>F6</f>
        <v>5.0699999999999995E-2</v>
      </c>
      <c r="G27" s="322">
        <f>G6</f>
        <v>4.1299999999999996E-2</v>
      </c>
      <c r="H27" s="322">
        <f t="shared" si="8"/>
        <v>4.6395360463953608E-2</v>
      </c>
      <c r="I27" s="322">
        <f t="shared" si="8"/>
        <v>2.7797220277972212E-2</v>
      </c>
      <c r="J27" s="322">
        <f>J6</f>
        <v>2.9500000000000002E-2</v>
      </c>
      <c r="K27" s="322">
        <f t="shared" si="8"/>
        <v>5.9888022395520907E-2</v>
      </c>
      <c r="L27" s="319">
        <f t="shared" si="0"/>
        <v>4.2596767189574454E-2</v>
      </c>
      <c r="M27" s="323"/>
    </row>
    <row r="28" spans="1:13" ht="16" thickBot="1" x14ac:dyDescent="0.4">
      <c r="A28" s="321" t="s">
        <v>274</v>
      </c>
      <c r="B28" s="322">
        <f>B18/3</f>
        <v>1.9931340199313401E-2</v>
      </c>
      <c r="C28" s="322">
        <f>C18/3</f>
        <v>2.0313020313020309E-2</v>
      </c>
      <c r="D28" s="322">
        <f t="shared" ref="D28:K28" si="9">D18/3</f>
        <v>3.1069773644031077E-2</v>
      </c>
      <c r="E28" s="322">
        <f t="shared" si="9"/>
        <v>2.8697130286971295E-2</v>
      </c>
      <c r="F28" s="322">
        <f>F18/3</f>
        <v>2.8999999999999995E-2</v>
      </c>
      <c r="G28" s="322">
        <f>G18/3</f>
        <v>4.3433333333333324E-2</v>
      </c>
      <c r="H28" s="322">
        <f t="shared" si="9"/>
        <v>2.7463920274639207E-2</v>
      </c>
      <c r="I28" s="322">
        <f t="shared" si="9"/>
        <v>3.5629770356297712E-2</v>
      </c>
      <c r="J28" s="322">
        <f>J18/3</f>
        <v>3.9600000000000003E-2</v>
      </c>
      <c r="K28" s="322">
        <f t="shared" si="9"/>
        <v>3.4426448043724599E-2</v>
      </c>
      <c r="L28" s="319">
        <f t="shared" si="0"/>
        <v>3.4925578667999141E-2</v>
      </c>
      <c r="M28" s="323"/>
    </row>
    <row r="29" spans="1:13" ht="16" thickBot="1" x14ac:dyDescent="0.4">
      <c r="B29" s="322">
        <f>SUM(B19:B28)</f>
        <v>0.99999999999999989</v>
      </c>
      <c r="C29" s="322">
        <f>SUM(C19:C28)</f>
        <v>0.99999999999999989</v>
      </c>
      <c r="D29" s="322">
        <f t="shared" ref="D29:L29" si="10">SUM(D19:D28)</f>
        <v>1.0000000000000002</v>
      </c>
      <c r="E29" s="322">
        <f t="shared" si="10"/>
        <v>0.99999999999999967</v>
      </c>
      <c r="F29" s="322">
        <f>SUM(F19:F28)</f>
        <v>0.99999999999999989</v>
      </c>
      <c r="G29" s="322">
        <f>SUM(G19:G28)</f>
        <v>1</v>
      </c>
      <c r="H29" s="322">
        <f t="shared" si="10"/>
        <v>1</v>
      </c>
      <c r="I29" s="322">
        <f t="shared" si="10"/>
        <v>1.0000000000000002</v>
      </c>
      <c r="J29" s="322">
        <f>SUM(J19:J28)</f>
        <v>0.99999999999999989</v>
      </c>
      <c r="K29" s="322">
        <f t="shared" si="10"/>
        <v>1.0000000000000002</v>
      </c>
      <c r="L29" s="324">
        <f t="shared" si="10"/>
        <v>1</v>
      </c>
    </row>
    <row r="30" spans="1:13" s="330" customFormat="1" x14ac:dyDescent="0.35">
      <c r="A30" s="325" t="s">
        <v>275</v>
      </c>
      <c r="B30" s="329">
        <v>1154589</v>
      </c>
      <c r="C30" s="329">
        <v>221854</v>
      </c>
      <c r="D30" s="329">
        <v>182208</v>
      </c>
      <c r="E30" s="329">
        <v>147281</v>
      </c>
      <c r="F30" s="329">
        <v>52822</v>
      </c>
      <c r="G30" s="329">
        <v>47485</v>
      </c>
      <c r="H30" s="329">
        <v>33328</v>
      </c>
      <c r="I30" s="329">
        <v>25988</v>
      </c>
      <c r="J30" s="329">
        <v>14596</v>
      </c>
      <c r="K30" s="329">
        <v>6943</v>
      </c>
      <c r="L30" s="326"/>
    </row>
  </sheetData>
  <sheetProtection password="FC4E"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14</vt:i4>
      </vt:variant>
    </vt:vector>
  </HeadingPairs>
  <TitlesOfParts>
    <vt:vector size="34" baseType="lpstr">
      <vt:lpstr>Inputs</vt:lpstr>
      <vt:lpstr>Disposal &amp; LFG Recovery</vt:lpstr>
      <vt:lpstr>Inputs-area with wells</vt:lpstr>
      <vt:lpstr>Disposal&amp;LFG Recovery-wells</vt:lpstr>
      <vt:lpstr>Lookup Tables</vt:lpstr>
      <vt:lpstr>Waste Composition</vt:lpstr>
      <vt:lpstr>Output-Table</vt:lpstr>
      <vt:lpstr>Output-Graph</vt:lpstr>
      <vt:lpstr>Serbia data</vt:lpstr>
      <vt:lpstr>Poland Map</vt:lpstr>
      <vt:lpstr>Amounts</vt:lpstr>
      <vt:lpstr>Calcs1</vt:lpstr>
      <vt:lpstr>Calcs2</vt:lpstr>
      <vt:lpstr>Calcs3</vt:lpstr>
      <vt:lpstr>Calcs4</vt:lpstr>
      <vt:lpstr>AmountsB</vt:lpstr>
      <vt:lpstr>Calcs1b</vt:lpstr>
      <vt:lpstr>Calcs2b</vt:lpstr>
      <vt:lpstr>Calcs3b</vt:lpstr>
      <vt:lpstr>Calcs4b</vt:lpstr>
      <vt:lpstr>Climate</vt:lpstr>
      <vt:lpstr>Compdata?</vt:lpstr>
      <vt:lpstr>COUNTRY</vt:lpstr>
      <vt:lpstr>fire</vt:lpstr>
      <vt:lpstr>MCF</vt:lpstr>
      <vt:lpstr>'Disposal &amp; LFG Recovery'!Print_Area</vt:lpstr>
      <vt:lpstr>Inputs!Print_Area</vt:lpstr>
      <vt:lpstr>'Output-Graph'!Print_Area</vt:lpstr>
      <vt:lpstr>'Output-Table'!Print_Area</vt:lpstr>
      <vt:lpstr>'Waste Composition'!Print_Area</vt:lpstr>
      <vt:lpstr>'Disposal &amp; LFG Recovery'!Print_Titles</vt:lpstr>
      <vt:lpstr>'Output-Table'!Print_Titles</vt:lpstr>
      <vt:lpstr>Wastecomp</vt:lpstr>
      <vt:lpstr>Wasteshed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Information Services</dc:creator>
  <cp:lastModifiedBy>Tremaine, Sam</cp:lastModifiedBy>
  <cp:lastPrinted>2013-02-14T21:17:55Z</cp:lastPrinted>
  <dcterms:created xsi:type="dcterms:W3CDTF">1996-10-10T16:47:30Z</dcterms:created>
  <dcterms:modified xsi:type="dcterms:W3CDTF">2020-06-24T14:21:33Z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